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1.xml" ContentType="application/vnd.openxmlformats-officedocument.spreadsheetml.comments+xml"/>
  <Override PartName="/xl/tables/table27.xml" ContentType="application/vnd.openxmlformats-officedocument.spreadsheetml.table+xml"/>
  <Override PartName="/xl/tables/table28.xml" ContentType="application/vnd.openxmlformats-officedocument.spreadsheetml.table+xml"/>
  <Override PartName="/xl/comments2.xml" ContentType="application/vnd.openxmlformats-officedocument.spreadsheetml.comments+xml"/>
  <Override PartName="/xl/tables/table2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updateLinks="never" codeName="ThisWorkbook" hidePivotFieldList="1"/>
  <mc:AlternateContent xmlns:mc="http://schemas.openxmlformats.org/markup-compatibility/2006">
    <mc:Choice Requires="x15">
      <x15ac:absPath xmlns:x15ac="http://schemas.microsoft.com/office/spreadsheetml/2010/11/ac" url="https://teamtelstra.sharepoint.com/sites/CustomerInclusion/Shared Documents/Strategy &amp; Inclusion/Team space/Reputation/Reporting/FY21/Website/Telstra Exchange Update/6Data and Downloads/Files to upload/"/>
    </mc:Choice>
  </mc:AlternateContent>
  <xr:revisionPtr revIDLastSave="11" documentId="8_{69D635FC-7E4D-473C-86C6-639292CF104F}" xr6:coauthVersionLast="47" xr6:coauthVersionMax="47" xr10:uidLastSave="{55C845D4-9BB3-4F06-A084-C28CC2C4053F}"/>
  <workbookProtection lockStructure="1"/>
  <bookViews>
    <workbookView xWindow="-120" yWindow="-16320" windowWidth="29040" windowHeight="15840" tabRatio="935" firstSheet="4" activeTab="7" xr2:uid="{00000000-000D-0000-FFFF-FFFF00000000}"/>
  </bookViews>
  <sheets>
    <sheet name="Source data International" sheetId="56" state="hidden" r:id="rId1"/>
    <sheet name="Cover" sheetId="97" state="hidden" r:id="rId2"/>
    <sheet name="Version Control" sheetId="88" state="hidden" r:id="rId3"/>
    <sheet name="ENV Model_FY20" sheetId="93" state="hidden" r:id="rId4"/>
    <sheet name="2021 Data Pack " sheetId="106" r:id="rId5"/>
    <sheet name="Trusted operations" sheetId="103" r:id="rId6"/>
    <sheet name="Digital inclusion" sheetId="105" r:id="rId7"/>
    <sheet name="Environmental action" sheetId="98" r:id="rId8"/>
    <sheet name="Level1" sheetId="84" state="hidden" r:id="rId9"/>
    <sheet name="Level 2" sheetId="83" state="hidden" r:id="rId10"/>
    <sheet name="Level 3" sheetId="82" state="hidden" r:id="rId11"/>
    <sheet name="Network splits for CSR FY21" sheetId="69" state="hidden" r:id="rId12"/>
    <sheet name="Summary Pivot FY21" sheetId="49" state="hidden" r:id="rId13"/>
    <sheet name="Reform FY21" sheetId="52" state="hidden" r:id="rId14"/>
    <sheet name="FY19 Environmental Data" sheetId="91" state="hidden" r:id="rId15"/>
    <sheet name="NGER FY19" sheetId="89" state="hidden" r:id="rId16"/>
    <sheet name="ChangesFY19" sheetId="92" state="hidden" r:id="rId17"/>
    <sheet name="International FY21" sheetId="96" state="hidden" r:id="rId18"/>
    <sheet name="International FY20" sheetId="101" state="hidden" r:id="rId19"/>
    <sheet name="International FY19" sheetId="100" state="hidden" r:id="rId20"/>
    <sheet name="NBN Removal" sheetId="7" state="hidden" r:id="rId21"/>
    <sheet name="BCA Removal" sheetId="5" state="hidden" r:id="rId22"/>
    <sheet name="JCDecaux Removal" sheetId="102" state="hidden" r:id="rId23"/>
    <sheet name="Telstra BCA" sheetId="30" state="hidden" r:id="rId24"/>
    <sheet name="Envizi Elec Data" sheetId="2" state="hidden" r:id="rId25"/>
    <sheet name="EnviziGas Data" sheetId="11" state="hidden" r:id="rId26"/>
    <sheet name="Solar" sheetId="27" state="hidden" r:id="rId27"/>
    <sheet name="DC Genset" sheetId="20" state="hidden" r:id="rId28"/>
    <sheet name="NET Genset Grounds" sheetId="21" state="hidden" r:id="rId29"/>
    <sheet name="NON Genset" sheetId="22" state="hidden" r:id="rId30"/>
    <sheet name="LP Fleet" sheetId="24" state="hidden" r:id="rId31"/>
    <sheet name="LP Stationary" sheetId="34" state="hidden" r:id="rId32"/>
    <sheet name="AVIS" sheetId="23" state="hidden" r:id="rId33"/>
    <sheet name="Contractor Fuels" sheetId="25" state="hidden" r:id="rId34"/>
    <sheet name="Grounds Fuels" sheetId="26" state="hidden" r:id="rId35"/>
    <sheet name="Pitwater" sheetId="28" state="hidden" r:id="rId36"/>
    <sheet name="Percentage Estimates 21" sheetId="45" state="hidden" r:id="rId37"/>
    <sheet name="Waste (CSR Only) FY21" sheetId="67" state="hidden" r:id="rId38"/>
    <sheet name="Flights (CSR Only)" sheetId="40" state="hidden" r:id="rId39"/>
    <sheet name="Paper (CSR Only)" sheetId="41" state="hidden" r:id="rId40"/>
    <sheet name="Scope 3 (CSR only)" sheetId="55" state="hidden" r:id="rId41"/>
    <sheet name="Petabytes (CSR)" sheetId="87" state="hidden" r:id="rId42"/>
    <sheet name="Savings (CSR Only)" sheetId="43" state="hidden" r:id="rId43"/>
    <sheet name="Water (CSR Only)" sheetId="53" state="hidden" r:id="rId44"/>
    <sheet name="Entities FY21" sheetId="50" state="hidden" r:id="rId45"/>
    <sheet name="GHG Factors FY21" sheetId="94" state="hidden" r:id="rId46"/>
    <sheet name="GHG Factors FY20" sheetId="46" state="hidden" r:id="rId47"/>
  </sheets>
  <definedNames>
    <definedName name="_xlnm._FilterDatabase" localSheetId="44" hidden="1">'Entities FY21'!$A$1:$A$1</definedName>
    <definedName name="_xlnm._FilterDatabase" localSheetId="46" hidden="1">'GHG Factors FY20'!$S$4:$X$272</definedName>
    <definedName name="_xlnm._FilterDatabase" localSheetId="45" hidden="1">'GHG Factors FY21'!$S$4:$X$272</definedName>
    <definedName name="_xlnm._FilterDatabase" localSheetId="8" hidden="1">Level1!$W$3:$X$21</definedName>
    <definedName name="_xlnm._FilterDatabase" localSheetId="30" hidden="1">'LP Fleet'!$A$3:$N$36</definedName>
    <definedName name="_xlnm._FilterDatabase" localSheetId="31" hidden="1">'LP Stationary'!$A$3:$N$3</definedName>
    <definedName name="_xlnm._FilterDatabase" localSheetId="11" hidden="1">'Network splits for CSR FY21'!$A$3:$BO$219</definedName>
    <definedName name="_xlnm._FilterDatabase" localSheetId="12" hidden="1">'Summary Pivot FY21'!$A$2:$J$2</definedName>
    <definedName name="_xlnm._FilterDatabase" localSheetId="43" hidden="1">'Water (CSR Only)'!#REF!</definedName>
    <definedName name="_xlcn.LinkedTable_AVIS1" hidden="1">AVIS</definedName>
    <definedName name="_xlcn.WorksheetConnection_20200611NGERDataModelFY20v13AL.xlsxEntityFY201" hidden="1">EntityFY21[]</definedName>
    <definedName name="_xlcn.WorksheetConnection_20200611NGERDataModelFY20v13AL.xlsxReformFY20_1" hidden="1">ReformFY21[]</definedName>
    <definedName name="ExternalData_1" localSheetId="32" hidden="1">AVIS!#REF!</definedName>
    <definedName name="ExternalData_1" localSheetId="21" hidden="1">'BCA Removal'!#REF!</definedName>
    <definedName name="ExternalData_1" localSheetId="33" hidden="1">'Contractor Fuels'!$A:$J</definedName>
    <definedName name="ExternalData_1" localSheetId="27" hidden="1">'DC Genset'!#REF!</definedName>
    <definedName name="ExternalData_1" localSheetId="24" hidden="1">'Envizi Elec Data'!#REF!</definedName>
    <definedName name="ExternalData_1" localSheetId="25" hidden="1">'EnviziGas Data'!#REF!</definedName>
    <definedName name="ExternalData_1" localSheetId="38" hidden="1">'Flights (CSR Only)'!#REF!</definedName>
    <definedName name="ExternalData_1" localSheetId="34" hidden="1">'Grounds Fuels'!#REF!</definedName>
    <definedName name="ExternalData_1" localSheetId="30" hidden="1">'LP Fleet'!#REF!</definedName>
    <definedName name="ExternalData_1" localSheetId="31" hidden="1">'LP Stationary'!#REF!</definedName>
    <definedName name="ExternalData_1" localSheetId="20" hidden="1">'NBN Removal'!#REF!</definedName>
    <definedName name="ExternalData_1" localSheetId="29" hidden="1">'NON Genset'!#REF!</definedName>
    <definedName name="ExternalData_1" localSheetId="39" hidden="1">'Paper (CSR Only)'!#REF!</definedName>
    <definedName name="ExternalData_1" localSheetId="35" hidden="1">Pitwater!#REF!</definedName>
    <definedName name="ExternalData_1" localSheetId="42" hidden="1">'Savings (CSR Only)'!#REF!</definedName>
    <definedName name="ExternalData_1" localSheetId="26" hidden="1">Solar!#REF!</definedName>
    <definedName name="ExternalData_1" localSheetId="23" hidden="1">'Telstra BCA'!#REF!</definedName>
    <definedName name="ExternalData_2" localSheetId="27" hidden="1">'DC Genset'!#REF!</definedName>
    <definedName name="ExternalData_2" localSheetId="20" hidden="1">'NBN Removal'!#REF!</definedName>
    <definedName name="ExternalData_2" localSheetId="35" hidden="1">Pitwater!#REF!</definedName>
    <definedName name="ExternalData_3" localSheetId="35" hidden="1">Pitwater!$A$2:$C$10</definedName>
    <definedName name="_xlnm.Print_Area" localSheetId="4">'2021 Data Pack '!$C$1:$I$60</definedName>
  </definedNames>
  <calcPr calcId="191028"/>
  <pivotCaches>
    <pivotCache cacheId="0" r:id="rId48"/>
    <pivotCache cacheId="1" r:id="rId49"/>
    <pivotCache cacheId="2" r:id="rId50"/>
    <pivotCache cacheId="3" r:id="rId51"/>
    <pivotCache cacheId="4" r:id="rId52"/>
    <pivotCache cacheId="5" r:id="rId53"/>
    <pivotCache cacheId="6" r:id="rId5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formFY20_" name="ReformFY20_" connection="WorksheetConnection_20200611 NGER Data Model FY20 v13AL.xlsx!ReformFY20_"/>
          <x15:modelTable id="EntityFY20 1" name="EntityFY20 1" connection="WorksheetConnection_20200611 NGER Data Model FY20 v13AL.xlsx!EntityFY20"/>
          <x15:modelTable id="AVIS-9c8f3f37-1a54-4382-ab4f-c4dbf6b79164" name="AVIS" connection="LinkedTable_AVIS"/>
          <x15:modelTable id="Solar-5b7d4e0e-0b93-47d8-a88b-bfa910800705" name="Solar" connection="Connection9"/>
          <x15:modelTable id="Pitwater-6906d71c-4675-439f-b4c9-7a92dcd5e174" name="Pitwater" connection="Connection8"/>
          <x15:modelTable id="Percentage_Estimates-9afaca4d-4254-4b13-9359-66d4cedabfa7" name="Percentage_Estimates" connection="Connection7"/>
          <x15:modelTable id="NET_Genset_Grounds-6c0eaff0-0b16-4a5a-9675-947f6f2d43a3" name="NET_Genset_Grounds" connection="Connection6"/>
          <x15:modelTable id="Entity-ebd6c02f-4d1b-467e-a733-83b71d28ca00" name="Entity" connection="Connection5"/>
          <x15:modelTable id="GHG-390a778f-a1b0-44e0-9a93-2e25c9ea9fe5" name="GHG" connection="Connection4"/>
          <x15:modelTable id="SE_Gas-4c57cd28-4931-4a4a-a7e7-999a8dddb67f" name="SE_Gas" connection="Connection3"/>
          <x15:modelTable id="ReformFY20" name="ReformFY20" connection="Connection28"/>
          <x15:modelTable id="Grounds_Fuels33" name="Grounds_Fuels33" connection="Connection27"/>
          <x15:modelTable id="GHG_35" name="GHG_35" connection="Connection26"/>
          <x15:modelTable id="GasFY20" name="GasFY20" connection="Connection25"/>
          <x15:modelTable id="DC_Genset2839" name="DC_Genset2839" connection="Connection24"/>
          <x15:modelTable id="BCA_RemovalFY20" name="BCA_RemovalFY20" connection="Connection23"/>
          <x15:modelTable id="Summary37-d19eb3f1-d0cf-4618-a397-91f4d57a17dd" name="Summary37" connection="Connection22"/>
          <x15:modelTable id="EntityFY20-f945b707-d74e-48ec-a159-2279c386f175" name="EntityFY20" connection="Connection21"/>
          <x15:modelTable id="Savings_Data-e01f4f28-fa1a-452c-8e84-83084edfce62" name="Savings_Data" connection="Connection20"/>
          <x15:modelTable id="NBN_Removal-ffcb18a9-02c6-4159-b053-cbed52187f16" name="NBN_Removal" connection="Connection2"/>
          <x15:modelTable id="Paper_CSR-7f390a57-95dd-42df-ab3f-17983a8f2c93" name="Paper_CSR" connection="Connection19"/>
          <x15:modelTable id="Flight_Model-1e94083e-8d4a-4864-b587-bf3ef955b8e2" name="Flight_Model" connection="Connection18"/>
          <x15:modelTable id="Table19-e1fc18a8-5fa9-4572-86df-7bdf7777e24e" name="Summary" connection="Connection17"/>
          <x15:modelTable id="NGERS_Stationary_report-c8c14bea-16e7-4f0c-8559-6f39607096b5" name="LP_Stationary" connection="Connection16"/>
          <x15:modelTable id="TelstraBCA-ac331e71-75fc-4cac-9fed-4e2c46a8fc77" name="TelstraBCA" connection="Connection15"/>
          <x15:modelTable id="DC_Genset-4265897c-6016-48f1-b584-1e1637491e19" name="DC_Genset" connection="Connection14"/>
          <x15:modelTable id="NON_Genset-48d775ac-5ea3-4440-8bba-b5a2af147257" name="NON_Genset" connection="Connection13"/>
          <x15:modelTable id="LP_Fleet-65975ee9-2b35-4d27-be5c-e049fccf8908" name="LP_Fleet" connection="Connection12"/>
          <x15:modelTable id="Contractor_Fuels-4e85aed0-1f0b-4add-b821-93f6c543b155" name="Contractor_Fuels" connection="Connection11"/>
          <x15:modelTable id="Grounds_Fuels-78a67c43-f5e2-4894-8d29-c2fee9169799" name="Grounds_Fuels" connection="Connection10"/>
          <x15:modelTable id="Data_Entry-4b67148b-2add-46fc-af5f-5d796524d7f4" name="BCA_Removal" connection="Connection1"/>
          <x15:modelTable id="Calendar" name="Calendar" connection="Connection"/>
        </x15:modelTables>
        <x15:modelRelationships>
          <x15:modelRelationship fromTable="BCA_Removal" fromColumn="Reporting Alias" toTable="Entity" toColumn="Reporting Alias"/>
          <x15:modelRelationship fromTable="BCA_Removal" fromColumn="Reporting Alias" toTable="GHG" toColumn="Reporting Alias"/>
          <x15:modelRelationship fromTable="NBN_Removal" fromColumn="Reporting Alias" toTable="Entity" toColumn="Reporting Alias"/>
          <x15:modelRelationship fromTable="NBN_Removal" fromColumn="Reporting Alias" toTable="GHG" toColumn="Reporting Alias"/>
          <x15:modelRelationship fromTable="SE_Gas" fromColumn="Reporting Alias" toTable="Entity" toColumn="Reporting Alias"/>
          <x15:modelRelationship fromTable="SE_Gas" fromColumn="Reporting Alias" toTable="GHG" toColumn="Reporting Alias"/>
          <x15:modelRelationship fromTable="NET_Genset_Grounds" fromColumn="Reporting Alias" toTable="Entity" toColumn="Reporting Alias"/>
          <x15:modelRelationship fromTable="NET_Genset_Grounds" fromColumn="Reporting Alias" toTable="GHG" toColumn="Reporting Alias"/>
          <x15:modelRelationship fromTable="Percentage_Estimates" fromColumn="Reporting Alias" toTable="Entity" toColumn="Reporting Alias"/>
          <x15:modelRelationship fromTable="Percentage_Estimates" fromColumn="Reporting Alias" toTable="GHG" toColumn="Reporting Alias"/>
          <x15:modelRelationship fromTable="Pitwater" fromColumn="Reporting alias" toTable="Entity" toColumn="Reporting Alias"/>
          <x15:modelRelationship fromTable="Pitwater" fromColumn="Reporting alias" toTable="GHG" toColumn="Reporting Alias"/>
          <x15:modelRelationship fromTable="Solar" fromColumn="Reporting Alias" toTable="GHG" toColumn="Reporting Alias"/>
          <x15:modelRelationship fromTable="Solar" fromColumn="Reporting Alias" toTable="Entity" toColumn="Reporting Alias"/>
          <x15:modelRelationship fromTable="Grounds_Fuels" fromColumn="Reporting Alias" toTable="GHG" toColumn="Reporting Alias"/>
          <x15:modelRelationship fromTable="Grounds_Fuels" fromColumn="Reporting Alias" toTable="Entity" toColumn="Reporting Alias"/>
          <x15:modelRelationship fromTable="Contractor_Fuels" fromColumn="Reporting Alias" toTable="GHG" toColumn="Reporting Alias"/>
          <x15:modelRelationship fromTable="Contractor_Fuels" fromColumn="Reporting Alias" toTable="Entity" toColumn="Reporting Alias"/>
          <x15:modelRelationship fromTable="AVIS" fromColumn="Reporting Alias" toTable="GHG" toColumn="Reporting Alias"/>
          <x15:modelRelationship fromTable="AVIS" fromColumn="Reporting Alias" toTable="Entity" toColumn="Reporting Alias"/>
          <x15:modelRelationship fromTable="LP_Fleet" fromColumn="Reporting Alias" toTable="GHG" toColumn="Reporting Alias"/>
          <x15:modelRelationship fromTable="LP_Fleet" fromColumn="Reporting Alias" toTable="Entity" toColumn="Reporting Alias"/>
          <x15:modelRelationship fromTable="NON_Genset" fromColumn="Reporting Alias" toTable="GHG" toColumn="Reporting Alias"/>
          <x15:modelRelationship fromTable="NON_Genset" fromColumn="Reporting Alias" toTable="Entity" toColumn="Reporting Alias"/>
          <x15:modelRelationship fromTable="DC_Genset" fromColumn="Reporting Alias" toTable="Entity" toColumn="Reporting Alias"/>
          <x15:modelRelationship fromTable="DC_Genset" fromColumn="Reporting Alias" toTable="GHG" toColumn="Reporting Alias"/>
          <x15:modelRelationship fromTable="TelstraBCA" fromColumn="Reporting Alias" toTable="Entity" toColumn="Reporting Alias"/>
          <x15:modelRelationship fromTable="TelstraBCA" fromColumn="Reporting Alias" toTable="GHG" toColumn="Reporting Alias"/>
          <x15:modelRelationship fromTable="LP_Stationary" fromColumn="Reporting Alias" toTable="Entity" toColumn="Reporting Alias"/>
          <x15:modelRelationship fromTable="LP_Stationary" fromColumn="Reporting Alias" toTable="GHG" toColumn="Reporting Alias"/>
          <x15:modelRelationship fromTable="Summary" fromColumn="Reporting Alias" toTable="Entity" toColumn="Reporting Alias"/>
          <x15:modelRelationship fromTable="Savings_Data" fromColumn="Reporting Alias" toTable="GHG" toColumn="Reporting Alias"/>
          <x15:modelRelationship fromTable="GHG_35" fromColumn="Reporting Alias" toTable="EntityFY20" toColumn="Reporting Alias"/>
          <x15:modelRelationship fromTable="ReformFY20" fromColumn="Reporting Alias" toTable="EntityFY20" toColumn="Reporting Alias"/>
          <x15:modelRelationship fromTable="ReformFY20" fromColumn="Reporting Alias" toTable="EntityFY20 1" toColumn="Reporting Alias"/>
          <x15:modelRelationship fromTable="ReformFY20_" fromColumn="Reporting Alias" toTable="EntityFY20 1" toColumn="Reporting Alia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7" i="98" l="1"/>
  <c r="K16" i="98"/>
  <c r="K254" i="103"/>
  <c r="H366" i="103"/>
  <c r="H14" i="105" l="1"/>
  <c r="H13" i="105"/>
  <c r="H12" i="105"/>
  <c r="H11" i="105"/>
  <c r="H7" i="105"/>
  <c r="D43" i="105" l="1"/>
  <c r="E43" i="105"/>
  <c r="F43" i="105"/>
  <c r="H18" i="103"/>
  <c r="I18" i="103"/>
  <c r="G19" i="103"/>
  <c r="H19" i="103"/>
  <c r="I19" i="103"/>
  <c r="F20" i="103"/>
  <c r="H20" i="103"/>
  <c r="I20" i="103"/>
  <c r="I21" i="103"/>
  <c r="I22" i="103"/>
  <c r="D93" i="103"/>
  <c r="E93" i="103"/>
  <c r="F93" i="103"/>
  <c r="I102" i="103"/>
  <c r="I103" i="103"/>
  <c r="I105" i="103"/>
  <c r="I108" i="103"/>
  <c r="I111" i="103"/>
  <c r="I114" i="103"/>
  <c r="I117" i="103"/>
  <c r="H122" i="103"/>
  <c r="H125" i="103"/>
  <c r="F137" i="103"/>
  <c r="F138" i="103" s="1"/>
  <c r="D138" i="103"/>
  <c r="E138" i="103"/>
  <c r="D213" i="103"/>
  <c r="E213" i="103"/>
  <c r="F213" i="103"/>
  <c r="D214" i="103"/>
  <c r="E214" i="103"/>
  <c r="F214" i="103"/>
  <c r="I339" i="103"/>
  <c r="I341" i="103"/>
  <c r="I354" i="103"/>
  <c r="I37" i="83"/>
  <c r="J37" i="83"/>
  <c r="K37" i="83"/>
  <c r="L37" i="83"/>
  <c r="H37" i="83"/>
  <c r="I36" i="83"/>
  <c r="J36" i="83"/>
  <c r="K36" i="83"/>
  <c r="L36" i="83"/>
  <c r="H36" i="83"/>
  <c r="I219" i="82"/>
  <c r="J219" i="82"/>
  <c r="K219" i="82"/>
  <c r="L219" i="82"/>
  <c r="H219" i="82"/>
  <c r="K25" i="84"/>
  <c r="G25" i="84"/>
  <c r="H25" i="84"/>
  <c r="I25" i="84"/>
  <c r="J25" i="84"/>
  <c r="F25" i="84"/>
  <c r="G31" i="84"/>
  <c r="H31" i="84"/>
  <c r="I31" i="84"/>
  <c r="J31" i="84"/>
  <c r="F31" i="84"/>
  <c r="AA18" i="69"/>
  <c r="AC5" i="69" s="1"/>
  <c r="N216" i="69"/>
  <c r="M216" i="69"/>
  <c r="I217" i="69"/>
  <c r="J217" i="69"/>
  <c r="K217" i="69"/>
  <c r="L217" i="69"/>
  <c r="H217" i="69"/>
  <c r="AC9" i="67"/>
  <c r="AC10" i="67" s="1"/>
  <c r="AC8" i="67"/>
  <c r="X11" i="67"/>
  <c r="X10" i="67"/>
  <c r="X9" i="67"/>
  <c r="E43" i="45"/>
  <c r="F3" i="7" l="1"/>
  <c r="F4" i="7"/>
  <c r="F5" i="7"/>
  <c r="F6" i="7"/>
  <c r="F7" i="7"/>
  <c r="F8" i="7"/>
  <c r="F9" i="7"/>
  <c r="F10" i="7"/>
  <c r="K3" i="7"/>
  <c r="L7" i="84"/>
  <c r="V23" i="69" l="1"/>
  <c r="AH53" i="67" l="1"/>
  <c r="AC54" i="67"/>
  <c r="X52" i="67"/>
  <c r="D100" i="43" l="1"/>
  <c r="C105" i="43" l="1"/>
  <c r="C44" i="43" l="1"/>
  <c r="D44" i="43"/>
  <c r="E44" i="43"/>
  <c r="G44" i="43" s="1"/>
  <c r="F44" i="43"/>
  <c r="B50" i="43"/>
  <c r="J5" i="43"/>
  <c r="L5" i="43" s="1"/>
  <c r="K5" i="43"/>
  <c r="J6" i="43"/>
  <c r="L6" i="43" s="1"/>
  <c r="K6" i="43"/>
  <c r="J7" i="43"/>
  <c r="L7" i="43" s="1"/>
  <c r="K7" i="43"/>
  <c r="J8" i="43"/>
  <c r="K8" i="43"/>
  <c r="L8" i="43"/>
  <c r="J9" i="43"/>
  <c r="K9" i="43"/>
  <c r="L9" i="43"/>
  <c r="J10" i="43"/>
  <c r="L10" i="43" s="1"/>
  <c r="K10" i="43"/>
  <c r="J11" i="43"/>
  <c r="K11" i="43"/>
  <c r="L11" i="43"/>
  <c r="J12" i="43"/>
  <c r="K12" i="43"/>
  <c r="L12" i="43"/>
  <c r="J13" i="43"/>
  <c r="K13" i="43"/>
  <c r="L13" i="43"/>
  <c r="J14" i="43"/>
  <c r="L14" i="43" s="1"/>
  <c r="K14" i="43"/>
  <c r="J15" i="43"/>
  <c r="L15" i="43" s="1"/>
  <c r="K15" i="43"/>
  <c r="J16" i="43"/>
  <c r="K16" i="43"/>
  <c r="L16" i="43"/>
  <c r="J17" i="43"/>
  <c r="K17" i="43"/>
  <c r="L17" i="43"/>
  <c r="J18" i="43"/>
  <c r="L18" i="43" s="1"/>
  <c r="K18" i="43"/>
  <c r="J19" i="43"/>
  <c r="K19" i="43"/>
  <c r="L19" i="43"/>
  <c r="J20" i="43"/>
  <c r="K20" i="43"/>
  <c r="L20" i="43"/>
  <c r="J21" i="43"/>
  <c r="K21" i="43"/>
  <c r="L21" i="43"/>
  <c r="J22" i="43"/>
  <c r="L22" i="43" s="1"/>
  <c r="K22" i="43"/>
  <c r="J23" i="43"/>
  <c r="L23" i="43" s="1"/>
  <c r="K23" i="43"/>
  <c r="J24" i="43"/>
  <c r="K24" i="43"/>
  <c r="L24" i="43"/>
  <c r="J25" i="43"/>
  <c r="K25" i="43"/>
  <c r="L25" i="43"/>
  <c r="J26" i="43"/>
  <c r="L26" i="43" s="1"/>
  <c r="K26" i="43"/>
  <c r="J27" i="43"/>
  <c r="K27" i="43"/>
  <c r="L27" i="43"/>
  <c r="J28" i="43"/>
  <c r="K28" i="43"/>
  <c r="L28" i="43"/>
  <c r="J29" i="43"/>
  <c r="K29" i="43"/>
  <c r="L29" i="43"/>
  <c r="J30" i="43"/>
  <c r="L30" i="43" s="1"/>
  <c r="K30" i="43"/>
  <c r="H124" i="98" l="1"/>
  <c r="V34" i="69" l="1"/>
  <c r="I176" i="98"/>
  <c r="H176" i="98" l="1"/>
  <c r="H52" i="101"/>
  <c r="L52" i="101"/>
  <c r="F35" i="101"/>
  <c r="F107" i="21" l="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G38" i="84"/>
  <c r="F51" i="21" l="1"/>
  <c r="H42" i="22"/>
  <c r="H21" i="22" s="1"/>
  <c r="H65" i="25"/>
  <c r="H53" i="84"/>
  <c r="F30" i="84" l="1"/>
  <c r="G30" i="84"/>
  <c r="H30" i="84"/>
  <c r="I30" i="84"/>
  <c r="J30" i="84"/>
  <c r="D99" i="43"/>
  <c r="E95" i="43"/>
  <c r="E88" i="43"/>
  <c r="E89" i="43"/>
  <c r="E90" i="43"/>
  <c r="E91" i="43"/>
  <c r="E92" i="43"/>
  <c r="E93" i="43"/>
  <c r="E94" i="43"/>
  <c r="E87" i="43"/>
  <c r="E55" i="43"/>
  <c r="F55" i="43"/>
  <c r="G55" i="43"/>
  <c r="D63" i="43"/>
  <c r="G56" i="43"/>
  <c r="G57" i="43"/>
  <c r="G58" i="43"/>
  <c r="G59" i="43"/>
  <c r="G60" i="43"/>
  <c r="G61" i="43"/>
  <c r="G62" i="43"/>
  <c r="F56" i="43"/>
  <c r="F57" i="43"/>
  <c r="F58" i="43"/>
  <c r="F59" i="43"/>
  <c r="F60" i="43"/>
  <c r="F61" i="43"/>
  <c r="F62" i="43"/>
  <c r="E62" i="43"/>
  <c r="E56" i="43"/>
  <c r="E57" i="43"/>
  <c r="E58" i="43"/>
  <c r="E59" i="43"/>
  <c r="E60" i="43"/>
  <c r="E61" i="43"/>
  <c r="D104" i="43"/>
  <c r="F63" i="43" l="1"/>
  <c r="G63" i="43"/>
  <c r="C99" i="43" l="1"/>
  <c r="T35" i="69"/>
  <c r="U35" i="69"/>
  <c r="V35" i="69"/>
  <c r="T36" i="69"/>
  <c r="U36" i="69"/>
  <c r="V36" i="69"/>
  <c r="U34" i="69"/>
  <c r="U33" i="69"/>
  <c r="P213" i="69"/>
  <c r="P214" i="69"/>
  <c r="P215" i="69"/>
  <c r="K29" i="84"/>
  <c r="K24" i="84"/>
  <c r="K30" i="84" s="1"/>
  <c r="J311" i="52"/>
  <c r="K311" i="52"/>
  <c r="L311" i="52"/>
  <c r="M311" i="52"/>
  <c r="N311" i="52"/>
  <c r="O311" i="52"/>
  <c r="P311" i="52"/>
  <c r="Q311" i="52"/>
  <c r="R311" i="52"/>
  <c r="J307" i="52"/>
  <c r="S307" i="52" s="1"/>
  <c r="K307" i="52"/>
  <c r="L307" i="52"/>
  <c r="M307" i="52"/>
  <c r="N307" i="52"/>
  <c r="O307" i="52"/>
  <c r="P307" i="52"/>
  <c r="Q307" i="52"/>
  <c r="R307" i="52"/>
  <c r="J308" i="52"/>
  <c r="K308" i="52"/>
  <c r="L308" i="52"/>
  <c r="M308" i="52"/>
  <c r="N308" i="52"/>
  <c r="O308" i="52"/>
  <c r="P308" i="52"/>
  <c r="Q308" i="52"/>
  <c r="R308" i="52"/>
  <c r="J309" i="52"/>
  <c r="K309" i="52"/>
  <c r="L309" i="52"/>
  <c r="M309" i="52"/>
  <c r="N309" i="52"/>
  <c r="O309" i="52"/>
  <c r="P309" i="52"/>
  <c r="Q309" i="52"/>
  <c r="R309" i="52"/>
  <c r="J310" i="52"/>
  <c r="K310" i="52"/>
  <c r="L310" i="52"/>
  <c r="M310" i="52"/>
  <c r="N310" i="52"/>
  <c r="O310" i="52"/>
  <c r="P310" i="52"/>
  <c r="Q310" i="52"/>
  <c r="R310" i="52"/>
  <c r="D351" i="49"/>
  <c r="E351" i="49"/>
  <c r="F351" i="49"/>
  <c r="I351" i="49" s="1"/>
  <c r="H351" i="49"/>
  <c r="D346" i="49"/>
  <c r="E346" i="49"/>
  <c r="F346" i="49"/>
  <c r="H346" i="49"/>
  <c r="I346" i="49"/>
  <c r="G341" i="49"/>
  <c r="H341" i="49"/>
  <c r="E341" i="49"/>
  <c r="D341" i="49"/>
  <c r="F35" i="96"/>
  <c r="L52" i="96"/>
  <c r="M213" i="69" l="1"/>
  <c r="N215" i="69"/>
  <c r="N214" i="69"/>
  <c r="N213" i="69"/>
  <c r="M215" i="69"/>
  <c r="M214" i="69"/>
  <c r="I341" i="49"/>
  <c r="S308" i="52"/>
  <c r="B11" i="102"/>
  <c r="J31" i="43" l="1"/>
  <c r="J32" i="43"/>
  <c r="J33" i="43"/>
  <c r="J34" i="43"/>
  <c r="J35" i="43"/>
  <c r="J4" i="43"/>
  <c r="B46" i="2" l="1"/>
  <c r="I174" i="98" l="1"/>
  <c r="I173" i="98"/>
  <c r="I164" i="98"/>
  <c r="I163" i="98"/>
  <c r="I170" i="98"/>
  <c r="H174" i="98"/>
  <c r="H173" i="98"/>
  <c r="H170" i="98"/>
  <c r="H165" i="98"/>
  <c r="H164" i="98"/>
  <c r="H163" i="98"/>
  <c r="H159" i="98"/>
  <c r="H172" i="98" l="1"/>
  <c r="I157" i="98"/>
  <c r="I172" i="98"/>
  <c r="F43" i="43"/>
  <c r="F49" i="43"/>
  <c r="E49" i="43"/>
  <c r="F48" i="43"/>
  <c r="E48" i="43"/>
  <c r="F47" i="43"/>
  <c r="E47" i="43"/>
  <c r="F46" i="43"/>
  <c r="E46" i="43"/>
  <c r="F45" i="43"/>
  <c r="E45" i="43"/>
  <c r="E43" i="43"/>
  <c r="F42" i="43"/>
  <c r="E42" i="43"/>
  <c r="L13" i="45"/>
  <c r="J13" i="45"/>
  <c r="M13" i="45" s="1"/>
  <c r="L12" i="45"/>
  <c r="J12" i="45"/>
  <c r="M12" i="45" s="1"/>
  <c r="L11" i="45"/>
  <c r="J11" i="45"/>
  <c r="M11" i="45" s="1"/>
  <c r="M9" i="45"/>
  <c r="L9" i="45"/>
  <c r="K9" i="45"/>
  <c r="J9" i="45"/>
  <c r="M8" i="45"/>
  <c r="L8" i="45"/>
  <c r="K8" i="45"/>
  <c r="J8" i="45"/>
  <c r="M7" i="45"/>
  <c r="L7" i="45"/>
  <c r="K7" i="45"/>
  <c r="J7" i="45"/>
  <c r="M6" i="45"/>
  <c r="L6" i="45"/>
  <c r="K6" i="45"/>
  <c r="J6" i="45"/>
  <c r="M5" i="45"/>
  <c r="L5" i="45"/>
  <c r="K5" i="45"/>
  <c r="J5" i="45"/>
  <c r="M4" i="45"/>
  <c r="L4" i="45"/>
  <c r="K4" i="45"/>
  <c r="J4" i="45"/>
  <c r="G9" i="28"/>
  <c r="J9" i="28" s="1"/>
  <c r="G4" i="28"/>
  <c r="J4" i="28" s="1"/>
  <c r="M22" i="26"/>
  <c r="P22" i="26" s="1"/>
  <c r="M21" i="26"/>
  <c r="P21" i="26" s="1"/>
  <c r="M20" i="26"/>
  <c r="P20" i="26" s="1"/>
  <c r="M19" i="26"/>
  <c r="P19" i="26" s="1"/>
  <c r="M18" i="26"/>
  <c r="P18" i="26" s="1"/>
  <c r="M17" i="26"/>
  <c r="P17" i="26" s="1"/>
  <c r="M16" i="26"/>
  <c r="P16" i="26" s="1"/>
  <c r="M15" i="26"/>
  <c r="P15" i="26" s="1"/>
  <c r="M14" i="26"/>
  <c r="P14" i="26" s="1"/>
  <c r="M13" i="26"/>
  <c r="P13" i="26" s="1"/>
  <c r="M12" i="26"/>
  <c r="P12" i="26" s="1"/>
  <c r="M11" i="26"/>
  <c r="P11" i="26" s="1"/>
  <c r="M10" i="26"/>
  <c r="P10" i="26" s="1"/>
  <c r="M9" i="26"/>
  <c r="P9" i="26" s="1"/>
  <c r="M8" i="26"/>
  <c r="P8" i="26" s="1"/>
  <c r="M7" i="26"/>
  <c r="P7" i="26" s="1"/>
  <c r="M6" i="26"/>
  <c r="P6" i="26" s="1"/>
  <c r="M5" i="26"/>
  <c r="P5" i="26" s="1"/>
  <c r="M4" i="26"/>
  <c r="P4" i="26" s="1"/>
  <c r="M3" i="26"/>
  <c r="P3" i="26" s="1"/>
  <c r="J15" i="34"/>
  <c r="M15" i="34" s="1"/>
  <c r="J14" i="34"/>
  <c r="M14" i="34" s="1"/>
  <c r="J13" i="34"/>
  <c r="M13" i="34" s="1"/>
  <c r="J12" i="34"/>
  <c r="M12" i="34" s="1"/>
  <c r="J11" i="34"/>
  <c r="M11" i="34" s="1"/>
  <c r="J10" i="34"/>
  <c r="M10" i="34" s="1"/>
  <c r="J9" i="34"/>
  <c r="M9" i="34" s="1"/>
  <c r="J8" i="34"/>
  <c r="M8" i="34" s="1"/>
  <c r="J7" i="34"/>
  <c r="M7" i="34" s="1"/>
  <c r="J6" i="34"/>
  <c r="M6" i="34" s="1"/>
  <c r="J5" i="34"/>
  <c r="M5" i="34" s="1"/>
  <c r="J4" i="34"/>
  <c r="M4" i="34" s="1"/>
  <c r="J36" i="24"/>
  <c r="M36" i="24" s="1"/>
  <c r="J35" i="24"/>
  <c r="M35" i="24" s="1"/>
  <c r="J34" i="24"/>
  <c r="M34" i="24" s="1"/>
  <c r="J33" i="24"/>
  <c r="M33" i="24" s="1"/>
  <c r="J32" i="24"/>
  <c r="M32" i="24" s="1"/>
  <c r="J31" i="24"/>
  <c r="M31" i="24" s="1"/>
  <c r="J30" i="24"/>
  <c r="M30" i="24" s="1"/>
  <c r="J29" i="24"/>
  <c r="M29" i="24" s="1"/>
  <c r="J28" i="24"/>
  <c r="M28" i="24" s="1"/>
  <c r="J27" i="24"/>
  <c r="M27" i="24" s="1"/>
  <c r="J26" i="24"/>
  <c r="M26" i="24" s="1"/>
  <c r="J25" i="24"/>
  <c r="M25" i="24" s="1"/>
  <c r="J24" i="24"/>
  <c r="M24" i="24" s="1"/>
  <c r="J23" i="24"/>
  <c r="M23" i="24" s="1"/>
  <c r="J22" i="24"/>
  <c r="M22" i="24" s="1"/>
  <c r="J21" i="24"/>
  <c r="M21" i="24" s="1"/>
  <c r="J20" i="24"/>
  <c r="M20" i="24" s="1"/>
  <c r="J19" i="24"/>
  <c r="M19" i="24" s="1"/>
  <c r="J18" i="24"/>
  <c r="M18" i="24" s="1"/>
  <c r="J17" i="24"/>
  <c r="M17" i="24" s="1"/>
  <c r="J16" i="24"/>
  <c r="M16" i="24" s="1"/>
  <c r="J15" i="24"/>
  <c r="M15" i="24" s="1"/>
  <c r="J14" i="24"/>
  <c r="M14" i="24" s="1"/>
  <c r="J13" i="24"/>
  <c r="M13" i="24" s="1"/>
  <c r="J12" i="24"/>
  <c r="M12" i="24" s="1"/>
  <c r="J11" i="24"/>
  <c r="M11" i="24" s="1"/>
  <c r="J10" i="24"/>
  <c r="M10" i="24" s="1"/>
  <c r="J9" i="24"/>
  <c r="M9" i="24" s="1"/>
  <c r="J8" i="24"/>
  <c r="M8" i="24" s="1"/>
  <c r="J7" i="24"/>
  <c r="M7" i="24" s="1"/>
  <c r="J6" i="24"/>
  <c r="M6" i="24" s="1"/>
  <c r="J5" i="24"/>
  <c r="M5" i="24" s="1"/>
  <c r="J4" i="24"/>
  <c r="M4" i="24" s="1"/>
  <c r="N9" i="22"/>
  <c r="P9" i="22" s="1"/>
  <c r="N7" i="22"/>
  <c r="Q7" i="22" s="1"/>
  <c r="N6" i="22"/>
  <c r="P6" i="22" s="1"/>
  <c r="N4" i="22"/>
  <c r="Q4" i="22" s="1"/>
  <c r="N3" i="22"/>
  <c r="P3" i="22" s="1"/>
  <c r="J5" i="20"/>
  <c r="M5" i="20" s="1"/>
  <c r="J3" i="20"/>
  <c r="M3" i="20" s="1"/>
  <c r="Q10" i="27"/>
  <c r="P10" i="27"/>
  <c r="O10" i="27"/>
  <c r="Q9" i="27"/>
  <c r="P9" i="27"/>
  <c r="O9" i="27"/>
  <c r="Q8" i="27"/>
  <c r="P8" i="27"/>
  <c r="O8" i="27"/>
  <c r="Q7" i="27"/>
  <c r="P7" i="27"/>
  <c r="O7" i="27"/>
  <c r="Q6" i="27"/>
  <c r="P6" i="27"/>
  <c r="O6" i="27"/>
  <c r="Q5" i="27"/>
  <c r="P5" i="27"/>
  <c r="O5" i="27"/>
  <c r="Q4" i="27"/>
  <c r="P4" i="27"/>
  <c r="O4" i="27"/>
  <c r="Q3" i="27"/>
  <c r="P3" i="27"/>
  <c r="O3" i="27"/>
  <c r="I16" i="11"/>
  <c r="G16" i="11"/>
  <c r="J16" i="11" s="1"/>
  <c r="I15" i="11"/>
  <c r="G15" i="11"/>
  <c r="H15" i="11" s="1"/>
  <c r="I14" i="11"/>
  <c r="G14" i="11"/>
  <c r="J14" i="11" s="1"/>
  <c r="I13" i="11"/>
  <c r="G13" i="11"/>
  <c r="H13" i="11" s="1"/>
  <c r="I12" i="11"/>
  <c r="G12" i="11"/>
  <c r="J12" i="11" s="1"/>
  <c r="I11" i="11"/>
  <c r="G11" i="11"/>
  <c r="H11" i="11" s="1"/>
  <c r="I10" i="11"/>
  <c r="G10" i="11"/>
  <c r="J10" i="11" s="1"/>
  <c r="I9" i="11"/>
  <c r="G9" i="11"/>
  <c r="H9" i="11" s="1"/>
  <c r="I8" i="11"/>
  <c r="G8" i="11"/>
  <c r="J8" i="11" s="1"/>
  <c r="I7" i="11"/>
  <c r="G7" i="11"/>
  <c r="H7" i="11" s="1"/>
  <c r="I6" i="11"/>
  <c r="G6" i="11"/>
  <c r="J6" i="11" s="1"/>
  <c r="I5" i="11"/>
  <c r="G5" i="11"/>
  <c r="J5" i="11" s="1"/>
  <c r="I4" i="11"/>
  <c r="G4" i="11"/>
  <c r="J4" i="11" s="1"/>
  <c r="I3" i="11"/>
  <c r="G3" i="11"/>
  <c r="J3" i="11" s="1"/>
  <c r="I10" i="5"/>
  <c r="H10" i="5"/>
  <c r="G10" i="5"/>
  <c r="F10" i="5"/>
  <c r="I9" i="5"/>
  <c r="H9" i="5"/>
  <c r="G9" i="5"/>
  <c r="F9" i="5"/>
  <c r="I8" i="5"/>
  <c r="H8" i="5"/>
  <c r="G8" i="5"/>
  <c r="F8" i="5"/>
  <c r="I7" i="5"/>
  <c r="H7" i="5"/>
  <c r="G7" i="5"/>
  <c r="F7" i="5"/>
  <c r="I6" i="5"/>
  <c r="H6" i="5"/>
  <c r="G6" i="5"/>
  <c r="F6" i="5"/>
  <c r="I5" i="5"/>
  <c r="H5" i="5"/>
  <c r="G5" i="5"/>
  <c r="F5" i="5"/>
  <c r="I4" i="5"/>
  <c r="H4" i="5"/>
  <c r="G4" i="5"/>
  <c r="F4" i="5"/>
  <c r="I10" i="7"/>
  <c r="H10" i="7"/>
  <c r="G10" i="7"/>
  <c r="I9" i="7"/>
  <c r="H9" i="7"/>
  <c r="G9" i="7"/>
  <c r="I8" i="7"/>
  <c r="H8" i="7"/>
  <c r="G8" i="7"/>
  <c r="I7" i="7"/>
  <c r="H7" i="7"/>
  <c r="G7" i="7"/>
  <c r="I6" i="7"/>
  <c r="H6" i="7"/>
  <c r="G6" i="7"/>
  <c r="I5" i="7"/>
  <c r="H5" i="7"/>
  <c r="G5" i="7"/>
  <c r="I4" i="7"/>
  <c r="H4" i="7"/>
  <c r="G4" i="7"/>
  <c r="I3" i="7"/>
  <c r="H3" i="7"/>
  <c r="G3" i="7"/>
  <c r="J299" i="52"/>
  <c r="S299" i="52" s="1"/>
  <c r="K299" i="52"/>
  <c r="L299" i="52"/>
  <c r="M299" i="52"/>
  <c r="N299" i="52"/>
  <c r="O299" i="52"/>
  <c r="P299" i="52"/>
  <c r="Q299" i="52"/>
  <c r="R299" i="52"/>
  <c r="J300" i="52"/>
  <c r="S300" i="52" s="1"/>
  <c r="K300" i="52"/>
  <c r="L300" i="52"/>
  <c r="M300" i="52"/>
  <c r="N300" i="52"/>
  <c r="O300" i="52"/>
  <c r="P300" i="52"/>
  <c r="Q300" i="52"/>
  <c r="R300" i="52"/>
  <c r="J301" i="52"/>
  <c r="S301" i="52" s="1"/>
  <c r="K301" i="52"/>
  <c r="L301" i="52"/>
  <c r="M301" i="52"/>
  <c r="N301" i="52"/>
  <c r="O301" i="52"/>
  <c r="P301" i="52"/>
  <c r="Q301" i="52"/>
  <c r="R301" i="52"/>
  <c r="J302" i="52"/>
  <c r="S302" i="52" s="1"/>
  <c r="K302" i="52"/>
  <c r="L302" i="52"/>
  <c r="M302" i="52"/>
  <c r="N302" i="52"/>
  <c r="O302" i="52"/>
  <c r="P302" i="52"/>
  <c r="Q302" i="52"/>
  <c r="R302" i="52"/>
  <c r="J303" i="52"/>
  <c r="K303" i="52"/>
  <c r="L303" i="52"/>
  <c r="M303" i="52"/>
  <c r="N303" i="52"/>
  <c r="O303" i="52"/>
  <c r="P303" i="52"/>
  <c r="Q303" i="52"/>
  <c r="R303" i="52"/>
  <c r="J304" i="52"/>
  <c r="K304" i="52"/>
  <c r="L304" i="52"/>
  <c r="M304" i="52"/>
  <c r="N304" i="52"/>
  <c r="O304" i="52"/>
  <c r="P304" i="52"/>
  <c r="Q304" i="52"/>
  <c r="R304" i="52"/>
  <c r="J305" i="52"/>
  <c r="K305" i="52"/>
  <c r="L305" i="52"/>
  <c r="M305" i="52"/>
  <c r="N305" i="52"/>
  <c r="O305" i="52"/>
  <c r="P305" i="52"/>
  <c r="Q305" i="52"/>
  <c r="R305" i="52"/>
  <c r="J306" i="52"/>
  <c r="S306" i="52" s="1"/>
  <c r="K306" i="52"/>
  <c r="L306" i="52"/>
  <c r="M306" i="52"/>
  <c r="N306" i="52"/>
  <c r="O306" i="52"/>
  <c r="P306" i="52"/>
  <c r="Q306" i="52"/>
  <c r="R306" i="52"/>
  <c r="H355" i="49"/>
  <c r="H356" i="49"/>
  <c r="H357" i="49"/>
  <c r="H358" i="49"/>
  <c r="H359" i="49"/>
  <c r="H360" i="49"/>
  <c r="H361" i="49"/>
  <c r="H362" i="49"/>
  <c r="D4" i="53"/>
  <c r="C3" i="53"/>
  <c r="D3" i="53"/>
  <c r="B3" i="53"/>
  <c r="D2753" i="53"/>
  <c r="E2753" i="53"/>
  <c r="C2753" i="53"/>
  <c r="F1394" i="53"/>
  <c r="K13" i="45" l="1"/>
  <c r="S305" i="52"/>
  <c r="S303" i="52"/>
  <c r="S304" i="52"/>
  <c r="K11" i="45"/>
  <c r="K12" i="45"/>
  <c r="H4" i="28"/>
  <c r="I4" i="28"/>
  <c r="H9" i="28"/>
  <c r="I9" i="28"/>
  <c r="J7" i="11"/>
  <c r="N3" i="26"/>
  <c r="N5" i="26"/>
  <c r="N7" i="26"/>
  <c r="N9" i="26"/>
  <c r="N11" i="26"/>
  <c r="N13" i="26"/>
  <c r="N15" i="26"/>
  <c r="N17" i="26"/>
  <c r="N19" i="26"/>
  <c r="N21" i="26"/>
  <c r="O3" i="26"/>
  <c r="O5" i="26"/>
  <c r="O7" i="26"/>
  <c r="O9" i="26"/>
  <c r="O11" i="26"/>
  <c r="O13" i="26"/>
  <c r="O15" i="26"/>
  <c r="O17" i="26"/>
  <c r="O19" i="26"/>
  <c r="O21" i="26"/>
  <c r="N4" i="26"/>
  <c r="N6" i="26"/>
  <c r="N8" i="26"/>
  <c r="N10" i="26"/>
  <c r="N12" i="26"/>
  <c r="N14" i="26"/>
  <c r="N16" i="26"/>
  <c r="N18" i="26"/>
  <c r="N20" i="26"/>
  <c r="N22" i="26"/>
  <c r="O4" i="26"/>
  <c r="O6" i="26"/>
  <c r="O8" i="26"/>
  <c r="O10" i="26"/>
  <c r="O12" i="26"/>
  <c r="O14" i="26"/>
  <c r="O16" i="26"/>
  <c r="O18" i="26"/>
  <c r="O20" i="26"/>
  <c r="O22" i="26"/>
  <c r="J13" i="11"/>
  <c r="J11" i="11"/>
  <c r="J15" i="11"/>
  <c r="J9" i="11"/>
  <c r="K4" i="34"/>
  <c r="K6" i="34"/>
  <c r="K8" i="34"/>
  <c r="K10" i="34"/>
  <c r="K12" i="34"/>
  <c r="K14" i="34"/>
  <c r="L4" i="34"/>
  <c r="L6" i="34"/>
  <c r="L8" i="34"/>
  <c r="L10" i="34"/>
  <c r="L12" i="34"/>
  <c r="L14" i="34"/>
  <c r="K5" i="34"/>
  <c r="K7" i="34"/>
  <c r="K9" i="34"/>
  <c r="K11" i="34"/>
  <c r="K13" i="34"/>
  <c r="K15" i="34"/>
  <c r="L5" i="34"/>
  <c r="L7" i="34"/>
  <c r="L9" i="34"/>
  <c r="L11" i="34"/>
  <c r="L13" i="34"/>
  <c r="L15" i="34"/>
  <c r="K5" i="24"/>
  <c r="K9" i="24"/>
  <c r="K13" i="24"/>
  <c r="K15" i="24"/>
  <c r="K19" i="24"/>
  <c r="K23" i="24"/>
  <c r="K27" i="24"/>
  <c r="K31" i="24"/>
  <c r="K35" i="24"/>
  <c r="L5" i="24"/>
  <c r="L7" i="24"/>
  <c r="L9" i="24"/>
  <c r="L11" i="24"/>
  <c r="L13" i="24"/>
  <c r="L15" i="24"/>
  <c r="L17" i="24"/>
  <c r="L19" i="24"/>
  <c r="L21" i="24"/>
  <c r="L23" i="24"/>
  <c r="L25" i="24"/>
  <c r="L27" i="24"/>
  <c r="L29" i="24"/>
  <c r="L31" i="24"/>
  <c r="L33" i="24"/>
  <c r="L35" i="24"/>
  <c r="K7" i="24"/>
  <c r="K11" i="24"/>
  <c r="K17" i="24"/>
  <c r="K21" i="24"/>
  <c r="K25" i="24"/>
  <c r="K29" i="24"/>
  <c r="K33" i="24"/>
  <c r="K4" i="24"/>
  <c r="K6" i="24"/>
  <c r="K8" i="24"/>
  <c r="K10" i="24"/>
  <c r="K12" i="24"/>
  <c r="K14" i="24"/>
  <c r="K16" i="24"/>
  <c r="K18" i="24"/>
  <c r="K20" i="24"/>
  <c r="K22" i="24"/>
  <c r="K24" i="24"/>
  <c r="K26" i="24"/>
  <c r="K28" i="24"/>
  <c r="K30" i="24"/>
  <c r="K32" i="24"/>
  <c r="K34" i="24"/>
  <c r="K36" i="24"/>
  <c r="L4" i="24"/>
  <c r="L6" i="24"/>
  <c r="L8" i="24"/>
  <c r="L10" i="24"/>
  <c r="L12" i="24"/>
  <c r="L14" i="24"/>
  <c r="L16" i="24"/>
  <c r="L18" i="24"/>
  <c r="L20" i="24"/>
  <c r="L22" i="24"/>
  <c r="L24" i="24"/>
  <c r="L26" i="24"/>
  <c r="L28" i="24"/>
  <c r="L30" i="24"/>
  <c r="L32" i="24"/>
  <c r="L34" i="24"/>
  <c r="L36" i="24"/>
  <c r="O4" i="22"/>
  <c r="O7" i="22"/>
  <c r="Q3" i="22"/>
  <c r="Q6" i="22"/>
  <c r="P4" i="22"/>
  <c r="P7" i="22"/>
  <c r="Q9" i="22"/>
  <c r="O3" i="22"/>
  <c r="O6" i="22"/>
  <c r="O9" i="22"/>
  <c r="K3" i="20"/>
  <c r="K5" i="20"/>
  <c r="L3" i="20"/>
  <c r="L5" i="20"/>
  <c r="H3" i="11"/>
  <c r="H5" i="11"/>
  <c r="H4" i="11"/>
  <c r="H6" i="11"/>
  <c r="H8" i="11"/>
  <c r="H10" i="11"/>
  <c r="H12" i="11"/>
  <c r="H14" i="11"/>
  <c r="H16" i="11"/>
  <c r="M3" i="87" l="1"/>
  <c r="B6" i="41"/>
  <c r="M12" i="40"/>
  <c r="M8" i="40"/>
  <c r="M5" i="40"/>
  <c r="L12" i="40"/>
  <c r="L8" i="40"/>
  <c r="L5" i="40"/>
  <c r="F21" i="45" l="1"/>
  <c r="I21" i="45" s="1"/>
  <c r="F20" i="45"/>
  <c r="F19" i="45"/>
  <c r="F18" i="45"/>
  <c r="F17" i="45"/>
  <c r="F16" i="45"/>
  <c r="F15" i="45"/>
  <c r="F14" i="45"/>
  <c r="F13" i="45"/>
  <c r="F12" i="45"/>
  <c r="F11" i="45"/>
  <c r="F10" i="45"/>
  <c r="F9" i="45"/>
  <c r="F8" i="45"/>
  <c r="F7" i="45"/>
  <c r="F6" i="45"/>
  <c r="F5" i="45"/>
  <c r="F4" i="45"/>
  <c r="N3" i="87" l="1"/>
  <c r="H20" i="22" l="1"/>
  <c r="F65" i="11"/>
  <c r="C65" i="11"/>
  <c r="G63" i="11"/>
  <c r="G62" i="11"/>
  <c r="G61" i="11"/>
  <c r="G60" i="11"/>
  <c r="G59" i="11"/>
  <c r="G58" i="11"/>
  <c r="G57" i="11"/>
  <c r="G56" i="11"/>
  <c r="G55" i="11"/>
  <c r="G54" i="11"/>
  <c r="G53" i="11"/>
  <c r="G52" i="11"/>
  <c r="G51" i="11"/>
  <c r="E4" i="102" l="1"/>
  <c r="D356" i="49" s="1"/>
  <c r="E5" i="102"/>
  <c r="D357" i="49" s="1"/>
  <c r="E6" i="102"/>
  <c r="D358" i="49" s="1"/>
  <c r="E7" i="102"/>
  <c r="D359" i="49" s="1"/>
  <c r="E8" i="102"/>
  <c r="D360" i="49" s="1"/>
  <c r="E9" i="102"/>
  <c r="D361" i="49" s="1"/>
  <c r="E10" i="102"/>
  <c r="D362" i="49" s="1"/>
  <c r="E3" i="102"/>
  <c r="D355" i="49" s="1"/>
  <c r="M13" i="27" l="1"/>
  <c r="J3" i="27"/>
  <c r="N3" i="27" s="1"/>
  <c r="M3" i="27"/>
  <c r="J4" i="27"/>
  <c r="N4" i="27" s="1"/>
  <c r="M4" i="27"/>
  <c r="J5" i="27"/>
  <c r="N5" i="27" s="1"/>
  <c r="M5" i="27"/>
  <c r="J6" i="27"/>
  <c r="N6" i="27" s="1"/>
  <c r="M6" i="27"/>
  <c r="J7" i="27"/>
  <c r="N7" i="27" s="1"/>
  <c r="M7" i="27"/>
  <c r="J8" i="27"/>
  <c r="N8" i="27" s="1"/>
  <c r="M8" i="27"/>
  <c r="J9" i="27"/>
  <c r="N9" i="27" s="1"/>
  <c r="M9" i="27"/>
  <c r="J10" i="27"/>
  <c r="N10" i="27" s="1"/>
  <c r="M10" i="27"/>
  <c r="G12" i="27"/>
  <c r="R3" i="27" l="1"/>
  <c r="R5" i="27"/>
  <c r="R8" i="27"/>
  <c r="R9" i="27"/>
  <c r="R7" i="27"/>
  <c r="R10" i="27" l="1"/>
  <c r="R6" i="27"/>
  <c r="R4" i="27"/>
  <c r="L52" i="100" l="1"/>
  <c r="L51" i="100"/>
  <c r="I61" i="101"/>
  <c r="J61" i="101" s="1"/>
  <c r="K52" i="101"/>
  <c r="I25" i="101" l="1"/>
  <c r="I24" i="101"/>
  <c r="I23" i="101"/>
  <c r="I22" i="101"/>
  <c r="I21" i="101"/>
  <c r="I20" i="101"/>
  <c r="I19" i="101"/>
  <c r="I18" i="101"/>
  <c r="I17" i="101"/>
  <c r="I16" i="101"/>
  <c r="I15" i="101"/>
  <c r="I14" i="101"/>
  <c r="I13" i="101"/>
  <c r="I12" i="101"/>
  <c r="I11" i="101"/>
  <c r="I10" i="101"/>
  <c r="I9" i="101"/>
  <c r="I8" i="101"/>
  <c r="I7" i="101"/>
  <c r="I6" i="101"/>
  <c r="I5" i="101"/>
  <c r="I4" i="101"/>
  <c r="J60" i="100"/>
  <c r="I60" i="100"/>
  <c r="K50" i="100"/>
  <c r="K51" i="100" s="1"/>
  <c r="J50" i="100"/>
  <c r="I50" i="100"/>
  <c r="K49" i="100"/>
  <c r="J49" i="100"/>
  <c r="I49" i="100"/>
  <c r="K48" i="100"/>
  <c r="J48" i="100"/>
  <c r="I48" i="100"/>
  <c r="K47" i="100"/>
  <c r="J47" i="100"/>
  <c r="I47" i="100"/>
  <c r="K46" i="100"/>
  <c r="J46" i="100"/>
  <c r="I46" i="100"/>
  <c r="I26" i="100"/>
  <c r="H51" i="100"/>
  <c r="I26" i="101" l="1"/>
  <c r="I8" i="100"/>
  <c r="I16" i="100"/>
  <c r="I7" i="100"/>
  <c r="I11" i="100"/>
  <c r="I15" i="100"/>
  <c r="I19" i="100"/>
  <c r="I23" i="100"/>
  <c r="I24" i="100"/>
  <c r="I10" i="100"/>
  <c r="I14" i="100"/>
  <c r="I18" i="100"/>
  <c r="I22" i="100"/>
  <c r="I12" i="100"/>
  <c r="I6" i="100"/>
  <c r="I4" i="100"/>
  <c r="I20" i="100"/>
  <c r="I9" i="100"/>
  <c r="I13" i="100"/>
  <c r="I17" i="100"/>
  <c r="I21" i="100"/>
  <c r="I25" i="100"/>
  <c r="I5" i="100"/>
  <c r="I10" i="98" l="1"/>
  <c r="H10" i="98"/>
  <c r="H98" i="98" s="1"/>
  <c r="I15" i="98"/>
  <c r="H15" i="98"/>
  <c r="I12" i="98"/>
  <c r="H12" i="98"/>
  <c r="G15" i="98"/>
  <c r="G12" i="98"/>
  <c r="G11" i="98"/>
  <c r="G10" i="98"/>
  <c r="F11" i="98"/>
  <c r="F10" i="98"/>
  <c r="F12" i="98"/>
  <c r="F15" i="98"/>
  <c r="I9" i="98" l="1"/>
  <c r="I98" i="98"/>
  <c r="G98" i="98"/>
  <c r="F98" i="98"/>
  <c r="F9" i="98"/>
  <c r="V27" i="69"/>
  <c r="AA7" i="69" s="1"/>
  <c r="V28" i="69"/>
  <c r="AA8" i="69" s="1"/>
  <c r="V29" i="69"/>
  <c r="AA11" i="69" s="1"/>
  <c r="V30" i="69"/>
  <c r="V31" i="69"/>
  <c r="V32" i="69"/>
  <c r="V33" i="69"/>
  <c r="V26" i="69"/>
  <c r="AA6" i="69" s="1"/>
  <c r="V25" i="69"/>
  <c r="AA5" i="69" s="1"/>
  <c r="V24" i="69"/>
  <c r="AA10" i="69" s="1"/>
  <c r="T22" i="69"/>
  <c r="U22" i="69"/>
  <c r="V22" i="69"/>
  <c r="T23" i="69"/>
  <c r="U23" i="69"/>
  <c r="T24" i="69"/>
  <c r="U24" i="69"/>
  <c r="T25" i="69"/>
  <c r="U25" i="69"/>
  <c r="T26" i="69"/>
  <c r="U26" i="69"/>
  <c r="T27" i="69"/>
  <c r="U27" i="69"/>
  <c r="T28" i="69"/>
  <c r="U28" i="69"/>
  <c r="T29" i="69"/>
  <c r="U29" i="69"/>
  <c r="T30" i="69"/>
  <c r="U30" i="69"/>
  <c r="T31" i="69"/>
  <c r="U31" i="69"/>
  <c r="T32" i="69"/>
  <c r="U32" i="69"/>
  <c r="T33" i="69"/>
  <c r="T34" i="69"/>
  <c r="T21" i="69"/>
  <c r="P211" i="69"/>
  <c r="P212" i="69"/>
  <c r="P208" i="69"/>
  <c r="P209" i="69"/>
  <c r="P210" i="69"/>
  <c r="P199" i="69"/>
  <c r="P200" i="69"/>
  <c r="P201" i="69"/>
  <c r="P202" i="69"/>
  <c r="P203" i="69"/>
  <c r="P204" i="69"/>
  <c r="P205" i="69"/>
  <c r="P206" i="69"/>
  <c r="P207" i="69"/>
  <c r="AA9" i="69" l="1"/>
  <c r="M211" i="69"/>
  <c r="N211" i="69"/>
  <c r="M212" i="69"/>
  <c r="N212" i="69"/>
  <c r="N205" i="69"/>
  <c r="M199" i="69"/>
  <c r="M207" i="69"/>
  <c r="M203" i="69"/>
  <c r="N209" i="69"/>
  <c r="M201" i="69"/>
  <c r="N206" i="69"/>
  <c r="M202" i="69"/>
  <c r="M200" i="69"/>
  <c r="N207" i="69"/>
  <c r="M208" i="69"/>
  <c r="M206" i="69"/>
  <c r="N201" i="69"/>
  <c r="M209" i="69"/>
  <c r="N204" i="69"/>
  <c r="M205" i="69"/>
  <c r="N199" i="69"/>
  <c r="N200" i="69"/>
  <c r="M210" i="69"/>
  <c r="N208" i="69"/>
  <c r="N210" i="69"/>
  <c r="M204" i="69"/>
  <c r="N202" i="69"/>
  <c r="N203" i="69"/>
  <c r="G26" i="84" l="1"/>
  <c r="H26" i="84"/>
  <c r="I26" i="84"/>
  <c r="J26" i="84"/>
  <c r="F26" i="84"/>
  <c r="B35" i="84"/>
  <c r="C35" i="84"/>
  <c r="D35" i="84"/>
  <c r="E35" i="84"/>
  <c r="F35" i="84"/>
  <c r="G35" i="84"/>
  <c r="H35" i="84"/>
  <c r="I35" i="84"/>
  <c r="J35" i="84"/>
  <c r="B36" i="84"/>
  <c r="C36" i="84"/>
  <c r="D36" i="84"/>
  <c r="E36" i="84"/>
  <c r="F36" i="84"/>
  <c r="G36" i="84"/>
  <c r="H36" i="84"/>
  <c r="I36" i="84"/>
  <c r="J36" i="84"/>
  <c r="B37" i="84"/>
  <c r="C37" i="84"/>
  <c r="D37" i="84"/>
  <c r="E37" i="84"/>
  <c r="F37" i="84"/>
  <c r="G37" i="84"/>
  <c r="H37" i="84"/>
  <c r="I37" i="84"/>
  <c r="J37" i="84"/>
  <c r="B38" i="84"/>
  <c r="C38" i="84"/>
  <c r="D38" i="84"/>
  <c r="E38" i="84"/>
  <c r="F38" i="84"/>
  <c r="H38" i="84"/>
  <c r="I38" i="84"/>
  <c r="J38" i="84"/>
  <c r="B39" i="84"/>
  <c r="C39" i="84"/>
  <c r="D39" i="84"/>
  <c r="E39" i="84"/>
  <c r="F39" i="84"/>
  <c r="G39" i="84"/>
  <c r="H39" i="84"/>
  <c r="I39" i="84"/>
  <c r="J39" i="84"/>
  <c r="B40" i="84"/>
  <c r="C40" i="84"/>
  <c r="D40" i="84"/>
  <c r="E40" i="84"/>
  <c r="F40" i="84"/>
  <c r="G40" i="84"/>
  <c r="H40" i="84"/>
  <c r="I40" i="84"/>
  <c r="J40" i="84"/>
  <c r="B41" i="84"/>
  <c r="C41" i="84"/>
  <c r="D41" i="84"/>
  <c r="E41" i="84"/>
  <c r="F41" i="84"/>
  <c r="G41" i="84"/>
  <c r="H41" i="84"/>
  <c r="I41" i="84"/>
  <c r="J41" i="84"/>
  <c r="B42" i="84"/>
  <c r="C42" i="84"/>
  <c r="D42" i="84"/>
  <c r="E42" i="84"/>
  <c r="F42" i="84"/>
  <c r="G42" i="84"/>
  <c r="H42" i="84"/>
  <c r="I42" i="84"/>
  <c r="J42" i="84"/>
  <c r="B43" i="84"/>
  <c r="C43" i="84"/>
  <c r="D43" i="84"/>
  <c r="E43" i="84"/>
  <c r="F43" i="84"/>
  <c r="G43" i="84"/>
  <c r="H43" i="84"/>
  <c r="I43" i="84"/>
  <c r="J43" i="84"/>
  <c r="B44" i="84"/>
  <c r="C44" i="84"/>
  <c r="D44" i="84"/>
  <c r="E44" i="84"/>
  <c r="F44" i="84"/>
  <c r="G44" i="84"/>
  <c r="H44" i="84"/>
  <c r="I44" i="84"/>
  <c r="J44" i="84"/>
  <c r="B45" i="84"/>
  <c r="C45" i="84"/>
  <c r="D45" i="84"/>
  <c r="E45" i="84"/>
  <c r="F45" i="84"/>
  <c r="G45" i="84"/>
  <c r="H45" i="84"/>
  <c r="I45" i="84"/>
  <c r="J45" i="84"/>
  <c r="B46" i="84"/>
  <c r="C46" i="84"/>
  <c r="D46" i="84"/>
  <c r="E46" i="84"/>
  <c r="F46" i="84"/>
  <c r="G46" i="84"/>
  <c r="H46" i="84"/>
  <c r="I46" i="84"/>
  <c r="J46" i="84"/>
  <c r="B47" i="84"/>
  <c r="C47" i="84"/>
  <c r="D47" i="84"/>
  <c r="E47" i="84"/>
  <c r="F47" i="84"/>
  <c r="G47" i="84"/>
  <c r="H47" i="84"/>
  <c r="I47" i="84"/>
  <c r="J47" i="84"/>
  <c r="B48" i="84"/>
  <c r="C48" i="84"/>
  <c r="D48" i="84"/>
  <c r="E48" i="84"/>
  <c r="F48" i="84"/>
  <c r="G48" i="84"/>
  <c r="H48" i="84"/>
  <c r="I48" i="84"/>
  <c r="J48" i="84"/>
  <c r="B49" i="84"/>
  <c r="C49" i="84"/>
  <c r="D49" i="84"/>
  <c r="E49" i="84"/>
  <c r="F49" i="84"/>
  <c r="G49" i="84"/>
  <c r="H49" i="84"/>
  <c r="I49" i="84"/>
  <c r="J49" i="84"/>
  <c r="B50" i="84"/>
  <c r="C50" i="84"/>
  <c r="D50" i="84"/>
  <c r="E50" i="84"/>
  <c r="F50" i="84"/>
  <c r="G50" i="84"/>
  <c r="H50" i="84"/>
  <c r="I50" i="84"/>
  <c r="J50" i="84"/>
  <c r="B51" i="84"/>
  <c r="C51" i="84"/>
  <c r="D51" i="84"/>
  <c r="E51" i="84"/>
  <c r="F51" i="84"/>
  <c r="G51" i="84"/>
  <c r="H51" i="84"/>
  <c r="I51" i="84"/>
  <c r="J51" i="84"/>
  <c r="B52" i="84"/>
  <c r="C52" i="84"/>
  <c r="D52" i="84"/>
  <c r="E52" i="84"/>
  <c r="F52" i="84"/>
  <c r="G52" i="84"/>
  <c r="H52" i="84"/>
  <c r="I52" i="84"/>
  <c r="J52" i="84"/>
  <c r="B53" i="84"/>
  <c r="C53" i="84"/>
  <c r="D53" i="84"/>
  <c r="E53" i="84"/>
  <c r="F53" i="84"/>
  <c r="G53" i="84"/>
  <c r="I53" i="84"/>
  <c r="J53" i="84"/>
  <c r="B54" i="84"/>
  <c r="C54" i="84"/>
  <c r="D54" i="84"/>
  <c r="E54" i="84"/>
  <c r="F54" i="84"/>
  <c r="G54" i="84"/>
  <c r="H54" i="84"/>
  <c r="I54" i="84"/>
  <c r="J54" i="84"/>
  <c r="B55" i="84"/>
  <c r="C55" i="84"/>
  <c r="D55" i="84"/>
  <c r="E55" i="84"/>
  <c r="F55" i="84"/>
  <c r="G55" i="84"/>
  <c r="H55" i="84"/>
  <c r="I55" i="84"/>
  <c r="J55" i="84"/>
  <c r="B56" i="84"/>
  <c r="C56" i="84"/>
  <c r="D56" i="84"/>
  <c r="E56" i="84"/>
  <c r="F56" i="84"/>
  <c r="G56" i="84"/>
  <c r="H56" i="84"/>
  <c r="I56" i="84"/>
  <c r="J56" i="84"/>
  <c r="A36" i="84"/>
  <c r="A37" i="84"/>
  <c r="A38" i="84"/>
  <c r="A39" i="84"/>
  <c r="A40" i="84"/>
  <c r="A41" i="84"/>
  <c r="A42" i="84"/>
  <c r="A43" i="84"/>
  <c r="A44" i="84"/>
  <c r="A45" i="84"/>
  <c r="A46" i="84"/>
  <c r="A47" i="84"/>
  <c r="A48" i="84"/>
  <c r="A49" i="84"/>
  <c r="A50" i="84"/>
  <c r="A51" i="84"/>
  <c r="A52" i="84"/>
  <c r="A53" i="84"/>
  <c r="A54" i="84"/>
  <c r="A55" i="84"/>
  <c r="A56" i="84"/>
  <c r="A35" i="84"/>
  <c r="J291" i="52"/>
  <c r="K291" i="52"/>
  <c r="L291" i="52"/>
  <c r="M291" i="52"/>
  <c r="N291" i="52"/>
  <c r="O291" i="52"/>
  <c r="P291" i="52"/>
  <c r="Q291" i="52"/>
  <c r="R291" i="52"/>
  <c r="J292" i="52"/>
  <c r="K292" i="52"/>
  <c r="L292" i="52"/>
  <c r="M292" i="52"/>
  <c r="N292" i="52"/>
  <c r="O292" i="52"/>
  <c r="P292" i="52"/>
  <c r="Q292" i="52"/>
  <c r="R292" i="52"/>
  <c r="J293" i="52"/>
  <c r="K293" i="52"/>
  <c r="L293" i="52"/>
  <c r="M293" i="52"/>
  <c r="N293" i="52"/>
  <c r="O293" i="52"/>
  <c r="P293" i="52"/>
  <c r="Q293" i="52"/>
  <c r="R293" i="52"/>
  <c r="J294" i="52"/>
  <c r="K294" i="52"/>
  <c r="L294" i="52"/>
  <c r="M294" i="52"/>
  <c r="N294" i="52"/>
  <c r="O294" i="52"/>
  <c r="P294" i="52"/>
  <c r="Q294" i="52"/>
  <c r="R294" i="52"/>
  <c r="J295" i="52"/>
  <c r="K295" i="52"/>
  <c r="L295" i="52"/>
  <c r="M295" i="52"/>
  <c r="N295" i="52"/>
  <c r="O295" i="52"/>
  <c r="P295" i="52"/>
  <c r="Q295" i="52"/>
  <c r="R295" i="52"/>
  <c r="J296" i="52"/>
  <c r="K296" i="52"/>
  <c r="L296" i="52"/>
  <c r="M296" i="52"/>
  <c r="N296" i="52"/>
  <c r="O296" i="52"/>
  <c r="P296" i="52"/>
  <c r="Q296" i="52"/>
  <c r="R296" i="52"/>
  <c r="J297" i="52"/>
  <c r="K297" i="52"/>
  <c r="L297" i="52"/>
  <c r="M297" i="52"/>
  <c r="N297" i="52"/>
  <c r="O297" i="52"/>
  <c r="P297" i="52"/>
  <c r="Q297" i="52"/>
  <c r="R297" i="52"/>
  <c r="J298" i="52"/>
  <c r="K298" i="52"/>
  <c r="L298" i="52"/>
  <c r="M298" i="52"/>
  <c r="N298" i="52"/>
  <c r="O298" i="52"/>
  <c r="P298" i="52"/>
  <c r="Q298" i="52"/>
  <c r="R298" i="52"/>
  <c r="H348" i="49"/>
  <c r="H349" i="49"/>
  <c r="I349" i="49" s="1"/>
  <c r="H350" i="49"/>
  <c r="I350" i="49" s="1"/>
  <c r="H347" i="49"/>
  <c r="F348" i="49"/>
  <c r="F349" i="49"/>
  <c r="F350" i="49"/>
  <c r="F347" i="49"/>
  <c r="H343" i="49"/>
  <c r="H344" i="49"/>
  <c r="H345" i="49"/>
  <c r="I345" i="49" s="1"/>
  <c r="H342" i="49"/>
  <c r="F343" i="49"/>
  <c r="F344" i="49"/>
  <c r="F345" i="49"/>
  <c r="F342" i="49"/>
  <c r="H338" i="49"/>
  <c r="H339" i="49"/>
  <c r="H340" i="49"/>
  <c r="H337" i="49"/>
  <c r="G338" i="49"/>
  <c r="G339" i="49"/>
  <c r="G340" i="49"/>
  <c r="G337" i="49"/>
  <c r="E348" i="49"/>
  <c r="E349" i="49"/>
  <c r="E350" i="49"/>
  <c r="E347" i="49"/>
  <c r="E343" i="49"/>
  <c r="E344" i="49"/>
  <c r="E345" i="49"/>
  <c r="E342" i="49"/>
  <c r="E338" i="49"/>
  <c r="E339" i="49"/>
  <c r="E340" i="49"/>
  <c r="E337" i="49"/>
  <c r="D348" i="49"/>
  <c r="D349" i="49"/>
  <c r="D350" i="49"/>
  <c r="D347" i="49"/>
  <c r="D343" i="49"/>
  <c r="D344" i="49"/>
  <c r="D345" i="49"/>
  <c r="D342" i="49"/>
  <c r="D338" i="49"/>
  <c r="D339" i="49"/>
  <c r="D340" i="49"/>
  <c r="D337" i="49"/>
  <c r="AC15" i="69" l="1"/>
  <c r="K51" i="84"/>
  <c r="K43" i="84"/>
  <c r="K53" i="98"/>
  <c r="J53" i="98"/>
  <c r="K58" i="98"/>
  <c r="J58" i="98"/>
  <c r="K61" i="98"/>
  <c r="J61" i="98"/>
  <c r="J54" i="98"/>
  <c r="K54" i="98"/>
  <c r="K53" i="84"/>
  <c r="K42" i="84"/>
  <c r="K49" i="84"/>
  <c r="K41" i="84"/>
  <c r="K26" i="84"/>
  <c r="K48" i="84"/>
  <c r="K40" i="84"/>
  <c r="K47" i="84"/>
  <c r="K39" i="84"/>
  <c r="L57" i="84"/>
  <c r="K56" i="84"/>
  <c r="K55" i="84"/>
  <c r="J58" i="84"/>
  <c r="J63" i="84" s="1"/>
  <c r="K46" i="84"/>
  <c r="K38" i="84"/>
  <c r="K37" i="84"/>
  <c r="K31" i="84"/>
  <c r="K50" i="84"/>
  <c r="K54" i="84"/>
  <c r="K45" i="84"/>
  <c r="K36" i="84"/>
  <c r="K52" i="84"/>
  <c r="K44" i="84"/>
  <c r="AC12" i="69"/>
  <c r="AC14" i="69"/>
  <c r="AC17" i="69"/>
  <c r="AC16" i="69"/>
  <c r="AC13" i="69"/>
  <c r="I337" i="49"/>
  <c r="I344" i="49"/>
  <c r="I58" i="84"/>
  <c r="J57" i="84"/>
  <c r="H58" i="84"/>
  <c r="I57" i="84"/>
  <c r="G58" i="84"/>
  <c r="G63" i="84" s="1"/>
  <c r="H57" i="84"/>
  <c r="F58" i="84"/>
  <c r="G57" i="84"/>
  <c r="F57" i="84"/>
  <c r="I340" i="49"/>
  <c r="I339" i="49"/>
  <c r="I338" i="49"/>
  <c r="I348" i="49"/>
  <c r="I347" i="49"/>
  <c r="I343" i="49"/>
  <c r="I342" i="49"/>
  <c r="K57" i="98" l="1"/>
  <c r="J57" i="98"/>
  <c r="J52" i="98"/>
  <c r="K52" i="98"/>
  <c r="J56" i="98"/>
  <c r="K56" i="98"/>
  <c r="J60" i="98"/>
  <c r="K60" i="98"/>
  <c r="J17" i="98"/>
  <c r="I63" i="84"/>
  <c r="K14" i="98"/>
  <c r="K58" i="84"/>
  <c r="K63" i="84" s="1"/>
  <c r="H63" i="84"/>
  <c r="K13" i="98"/>
  <c r="J13" i="98"/>
  <c r="J16" i="98"/>
  <c r="J283" i="52"/>
  <c r="S283" i="52" s="1"/>
  <c r="J286" i="52"/>
  <c r="S286" i="52" s="1"/>
  <c r="K286" i="52"/>
  <c r="L286" i="52"/>
  <c r="M286" i="52"/>
  <c r="N286" i="52"/>
  <c r="O286" i="52"/>
  <c r="P286" i="52"/>
  <c r="Q286" i="52"/>
  <c r="R286" i="52"/>
  <c r="J287" i="52"/>
  <c r="K287" i="52"/>
  <c r="L287" i="52"/>
  <c r="M287" i="52"/>
  <c r="N287" i="52"/>
  <c r="O287" i="52"/>
  <c r="P287" i="52"/>
  <c r="Q287" i="52"/>
  <c r="R287" i="52"/>
  <c r="J288" i="52"/>
  <c r="K288" i="52"/>
  <c r="L288" i="52"/>
  <c r="M288" i="52"/>
  <c r="N288" i="52"/>
  <c r="O288" i="52"/>
  <c r="P288" i="52"/>
  <c r="Q288" i="52"/>
  <c r="R288" i="52"/>
  <c r="J289" i="52"/>
  <c r="K289" i="52"/>
  <c r="L289" i="52"/>
  <c r="M289" i="52"/>
  <c r="N289" i="52"/>
  <c r="O289" i="52"/>
  <c r="P289" i="52"/>
  <c r="Q289" i="52"/>
  <c r="R289" i="52"/>
  <c r="J290" i="52"/>
  <c r="K290" i="52"/>
  <c r="L290" i="52"/>
  <c r="M290" i="52"/>
  <c r="N290" i="52"/>
  <c r="O290" i="52"/>
  <c r="P290" i="52"/>
  <c r="Q290" i="52"/>
  <c r="R290" i="52"/>
  <c r="K59" i="98" l="1"/>
  <c r="J59" i="98"/>
  <c r="J14" i="98"/>
  <c r="E195" i="98" l="1"/>
  <c r="K195" i="98" s="1"/>
  <c r="J11" i="98"/>
  <c r="K207" i="98"/>
  <c r="J207" i="98"/>
  <c r="K206" i="98"/>
  <c r="J206" i="98"/>
  <c r="K198" i="98"/>
  <c r="J198" i="98"/>
  <c r="K197" i="98"/>
  <c r="J197" i="98"/>
  <c r="K196" i="98"/>
  <c r="J196" i="98"/>
  <c r="F195" i="98"/>
  <c r="I179" i="98"/>
  <c r="H179" i="98"/>
  <c r="I178" i="98"/>
  <c r="H178" i="98"/>
  <c r="I177" i="98"/>
  <c r="H177" i="98"/>
  <c r="I169" i="98"/>
  <c r="H169" i="98"/>
  <c r="I168" i="98"/>
  <c r="H168" i="98"/>
  <c r="I167" i="98"/>
  <c r="H167" i="98"/>
  <c r="I165" i="98"/>
  <c r="I162" i="98"/>
  <c r="H162" i="98"/>
  <c r="I161" i="98"/>
  <c r="H161" i="98"/>
  <c r="I160" i="98"/>
  <c r="H160" i="98"/>
  <c r="I159" i="98"/>
  <c r="I158" i="98"/>
  <c r="H158" i="98"/>
  <c r="H157" i="98"/>
  <c r="I156" i="98"/>
  <c r="H156" i="98"/>
  <c r="I155" i="98"/>
  <c r="H155" i="98"/>
  <c r="F143" i="98"/>
  <c r="H133" i="98"/>
  <c r="H130" i="98"/>
  <c r="H129" i="98"/>
  <c r="H127" i="98"/>
  <c r="H126" i="98"/>
  <c r="H125" i="98"/>
  <c r="H123" i="98"/>
  <c r="H122" i="98"/>
  <c r="H121" i="98"/>
  <c r="H120" i="98"/>
  <c r="H119" i="98"/>
  <c r="K109" i="98"/>
  <c r="J109" i="98"/>
  <c r="G27" i="98"/>
  <c r="F27" i="98"/>
  <c r="H9" i="98"/>
  <c r="G9" i="98"/>
  <c r="K11" i="98" l="1"/>
  <c r="J195" i="98"/>
  <c r="F97" i="98"/>
  <c r="G97" i="98"/>
  <c r="D24" i="93" l="1"/>
  <c r="D23" i="93"/>
  <c r="I5" i="96"/>
  <c r="I6" i="96"/>
  <c r="I7" i="96"/>
  <c r="I8" i="96"/>
  <c r="I9" i="96"/>
  <c r="I10" i="96"/>
  <c r="I11" i="96"/>
  <c r="I12" i="96"/>
  <c r="I13" i="96"/>
  <c r="I14" i="96"/>
  <c r="I15" i="96"/>
  <c r="I16" i="96"/>
  <c r="I17" i="96"/>
  <c r="I18" i="96"/>
  <c r="I19" i="96"/>
  <c r="I20" i="96"/>
  <c r="I21" i="96"/>
  <c r="I22" i="96"/>
  <c r="I23" i="96"/>
  <c r="I24" i="96"/>
  <c r="I25" i="96"/>
  <c r="I4" i="96"/>
  <c r="E40" i="34"/>
  <c r="E19" i="34"/>
  <c r="E41" i="34" s="1"/>
  <c r="F106" i="21"/>
  <c r="D193" i="93"/>
  <c r="E186" i="93"/>
  <c r="E185" i="93"/>
  <c r="E184" i="93"/>
  <c r="D186" i="93"/>
  <c r="J186" i="93" s="1"/>
  <c r="D185" i="93"/>
  <c r="J185" i="93" s="1"/>
  <c r="D184" i="93"/>
  <c r="J184" i="93" s="1"/>
  <c r="E144" i="93"/>
  <c r="E143" i="93"/>
  <c r="I36" i="67"/>
  <c r="D166" i="93" s="1"/>
  <c r="J166" i="93" s="1"/>
  <c r="I35" i="67"/>
  <c r="D165" i="93" s="1"/>
  <c r="I34" i="67"/>
  <c r="E10" i="67"/>
  <c r="I29" i="67" s="1"/>
  <c r="D159" i="93" s="1"/>
  <c r="J159" i="93" s="1"/>
  <c r="E11" i="67"/>
  <c r="I31" i="67" s="1"/>
  <c r="D161" i="93" s="1"/>
  <c r="J161" i="93" s="1"/>
  <c r="D104" i="93"/>
  <c r="J104" i="93" s="1"/>
  <c r="J68" i="93"/>
  <c r="E37" i="93"/>
  <c r="I26" i="67"/>
  <c r="I30" i="67"/>
  <c r="I25" i="67"/>
  <c r="I24" i="67"/>
  <c r="I27" i="67"/>
  <c r="I22" i="67"/>
  <c r="D183" i="93" l="1"/>
  <c r="I32" i="67"/>
  <c r="D162" i="93" s="1"/>
  <c r="D105" i="93" s="1"/>
  <c r="J105" i="93" s="1"/>
  <c r="D164" i="93"/>
  <c r="J164" i="93" s="1"/>
  <c r="E85" i="93"/>
  <c r="I26" i="96"/>
  <c r="D22" i="93" s="1"/>
  <c r="D155" i="93"/>
  <c r="J155" i="93" s="1"/>
  <c r="D156" i="93"/>
  <c r="J156" i="93" s="1"/>
  <c r="D154" i="93"/>
  <c r="J154" i="93" s="1"/>
  <c r="I23" i="67"/>
  <c r="D160" i="93"/>
  <c r="J160" i="93" s="1"/>
  <c r="I40" i="67"/>
  <c r="D170" i="93" s="1"/>
  <c r="D157" i="93"/>
  <c r="J157" i="93" s="1"/>
  <c r="D152" i="93"/>
  <c r="J152" i="93" s="1"/>
  <c r="I28" i="67"/>
  <c r="D158" i="93" s="1"/>
  <c r="J158" i="93" s="1"/>
  <c r="I33" i="67"/>
  <c r="D163" i="93" s="1"/>
  <c r="J163" i="93" s="1"/>
  <c r="I21" i="67" l="1"/>
  <c r="D151" i="93" s="1"/>
  <c r="J151" i="93" s="1"/>
  <c r="I39" i="67"/>
  <c r="D169" i="93" s="1"/>
  <c r="D153" i="93"/>
  <c r="J153" i="93" s="1"/>
  <c r="A332" i="49"/>
  <c r="B332" i="49"/>
  <c r="C332" i="49"/>
  <c r="A333" i="49"/>
  <c r="B333" i="49"/>
  <c r="C333" i="49"/>
  <c r="A192" i="49"/>
  <c r="B192" i="49"/>
  <c r="C192" i="49"/>
  <c r="A193" i="49"/>
  <c r="B193" i="49"/>
  <c r="C193" i="49"/>
  <c r="A194" i="49"/>
  <c r="B194" i="49"/>
  <c r="C194" i="49"/>
  <c r="A195" i="49"/>
  <c r="B195" i="49"/>
  <c r="C195" i="49"/>
  <c r="A196" i="49"/>
  <c r="B196" i="49"/>
  <c r="C196" i="49"/>
  <c r="A197" i="49"/>
  <c r="B197" i="49"/>
  <c r="C197" i="49"/>
  <c r="A198" i="49"/>
  <c r="B198" i="49"/>
  <c r="C198" i="49"/>
  <c r="A199" i="49"/>
  <c r="B199" i="49"/>
  <c r="C199" i="49"/>
  <c r="A200" i="49"/>
  <c r="B200" i="49"/>
  <c r="C200" i="49"/>
  <c r="A201" i="49"/>
  <c r="B201" i="49"/>
  <c r="C201" i="49"/>
  <c r="A202" i="49"/>
  <c r="B202" i="49"/>
  <c r="C202" i="49"/>
  <c r="A203" i="49"/>
  <c r="B203" i="49"/>
  <c r="C203" i="49"/>
  <c r="A204" i="49"/>
  <c r="B204" i="49"/>
  <c r="C204" i="49"/>
  <c r="A205" i="49"/>
  <c r="B205" i="49"/>
  <c r="C205" i="49"/>
  <c r="A206" i="49"/>
  <c r="B206" i="49"/>
  <c r="C206" i="49"/>
  <c r="A207" i="49"/>
  <c r="B207" i="49"/>
  <c r="C207" i="49"/>
  <c r="A208" i="49"/>
  <c r="B208" i="49"/>
  <c r="C208" i="49"/>
  <c r="C47" i="43"/>
  <c r="B84" i="43"/>
  <c r="F83" i="43"/>
  <c r="E83" i="43"/>
  <c r="C83" i="43"/>
  <c r="D83" i="43" s="1"/>
  <c r="F82" i="43"/>
  <c r="E82" i="43"/>
  <c r="C82" i="43"/>
  <c r="D82" i="43" s="1"/>
  <c r="F81" i="43"/>
  <c r="E81" i="43"/>
  <c r="C81" i="43"/>
  <c r="D81" i="43" s="1"/>
  <c r="F80" i="43"/>
  <c r="E80" i="43"/>
  <c r="C80" i="43"/>
  <c r="D80" i="43" s="1"/>
  <c r="F79" i="43"/>
  <c r="E79" i="43"/>
  <c r="C79" i="43"/>
  <c r="D79" i="43" s="1"/>
  <c r="F78" i="43"/>
  <c r="E78" i="43"/>
  <c r="C78" i="43"/>
  <c r="D78" i="43" s="1"/>
  <c r="J74" i="43"/>
  <c r="I74" i="43"/>
  <c r="H74" i="43"/>
  <c r="G74" i="43"/>
  <c r="F74" i="43"/>
  <c r="E74" i="43"/>
  <c r="D74" i="43"/>
  <c r="C74" i="43"/>
  <c r="B74" i="43"/>
  <c r="K73" i="43"/>
  <c r="L73" i="43" s="1"/>
  <c r="K72" i="43"/>
  <c r="L72" i="43" s="1"/>
  <c r="K71" i="43"/>
  <c r="L71" i="43" s="1"/>
  <c r="K70" i="43"/>
  <c r="L70" i="43" s="1"/>
  <c r="K69" i="43"/>
  <c r="L69" i="43" s="1"/>
  <c r="K68" i="43"/>
  <c r="L68" i="43" s="1"/>
  <c r="C5" i="87"/>
  <c r="D5" i="87"/>
  <c r="E5" i="87"/>
  <c r="F5" i="87"/>
  <c r="G5" i="87"/>
  <c r="H5" i="87"/>
  <c r="I5" i="87"/>
  <c r="J5" i="87"/>
  <c r="K5" i="87"/>
  <c r="B5" i="87"/>
  <c r="J14" i="87"/>
  <c r="C12" i="87"/>
  <c r="D12" i="87"/>
  <c r="E12" i="87"/>
  <c r="F12" i="87"/>
  <c r="G12" i="87"/>
  <c r="H12" i="87"/>
  <c r="I12" i="87"/>
  <c r="J12" i="87"/>
  <c r="B12" i="87"/>
  <c r="J27" i="87"/>
  <c r="I27" i="87"/>
  <c r="H27" i="87"/>
  <c r="G27" i="87"/>
  <c r="F27" i="87"/>
  <c r="E27" i="87"/>
  <c r="D27" i="87"/>
  <c r="C27" i="87"/>
  <c r="B27" i="87"/>
  <c r="K26" i="87"/>
  <c r="K25" i="87"/>
  <c r="K27" i="87" s="1"/>
  <c r="B15" i="41"/>
  <c r="N7" i="40"/>
  <c r="N9" i="40"/>
  <c r="N5" i="40"/>
  <c r="N6" i="40"/>
  <c r="N8" i="40"/>
  <c r="G79" i="43" l="1"/>
  <c r="G78" i="43"/>
  <c r="G80" i="43"/>
  <c r="G81" i="43"/>
  <c r="D144" i="93"/>
  <c r="D143" i="93"/>
  <c r="J143" i="93" s="1"/>
  <c r="I38" i="67"/>
  <c r="D168" i="93" s="1"/>
  <c r="G82" i="43"/>
  <c r="N4" i="87"/>
  <c r="L5" i="87"/>
  <c r="G47" i="43"/>
  <c r="D47" i="43"/>
  <c r="G83" i="43"/>
  <c r="L74" i="43"/>
  <c r="D84" i="43"/>
  <c r="M5" i="87"/>
  <c r="N12" i="40"/>
  <c r="N11" i="40"/>
  <c r="N10" i="40"/>
  <c r="G84" i="43" l="1"/>
  <c r="D98" i="43" s="1"/>
  <c r="N5" i="87"/>
  <c r="D106" i="93"/>
  <c r="J106" i="93" s="1"/>
  <c r="E143" i="98"/>
  <c r="J144" i="98"/>
  <c r="K144" i="98"/>
  <c r="D142" i="93"/>
  <c r="J144" i="93"/>
  <c r="K145" i="98"/>
  <c r="J145" i="98"/>
  <c r="F63" i="45"/>
  <c r="I63" i="45" s="1"/>
  <c r="F62" i="45"/>
  <c r="I62" i="45" s="1"/>
  <c r="F61" i="45"/>
  <c r="I61" i="45" s="1"/>
  <c r="F60" i="45"/>
  <c r="I60" i="45" s="1"/>
  <c r="F59" i="45"/>
  <c r="I59" i="45" s="1"/>
  <c r="F58" i="45"/>
  <c r="I58" i="45" s="1"/>
  <c r="J58" i="45" s="1"/>
  <c r="F57" i="45"/>
  <c r="I57" i="45" s="1"/>
  <c r="F56" i="45"/>
  <c r="I56" i="45" s="1"/>
  <c r="F55" i="45"/>
  <c r="I55" i="45" s="1"/>
  <c r="F54" i="45"/>
  <c r="I54" i="45" s="1"/>
  <c r="F53" i="45"/>
  <c r="I53" i="45" s="1"/>
  <c r="F52" i="45"/>
  <c r="I52" i="45" s="1"/>
  <c r="F51" i="45"/>
  <c r="I51" i="45" s="1"/>
  <c r="F50" i="45"/>
  <c r="I50" i="45" s="1"/>
  <c r="M50" i="45" s="1"/>
  <c r="F49" i="45"/>
  <c r="I49" i="45" s="1"/>
  <c r="F48" i="45"/>
  <c r="I48" i="45" s="1"/>
  <c r="F47" i="45"/>
  <c r="I47" i="45" s="1"/>
  <c r="K99" i="98" l="1"/>
  <c r="J99" i="98"/>
  <c r="K143" i="98"/>
  <c r="J143" i="98"/>
  <c r="L59" i="45"/>
  <c r="J59" i="45"/>
  <c r="L57" i="45"/>
  <c r="J57" i="45"/>
  <c r="M51" i="45"/>
  <c r="L51" i="45"/>
  <c r="J51" i="45"/>
  <c r="K51" i="45"/>
  <c r="M53" i="45"/>
  <c r="J53" i="45"/>
  <c r="K53" i="45" s="1"/>
  <c r="L53" i="45"/>
  <c r="J60" i="45"/>
  <c r="L60" i="45"/>
  <c r="M47" i="45"/>
  <c r="L47" i="45"/>
  <c r="J47" i="45"/>
  <c r="K47" i="45"/>
  <c r="N47" i="45" s="1"/>
  <c r="J61" i="45"/>
  <c r="L61" i="45"/>
  <c r="J48" i="45"/>
  <c r="M48" i="45"/>
  <c r="L48" i="45"/>
  <c r="K48" i="45"/>
  <c r="J55" i="45"/>
  <c r="L55" i="45"/>
  <c r="L62" i="45"/>
  <c r="J62" i="45"/>
  <c r="K58" i="45"/>
  <c r="M58" i="45"/>
  <c r="J52" i="45"/>
  <c r="L52" i="45"/>
  <c r="M52" i="45"/>
  <c r="K52" i="45"/>
  <c r="L54" i="45"/>
  <c r="J54" i="45"/>
  <c r="M49" i="45"/>
  <c r="L49" i="45"/>
  <c r="K49" i="45"/>
  <c r="J49" i="45"/>
  <c r="J56" i="45"/>
  <c r="L56" i="45"/>
  <c r="L63" i="45"/>
  <c r="J63" i="45"/>
  <c r="L58" i="45"/>
  <c r="K50" i="45"/>
  <c r="N50" i="45" s="1"/>
  <c r="L50" i="45"/>
  <c r="J50" i="45"/>
  <c r="N53" i="45" l="1"/>
  <c r="N58" i="45"/>
  <c r="M56" i="45"/>
  <c r="K56" i="45"/>
  <c r="N51" i="45"/>
  <c r="N48" i="45"/>
  <c r="M60" i="45"/>
  <c r="K60" i="45"/>
  <c r="M55" i="45"/>
  <c r="K55" i="45"/>
  <c r="N49" i="45"/>
  <c r="K57" i="45"/>
  <c r="M57" i="45"/>
  <c r="M63" i="45"/>
  <c r="K63" i="45"/>
  <c r="M54" i="45"/>
  <c r="K54" i="45"/>
  <c r="M62" i="45"/>
  <c r="K62" i="45"/>
  <c r="K61" i="45"/>
  <c r="M61" i="45"/>
  <c r="M59" i="45"/>
  <c r="K59" i="45"/>
  <c r="N52" i="45"/>
  <c r="N57" i="45" l="1"/>
  <c r="N59" i="45"/>
  <c r="N61" i="45"/>
  <c r="N55" i="45"/>
  <c r="N54" i="45"/>
  <c r="N60" i="45"/>
  <c r="N63" i="45"/>
  <c r="N56" i="45"/>
  <c r="N62" i="45"/>
  <c r="C11" i="28" l="1"/>
  <c r="F23" i="28"/>
  <c r="G23" i="28" s="1"/>
  <c r="F22" i="28"/>
  <c r="G22" i="28" s="1"/>
  <c r="G21" i="28"/>
  <c r="J21" i="28" s="1"/>
  <c r="F21" i="28"/>
  <c r="G20" i="28"/>
  <c r="J20" i="28" s="1"/>
  <c r="F20" i="28"/>
  <c r="F19" i="28"/>
  <c r="G19" i="28" s="1"/>
  <c r="F18" i="28"/>
  <c r="G18" i="28" s="1"/>
  <c r="G17" i="28"/>
  <c r="J17" i="28" s="1"/>
  <c r="F17" i="28"/>
  <c r="H24" i="26"/>
  <c r="L21" i="26"/>
  <c r="L22" i="26"/>
  <c r="D333" i="49" s="1"/>
  <c r="L31" i="26"/>
  <c r="M31" i="26" s="1"/>
  <c r="L32" i="26"/>
  <c r="M32" i="26"/>
  <c r="N32" i="26" s="1"/>
  <c r="L33" i="26"/>
  <c r="M33" i="26"/>
  <c r="N33" i="26" s="1"/>
  <c r="L34" i="26"/>
  <c r="M34" i="26"/>
  <c r="N34" i="26" s="1"/>
  <c r="L35" i="26"/>
  <c r="M35" i="26"/>
  <c r="N35" i="26" s="1"/>
  <c r="L36" i="26"/>
  <c r="M36" i="26"/>
  <c r="N36" i="26" s="1"/>
  <c r="L37" i="26"/>
  <c r="M37" i="26"/>
  <c r="N37" i="26" s="1"/>
  <c r="L38" i="26"/>
  <c r="M38" i="26"/>
  <c r="N38" i="26" s="1"/>
  <c r="L39" i="26"/>
  <c r="M39" i="26"/>
  <c r="N39" i="26" s="1"/>
  <c r="L40" i="26"/>
  <c r="M40" i="26"/>
  <c r="N40" i="26" s="1"/>
  <c r="L41" i="26"/>
  <c r="M41" i="26"/>
  <c r="N41" i="26" s="1"/>
  <c r="L42" i="26"/>
  <c r="M42" i="26"/>
  <c r="N42" i="26" s="1"/>
  <c r="L43" i="26"/>
  <c r="M43" i="26"/>
  <c r="N43" i="26" s="1"/>
  <c r="L44" i="26"/>
  <c r="M44" i="26"/>
  <c r="N44" i="26" s="1"/>
  <c r="L45" i="26"/>
  <c r="M45" i="26"/>
  <c r="N45" i="26" s="1"/>
  <c r="L46" i="26"/>
  <c r="M46" i="26"/>
  <c r="N46" i="26" s="1"/>
  <c r="L47" i="26"/>
  <c r="M47" i="26"/>
  <c r="N47" i="26" s="1"/>
  <c r="L48" i="26"/>
  <c r="M48" i="26"/>
  <c r="N48" i="26" s="1"/>
  <c r="H32" i="25"/>
  <c r="L14" i="25"/>
  <c r="M14" i="25" s="1"/>
  <c r="L63" i="25"/>
  <c r="M63" i="25" s="1"/>
  <c r="L62" i="25"/>
  <c r="M62" i="25" s="1"/>
  <c r="L61" i="25"/>
  <c r="M61" i="25" s="1"/>
  <c r="M60" i="25"/>
  <c r="P60" i="25" s="1"/>
  <c r="L60" i="25"/>
  <c r="L59" i="25"/>
  <c r="M59" i="25" s="1"/>
  <c r="L58" i="25"/>
  <c r="M58" i="25" s="1"/>
  <c r="O58" i="25" s="1"/>
  <c r="L57" i="25"/>
  <c r="M57" i="25" s="1"/>
  <c r="L56" i="25"/>
  <c r="M56" i="25" s="1"/>
  <c r="P56" i="25" s="1"/>
  <c r="L55" i="25"/>
  <c r="M55" i="25" s="1"/>
  <c r="L54" i="25"/>
  <c r="M54" i="25" s="1"/>
  <c r="O54" i="25" s="1"/>
  <c r="L53" i="25"/>
  <c r="M53" i="25" s="1"/>
  <c r="L52" i="25"/>
  <c r="M52" i="25" s="1"/>
  <c r="P52" i="25" s="1"/>
  <c r="L51" i="25"/>
  <c r="M51" i="25" s="1"/>
  <c r="L50" i="25"/>
  <c r="M50" i="25" s="1"/>
  <c r="O50" i="25" s="1"/>
  <c r="L49" i="25"/>
  <c r="M49" i="25" s="1"/>
  <c r="L48" i="25"/>
  <c r="M48" i="25" s="1"/>
  <c r="P48" i="25" s="1"/>
  <c r="L47" i="25"/>
  <c r="M47" i="25" s="1"/>
  <c r="L46" i="25"/>
  <c r="M46" i="25" s="1"/>
  <c r="O46" i="25" s="1"/>
  <c r="L45" i="25"/>
  <c r="M45" i="25" s="1"/>
  <c r="M44" i="25"/>
  <c r="P44" i="25" s="1"/>
  <c r="L44" i="25"/>
  <c r="L43" i="25"/>
  <c r="M43" i="25" s="1"/>
  <c r="L42" i="25"/>
  <c r="M42" i="25" s="1"/>
  <c r="O42" i="25" s="1"/>
  <c r="L41" i="25"/>
  <c r="M41" i="25" s="1"/>
  <c r="M40" i="25"/>
  <c r="P40" i="25" s="1"/>
  <c r="L40" i="25"/>
  <c r="L39" i="25"/>
  <c r="M39" i="25" s="1"/>
  <c r="L38" i="25"/>
  <c r="M38" i="25" s="1"/>
  <c r="O38" i="25" s="1"/>
  <c r="H21" i="23"/>
  <c r="H42" i="23"/>
  <c r="L42" i="23" s="1"/>
  <c r="M42" i="23" s="1"/>
  <c r="H41" i="23"/>
  <c r="L41" i="23" s="1"/>
  <c r="M41" i="23" s="1"/>
  <c r="L40" i="23"/>
  <c r="M40" i="23" s="1"/>
  <c r="H40" i="23"/>
  <c r="H39" i="23"/>
  <c r="L39" i="23" s="1"/>
  <c r="M39" i="23" s="1"/>
  <c r="H38" i="23"/>
  <c r="L38" i="23" s="1"/>
  <c r="M38" i="23" s="1"/>
  <c r="H37" i="23"/>
  <c r="L37" i="23" s="1"/>
  <c r="M37" i="23" s="1"/>
  <c r="H36" i="23"/>
  <c r="L36" i="23" s="1"/>
  <c r="M36" i="23" s="1"/>
  <c r="H35" i="23"/>
  <c r="L35" i="23" s="1"/>
  <c r="M35" i="23" s="1"/>
  <c r="H34" i="23"/>
  <c r="L34" i="23" s="1"/>
  <c r="M34" i="23" s="1"/>
  <c r="L33" i="23"/>
  <c r="M33" i="23" s="1"/>
  <c r="P33" i="23" s="1"/>
  <c r="H33" i="23"/>
  <c r="L32" i="23"/>
  <c r="M32" i="23" s="1"/>
  <c r="H32" i="23"/>
  <c r="H31" i="23"/>
  <c r="L31" i="23" s="1"/>
  <c r="M31" i="23" s="1"/>
  <c r="H30" i="23"/>
  <c r="L30" i="23" s="1"/>
  <c r="M30" i="23" s="1"/>
  <c r="H29" i="23"/>
  <c r="L29" i="23" s="1"/>
  <c r="M29" i="23" s="1"/>
  <c r="H28" i="23"/>
  <c r="L28" i="23" s="1"/>
  <c r="M28" i="23" s="1"/>
  <c r="H27" i="23"/>
  <c r="L27" i="23" s="1"/>
  <c r="M27" i="23" s="1"/>
  <c r="E37" i="34"/>
  <c r="E39" i="34" s="1"/>
  <c r="I35" i="34"/>
  <c r="J35" i="34" s="1"/>
  <c r="I34" i="34"/>
  <c r="J34" i="34" s="1"/>
  <c r="I33" i="34"/>
  <c r="J33" i="34" s="1"/>
  <c r="I32" i="34"/>
  <c r="J32" i="34" s="1"/>
  <c r="I31" i="34"/>
  <c r="J31" i="34" s="1"/>
  <c r="J30" i="34"/>
  <c r="M30" i="34" s="1"/>
  <c r="I30" i="34"/>
  <c r="I29" i="34"/>
  <c r="J29" i="34" s="1"/>
  <c r="I28" i="34"/>
  <c r="J28" i="34" s="1"/>
  <c r="I27" i="34"/>
  <c r="J27" i="34" s="1"/>
  <c r="J26" i="34"/>
  <c r="M26" i="34" s="1"/>
  <c r="I26" i="34"/>
  <c r="I25" i="34"/>
  <c r="J25" i="34" s="1"/>
  <c r="I24" i="34"/>
  <c r="J24" i="34" s="1"/>
  <c r="E86" i="24"/>
  <c r="I81" i="24"/>
  <c r="J81" i="24" s="1"/>
  <c r="I80" i="24"/>
  <c r="J80" i="24" s="1"/>
  <c r="I79" i="24"/>
  <c r="J79" i="24" s="1"/>
  <c r="J78" i="24"/>
  <c r="L78" i="24" s="1"/>
  <c r="I78" i="24"/>
  <c r="I77" i="24"/>
  <c r="J77" i="24" s="1"/>
  <c r="I76" i="24"/>
  <c r="J76" i="24" s="1"/>
  <c r="I75" i="24"/>
  <c r="J75" i="24" s="1"/>
  <c r="J74" i="24"/>
  <c r="L74" i="24" s="1"/>
  <c r="I74" i="24"/>
  <c r="I73" i="24"/>
  <c r="J73" i="24" s="1"/>
  <c r="I72" i="24"/>
  <c r="J72" i="24" s="1"/>
  <c r="I71" i="24"/>
  <c r="J71" i="24" s="1"/>
  <c r="J70" i="24"/>
  <c r="L70" i="24" s="1"/>
  <c r="I70" i="24"/>
  <c r="I69" i="24"/>
  <c r="J69" i="24" s="1"/>
  <c r="I68" i="24"/>
  <c r="J68" i="24" s="1"/>
  <c r="I67" i="24"/>
  <c r="J67" i="24" s="1"/>
  <c r="J66" i="24"/>
  <c r="L66" i="24" s="1"/>
  <c r="I66" i="24"/>
  <c r="I65" i="24"/>
  <c r="J65" i="24" s="1"/>
  <c r="I64" i="24"/>
  <c r="J64" i="24" s="1"/>
  <c r="I63" i="24"/>
  <c r="J63" i="24" s="1"/>
  <c r="J62" i="24"/>
  <c r="L62" i="24" s="1"/>
  <c r="I62" i="24"/>
  <c r="I61" i="24"/>
  <c r="J61" i="24" s="1"/>
  <c r="I60" i="24"/>
  <c r="J60" i="24" s="1"/>
  <c r="I59" i="24"/>
  <c r="J59" i="24" s="1"/>
  <c r="J58" i="24"/>
  <c r="L58" i="24" s="1"/>
  <c r="I58" i="24"/>
  <c r="I57" i="24"/>
  <c r="J57" i="24" s="1"/>
  <c r="I56" i="24"/>
  <c r="J56" i="24" s="1"/>
  <c r="I55" i="24"/>
  <c r="J55" i="24" s="1"/>
  <c r="J54" i="24"/>
  <c r="L54" i="24" s="1"/>
  <c r="I54" i="24"/>
  <c r="I53" i="24"/>
  <c r="J53" i="24" s="1"/>
  <c r="I52" i="24"/>
  <c r="J52" i="24" s="1"/>
  <c r="I51" i="24"/>
  <c r="J51" i="24" s="1"/>
  <c r="J50" i="24"/>
  <c r="L50" i="24" s="1"/>
  <c r="I50" i="24"/>
  <c r="I49" i="24"/>
  <c r="J49" i="24" s="1"/>
  <c r="J40" i="22"/>
  <c r="M40" i="22" s="1"/>
  <c r="J39" i="22"/>
  <c r="M39" i="22" s="1"/>
  <c r="J38" i="22"/>
  <c r="M38" i="22" s="1"/>
  <c r="J37" i="22"/>
  <c r="M37" i="22" s="1"/>
  <c r="J36" i="22"/>
  <c r="M36" i="22" s="1"/>
  <c r="J35" i="22"/>
  <c r="M35" i="22" s="1"/>
  <c r="J34" i="22"/>
  <c r="M34" i="22" s="1"/>
  <c r="J33" i="22"/>
  <c r="M33" i="22" s="1"/>
  <c r="J32" i="22"/>
  <c r="M32" i="22" s="1"/>
  <c r="J31" i="22"/>
  <c r="M31" i="22" s="1"/>
  <c r="N31" i="22" s="1"/>
  <c r="J30" i="22"/>
  <c r="M30" i="22" s="1"/>
  <c r="J29" i="22"/>
  <c r="M29" i="22" s="1"/>
  <c r="N29" i="22" s="1"/>
  <c r="J28" i="22"/>
  <c r="M28" i="22" s="1"/>
  <c r="N28" i="22" s="1"/>
  <c r="J27" i="22"/>
  <c r="M27" i="22" s="1"/>
  <c r="J26" i="22"/>
  <c r="M26" i="22" s="1"/>
  <c r="N26" i="22" s="1"/>
  <c r="J25" i="22"/>
  <c r="M25" i="22" s="1"/>
  <c r="N25" i="22" s="1"/>
  <c r="J105" i="21"/>
  <c r="K105" i="21" s="1"/>
  <c r="J104" i="21"/>
  <c r="K104" i="21" s="1"/>
  <c r="J103" i="21"/>
  <c r="K103" i="21" s="1"/>
  <c r="J102" i="21"/>
  <c r="K102" i="21" s="1"/>
  <c r="J101" i="21"/>
  <c r="K101" i="21" s="1"/>
  <c r="J100" i="21"/>
  <c r="K100" i="21" s="1"/>
  <c r="J99" i="21"/>
  <c r="K99" i="21" s="1"/>
  <c r="J98" i="21"/>
  <c r="K98" i="21" s="1"/>
  <c r="J97" i="21"/>
  <c r="J96" i="21"/>
  <c r="J95" i="21"/>
  <c r="J94" i="21"/>
  <c r="J93" i="21"/>
  <c r="J92" i="21"/>
  <c r="J91" i="21"/>
  <c r="J90" i="21"/>
  <c r="J89" i="21"/>
  <c r="K89" i="21" s="1"/>
  <c r="J88" i="21"/>
  <c r="K88" i="21" s="1"/>
  <c r="J87" i="21"/>
  <c r="K87" i="21" s="1"/>
  <c r="J86" i="21"/>
  <c r="K86" i="21" s="1"/>
  <c r="J85" i="21"/>
  <c r="K85" i="21" s="1"/>
  <c r="J84" i="21"/>
  <c r="K84" i="21" s="1"/>
  <c r="J83" i="21"/>
  <c r="K83" i="21" s="1"/>
  <c r="J82" i="21"/>
  <c r="K82" i="21" s="1"/>
  <c r="J81" i="21"/>
  <c r="K81" i="21" s="1"/>
  <c r="J80" i="21"/>
  <c r="K80" i="21" s="1"/>
  <c r="J79" i="21"/>
  <c r="K79" i="21" s="1"/>
  <c r="J78" i="21"/>
  <c r="K78" i="21" s="1"/>
  <c r="J77" i="21"/>
  <c r="K77" i="21" s="1"/>
  <c r="J76" i="21"/>
  <c r="K76" i="21" s="1"/>
  <c r="J75" i="21"/>
  <c r="K75" i="21" s="1"/>
  <c r="J74" i="21"/>
  <c r="K74" i="21" s="1"/>
  <c r="J73" i="21"/>
  <c r="J72" i="21"/>
  <c r="J71" i="21"/>
  <c r="K71" i="21" s="1"/>
  <c r="J70" i="21"/>
  <c r="K70" i="21" s="1"/>
  <c r="M70" i="21" s="1"/>
  <c r="J69" i="21"/>
  <c r="J68" i="21"/>
  <c r="K68" i="21" s="1"/>
  <c r="J67" i="21"/>
  <c r="J66" i="21"/>
  <c r="J65" i="21"/>
  <c r="K65" i="21" s="1"/>
  <c r="K64" i="21"/>
  <c r="N64" i="21" s="1"/>
  <c r="J64" i="21"/>
  <c r="J63" i="21"/>
  <c r="K63" i="21" s="1"/>
  <c r="J62" i="21"/>
  <c r="K62" i="21" s="1"/>
  <c r="J61" i="21"/>
  <c r="K61" i="21" s="1"/>
  <c r="J60" i="21"/>
  <c r="K60" i="21" s="1"/>
  <c r="L60" i="21" s="1"/>
  <c r="J59" i="21"/>
  <c r="K59" i="21" s="1"/>
  <c r="J58" i="21"/>
  <c r="K58" i="21" s="1"/>
  <c r="F14" i="20"/>
  <c r="I14" i="20" s="1"/>
  <c r="F13" i="20"/>
  <c r="I13" i="20" s="1"/>
  <c r="F12" i="20"/>
  <c r="I12" i="20" s="1"/>
  <c r="P14" i="25" l="1"/>
  <c r="N14" i="25"/>
  <c r="O14" i="25"/>
  <c r="E332" i="49"/>
  <c r="D332" i="49"/>
  <c r="F333" i="49"/>
  <c r="E333" i="49"/>
  <c r="E192" i="49"/>
  <c r="D192" i="49"/>
  <c r="H18" i="28"/>
  <c r="J18" i="28"/>
  <c r="I18" i="28"/>
  <c r="J19" i="28"/>
  <c r="I19" i="28"/>
  <c r="H19" i="28"/>
  <c r="I22" i="28"/>
  <c r="H22" i="28"/>
  <c r="J22" i="28"/>
  <c r="J23" i="28"/>
  <c r="I23" i="28"/>
  <c r="H23" i="28"/>
  <c r="H17" i="28"/>
  <c r="H21" i="28"/>
  <c r="I17" i="28"/>
  <c r="I21" i="28"/>
  <c r="I20" i="28"/>
  <c r="H20" i="28"/>
  <c r="F332" i="49"/>
  <c r="H333" i="49"/>
  <c r="X43" i="26"/>
  <c r="X35" i="26"/>
  <c r="X46" i="26"/>
  <c r="X38" i="26"/>
  <c r="X42" i="26"/>
  <c r="X34" i="26"/>
  <c r="X45" i="26"/>
  <c r="X33" i="26"/>
  <c r="X41" i="26"/>
  <c r="X37" i="26"/>
  <c r="X44" i="26"/>
  <c r="X32" i="26"/>
  <c r="X40" i="26"/>
  <c r="X36" i="26"/>
  <c r="X47" i="26"/>
  <c r="X39" i="26"/>
  <c r="N31" i="26"/>
  <c r="O31" i="26"/>
  <c r="P31" i="26"/>
  <c r="Y31" i="26" s="1"/>
  <c r="P48" i="26"/>
  <c r="P47" i="26"/>
  <c r="Y47" i="26" s="1"/>
  <c r="P46" i="26"/>
  <c r="Y46" i="26" s="1"/>
  <c r="P45" i="26"/>
  <c r="Y45" i="26" s="1"/>
  <c r="P44" i="26"/>
  <c r="Y44" i="26" s="1"/>
  <c r="P43" i="26"/>
  <c r="Y43" i="26" s="1"/>
  <c r="P42" i="26"/>
  <c r="Y42" i="26" s="1"/>
  <c r="P41" i="26"/>
  <c r="Y41" i="26" s="1"/>
  <c r="P40" i="26"/>
  <c r="Y40" i="26" s="1"/>
  <c r="P39" i="26"/>
  <c r="Y39" i="26" s="1"/>
  <c r="P38" i="26"/>
  <c r="Y38" i="26" s="1"/>
  <c r="P37" i="26"/>
  <c r="Y37" i="26" s="1"/>
  <c r="P36" i="26"/>
  <c r="Y36" i="26" s="1"/>
  <c r="P35" i="26"/>
  <c r="Y35" i="26" s="1"/>
  <c r="P34" i="26"/>
  <c r="Y34" i="26" s="1"/>
  <c r="P33" i="26"/>
  <c r="Y33" i="26" s="1"/>
  <c r="P32" i="26"/>
  <c r="Y32" i="26" s="1"/>
  <c r="O48" i="26"/>
  <c r="O47" i="26"/>
  <c r="O46" i="26"/>
  <c r="O45" i="26"/>
  <c r="O44" i="26"/>
  <c r="O43" i="26"/>
  <c r="O42" i="26"/>
  <c r="O41" i="26"/>
  <c r="O40" i="26"/>
  <c r="O39" i="26"/>
  <c r="O38" i="26"/>
  <c r="O37" i="26"/>
  <c r="O36" i="26"/>
  <c r="O35" i="26"/>
  <c r="O34" i="26"/>
  <c r="O33" i="26"/>
  <c r="O32" i="26"/>
  <c r="M66" i="24"/>
  <c r="M54" i="24"/>
  <c r="M62" i="24"/>
  <c r="M70" i="24"/>
  <c r="M78" i="24"/>
  <c r="M74" i="24"/>
  <c r="M58" i="24"/>
  <c r="M50" i="24"/>
  <c r="P47" i="25"/>
  <c r="N47" i="25"/>
  <c r="O47" i="25"/>
  <c r="P59" i="25"/>
  <c r="O59" i="25"/>
  <c r="N59" i="25"/>
  <c r="O53" i="25"/>
  <c r="P53" i="25"/>
  <c r="N53" i="25"/>
  <c r="P49" i="25"/>
  <c r="O49" i="25"/>
  <c r="N49" i="25"/>
  <c r="P39" i="25"/>
  <c r="N39" i="25"/>
  <c r="O39" i="25"/>
  <c r="P55" i="25"/>
  <c r="O55" i="25"/>
  <c r="N55" i="25"/>
  <c r="P43" i="25"/>
  <c r="O43" i="25"/>
  <c r="N43" i="25"/>
  <c r="P45" i="25"/>
  <c r="O45" i="25"/>
  <c r="N45" i="25"/>
  <c r="O61" i="25"/>
  <c r="P61" i="25"/>
  <c r="N61" i="25"/>
  <c r="P51" i="25"/>
  <c r="O51" i="25"/>
  <c r="N51" i="25"/>
  <c r="O62" i="25"/>
  <c r="N62" i="25"/>
  <c r="P62" i="25"/>
  <c r="P41" i="25"/>
  <c r="O41" i="25"/>
  <c r="N41" i="25"/>
  <c r="O57" i="25"/>
  <c r="P57" i="25"/>
  <c r="N57" i="25"/>
  <c r="P63" i="25"/>
  <c r="O63" i="25"/>
  <c r="N63" i="25"/>
  <c r="P38" i="25"/>
  <c r="P42" i="25"/>
  <c r="P46" i="25"/>
  <c r="P50" i="25"/>
  <c r="P54" i="25"/>
  <c r="P58" i="25"/>
  <c r="N40" i="25"/>
  <c r="N44" i="25"/>
  <c r="N48" i="25"/>
  <c r="N52" i="25"/>
  <c r="N56" i="25"/>
  <c r="N60" i="25"/>
  <c r="O40" i="25"/>
  <c r="O44" i="25"/>
  <c r="O48" i="25"/>
  <c r="O52" i="25"/>
  <c r="O56" i="25"/>
  <c r="O60" i="25"/>
  <c r="N38" i="25"/>
  <c r="N42" i="25"/>
  <c r="N46" i="25"/>
  <c r="N50" i="25"/>
  <c r="N54" i="25"/>
  <c r="N58" i="25"/>
  <c r="P27" i="23"/>
  <c r="O27" i="23"/>
  <c r="N27" i="23"/>
  <c r="P38" i="23"/>
  <c r="O38" i="23"/>
  <c r="N38" i="23"/>
  <c r="O32" i="23"/>
  <c r="N32" i="23"/>
  <c r="P32" i="23"/>
  <c r="P28" i="23"/>
  <c r="O28" i="23"/>
  <c r="N28" i="23"/>
  <c r="N39" i="23"/>
  <c r="O39" i="23"/>
  <c r="P39" i="23"/>
  <c r="P37" i="23"/>
  <c r="N37" i="23"/>
  <c r="O37" i="23"/>
  <c r="P29" i="23"/>
  <c r="N29" i="23"/>
  <c r="O29" i="23"/>
  <c r="P34" i="23"/>
  <c r="O34" i="23"/>
  <c r="N34" i="23"/>
  <c r="O40" i="23"/>
  <c r="N40" i="23"/>
  <c r="P40" i="23"/>
  <c r="N30" i="23"/>
  <c r="P30" i="23"/>
  <c r="O30" i="23"/>
  <c r="P35" i="23"/>
  <c r="O35" i="23"/>
  <c r="N35" i="23"/>
  <c r="P41" i="23"/>
  <c r="O41" i="23"/>
  <c r="N41" i="23"/>
  <c r="N31" i="23"/>
  <c r="P31" i="23"/>
  <c r="O31" i="23"/>
  <c r="P36" i="23"/>
  <c r="O36" i="23"/>
  <c r="N36" i="23"/>
  <c r="P42" i="23"/>
  <c r="O42" i="23"/>
  <c r="N42" i="23"/>
  <c r="N33" i="23"/>
  <c r="O33" i="23"/>
  <c r="M28" i="34"/>
  <c r="L28" i="34"/>
  <c r="K28" i="34"/>
  <c r="M25" i="34"/>
  <c r="K25" i="34"/>
  <c r="L25" i="34"/>
  <c r="L31" i="34"/>
  <c r="K31" i="34"/>
  <c r="M31" i="34"/>
  <c r="M32" i="34"/>
  <c r="L32" i="34"/>
  <c r="K32" i="34"/>
  <c r="K33" i="34"/>
  <c r="M33" i="34"/>
  <c r="L33" i="34"/>
  <c r="K27" i="34"/>
  <c r="M27" i="34"/>
  <c r="L27" i="34"/>
  <c r="M34" i="34"/>
  <c r="L34" i="34"/>
  <c r="K34" i="34"/>
  <c r="M24" i="34"/>
  <c r="L24" i="34"/>
  <c r="K24" i="34"/>
  <c r="L35" i="34"/>
  <c r="K35" i="34"/>
  <c r="M35" i="34"/>
  <c r="M29" i="34"/>
  <c r="K29" i="34"/>
  <c r="L29" i="34"/>
  <c r="K26" i="34"/>
  <c r="K30" i="34"/>
  <c r="L26" i="34"/>
  <c r="L30" i="34"/>
  <c r="M71" i="24"/>
  <c r="L71" i="24"/>
  <c r="K71" i="24"/>
  <c r="K77" i="24"/>
  <c r="M77" i="24"/>
  <c r="L77" i="24"/>
  <c r="M56" i="24"/>
  <c r="L56" i="24"/>
  <c r="K56" i="24"/>
  <c r="M72" i="24"/>
  <c r="L72" i="24"/>
  <c r="K72" i="24"/>
  <c r="K57" i="24"/>
  <c r="M57" i="24"/>
  <c r="L57" i="24"/>
  <c r="M67" i="24"/>
  <c r="L67" i="24"/>
  <c r="K67" i="24"/>
  <c r="K73" i="24"/>
  <c r="M73" i="24"/>
  <c r="L73" i="24"/>
  <c r="K61" i="24"/>
  <c r="M61" i="24"/>
  <c r="L61" i="24"/>
  <c r="M68" i="24"/>
  <c r="L68" i="24"/>
  <c r="K68" i="24"/>
  <c r="M55" i="24"/>
  <c r="L55" i="24"/>
  <c r="K55" i="24"/>
  <c r="M52" i="24"/>
  <c r="L52" i="24"/>
  <c r="K52" i="24"/>
  <c r="K69" i="24"/>
  <c r="M69" i="24"/>
  <c r="L69" i="24"/>
  <c r="M79" i="24"/>
  <c r="L79" i="24"/>
  <c r="K79" i="24"/>
  <c r="M51" i="24"/>
  <c r="L51" i="24"/>
  <c r="K51" i="24"/>
  <c r="K53" i="24"/>
  <c r="M53" i="24"/>
  <c r="L53" i="24"/>
  <c r="M63" i="24"/>
  <c r="L63" i="24"/>
  <c r="K63" i="24"/>
  <c r="M64" i="24"/>
  <c r="L64" i="24"/>
  <c r="K64" i="24"/>
  <c r="M80" i="24"/>
  <c r="L80" i="24"/>
  <c r="K80" i="24"/>
  <c r="K49" i="24"/>
  <c r="M49" i="24"/>
  <c r="L49" i="24"/>
  <c r="M59" i="24"/>
  <c r="L59" i="24"/>
  <c r="K59" i="24"/>
  <c r="M81" i="24"/>
  <c r="L81" i="24"/>
  <c r="K81" i="24"/>
  <c r="K65" i="24"/>
  <c r="M65" i="24"/>
  <c r="L65" i="24"/>
  <c r="M75" i="24"/>
  <c r="L75" i="24"/>
  <c r="K75" i="24"/>
  <c r="M60" i="24"/>
  <c r="L60" i="24"/>
  <c r="K60" i="24"/>
  <c r="M76" i="24"/>
  <c r="L76" i="24"/>
  <c r="K76" i="24"/>
  <c r="K50" i="24"/>
  <c r="K54" i="24"/>
  <c r="N54" i="24" s="1"/>
  <c r="K58" i="24"/>
  <c r="K62" i="24"/>
  <c r="N62" i="24" s="1"/>
  <c r="K66" i="24"/>
  <c r="K70" i="24"/>
  <c r="K74" i="24"/>
  <c r="N74" i="24" s="1"/>
  <c r="K78" i="24"/>
  <c r="Q28" i="22"/>
  <c r="P28" i="22"/>
  <c r="O28" i="22"/>
  <c r="Q31" i="22"/>
  <c r="P31" i="22"/>
  <c r="O31" i="22"/>
  <c r="O26" i="22"/>
  <c r="Q26" i="22"/>
  <c r="P26" i="22"/>
  <c r="O29" i="22"/>
  <c r="Q29" i="22"/>
  <c r="P29" i="22"/>
  <c r="Q25" i="22"/>
  <c r="P25" i="22"/>
  <c r="O25" i="22"/>
  <c r="N82" i="21"/>
  <c r="M82" i="21"/>
  <c r="L82" i="21"/>
  <c r="N98" i="21"/>
  <c r="M98" i="21"/>
  <c r="L98" i="21"/>
  <c r="M61" i="21"/>
  <c r="L61" i="21"/>
  <c r="N61" i="21"/>
  <c r="L68" i="21"/>
  <c r="N68" i="21"/>
  <c r="M68" i="21"/>
  <c r="N75" i="21"/>
  <c r="M75" i="21"/>
  <c r="L75" i="21"/>
  <c r="N83" i="21"/>
  <c r="M83" i="21"/>
  <c r="L83" i="21"/>
  <c r="N99" i="21"/>
  <c r="M99" i="21"/>
  <c r="L99" i="21"/>
  <c r="N74" i="21"/>
  <c r="M74" i="21"/>
  <c r="L74" i="21"/>
  <c r="N59" i="21"/>
  <c r="M59" i="21"/>
  <c r="L59" i="21"/>
  <c r="N62" i="21"/>
  <c r="M62" i="21"/>
  <c r="L62" i="21"/>
  <c r="L100" i="21"/>
  <c r="M100" i="21"/>
  <c r="N100" i="21"/>
  <c r="M101" i="21"/>
  <c r="L101" i="21"/>
  <c r="N101" i="21"/>
  <c r="M65" i="21"/>
  <c r="L65" i="21"/>
  <c r="N65" i="21"/>
  <c r="N76" i="21"/>
  <c r="L76" i="21"/>
  <c r="M76" i="21"/>
  <c r="M77" i="21"/>
  <c r="L77" i="21"/>
  <c r="N77" i="21"/>
  <c r="M85" i="21"/>
  <c r="L85" i="21"/>
  <c r="N85" i="21"/>
  <c r="N78" i="21"/>
  <c r="M78" i="21"/>
  <c r="L78" i="21"/>
  <c r="N86" i="21"/>
  <c r="M86" i="21"/>
  <c r="L86" i="21"/>
  <c r="N102" i="21"/>
  <c r="M102" i="21"/>
  <c r="L102" i="21"/>
  <c r="L88" i="21"/>
  <c r="N88" i="21"/>
  <c r="M88" i="21"/>
  <c r="N84" i="21"/>
  <c r="M84" i="21"/>
  <c r="L84" i="21"/>
  <c r="N63" i="21"/>
  <c r="M63" i="21"/>
  <c r="L63" i="21"/>
  <c r="N58" i="21"/>
  <c r="M58" i="21"/>
  <c r="L58" i="21"/>
  <c r="N71" i="21"/>
  <c r="M71" i="21"/>
  <c r="L71" i="21"/>
  <c r="N79" i="21"/>
  <c r="M79" i="21"/>
  <c r="L79" i="21"/>
  <c r="N87" i="21"/>
  <c r="M87" i="21"/>
  <c r="L87" i="21"/>
  <c r="N103" i="21"/>
  <c r="M103" i="21"/>
  <c r="L103" i="21"/>
  <c r="M104" i="21"/>
  <c r="N104" i="21"/>
  <c r="L104" i="21"/>
  <c r="M80" i="21"/>
  <c r="N80" i="21"/>
  <c r="L80" i="21"/>
  <c r="M81" i="21"/>
  <c r="L81" i="21"/>
  <c r="N81" i="21"/>
  <c r="M89" i="21"/>
  <c r="L89" i="21"/>
  <c r="N89" i="21"/>
  <c r="M105" i="21"/>
  <c r="L105" i="21"/>
  <c r="N105" i="21"/>
  <c r="N70" i="21"/>
  <c r="L64" i="21"/>
  <c r="M60" i="21"/>
  <c r="M64" i="21"/>
  <c r="N60" i="21"/>
  <c r="L70" i="21"/>
  <c r="J14" i="20"/>
  <c r="J13" i="20"/>
  <c r="J12" i="20"/>
  <c r="Q39" i="26" l="1"/>
  <c r="Q47" i="26"/>
  <c r="H332" i="49"/>
  <c r="K22" i="28"/>
  <c r="K17" i="28"/>
  <c r="H192" i="49"/>
  <c r="G192" i="49"/>
  <c r="G332" i="49"/>
  <c r="K23" i="28"/>
  <c r="Q33" i="26"/>
  <c r="K18" i="28"/>
  <c r="Q22" i="26"/>
  <c r="I333" i="49" s="1"/>
  <c r="G333" i="49"/>
  <c r="F192" i="49"/>
  <c r="K21" i="28"/>
  <c r="K19" i="28"/>
  <c r="K20" i="28"/>
  <c r="Q41" i="26"/>
  <c r="Q38" i="26"/>
  <c r="Q46" i="26"/>
  <c r="Q32" i="26"/>
  <c r="Q40" i="26"/>
  <c r="Q48" i="26"/>
  <c r="N70" i="24"/>
  <c r="Q35" i="26"/>
  <c r="Q43" i="26"/>
  <c r="Q36" i="26"/>
  <c r="Q44" i="26"/>
  <c r="N66" i="24"/>
  <c r="Q37" i="26"/>
  <c r="Q45" i="26"/>
  <c r="Q34" i="26"/>
  <c r="Q42" i="26"/>
  <c r="Q31" i="26"/>
  <c r="X31" i="26"/>
  <c r="O79" i="21"/>
  <c r="O78" i="21"/>
  <c r="O59" i="21"/>
  <c r="O82" i="21"/>
  <c r="N58" i="24"/>
  <c r="Q42" i="25"/>
  <c r="Q60" i="25"/>
  <c r="O104" i="21"/>
  <c r="N78" i="24"/>
  <c r="N34" i="34"/>
  <c r="Q28" i="23"/>
  <c r="Q58" i="25"/>
  <c r="N50" i="24"/>
  <c r="N72" i="24"/>
  <c r="Q42" i="23"/>
  <c r="N75" i="24"/>
  <c r="Q63" i="25"/>
  <c r="Q55" i="25"/>
  <c r="O105" i="21"/>
  <c r="O80" i="21"/>
  <c r="O84" i="21"/>
  <c r="O85" i="21"/>
  <c r="O100" i="21"/>
  <c r="O75" i="21"/>
  <c r="R28" i="22"/>
  <c r="Q54" i="25"/>
  <c r="O60" i="21"/>
  <c r="N57" i="24"/>
  <c r="N26" i="34"/>
  <c r="O89" i="21"/>
  <c r="O77" i="21"/>
  <c r="N69" i="24"/>
  <c r="N56" i="24"/>
  <c r="R31" i="22"/>
  <c r="N52" i="24"/>
  <c r="N35" i="34"/>
  <c r="Q61" i="25"/>
  <c r="Q47" i="25"/>
  <c r="Q40" i="25"/>
  <c r="Q44" i="25"/>
  <c r="Q46" i="25"/>
  <c r="Q57" i="25"/>
  <c r="Q51" i="25"/>
  <c r="Q59" i="25"/>
  <c r="Q50" i="25"/>
  <c r="Q62" i="25"/>
  <c r="Q45" i="25"/>
  <c r="Q39" i="25"/>
  <c r="Q38" i="25"/>
  <c r="Q56" i="25"/>
  <c r="Q43" i="25"/>
  <c r="Q52" i="25"/>
  <c r="Q41" i="25"/>
  <c r="Q49" i="25"/>
  <c r="Q48" i="25"/>
  <c r="Q53" i="25"/>
  <c r="Q34" i="23"/>
  <c r="Q32" i="23"/>
  <c r="Q31" i="23"/>
  <c r="Q39" i="23"/>
  <c r="Q33" i="23"/>
  <c r="Q38" i="23"/>
  <c r="Q41" i="23"/>
  <c r="Q30" i="23"/>
  <c r="Q29" i="23"/>
  <c r="Q27" i="23"/>
  <c r="Q36" i="23"/>
  <c r="Q40" i="23"/>
  <c r="Q35" i="23"/>
  <c r="Q37" i="23"/>
  <c r="N30" i="34"/>
  <c r="N24" i="34"/>
  <c r="K37" i="34"/>
  <c r="K39" i="34" s="1"/>
  <c r="N27" i="34"/>
  <c r="N31" i="34"/>
  <c r="N29" i="34"/>
  <c r="N33" i="34"/>
  <c r="N25" i="34"/>
  <c r="M37" i="34"/>
  <c r="M39" i="34" s="1"/>
  <c r="N32" i="34"/>
  <c r="N28" i="34"/>
  <c r="N60" i="24"/>
  <c r="N65" i="24"/>
  <c r="M86" i="24"/>
  <c r="N63" i="24"/>
  <c r="N81" i="24"/>
  <c r="K86" i="24"/>
  <c r="K87" i="24" s="1"/>
  <c r="N49" i="24"/>
  <c r="N79" i="24"/>
  <c r="N80" i="24"/>
  <c r="N55" i="24"/>
  <c r="N61" i="24"/>
  <c r="N59" i="24"/>
  <c r="N77" i="24"/>
  <c r="N76" i="24"/>
  <c r="N64" i="24"/>
  <c r="N53" i="24"/>
  <c r="N68" i="24"/>
  <c r="N73" i="24"/>
  <c r="N71" i="24"/>
  <c r="N51" i="24"/>
  <c r="N67" i="24"/>
  <c r="R26" i="22"/>
  <c r="R25" i="22"/>
  <c r="R29" i="22"/>
  <c r="O70" i="21"/>
  <c r="O87" i="21"/>
  <c r="O86" i="21"/>
  <c r="O65" i="21"/>
  <c r="O62" i="21"/>
  <c r="O98" i="21"/>
  <c r="O58" i="21"/>
  <c r="O99" i="21"/>
  <c r="O101" i="21"/>
  <c r="O64" i="21"/>
  <c r="O63" i="21"/>
  <c r="O88" i="21"/>
  <c r="O83" i="21"/>
  <c r="O68" i="21"/>
  <c r="O81" i="21"/>
  <c r="O103" i="21"/>
  <c r="O102" i="21"/>
  <c r="O76" i="21"/>
  <c r="O71" i="21"/>
  <c r="O74" i="21"/>
  <c r="O61" i="21"/>
  <c r="K12" i="20"/>
  <c r="M12" i="20"/>
  <c r="L12" i="20"/>
  <c r="M13" i="20"/>
  <c r="L13" i="20"/>
  <c r="K13" i="20"/>
  <c r="M14" i="20"/>
  <c r="L14" i="20"/>
  <c r="K14" i="20"/>
  <c r="Q21" i="26" l="1"/>
  <c r="I332" i="49" s="1"/>
  <c r="Q14" i="25"/>
  <c r="I192" i="49" s="1"/>
  <c r="N14" i="20"/>
  <c r="N13" i="20"/>
  <c r="N12" i="20"/>
  <c r="G26" i="27" l="1"/>
  <c r="M24" i="27"/>
  <c r="Q24" i="27" s="1"/>
  <c r="J24" i="27"/>
  <c r="N24" i="27" s="1"/>
  <c r="M23" i="27"/>
  <c r="Q23" i="27" s="1"/>
  <c r="J23" i="27"/>
  <c r="N23" i="27" s="1"/>
  <c r="M22" i="27"/>
  <c r="P22" i="27" s="1"/>
  <c r="J22" i="27"/>
  <c r="N22" i="27" s="1"/>
  <c r="P21" i="27"/>
  <c r="M21" i="27"/>
  <c r="O21" i="27" s="1"/>
  <c r="J21" i="27"/>
  <c r="N21" i="27" s="1"/>
  <c r="M20" i="27"/>
  <c r="Q20" i="27" s="1"/>
  <c r="J20" i="27"/>
  <c r="N20" i="27" s="1"/>
  <c r="M19" i="27"/>
  <c r="Q19" i="27" s="1"/>
  <c r="J19" i="27"/>
  <c r="N19" i="27" s="1"/>
  <c r="M18" i="27"/>
  <c r="O18" i="27" s="1"/>
  <c r="J18" i="27"/>
  <c r="N18" i="27" s="1"/>
  <c r="M17" i="27"/>
  <c r="O17" i="27" s="1"/>
  <c r="J17" i="27"/>
  <c r="N17" i="27" s="1"/>
  <c r="B2" i="46"/>
  <c r="F13" i="11"/>
  <c r="F6" i="11"/>
  <c r="C18" i="11"/>
  <c r="F45" i="11"/>
  <c r="I45" i="11"/>
  <c r="I44" i="11"/>
  <c r="I43" i="11"/>
  <c r="I42" i="11"/>
  <c r="G42" i="11"/>
  <c r="F41" i="11"/>
  <c r="I40" i="11"/>
  <c r="I39" i="11"/>
  <c r="G38" i="11"/>
  <c r="I37" i="11"/>
  <c r="I36" i="11"/>
  <c r="G35" i="11"/>
  <c r="C47" i="11"/>
  <c r="D47" i="11" s="1"/>
  <c r="I34" i="11" l="1"/>
  <c r="F40" i="11"/>
  <c r="G40" i="11"/>
  <c r="J40" i="11" s="1"/>
  <c r="I35" i="11"/>
  <c r="G41" i="11"/>
  <c r="J41" i="11" s="1"/>
  <c r="G45" i="11"/>
  <c r="J45" i="11" s="1"/>
  <c r="I41" i="11"/>
  <c r="O19" i="27"/>
  <c r="P20" i="27"/>
  <c r="O20" i="27"/>
  <c r="Q22" i="27"/>
  <c r="P19" i="27"/>
  <c r="R19" i="27" s="1"/>
  <c r="Q21" i="27"/>
  <c r="R21" i="27" s="1"/>
  <c r="Q18" i="27"/>
  <c r="O24" i="27"/>
  <c r="P18" i="27"/>
  <c r="Q17" i="27"/>
  <c r="O23" i="27"/>
  <c r="P24" i="27"/>
  <c r="P17" i="27"/>
  <c r="O22" i="27"/>
  <c r="P23" i="27"/>
  <c r="K13" i="11"/>
  <c r="K6" i="11"/>
  <c r="J38" i="11"/>
  <c r="H38" i="11"/>
  <c r="J42" i="11"/>
  <c r="H42" i="11"/>
  <c r="H35" i="11"/>
  <c r="J35" i="11"/>
  <c r="F38" i="11"/>
  <c r="F37" i="11"/>
  <c r="G36" i="11"/>
  <c r="F43" i="11"/>
  <c r="G44" i="11"/>
  <c r="G37" i="11"/>
  <c r="I38" i="11"/>
  <c r="F34" i="11"/>
  <c r="F42" i="11"/>
  <c r="G43" i="11"/>
  <c r="F39" i="11"/>
  <c r="H41" i="11"/>
  <c r="G39" i="11"/>
  <c r="H40" i="11"/>
  <c r="K40" i="11" s="1"/>
  <c r="F36" i="11"/>
  <c r="F44" i="11"/>
  <c r="F35" i="11"/>
  <c r="G34" i="11"/>
  <c r="R20" i="27" l="1"/>
  <c r="H45" i="11"/>
  <c r="K45" i="11" s="1"/>
  <c r="K41" i="11"/>
  <c r="R22" i="27"/>
  <c r="R24" i="27"/>
  <c r="R17" i="27"/>
  <c r="R18" i="27"/>
  <c r="R23" i="27"/>
  <c r="K42" i="11"/>
  <c r="K35" i="11"/>
  <c r="J34" i="11"/>
  <c r="H34" i="11"/>
  <c r="J43" i="11"/>
  <c r="H43" i="11"/>
  <c r="H36" i="11"/>
  <c r="J36" i="11"/>
  <c r="J39" i="11"/>
  <c r="H39" i="11"/>
  <c r="J44" i="11"/>
  <c r="H44" i="11"/>
  <c r="J37" i="11"/>
  <c r="H37" i="11"/>
  <c r="K38" i="11"/>
  <c r="E92" i="2"/>
  <c r="E91" i="2"/>
  <c r="E90" i="2"/>
  <c r="E89" i="2"/>
  <c r="E88" i="2"/>
  <c r="E87" i="2"/>
  <c r="E86" i="2"/>
  <c r="E85" i="2"/>
  <c r="E84" i="2"/>
  <c r="E83" i="2"/>
  <c r="E82" i="2"/>
  <c r="F82" i="2" s="1"/>
  <c r="E81" i="2"/>
  <c r="E80" i="2"/>
  <c r="E79" i="2"/>
  <c r="E78" i="2"/>
  <c r="E77" i="2"/>
  <c r="E76" i="2"/>
  <c r="E75" i="2"/>
  <c r="E74" i="2"/>
  <c r="F74" i="2" s="1"/>
  <c r="E73" i="2"/>
  <c r="E72" i="2"/>
  <c r="E71" i="2"/>
  <c r="E70" i="2"/>
  <c r="E69" i="2"/>
  <c r="E68" i="2"/>
  <c r="E67" i="2"/>
  <c r="E66" i="2"/>
  <c r="H66" i="2" s="1"/>
  <c r="E65" i="2"/>
  <c r="E64" i="2"/>
  <c r="E63" i="2"/>
  <c r="E62" i="2"/>
  <c r="E61" i="2"/>
  <c r="E60" i="2"/>
  <c r="E59" i="2"/>
  <c r="E58" i="2"/>
  <c r="H58" i="2" s="1"/>
  <c r="E57" i="2"/>
  <c r="E56" i="2"/>
  <c r="E55" i="2"/>
  <c r="E54" i="2"/>
  <c r="E53" i="2"/>
  <c r="E52" i="2"/>
  <c r="E51" i="2"/>
  <c r="E27" i="30"/>
  <c r="I27" i="30" s="1"/>
  <c r="I26" i="30"/>
  <c r="E26" i="30"/>
  <c r="F26" i="30" s="1"/>
  <c r="E25" i="30"/>
  <c r="F25" i="30" s="1"/>
  <c r="E24" i="30"/>
  <c r="I24" i="30" s="1"/>
  <c r="E23" i="30"/>
  <c r="G23" i="30" s="1"/>
  <c r="E22" i="30"/>
  <c r="I22" i="30" s="1"/>
  <c r="E21" i="30"/>
  <c r="G21" i="30" s="1"/>
  <c r="J20" i="30"/>
  <c r="E20" i="30"/>
  <c r="E4" i="5"/>
  <c r="E5" i="5"/>
  <c r="E6" i="5"/>
  <c r="E7" i="5"/>
  <c r="E8" i="5"/>
  <c r="E9" i="5"/>
  <c r="E10" i="5"/>
  <c r="E3" i="5"/>
  <c r="I25" i="5"/>
  <c r="E25" i="5"/>
  <c r="H25" i="5" s="1"/>
  <c r="H24" i="5"/>
  <c r="E24" i="5"/>
  <c r="F24" i="5" s="1"/>
  <c r="E23" i="5"/>
  <c r="I23" i="5" s="1"/>
  <c r="E22" i="5"/>
  <c r="I22" i="5" s="1"/>
  <c r="I21" i="5"/>
  <c r="E21" i="5"/>
  <c r="H21" i="5" s="1"/>
  <c r="H20" i="5"/>
  <c r="F20" i="5"/>
  <c r="E20" i="5"/>
  <c r="I20" i="5" s="1"/>
  <c r="E19" i="5"/>
  <c r="F19" i="5" s="1"/>
  <c r="J18" i="5"/>
  <c r="E18" i="5"/>
  <c r="E46" i="7"/>
  <c r="I43" i="7"/>
  <c r="H43" i="7"/>
  <c r="G43" i="7"/>
  <c r="F43" i="7"/>
  <c r="I42" i="7"/>
  <c r="H42" i="7"/>
  <c r="G42" i="7"/>
  <c r="F42" i="7"/>
  <c r="I41" i="7"/>
  <c r="H41" i="7"/>
  <c r="G41" i="7"/>
  <c r="F41" i="7"/>
  <c r="I40" i="7"/>
  <c r="H40" i="7"/>
  <c r="G40" i="7"/>
  <c r="F40" i="7"/>
  <c r="I39" i="7"/>
  <c r="H39" i="7"/>
  <c r="G39" i="7"/>
  <c r="F39" i="7"/>
  <c r="I38" i="7"/>
  <c r="H38" i="7"/>
  <c r="G38" i="7"/>
  <c r="F38" i="7"/>
  <c r="I37" i="7"/>
  <c r="H37" i="7"/>
  <c r="G37" i="7"/>
  <c r="F37" i="7"/>
  <c r="I36" i="7"/>
  <c r="H36" i="7"/>
  <c r="G36" i="7"/>
  <c r="F36" i="7"/>
  <c r="H22" i="30" l="1"/>
  <c r="F23" i="30"/>
  <c r="H23" i="30"/>
  <c r="I23" i="30"/>
  <c r="E12" i="5"/>
  <c r="K37" i="11"/>
  <c r="K43" i="11"/>
  <c r="K36" i="11"/>
  <c r="K39" i="11"/>
  <c r="K44" i="11"/>
  <c r="K34" i="11"/>
  <c r="G85" i="2"/>
  <c r="I85" i="2"/>
  <c r="H85" i="2"/>
  <c r="J42" i="7"/>
  <c r="G65" i="2"/>
  <c r="F65" i="2"/>
  <c r="H65" i="2"/>
  <c r="I65" i="2"/>
  <c r="F72" i="2"/>
  <c r="I72" i="2"/>
  <c r="H72" i="2"/>
  <c r="G72" i="2"/>
  <c r="I79" i="2"/>
  <c r="H79" i="2"/>
  <c r="G79" i="2"/>
  <c r="F79" i="2"/>
  <c r="I91" i="2"/>
  <c r="H91" i="2"/>
  <c r="G91" i="2"/>
  <c r="F91" i="2"/>
  <c r="I87" i="2"/>
  <c r="H87" i="2"/>
  <c r="G87" i="2"/>
  <c r="F87" i="2"/>
  <c r="F73" i="2"/>
  <c r="G73" i="2"/>
  <c r="I73" i="2"/>
  <c r="H73" i="2"/>
  <c r="F80" i="2"/>
  <c r="I80" i="2"/>
  <c r="H80" i="2"/>
  <c r="G80" i="2"/>
  <c r="I92" i="2"/>
  <c r="H92" i="2"/>
  <c r="G92" i="2"/>
  <c r="J92" i="2" s="1"/>
  <c r="F92" i="2"/>
  <c r="I52" i="2"/>
  <c r="G52" i="2"/>
  <c r="F52" i="2"/>
  <c r="H52" i="2"/>
  <c r="I59" i="2"/>
  <c r="H59" i="2"/>
  <c r="F59" i="2"/>
  <c r="G59" i="2"/>
  <c r="G81" i="2"/>
  <c r="F81" i="2"/>
  <c r="I81" i="2"/>
  <c r="H81" i="2"/>
  <c r="F67" i="2"/>
  <c r="H67" i="2"/>
  <c r="I67" i="2"/>
  <c r="G67" i="2"/>
  <c r="I69" i="2"/>
  <c r="G69" i="2"/>
  <c r="H69" i="2"/>
  <c r="F69" i="2"/>
  <c r="I83" i="2"/>
  <c r="G83" i="2"/>
  <c r="F83" i="2"/>
  <c r="H83" i="2"/>
  <c r="F88" i="2"/>
  <c r="I88" i="2"/>
  <c r="H88" i="2"/>
  <c r="G88" i="2"/>
  <c r="H54" i="2"/>
  <c r="G54" i="2"/>
  <c r="F54" i="2"/>
  <c r="I54" i="2"/>
  <c r="F68" i="2"/>
  <c r="I68" i="2"/>
  <c r="H68" i="2"/>
  <c r="G68" i="2"/>
  <c r="H62" i="2"/>
  <c r="I62" i="2"/>
  <c r="G62" i="2"/>
  <c r="F62" i="2"/>
  <c r="F56" i="2"/>
  <c r="G56" i="2"/>
  <c r="I56" i="2"/>
  <c r="H56" i="2"/>
  <c r="I63" i="2"/>
  <c r="H63" i="2"/>
  <c r="G63" i="2"/>
  <c r="F63" i="2"/>
  <c r="H70" i="2"/>
  <c r="G70" i="2"/>
  <c r="I70" i="2"/>
  <c r="F70" i="2"/>
  <c r="H77" i="2"/>
  <c r="G77" i="2"/>
  <c r="I77" i="2"/>
  <c r="F77" i="2"/>
  <c r="H84" i="2"/>
  <c r="G84" i="2"/>
  <c r="F84" i="2"/>
  <c r="I84" i="2"/>
  <c r="G89" i="2"/>
  <c r="F89" i="2"/>
  <c r="I89" i="2"/>
  <c r="H89" i="2"/>
  <c r="H51" i="2"/>
  <c r="G51" i="2"/>
  <c r="F51" i="2"/>
  <c r="I51" i="2"/>
  <c r="H53" i="2"/>
  <c r="G53" i="2"/>
  <c r="F53" i="2"/>
  <c r="I53" i="2"/>
  <c r="H60" i="2"/>
  <c r="G60" i="2"/>
  <c r="F60" i="2"/>
  <c r="I60" i="2"/>
  <c r="I86" i="2"/>
  <c r="H86" i="2"/>
  <c r="G86" i="2"/>
  <c r="F86" i="2"/>
  <c r="G61" i="2"/>
  <c r="F61" i="2"/>
  <c r="H61" i="2"/>
  <c r="I61" i="2"/>
  <c r="I75" i="2"/>
  <c r="H75" i="2"/>
  <c r="G75" i="2"/>
  <c r="F75" i="2"/>
  <c r="I55" i="2"/>
  <c r="G55" i="2"/>
  <c r="H55" i="2"/>
  <c r="F55" i="2"/>
  <c r="G76" i="2"/>
  <c r="F76" i="2"/>
  <c r="H76" i="2"/>
  <c r="I76" i="2"/>
  <c r="F57" i="2"/>
  <c r="H57" i="2"/>
  <c r="I57" i="2"/>
  <c r="G57" i="2"/>
  <c r="G64" i="2"/>
  <c r="I64" i="2"/>
  <c r="H64" i="2"/>
  <c r="F64" i="2"/>
  <c r="I71" i="2"/>
  <c r="H71" i="2"/>
  <c r="G71" i="2"/>
  <c r="F71" i="2"/>
  <c r="I78" i="2"/>
  <c r="H78" i="2"/>
  <c r="G78" i="2"/>
  <c r="F78" i="2"/>
  <c r="H90" i="2"/>
  <c r="G90" i="2"/>
  <c r="F90" i="2"/>
  <c r="I90" i="2"/>
  <c r="I74" i="2"/>
  <c r="I82" i="2"/>
  <c r="F58" i="2"/>
  <c r="G58" i="2"/>
  <c r="G66" i="2"/>
  <c r="G82" i="2"/>
  <c r="I58" i="2"/>
  <c r="G74" i="2"/>
  <c r="F85" i="2"/>
  <c r="H74" i="2"/>
  <c r="H82" i="2"/>
  <c r="I66" i="2"/>
  <c r="F66" i="2"/>
  <c r="F22" i="30"/>
  <c r="G22" i="30"/>
  <c r="G26" i="30"/>
  <c r="H26" i="30"/>
  <c r="G25" i="30"/>
  <c r="H21" i="30"/>
  <c r="F24" i="30"/>
  <c r="H25" i="30"/>
  <c r="I21" i="30"/>
  <c r="G24" i="30"/>
  <c r="I25" i="30"/>
  <c r="H24" i="30"/>
  <c r="F27" i="30"/>
  <c r="F21" i="30"/>
  <c r="G27" i="30"/>
  <c r="H27" i="30"/>
  <c r="G20" i="5"/>
  <c r="J20" i="5" s="1"/>
  <c r="G24" i="5"/>
  <c r="I24" i="5"/>
  <c r="F23" i="5"/>
  <c r="H19" i="5"/>
  <c r="F22" i="5"/>
  <c r="H23" i="5"/>
  <c r="G19" i="5"/>
  <c r="G23" i="5"/>
  <c r="I19" i="5"/>
  <c r="G22" i="5"/>
  <c r="F21" i="5"/>
  <c r="H22" i="5"/>
  <c r="F25" i="5"/>
  <c r="G21" i="5"/>
  <c r="J21" i="5" s="1"/>
  <c r="G25" i="5"/>
  <c r="J25" i="5" s="1"/>
  <c r="J43" i="7"/>
  <c r="J38" i="7"/>
  <c r="H46" i="7"/>
  <c r="J37" i="7"/>
  <c r="J41" i="7"/>
  <c r="J39" i="7"/>
  <c r="J40" i="7"/>
  <c r="J36" i="7"/>
  <c r="J23" i="30" l="1"/>
  <c r="J22" i="30"/>
  <c r="H6" i="102"/>
  <c r="G358" i="49" s="1"/>
  <c r="G6" i="102"/>
  <c r="F6" i="102"/>
  <c r="E358" i="49" s="1"/>
  <c r="H3" i="102"/>
  <c r="G355" i="49" s="1"/>
  <c r="G3" i="102"/>
  <c r="F355" i="49" s="1"/>
  <c r="F3" i="102"/>
  <c r="E355" i="49" s="1"/>
  <c r="H7" i="102"/>
  <c r="G359" i="49" s="1"/>
  <c r="F7" i="102"/>
  <c r="E359" i="49" s="1"/>
  <c r="G7" i="102"/>
  <c r="F359" i="49" s="1"/>
  <c r="H8" i="102"/>
  <c r="G360" i="49" s="1"/>
  <c r="F8" i="102"/>
  <c r="E360" i="49" s="1"/>
  <c r="G8" i="102"/>
  <c r="F360" i="49" s="1"/>
  <c r="F9" i="102"/>
  <c r="E361" i="49" s="1"/>
  <c r="H9" i="102"/>
  <c r="G361" i="49" s="1"/>
  <c r="G9" i="102"/>
  <c r="F4" i="102"/>
  <c r="E356" i="49" s="1"/>
  <c r="H4" i="102"/>
  <c r="G356" i="49" s="1"/>
  <c r="G4" i="102"/>
  <c r="F356" i="49" s="1"/>
  <c r="F5" i="102"/>
  <c r="E357" i="49" s="1"/>
  <c r="H5" i="102"/>
  <c r="G357" i="49" s="1"/>
  <c r="G5" i="102"/>
  <c r="F357" i="49" s="1"/>
  <c r="H10" i="102"/>
  <c r="G362" i="49" s="1"/>
  <c r="G10" i="102"/>
  <c r="F10" i="102"/>
  <c r="E362" i="49" s="1"/>
  <c r="J85" i="2"/>
  <c r="J58" i="2"/>
  <c r="J23" i="5"/>
  <c r="J22" i="5"/>
  <c r="J77" i="2"/>
  <c r="J24" i="5"/>
  <c r="J64" i="2"/>
  <c r="J90" i="2"/>
  <c r="J55" i="2"/>
  <c r="J60" i="2"/>
  <c r="J51" i="2"/>
  <c r="J84" i="2"/>
  <c r="J70" i="2"/>
  <c r="J56" i="2"/>
  <c r="J61" i="2"/>
  <c r="J81" i="2"/>
  <c r="J67" i="2"/>
  <c r="J59" i="2"/>
  <c r="J72" i="2"/>
  <c r="J78" i="2"/>
  <c r="J75" i="2"/>
  <c r="J86" i="2"/>
  <c r="J63" i="2"/>
  <c r="J62" i="2"/>
  <c r="J91" i="2"/>
  <c r="J53" i="2"/>
  <c r="J54" i="2"/>
  <c r="J83" i="2"/>
  <c r="J73" i="2"/>
  <c r="J76" i="2"/>
  <c r="J89" i="2"/>
  <c r="J74" i="2"/>
  <c r="J57" i="2"/>
  <c r="J68" i="2"/>
  <c r="J88" i="2"/>
  <c r="J80" i="2"/>
  <c r="J71" i="2"/>
  <c r="J87" i="2"/>
  <c r="J79" i="2"/>
  <c r="J82" i="2"/>
  <c r="J69" i="2"/>
  <c r="J52" i="2"/>
  <c r="J66" i="2"/>
  <c r="J65" i="2"/>
  <c r="J21" i="30"/>
  <c r="J26" i="30"/>
  <c r="J24" i="30"/>
  <c r="J27" i="30"/>
  <c r="J25" i="30"/>
  <c r="J19" i="5"/>
  <c r="J6" i="102" l="1"/>
  <c r="I358" i="49" s="1"/>
  <c r="F358" i="49"/>
  <c r="J10" i="102"/>
  <c r="I362" i="49" s="1"/>
  <c r="F362" i="49"/>
  <c r="J9" i="102"/>
  <c r="I361" i="49" s="1"/>
  <c r="F361" i="49"/>
  <c r="J5" i="102"/>
  <c r="I357" i="49" s="1"/>
  <c r="J8" i="102"/>
  <c r="I360" i="49" s="1"/>
  <c r="J3" i="102"/>
  <c r="I355" i="49" s="1"/>
  <c r="J4" i="102"/>
  <c r="I356" i="49" s="1"/>
  <c r="J7" i="102"/>
  <c r="I359" i="49" s="1"/>
  <c r="AH6" i="46"/>
  <c r="AH7" i="46"/>
  <c r="AH8" i="46"/>
  <c r="AH9" i="46"/>
  <c r="AH10" i="46"/>
  <c r="AH11" i="46"/>
  <c r="AH12" i="46"/>
  <c r="AH13" i="46"/>
  <c r="AH14" i="46"/>
  <c r="AH15" i="46"/>
  <c r="AH16" i="46"/>
  <c r="AH17" i="46"/>
  <c r="AH18" i="46"/>
  <c r="AH19" i="46"/>
  <c r="AH20" i="46"/>
  <c r="AH21" i="46"/>
  <c r="AH22" i="46"/>
  <c r="AH23" i="46"/>
  <c r="AH24" i="46"/>
  <c r="AH25" i="46"/>
  <c r="AH26" i="46"/>
  <c r="AH27" i="46"/>
  <c r="AH28" i="46"/>
  <c r="AH29" i="46"/>
  <c r="AH30" i="46"/>
  <c r="AH31" i="46"/>
  <c r="AH32" i="46"/>
  <c r="AH33" i="46"/>
  <c r="AH34" i="46"/>
  <c r="AH35" i="46"/>
  <c r="AH36" i="46"/>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H77" i="46"/>
  <c r="AH78" i="46"/>
  <c r="AH79" i="46"/>
  <c r="AH80" i="46"/>
  <c r="AH81" i="46"/>
  <c r="AH82" i="46"/>
  <c r="AH83" i="46"/>
  <c r="AH84" i="46"/>
  <c r="AH85" i="46"/>
  <c r="AH86" i="46"/>
  <c r="AH87" i="46"/>
  <c r="AH88" i="46"/>
  <c r="AH89" i="46"/>
  <c r="AH90" i="46"/>
  <c r="AH91" i="46"/>
  <c r="AH92" i="46"/>
  <c r="AH93" i="46"/>
  <c r="AH94" i="46"/>
  <c r="AH95" i="46"/>
  <c r="AH96" i="46"/>
  <c r="AH97" i="46"/>
  <c r="AH98" i="46"/>
  <c r="AH99" i="46"/>
  <c r="AH100" i="46"/>
  <c r="AH101" i="46"/>
  <c r="AH102" i="46"/>
  <c r="AH103" i="46"/>
  <c r="AH104" i="46"/>
  <c r="AH105" i="46"/>
  <c r="AH106" i="46"/>
  <c r="AH107" i="46"/>
  <c r="AH108" i="46"/>
  <c r="AH109" i="46"/>
  <c r="AH110" i="46"/>
  <c r="AH111" i="46"/>
  <c r="AH112" i="46"/>
  <c r="AH113" i="46"/>
  <c r="AH114" i="46"/>
  <c r="AH115" i="46"/>
  <c r="AH116" i="46"/>
  <c r="AH117" i="46"/>
  <c r="AH118" i="46"/>
  <c r="AH119" i="46"/>
  <c r="AH120" i="46"/>
  <c r="AH121" i="46"/>
  <c r="AH122" i="46"/>
  <c r="AH123" i="46"/>
  <c r="AH124" i="46"/>
  <c r="AH125" i="46"/>
  <c r="AH126" i="46"/>
  <c r="AH127"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H149" i="46"/>
  <c r="AH150" i="46"/>
  <c r="AH151" i="46"/>
  <c r="AH152" i="46"/>
  <c r="AH153" i="46"/>
  <c r="AH154" i="46"/>
  <c r="AH155" i="46"/>
  <c r="AH156" i="46"/>
  <c r="AH157" i="46"/>
  <c r="AH158" i="46"/>
  <c r="AH159" i="46"/>
  <c r="AH160" i="46"/>
  <c r="AH161" i="46"/>
  <c r="AH162" i="46"/>
  <c r="AH163" i="46"/>
  <c r="AH164" i="46"/>
  <c r="AH165" i="46"/>
  <c r="AH166" i="46"/>
  <c r="AH167" i="46"/>
  <c r="AH168" i="46"/>
  <c r="AH169" i="46"/>
  <c r="AH170" i="46"/>
  <c r="AH171" i="46"/>
  <c r="AH172" i="46"/>
  <c r="AH173" i="46"/>
  <c r="AH174" i="46"/>
  <c r="AH175" i="46"/>
  <c r="AH176" i="46"/>
  <c r="AH177" i="46"/>
  <c r="AH178" i="46"/>
  <c r="AH179" i="46"/>
  <c r="AH180" i="46"/>
  <c r="AH181" i="46"/>
  <c r="AH182" i="46"/>
  <c r="AH183" i="46"/>
  <c r="AH184" i="46"/>
  <c r="AH185" i="46"/>
  <c r="AH186" i="46"/>
  <c r="AH187" i="46"/>
  <c r="AH188" i="46"/>
  <c r="AH189" i="46"/>
  <c r="AH190" i="46"/>
  <c r="AH191" i="46"/>
  <c r="AH192" i="46"/>
  <c r="AH193" i="46"/>
  <c r="AH194" i="46"/>
  <c r="AH195" i="46"/>
  <c r="AH196" i="46"/>
  <c r="AH197" i="46"/>
  <c r="AH198" i="46"/>
  <c r="AH199" i="46"/>
  <c r="AH200" i="46"/>
  <c r="AH201" i="46"/>
  <c r="AH202" i="46"/>
  <c r="AH203" i="46"/>
  <c r="AH204" i="46"/>
  <c r="AH205" i="46"/>
  <c r="AH206" i="46"/>
  <c r="AH207" i="46"/>
  <c r="AH208" i="46"/>
  <c r="AH209" i="46"/>
  <c r="AH210" i="46"/>
  <c r="AH211" i="46"/>
  <c r="AH212" i="46"/>
  <c r="AH213" i="46"/>
  <c r="AH214" i="46"/>
  <c r="AH215" i="46"/>
  <c r="AH216" i="46"/>
  <c r="AH217" i="46"/>
  <c r="AH218" i="46"/>
  <c r="AH219" i="46"/>
  <c r="AH220" i="46"/>
  <c r="AH221" i="46"/>
  <c r="AH222" i="46"/>
  <c r="AH223" i="46"/>
  <c r="AH224" i="46"/>
  <c r="AH225" i="46"/>
  <c r="AH226" i="46"/>
  <c r="AH227" i="46"/>
  <c r="AH228" i="46"/>
  <c r="AH229" i="46"/>
  <c r="AH230" i="46"/>
  <c r="AH231" i="46"/>
  <c r="AH232" i="46"/>
  <c r="AH233" i="46"/>
  <c r="AH234" i="46"/>
  <c r="AH235" i="46"/>
  <c r="AH236" i="46"/>
  <c r="AH237" i="46"/>
  <c r="AH238" i="46"/>
  <c r="AH239" i="46"/>
  <c r="AH240" i="46"/>
  <c r="AH241" i="46"/>
  <c r="AH242" i="46"/>
  <c r="AH243" i="46"/>
  <c r="AH244" i="46"/>
  <c r="AH245" i="46"/>
  <c r="AH246" i="46"/>
  <c r="AH247" i="46"/>
  <c r="AH248" i="46"/>
  <c r="AH249" i="46"/>
  <c r="AH250" i="46"/>
  <c r="AH251" i="46"/>
  <c r="AH252" i="46"/>
  <c r="AH253" i="46"/>
  <c r="AH254" i="46"/>
  <c r="AH255" i="46"/>
  <c r="AH256" i="46"/>
  <c r="AH257" i="46"/>
  <c r="AH258" i="46"/>
  <c r="AH259" i="46"/>
  <c r="AH260" i="46"/>
  <c r="AH261" i="46"/>
  <c r="AH262" i="46"/>
  <c r="AH263" i="46"/>
  <c r="AH264" i="46"/>
  <c r="AH265" i="46"/>
  <c r="AH266" i="46"/>
  <c r="AH267" i="46"/>
  <c r="AH268" i="46"/>
  <c r="AH269" i="46"/>
  <c r="AH270" i="46"/>
  <c r="AH271" i="46"/>
  <c r="AH272" i="46"/>
  <c r="AH273" i="46"/>
  <c r="AH274" i="46"/>
  <c r="AH275" i="46"/>
  <c r="AH276" i="46"/>
  <c r="AH277" i="46"/>
  <c r="AH278" i="46"/>
  <c r="AH279" i="46"/>
  <c r="AH280" i="46"/>
  <c r="AH281" i="46"/>
  <c r="AH282" i="46"/>
  <c r="AH283" i="46"/>
  <c r="AH284" i="46"/>
  <c r="AH285" i="46"/>
  <c r="AH286" i="46"/>
  <c r="AH287" i="46"/>
  <c r="AH288" i="46"/>
  <c r="AH290" i="46"/>
  <c r="AH291" i="46"/>
  <c r="AH292" i="46"/>
  <c r="AH293" i="46"/>
  <c r="AH294" i="46"/>
  <c r="AH295" i="46"/>
  <c r="AH296" i="46"/>
  <c r="AH297" i="46"/>
  <c r="AH299" i="46"/>
  <c r="AH300" i="46"/>
  <c r="AH301" i="46"/>
  <c r="AH302" i="46"/>
  <c r="AH303" i="46"/>
  <c r="AH304" i="46"/>
  <c r="AH305" i="46"/>
  <c r="AH306" i="46"/>
  <c r="AH307" i="46"/>
  <c r="AH308" i="46"/>
  <c r="AH309" i="46"/>
  <c r="AH310" i="46"/>
  <c r="AH311" i="46"/>
  <c r="AH312" i="46"/>
  <c r="AH313" i="46"/>
  <c r="AH314" i="46"/>
  <c r="AH315" i="46"/>
  <c r="AH316" i="46"/>
  <c r="AH317" i="46"/>
  <c r="AH318" i="46"/>
  <c r="AH319" i="46"/>
  <c r="AH320" i="46"/>
  <c r="AH321" i="46"/>
  <c r="AH322" i="46"/>
  <c r="AH323" i="46"/>
  <c r="AH324" i="46"/>
  <c r="AH325" i="46"/>
  <c r="AH326" i="46"/>
  <c r="AH327" i="46"/>
  <c r="AH328" i="46"/>
  <c r="AH329" i="46"/>
  <c r="AH330" i="46"/>
  <c r="AH331" i="46"/>
  <c r="AH332" i="46"/>
  <c r="AH333" i="46"/>
  <c r="AH334" i="46"/>
  <c r="AH335" i="46"/>
  <c r="AH336" i="46"/>
  <c r="AH337" i="46"/>
  <c r="AH340" i="46"/>
  <c r="AH341" i="46"/>
  <c r="AH342" i="46"/>
  <c r="AH343" i="46"/>
  <c r="AH344" i="46"/>
  <c r="AH345" i="46"/>
  <c r="AH346" i="46"/>
  <c r="AH347" i="46"/>
  <c r="AH348" i="46"/>
  <c r="AH349" i="46"/>
  <c r="AH350" i="46"/>
  <c r="AH351" i="46"/>
  <c r="AH352" i="46"/>
  <c r="AH353" i="46"/>
  <c r="AH354" i="46"/>
  <c r="AH355" i="46"/>
  <c r="AH356" i="46"/>
  <c r="AH357" i="46"/>
  <c r="AH358" i="46"/>
  <c r="AH359" i="46"/>
  <c r="AH360" i="46"/>
  <c r="AH361" i="46"/>
  <c r="AH362" i="46"/>
  <c r="AH363" i="46"/>
  <c r="AH364" i="46"/>
  <c r="AH365" i="46"/>
  <c r="AH366" i="46"/>
  <c r="AH367" i="46"/>
  <c r="AH368" i="46"/>
  <c r="AH369" i="46"/>
  <c r="AH370" i="46"/>
  <c r="AH371" i="46"/>
  <c r="AH372" i="46"/>
  <c r="AH373" i="46"/>
  <c r="AH374" i="46"/>
  <c r="AH375" i="46"/>
  <c r="AH376" i="46"/>
  <c r="AH377" i="46"/>
  <c r="AH378" i="46"/>
  <c r="AH379" i="46"/>
  <c r="AH380" i="46"/>
  <c r="AH381" i="46"/>
  <c r="AH382" i="46"/>
  <c r="AH383" i="46"/>
  <c r="AH384" i="46"/>
  <c r="AH385" i="46"/>
  <c r="AH386" i="46"/>
  <c r="AH387" i="46"/>
  <c r="AH388" i="46"/>
  <c r="AH389" i="46"/>
  <c r="AH390" i="46"/>
  <c r="AH391" i="46"/>
  <c r="AH5" i="46"/>
  <c r="AD388" i="94"/>
  <c r="AC388" i="94"/>
  <c r="AD387" i="94"/>
  <c r="AC387" i="94"/>
  <c r="AD386" i="94"/>
  <c r="AC386" i="94"/>
  <c r="AD385" i="94"/>
  <c r="AC385" i="94"/>
  <c r="AD384" i="94"/>
  <c r="AC384" i="94"/>
  <c r="AD383" i="94"/>
  <c r="AC383" i="94"/>
  <c r="AD382" i="94"/>
  <c r="AC382" i="94"/>
  <c r="AD381" i="94"/>
  <c r="AC381" i="94"/>
  <c r="AD380" i="94"/>
  <c r="AC380" i="94"/>
  <c r="AD379" i="94"/>
  <c r="AC379" i="94"/>
  <c r="AD378" i="94"/>
  <c r="AC378" i="94"/>
  <c r="AD377" i="94"/>
  <c r="AC377" i="94"/>
  <c r="AD376" i="94"/>
  <c r="AC376" i="94"/>
  <c r="X376" i="94"/>
  <c r="S376" i="94"/>
  <c r="AB376" i="94" s="1"/>
  <c r="AD375" i="94"/>
  <c r="AC375" i="94"/>
  <c r="X375" i="94"/>
  <c r="S375" i="94"/>
  <c r="AB375" i="94" s="1"/>
  <c r="AD374" i="94"/>
  <c r="AC374" i="94"/>
  <c r="X374" i="94"/>
  <c r="S374" i="94"/>
  <c r="AB374" i="94" s="1"/>
  <c r="AD373" i="94"/>
  <c r="AC373" i="94"/>
  <c r="X373" i="94"/>
  <c r="S373" i="94"/>
  <c r="AB373" i="94" s="1"/>
  <c r="AD372" i="94"/>
  <c r="AC372" i="94"/>
  <c r="X372" i="94"/>
  <c r="S372" i="94"/>
  <c r="AB372" i="94" s="1"/>
  <c r="AD371" i="94"/>
  <c r="AC371" i="94"/>
  <c r="X371" i="94"/>
  <c r="S371" i="94"/>
  <c r="AB371" i="94" s="1"/>
  <c r="AD370" i="94"/>
  <c r="AC370" i="94"/>
  <c r="X370" i="94"/>
  <c r="S370" i="94"/>
  <c r="AB370" i="94" s="1"/>
  <c r="AD369" i="94"/>
  <c r="AC369" i="94"/>
  <c r="X369" i="94"/>
  <c r="S369" i="94"/>
  <c r="AB369" i="94" s="1"/>
  <c r="AD368" i="94"/>
  <c r="AC368" i="94"/>
  <c r="X368" i="94"/>
  <c r="S368" i="94"/>
  <c r="AB368" i="94" s="1"/>
  <c r="AD367" i="94"/>
  <c r="AC367" i="94"/>
  <c r="X367" i="94"/>
  <c r="S367" i="94"/>
  <c r="AB367" i="94" s="1"/>
  <c r="AD366" i="94"/>
  <c r="AC366" i="94"/>
  <c r="X366" i="94"/>
  <c r="S366" i="94"/>
  <c r="AD365" i="94"/>
  <c r="AC365" i="94"/>
  <c r="X365" i="94"/>
  <c r="S365" i="94"/>
  <c r="AB365" i="94" s="1"/>
  <c r="AD364" i="94"/>
  <c r="AC364" i="94"/>
  <c r="X364" i="94"/>
  <c r="S364" i="94"/>
  <c r="AB364" i="94" s="1"/>
  <c r="AD363" i="94"/>
  <c r="AC363" i="94"/>
  <c r="AD362" i="94"/>
  <c r="AC362" i="94"/>
  <c r="AD361" i="94"/>
  <c r="AC361" i="94"/>
  <c r="AD360" i="94"/>
  <c r="AC360" i="94"/>
  <c r="AD359" i="94"/>
  <c r="AC359" i="94"/>
  <c r="AD358" i="94"/>
  <c r="AC358" i="94"/>
  <c r="AD357" i="94"/>
  <c r="AC357" i="94"/>
  <c r="AD356" i="94"/>
  <c r="AC356" i="94"/>
  <c r="AD355" i="94"/>
  <c r="AC355" i="94"/>
  <c r="AD354" i="94"/>
  <c r="AC354" i="94"/>
  <c r="AD353" i="94"/>
  <c r="AC353" i="94"/>
  <c r="AD352" i="94"/>
  <c r="AC352" i="94"/>
  <c r="AD351" i="94"/>
  <c r="AC351" i="94"/>
  <c r="AD350" i="94"/>
  <c r="AC350" i="94"/>
  <c r="AD349" i="94"/>
  <c r="AC349" i="94"/>
  <c r="AD348" i="94"/>
  <c r="AC348" i="94"/>
  <c r="AD347" i="94"/>
  <c r="AC347" i="94"/>
  <c r="X347" i="94"/>
  <c r="S347" i="94"/>
  <c r="AB347" i="94" s="1"/>
  <c r="AD346" i="94"/>
  <c r="AC346" i="94"/>
  <c r="X346" i="94"/>
  <c r="S346" i="94"/>
  <c r="AB346" i="94" s="1"/>
  <c r="AD345" i="94"/>
  <c r="AC345" i="94"/>
  <c r="X345" i="94"/>
  <c r="S345" i="94"/>
  <c r="AB345" i="94" s="1"/>
  <c r="AD344" i="94"/>
  <c r="AC344" i="94"/>
  <c r="X344" i="94"/>
  <c r="S344" i="94"/>
  <c r="AB344" i="94" s="1"/>
  <c r="AD343" i="94"/>
  <c r="AC343" i="94"/>
  <c r="X343" i="94"/>
  <c r="S343" i="94"/>
  <c r="AB343" i="94" s="1"/>
  <c r="AD342" i="94"/>
  <c r="AC342" i="94"/>
  <c r="X342" i="94"/>
  <c r="S342" i="94"/>
  <c r="AB342" i="94" s="1"/>
  <c r="AD341" i="94"/>
  <c r="AC341" i="94"/>
  <c r="X341" i="94"/>
  <c r="S341" i="94"/>
  <c r="AB341" i="94" s="1"/>
  <c r="AD340" i="94"/>
  <c r="AC340" i="94"/>
  <c r="X340" i="94"/>
  <c r="S340" i="94"/>
  <c r="AB340" i="94" s="1"/>
  <c r="X339" i="94"/>
  <c r="X338" i="94"/>
  <c r="X337" i="94"/>
  <c r="AD336" i="94"/>
  <c r="AC336" i="94"/>
  <c r="X336" i="94"/>
  <c r="S336" i="94"/>
  <c r="AB336" i="94" s="1"/>
  <c r="AD335" i="94"/>
  <c r="AC335" i="94"/>
  <c r="X335" i="94"/>
  <c r="S335" i="94"/>
  <c r="AB335" i="94" s="1"/>
  <c r="AD334" i="94"/>
  <c r="AC334" i="94"/>
  <c r="X334" i="94"/>
  <c r="S334" i="94"/>
  <c r="AB334" i="94" s="1"/>
  <c r="AD333" i="94"/>
  <c r="AC333" i="94"/>
  <c r="X333" i="94"/>
  <c r="S333" i="94"/>
  <c r="AB333" i="94" s="1"/>
  <c r="AD332" i="94"/>
  <c r="AC332" i="94"/>
  <c r="X332" i="94"/>
  <c r="S332" i="94"/>
  <c r="AB332" i="94" s="1"/>
  <c r="AD331" i="94"/>
  <c r="AC331" i="94"/>
  <c r="X331" i="94"/>
  <c r="S331" i="94"/>
  <c r="AB331" i="94" s="1"/>
  <c r="AD330" i="94"/>
  <c r="AC330" i="94"/>
  <c r="X330" i="94"/>
  <c r="S330" i="94"/>
  <c r="AB330" i="94" s="1"/>
  <c r="AD329" i="94"/>
  <c r="AC329" i="94"/>
  <c r="X329" i="94"/>
  <c r="S329" i="94"/>
  <c r="AB329" i="94" s="1"/>
  <c r="AD328" i="94"/>
  <c r="AC328" i="94"/>
  <c r="X328" i="94"/>
  <c r="S328" i="94"/>
  <c r="AB328" i="94" s="1"/>
  <c r="AD327" i="94"/>
  <c r="AC327" i="94"/>
  <c r="X327" i="94"/>
  <c r="S327" i="94"/>
  <c r="AB327" i="94" s="1"/>
  <c r="AD326" i="94"/>
  <c r="AC326" i="94"/>
  <c r="X326" i="94"/>
  <c r="S326" i="94"/>
  <c r="AB326" i="94" s="1"/>
  <c r="AD325" i="94"/>
  <c r="AC325" i="94"/>
  <c r="X325" i="94"/>
  <c r="S325" i="94"/>
  <c r="AB325" i="94" s="1"/>
  <c r="AD324" i="94"/>
  <c r="AC324" i="94"/>
  <c r="X324" i="94"/>
  <c r="S324" i="94"/>
  <c r="AB324" i="94" s="1"/>
  <c r="AD323" i="94"/>
  <c r="AC323" i="94"/>
  <c r="X323" i="94"/>
  <c r="S323" i="94"/>
  <c r="AB323" i="94" s="1"/>
  <c r="AD322" i="94"/>
  <c r="AC322" i="94"/>
  <c r="X322" i="94"/>
  <c r="S322" i="94"/>
  <c r="AB322" i="94" s="1"/>
  <c r="AD321" i="94"/>
  <c r="AC321" i="94"/>
  <c r="X321" i="94"/>
  <c r="S321" i="94"/>
  <c r="AB321" i="94" s="1"/>
  <c r="AD320" i="94"/>
  <c r="AC320" i="94"/>
  <c r="X320" i="94"/>
  <c r="S320" i="94"/>
  <c r="AB320" i="94" s="1"/>
  <c r="AD319" i="94"/>
  <c r="AC319" i="94"/>
  <c r="X319" i="94"/>
  <c r="S319" i="94"/>
  <c r="AB319" i="94" s="1"/>
  <c r="AD318" i="94"/>
  <c r="AC318" i="94"/>
  <c r="X318" i="94"/>
  <c r="S318" i="94"/>
  <c r="AB318" i="94" s="1"/>
  <c r="AD317" i="94"/>
  <c r="AC317" i="94"/>
  <c r="X317" i="94"/>
  <c r="S317" i="94"/>
  <c r="AB317" i="94" s="1"/>
  <c r="AD316" i="94"/>
  <c r="AC316" i="94"/>
  <c r="X316" i="94"/>
  <c r="S316" i="94"/>
  <c r="AB316" i="94" s="1"/>
  <c r="AD315" i="94"/>
  <c r="AC315" i="94"/>
  <c r="X315" i="94"/>
  <c r="S315" i="94"/>
  <c r="AB315" i="94" s="1"/>
  <c r="AD314" i="94"/>
  <c r="AC314" i="94"/>
  <c r="X314" i="94"/>
  <c r="S314" i="94"/>
  <c r="AB314" i="94" s="1"/>
  <c r="AD313" i="94"/>
  <c r="AC313" i="94"/>
  <c r="X313" i="94"/>
  <c r="S313" i="94"/>
  <c r="AB313" i="94" s="1"/>
  <c r="AD312" i="94"/>
  <c r="AC312" i="94"/>
  <c r="X312" i="94"/>
  <c r="S312" i="94"/>
  <c r="AB312" i="94" s="1"/>
  <c r="AD311" i="94"/>
  <c r="AC311" i="94"/>
  <c r="X311" i="94"/>
  <c r="S311" i="94"/>
  <c r="AB311" i="94" s="1"/>
  <c r="AD310" i="94"/>
  <c r="AC310" i="94"/>
  <c r="X310" i="94"/>
  <c r="S310" i="94"/>
  <c r="AB310" i="94" s="1"/>
  <c r="AD309" i="94"/>
  <c r="AC309" i="94"/>
  <c r="X309" i="94"/>
  <c r="S309" i="94"/>
  <c r="AB309" i="94" s="1"/>
  <c r="AD308" i="94"/>
  <c r="AC308" i="94"/>
  <c r="X308" i="94"/>
  <c r="S308" i="94"/>
  <c r="AB308" i="94" s="1"/>
  <c r="AD307" i="94"/>
  <c r="AC307" i="94"/>
  <c r="X307" i="94"/>
  <c r="S307" i="94"/>
  <c r="AB307" i="94" s="1"/>
  <c r="AD306" i="94"/>
  <c r="AC306" i="94"/>
  <c r="X306" i="94"/>
  <c r="S306" i="94"/>
  <c r="AB306" i="94" s="1"/>
  <c r="X305" i="94"/>
  <c r="X304" i="94"/>
  <c r="X303" i="94"/>
  <c r="X302" i="94"/>
  <c r="X301" i="94"/>
  <c r="X300" i="94"/>
  <c r="X299" i="94"/>
  <c r="X298" i="94"/>
  <c r="AD296" i="94"/>
  <c r="AC296" i="94"/>
  <c r="X296" i="94"/>
  <c r="S296" i="94"/>
  <c r="AD295" i="94"/>
  <c r="AC295" i="94"/>
  <c r="X295" i="94"/>
  <c r="S295" i="94"/>
  <c r="AD294" i="94"/>
  <c r="AC294" i="94"/>
  <c r="X294" i="94"/>
  <c r="S294" i="94"/>
  <c r="X293" i="94"/>
  <c r="AD292" i="94"/>
  <c r="AC292" i="94"/>
  <c r="X292" i="94"/>
  <c r="S292" i="94"/>
  <c r="AD291" i="94"/>
  <c r="AC291" i="94"/>
  <c r="X291" i="94"/>
  <c r="S291" i="94"/>
  <c r="AD290" i="94"/>
  <c r="AC290" i="94"/>
  <c r="X290" i="94"/>
  <c r="S290" i="94"/>
  <c r="AD289" i="94"/>
  <c r="AC289" i="94"/>
  <c r="X289" i="94"/>
  <c r="S289" i="94"/>
  <c r="AD288" i="94"/>
  <c r="AC288" i="94"/>
  <c r="X288" i="94"/>
  <c r="S288" i="94"/>
  <c r="AD287" i="94"/>
  <c r="AC287" i="94"/>
  <c r="X287" i="94"/>
  <c r="S287" i="94"/>
  <c r="X286" i="94"/>
  <c r="X285" i="94"/>
  <c r="X284" i="94"/>
  <c r="X283" i="94"/>
  <c r="X282" i="94"/>
  <c r="X281" i="94"/>
  <c r="X280" i="94"/>
  <c r="AD279" i="94"/>
  <c r="AC279" i="94"/>
  <c r="X279" i="94"/>
  <c r="S279" i="94"/>
  <c r="X278" i="94"/>
  <c r="AD277" i="94"/>
  <c r="AC277" i="94"/>
  <c r="X277" i="94"/>
  <c r="S277" i="94"/>
  <c r="AD276" i="94"/>
  <c r="AC276" i="94"/>
  <c r="X276" i="94"/>
  <c r="S276" i="94"/>
  <c r="AD275" i="94"/>
  <c r="AC275" i="94"/>
  <c r="X275" i="94"/>
  <c r="S275" i="94"/>
  <c r="AD274" i="94"/>
  <c r="AC274" i="94"/>
  <c r="X274" i="94"/>
  <c r="S274" i="94"/>
  <c r="X273" i="94"/>
  <c r="AD272" i="94"/>
  <c r="AC272" i="94"/>
  <c r="X272" i="94"/>
  <c r="S272" i="94"/>
  <c r="AD271" i="94"/>
  <c r="AC271" i="94"/>
  <c r="X271" i="94"/>
  <c r="S271" i="94"/>
  <c r="AD270" i="94"/>
  <c r="AC270" i="94"/>
  <c r="X270" i="94"/>
  <c r="S270" i="94"/>
  <c r="AB270" i="94" s="1"/>
  <c r="AD269" i="94"/>
  <c r="AC269" i="94"/>
  <c r="X269" i="94"/>
  <c r="S269" i="94"/>
  <c r="AB269" i="94" s="1"/>
  <c r="AD268" i="94"/>
  <c r="AC268" i="94"/>
  <c r="X268" i="94"/>
  <c r="S268" i="94"/>
  <c r="AB268" i="94" s="1"/>
  <c r="AD267" i="94"/>
  <c r="AC267" i="94"/>
  <c r="X267" i="94"/>
  <c r="S267" i="94"/>
  <c r="AB267" i="94" s="1"/>
  <c r="AD266" i="94"/>
  <c r="AC266" i="94"/>
  <c r="X266" i="94"/>
  <c r="S266" i="94"/>
  <c r="AB266" i="94" s="1"/>
  <c r="AD265" i="94"/>
  <c r="AC265" i="94"/>
  <c r="X265" i="94"/>
  <c r="S265" i="94"/>
  <c r="AB265" i="94" s="1"/>
  <c r="AD264" i="94"/>
  <c r="AC264" i="94"/>
  <c r="X264" i="94"/>
  <c r="S264" i="94"/>
  <c r="AB264" i="94" s="1"/>
  <c r="AD263" i="94"/>
  <c r="AC263" i="94"/>
  <c r="X263" i="94"/>
  <c r="S263" i="94"/>
  <c r="AB263" i="94" s="1"/>
  <c r="AD262" i="94"/>
  <c r="AC262" i="94"/>
  <c r="X262" i="94"/>
  <c r="S262" i="94"/>
  <c r="AB262" i="94" s="1"/>
  <c r="AD261" i="94"/>
  <c r="AC261" i="94"/>
  <c r="X261" i="94"/>
  <c r="S261" i="94"/>
  <c r="AB261" i="94" s="1"/>
  <c r="AD260" i="94"/>
  <c r="AC260" i="94"/>
  <c r="X260" i="94"/>
  <c r="S260" i="94"/>
  <c r="AB260" i="94" s="1"/>
  <c r="AD259" i="94"/>
  <c r="AC259" i="94"/>
  <c r="X259" i="94"/>
  <c r="S259" i="94"/>
  <c r="AB259" i="94" s="1"/>
  <c r="AD258" i="94"/>
  <c r="AC258" i="94"/>
  <c r="X258" i="94"/>
  <c r="S258" i="94"/>
  <c r="AB258" i="94" s="1"/>
  <c r="AD257" i="94"/>
  <c r="AC257" i="94"/>
  <c r="X257" i="94"/>
  <c r="S257" i="94"/>
  <c r="AB257" i="94" s="1"/>
  <c r="AD256" i="94"/>
  <c r="AC256" i="94"/>
  <c r="X256" i="94"/>
  <c r="S256" i="94"/>
  <c r="AB256" i="94" s="1"/>
  <c r="AD255" i="94"/>
  <c r="AC255" i="94"/>
  <c r="X255" i="94"/>
  <c r="S255" i="94"/>
  <c r="AB255" i="94" s="1"/>
  <c r="AD254" i="94"/>
  <c r="AC254" i="94"/>
  <c r="X254" i="94"/>
  <c r="S254" i="94"/>
  <c r="AB254" i="94" s="1"/>
  <c r="AD253" i="94"/>
  <c r="AC253" i="94"/>
  <c r="X253" i="94"/>
  <c r="S253" i="94"/>
  <c r="AB253" i="94" s="1"/>
  <c r="AD252" i="94"/>
  <c r="AC252" i="94"/>
  <c r="X252" i="94"/>
  <c r="S252" i="94"/>
  <c r="AB252" i="94" s="1"/>
  <c r="AD251" i="94"/>
  <c r="AC251" i="94"/>
  <c r="X251" i="94"/>
  <c r="S251" i="94"/>
  <c r="AB251" i="94" s="1"/>
  <c r="AD250" i="94"/>
  <c r="AC250" i="94"/>
  <c r="X250" i="94"/>
  <c r="S250" i="94"/>
  <c r="AB250" i="94" s="1"/>
  <c r="AD249" i="94"/>
  <c r="AC249" i="94"/>
  <c r="X249" i="94"/>
  <c r="S249" i="94"/>
  <c r="AB249" i="94" s="1"/>
  <c r="AD248" i="94"/>
  <c r="AC248" i="94"/>
  <c r="X248" i="94"/>
  <c r="S248" i="94"/>
  <c r="AB248" i="94" s="1"/>
  <c r="AD247" i="94"/>
  <c r="AC247" i="94"/>
  <c r="X247" i="94"/>
  <c r="S247" i="94"/>
  <c r="AB247" i="94" s="1"/>
  <c r="AD246" i="94"/>
  <c r="AC246" i="94"/>
  <c r="X246" i="94"/>
  <c r="S246" i="94"/>
  <c r="AB246" i="94" s="1"/>
  <c r="AD245" i="94"/>
  <c r="AC245" i="94"/>
  <c r="X245" i="94"/>
  <c r="S245" i="94"/>
  <c r="AB245" i="94" s="1"/>
  <c r="AD244" i="94"/>
  <c r="AC244" i="94"/>
  <c r="X244" i="94"/>
  <c r="S244" i="94"/>
  <c r="AB244" i="94" s="1"/>
  <c r="AD243" i="94"/>
  <c r="AC243" i="94"/>
  <c r="X243" i="94"/>
  <c r="S243" i="94"/>
  <c r="AB243" i="94" s="1"/>
  <c r="AD242" i="94"/>
  <c r="AC242" i="94"/>
  <c r="X242" i="94"/>
  <c r="S242" i="94"/>
  <c r="AB242" i="94" s="1"/>
  <c r="AD241" i="94"/>
  <c r="AC241" i="94"/>
  <c r="X241" i="94"/>
  <c r="S241" i="94"/>
  <c r="AB241" i="94" s="1"/>
  <c r="AD240" i="94"/>
  <c r="AC240" i="94"/>
  <c r="X240" i="94"/>
  <c r="S240" i="94"/>
  <c r="AB240" i="94" s="1"/>
  <c r="AD239" i="94"/>
  <c r="AC239" i="94"/>
  <c r="X239" i="94"/>
  <c r="S239" i="94"/>
  <c r="AB239" i="94" s="1"/>
  <c r="AD238" i="94"/>
  <c r="AC238" i="94"/>
  <c r="X238" i="94"/>
  <c r="S238" i="94"/>
  <c r="AB238" i="94" s="1"/>
  <c r="AD237" i="94"/>
  <c r="AC237" i="94"/>
  <c r="X237" i="94"/>
  <c r="S237" i="94"/>
  <c r="AB237" i="94" s="1"/>
  <c r="AD236" i="94"/>
  <c r="AC236" i="94"/>
  <c r="X236" i="94"/>
  <c r="S236" i="94"/>
  <c r="AB236" i="94" s="1"/>
  <c r="AD235" i="94"/>
  <c r="AC235" i="94"/>
  <c r="X235" i="94"/>
  <c r="S235" i="94"/>
  <c r="AB235" i="94" s="1"/>
  <c r="AD234" i="94"/>
  <c r="AC234" i="94"/>
  <c r="X234" i="94"/>
  <c r="S234" i="94"/>
  <c r="AB234" i="94" s="1"/>
  <c r="AD233" i="94"/>
  <c r="AC233" i="94"/>
  <c r="X233" i="94"/>
  <c r="S233" i="94"/>
  <c r="AB233" i="94" s="1"/>
  <c r="AD232" i="94"/>
  <c r="AC232" i="94"/>
  <c r="X232" i="94"/>
  <c r="S232" i="94"/>
  <c r="AB232" i="94" s="1"/>
  <c r="AD231" i="94"/>
  <c r="AC231" i="94"/>
  <c r="X231" i="94"/>
  <c r="S231" i="94"/>
  <c r="AB231" i="94" s="1"/>
  <c r="AD230" i="94"/>
  <c r="AC230" i="94"/>
  <c r="X230" i="94"/>
  <c r="S230" i="94"/>
  <c r="AB230" i="94" s="1"/>
  <c r="AD229" i="94"/>
  <c r="AC229" i="94"/>
  <c r="X229" i="94"/>
  <c r="S229" i="94"/>
  <c r="AB229" i="94" s="1"/>
  <c r="AD228" i="94"/>
  <c r="AC228" i="94"/>
  <c r="X228" i="94"/>
  <c r="S228" i="94"/>
  <c r="AB228" i="94" s="1"/>
  <c r="AD227" i="94"/>
  <c r="AC227" i="94"/>
  <c r="X227" i="94"/>
  <c r="S227" i="94"/>
  <c r="AB227" i="94" s="1"/>
  <c r="AD226" i="94"/>
  <c r="AC226" i="94"/>
  <c r="X226" i="94"/>
  <c r="S226" i="94"/>
  <c r="AB226" i="94" s="1"/>
  <c r="AD225" i="94"/>
  <c r="AC225" i="94"/>
  <c r="X225" i="94"/>
  <c r="S225" i="94"/>
  <c r="AB225" i="94" s="1"/>
  <c r="AD224" i="94"/>
  <c r="AC224" i="94"/>
  <c r="X224" i="94"/>
  <c r="S224" i="94"/>
  <c r="AB224" i="94" s="1"/>
  <c r="AD223" i="94"/>
  <c r="AC223" i="94"/>
  <c r="X223" i="94"/>
  <c r="S223" i="94"/>
  <c r="AB223" i="94" s="1"/>
  <c r="AD222" i="94"/>
  <c r="AC222" i="94"/>
  <c r="X222" i="94"/>
  <c r="S222" i="94"/>
  <c r="AB222" i="94" s="1"/>
  <c r="AD221" i="94"/>
  <c r="AC221" i="94"/>
  <c r="X221" i="94"/>
  <c r="S221" i="94"/>
  <c r="AB221" i="94" s="1"/>
  <c r="AD220" i="94"/>
  <c r="AC220" i="94"/>
  <c r="X220" i="94"/>
  <c r="S220" i="94"/>
  <c r="AB220" i="94" s="1"/>
  <c r="AD219" i="94"/>
  <c r="AC219" i="94"/>
  <c r="X219" i="94"/>
  <c r="S219" i="94"/>
  <c r="AB219" i="94" s="1"/>
  <c r="AD218" i="94"/>
  <c r="AC218" i="94"/>
  <c r="X218" i="94"/>
  <c r="S218" i="94"/>
  <c r="AB218" i="94" s="1"/>
  <c r="AD217" i="94"/>
  <c r="AC217" i="94"/>
  <c r="X217" i="94"/>
  <c r="S217" i="94"/>
  <c r="AB217" i="94" s="1"/>
  <c r="AD216" i="94"/>
  <c r="AC216" i="94"/>
  <c r="X216" i="94"/>
  <c r="S216" i="94"/>
  <c r="AB216" i="94" s="1"/>
  <c r="AD215" i="94"/>
  <c r="AC215" i="94"/>
  <c r="X215" i="94"/>
  <c r="S215" i="94"/>
  <c r="AB215" i="94" s="1"/>
  <c r="AD214" i="94"/>
  <c r="AC214" i="94"/>
  <c r="X214" i="94"/>
  <c r="S214" i="94"/>
  <c r="AB214" i="94" s="1"/>
  <c r="AD213" i="94"/>
  <c r="AC213" i="94"/>
  <c r="X213" i="94"/>
  <c r="S213" i="94"/>
  <c r="AB213" i="94" s="1"/>
  <c r="AD212" i="94"/>
  <c r="AC212" i="94"/>
  <c r="X212" i="94"/>
  <c r="S212" i="94"/>
  <c r="AB212" i="94" s="1"/>
  <c r="AD211" i="94"/>
  <c r="AC211" i="94"/>
  <c r="X211" i="94"/>
  <c r="S211" i="94"/>
  <c r="AB211" i="94" s="1"/>
  <c r="AD210" i="94"/>
  <c r="AC210" i="94"/>
  <c r="X210" i="94"/>
  <c r="S210" i="94"/>
  <c r="AB210" i="94" s="1"/>
  <c r="AD209" i="94"/>
  <c r="AC209" i="94"/>
  <c r="X209" i="94"/>
  <c r="S209" i="94"/>
  <c r="AB209" i="94" s="1"/>
  <c r="AD208" i="94"/>
  <c r="AC208" i="94"/>
  <c r="X208" i="94"/>
  <c r="S208" i="94"/>
  <c r="AB208" i="94" s="1"/>
  <c r="AD207" i="94"/>
  <c r="AC207" i="94"/>
  <c r="X207" i="94"/>
  <c r="S207" i="94"/>
  <c r="AB207" i="94" s="1"/>
  <c r="AD206" i="94"/>
  <c r="AC206" i="94"/>
  <c r="X206" i="94"/>
  <c r="S206" i="94"/>
  <c r="AB206" i="94" s="1"/>
  <c r="AD205" i="94"/>
  <c r="AC205" i="94"/>
  <c r="X205" i="94"/>
  <c r="S205" i="94"/>
  <c r="AB205" i="94" s="1"/>
  <c r="AD204" i="94"/>
  <c r="AC204" i="94"/>
  <c r="X204" i="94"/>
  <c r="S204" i="94"/>
  <c r="AB204" i="94" s="1"/>
  <c r="AD203" i="94"/>
  <c r="AC203" i="94"/>
  <c r="X203" i="94"/>
  <c r="S203" i="94"/>
  <c r="AB203" i="94" s="1"/>
  <c r="AD202" i="94"/>
  <c r="AC202" i="94"/>
  <c r="X202" i="94"/>
  <c r="S202" i="94"/>
  <c r="AB202" i="94" s="1"/>
  <c r="AD201" i="94"/>
  <c r="AC201" i="94"/>
  <c r="X201" i="94"/>
  <c r="S201" i="94"/>
  <c r="AB201" i="94" s="1"/>
  <c r="AD200" i="94"/>
  <c r="AC200" i="94"/>
  <c r="X200" i="94"/>
  <c r="S200" i="94"/>
  <c r="AB200" i="94" s="1"/>
  <c r="R200" i="94"/>
  <c r="AD199" i="94"/>
  <c r="AC199" i="94"/>
  <c r="X199" i="94"/>
  <c r="S199" i="94"/>
  <c r="AB199" i="94" s="1"/>
  <c r="AD198" i="94"/>
  <c r="AC198" i="94"/>
  <c r="X198" i="94"/>
  <c r="S198" i="94"/>
  <c r="AB198" i="94" s="1"/>
  <c r="AD197" i="94"/>
  <c r="AC197" i="94"/>
  <c r="X197" i="94"/>
  <c r="S197" i="94"/>
  <c r="AB197" i="94" s="1"/>
  <c r="AD196" i="94"/>
  <c r="AC196" i="94"/>
  <c r="X196" i="94"/>
  <c r="S196" i="94"/>
  <c r="AB196" i="94" s="1"/>
  <c r="AD195" i="94"/>
  <c r="AC195" i="94"/>
  <c r="X195" i="94"/>
  <c r="S195" i="94"/>
  <c r="AB195" i="94" s="1"/>
  <c r="AD194" i="94"/>
  <c r="AC194" i="94"/>
  <c r="X194" i="94"/>
  <c r="S194" i="94"/>
  <c r="AB194" i="94" s="1"/>
  <c r="AD193" i="94"/>
  <c r="AC193" i="94"/>
  <c r="X193" i="94"/>
  <c r="S193" i="94"/>
  <c r="AB193" i="94" s="1"/>
  <c r="AD192" i="94"/>
  <c r="AC192" i="94"/>
  <c r="X192" i="94"/>
  <c r="S192" i="94"/>
  <c r="AB192" i="94" s="1"/>
  <c r="AD191" i="94"/>
  <c r="AC191" i="94"/>
  <c r="X191" i="94"/>
  <c r="S191" i="94"/>
  <c r="AB191" i="94" s="1"/>
  <c r="AD190" i="94"/>
  <c r="AC190" i="94"/>
  <c r="X190" i="94"/>
  <c r="S190" i="94"/>
  <c r="AB190" i="94" s="1"/>
  <c r="AD189" i="94"/>
  <c r="AC189" i="94"/>
  <c r="X189" i="94"/>
  <c r="S189" i="94"/>
  <c r="AB189" i="94" s="1"/>
  <c r="AD188" i="94"/>
  <c r="AC188" i="94"/>
  <c r="X188" i="94"/>
  <c r="S188" i="94"/>
  <c r="AB188" i="94" s="1"/>
  <c r="AD187" i="94"/>
  <c r="AC187" i="94"/>
  <c r="X187" i="94"/>
  <c r="S187" i="94"/>
  <c r="AB187" i="94" s="1"/>
  <c r="AD186" i="94"/>
  <c r="AC186" i="94"/>
  <c r="X186" i="94"/>
  <c r="S186" i="94"/>
  <c r="AB186" i="94" s="1"/>
  <c r="AD185" i="94"/>
  <c r="AC185" i="94"/>
  <c r="X185" i="94"/>
  <c r="S185" i="94"/>
  <c r="AB185" i="94" s="1"/>
  <c r="AD184" i="94"/>
  <c r="AC184" i="94"/>
  <c r="X184" i="94"/>
  <c r="S184" i="94"/>
  <c r="AB184" i="94" s="1"/>
  <c r="AD183" i="94"/>
  <c r="AC183" i="94"/>
  <c r="X183" i="94"/>
  <c r="S183" i="94"/>
  <c r="AB183" i="94" s="1"/>
  <c r="AD182" i="94"/>
  <c r="AC182" i="94"/>
  <c r="X182" i="94"/>
  <c r="S182" i="94"/>
  <c r="AB182" i="94" s="1"/>
  <c r="AD181" i="94"/>
  <c r="AC181" i="94"/>
  <c r="X181" i="94"/>
  <c r="S181" i="94"/>
  <c r="AB181" i="94" s="1"/>
  <c r="AD180" i="94"/>
  <c r="AC180" i="94"/>
  <c r="X180" i="94"/>
  <c r="S180" i="94"/>
  <c r="AB180" i="94" s="1"/>
  <c r="AD179" i="94"/>
  <c r="AC179" i="94"/>
  <c r="X179" i="94"/>
  <c r="S179" i="94"/>
  <c r="AB179" i="94" s="1"/>
  <c r="AD178" i="94"/>
  <c r="AC178" i="94"/>
  <c r="X178" i="94"/>
  <c r="S178" i="94"/>
  <c r="AB178" i="94" s="1"/>
  <c r="AD177" i="94"/>
  <c r="AC177" i="94"/>
  <c r="X177" i="94"/>
  <c r="S177" i="94"/>
  <c r="AB177" i="94" s="1"/>
  <c r="AD176" i="94"/>
  <c r="AC176" i="94"/>
  <c r="X176" i="94"/>
  <c r="S176" i="94"/>
  <c r="AB176" i="94" s="1"/>
  <c r="AD175" i="94"/>
  <c r="AC175" i="94"/>
  <c r="X175" i="94"/>
  <c r="S175" i="94"/>
  <c r="AB175" i="94" s="1"/>
  <c r="AD174" i="94"/>
  <c r="AC174" i="94"/>
  <c r="X174" i="94"/>
  <c r="S174" i="94"/>
  <c r="AB174" i="94" s="1"/>
  <c r="AD173" i="94"/>
  <c r="AC173" i="94"/>
  <c r="X173" i="94"/>
  <c r="S173" i="94"/>
  <c r="AB173" i="94" s="1"/>
  <c r="AD172" i="94"/>
  <c r="AC172" i="94"/>
  <c r="X172" i="94"/>
  <c r="S172" i="94"/>
  <c r="AB172" i="94" s="1"/>
  <c r="AD171" i="94"/>
  <c r="AC171" i="94"/>
  <c r="X171" i="94"/>
  <c r="S171" i="94"/>
  <c r="AB171" i="94" s="1"/>
  <c r="AD170" i="94"/>
  <c r="AC170" i="94"/>
  <c r="X170" i="94"/>
  <c r="S170" i="94"/>
  <c r="AB170" i="94" s="1"/>
  <c r="AD169" i="94"/>
  <c r="AC169" i="94"/>
  <c r="X169" i="94"/>
  <c r="S169" i="94"/>
  <c r="AB169" i="94" s="1"/>
  <c r="AD168" i="94"/>
  <c r="AC168" i="94"/>
  <c r="X168" i="94"/>
  <c r="S168" i="94"/>
  <c r="AB168" i="94" s="1"/>
  <c r="AD167" i="94"/>
  <c r="AC167" i="94"/>
  <c r="X167" i="94"/>
  <c r="S167" i="94"/>
  <c r="AB167" i="94" s="1"/>
  <c r="AD166" i="94"/>
  <c r="AC166" i="94"/>
  <c r="X166" i="94"/>
  <c r="S166" i="94"/>
  <c r="AB166" i="94" s="1"/>
  <c r="AD165" i="94"/>
  <c r="AC165" i="94"/>
  <c r="X165" i="94"/>
  <c r="S165" i="94"/>
  <c r="AB165" i="94" s="1"/>
  <c r="AD164" i="94"/>
  <c r="AC164" i="94"/>
  <c r="X164" i="94"/>
  <c r="S164" i="94"/>
  <c r="AB164" i="94" s="1"/>
  <c r="AD163" i="94"/>
  <c r="AC163" i="94"/>
  <c r="X163" i="94"/>
  <c r="S163" i="94"/>
  <c r="AB163" i="94" s="1"/>
  <c r="AD162" i="94"/>
  <c r="AC162" i="94"/>
  <c r="X162" i="94"/>
  <c r="S162" i="94"/>
  <c r="AB162" i="94" s="1"/>
  <c r="AD161" i="94"/>
  <c r="AC161" i="94"/>
  <c r="X161" i="94"/>
  <c r="S161" i="94"/>
  <c r="AB161" i="94" s="1"/>
  <c r="AD160" i="94"/>
  <c r="AC160" i="94"/>
  <c r="X160" i="94"/>
  <c r="S160" i="94"/>
  <c r="AB160" i="94" s="1"/>
  <c r="AD159" i="94"/>
  <c r="AC159" i="94"/>
  <c r="X159" i="94"/>
  <c r="S159" i="94"/>
  <c r="AB159" i="94" s="1"/>
  <c r="AD158" i="94"/>
  <c r="AC158" i="94"/>
  <c r="X158" i="94"/>
  <c r="S158" i="94"/>
  <c r="AB158" i="94" s="1"/>
  <c r="AD157" i="94"/>
  <c r="AC157" i="94"/>
  <c r="X157" i="94"/>
  <c r="S157" i="94"/>
  <c r="AB157" i="94" s="1"/>
  <c r="AD156" i="94"/>
  <c r="AC156" i="94"/>
  <c r="X156" i="94"/>
  <c r="S156" i="94"/>
  <c r="AB156" i="94" s="1"/>
  <c r="AD155" i="94"/>
  <c r="AC155" i="94"/>
  <c r="X155" i="94"/>
  <c r="S155" i="94"/>
  <c r="AB155" i="94" s="1"/>
  <c r="AD154" i="94"/>
  <c r="AC154" i="94"/>
  <c r="X154" i="94"/>
  <c r="S154" i="94"/>
  <c r="AB154" i="94" s="1"/>
  <c r="AD153" i="94"/>
  <c r="AC153" i="94"/>
  <c r="X153" i="94"/>
  <c r="S153" i="94"/>
  <c r="AB153" i="94" s="1"/>
  <c r="AD152" i="94"/>
  <c r="AC152" i="94"/>
  <c r="X152" i="94"/>
  <c r="S152" i="94"/>
  <c r="AB152" i="94" s="1"/>
  <c r="AD151" i="94"/>
  <c r="AC151" i="94"/>
  <c r="X151" i="94"/>
  <c r="S151" i="94"/>
  <c r="AB151" i="94" s="1"/>
  <c r="AD150" i="94"/>
  <c r="AC150" i="94"/>
  <c r="X150" i="94"/>
  <c r="S150" i="94"/>
  <c r="AB150" i="94" s="1"/>
  <c r="AD149" i="94"/>
  <c r="AC149" i="94"/>
  <c r="X149" i="94"/>
  <c r="S149" i="94"/>
  <c r="AB149" i="94" s="1"/>
  <c r="AD148" i="94"/>
  <c r="AC148" i="94"/>
  <c r="X148" i="94"/>
  <c r="S148" i="94"/>
  <c r="AB148" i="94" s="1"/>
  <c r="AD147" i="94"/>
  <c r="AC147" i="94"/>
  <c r="X147" i="94"/>
  <c r="S147" i="94"/>
  <c r="AB147" i="94" s="1"/>
  <c r="AD146" i="94"/>
  <c r="AC146" i="94"/>
  <c r="X146" i="94"/>
  <c r="S146" i="94"/>
  <c r="AB146" i="94" s="1"/>
  <c r="AD145" i="94"/>
  <c r="AC145" i="94"/>
  <c r="X145" i="94"/>
  <c r="S145" i="94"/>
  <c r="AB145" i="94" s="1"/>
  <c r="AD144" i="94"/>
  <c r="AC144" i="94"/>
  <c r="X144" i="94"/>
  <c r="S144" i="94"/>
  <c r="AB144" i="94" s="1"/>
  <c r="AD143" i="94"/>
  <c r="AC143" i="94"/>
  <c r="X143" i="94"/>
  <c r="S143" i="94"/>
  <c r="AB143" i="94" s="1"/>
  <c r="AD142" i="94"/>
  <c r="AC142" i="94"/>
  <c r="X142" i="94"/>
  <c r="S142" i="94"/>
  <c r="AB142" i="94" s="1"/>
  <c r="AD141" i="94"/>
  <c r="AC141" i="94"/>
  <c r="X141" i="94"/>
  <c r="S141" i="94"/>
  <c r="AB141" i="94" s="1"/>
  <c r="AD140" i="94"/>
  <c r="AC140" i="94"/>
  <c r="X140" i="94"/>
  <c r="S140" i="94"/>
  <c r="AB140" i="94" s="1"/>
  <c r="AD139" i="94"/>
  <c r="AC139" i="94"/>
  <c r="X139" i="94"/>
  <c r="S139" i="94"/>
  <c r="AB139" i="94" s="1"/>
  <c r="AD138" i="94"/>
  <c r="AC138" i="94"/>
  <c r="X138" i="94"/>
  <c r="S138" i="94"/>
  <c r="AB138" i="94" s="1"/>
  <c r="AD137" i="94"/>
  <c r="AC137" i="94"/>
  <c r="X137" i="94"/>
  <c r="S137" i="94"/>
  <c r="AB137" i="94" s="1"/>
  <c r="AD136" i="94"/>
  <c r="AC136" i="94"/>
  <c r="X136" i="94"/>
  <c r="S136" i="94"/>
  <c r="AB136" i="94" s="1"/>
  <c r="AD135" i="94"/>
  <c r="AC135" i="94"/>
  <c r="X135" i="94"/>
  <c r="S135" i="94"/>
  <c r="AB135" i="94" s="1"/>
  <c r="AD134" i="94"/>
  <c r="AC134" i="94"/>
  <c r="X134" i="94"/>
  <c r="S134" i="94"/>
  <c r="AB134" i="94" s="1"/>
  <c r="AD133" i="94"/>
  <c r="AC133" i="94"/>
  <c r="X133" i="94"/>
  <c r="S133" i="94"/>
  <c r="AB133" i="94" s="1"/>
  <c r="AD132" i="94"/>
  <c r="AC132" i="94"/>
  <c r="X132" i="94"/>
  <c r="S132" i="94"/>
  <c r="AB132" i="94" s="1"/>
  <c r="AD131" i="94"/>
  <c r="AC131" i="94"/>
  <c r="X131" i="94"/>
  <c r="S131" i="94"/>
  <c r="AB131" i="94" s="1"/>
  <c r="AD130" i="94"/>
  <c r="AC130" i="94"/>
  <c r="X130" i="94"/>
  <c r="S130" i="94"/>
  <c r="AB130" i="94" s="1"/>
  <c r="AD129" i="94"/>
  <c r="AC129" i="94"/>
  <c r="X129" i="94"/>
  <c r="S129" i="94"/>
  <c r="AB129" i="94" s="1"/>
  <c r="AD128" i="94"/>
  <c r="AC128" i="94"/>
  <c r="X128" i="94"/>
  <c r="S128" i="94"/>
  <c r="AB128" i="94" s="1"/>
  <c r="AD127" i="94"/>
  <c r="AC127" i="94"/>
  <c r="X127" i="94"/>
  <c r="S127" i="94"/>
  <c r="AB127" i="94" s="1"/>
  <c r="AD126" i="94"/>
  <c r="AC126" i="94"/>
  <c r="X126" i="94"/>
  <c r="S126" i="94"/>
  <c r="AB126" i="94" s="1"/>
  <c r="AD125" i="94"/>
  <c r="AC125" i="94"/>
  <c r="X125" i="94"/>
  <c r="S125" i="94"/>
  <c r="AB125" i="94" s="1"/>
  <c r="AD124" i="94"/>
  <c r="AC124" i="94"/>
  <c r="X124" i="94"/>
  <c r="S124" i="94"/>
  <c r="AB124" i="94" s="1"/>
  <c r="AD123" i="94"/>
  <c r="AC123" i="94"/>
  <c r="X123" i="94"/>
  <c r="S123" i="94"/>
  <c r="AB123" i="94" s="1"/>
  <c r="AD122" i="94"/>
  <c r="AC122" i="94"/>
  <c r="X122" i="94"/>
  <c r="S122" i="94"/>
  <c r="AB122" i="94" s="1"/>
  <c r="AD121" i="94"/>
  <c r="AC121" i="94"/>
  <c r="X121" i="94"/>
  <c r="S121" i="94"/>
  <c r="AB121" i="94" s="1"/>
  <c r="AD120" i="94"/>
  <c r="AC120" i="94"/>
  <c r="X120" i="94"/>
  <c r="S120" i="94"/>
  <c r="AB120" i="94" s="1"/>
  <c r="AD119" i="94"/>
  <c r="AC119" i="94"/>
  <c r="X119" i="94"/>
  <c r="S119" i="94"/>
  <c r="AB119" i="94" s="1"/>
  <c r="AD118" i="94"/>
  <c r="AC118" i="94"/>
  <c r="X118" i="94"/>
  <c r="S118" i="94"/>
  <c r="AB118" i="94" s="1"/>
  <c r="AD117" i="94"/>
  <c r="AC117" i="94"/>
  <c r="X117" i="94"/>
  <c r="S117" i="94"/>
  <c r="AB117" i="94" s="1"/>
  <c r="AD116" i="94"/>
  <c r="AC116" i="94"/>
  <c r="X116" i="94"/>
  <c r="S116" i="94"/>
  <c r="AB116" i="94" s="1"/>
  <c r="AD115" i="94"/>
  <c r="AC115" i="94"/>
  <c r="X115" i="94"/>
  <c r="S115" i="94"/>
  <c r="AB115" i="94" s="1"/>
  <c r="AD114" i="94"/>
  <c r="AC114" i="94"/>
  <c r="X114" i="94"/>
  <c r="S114" i="94"/>
  <c r="AB114" i="94" s="1"/>
  <c r="AD113" i="94"/>
  <c r="AC113" i="94"/>
  <c r="X113" i="94"/>
  <c r="S113" i="94"/>
  <c r="AB113" i="94" s="1"/>
  <c r="AD112" i="94"/>
  <c r="AC112" i="94"/>
  <c r="X112" i="94"/>
  <c r="S112" i="94"/>
  <c r="AB112" i="94" s="1"/>
  <c r="AD111" i="94"/>
  <c r="AC111" i="94"/>
  <c r="X111" i="94"/>
  <c r="S111" i="94"/>
  <c r="AB111" i="94" s="1"/>
  <c r="AD110" i="94"/>
  <c r="AC110" i="94"/>
  <c r="X110" i="94"/>
  <c r="S110" i="94"/>
  <c r="AB110" i="94" s="1"/>
  <c r="AD109" i="94"/>
  <c r="AC109" i="94"/>
  <c r="X109" i="94"/>
  <c r="S109" i="94"/>
  <c r="AB109" i="94" s="1"/>
  <c r="AD108" i="94"/>
  <c r="AC108" i="94"/>
  <c r="X108" i="94"/>
  <c r="S108" i="94"/>
  <c r="AB108" i="94" s="1"/>
  <c r="AD107" i="94"/>
  <c r="AC107" i="94"/>
  <c r="X107" i="94"/>
  <c r="S107" i="94"/>
  <c r="AB107" i="94" s="1"/>
  <c r="AD106" i="94"/>
  <c r="AC106" i="94"/>
  <c r="X106" i="94"/>
  <c r="S106" i="94"/>
  <c r="AB106" i="94" s="1"/>
  <c r="AD105" i="94"/>
  <c r="AC105" i="94"/>
  <c r="X105" i="94"/>
  <c r="S105" i="94"/>
  <c r="AB105" i="94" s="1"/>
  <c r="AD104" i="94"/>
  <c r="AC104" i="94"/>
  <c r="X104" i="94"/>
  <c r="S104" i="94"/>
  <c r="AB104" i="94" s="1"/>
  <c r="AD103" i="94"/>
  <c r="AC103" i="94"/>
  <c r="X103" i="94"/>
  <c r="S103" i="94"/>
  <c r="AB103" i="94" s="1"/>
  <c r="AD102" i="94"/>
  <c r="AC102" i="94"/>
  <c r="X102" i="94"/>
  <c r="S102" i="94"/>
  <c r="AB102" i="94" s="1"/>
  <c r="AD101" i="94"/>
  <c r="AC101" i="94"/>
  <c r="X101" i="94"/>
  <c r="S101" i="94"/>
  <c r="AB101" i="94" s="1"/>
  <c r="AD100" i="94"/>
  <c r="AC100" i="94"/>
  <c r="X100" i="94"/>
  <c r="S100" i="94"/>
  <c r="AB100" i="94" s="1"/>
  <c r="AD99" i="94"/>
  <c r="AC99" i="94"/>
  <c r="X99" i="94"/>
  <c r="S99" i="94"/>
  <c r="AB99" i="94" s="1"/>
  <c r="AD98" i="94"/>
  <c r="AC98" i="94"/>
  <c r="X98" i="94"/>
  <c r="S98" i="94"/>
  <c r="AB98" i="94" s="1"/>
  <c r="AD97" i="94"/>
  <c r="AC97" i="94"/>
  <c r="X97" i="94"/>
  <c r="S97" i="94"/>
  <c r="AB97" i="94" s="1"/>
  <c r="AD96" i="94"/>
  <c r="AC96" i="94"/>
  <c r="X96" i="94"/>
  <c r="S96" i="94"/>
  <c r="AB96" i="94" s="1"/>
  <c r="AD95" i="94"/>
  <c r="AC95" i="94"/>
  <c r="X95" i="94"/>
  <c r="S95" i="94"/>
  <c r="AB95" i="94" s="1"/>
  <c r="AD94" i="94"/>
  <c r="AC94" i="94"/>
  <c r="X94" i="94"/>
  <c r="S94" i="94"/>
  <c r="AB94" i="94" s="1"/>
  <c r="AD93" i="94"/>
  <c r="AC93" i="94"/>
  <c r="X93" i="94"/>
  <c r="S93" i="94"/>
  <c r="AB93" i="94" s="1"/>
  <c r="AD92" i="94"/>
  <c r="AC92" i="94"/>
  <c r="X92" i="94"/>
  <c r="S92" i="94"/>
  <c r="AB92" i="94" s="1"/>
  <c r="AD91" i="94"/>
  <c r="AC91" i="94"/>
  <c r="X91" i="94"/>
  <c r="S91" i="94"/>
  <c r="AB91" i="94" s="1"/>
  <c r="AD90" i="94"/>
  <c r="AC90" i="94"/>
  <c r="X90" i="94"/>
  <c r="S90" i="94"/>
  <c r="AB90" i="94" s="1"/>
  <c r="AD89" i="94"/>
  <c r="AC89" i="94"/>
  <c r="X89" i="94"/>
  <c r="S89" i="94"/>
  <c r="AB89" i="94" s="1"/>
  <c r="AD88" i="94"/>
  <c r="AC88" i="94"/>
  <c r="X88" i="94"/>
  <c r="S88" i="94"/>
  <c r="AB88" i="94" s="1"/>
  <c r="AD87" i="94"/>
  <c r="AC87" i="94"/>
  <c r="X87" i="94"/>
  <c r="S87" i="94"/>
  <c r="AB87" i="94" s="1"/>
  <c r="AD86" i="94"/>
  <c r="AC86" i="94"/>
  <c r="X86" i="94"/>
  <c r="S86" i="94"/>
  <c r="AB86" i="94" s="1"/>
  <c r="AD85" i="94"/>
  <c r="AC85" i="94"/>
  <c r="X85" i="94"/>
  <c r="S85" i="94"/>
  <c r="AB85" i="94" s="1"/>
  <c r="AD84" i="94"/>
  <c r="AC84" i="94"/>
  <c r="X84" i="94"/>
  <c r="S84" i="94"/>
  <c r="AB84" i="94" s="1"/>
  <c r="AD83" i="94"/>
  <c r="AC83" i="94"/>
  <c r="X83" i="94"/>
  <c r="S83" i="94"/>
  <c r="AB83" i="94" s="1"/>
  <c r="AD82" i="94"/>
  <c r="AC82" i="94"/>
  <c r="X82" i="94"/>
  <c r="S82" i="94"/>
  <c r="AB82" i="94" s="1"/>
  <c r="AD81" i="94"/>
  <c r="AC81" i="94"/>
  <c r="X81" i="94"/>
  <c r="S81" i="94"/>
  <c r="AB81" i="94" s="1"/>
  <c r="AD80" i="94"/>
  <c r="AC80" i="94"/>
  <c r="X80" i="94"/>
  <c r="S80" i="94"/>
  <c r="AB80" i="94" s="1"/>
  <c r="AD79" i="94"/>
  <c r="AC79" i="94"/>
  <c r="X79" i="94"/>
  <c r="S79" i="94"/>
  <c r="AB79" i="94" s="1"/>
  <c r="AD78" i="94"/>
  <c r="AC78" i="94"/>
  <c r="X78" i="94"/>
  <c r="S78" i="94"/>
  <c r="AB78" i="94" s="1"/>
  <c r="AD77" i="94"/>
  <c r="AC77" i="94"/>
  <c r="X77" i="94"/>
  <c r="S77" i="94"/>
  <c r="AB77" i="94" s="1"/>
  <c r="AD76" i="94"/>
  <c r="AC76" i="94"/>
  <c r="X76" i="94"/>
  <c r="S76" i="94"/>
  <c r="AB76" i="94" s="1"/>
  <c r="AD75" i="94"/>
  <c r="AC75" i="94"/>
  <c r="AD74" i="94"/>
  <c r="AC74" i="94"/>
  <c r="AD73" i="94"/>
  <c r="AC73" i="94"/>
  <c r="AD72" i="94"/>
  <c r="AC72" i="94"/>
  <c r="AD71" i="94"/>
  <c r="AC71" i="94"/>
  <c r="AD70" i="94"/>
  <c r="AC70" i="94"/>
  <c r="AD69" i="94"/>
  <c r="AC69" i="94"/>
  <c r="AD68" i="94"/>
  <c r="AC68" i="94"/>
  <c r="AD67" i="94"/>
  <c r="AC67" i="94"/>
  <c r="AD66" i="94"/>
  <c r="AC66" i="94"/>
  <c r="AD65" i="94"/>
  <c r="AC65" i="94"/>
  <c r="AD64" i="94"/>
  <c r="AC64" i="94"/>
  <c r="AD63" i="94"/>
  <c r="AC63" i="94"/>
  <c r="AD62" i="94"/>
  <c r="AC62" i="94"/>
  <c r="AD61" i="94"/>
  <c r="AC61" i="94"/>
  <c r="AD60" i="94"/>
  <c r="AC60" i="94"/>
  <c r="AD59" i="94"/>
  <c r="AC59" i="94"/>
  <c r="AD58" i="94"/>
  <c r="AC58" i="94"/>
  <c r="AD57" i="94"/>
  <c r="AC57" i="94"/>
  <c r="AD56" i="94"/>
  <c r="AC56" i="94"/>
  <c r="AD55" i="94"/>
  <c r="AC55" i="94"/>
  <c r="AD54" i="94"/>
  <c r="AC54" i="94"/>
  <c r="AD53" i="94"/>
  <c r="AC53" i="94"/>
  <c r="AD52" i="94"/>
  <c r="AC52" i="94"/>
  <c r="AD51" i="94"/>
  <c r="AC51" i="94"/>
  <c r="AD50" i="94"/>
  <c r="AC50" i="94"/>
  <c r="AD49" i="94"/>
  <c r="AC49" i="94"/>
  <c r="AD48" i="94"/>
  <c r="AC48" i="94"/>
  <c r="AD47" i="94"/>
  <c r="AC47" i="94"/>
  <c r="AD46" i="94"/>
  <c r="AC46" i="94"/>
  <c r="AD45" i="94"/>
  <c r="AC45" i="94"/>
  <c r="AD44" i="94"/>
  <c r="AC44" i="94"/>
  <c r="AD43" i="94"/>
  <c r="AC43" i="94"/>
  <c r="AD42" i="94"/>
  <c r="AC42" i="94"/>
  <c r="AD41" i="94"/>
  <c r="AC41" i="94"/>
  <c r="AD40" i="94"/>
  <c r="AC40" i="94"/>
  <c r="AD39" i="94"/>
  <c r="AC39" i="94"/>
  <c r="AD38" i="94"/>
  <c r="AC38" i="94"/>
  <c r="AD37" i="94"/>
  <c r="AC37" i="94"/>
  <c r="AD36" i="94"/>
  <c r="AC36" i="94"/>
  <c r="AD35" i="94"/>
  <c r="AC35" i="94"/>
  <c r="AD34" i="94"/>
  <c r="AC34" i="94"/>
  <c r="AD33" i="94"/>
  <c r="AC33" i="94"/>
  <c r="AD32" i="94"/>
  <c r="AC32" i="94"/>
  <c r="AD31" i="94"/>
  <c r="AC31" i="94"/>
  <c r="AD30" i="94"/>
  <c r="AC30" i="94"/>
  <c r="AD29" i="94"/>
  <c r="AC29" i="94"/>
  <c r="AD28" i="94"/>
  <c r="AC28" i="94"/>
  <c r="AD27" i="94"/>
  <c r="AC27" i="94"/>
  <c r="AD26" i="94"/>
  <c r="AC26" i="94"/>
  <c r="AD25" i="94"/>
  <c r="AC25" i="94"/>
  <c r="AD24" i="94"/>
  <c r="AC24" i="94"/>
  <c r="AD23" i="94"/>
  <c r="AC23" i="94"/>
  <c r="AD22" i="94"/>
  <c r="AC22" i="94"/>
  <c r="AD21" i="94"/>
  <c r="AC21" i="94"/>
  <c r="AD20" i="94"/>
  <c r="AC20" i="94"/>
  <c r="AD19" i="94"/>
  <c r="AC19" i="94"/>
  <c r="AD18" i="94"/>
  <c r="AC18" i="94"/>
  <c r="AD17" i="94"/>
  <c r="AC17" i="94"/>
  <c r="AD16" i="94"/>
  <c r="AC16" i="94"/>
  <c r="AD15" i="94"/>
  <c r="AC15" i="94"/>
  <c r="AD14" i="94"/>
  <c r="AC14" i="94"/>
  <c r="AD13" i="94"/>
  <c r="AC13" i="94"/>
  <c r="AD12" i="94"/>
  <c r="AC12" i="94"/>
  <c r="AD11" i="94"/>
  <c r="AC11" i="94"/>
  <c r="AD10" i="94"/>
  <c r="AC10" i="94"/>
  <c r="AD9" i="94"/>
  <c r="AC9" i="94"/>
  <c r="AD8" i="94"/>
  <c r="AC8" i="94"/>
  <c r="AD7" i="94"/>
  <c r="AC7" i="94"/>
  <c r="AD6" i="94"/>
  <c r="AC6" i="94"/>
  <c r="AD5" i="94"/>
  <c r="AC5" i="94"/>
  <c r="F19" i="7" l="1"/>
  <c r="E20" i="7"/>
  <c r="E21" i="7"/>
  <c r="E22" i="7"/>
  <c r="E23" i="7"/>
  <c r="E24" i="7"/>
  <c r="E25" i="7"/>
  <c r="E26" i="7"/>
  <c r="E19" i="7"/>
  <c r="E29" i="7" l="1"/>
  <c r="I26" i="7"/>
  <c r="H26" i="7"/>
  <c r="G26" i="7"/>
  <c r="F26" i="7"/>
  <c r="I25" i="7"/>
  <c r="H25" i="7"/>
  <c r="G25" i="7"/>
  <c r="F25" i="7"/>
  <c r="I24" i="7"/>
  <c r="H24" i="7"/>
  <c r="G24" i="7"/>
  <c r="F24" i="7"/>
  <c r="I23" i="7"/>
  <c r="H23" i="7"/>
  <c r="G23" i="7"/>
  <c r="F23" i="7"/>
  <c r="I22" i="7"/>
  <c r="H22" i="7"/>
  <c r="G22" i="7"/>
  <c r="F22" i="7"/>
  <c r="I21" i="7"/>
  <c r="H21" i="7"/>
  <c r="G21" i="7"/>
  <c r="F21" i="7"/>
  <c r="I20" i="7"/>
  <c r="H20" i="7"/>
  <c r="G20" i="7"/>
  <c r="F20" i="7"/>
  <c r="I19" i="7"/>
  <c r="H19" i="7"/>
  <c r="G19" i="7"/>
  <c r="J23" i="7" l="1"/>
  <c r="J20" i="7"/>
  <c r="J22" i="7"/>
  <c r="J24" i="7"/>
  <c r="J26" i="7"/>
  <c r="J25" i="7"/>
  <c r="J21" i="7"/>
  <c r="H29" i="7"/>
  <c r="J19" i="7"/>
  <c r="C36" i="67" l="1"/>
  <c r="E36" i="67" s="1"/>
  <c r="C35" i="67"/>
  <c r="E35" i="67" s="1"/>
  <c r="C34" i="67"/>
  <c r="E34" i="67" s="1"/>
  <c r="C33" i="67"/>
  <c r="E33" i="67" s="1"/>
  <c r="C32" i="67"/>
  <c r="E32" i="67" s="1"/>
  <c r="C31" i="67"/>
  <c r="E31" i="67" s="1"/>
  <c r="C30" i="67"/>
  <c r="C28" i="67"/>
  <c r="E28" i="67" s="1"/>
  <c r="C27" i="67"/>
  <c r="E27" i="67" s="1"/>
  <c r="C26" i="67"/>
  <c r="E26" i="67" s="1"/>
  <c r="C25" i="67"/>
  <c r="E25" i="67" s="1"/>
  <c r="D23" i="67"/>
  <c r="C24" i="67"/>
  <c r="C22" i="67"/>
  <c r="E22" i="67" s="1"/>
  <c r="C21" i="67"/>
  <c r="C23" i="67" l="1"/>
  <c r="C29" i="67"/>
  <c r="D29" i="67"/>
  <c r="D37" i="67" s="1"/>
  <c r="E30" i="67"/>
  <c r="E24" i="67"/>
  <c r="F12" i="93"/>
  <c r="G12" i="93"/>
  <c r="H12" i="93"/>
  <c r="E12" i="93"/>
  <c r="J12" i="93" s="1"/>
  <c r="C37" i="67" l="1"/>
  <c r="E23" i="67"/>
  <c r="E29" i="67"/>
  <c r="F7" i="93"/>
  <c r="H7" i="93"/>
  <c r="I7" i="93"/>
  <c r="G7" i="93"/>
  <c r="E37" i="67" l="1"/>
  <c r="E192" i="93" l="1"/>
  <c r="D4" i="49" l="1"/>
  <c r="D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3" i="4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52" i="69"/>
  <c r="P53" i="69"/>
  <c r="P54" i="69"/>
  <c r="P55" i="69"/>
  <c r="P56" i="69"/>
  <c r="P57" i="69"/>
  <c r="P58" i="69"/>
  <c r="P59" i="69"/>
  <c r="P60" i="69"/>
  <c r="P61" i="69"/>
  <c r="P62" i="69"/>
  <c r="P63" i="69"/>
  <c r="P64" i="69"/>
  <c r="P65" i="69"/>
  <c r="P66" i="69"/>
  <c r="P67" i="69"/>
  <c r="P68" i="69"/>
  <c r="P69" i="69"/>
  <c r="P70" i="69"/>
  <c r="P71" i="69"/>
  <c r="P72" i="69"/>
  <c r="P73" i="69"/>
  <c r="P74" i="69"/>
  <c r="P75" i="69"/>
  <c r="P76" i="69"/>
  <c r="P77" i="69"/>
  <c r="P78" i="69"/>
  <c r="P79" i="69"/>
  <c r="P80" i="69"/>
  <c r="P81" i="69"/>
  <c r="P82" i="69"/>
  <c r="P83" i="69"/>
  <c r="P84" i="69"/>
  <c r="P85" i="69"/>
  <c r="P86" i="69"/>
  <c r="P87" i="69"/>
  <c r="P88" i="69"/>
  <c r="P89" i="69"/>
  <c r="P90" i="69"/>
  <c r="P91" i="69"/>
  <c r="P92" i="69"/>
  <c r="P93" i="69"/>
  <c r="P94" i="69"/>
  <c r="P95" i="69"/>
  <c r="P96" i="69"/>
  <c r="P97" i="69"/>
  <c r="P98" i="69"/>
  <c r="P99" i="69"/>
  <c r="P100" i="69"/>
  <c r="P101" i="69"/>
  <c r="P102" i="69"/>
  <c r="P103" i="69"/>
  <c r="P104" i="69"/>
  <c r="P105" i="69"/>
  <c r="P106" i="69"/>
  <c r="P107" i="69"/>
  <c r="P108" i="69"/>
  <c r="P109" i="69"/>
  <c r="P110" i="69"/>
  <c r="P111" i="69"/>
  <c r="P112" i="69"/>
  <c r="P113" i="69"/>
  <c r="P114" i="69"/>
  <c r="P115" i="69"/>
  <c r="P116" i="69"/>
  <c r="P117" i="69"/>
  <c r="P118" i="69"/>
  <c r="P119" i="69"/>
  <c r="P120" i="69"/>
  <c r="P121" i="69"/>
  <c r="P122" i="69"/>
  <c r="P123" i="69"/>
  <c r="P124" i="69"/>
  <c r="P125" i="69"/>
  <c r="P126" i="69"/>
  <c r="P127" i="69"/>
  <c r="P128" i="69"/>
  <c r="P129" i="69"/>
  <c r="P130" i="69"/>
  <c r="P131" i="69"/>
  <c r="P132" i="69"/>
  <c r="P133" i="69"/>
  <c r="P134" i="69"/>
  <c r="P135" i="69"/>
  <c r="P136" i="69"/>
  <c r="P137" i="69"/>
  <c r="P138" i="69"/>
  <c r="P139" i="69"/>
  <c r="P140" i="69"/>
  <c r="P141" i="69"/>
  <c r="P142" i="69"/>
  <c r="P143" i="69"/>
  <c r="P144" i="69"/>
  <c r="P145" i="69"/>
  <c r="P146" i="69"/>
  <c r="P147" i="69"/>
  <c r="P148" i="69"/>
  <c r="P149" i="69"/>
  <c r="P150" i="69"/>
  <c r="P151" i="69"/>
  <c r="P152" i="69"/>
  <c r="P153" i="69"/>
  <c r="P154" i="69"/>
  <c r="P155" i="69"/>
  <c r="P156" i="69"/>
  <c r="P157" i="69"/>
  <c r="P158" i="69"/>
  <c r="P159" i="69"/>
  <c r="P160" i="69"/>
  <c r="P161" i="69"/>
  <c r="P162" i="69"/>
  <c r="P163" i="69"/>
  <c r="P164" i="69"/>
  <c r="P165" i="69"/>
  <c r="P166" i="69"/>
  <c r="P167" i="69"/>
  <c r="P168" i="69"/>
  <c r="P169" i="69"/>
  <c r="P170" i="69"/>
  <c r="P171" i="69"/>
  <c r="P172" i="69"/>
  <c r="P173" i="69"/>
  <c r="P174" i="69"/>
  <c r="P175" i="69"/>
  <c r="P176" i="69"/>
  <c r="P177" i="69"/>
  <c r="P178" i="69"/>
  <c r="P179" i="69"/>
  <c r="P180" i="69"/>
  <c r="P181" i="69"/>
  <c r="P182" i="69"/>
  <c r="P183" i="69"/>
  <c r="P184" i="69"/>
  <c r="P185" i="69"/>
  <c r="P186" i="69"/>
  <c r="P187" i="69"/>
  <c r="P188" i="69"/>
  <c r="P189" i="69"/>
  <c r="P190" i="69"/>
  <c r="P191" i="69"/>
  <c r="P192" i="69"/>
  <c r="P193" i="69"/>
  <c r="P194" i="69"/>
  <c r="P195" i="69"/>
  <c r="P196" i="69"/>
  <c r="P197" i="69"/>
  <c r="P198" i="69"/>
  <c r="M22" i="69"/>
  <c r="M30" i="69"/>
  <c r="D41" i="93"/>
  <c r="J3" i="52"/>
  <c r="K3" i="52"/>
  <c r="L3" i="52"/>
  <c r="M3" i="52"/>
  <c r="N3" i="52"/>
  <c r="O3" i="52"/>
  <c r="P3" i="52"/>
  <c r="Q3" i="52"/>
  <c r="R3" i="52"/>
  <c r="J4" i="52"/>
  <c r="S4" i="52" s="1"/>
  <c r="K4" i="52"/>
  <c r="L4" i="52"/>
  <c r="M4" i="52"/>
  <c r="N4" i="52"/>
  <c r="O4" i="52"/>
  <c r="P4" i="52"/>
  <c r="Q4" i="52"/>
  <c r="R4" i="52"/>
  <c r="J5" i="52"/>
  <c r="S5" i="52" s="1"/>
  <c r="K5" i="52"/>
  <c r="L5" i="52"/>
  <c r="M5" i="52"/>
  <c r="N5" i="52"/>
  <c r="O5" i="52"/>
  <c r="P5" i="52"/>
  <c r="Q5" i="52"/>
  <c r="R5" i="52"/>
  <c r="J6" i="52"/>
  <c r="S6" i="52" s="1"/>
  <c r="K6" i="52"/>
  <c r="L6" i="52"/>
  <c r="M6" i="52"/>
  <c r="N6" i="52"/>
  <c r="O6" i="52"/>
  <c r="P6" i="52"/>
  <c r="Q6" i="52"/>
  <c r="R6" i="52"/>
  <c r="J7" i="52"/>
  <c r="S7" i="52" s="1"/>
  <c r="K7" i="52"/>
  <c r="L7" i="52"/>
  <c r="M7" i="52"/>
  <c r="N7" i="52"/>
  <c r="O7" i="52"/>
  <c r="P7" i="52"/>
  <c r="Q7" i="52"/>
  <c r="R7" i="52"/>
  <c r="J8" i="52"/>
  <c r="S8" i="52" s="1"/>
  <c r="K8" i="52"/>
  <c r="L8" i="52"/>
  <c r="M8" i="52"/>
  <c r="N8" i="52"/>
  <c r="O8" i="52"/>
  <c r="P8" i="52"/>
  <c r="Q8" i="52"/>
  <c r="R8" i="52"/>
  <c r="J9" i="52"/>
  <c r="S9" i="52" s="1"/>
  <c r="K9" i="52"/>
  <c r="L9" i="52"/>
  <c r="M9" i="52"/>
  <c r="N9" i="52"/>
  <c r="O9" i="52"/>
  <c r="P9" i="52"/>
  <c r="Q9" i="52"/>
  <c r="R9" i="52"/>
  <c r="J10" i="52"/>
  <c r="S10" i="52" s="1"/>
  <c r="K10" i="52"/>
  <c r="L10" i="52"/>
  <c r="M10" i="52"/>
  <c r="N10" i="52"/>
  <c r="O10" i="52"/>
  <c r="P10" i="52"/>
  <c r="Q10" i="52"/>
  <c r="R10" i="52"/>
  <c r="J11" i="52"/>
  <c r="S11" i="52" s="1"/>
  <c r="K11" i="52"/>
  <c r="L11" i="52"/>
  <c r="M11" i="52"/>
  <c r="N11" i="52"/>
  <c r="O11" i="52"/>
  <c r="P11" i="52"/>
  <c r="Q11" i="52"/>
  <c r="R11" i="52"/>
  <c r="J12" i="52"/>
  <c r="S12" i="52" s="1"/>
  <c r="K12" i="52"/>
  <c r="L12" i="52"/>
  <c r="M12" i="52"/>
  <c r="N12" i="52"/>
  <c r="O12" i="52"/>
  <c r="P12" i="52"/>
  <c r="Q12" i="52"/>
  <c r="R12" i="52"/>
  <c r="J13" i="52"/>
  <c r="S13" i="52" s="1"/>
  <c r="K13" i="52"/>
  <c r="L13" i="52"/>
  <c r="M13" i="52"/>
  <c r="N13" i="52"/>
  <c r="O13" i="52"/>
  <c r="P13" i="52"/>
  <c r="Q13" i="52"/>
  <c r="R13" i="52"/>
  <c r="J14" i="52"/>
  <c r="S14" i="52" s="1"/>
  <c r="K14" i="52"/>
  <c r="L14" i="52"/>
  <c r="M14" i="52"/>
  <c r="N14" i="52"/>
  <c r="O14" i="52"/>
  <c r="P14" i="52"/>
  <c r="Q14" i="52"/>
  <c r="R14" i="52"/>
  <c r="J15" i="52"/>
  <c r="S15" i="52" s="1"/>
  <c r="K15" i="52"/>
  <c r="L15" i="52"/>
  <c r="M15" i="52"/>
  <c r="N15" i="52"/>
  <c r="O15" i="52"/>
  <c r="P15" i="52"/>
  <c r="Q15" i="52"/>
  <c r="R15" i="52"/>
  <c r="J16" i="52"/>
  <c r="S16" i="52" s="1"/>
  <c r="K16" i="52"/>
  <c r="L16" i="52"/>
  <c r="M16" i="52"/>
  <c r="N16" i="52"/>
  <c r="O16" i="52"/>
  <c r="P16" i="52"/>
  <c r="Q16" i="52"/>
  <c r="R16" i="52"/>
  <c r="J17" i="52"/>
  <c r="S17" i="52" s="1"/>
  <c r="K17" i="52"/>
  <c r="L17" i="52"/>
  <c r="M17" i="52"/>
  <c r="N17" i="52"/>
  <c r="O17" i="52"/>
  <c r="P17" i="52"/>
  <c r="Q17" i="52"/>
  <c r="R17" i="52"/>
  <c r="J18" i="52"/>
  <c r="S18" i="52" s="1"/>
  <c r="K18" i="52"/>
  <c r="L18" i="52"/>
  <c r="M18" i="52"/>
  <c r="N18" i="52"/>
  <c r="O18" i="52"/>
  <c r="P18" i="52"/>
  <c r="Q18" i="52"/>
  <c r="R18" i="52"/>
  <c r="J19" i="52"/>
  <c r="S19" i="52" s="1"/>
  <c r="K19" i="52"/>
  <c r="L19" i="52"/>
  <c r="M19" i="52"/>
  <c r="N19" i="52"/>
  <c r="O19" i="52"/>
  <c r="P19" i="52"/>
  <c r="Q19" i="52"/>
  <c r="R19" i="52"/>
  <c r="J20" i="52"/>
  <c r="S20" i="52" s="1"/>
  <c r="K20" i="52"/>
  <c r="L20" i="52"/>
  <c r="M20" i="52"/>
  <c r="N20" i="52"/>
  <c r="O20" i="52"/>
  <c r="P20" i="52"/>
  <c r="Q20" i="52"/>
  <c r="R20" i="52"/>
  <c r="J21" i="52"/>
  <c r="S21" i="52" s="1"/>
  <c r="K21" i="52"/>
  <c r="L21" i="52"/>
  <c r="M21" i="52"/>
  <c r="N21" i="52"/>
  <c r="O21" i="52"/>
  <c r="P21" i="52"/>
  <c r="Q21" i="52"/>
  <c r="R21" i="52"/>
  <c r="J22" i="52"/>
  <c r="S22" i="52" s="1"/>
  <c r="K22" i="52"/>
  <c r="L22" i="52"/>
  <c r="M22" i="52"/>
  <c r="N22" i="52"/>
  <c r="O22" i="52"/>
  <c r="P22" i="52"/>
  <c r="Q22" i="52"/>
  <c r="R22" i="52"/>
  <c r="J23" i="52"/>
  <c r="S23" i="52" s="1"/>
  <c r="K23" i="52"/>
  <c r="L23" i="52"/>
  <c r="M23" i="52"/>
  <c r="N23" i="52"/>
  <c r="O23" i="52"/>
  <c r="P23" i="52"/>
  <c r="Q23" i="52"/>
  <c r="R23" i="52"/>
  <c r="J24" i="52"/>
  <c r="S24" i="52" s="1"/>
  <c r="K24" i="52"/>
  <c r="L24" i="52"/>
  <c r="M24" i="52"/>
  <c r="N24" i="52"/>
  <c r="O24" i="52"/>
  <c r="P24" i="52"/>
  <c r="Q24" i="52"/>
  <c r="R24" i="52"/>
  <c r="J25" i="52"/>
  <c r="S25" i="52" s="1"/>
  <c r="K25" i="52"/>
  <c r="L25" i="52"/>
  <c r="M25" i="52"/>
  <c r="N25" i="52"/>
  <c r="O25" i="52"/>
  <c r="P25" i="52"/>
  <c r="Q25" i="52"/>
  <c r="R25" i="52"/>
  <c r="J26" i="52"/>
  <c r="S26" i="52" s="1"/>
  <c r="K26" i="52"/>
  <c r="L26" i="52"/>
  <c r="M26" i="52"/>
  <c r="N26" i="52"/>
  <c r="O26" i="52"/>
  <c r="P26" i="52"/>
  <c r="Q26" i="52"/>
  <c r="R26" i="52"/>
  <c r="J27" i="52"/>
  <c r="S27" i="52" s="1"/>
  <c r="K27" i="52"/>
  <c r="L27" i="52"/>
  <c r="M27" i="52"/>
  <c r="N27" i="52"/>
  <c r="O27" i="52"/>
  <c r="P27" i="52"/>
  <c r="Q27" i="52"/>
  <c r="R27" i="52"/>
  <c r="J28" i="52"/>
  <c r="S28" i="52" s="1"/>
  <c r="K28" i="52"/>
  <c r="L28" i="52"/>
  <c r="M28" i="52"/>
  <c r="N28" i="52"/>
  <c r="O28" i="52"/>
  <c r="P28" i="52"/>
  <c r="Q28" i="52"/>
  <c r="R28" i="52"/>
  <c r="J29" i="52"/>
  <c r="S29" i="52" s="1"/>
  <c r="K29" i="52"/>
  <c r="L29" i="52"/>
  <c r="M29" i="52"/>
  <c r="N29" i="52"/>
  <c r="O29" i="52"/>
  <c r="P29" i="52"/>
  <c r="Q29" i="52"/>
  <c r="R29" i="52"/>
  <c r="J30" i="52"/>
  <c r="S30" i="52" s="1"/>
  <c r="K30" i="52"/>
  <c r="L30" i="52"/>
  <c r="M30" i="52"/>
  <c r="N30" i="52"/>
  <c r="O30" i="52"/>
  <c r="P30" i="52"/>
  <c r="Q30" i="52"/>
  <c r="R30" i="52"/>
  <c r="J31" i="52"/>
  <c r="S31" i="52" s="1"/>
  <c r="K31" i="52"/>
  <c r="L31" i="52"/>
  <c r="M31" i="52"/>
  <c r="N31" i="52"/>
  <c r="O31" i="52"/>
  <c r="P31" i="52"/>
  <c r="Q31" i="52"/>
  <c r="R31" i="52"/>
  <c r="J32" i="52"/>
  <c r="S32" i="52" s="1"/>
  <c r="K32" i="52"/>
  <c r="L32" i="52"/>
  <c r="M32" i="52"/>
  <c r="N32" i="52"/>
  <c r="O32" i="52"/>
  <c r="P32" i="52"/>
  <c r="Q32" i="52"/>
  <c r="R32" i="52"/>
  <c r="J33" i="52"/>
  <c r="S33" i="52" s="1"/>
  <c r="K33" i="52"/>
  <c r="L33" i="52"/>
  <c r="M33" i="52"/>
  <c r="N33" i="52"/>
  <c r="O33" i="52"/>
  <c r="P33" i="52"/>
  <c r="Q33" i="52"/>
  <c r="R33" i="52"/>
  <c r="J34" i="52"/>
  <c r="S34" i="52" s="1"/>
  <c r="K34" i="52"/>
  <c r="L34" i="52"/>
  <c r="M34" i="52"/>
  <c r="N34" i="52"/>
  <c r="O34" i="52"/>
  <c r="P34" i="52"/>
  <c r="Q34" i="52"/>
  <c r="R34" i="52"/>
  <c r="J35" i="52"/>
  <c r="S35" i="52" s="1"/>
  <c r="K35" i="52"/>
  <c r="L35" i="52"/>
  <c r="M35" i="52"/>
  <c r="N35" i="52"/>
  <c r="O35" i="52"/>
  <c r="P35" i="52"/>
  <c r="Q35" i="52"/>
  <c r="R35" i="52"/>
  <c r="J36" i="52"/>
  <c r="S36" i="52" s="1"/>
  <c r="K36" i="52"/>
  <c r="L36" i="52"/>
  <c r="M36" i="52"/>
  <c r="N36" i="52"/>
  <c r="O36" i="52"/>
  <c r="P36" i="52"/>
  <c r="Q36" i="52"/>
  <c r="R36" i="52"/>
  <c r="J37" i="52"/>
  <c r="S37" i="52" s="1"/>
  <c r="K37" i="52"/>
  <c r="L37" i="52"/>
  <c r="M37" i="52"/>
  <c r="N37" i="52"/>
  <c r="O37" i="52"/>
  <c r="P37" i="52"/>
  <c r="Q37" i="52"/>
  <c r="R37" i="52"/>
  <c r="J38" i="52"/>
  <c r="S38" i="52" s="1"/>
  <c r="K38" i="52"/>
  <c r="L38" i="52"/>
  <c r="M38" i="52"/>
  <c r="N38" i="52"/>
  <c r="O38" i="52"/>
  <c r="P38" i="52"/>
  <c r="Q38" i="52"/>
  <c r="R38" i="52"/>
  <c r="J39" i="52"/>
  <c r="S39" i="52" s="1"/>
  <c r="K39" i="52"/>
  <c r="L39" i="52"/>
  <c r="M39" i="52"/>
  <c r="N39" i="52"/>
  <c r="O39" i="52"/>
  <c r="P39" i="52"/>
  <c r="Q39" i="52"/>
  <c r="R39" i="52"/>
  <c r="J40" i="52"/>
  <c r="S40" i="52" s="1"/>
  <c r="K40" i="52"/>
  <c r="L40" i="52"/>
  <c r="M40" i="52"/>
  <c r="N40" i="52"/>
  <c r="O40" i="52"/>
  <c r="P40" i="52"/>
  <c r="Q40" i="52"/>
  <c r="R40" i="52"/>
  <c r="J41" i="52"/>
  <c r="S41" i="52" s="1"/>
  <c r="K41" i="52"/>
  <c r="L41" i="52"/>
  <c r="M41" i="52"/>
  <c r="N41" i="52"/>
  <c r="O41" i="52"/>
  <c r="P41" i="52"/>
  <c r="Q41" i="52"/>
  <c r="R41" i="52"/>
  <c r="J42" i="52"/>
  <c r="S42" i="52" s="1"/>
  <c r="K42" i="52"/>
  <c r="L42" i="52"/>
  <c r="M42" i="52"/>
  <c r="N42" i="52"/>
  <c r="O42" i="52"/>
  <c r="P42" i="52"/>
  <c r="Q42" i="52"/>
  <c r="R42" i="52"/>
  <c r="J43" i="52"/>
  <c r="S43" i="52" s="1"/>
  <c r="K43" i="52"/>
  <c r="L43" i="52"/>
  <c r="M43" i="52"/>
  <c r="N43" i="52"/>
  <c r="O43" i="52"/>
  <c r="P43" i="52"/>
  <c r="Q43" i="52"/>
  <c r="R43" i="52"/>
  <c r="J44" i="52"/>
  <c r="S44" i="52" s="1"/>
  <c r="K44" i="52"/>
  <c r="L44" i="52"/>
  <c r="M44" i="52"/>
  <c r="N44" i="52"/>
  <c r="O44" i="52"/>
  <c r="P44" i="52"/>
  <c r="Q44" i="52"/>
  <c r="R44" i="52"/>
  <c r="J45" i="52"/>
  <c r="S45" i="52" s="1"/>
  <c r="K45" i="52"/>
  <c r="L45" i="52"/>
  <c r="M45" i="52"/>
  <c r="N45" i="52"/>
  <c r="O45" i="52"/>
  <c r="P45" i="52"/>
  <c r="Q45" i="52"/>
  <c r="R45" i="52"/>
  <c r="J46" i="52"/>
  <c r="S46" i="52" s="1"/>
  <c r="K46" i="52"/>
  <c r="L46" i="52"/>
  <c r="M46" i="52"/>
  <c r="N46" i="52"/>
  <c r="O46" i="52"/>
  <c r="P46" i="52"/>
  <c r="Q46" i="52"/>
  <c r="R46" i="52"/>
  <c r="J47" i="52"/>
  <c r="S47" i="52" s="1"/>
  <c r="K47" i="52"/>
  <c r="L47" i="52"/>
  <c r="M47" i="52"/>
  <c r="N47" i="52"/>
  <c r="O47" i="52"/>
  <c r="P47" i="52"/>
  <c r="Q47" i="52"/>
  <c r="R47" i="52"/>
  <c r="J48" i="52"/>
  <c r="S48" i="52" s="1"/>
  <c r="K48" i="52"/>
  <c r="L48" i="52"/>
  <c r="M48" i="52"/>
  <c r="N48" i="52"/>
  <c r="O48" i="52"/>
  <c r="P48" i="52"/>
  <c r="Q48" i="52"/>
  <c r="R48" i="52"/>
  <c r="J49" i="52"/>
  <c r="S49" i="52" s="1"/>
  <c r="K49" i="52"/>
  <c r="L49" i="52"/>
  <c r="M49" i="52"/>
  <c r="N49" i="52"/>
  <c r="O49" i="52"/>
  <c r="P49" i="52"/>
  <c r="Q49" i="52"/>
  <c r="R49" i="52"/>
  <c r="J50" i="52"/>
  <c r="S50" i="52" s="1"/>
  <c r="K50" i="52"/>
  <c r="L50" i="52"/>
  <c r="M50" i="52"/>
  <c r="N50" i="52"/>
  <c r="O50" i="52"/>
  <c r="P50" i="52"/>
  <c r="Q50" i="52"/>
  <c r="R50" i="52"/>
  <c r="J51" i="52"/>
  <c r="S51" i="52" s="1"/>
  <c r="K51" i="52"/>
  <c r="L51" i="52"/>
  <c r="M51" i="52"/>
  <c r="N51" i="52"/>
  <c r="O51" i="52"/>
  <c r="P51" i="52"/>
  <c r="Q51" i="52"/>
  <c r="R51" i="52"/>
  <c r="J52" i="52"/>
  <c r="S52" i="52" s="1"/>
  <c r="K52" i="52"/>
  <c r="L52" i="52"/>
  <c r="M52" i="52"/>
  <c r="N52" i="52"/>
  <c r="O52" i="52"/>
  <c r="P52" i="52"/>
  <c r="Q52" i="52"/>
  <c r="R52" i="52"/>
  <c r="J53" i="52"/>
  <c r="S53" i="52" s="1"/>
  <c r="K53" i="52"/>
  <c r="L53" i="52"/>
  <c r="M53" i="52"/>
  <c r="N53" i="52"/>
  <c r="O53" i="52"/>
  <c r="P53" i="52"/>
  <c r="Q53" i="52"/>
  <c r="R53" i="52"/>
  <c r="J54" i="52"/>
  <c r="S54" i="52" s="1"/>
  <c r="K54" i="52"/>
  <c r="L54" i="52"/>
  <c r="M54" i="52"/>
  <c r="N54" i="52"/>
  <c r="O54" i="52"/>
  <c r="P54" i="52"/>
  <c r="Q54" i="52"/>
  <c r="R54" i="52"/>
  <c r="J55" i="52"/>
  <c r="S55" i="52" s="1"/>
  <c r="K55" i="52"/>
  <c r="L55" i="52"/>
  <c r="M55" i="52"/>
  <c r="N55" i="52"/>
  <c r="O55" i="52"/>
  <c r="P55" i="52"/>
  <c r="Q55" i="52"/>
  <c r="R55" i="52"/>
  <c r="J56" i="52"/>
  <c r="S56" i="52" s="1"/>
  <c r="K56" i="52"/>
  <c r="L56" i="52"/>
  <c r="M56" i="52"/>
  <c r="N56" i="52"/>
  <c r="O56" i="52"/>
  <c r="P56" i="52"/>
  <c r="Q56" i="52"/>
  <c r="R56" i="52"/>
  <c r="J57" i="52"/>
  <c r="S57" i="52" s="1"/>
  <c r="K57" i="52"/>
  <c r="L57" i="52"/>
  <c r="M57" i="52"/>
  <c r="N57" i="52"/>
  <c r="O57" i="52"/>
  <c r="P57" i="52"/>
  <c r="Q57" i="52"/>
  <c r="R57" i="52"/>
  <c r="J58" i="52"/>
  <c r="S58" i="52" s="1"/>
  <c r="K58" i="52"/>
  <c r="L58" i="52"/>
  <c r="M58" i="52"/>
  <c r="N58" i="52"/>
  <c r="O58" i="52"/>
  <c r="P58" i="52"/>
  <c r="Q58" i="52"/>
  <c r="R58" i="52"/>
  <c r="J59" i="52"/>
  <c r="S59" i="52" s="1"/>
  <c r="K59" i="52"/>
  <c r="L59" i="52"/>
  <c r="M59" i="52"/>
  <c r="N59" i="52"/>
  <c r="O59" i="52"/>
  <c r="P59" i="52"/>
  <c r="Q59" i="52"/>
  <c r="R59" i="52"/>
  <c r="J60" i="52"/>
  <c r="S60" i="52" s="1"/>
  <c r="K60" i="52"/>
  <c r="L60" i="52"/>
  <c r="M60" i="52"/>
  <c r="N60" i="52"/>
  <c r="O60" i="52"/>
  <c r="P60" i="52"/>
  <c r="Q60" i="52"/>
  <c r="R60" i="52"/>
  <c r="J61" i="52"/>
  <c r="S61" i="52" s="1"/>
  <c r="K61" i="52"/>
  <c r="L61" i="52"/>
  <c r="M61" i="52"/>
  <c r="N61" i="52"/>
  <c r="O61" i="52"/>
  <c r="P61" i="52"/>
  <c r="Q61" i="52"/>
  <c r="R61" i="52"/>
  <c r="J62" i="52"/>
  <c r="S62" i="52" s="1"/>
  <c r="K62" i="52"/>
  <c r="L62" i="52"/>
  <c r="M62" i="52"/>
  <c r="N62" i="52"/>
  <c r="O62" i="52"/>
  <c r="P62" i="52"/>
  <c r="Q62" i="52"/>
  <c r="R62" i="52"/>
  <c r="J63" i="52"/>
  <c r="S63" i="52" s="1"/>
  <c r="K63" i="52"/>
  <c r="L63" i="52"/>
  <c r="M63" i="52"/>
  <c r="N63" i="52"/>
  <c r="O63" i="52"/>
  <c r="P63" i="52"/>
  <c r="Q63" i="52"/>
  <c r="R63" i="52"/>
  <c r="J64" i="52"/>
  <c r="S64" i="52" s="1"/>
  <c r="K64" i="52"/>
  <c r="L64" i="52"/>
  <c r="M64" i="52"/>
  <c r="N64" i="52"/>
  <c r="O64" i="52"/>
  <c r="P64" i="52"/>
  <c r="Q64" i="52"/>
  <c r="R64" i="52"/>
  <c r="J65" i="52"/>
  <c r="S65" i="52" s="1"/>
  <c r="K65" i="52"/>
  <c r="L65" i="52"/>
  <c r="M65" i="52"/>
  <c r="N65" i="52"/>
  <c r="O65" i="52"/>
  <c r="P65" i="52"/>
  <c r="Q65" i="52"/>
  <c r="R65" i="52"/>
  <c r="J66" i="52"/>
  <c r="S66" i="52" s="1"/>
  <c r="K66" i="52"/>
  <c r="L66" i="52"/>
  <c r="M66" i="52"/>
  <c r="N66" i="52"/>
  <c r="O66" i="52"/>
  <c r="P66" i="52"/>
  <c r="Q66" i="52"/>
  <c r="R66" i="52"/>
  <c r="J67" i="52"/>
  <c r="S67" i="52" s="1"/>
  <c r="K67" i="52"/>
  <c r="L67" i="52"/>
  <c r="M67" i="52"/>
  <c r="N67" i="52"/>
  <c r="O67" i="52"/>
  <c r="P67" i="52"/>
  <c r="Q67" i="52"/>
  <c r="R67" i="52"/>
  <c r="J68" i="52"/>
  <c r="S68" i="52" s="1"/>
  <c r="K68" i="52"/>
  <c r="L68" i="52"/>
  <c r="M68" i="52"/>
  <c r="N68" i="52"/>
  <c r="O68" i="52"/>
  <c r="P68" i="52"/>
  <c r="Q68" i="52"/>
  <c r="R68" i="52"/>
  <c r="J69" i="52"/>
  <c r="S69" i="52" s="1"/>
  <c r="K69" i="52"/>
  <c r="L69" i="52"/>
  <c r="M69" i="52"/>
  <c r="N69" i="52"/>
  <c r="O69" i="52"/>
  <c r="P69" i="52"/>
  <c r="Q69" i="52"/>
  <c r="R69" i="52"/>
  <c r="J70" i="52"/>
  <c r="S70" i="52" s="1"/>
  <c r="K70" i="52"/>
  <c r="L70" i="52"/>
  <c r="M70" i="52"/>
  <c r="N70" i="52"/>
  <c r="O70" i="52"/>
  <c r="P70" i="52"/>
  <c r="Q70" i="52"/>
  <c r="R70" i="52"/>
  <c r="J71" i="52"/>
  <c r="S71" i="52" s="1"/>
  <c r="K71" i="52"/>
  <c r="L71" i="52"/>
  <c r="M71" i="52"/>
  <c r="N71" i="52"/>
  <c r="O71" i="52"/>
  <c r="P71" i="52"/>
  <c r="Q71" i="52"/>
  <c r="R71" i="52"/>
  <c r="J72" i="52"/>
  <c r="S72" i="52" s="1"/>
  <c r="K72" i="52"/>
  <c r="L72" i="52"/>
  <c r="M72" i="52"/>
  <c r="N72" i="52"/>
  <c r="O72" i="52"/>
  <c r="P72" i="52"/>
  <c r="Q72" i="52"/>
  <c r="R72" i="52"/>
  <c r="J73" i="52"/>
  <c r="S73" i="52" s="1"/>
  <c r="K73" i="52"/>
  <c r="L73" i="52"/>
  <c r="M73" i="52"/>
  <c r="N73" i="52"/>
  <c r="O73" i="52"/>
  <c r="P73" i="52"/>
  <c r="Q73" i="52"/>
  <c r="R73" i="52"/>
  <c r="J74" i="52"/>
  <c r="S74" i="52" s="1"/>
  <c r="K74" i="52"/>
  <c r="L74" i="52"/>
  <c r="M74" i="52"/>
  <c r="N74" i="52"/>
  <c r="O74" i="52"/>
  <c r="P74" i="52"/>
  <c r="Q74" i="52"/>
  <c r="R74" i="52"/>
  <c r="J75" i="52"/>
  <c r="S75" i="52" s="1"/>
  <c r="K75" i="52"/>
  <c r="L75" i="52"/>
  <c r="M75" i="52"/>
  <c r="N75" i="52"/>
  <c r="O75" i="52"/>
  <c r="P75" i="52"/>
  <c r="Q75" i="52"/>
  <c r="R75" i="52"/>
  <c r="J76" i="52"/>
  <c r="S76" i="52" s="1"/>
  <c r="K76" i="52"/>
  <c r="L76" i="52"/>
  <c r="M76" i="52"/>
  <c r="N76" i="52"/>
  <c r="O76" i="52"/>
  <c r="P76" i="52"/>
  <c r="Q76" i="52"/>
  <c r="R76" i="52"/>
  <c r="J77" i="52"/>
  <c r="S77" i="52" s="1"/>
  <c r="K77" i="52"/>
  <c r="L77" i="52"/>
  <c r="M77" i="52"/>
  <c r="N77" i="52"/>
  <c r="O77" i="52"/>
  <c r="P77" i="52"/>
  <c r="Q77" i="52"/>
  <c r="R77" i="52"/>
  <c r="J78" i="52"/>
  <c r="S78" i="52" s="1"/>
  <c r="K78" i="52"/>
  <c r="L78" i="52"/>
  <c r="M78" i="52"/>
  <c r="N78" i="52"/>
  <c r="O78" i="52"/>
  <c r="P78" i="52"/>
  <c r="Q78" i="52"/>
  <c r="R78" i="52"/>
  <c r="J79" i="52"/>
  <c r="S79" i="52" s="1"/>
  <c r="K79" i="52"/>
  <c r="L79" i="52"/>
  <c r="M79" i="52"/>
  <c r="N79" i="52"/>
  <c r="O79" i="52"/>
  <c r="P79" i="52"/>
  <c r="Q79" i="52"/>
  <c r="R79" i="52"/>
  <c r="J80" i="52"/>
  <c r="S80" i="52" s="1"/>
  <c r="K80" i="52"/>
  <c r="L80" i="52"/>
  <c r="M80" i="52"/>
  <c r="N80" i="52"/>
  <c r="O80" i="52"/>
  <c r="P80" i="52"/>
  <c r="Q80" i="52"/>
  <c r="R80" i="52"/>
  <c r="J81" i="52"/>
  <c r="S81" i="52" s="1"/>
  <c r="K81" i="52"/>
  <c r="L81" i="52"/>
  <c r="M81" i="52"/>
  <c r="N81" i="52"/>
  <c r="O81" i="52"/>
  <c r="P81" i="52"/>
  <c r="Q81" i="52"/>
  <c r="R81" i="52"/>
  <c r="J82" i="52"/>
  <c r="S82" i="52" s="1"/>
  <c r="K82" i="52"/>
  <c r="L82" i="52"/>
  <c r="M82" i="52"/>
  <c r="N82" i="52"/>
  <c r="O82" i="52"/>
  <c r="P82" i="52"/>
  <c r="Q82" i="52"/>
  <c r="R82" i="52"/>
  <c r="J83" i="52"/>
  <c r="S83" i="52" s="1"/>
  <c r="K83" i="52"/>
  <c r="L83" i="52"/>
  <c r="M83" i="52"/>
  <c r="N83" i="52"/>
  <c r="O83" i="52"/>
  <c r="P83" i="52"/>
  <c r="Q83" i="52"/>
  <c r="R83" i="52"/>
  <c r="J84" i="52"/>
  <c r="S84" i="52" s="1"/>
  <c r="K84" i="52"/>
  <c r="L84" i="52"/>
  <c r="M84" i="52"/>
  <c r="N84" i="52"/>
  <c r="O84" i="52"/>
  <c r="P84" i="52"/>
  <c r="Q84" i="52"/>
  <c r="R84" i="52"/>
  <c r="J85" i="52"/>
  <c r="S85" i="52" s="1"/>
  <c r="K85" i="52"/>
  <c r="L85" i="52"/>
  <c r="M85" i="52"/>
  <c r="N85" i="52"/>
  <c r="O85" i="52"/>
  <c r="P85" i="52"/>
  <c r="Q85" i="52"/>
  <c r="R85" i="52"/>
  <c r="J86" i="52"/>
  <c r="S86" i="52" s="1"/>
  <c r="K86" i="52"/>
  <c r="L86" i="52"/>
  <c r="M86" i="52"/>
  <c r="N86" i="52"/>
  <c r="O86" i="52"/>
  <c r="P86" i="52"/>
  <c r="Q86" i="52"/>
  <c r="R86" i="52"/>
  <c r="J87" i="52"/>
  <c r="S87" i="52" s="1"/>
  <c r="K87" i="52"/>
  <c r="L87" i="52"/>
  <c r="M87" i="52"/>
  <c r="N87" i="52"/>
  <c r="O87" i="52"/>
  <c r="P87" i="52"/>
  <c r="Q87" i="52"/>
  <c r="R87" i="52"/>
  <c r="J88" i="52"/>
  <c r="S88" i="52" s="1"/>
  <c r="K88" i="52"/>
  <c r="L88" i="52"/>
  <c r="M88" i="52"/>
  <c r="N88" i="52"/>
  <c r="O88" i="52"/>
  <c r="P88" i="52"/>
  <c r="Q88" i="52"/>
  <c r="R88" i="52"/>
  <c r="J89" i="52"/>
  <c r="S89" i="52" s="1"/>
  <c r="K89" i="52"/>
  <c r="L89" i="52"/>
  <c r="M89" i="52"/>
  <c r="N89" i="52"/>
  <c r="O89" i="52"/>
  <c r="P89" i="52"/>
  <c r="Q89" i="52"/>
  <c r="R89" i="52"/>
  <c r="J90" i="52"/>
  <c r="S90" i="52" s="1"/>
  <c r="K90" i="52"/>
  <c r="L90" i="52"/>
  <c r="M90" i="52"/>
  <c r="N90" i="52"/>
  <c r="O90" i="52"/>
  <c r="P90" i="52"/>
  <c r="Q90" i="52"/>
  <c r="R90" i="52"/>
  <c r="J91" i="52"/>
  <c r="S91" i="52" s="1"/>
  <c r="K91" i="52"/>
  <c r="L91" i="52"/>
  <c r="M91" i="52"/>
  <c r="N91" i="52"/>
  <c r="O91" i="52"/>
  <c r="P91" i="52"/>
  <c r="Q91" i="52"/>
  <c r="R91" i="52"/>
  <c r="J92" i="52"/>
  <c r="S92" i="52" s="1"/>
  <c r="K92" i="52"/>
  <c r="L92" i="52"/>
  <c r="M92" i="52"/>
  <c r="N92" i="52"/>
  <c r="O92" i="52"/>
  <c r="P92" i="52"/>
  <c r="Q92" i="52"/>
  <c r="R92" i="52"/>
  <c r="J93" i="52"/>
  <c r="S93" i="52" s="1"/>
  <c r="K93" i="52"/>
  <c r="L93" i="52"/>
  <c r="M93" i="52"/>
  <c r="N93" i="52"/>
  <c r="O93" i="52"/>
  <c r="P93" i="52"/>
  <c r="Q93" i="52"/>
  <c r="R93" i="52"/>
  <c r="J94" i="52"/>
  <c r="S94" i="52" s="1"/>
  <c r="K94" i="52"/>
  <c r="L94" i="52"/>
  <c r="M94" i="52"/>
  <c r="N94" i="52"/>
  <c r="O94" i="52"/>
  <c r="P94" i="52"/>
  <c r="Q94" i="52"/>
  <c r="R94" i="52"/>
  <c r="J95" i="52"/>
  <c r="S95" i="52" s="1"/>
  <c r="K95" i="52"/>
  <c r="L95" i="52"/>
  <c r="M95" i="52"/>
  <c r="N95" i="52"/>
  <c r="O95" i="52"/>
  <c r="P95" i="52"/>
  <c r="Q95" i="52"/>
  <c r="R95" i="52"/>
  <c r="J96" i="52"/>
  <c r="S96" i="52" s="1"/>
  <c r="K96" i="52"/>
  <c r="L96" i="52"/>
  <c r="M96" i="52"/>
  <c r="N96" i="52"/>
  <c r="O96" i="52"/>
  <c r="P96" i="52"/>
  <c r="Q96" i="52"/>
  <c r="R96" i="52"/>
  <c r="J97" i="52"/>
  <c r="S97" i="52" s="1"/>
  <c r="K97" i="52"/>
  <c r="L97" i="52"/>
  <c r="M97" i="52"/>
  <c r="N97" i="52"/>
  <c r="O97" i="52"/>
  <c r="P97" i="52"/>
  <c r="Q97" i="52"/>
  <c r="R97" i="52"/>
  <c r="J98" i="52"/>
  <c r="S98" i="52" s="1"/>
  <c r="K98" i="52"/>
  <c r="L98" i="52"/>
  <c r="M98" i="52"/>
  <c r="N98" i="52"/>
  <c r="O98" i="52"/>
  <c r="P98" i="52"/>
  <c r="Q98" i="52"/>
  <c r="R98" i="52"/>
  <c r="J99" i="52"/>
  <c r="S99" i="52" s="1"/>
  <c r="K99" i="52"/>
  <c r="L99" i="52"/>
  <c r="M99" i="52"/>
  <c r="N99" i="52"/>
  <c r="O99" i="52"/>
  <c r="P99" i="52"/>
  <c r="Q99" i="52"/>
  <c r="R99" i="52"/>
  <c r="J100" i="52"/>
  <c r="S100" i="52" s="1"/>
  <c r="K100" i="52"/>
  <c r="L100" i="52"/>
  <c r="M100" i="52"/>
  <c r="N100" i="52"/>
  <c r="O100" i="52"/>
  <c r="P100" i="52"/>
  <c r="Q100" i="52"/>
  <c r="R100" i="52"/>
  <c r="J101" i="52"/>
  <c r="S101" i="52" s="1"/>
  <c r="K101" i="52"/>
  <c r="L101" i="52"/>
  <c r="M101" i="52"/>
  <c r="N101" i="52"/>
  <c r="O101" i="52"/>
  <c r="P101" i="52"/>
  <c r="Q101" i="52"/>
  <c r="R101" i="52"/>
  <c r="J102" i="52"/>
  <c r="S102" i="52" s="1"/>
  <c r="K102" i="52"/>
  <c r="L102" i="52"/>
  <c r="M102" i="52"/>
  <c r="N102" i="52"/>
  <c r="O102" i="52"/>
  <c r="P102" i="52"/>
  <c r="Q102" i="52"/>
  <c r="R102" i="52"/>
  <c r="J103" i="52"/>
  <c r="S103" i="52" s="1"/>
  <c r="K103" i="52"/>
  <c r="L103" i="52"/>
  <c r="M103" i="52"/>
  <c r="N103" i="52"/>
  <c r="O103" i="52"/>
  <c r="P103" i="52"/>
  <c r="Q103" i="52"/>
  <c r="R103" i="52"/>
  <c r="J104" i="52"/>
  <c r="S104" i="52" s="1"/>
  <c r="K104" i="52"/>
  <c r="L104" i="52"/>
  <c r="M104" i="52"/>
  <c r="N104" i="52"/>
  <c r="O104" i="52"/>
  <c r="P104" i="52"/>
  <c r="Q104" i="52"/>
  <c r="R104" i="52"/>
  <c r="J105" i="52"/>
  <c r="S105" i="52" s="1"/>
  <c r="K105" i="52"/>
  <c r="L105" i="52"/>
  <c r="M105" i="52"/>
  <c r="N105" i="52"/>
  <c r="O105" i="52"/>
  <c r="P105" i="52"/>
  <c r="Q105" i="52"/>
  <c r="R105" i="52"/>
  <c r="J106" i="52"/>
  <c r="S106" i="52" s="1"/>
  <c r="K106" i="52"/>
  <c r="L106" i="52"/>
  <c r="M106" i="52"/>
  <c r="N106" i="52"/>
  <c r="O106" i="52"/>
  <c r="P106" i="52"/>
  <c r="Q106" i="52"/>
  <c r="R106" i="52"/>
  <c r="J107" i="52"/>
  <c r="S107" i="52" s="1"/>
  <c r="K107" i="52"/>
  <c r="L107" i="52"/>
  <c r="M107" i="52"/>
  <c r="N107" i="52"/>
  <c r="O107" i="52"/>
  <c r="P107" i="52"/>
  <c r="Q107" i="52"/>
  <c r="R107" i="52"/>
  <c r="J108" i="52"/>
  <c r="S108" i="52" s="1"/>
  <c r="K108" i="52"/>
  <c r="L108" i="52"/>
  <c r="M108" i="52"/>
  <c r="N108" i="52"/>
  <c r="O108" i="52"/>
  <c r="P108" i="52"/>
  <c r="Q108" i="52"/>
  <c r="R108" i="52"/>
  <c r="J109" i="52"/>
  <c r="S109" i="52" s="1"/>
  <c r="K109" i="52"/>
  <c r="L109" i="52"/>
  <c r="M109" i="52"/>
  <c r="N109" i="52"/>
  <c r="O109" i="52"/>
  <c r="P109" i="52"/>
  <c r="Q109" i="52"/>
  <c r="R109" i="52"/>
  <c r="J110" i="52"/>
  <c r="S110" i="52" s="1"/>
  <c r="K110" i="52"/>
  <c r="L110" i="52"/>
  <c r="M110" i="52"/>
  <c r="N110" i="52"/>
  <c r="O110" i="52"/>
  <c r="P110" i="52"/>
  <c r="Q110" i="52"/>
  <c r="R110" i="52"/>
  <c r="J111" i="52"/>
  <c r="S111" i="52" s="1"/>
  <c r="K111" i="52"/>
  <c r="L111" i="52"/>
  <c r="M111" i="52"/>
  <c r="N111" i="52"/>
  <c r="O111" i="52"/>
  <c r="P111" i="52"/>
  <c r="Q111" i="52"/>
  <c r="R111" i="52"/>
  <c r="J112" i="52"/>
  <c r="S112" i="52" s="1"/>
  <c r="K112" i="52"/>
  <c r="L112" i="52"/>
  <c r="M112" i="52"/>
  <c r="N112" i="52"/>
  <c r="O112" i="52"/>
  <c r="P112" i="52"/>
  <c r="Q112" i="52"/>
  <c r="R112" i="52"/>
  <c r="J113" i="52"/>
  <c r="S113" i="52" s="1"/>
  <c r="K113" i="52"/>
  <c r="L113" i="52"/>
  <c r="M113" i="52"/>
  <c r="N113" i="52"/>
  <c r="O113" i="52"/>
  <c r="P113" i="52"/>
  <c r="Q113" i="52"/>
  <c r="R113" i="52"/>
  <c r="J114" i="52"/>
  <c r="S114" i="52" s="1"/>
  <c r="K114" i="52"/>
  <c r="L114" i="52"/>
  <c r="M114" i="52"/>
  <c r="N114" i="52"/>
  <c r="O114" i="52"/>
  <c r="P114" i="52"/>
  <c r="Q114" i="52"/>
  <c r="R114" i="52"/>
  <c r="J115" i="52"/>
  <c r="S115" i="52" s="1"/>
  <c r="K115" i="52"/>
  <c r="L115" i="52"/>
  <c r="M115" i="52"/>
  <c r="N115" i="52"/>
  <c r="O115" i="52"/>
  <c r="P115" i="52"/>
  <c r="Q115" i="52"/>
  <c r="R115" i="52"/>
  <c r="J116" i="52"/>
  <c r="S116" i="52" s="1"/>
  <c r="K116" i="52"/>
  <c r="L116" i="52"/>
  <c r="M116" i="52"/>
  <c r="N116" i="52"/>
  <c r="O116" i="52"/>
  <c r="P116" i="52"/>
  <c r="Q116" i="52"/>
  <c r="R116" i="52"/>
  <c r="J117" i="52"/>
  <c r="S117" i="52" s="1"/>
  <c r="K117" i="52"/>
  <c r="L117" i="52"/>
  <c r="M117" i="52"/>
  <c r="N117" i="52"/>
  <c r="O117" i="52"/>
  <c r="P117" i="52"/>
  <c r="Q117" i="52"/>
  <c r="R117" i="52"/>
  <c r="J118" i="52"/>
  <c r="S118" i="52" s="1"/>
  <c r="K118" i="52"/>
  <c r="L118" i="52"/>
  <c r="M118" i="52"/>
  <c r="N118" i="52"/>
  <c r="O118" i="52"/>
  <c r="P118" i="52"/>
  <c r="Q118" i="52"/>
  <c r="R118" i="52"/>
  <c r="J119" i="52"/>
  <c r="S119" i="52" s="1"/>
  <c r="K119" i="52"/>
  <c r="L119" i="52"/>
  <c r="M119" i="52"/>
  <c r="N119" i="52"/>
  <c r="O119" i="52"/>
  <c r="P119" i="52"/>
  <c r="Q119" i="52"/>
  <c r="R119" i="52"/>
  <c r="J120" i="52"/>
  <c r="S120" i="52" s="1"/>
  <c r="K120" i="52"/>
  <c r="L120" i="52"/>
  <c r="M120" i="52"/>
  <c r="N120" i="52"/>
  <c r="O120" i="52"/>
  <c r="P120" i="52"/>
  <c r="Q120" i="52"/>
  <c r="R120" i="52"/>
  <c r="J121" i="52"/>
  <c r="S121" i="52" s="1"/>
  <c r="K121" i="52"/>
  <c r="L121" i="52"/>
  <c r="M121" i="52"/>
  <c r="N121" i="52"/>
  <c r="O121" i="52"/>
  <c r="P121" i="52"/>
  <c r="Q121" i="52"/>
  <c r="R121" i="52"/>
  <c r="J122" i="52"/>
  <c r="S122" i="52" s="1"/>
  <c r="K122" i="52"/>
  <c r="L122" i="52"/>
  <c r="M122" i="52"/>
  <c r="N122" i="52"/>
  <c r="O122" i="52"/>
  <c r="P122" i="52"/>
  <c r="Q122" i="52"/>
  <c r="R122" i="52"/>
  <c r="J123" i="52"/>
  <c r="S123" i="52" s="1"/>
  <c r="K123" i="52"/>
  <c r="L123" i="52"/>
  <c r="M123" i="52"/>
  <c r="N123" i="52"/>
  <c r="O123" i="52"/>
  <c r="P123" i="52"/>
  <c r="Q123" i="52"/>
  <c r="R123" i="52"/>
  <c r="J124" i="52"/>
  <c r="S124" i="52" s="1"/>
  <c r="K124" i="52"/>
  <c r="L124" i="52"/>
  <c r="M124" i="52"/>
  <c r="N124" i="52"/>
  <c r="O124" i="52"/>
  <c r="P124" i="52"/>
  <c r="Q124" i="52"/>
  <c r="R124" i="52"/>
  <c r="J125" i="52"/>
  <c r="S125" i="52" s="1"/>
  <c r="K125" i="52"/>
  <c r="L125" i="52"/>
  <c r="M125" i="52"/>
  <c r="N125" i="52"/>
  <c r="O125" i="52"/>
  <c r="P125" i="52"/>
  <c r="Q125" i="52"/>
  <c r="R125" i="52"/>
  <c r="J126" i="52"/>
  <c r="S126" i="52" s="1"/>
  <c r="K126" i="52"/>
  <c r="L126" i="52"/>
  <c r="M126" i="52"/>
  <c r="N126" i="52"/>
  <c r="O126" i="52"/>
  <c r="P126" i="52"/>
  <c r="Q126" i="52"/>
  <c r="R126" i="52"/>
  <c r="J127" i="52"/>
  <c r="S127" i="52" s="1"/>
  <c r="K127" i="52"/>
  <c r="L127" i="52"/>
  <c r="M127" i="52"/>
  <c r="N127" i="52"/>
  <c r="O127" i="52"/>
  <c r="P127" i="52"/>
  <c r="Q127" i="52"/>
  <c r="R127" i="52"/>
  <c r="J128" i="52"/>
  <c r="S128" i="52" s="1"/>
  <c r="K128" i="52"/>
  <c r="L128" i="52"/>
  <c r="M128" i="52"/>
  <c r="N128" i="52"/>
  <c r="O128" i="52"/>
  <c r="P128" i="52"/>
  <c r="Q128" i="52"/>
  <c r="R128" i="52"/>
  <c r="J129" i="52"/>
  <c r="S129" i="52" s="1"/>
  <c r="K129" i="52"/>
  <c r="L129" i="52"/>
  <c r="M129" i="52"/>
  <c r="N129" i="52"/>
  <c r="O129" i="52"/>
  <c r="P129" i="52"/>
  <c r="Q129" i="52"/>
  <c r="R129" i="52"/>
  <c r="J130" i="52"/>
  <c r="S130" i="52" s="1"/>
  <c r="K130" i="52"/>
  <c r="L130" i="52"/>
  <c r="M130" i="52"/>
  <c r="N130" i="52"/>
  <c r="O130" i="52"/>
  <c r="P130" i="52"/>
  <c r="Q130" i="52"/>
  <c r="R130" i="52"/>
  <c r="J131" i="52"/>
  <c r="S131" i="52" s="1"/>
  <c r="K131" i="52"/>
  <c r="L131" i="52"/>
  <c r="M131" i="52"/>
  <c r="N131" i="52"/>
  <c r="O131" i="52"/>
  <c r="P131" i="52"/>
  <c r="Q131" i="52"/>
  <c r="R131" i="52"/>
  <c r="J132" i="52"/>
  <c r="S132" i="52" s="1"/>
  <c r="K132" i="52"/>
  <c r="L132" i="52"/>
  <c r="M132" i="52"/>
  <c r="N132" i="52"/>
  <c r="O132" i="52"/>
  <c r="P132" i="52"/>
  <c r="Q132" i="52"/>
  <c r="R132" i="52"/>
  <c r="J133" i="52"/>
  <c r="S133" i="52" s="1"/>
  <c r="K133" i="52"/>
  <c r="L133" i="52"/>
  <c r="M133" i="52"/>
  <c r="N133" i="52"/>
  <c r="O133" i="52"/>
  <c r="P133" i="52"/>
  <c r="Q133" i="52"/>
  <c r="R133" i="52"/>
  <c r="J134" i="52"/>
  <c r="S134" i="52" s="1"/>
  <c r="K134" i="52"/>
  <c r="L134" i="52"/>
  <c r="M134" i="52"/>
  <c r="N134" i="52"/>
  <c r="O134" i="52"/>
  <c r="P134" i="52"/>
  <c r="Q134" i="52"/>
  <c r="R134" i="52"/>
  <c r="J135" i="52"/>
  <c r="S135" i="52" s="1"/>
  <c r="K135" i="52"/>
  <c r="L135" i="52"/>
  <c r="M135" i="52"/>
  <c r="N135" i="52"/>
  <c r="O135" i="52"/>
  <c r="P135" i="52"/>
  <c r="Q135" i="52"/>
  <c r="R135" i="52"/>
  <c r="J136" i="52"/>
  <c r="S136" i="52" s="1"/>
  <c r="K136" i="52"/>
  <c r="L136" i="52"/>
  <c r="M136" i="52"/>
  <c r="N136" i="52"/>
  <c r="O136" i="52"/>
  <c r="P136" i="52"/>
  <c r="Q136" i="52"/>
  <c r="R136" i="52"/>
  <c r="J137" i="52"/>
  <c r="S137" i="52" s="1"/>
  <c r="K137" i="52"/>
  <c r="L137" i="52"/>
  <c r="M137" i="52"/>
  <c r="N137" i="52"/>
  <c r="O137" i="52"/>
  <c r="P137" i="52"/>
  <c r="Q137" i="52"/>
  <c r="R137" i="52"/>
  <c r="J138" i="52"/>
  <c r="S138" i="52" s="1"/>
  <c r="K138" i="52"/>
  <c r="L138" i="52"/>
  <c r="M138" i="52"/>
  <c r="N138" i="52"/>
  <c r="O138" i="52"/>
  <c r="P138" i="52"/>
  <c r="Q138" i="52"/>
  <c r="R138" i="52"/>
  <c r="J139" i="52"/>
  <c r="S139" i="52" s="1"/>
  <c r="K139" i="52"/>
  <c r="L139" i="52"/>
  <c r="M139" i="52"/>
  <c r="N139" i="52"/>
  <c r="O139" i="52"/>
  <c r="P139" i="52"/>
  <c r="Q139" i="52"/>
  <c r="R139" i="52"/>
  <c r="J140" i="52"/>
  <c r="S140" i="52" s="1"/>
  <c r="K140" i="52"/>
  <c r="L140" i="52"/>
  <c r="M140" i="52"/>
  <c r="N140" i="52"/>
  <c r="O140" i="52"/>
  <c r="P140" i="52"/>
  <c r="Q140" i="52"/>
  <c r="R140" i="52"/>
  <c r="J141" i="52"/>
  <c r="S141" i="52" s="1"/>
  <c r="K141" i="52"/>
  <c r="L141" i="52"/>
  <c r="M141" i="52"/>
  <c r="N141" i="52"/>
  <c r="O141" i="52"/>
  <c r="P141" i="52"/>
  <c r="Q141" i="52"/>
  <c r="R141" i="52"/>
  <c r="J142" i="52"/>
  <c r="S142" i="52" s="1"/>
  <c r="K142" i="52"/>
  <c r="L142" i="52"/>
  <c r="M142" i="52"/>
  <c r="N142" i="52"/>
  <c r="O142" i="52"/>
  <c r="P142" i="52"/>
  <c r="Q142" i="52"/>
  <c r="R142" i="52"/>
  <c r="J143" i="52"/>
  <c r="S143" i="52" s="1"/>
  <c r="K143" i="52"/>
  <c r="L143" i="52"/>
  <c r="M143" i="52"/>
  <c r="N143" i="52"/>
  <c r="O143" i="52"/>
  <c r="P143" i="52"/>
  <c r="Q143" i="52"/>
  <c r="R143" i="52"/>
  <c r="J144" i="52"/>
  <c r="S144" i="52" s="1"/>
  <c r="K144" i="52"/>
  <c r="L144" i="52"/>
  <c r="M144" i="52"/>
  <c r="N144" i="52"/>
  <c r="O144" i="52"/>
  <c r="P144" i="52"/>
  <c r="Q144" i="52"/>
  <c r="R144" i="52"/>
  <c r="J145" i="52"/>
  <c r="S145" i="52" s="1"/>
  <c r="K145" i="52"/>
  <c r="L145" i="52"/>
  <c r="M145" i="52"/>
  <c r="N145" i="52"/>
  <c r="O145" i="52"/>
  <c r="P145" i="52"/>
  <c r="Q145" i="52"/>
  <c r="R145" i="52"/>
  <c r="J146" i="52"/>
  <c r="S146" i="52" s="1"/>
  <c r="K146" i="52"/>
  <c r="L146" i="52"/>
  <c r="M146" i="52"/>
  <c r="N146" i="52"/>
  <c r="O146" i="52"/>
  <c r="P146" i="52"/>
  <c r="Q146" i="52"/>
  <c r="R146" i="52"/>
  <c r="J147" i="52"/>
  <c r="S147" i="52" s="1"/>
  <c r="K147" i="52"/>
  <c r="L147" i="52"/>
  <c r="M147" i="52"/>
  <c r="N147" i="52"/>
  <c r="O147" i="52"/>
  <c r="P147" i="52"/>
  <c r="Q147" i="52"/>
  <c r="R147" i="52"/>
  <c r="J148" i="52"/>
  <c r="S148" i="52" s="1"/>
  <c r="K148" i="52"/>
  <c r="L148" i="52"/>
  <c r="M148" i="52"/>
  <c r="N148" i="52"/>
  <c r="O148" i="52"/>
  <c r="P148" i="52"/>
  <c r="Q148" i="52"/>
  <c r="R148" i="52"/>
  <c r="J149" i="52"/>
  <c r="S149" i="52" s="1"/>
  <c r="K149" i="52"/>
  <c r="L149" i="52"/>
  <c r="M149" i="52"/>
  <c r="N149" i="52"/>
  <c r="O149" i="52"/>
  <c r="P149" i="52"/>
  <c r="Q149" i="52"/>
  <c r="R149" i="52"/>
  <c r="J150" i="52"/>
  <c r="S150" i="52" s="1"/>
  <c r="K150" i="52"/>
  <c r="L150" i="52"/>
  <c r="M150" i="52"/>
  <c r="N150" i="52"/>
  <c r="O150" i="52"/>
  <c r="P150" i="52"/>
  <c r="Q150" i="52"/>
  <c r="R150" i="52"/>
  <c r="J151" i="52"/>
  <c r="S151" i="52" s="1"/>
  <c r="K151" i="52"/>
  <c r="L151" i="52"/>
  <c r="M151" i="52"/>
  <c r="N151" i="52"/>
  <c r="O151" i="52"/>
  <c r="P151" i="52"/>
  <c r="Q151" i="52"/>
  <c r="R151" i="52"/>
  <c r="J152" i="52"/>
  <c r="S152" i="52" s="1"/>
  <c r="K152" i="52"/>
  <c r="L152" i="52"/>
  <c r="M152" i="52"/>
  <c r="N152" i="52"/>
  <c r="O152" i="52"/>
  <c r="P152" i="52"/>
  <c r="Q152" i="52"/>
  <c r="R152" i="52"/>
  <c r="J153" i="52"/>
  <c r="S153" i="52" s="1"/>
  <c r="K153" i="52"/>
  <c r="L153" i="52"/>
  <c r="M153" i="52"/>
  <c r="N153" i="52"/>
  <c r="O153" i="52"/>
  <c r="P153" i="52"/>
  <c r="Q153" i="52"/>
  <c r="R153" i="52"/>
  <c r="J154" i="52"/>
  <c r="S154" i="52" s="1"/>
  <c r="K154" i="52"/>
  <c r="L154" i="52"/>
  <c r="M154" i="52"/>
  <c r="N154" i="52"/>
  <c r="O154" i="52"/>
  <c r="P154" i="52"/>
  <c r="Q154" i="52"/>
  <c r="R154" i="52"/>
  <c r="J155" i="52"/>
  <c r="S155" i="52" s="1"/>
  <c r="K155" i="52"/>
  <c r="L155" i="52"/>
  <c r="M155" i="52"/>
  <c r="N155" i="52"/>
  <c r="O155" i="52"/>
  <c r="P155" i="52"/>
  <c r="Q155" i="52"/>
  <c r="R155" i="52"/>
  <c r="J156" i="52"/>
  <c r="S156" i="52" s="1"/>
  <c r="K156" i="52"/>
  <c r="L156" i="52"/>
  <c r="M156" i="52"/>
  <c r="N156" i="52"/>
  <c r="O156" i="52"/>
  <c r="P156" i="52"/>
  <c r="Q156" i="52"/>
  <c r="R156" i="52"/>
  <c r="J157" i="52"/>
  <c r="S157" i="52" s="1"/>
  <c r="K157" i="52"/>
  <c r="L157" i="52"/>
  <c r="M157" i="52"/>
  <c r="N157" i="52"/>
  <c r="O157" i="52"/>
  <c r="P157" i="52"/>
  <c r="Q157" i="52"/>
  <c r="R157" i="52"/>
  <c r="J158" i="52"/>
  <c r="S158" i="52" s="1"/>
  <c r="K158" i="52"/>
  <c r="L158" i="52"/>
  <c r="M158" i="52"/>
  <c r="N158" i="52"/>
  <c r="O158" i="52"/>
  <c r="P158" i="52"/>
  <c r="Q158" i="52"/>
  <c r="R158" i="52"/>
  <c r="J159" i="52"/>
  <c r="S159" i="52" s="1"/>
  <c r="K159" i="52"/>
  <c r="L159" i="52"/>
  <c r="M159" i="52"/>
  <c r="N159" i="52"/>
  <c r="O159" i="52"/>
  <c r="P159" i="52"/>
  <c r="Q159" i="52"/>
  <c r="R159" i="52"/>
  <c r="J160" i="52"/>
  <c r="S160" i="52" s="1"/>
  <c r="K160" i="52"/>
  <c r="L160" i="52"/>
  <c r="M160" i="52"/>
  <c r="N160" i="52"/>
  <c r="O160" i="52"/>
  <c r="P160" i="52"/>
  <c r="Q160" i="52"/>
  <c r="R160" i="52"/>
  <c r="J161" i="52"/>
  <c r="S161" i="52" s="1"/>
  <c r="K161" i="52"/>
  <c r="L161" i="52"/>
  <c r="M161" i="52"/>
  <c r="N161" i="52"/>
  <c r="O161" i="52"/>
  <c r="P161" i="52"/>
  <c r="Q161" i="52"/>
  <c r="R161" i="52"/>
  <c r="J162" i="52"/>
  <c r="S162" i="52" s="1"/>
  <c r="K162" i="52"/>
  <c r="L162" i="52"/>
  <c r="M162" i="52"/>
  <c r="N162" i="52"/>
  <c r="O162" i="52"/>
  <c r="P162" i="52"/>
  <c r="Q162" i="52"/>
  <c r="R162" i="52"/>
  <c r="J163" i="52"/>
  <c r="S163" i="52" s="1"/>
  <c r="K163" i="52"/>
  <c r="L163" i="52"/>
  <c r="M163" i="52"/>
  <c r="N163" i="52"/>
  <c r="O163" i="52"/>
  <c r="P163" i="52"/>
  <c r="Q163" i="52"/>
  <c r="R163" i="52"/>
  <c r="J164" i="52"/>
  <c r="S164" i="52" s="1"/>
  <c r="K164" i="52"/>
  <c r="L164" i="52"/>
  <c r="M164" i="52"/>
  <c r="N164" i="52"/>
  <c r="O164" i="52"/>
  <c r="P164" i="52"/>
  <c r="Q164" i="52"/>
  <c r="R164" i="52"/>
  <c r="J165" i="52"/>
  <c r="S165" i="52" s="1"/>
  <c r="K165" i="52"/>
  <c r="L165" i="52"/>
  <c r="M165" i="52"/>
  <c r="N165" i="52"/>
  <c r="O165" i="52"/>
  <c r="P165" i="52"/>
  <c r="Q165" i="52"/>
  <c r="R165" i="52"/>
  <c r="J166" i="52"/>
  <c r="S166" i="52" s="1"/>
  <c r="K166" i="52"/>
  <c r="L166" i="52"/>
  <c r="M166" i="52"/>
  <c r="N166" i="52"/>
  <c r="O166" i="52"/>
  <c r="P166" i="52"/>
  <c r="Q166" i="52"/>
  <c r="R166" i="52"/>
  <c r="J167" i="52"/>
  <c r="S167" i="52" s="1"/>
  <c r="K167" i="52"/>
  <c r="L167" i="52"/>
  <c r="M167" i="52"/>
  <c r="N167" i="52"/>
  <c r="O167" i="52"/>
  <c r="P167" i="52"/>
  <c r="Q167" i="52"/>
  <c r="R167" i="52"/>
  <c r="J168" i="52"/>
  <c r="S168" i="52" s="1"/>
  <c r="K168" i="52"/>
  <c r="L168" i="52"/>
  <c r="M168" i="52"/>
  <c r="N168" i="52"/>
  <c r="O168" i="52"/>
  <c r="P168" i="52"/>
  <c r="Q168" i="52"/>
  <c r="R168" i="52"/>
  <c r="J169" i="52"/>
  <c r="S169" i="52" s="1"/>
  <c r="K169" i="52"/>
  <c r="L169" i="52"/>
  <c r="M169" i="52"/>
  <c r="N169" i="52"/>
  <c r="O169" i="52"/>
  <c r="P169" i="52"/>
  <c r="Q169" i="52"/>
  <c r="R169" i="52"/>
  <c r="J170" i="52"/>
  <c r="S170" i="52" s="1"/>
  <c r="K170" i="52"/>
  <c r="L170" i="52"/>
  <c r="M170" i="52"/>
  <c r="N170" i="52"/>
  <c r="O170" i="52"/>
  <c r="P170" i="52"/>
  <c r="Q170" i="52"/>
  <c r="R170" i="52"/>
  <c r="J171" i="52"/>
  <c r="S171" i="52" s="1"/>
  <c r="K171" i="52"/>
  <c r="L171" i="52"/>
  <c r="M171" i="52"/>
  <c r="N171" i="52"/>
  <c r="O171" i="52"/>
  <c r="P171" i="52"/>
  <c r="Q171" i="52"/>
  <c r="R171" i="52"/>
  <c r="J172" i="52"/>
  <c r="S172" i="52" s="1"/>
  <c r="K172" i="52"/>
  <c r="L172" i="52"/>
  <c r="M172" i="52"/>
  <c r="N172" i="52"/>
  <c r="O172" i="52"/>
  <c r="P172" i="52"/>
  <c r="Q172" i="52"/>
  <c r="R172" i="52"/>
  <c r="J173" i="52"/>
  <c r="S173" i="52" s="1"/>
  <c r="K173" i="52"/>
  <c r="L173" i="52"/>
  <c r="M173" i="52"/>
  <c r="N173" i="52"/>
  <c r="O173" i="52"/>
  <c r="P173" i="52"/>
  <c r="Q173" i="52"/>
  <c r="R173" i="52"/>
  <c r="J174" i="52"/>
  <c r="S174" i="52" s="1"/>
  <c r="K174" i="52"/>
  <c r="L174" i="52"/>
  <c r="M174" i="52"/>
  <c r="N174" i="52"/>
  <c r="O174" i="52"/>
  <c r="P174" i="52"/>
  <c r="Q174" i="52"/>
  <c r="R174" i="52"/>
  <c r="J175" i="52"/>
  <c r="S175" i="52" s="1"/>
  <c r="K175" i="52"/>
  <c r="L175" i="52"/>
  <c r="M175" i="52"/>
  <c r="N175" i="52"/>
  <c r="O175" i="52"/>
  <c r="P175" i="52"/>
  <c r="Q175" i="52"/>
  <c r="R175" i="52"/>
  <c r="J176" i="52"/>
  <c r="S176" i="52" s="1"/>
  <c r="K176" i="52"/>
  <c r="L176" i="52"/>
  <c r="M176" i="52"/>
  <c r="N176" i="52"/>
  <c r="O176" i="52"/>
  <c r="P176" i="52"/>
  <c r="Q176" i="52"/>
  <c r="R176" i="52"/>
  <c r="J177" i="52"/>
  <c r="S177" i="52" s="1"/>
  <c r="K177" i="52"/>
  <c r="L177" i="52"/>
  <c r="M177" i="52"/>
  <c r="N177" i="52"/>
  <c r="O177" i="52"/>
  <c r="P177" i="52"/>
  <c r="Q177" i="52"/>
  <c r="R177" i="52"/>
  <c r="J178" i="52"/>
  <c r="S178" i="52" s="1"/>
  <c r="K178" i="52"/>
  <c r="L178" i="52"/>
  <c r="M178" i="52"/>
  <c r="N178" i="52"/>
  <c r="O178" i="52"/>
  <c r="P178" i="52"/>
  <c r="Q178" i="52"/>
  <c r="R178" i="52"/>
  <c r="J179" i="52"/>
  <c r="S179" i="52" s="1"/>
  <c r="K179" i="52"/>
  <c r="L179" i="52"/>
  <c r="M179" i="52"/>
  <c r="N179" i="52"/>
  <c r="O179" i="52"/>
  <c r="P179" i="52"/>
  <c r="Q179" i="52"/>
  <c r="R179" i="52"/>
  <c r="J180" i="52"/>
  <c r="S180" i="52" s="1"/>
  <c r="K180" i="52"/>
  <c r="L180" i="52"/>
  <c r="M180" i="52"/>
  <c r="N180" i="52"/>
  <c r="O180" i="52"/>
  <c r="P180" i="52"/>
  <c r="Q180" i="52"/>
  <c r="R180" i="52"/>
  <c r="J181" i="52"/>
  <c r="S181" i="52" s="1"/>
  <c r="K181" i="52"/>
  <c r="L181" i="52"/>
  <c r="M181" i="52"/>
  <c r="N181" i="52"/>
  <c r="O181" i="52"/>
  <c r="P181" i="52"/>
  <c r="Q181" i="52"/>
  <c r="R181" i="52"/>
  <c r="J182" i="52"/>
  <c r="S182" i="52" s="1"/>
  <c r="K182" i="52"/>
  <c r="L182" i="52"/>
  <c r="M182" i="52"/>
  <c r="N182" i="52"/>
  <c r="O182" i="52"/>
  <c r="P182" i="52"/>
  <c r="Q182" i="52"/>
  <c r="R182" i="52"/>
  <c r="J183" i="52"/>
  <c r="S183" i="52" s="1"/>
  <c r="K183" i="52"/>
  <c r="L183" i="52"/>
  <c r="M183" i="52"/>
  <c r="N183" i="52"/>
  <c r="O183" i="52"/>
  <c r="P183" i="52"/>
  <c r="Q183" i="52"/>
  <c r="R183" i="52"/>
  <c r="J184" i="52"/>
  <c r="S184" i="52" s="1"/>
  <c r="K184" i="52"/>
  <c r="L184" i="52"/>
  <c r="M184" i="52"/>
  <c r="N184" i="52"/>
  <c r="O184" i="52"/>
  <c r="P184" i="52"/>
  <c r="Q184" i="52"/>
  <c r="R184" i="52"/>
  <c r="J185" i="52"/>
  <c r="S185" i="52" s="1"/>
  <c r="K185" i="52"/>
  <c r="L185" i="52"/>
  <c r="M185" i="52"/>
  <c r="N185" i="52"/>
  <c r="O185" i="52"/>
  <c r="P185" i="52"/>
  <c r="Q185" i="52"/>
  <c r="R185" i="52"/>
  <c r="J186" i="52"/>
  <c r="S186" i="52" s="1"/>
  <c r="K186" i="52"/>
  <c r="L186" i="52"/>
  <c r="M186" i="52"/>
  <c r="N186" i="52"/>
  <c r="O186" i="52"/>
  <c r="P186" i="52"/>
  <c r="Q186" i="52"/>
  <c r="R186" i="52"/>
  <c r="J187" i="52"/>
  <c r="S187" i="52" s="1"/>
  <c r="K187" i="52"/>
  <c r="L187" i="52"/>
  <c r="M187" i="52"/>
  <c r="N187" i="52"/>
  <c r="O187" i="52"/>
  <c r="P187" i="52"/>
  <c r="Q187" i="52"/>
  <c r="R187" i="52"/>
  <c r="J188" i="52"/>
  <c r="S188" i="52" s="1"/>
  <c r="K188" i="52"/>
  <c r="L188" i="52"/>
  <c r="M188" i="52"/>
  <c r="N188" i="52"/>
  <c r="O188" i="52"/>
  <c r="P188" i="52"/>
  <c r="Q188" i="52"/>
  <c r="R188" i="52"/>
  <c r="J189" i="52"/>
  <c r="S189" i="52" s="1"/>
  <c r="K189" i="52"/>
  <c r="L189" i="52"/>
  <c r="M189" i="52"/>
  <c r="N189" i="52"/>
  <c r="O189" i="52"/>
  <c r="P189" i="52"/>
  <c r="Q189" i="52"/>
  <c r="R189" i="52"/>
  <c r="J190" i="52"/>
  <c r="S190" i="52" s="1"/>
  <c r="K190" i="52"/>
  <c r="L190" i="52"/>
  <c r="M190" i="52"/>
  <c r="N190" i="52"/>
  <c r="O190" i="52"/>
  <c r="P190" i="52"/>
  <c r="Q190" i="52"/>
  <c r="R190" i="52"/>
  <c r="J191" i="52"/>
  <c r="S191" i="52" s="1"/>
  <c r="K191" i="52"/>
  <c r="L191" i="52"/>
  <c r="M191" i="52"/>
  <c r="N191" i="52"/>
  <c r="O191" i="52"/>
  <c r="P191" i="52"/>
  <c r="Q191" i="52"/>
  <c r="R191" i="52"/>
  <c r="J192" i="52"/>
  <c r="S192" i="52" s="1"/>
  <c r="K192" i="52"/>
  <c r="L192" i="52"/>
  <c r="M192" i="52"/>
  <c r="N192" i="52"/>
  <c r="O192" i="52"/>
  <c r="P192" i="52"/>
  <c r="Q192" i="52"/>
  <c r="R192" i="52"/>
  <c r="J193" i="52"/>
  <c r="S193" i="52" s="1"/>
  <c r="K193" i="52"/>
  <c r="L193" i="52"/>
  <c r="M193" i="52"/>
  <c r="N193" i="52"/>
  <c r="O193" i="52"/>
  <c r="P193" i="52"/>
  <c r="Q193" i="52"/>
  <c r="R193" i="52"/>
  <c r="J194" i="52"/>
  <c r="S194" i="52" s="1"/>
  <c r="K194" i="52"/>
  <c r="L194" i="52"/>
  <c r="M194" i="52"/>
  <c r="N194" i="52"/>
  <c r="O194" i="52"/>
  <c r="P194" i="52"/>
  <c r="Q194" i="52"/>
  <c r="R194" i="52"/>
  <c r="J195" i="52"/>
  <c r="S195" i="52" s="1"/>
  <c r="K195" i="52"/>
  <c r="L195" i="52"/>
  <c r="M195" i="52"/>
  <c r="N195" i="52"/>
  <c r="O195" i="52"/>
  <c r="P195" i="52"/>
  <c r="Q195" i="52"/>
  <c r="R195" i="52"/>
  <c r="J196" i="52"/>
  <c r="S196" i="52" s="1"/>
  <c r="K196" i="52"/>
  <c r="L196" i="52"/>
  <c r="M196" i="52"/>
  <c r="N196" i="52"/>
  <c r="O196" i="52"/>
  <c r="P196" i="52"/>
  <c r="Q196" i="52"/>
  <c r="R196" i="52"/>
  <c r="J197" i="52"/>
  <c r="S197" i="52" s="1"/>
  <c r="K197" i="52"/>
  <c r="L197" i="52"/>
  <c r="M197" i="52"/>
  <c r="N197" i="52"/>
  <c r="O197" i="52"/>
  <c r="P197" i="52"/>
  <c r="Q197" i="52"/>
  <c r="R197" i="52"/>
  <c r="J198" i="52"/>
  <c r="S198" i="52" s="1"/>
  <c r="K198" i="52"/>
  <c r="L198" i="52"/>
  <c r="M198" i="52"/>
  <c r="N198" i="52"/>
  <c r="O198" i="52"/>
  <c r="P198" i="52"/>
  <c r="Q198" i="52"/>
  <c r="R198" i="52"/>
  <c r="J199" i="52"/>
  <c r="S199" i="52" s="1"/>
  <c r="K199" i="52"/>
  <c r="L199" i="52"/>
  <c r="M199" i="52"/>
  <c r="N199" i="52"/>
  <c r="O199" i="52"/>
  <c r="P199" i="52"/>
  <c r="Q199" i="52"/>
  <c r="R199" i="52"/>
  <c r="J200" i="52"/>
  <c r="S200" i="52" s="1"/>
  <c r="K200" i="52"/>
  <c r="L200" i="52"/>
  <c r="M200" i="52"/>
  <c r="N200" i="52"/>
  <c r="O200" i="52"/>
  <c r="P200" i="52"/>
  <c r="Q200" i="52"/>
  <c r="R200" i="52"/>
  <c r="J201" i="52"/>
  <c r="S201" i="52" s="1"/>
  <c r="K201" i="52"/>
  <c r="L201" i="52"/>
  <c r="M201" i="52"/>
  <c r="N201" i="52"/>
  <c r="O201" i="52"/>
  <c r="P201" i="52"/>
  <c r="Q201" i="52"/>
  <c r="R201" i="52"/>
  <c r="J202" i="52"/>
  <c r="S202" i="52" s="1"/>
  <c r="K202" i="52"/>
  <c r="L202" i="52"/>
  <c r="M202" i="52"/>
  <c r="N202" i="52"/>
  <c r="O202" i="52"/>
  <c r="P202" i="52"/>
  <c r="Q202" i="52"/>
  <c r="R202" i="52"/>
  <c r="J203" i="52"/>
  <c r="S203" i="52" s="1"/>
  <c r="K203" i="52"/>
  <c r="L203" i="52"/>
  <c r="M203" i="52"/>
  <c r="N203" i="52"/>
  <c r="O203" i="52"/>
  <c r="P203" i="52"/>
  <c r="Q203" i="52"/>
  <c r="R203" i="52"/>
  <c r="J204" i="52"/>
  <c r="S204" i="52" s="1"/>
  <c r="K204" i="52"/>
  <c r="L204" i="52"/>
  <c r="M204" i="52"/>
  <c r="N204" i="52"/>
  <c r="O204" i="52"/>
  <c r="P204" i="52"/>
  <c r="Q204" i="52"/>
  <c r="R204" i="52"/>
  <c r="J205" i="52"/>
  <c r="S205" i="52" s="1"/>
  <c r="K205" i="52"/>
  <c r="L205" i="52"/>
  <c r="M205" i="52"/>
  <c r="N205" i="52"/>
  <c r="O205" i="52"/>
  <c r="P205" i="52"/>
  <c r="Q205" i="52"/>
  <c r="R205" i="52"/>
  <c r="J206" i="52"/>
  <c r="S206" i="52" s="1"/>
  <c r="K206" i="52"/>
  <c r="L206" i="52"/>
  <c r="M206" i="52"/>
  <c r="N206" i="52"/>
  <c r="O206" i="52"/>
  <c r="P206" i="52"/>
  <c r="Q206" i="52"/>
  <c r="R206" i="52"/>
  <c r="J207" i="52"/>
  <c r="S207" i="52" s="1"/>
  <c r="K207" i="52"/>
  <c r="L207" i="52"/>
  <c r="M207" i="52"/>
  <c r="N207" i="52"/>
  <c r="O207" i="52"/>
  <c r="P207" i="52"/>
  <c r="Q207" i="52"/>
  <c r="R207" i="52"/>
  <c r="J208" i="52"/>
  <c r="S208" i="52" s="1"/>
  <c r="K208" i="52"/>
  <c r="L208" i="52"/>
  <c r="M208" i="52"/>
  <c r="N208" i="52"/>
  <c r="O208" i="52"/>
  <c r="P208" i="52"/>
  <c r="Q208" i="52"/>
  <c r="R208" i="52"/>
  <c r="J209" i="52"/>
  <c r="S209" i="52" s="1"/>
  <c r="K209" i="52"/>
  <c r="L209" i="52"/>
  <c r="M209" i="52"/>
  <c r="N209" i="52"/>
  <c r="O209" i="52"/>
  <c r="P209" i="52"/>
  <c r="Q209" i="52"/>
  <c r="R209" i="52"/>
  <c r="J210" i="52"/>
  <c r="S210" i="52" s="1"/>
  <c r="K210" i="52"/>
  <c r="L210" i="52"/>
  <c r="M210" i="52"/>
  <c r="N210" i="52"/>
  <c r="O210" i="52"/>
  <c r="P210" i="52"/>
  <c r="Q210" i="52"/>
  <c r="R210" i="52"/>
  <c r="J211" i="52"/>
  <c r="S211" i="52" s="1"/>
  <c r="K211" i="52"/>
  <c r="L211" i="52"/>
  <c r="M211" i="52"/>
  <c r="N211" i="52"/>
  <c r="O211" i="52"/>
  <c r="P211" i="52"/>
  <c r="Q211" i="52"/>
  <c r="R211" i="52"/>
  <c r="J212" i="52"/>
  <c r="S212" i="52" s="1"/>
  <c r="K212" i="52"/>
  <c r="L212" i="52"/>
  <c r="M212" i="52"/>
  <c r="N212" i="52"/>
  <c r="O212" i="52"/>
  <c r="P212" i="52"/>
  <c r="Q212" i="52"/>
  <c r="R212" i="52"/>
  <c r="J213" i="52"/>
  <c r="S213" i="52" s="1"/>
  <c r="K213" i="52"/>
  <c r="L213" i="52"/>
  <c r="M213" i="52"/>
  <c r="N213" i="52"/>
  <c r="O213" i="52"/>
  <c r="P213" i="52"/>
  <c r="Q213" i="52"/>
  <c r="R213" i="52"/>
  <c r="J214" i="52"/>
  <c r="S214" i="52" s="1"/>
  <c r="K214" i="52"/>
  <c r="L214" i="52"/>
  <c r="M214" i="52"/>
  <c r="N214" i="52"/>
  <c r="O214" i="52"/>
  <c r="P214" i="52"/>
  <c r="Q214" i="52"/>
  <c r="R214" i="52"/>
  <c r="J215" i="52"/>
  <c r="S215" i="52" s="1"/>
  <c r="K215" i="52"/>
  <c r="L215" i="52"/>
  <c r="M215" i="52"/>
  <c r="N215" i="52"/>
  <c r="O215" i="52"/>
  <c r="P215" i="52"/>
  <c r="Q215" i="52"/>
  <c r="R215" i="52"/>
  <c r="J216" i="52"/>
  <c r="S216" i="52" s="1"/>
  <c r="K216" i="52"/>
  <c r="L216" i="52"/>
  <c r="M216" i="52"/>
  <c r="N216" i="52"/>
  <c r="O216" i="52"/>
  <c r="P216" i="52"/>
  <c r="Q216" i="52"/>
  <c r="R216" i="52"/>
  <c r="J217" i="52"/>
  <c r="S217" i="52" s="1"/>
  <c r="K217" i="52"/>
  <c r="L217" i="52"/>
  <c r="M217" i="52"/>
  <c r="N217" i="52"/>
  <c r="O217" i="52"/>
  <c r="P217" i="52"/>
  <c r="Q217" i="52"/>
  <c r="R217" i="52"/>
  <c r="J218" i="52"/>
  <c r="S218" i="52" s="1"/>
  <c r="K218" i="52"/>
  <c r="L218" i="52"/>
  <c r="M218" i="52"/>
  <c r="N218" i="52"/>
  <c r="O218" i="52"/>
  <c r="P218" i="52"/>
  <c r="Q218" i="52"/>
  <c r="R218" i="52"/>
  <c r="J219" i="52"/>
  <c r="S219" i="52" s="1"/>
  <c r="K219" i="52"/>
  <c r="L219" i="52"/>
  <c r="M219" i="52"/>
  <c r="N219" i="52"/>
  <c r="O219" i="52"/>
  <c r="P219" i="52"/>
  <c r="Q219" i="52"/>
  <c r="R219" i="52"/>
  <c r="J220" i="52"/>
  <c r="S220" i="52" s="1"/>
  <c r="K220" i="52"/>
  <c r="L220" i="52"/>
  <c r="M220" i="52"/>
  <c r="N220" i="52"/>
  <c r="O220" i="52"/>
  <c r="P220" i="52"/>
  <c r="Q220" i="52"/>
  <c r="R220" i="52"/>
  <c r="J221" i="52"/>
  <c r="S221" i="52" s="1"/>
  <c r="K221" i="52"/>
  <c r="L221" i="52"/>
  <c r="M221" i="52"/>
  <c r="N221" i="52"/>
  <c r="O221" i="52"/>
  <c r="P221" i="52"/>
  <c r="Q221" i="52"/>
  <c r="R221" i="52"/>
  <c r="J222" i="52"/>
  <c r="S222" i="52" s="1"/>
  <c r="K222" i="52"/>
  <c r="L222" i="52"/>
  <c r="M222" i="52"/>
  <c r="N222" i="52"/>
  <c r="O222" i="52"/>
  <c r="P222" i="52"/>
  <c r="Q222" i="52"/>
  <c r="R222" i="52"/>
  <c r="J223" i="52"/>
  <c r="S223" i="52" s="1"/>
  <c r="K223" i="52"/>
  <c r="L223" i="52"/>
  <c r="M223" i="52"/>
  <c r="N223" i="52"/>
  <c r="O223" i="52"/>
  <c r="P223" i="52"/>
  <c r="Q223" i="52"/>
  <c r="R223" i="52"/>
  <c r="J224" i="52"/>
  <c r="S224" i="52" s="1"/>
  <c r="K224" i="52"/>
  <c r="L224" i="52"/>
  <c r="M224" i="52"/>
  <c r="N224" i="52"/>
  <c r="O224" i="52"/>
  <c r="P224" i="52"/>
  <c r="Q224" i="52"/>
  <c r="R224" i="52"/>
  <c r="J225" i="52"/>
  <c r="S225" i="52" s="1"/>
  <c r="K225" i="52"/>
  <c r="L225" i="52"/>
  <c r="M225" i="52"/>
  <c r="N225" i="52"/>
  <c r="O225" i="52"/>
  <c r="P225" i="52"/>
  <c r="Q225" i="52"/>
  <c r="R225" i="52"/>
  <c r="J226" i="52"/>
  <c r="S226" i="52" s="1"/>
  <c r="K226" i="52"/>
  <c r="L226" i="52"/>
  <c r="M226" i="52"/>
  <c r="N226" i="52"/>
  <c r="O226" i="52"/>
  <c r="P226" i="52"/>
  <c r="Q226" i="52"/>
  <c r="R226" i="52"/>
  <c r="J227" i="52"/>
  <c r="S227" i="52" s="1"/>
  <c r="K227" i="52"/>
  <c r="L227" i="52"/>
  <c r="M227" i="52"/>
  <c r="N227" i="52"/>
  <c r="O227" i="52"/>
  <c r="P227" i="52"/>
  <c r="Q227" i="52"/>
  <c r="R227" i="52"/>
  <c r="J228" i="52"/>
  <c r="S228" i="52" s="1"/>
  <c r="K228" i="52"/>
  <c r="L228" i="52"/>
  <c r="M228" i="52"/>
  <c r="N228" i="52"/>
  <c r="O228" i="52"/>
  <c r="P228" i="52"/>
  <c r="Q228" i="52"/>
  <c r="R228" i="52"/>
  <c r="J229" i="52"/>
  <c r="S229" i="52" s="1"/>
  <c r="K229" i="52"/>
  <c r="L229" i="52"/>
  <c r="M229" i="52"/>
  <c r="N229" i="52"/>
  <c r="O229" i="52"/>
  <c r="P229" i="52"/>
  <c r="Q229" i="52"/>
  <c r="R229" i="52"/>
  <c r="J230" i="52"/>
  <c r="S230" i="52" s="1"/>
  <c r="K230" i="52"/>
  <c r="L230" i="52"/>
  <c r="M230" i="52"/>
  <c r="N230" i="52"/>
  <c r="O230" i="52"/>
  <c r="P230" i="52"/>
  <c r="Q230" i="52"/>
  <c r="R230" i="52"/>
  <c r="J231" i="52"/>
  <c r="S231" i="52" s="1"/>
  <c r="K231" i="52"/>
  <c r="L231" i="52"/>
  <c r="M231" i="52"/>
  <c r="N231" i="52"/>
  <c r="O231" i="52"/>
  <c r="P231" i="52"/>
  <c r="Q231" i="52"/>
  <c r="R231" i="52"/>
  <c r="J232" i="52"/>
  <c r="S232" i="52" s="1"/>
  <c r="K232" i="52"/>
  <c r="L232" i="52"/>
  <c r="M232" i="52"/>
  <c r="N232" i="52"/>
  <c r="O232" i="52"/>
  <c r="P232" i="52"/>
  <c r="Q232" i="52"/>
  <c r="R232" i="52"/>
  <c r="J233" i="52"/>
  <c r="S233" i="52" s="1"/>
  <c r="K233" i="52"/>
  <c r="L233" i="52"/>
  <c r="M233" i="52"/>
  <c r="N233" i="52"/>
  <c r="O233" i="52"/>
  <c r="P233" i="52"/>
  <c r="Q233" i="52"/>
  <c r="R233" i="52"/>
  <c r="J234" i="52"/>
  <c r="S234" i="52" s="1"/>
  <c r="K234" i="52"/>
  <c r="L234" i="52"/>
  <c r="M234" i="52"/>
  <c r="N234" i="52"/>
  <c r="O234" i="52"/>
  <c r="P234" i="52"/>
  <c r="Q234" i="52"/>
  <c r="R234" i="52"/>
  <c r="J235" i="52"/>
  <c r="S235" i="52" s="1"/>
  <c r="K235" i="52"/>
  <c r="L235" i="52"/>
  <c r="M235" i="52"/>
  <c r="N235" i="52"/>
  <c r="O235" i="52"/>
  <c r="P235" i="52"/>
  <c r="Q235" i="52"/>
  <c r="R235" i="52"/>
  <c r="J236" i="52"/>
  <c r="S236" i="52" s="1"/>
  <c r="K236" i="52"/>
  <c r="L236" i="52"/>
  <c r="M236" i="52"/>
  <c r="N236" i="52"/>
  <c r="O236" i="52"/>
  <c r="P236" i="52"/>
  <c r="Q236" i="52"/>
  <c r="R236" i="52"/>
  <c r="J237" i="52"/>
  <c r="S237" i="52" s="1"/>
  <c r="K237" i="52"/>
  <c r="L237" i="52"/>
  <c r="M237" i="52"/>
  <c r="N237" i="52"/>
  <c r="O237" i="52"/>
  <c r="P237" i="52"/>
  <c r="Q237" i="52"/>
  <c r="R237" i="52"/>
  <c r="J238" i="52"/>
  <c r="S238" i="52" s="1"/>
  <c r="K238" i="52"/>
  <c r="L238" i="52"/>
  <c r="M238" i="52"/>
  <c r="N238" i="52"/>
  <c r="O238" i="52"/>
  <c r="P238" i="52"/>
  <c r="Q238" i="52"/>
  <c r="R238" i="52"/>
  <c r="J239" i="52"/>
  <c r="S239" i="52" s="1"/>
  <c r="K239" i="52"/>
  <c r="L239" i="52"/>
  <c r="M239" i="52"/>
  <c r="N239" i="52"/>
  <c r="O239" i="52"/>
  <c r="P239" i="52"/>
  <c r="Q239" i="52"/>
  <c r="R239" i="52"/>
  <c r="J240" i="52"/>
  <c r="S240" i="52" s="1"/>
  <c r="K240" i="52"/>
  <c r="L240" i="52"/>
  <c r="M240" i="52"/>
  <c r="N240" i="52"/>
  <c r="O240" i="52"/>
  <c r="P240" i="52"/>
  <c r="Q240" i="52"/>
  <c r="R240" i="52"/>
  <c r="J241" i="52"/>
  <c r="S241" i="52" s="1"/>
  <c r="K241" i="52"/>
  <c r="L241" i="52"/>
  <c r="M241" i="52"/>
  <c r="N241" i="52"/>
  <c r="O241" i="52"/>
  <c r="P241" i="52"/>
  <c r="Q241" i="52"/>
  <c r="R241" i="52"/>
  <c r="J242" i="52"/>
  <c r="S242" i="52" s="1"/>
  <c r="K242" i="52"/>
  <c r="L242" i="52"/>
  <c r="M242" i="52"/>
  <c r="N242" i="52"/>
  <c r="O242" i="52"/>
  <c r="P242" i="52"/>
  <c r="Q242" i="52"/>
  <c r="R242" i="52"/>
  <c r="J243" i="52"/>
  <c r="S243" i="52" s="1"/>
  <c r="K243" i="52"/>
  <c r="L243" i="52"/>
  <c r="M243" i="52"/>
  <c r="N243" i="52"/>
  <c r="O243" i="52"/>
  <c r="P243" i="52"/>
  <c r="Q243" i="52"/>
  <c r="R243" i="52"/>
  <c r="J244" i="52"/>
  <c r="S244" i="52" s="1"/>
  <c r="K244" i="52"/>
  <c r="L244" i="52"/>
  <c r="M244" i="52"/>
  <c r="N244" i="52"/>
  <c r="O244" i="52"/>
  <c r="P244" i="52"/>
  <c r="Q244" i="52"/>
  <c r="R244" i="52"/>
  <c r="J245" i="52"/>
  <c r="S245" i="52" s="1"/>
  <c r="K245" i="52"/>
  <c r="L245" i="52"/>
  <c r="M245" i="52"/>
  <c r="N245" i="52"/>
  <c r="O245" i="52"/>
  <c r="P245" i="52"/>
  <c r="Q245" i="52"/>
  <c r="R245" i="52"/>
  <c r="J246" i="52"/>
  <c r="S246" i="52" s="1"/>
  <c r="K246" i="52"/>
  <c r="L246" i="52"/>
  <c r="M246" i="52"/>
  <c r="N246" i="52"/>
  <c r="O246" i="52"/>
  <c r="P246" i="52"/>
  <c r="Q246" i="52"/>
  <c r="R246" i="52"/>
  <c r="J247" i="52"/>
  <c r="S247" i="52" s="1"/>
  <c r="K247" i="52"/>
  <c r="L247" i="52"/>
  <c r="M247" i="52"/>
  <c r="N247" i="52"/>
  <c r="O247" i="52"/>
  <c r="P247" i="52"/>
  <c r="Q247" i="52"/>
  <c r="R247" i="52"/>
  <c r="J248" i="52"/>
  <c r="S248" i="52" s="1"/>
  <c r="K248" i="52"/>
  <c r="L248" i="52"/>
  <c r="M248" i="52"/>
  <c r="N248" i="52"/>
  <c r="O248" i="52"/>
  <c r="P248" i="52"/>
  <c r="Q248" i="52"/>
  <c r="R248" i="52"/>
  <c r="J249" i="52"/>
  <c r="S249" i="52" s="1"/>
  <c r="K249" i="52"/>
  <c r="L249" i="52"/>
  <c r="M249" i="52"/>
  <c r="N249" i="52"/>
  <c r="O249" i="52"/>
  <c r="P249" i="52"/>
  <c r="Q249" i="52"/>
  <c r="R249" i="52"/>
  <c r="J250" i="52"/>
  <c r="S250" i="52" s="1"/>
  <c r="K250" i="52"/>
  <c r="L250" i="52"/>
  <c r="M250" i="52"/>
  <c r="N250" i="52"/>
  <c r="O250" i="52"/>
  <c r="P250" i="52"/>
  <c r="Q250" i="52"/>
  <c r="R250" i="52"/>
  <c r="J251" i="52"/>
  <c r="S251" i="52" s="1"/>
  <c r="K251" i="52"/>
  <c r="L251" i="52"/>
  <c r="M251" i="52"/>
  <c r="N251" i="52"/>
  <c r="O251" i="52"/>
  <c r="P251" i="52"/>
  <c r="Q251" i="52"/>
  <c r="R251" i="52"/>
  <c r="J252" i="52"/>
  <c r="S252" i="52" s="1"/>
  <c r="K252" i="52"/>
  <c r="L252" i="52"/>
  <c r="M252" i="52"/>
  <c r="N252" i="52"/>
  <c r="O252" i="52"/>
  <c r="P252" i="52"/>
  <c r="Q252" i="52"/>
  <c r="R252" i="52"/>
  <c r="J253" i="52"/>
  <c r="S253" i="52" s="1"/>
  <c r="K253" i="52"/>
  <c r="L253" i="52"/>
  <c r="M253" i="52"/>
  <c r="N253" i="52"/>
  <c r="O253" i="52"/>
  <c r="P253" i="52"/>
  <c r="Q253" i="52"/>
  <c r="R253" i="52"/>
  <c r="J254" i="52"/>
  <c r="S254" i="52" s="1"/>
  <c r="K254" i="52"/>
  <c r="L254" i="52"/>
  <c r="M254" i="52"/>
  <c r="N254" i="52"/>
  <c r="O254" i="52"/>
  <c r="P254" i="52"/>
  <c r="Q254" i="52"/>
  <c r="R254" i="52"/>
  <c r="J255" i="52"/>
  <c r="S255" i="52" s="1"/>
  <c r="K255" i="52"/>
  <c r="L255" i="52"/>
  <c r="M255" i="52"/>
  <c r="N255" i="52"/>
  <c r="O255" i="52"/>
  <c r="P255" i="52"/>
  <c r="Q255" i="52"/>
  <c r="R255" i="52"/>
  <c r="J256" i="52"/>
  <c r="S256" i="52" s="1"/>
  <c r="K256" i="52"/>
  <c r="L256" i="52"/>
  <c r="M256" i="52"/>
  <c r="N256" i="52"/>
  <c r="O256" i="52"/>
  <c r="P256" i="52"/>
  <c r="Q256" i="52"/>
  <c r="R256" i="52"/>
  <c r="J257" i="52"/>
  <c r="S257" i="52" s="1"/>
  <c r="K257" i="52"/>
  <c r="L257" i="52"/>
  <c r="M257" i="52"/>
  <c r="N257" i="52"/>
  <c r="O257" i="52"/>
  <c r="P257" i="52"/>
  <c r="Q257" i="52"/>
  <c r="R257" i="52"/>
  <c r="J258" i="52"/>
  <c r="S258" i="52" s="1"/>
  <c r="K258" i="52"/>
  <c r="L258" i="52"/>
  <c r="M258" i="52"/>
  <c r="N258" i="52"/>
  <c r="O258" i="52"/>
  <c r="P258" i="52"/>
  <c r="Q258" i="52"/>
  <c r="R258" i="52"/>
  <c r="J259" i="52"/>
  <c r="S259" i="52" s="1"/>
  <c r="K259" i="52"/>
  <c r="L259" i="52"/>
  <c r="M259" i="52"/>
  <c r="N259" i="52"/>
  <c r="O259" i="52"/>
  <c r="P259" i="52"/>
  <c r="Q259" i="52"/>
  <c r="R259" i="52"/>
  <c r="J260" i="52"/>
  <c r="S260" i="52" s="1"/>
  <c r="K260" i="52"/>
  <c r="L260" i="52"/>
  <c r="M260" i="52"/>
  <c r="N260" i="52"/>
  <c r="O260" i="52"/>
  <c r="P260" i="52"/>
  <c r="Q260" i="52"/>
  <c r="R260" i="52"/>
  <c r="J261" i="52"/>
  <c r="S261" i="52" s="1"/>
  <c r="K261" i="52"/>
  <c r="L261" i="52"/>
  <c r="M261" i="52"/>
  <c r="N261" i="52"/>
  <c r="O261" i="52"/>
  <c r="P261" i="52"/>
  <c r="Q261" i="52"/>
  <c r="R261" i="52"/>
  <c r="J262" i="52"/>
  <c r="S262" i="52" s="1"/>
  <c r="K262" i="52"/>
  <c r="L262" i="52"/>
  <c r="M262" i="52"/>
  <c r="N262" i="52"/>
  <c r="O262" i="52"/>
  <c r="P262" i="52"/>
  <c r="Q262" i="52"/>
  <c r="R262" i="52"/>
  <c r="J263" i="52"/>
  <c r="S263" i="52" s="1"/>
  <c r="K263" i="52"/>
  <c r="L263" i="52"/>
  <c r="M263" i="52"/>
  <c r="N263" i="52"/>
  <c r="O263" i="52"/>
  <c r="P263" i="52"/>
  <c r="Q263" i="52"/>
  <c r="R263" i="52"/>
  <c r="J264" i="52"/>
  <c r="S264" i="52" s="1"/>
  <c r="K264" i="52"/>
  <c r="L264" i="52"/>
  <c r="M264" i="52"/>
  <c r="N264" i="52"/>
  <c r="O264" i="52"/>
  <c r="P264" i="52"/>
  <c r="Q264" i="52"/>
  <c r="R264" i="52"/>
  <c r="J265" i="52"/>
  <c r="S265" i="52" s="1"/>
  <c r="K265" i="52"/>
  <c r="L265" i="52"/>
  <c r="M265" i="52"/>
  <c r="N265" i="52"/>
  <c r="O265" i="52"/>
  <c r="P265" i="52"/>
  <c r="Q265" i="52"/>
  <c r="R265" i="52"/>
  <c r="J266" i="52"/>
  <c r="S266" i="52" s="1"/>
  <c r="K266" i="52"/>
  <c r="L266" i="52"/>
  <c r="M266" i="52"/>
  <c r="N266" i="52"/>
  <c r="O266" i="52"/>
  <c r="P266" i="52"/>
  <c r="Q266" i="52"/>
  <c r="R266" i="52"/>
  <c r="J267" i="52"/>
  <c r="S267" i="52" s="1"/>
  <c r="K267" i="52"/>
  <c r="L267" i="52"/>
  <c r="M267" i="52"/>
  <c r="N267" i="52"/>
  <c r="O267" i="52"/>
  <c r="P267" i="52"/>
  <c r="Q267" i="52"/>
  <c r="R267" i="52"/>
  <c r="J268" i="52"/>
  <c r="S268" i="52" s="1"/>
  <c r="K268" i="52"/>
  <c r="L268" i="52"/>
  <c r="M268" i="52"/>
  <c r="N268" i="52"/>
  <c r="O268" i="52"/>
  <c r="P268" i="52"/>
  <c r="Q268" i="52"/>
  <c r="R268" i="52"/>
  <c r="J269" i="52"/>
  <c r="S269" i="52" s="1"/>
  <c r="K269" i="52"/>
  <c r="L269" i="52"/>
  <c r="M269" i="52"/>
  <c r="N269" i="52"/>
  <c r="O269" i="52"/>
  <c r="P269" i="52"/>
  <c r="Q269" i="52"/>
  <c r="R269" i="52"/>
  <c r="J270" i="52"/>
  <c r="S270" i="52" s="1"/>
  <c r="K270" i="52"/>
  <c r="L270" i="52"/>
  <c r="M270" i="52"/>
  <c r="N270" i="52"/>
  <c r="O270" i="52"/>
  <c r="P270" i="52"/>
  <c r="Q270" i="52"/>
  <c r="R270" i="52"/>
  <c r="J271" i="52"/>
  <c r="S271" i="52" s="1"/>
  <c r="K271" i="52"/>
  <c r="L271" i="52"/>
  <c r="M271" i="52"/>
  <c r="N271" i="52"/>
  <c r="O271" i="52"/>
  <c r="P271" i="52"/>
  <c r="Q271" i="52"/>
  <c r="R271" i="52"/>
  <c r="J272" i="52"/>
  <c r="S272" i="52" s="1"/>
  <c r="K272" i="52"/>
  <c r="L272" i="52"/>
  <c r="M272" i="52"/>
  <c r="N272" i="52"/>
  <c r="O272" i="52"/>
  <c r="P272" i="52"/>
  <c r="Q272" i="52"/>
  <c r="R272" i="52"/>
  <c r="J273" i="52"/>
  <c r="S273" i="52" s="1"/>
  <c r="K273" i="52"/>
  <c r="L273" i="52"/>
  <c r="M273" i="52"/>
  <c r="N273" i="52"/>
  <c r="O273" i="52"/>
  <c r="P273" i="52"/>
  <c r="Q273" i="52"/>
  <c r="R273" i="52"/>
  <c r="J274" i="52"/>
  <c r="S274" i="52" s="1"/>
  <c r="K274" i="52"/>
  <c r="L274" i="52"/>
  <c r="M274" i="52"/>
  <c r="N274" i="52"/>
  <c r="O274" i="52"/>
  <c r="P274" i="52"/>
  <c r="Q274" i="52"/>
  <c r="R274" i="52"/>
  <c r="J275" i="52"/>
  <c r="S275" i="52" s="1"/>
  <c r="K275" i="52"/>
  <c r="L275" i="52"/>
  <c r="M275" i="52"/>
  <c r="N275" i="52"/>
  <c r="O275" i="52"/>
  <c r="P275" i="52"/>
  <c r="Q275" i="52"/>
  <c r="R275" i="52"/>
  <c r="J276" i="52"/>
  <c r="S276" i="52" s="1"/>
  <c r="K276" i="52"/>
  <c r="L276" i="52"/>
  <c r="M276" i="52"/>
  <c r="N276" i="52"/>
  <c r="O276" i="52"/>
  <c r="P276" i="52"/>
  <c r="Q276" i="52"/>
  <c r="R276" i="52"/>
  <c r="J277" i="52"/>
  <c r="S277" i="52" s="1"/>
  <c r="K277" i="52"/>
  <c r="L277" i="52"/>
  <c r="M277" i="52"/>
  <c r="N277" i="52"/>
  <c r="O277" i="52"/>
  <c r="P277" i="52"/>
  <c r="Q277" i="52"/>
  <c r="R277" i="52"/>
  <c r="J278" i="52"/>
  <c r="S278" i="52" s="1"/>
  <c r="K278" i="52"/>
  <c r="L278" i="52"/>
  <c r="M278" i="52"/>
  <c r="N278" i="52"/>
  <c r="O278" i="52"/>
  <c r="P278" i="52"/>
  <c r="Q278" i="52"/>
  <c r="R278" i="52"/>
  <c r="J279" i="52"/>
  <c r="S279" i="52" s="1"/>
  <c r="K279" i="52"/>
  <c r="L279" i="52"/>
  <c r="M279" i="52"/>
  <c r="N279" i="52"/>
  <c r="O279" i="52"/>
  <c r="P279" i="52"/>
  <c r="Q279" i="52"/>
  <c r="R279" i="52"/>
  <c r="J280" i="52"/>
  <c r="S280" i="52" s="1"/>
  <c r="K280" i="52"/>
  <c r="L280" i="52"/>
  <c r="M280" i="52"/>
  <c r="N280" i="52"/>
  <c r="O280" i="52"/>
  <c r="P280" i="52"/>
  <c r="Q280" i="52"/>
  <c r="R280" i="52"/>
  <c r="J281" i="52"/>
  <c r="S281" i="52" s="1"/>
  <c r="K281" i="52"/>
  <c r="L281" i="52"/>
  <c r="M281" i="52"/>
  <c r="N281" i="52"/>
  <c r="O281" i="52"/>
  <c r="P281" i="52"/>
  <c r="Q281" i="52"/>
  <c r="R281" i="52"/>
  <c r="J282" i="52"/>
  <c r="S282" i="52" s="1"/>
  <c r="K282" i="52"/>
  <c r="L282" i="52"/>
  <c r="M282" i="52"/>
  <c r="N282" i="52"/>
  <c r="O282" i="52"/>
  <c r="P282" i="52"/>
  <c r="Q282" i="52"/>
  <c r="R282" i="52"/>
  <c r="K283" i="52"/>
  <c r="L283" i="52"/>
  <c r="M283" i="52"/>
  <c r="N283" i="52"/>
  <c r="O283" i="52"/>
  <c r="P283" i="52"/>
  <c r="Q283" i="52"/>
  <c r="R283" i="52"/>
  <c r="J284" i="52"/>
  <c r="S284" i="52" s="1"/>
  <c r="K284" i="52"/>
  <c r="L284" i="52"/>
  <c r="M284" i="52"/>
  <c r="N284" i="52"/>
  <c r="O284" i="52"/>
  <c r="P284" i="52"/>
  <c r="Q284" i="52"/>
  <c r="R284" i="52"/>
  <c r="J285" i="52"/>
  <c r="S285" i="52" s="1"/>
  <c r="K285" i="52"/>
  <c r="L285" i="52"/>
  <c r="M285" i="52"/>
  <c r="N285" i="52"/>
  <c r="O285" i="52"/>
  <c r="P285" i="52"/>
  <c r="Q285" i="52"/>
  <c r="R285" i="52"/>
  <c r="M62" i="69" l="1"/>
  <c r="M46" i="69"/>
  <c r="M94" i="69"/>
  <c r="M70" i="69"/>
  <c r="M6" i="69"/>
  <c r="M126" i="69"/>
  <c r="M38" i="69"/>
  <c r="M134" i="69"/>
  <c r="K35" i="98"/>
  <c r="K31" i="98"/>
  <c r="M14" i="69"/>
  <c r="D57" i="93"/>
  <c r="J57" i="93" s="1"/>
  <c r="D33" i="93"/>
  <c r="J33" i="93" s="1"/>
  <c r="D102" i="93"/>
  <c r="D59" i="93"/>
  <c r="J59" i="93" s="1"/>
  <c r="D40" i="93"/>
  <c r="J40" i="93" s="1"/>
  <c r="D67" i="93"/>
  <c r="J67" i="93" s="1"/>
  <c r="D44" i="93"/>
  <c r="J44" i="93" s="1"/>
  <c r="D66" i="93"/>
  <c r="J66" i="93" s="1"/>
  <c r="D9" i="93"/>
  <c r="J9" i="93" s="1"/>
  <c r="D56" i="93"/>
  <c r="J56" i="93" s="1"/>
  <c r="D8" i="93"/>
  <c r="D65" i="93"/>
  <c r="J65" i="93" s="1"/>
  <c r="D32" i="93"/>
  <c r="J32" i="93" s="1"/>
  <c r="D62" i="93"/>
  <c r="J62" i="93" s="1"/>
  <c r="D35" i="93"/>
  <c r="J35" i="93" s="1"/>
  <c r="D103" i="93"/>
  <c r="J103" i="93" s="1"/>
  <c r="D39" i="93"/>
  <c r="J39" i="93" s="1"/>
  <c r="D64" i="93"/>
  <c r="J64" i="93" s="1"/>
  <c r="D34" i="93"/>
  <c r="J34" i="93" s="1"/>
  <c r="D58" i="93"/>
  <c r="J58" i="93" s="1"/>
  <c r="D60" i="93"/>
  <c r="J60" i="93" s="1"/>
  <c r="D61" i="93"/>
  <c r="J61" i="93" s="1"/>
  <c r="D38" i="93"/>
  <c r="M78" i="69"/>
  <c r="M54" i="69"/>
  <c r="M86" i="69"/>
  <c r="M44" i="69"/>
  <c r="M36" i="69"/>
  <c r="M20" i="69"/>
  <c r="M4" i="69"/>
  <c r="M105" i="69"/>
  <c r="M57" i="69"/>
  <c r="M110" i="69"/>
  <c r="M102" i="69"/>
  <c r="M89" i="69"/>
  <c r="M121" i="69"/>
  <c r="M112" i="69"/>
  <c r="M72" i="69"/>
  <c r="M48" i="69"/>
  <c r="M40" i="69"/>
  <c r="M32" i="69"/>
  <c r="M16" i="69"/>
  <c r="M8" i="69"/>
  <c r="M177" i="69"/>
  <c r="M129" i="69"/>
  <c r="M124" i="69"/>
  <c r="M92" i="69"/>
  <c r="M73" i="69"/>
  <c r="M60" i="69"/>
  <c r="M41" i="69"/>
  <c r="M33" i="69"/>
  <c r="M17" i="69"/>
  <c r="M118" i="69"/>
  <c r="M111" i="69"/>
  <c r="M87" i="69"/>
  <c r="M79" i="69"/>
  <c r="M63" i="69"/>
  <c r="M47" i="69"/>
  <c r="M31" i="69"/>
  <c r="M7" i="69"/>
  <c r="M25" i="69"/>
  <c r="M9" i="69"/>
  <c r="M96" i="69"/>
  <c r="M80" i="69"/>
  <c r="M156" i="69"/>
  <c r="M145" i="69"/>
  <c r="M137" i="69"/>
  <c r="M113" i="69"/>
  <c r="M100" i="69"/>
  <c r="M97" i="69"/>
  <c r="M84" i="69"/>
  <c r="M81" i="69"/>
  <c r="M68" i="69"/>
  <c r="M65" i="69"/>
  <c r="M52" i="69"/>
  <c r="M49" i="69"/>
  <c r="M28" i="69"/>
  <c r="M12" i="69"/>
  <c r="M196" i="69"/>
  <c r="M119" i="69"/>
  <c r="M116" i="69"/>
  <c r="M108" i="69"/>
  <c r="M76" i="69"/>
  <c r="M71" i="69"/>
  <c r="M55" i="69"/>
  <c r="M39" i="69"/>
  <c r="M23" i="69"/>
  <c r="M15" i="69"/>
  <c r="M144" i="69"/>
  <c r="M176" i="69"/>
  <c r="M168" i="69"/>
  <c r="M104" i="69"/>
  <c r="M64" i="69"/>
  <c r="M56" i="69"/>
  <c r="M24" i="69"/>
  <c r="M138" i="69"/>
  <c r="M130" i="69"/>
  <c r="M122" i="69"/>
  <c r="M114" i="69"/>
  <c r="M106" i="69"/>
  <c r="M98" i="69"/>
  <c r="M90" i="69"/>
  <c r="M82" i="69"/>
  <c r="M74" i="69"/>
  <c r="M66" i="69"/>
  <c r="M58" i="69"/>
  <c r="M50" i="69"/>
  <c r="M42" i="69"/>
  <c r="M34" i="69"/>
  <c r="M26" i="69"/>
  <c r="M18" i="69"/>
  <c r="M153" i="69"/>
  <c r="M188" i="69"/>
  <c r="M184" i="69"/>
  <c r="M160" i="69"/>
  <c r="M152" i="69"/>
  <c r="M149" i="69"/>
  <c r="M139" i="69"/>
  <c r="M136" i="69"/>
  <c r="M133" i="69"/>
  <c r="M128" i="69"/>
  <c r="M127" i="69"/>
  <c r="M125" i="69"/>
  <c r="M120" i="69"/>
  <c r="M117" i="69"/>
  <c r="M109" i="69"/>
  <c r="M103" i="69"/>
  <c r="M101" i="69"/>
  <c r="M95" i="69"/>
  <c r="M93" i="69"/>
  <c r="M88" i="69"/>
  <c r="M85" i="69"/>
  <c r="M77" i="69"/>
  <c r="M69" i="69"/>
  <c r="M61" i="69"/>
  <c r="M53" i="69"/>
  <c r="M45" i="69"/>
  <c r="M37" i="69"/>
  <c r="M29" i="69"/>
  <c r="M21" i="69"/>
  <c r="M192" i="69"/>
  <c r="M181" i="69"/>
  <c r="M148" i="69"/>
  <c r="M140" i="69"/>
  <c r="M132" i="69"/>
  <c r="M198" i="69"/>
  <c r="M195" i="69"/>
  <c r="M190" i="69"/>
  <c r="M187" i="69"/>
  <c r="M182" i="69"/>
  <c r="M179" i="69"/>
  <c r="M174" i="69"/>
  <c r="M171" i="69"/>
  <c r="M166" i="69"/>
  <c r="M163" i="69"/>
  <c r="M158" i="69"/>
  <c r="M155" i="69"/>
  <c r="M150" i="69"/>
  <c r="M147" i="69"/>
  <c r="M142" i="69"/>
  <c r="M131" i="69"/>
  <c r="M123" i="69"/>
  <c r="M115" i="69"/>
  <c r="M107" i="69"/>
  <c r="M99" i="69"/>
  <c r="M91" i="69"/>
  <c r="M83" i="69"/>
  <c r="M75" i="69"/>
  <c r="M67" i="69"/>
  <c r="M59" i="69"/>
  <c r="M51" i="69"/>
  <c r="M197" i="69"/>
  <c r="M189" i="69"/>
  <c r="M173" i="69"/>
  <c r="M165" i="69"/>
  <c r="M157" i="69"/>
  <c r="M141" i="69"/>
  <c r="M13" i="69"/>
  <c r="M10" i="69"/>
  <c r="M5" i="69"/>
  <c r="M193" i="69"/>
  <c r="M185" i="69"/>
  <c r="M180" i="69"/>
  <c r="M172" i="69"/>
  <c r="M169" i="69"/>
  <c r="M164" i="69"/>
  <c r="M161" i="69"/>
  <c r="M43" i="69"/>
  <c r="M35" i="69"/>
  <c r="M27" i="69"/>
  <c r="M19" i="69"/>
  <c r="M11" i="69"/>
  <c r="M194" i="69"/>
  <c r="M186" i="69"/>
  <c r="M178" i="69"/>
  <c r="M170" i="69"/>
  <c r="M162" i="69"/>
  <c r="M154" i="69"/>
  <c r="M146" i="69"/>
  <c r="M191" i="69"/>
  <c r="M183" i="69"/>
  <c r="M175" i="69"/>
  <c r="M167" i="69"/>
  <c r="M159" i="69"/>
  <c r="M151" i="69"/>
  <c r="M143" i="69"/>
  <c r="M135" i="69"/>
  <c r="J66" i="98" l="1"/>
  <c r="M217" i="69"/>
  <c r="J62" i="98"/>
  <c r="K62" i="98"/>
  <c r="J64" i="98"/>
  <c r="K64" i="98"/>
  <c r="J63" i="98"/>
  <c r="K63" i="98"/>
  <c r="J55" i="98"/>
  <c r="K55" i="98"/>
  <c r="J35" i="98"/>
  <c r="J31" i="98"/>
  <c r="K66" i="98"/>
  <c r="D101" i="93"/>
  <c r="J101" i="93" s="1"/>
  <c r="D7" i="93"/>
  <c r="J7" i="93" s="1"/>
  <c r="J102" i="93"/>
  <c r="J8" i="93"/>
  <c r="K15" i="98"/>
  <c r="J15" i="98"/>
  <c r="K40" i="98"/>
  <c r="J40" i="98"/>
  <c r="K28" i="98"/>
  <c r="J28" i="98"/>
  <c r="J69" i="98"/>
  <c r="K69" i="98"/>
  <c r="J34" i="98"/>
  <c r="K34" i="98"/>
  <c r="D63" i="93"/>
  <c r="J63" i="93" s="1"/>
  <c r="J67" i="98"/>
  <c r="K67" i="98"/>
  <c r="K68" i="98"/>
  <c r="J68" i="98"/>
  <c r="J36" i="98"/>
  <c r="K36" i="98"/>
  <c r="J29" i="98"/>
  <c r="K29" i="98"/>
  <c r="J30" i="98"/>
  <c r="K30" i="98"/>
  <c r="D31" i="93"/>
  <c r="J31" i="93" s="1"/>
  <c r="D55" i="93"/>
  <c r="J38" i="93"/>
  <c r="D37" i="93"/>
  <c r="J37" i="93" s="1"/>
  <c r="E183" i="93"/>
  <c r="J183" i="93" s="1"/>
  <c r="E142" i="93"/>
  <c r="J142" i="93" s="1"/>
  <c r="F55" i="93"/>
  <c r="F54" i="93" s="1"/>
  <c r="F31" i="93"/>
  <c r="K9" i="98" l="1"/>
  <c r="J10" i="98"/>
  <c r="K10" i="98"/>
  <c r="Z20" i="69"/>
  <c r="D100" i="93"/>
  <c r="D99" i="93" s="1"/>
  <c r="K51" i="98"/>
  <c r="J51" i="98"/>
  <c r="K33" i="98"/>
  <c r="J33" i="98"/>
  <c r="J12" i="98"/>
  <c r="K12" i="98"/>
  <c r="K65" i="98"/>
  <c r="J65" i="98"/>
  <c r="K27" i="98"/>
  <c r="J27" i="98"/>
  <c r="J55" i="93"/>
  <c r="D54" i="93"/>
  <c r="J54" i="93" s="1"/>
  <c r="F101" i="93"/>
  <c r="F100" i="93" s="1"/>
  <c r="F99" i="93" s="1"/>
  <c r="J162" i="93"/>
  <c r="J9" i="98" l="1"/>
  <c r="J100" i="93"/>
  <c r="E97" i="98"/>
  <c r="K98" i="98"/>
  <c r="J98" i="98"/>
  <c r="K50" i="98"/>
  <c r="J50" i="98"/>
  <c r="J97" i="98" l="1"/>
  <c r="K97" i="98"/>
  <c r="E193" i="93" l="1"/>
  <c r="J193" i="93" s="1"/>
  <c r="C49" i="43" l="1"/>
  <c r="D49" i="43" s="1"/>
  <c r="C48" i="43"/>
  <c r="D48" i="43" s="1"/>
  <c r="C46" i="43"/>
  <c r="D46" i="43" s="1"/>
  <c r="C45" i="43"/>
  <c r="D45" i="43" s="1"/>
  <c r="C43" i="43"/>
  <c r="D43" i="43" s="1"/>
  <c r="C42" i="43"/>
  <c r="D42" i="43" s="1"/>
  <c r="G48" i="43" l="1"/>
  <c r="G49" i="43"/>
  <c r="J170" i="93"/>
  <c r="G43" i="43"/>
  <c r="G46" i="43"/>
  <c r="G42" i="43"/>
  <c r="G45" i="43"/>
  <c r="D50" i="43"/>
  <c r="C104" i="43" s="1"/>
  <c r="K31" i="43"/>
  <c r="L31" i="43" s="1"/>
  <c r="K32" i="43"/>
  <c r="L32" i="43" s="1"/>
  <c r="K33" i="43"/>
  <c r="L33" i="43" s="1"/>
  <c r="K34" i="43"/>
  <c r="L34" i="43" s="1"/>
  <c r="K35" i="43"/>
  <c r="L35" i="43" s="1"/>
  <c r="K4" i="43"/>
  <c r="L4" i="43" s="1"/>
  <c r="J36" i="43"/>
  <c r="I36" i="43"/>
  <c r="H36" i="43"/>
  <c r="G36" i="43"/>
  <c r="F36" i="43"/>
  <c r="E36" i="43"/>
  <c r="D36" i="43"/>
  <c r="C36" i="43"/>
  <c r="B36" i="43"/>
  <c r="L36" i="43" l="1"/>
  <c r="D69" i="93" s="1"/>
  <c r="J69" i="93" s="1"/>
  <c r="G50" i="43"/>
  <c r="J108" i="98" l="1"/>
  <c r="C98" i="43"/>
  <c r="C100" i="43" s="1"/>
  <c r="D11" i="93"/>
  <c r="J11" i="93" s="1"/>
  <c r="J169" i="93"/>
  <c r="K108" i="98" l="1"/>
  <c r="J171" i="93"/>
  <c r="J168" i="93" l="1"/>
  <c r="E13" i="7" l="1"/>
  <c r="E17" i="34" l="1"/>
  <c r="E41" i="24" l="1"/>
  <c r="G44" i="89" l="1"/>
  <c r="L14" i="89"/>
  <c r="L15" i="89"/>
  <c r="L16" i="89"/>
  <c r="L17" i="89"/>
  <c r="L18" i="89"/>
  <c r="L13" i="89"/>
  <c r="C6" i="92" l="1"/>
  <c r="E8" i="92"/>
  <c r="D3" i="92"/>
  <c r="F3" i="92" s="1"/>
  <c r="D11" i="92"/>
  <c r="E11" i="92" s="1"/>
  <c r="D12" i="92"/>
  <c r="F12" i="92" s="1"/>
  <c r="D9" i="92"/>
  <c r="D7" i="92"/>
  <c r="F7" i="92" s="1"/>
  <c r="D4" i="92"/>
  <c r="E4" i="92" s="1"/>
  <c r="K28" i="89"/>
  <c r="D10" i="92" s="1"/>
  <c r="I7" i="91"/>
  <c r="I8" i="91"/>
  <c r="I9" i="91"/>
  <c r="I10" i="91"/>
  <c r="I11" i="91"/>
  <c r="I12" i="91"/>
  <c r="I14" i="91"/>
  <c r="I15" i="91"/>
  <c r="I28" i="91"/>
  <c r="I29" i="91"/>
  <c r="I30" i="91"/>
  <c r="I31" i="91"/>
  <c r="I32" i="91"/>
  <c r="I34" i="91"/>
  <c r="I35" i="91"/>
  <c r="I36" i="91"/>
  <c r="I37" i="91"/>
  <c r="I38" i="91"/>
  <c r="I41" i="91"/>
  <c r="I43" i="91"/>
  <c r="I44" i="91"/>
  <c r="I45" i="91"/>
  <c r="I46" i="91"/>
  <c r="I66" i="91"/>
  <c r="I67" i="91"/>
  <c r="I68" i="91"/>
  <c r="I69" i="91"/>
  <c r="I70" i="91"/>
  <c r="I71" i="91"/>
  <c r="I72" i="91"/>
  <c r="I73" i="91"/>
  <c r="I74" i="91"/>
  <c r="I75" i="91"/>
  <c r="I76" i="91"/>
  <c r="I77" i="91"/>
  <c r="I78" i="91"/>
  <c r="I79" i="91"/>
  <c r="I80" i="91"/>
  <c r="I81" i="91"/>
  <c r="I96" i="91"/>
  <c r="I97" i="91"/>
  <c r="I98" i="91"/>
  <c r="I104" i="91"/>
  <c r="I105" i="91"/>
  <c r="I106" i="91"/>
  <c r="I107" i="91"/>
  <c r="I108" i="91"/>
  <c r="I109" i="91"/>
  <c r="I110" i="91"/>
  <c r="D111" i="91"/>
  <c r="I111" i="91"/>
  <c r="I112" i="91"/>
  <c r="I113" i="91"/>
  <c r="I114" i="91"/>
  <c r="I115" i="91"/>
  <c r="I116" i="91"/>
  <c r="I117" i="91"/>
  <c r="I118" i="91"/>
  <c r="I119" i="91"/>
  <c r="I120" i="91"/>
  <c r="H121" i="91"/>
  <c r="I121" i="91"/>
  <c r="H122" i="91"/>
  <c r="I122" i="91"/>
  <c r="H123" i="91"/>
  <c r="I123" i="91"/>
  <c r="I135" i="91"/>
  <c r="I136" i="91"/>
  <c r="I137" i="91"/>
  <c r="I138" i="91"/>
  <c r="D5" i="92" l="1"/>
  <c r="F11" i="92"/>
  <c r="E9" i="92"/>
  <c r="D2" i="92"/>
  <c r="F9" i="92"/>
  <c r="F4" i="92"/>
  <c r="E12" i="92"/>
  <c r="E7" i="92"/>
  <c r="E3" i="92"/>
  <c r="F10" i="92"/>
  <c r="E10" i="92"/>
  <c r="F5" i="92" l="1"/>
  <c r="E5" i="92"/>
  <c r="D6" i="92"/>
  <c r="F2" i="92"/>
  <c r="E2" i="92"/>
  <c r="X379" i="46"/>
  <c r="X378" i="46"/>
  <c r="X377" i="46"/>
  <c r="X376" i="46"/>
  <c r="X375" i="46"/>
  <c r="X374" i="46"/>
  <c r="X373" i="46"/>
  <c r="X372" i="46"/>
  <c r="X371" i="46"/>
  <c r="X370" i="46"/>
  <c r="X369" i="46"/>
  <c r="X368" i="46"/>
  <c r="X367" i="46"/>
  <c r="X350" i="46"/>
  <c r="X349" i="46"/>
  <c r="X348" i="46"/>
  <c r="X347" i="46"/>
  <c r="X346" i="46"/>
  <c r="X345" i="46"/>
  <c r="X344" i="46"/>
  <c r="X343" i="46"/>
  <c r="X342" i="46"/>
  <c r="X341" i="46"/>
  <c r="X340" i="46"/>
  <c r="X337" i="46"/>
  <c r="X336" i="46"/>
  <c r="X335" i="46"/>
  <c r="X334" i="46"/>
  <c r="X333" i="46"/>
  <c r="X332" i="46"/>
  <c r="X331" i="46"/>
  <c r="X330" i="46"/>
  <c r="X329" i="46"/>
  <c r="X328" i="46"/>
  <c r="X327" i="46"/>
  <c r="X326" i="46"/>
  <c r="X325" i="46"/>
  <c r="X324" i="46"/>
  <c r="X323" i="46"/>
  <c r="X322" i="46"/>
  <c r="X321" i="46"/>
  <c r="X320" i="46"/>
  <c r="X319" i="46"/>
  <c r="X318" i="46"/>
  <c r="X317" i="46"/>
  <c r="X316" i="46"/>
  <c r="X315" i="46"/>
  <c r="X314" i="46"/>
  <c r="X313" i="46"/>
  <c r="X312" i="46"/>
  <c r="X311" i="46"/>
  <c r="X310" i="46"/>
  <c r="X309" i="46"/>
  <c r="X308" i="46"/>
  <c r="X307" i="46"/>
  <c r="X306" i="46"/>
  <c r="X305" i="46"/>
  <c r="X304" i="46"/>
  <c r="X303" i="46"/>
  <c r="X302" i="46"/>
  <c r="X301" i="46"/>
  <c r="X300" i="46"/>
  <c r="X299" i="46"/>
  <c r="X297" i="46"/>
  <c r="X296" i="46"/>
  <c r="X295" i="46"/>
  <c r="X294" i="46"/>
  <c r="X293" i="46"/>
  <c r="X292" i="46"/>
  <c r="X291" i="46"/>
  <c r="X290" i="46"/>
  <c r="X288" i="46"/>
  <c r="X287" i="46"/>
  <c r="X286" i="46"/>
  <c r="X285" i="46"/>
  <c r="X284" i="46"/>
  <c r="X283" i="46"/>
  <c r="X282" i="46"/>
  <c r="X281" i="46"/>
  <c r="X280" i="46"/>
  <c r="X279" i="46"/>
  <c r="X278" i="46"/>
  <c r="X277" i="46"/>
  <c r="X276" i="46"/>
  <c r="X275" i="46"/>
  <c r="X274" i="46"/>
  <c r="X273" i="46"/>
  <c r="X272" i="46"/>
  <c r="X271" i="46"/>
  <c r="X270" i="46"/>
  <c r="X269" i="46"/>
  <c r="X268" i="46"/>
  <c r="X267" i="46"/>
  <c r="X266" i="46"/>
  <c r="X265" i="46"/>
  <c r="X264" i="46"/>
  <c r="X263" i="46"/>
  <c r="X262" i="46"/>
  <c r="X261" i="46"/>
  <c r="X260" i="46"/>
  <c r="X259" i="46"/>
  <c r="X258" i="46"/>
  <c r="X257" i="46"/>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Z21" i="69" l="1"/>
  <c r="E99" i="93" l="1"/>
  <c r="J99" i="93" s="1"/>
  <c r="E86" i="93" l="1"/>
  <c r="E87" i="93"/>
  <c r="E88" i="93"/>
  <c r="E90" i="93"/>
  <c r="E89" i="93"/>
  <c r="E91" i="93"/>
  <c r="AF5" i="69"/>
  <c r="AF6" i="69"/>
  <c r="F85" i="93" l="1"/>
  <c r="AA21" i="69"/>
  <c r="AC11" i="69"/>
  <c r="AC8" i="69"/>
  <c r="AC7" i="69"/>
  <c r="AC6" i="69"/>
  <c r="AC10" i="69"/>
  <c r="AC9" i="69"/>
  <c r="AF8" i="69"/>
  <c r="AG6" i="69" s="1"/>
  <c r="F86" i="93" l="1"/>
  <c r="F87" i="93"/>
  <c r="F91" i="93"/>
  <c r="F90" i="93"/>
  <c r="F88" i="93"/>
  <c r="F89" i="93"/>
  <c r="AG5" i="69"/>
  <c r="N5" i="69" l="1"/>
  <c r="N6" i="69"/>
  <c r="N7" i="69"/>
  <c r="N8" i="69"/>
  <c r="N9" i="69"/>
  <c r="N10" i="69"/>
  <c r="N11" i="69"/>
  <c r="N12" i="69"/>
  <c r="N13" i="69"/>
  <c r="N14" i="69"/>
  <c r="N15" i="69"/>
  <c r="N16" i="69"/>
  <c r="N17" i="69"/>
  <c r="N18" i="69"/>
  <c r="N19" i="69"/>
  <c r="N20" i="69"/>
  <c r="N21" i="69"/>
  <c r="N22" i="69"/>
  <c r="N23" i="69"/>
  <c r="N24" i="69"/>
  <c r="N25" i="69"/>
  <c r="N26" i="69"/>
  <c r="N27" i="69"/>
  <c r="N28" i="69"/>
  <c r="N29" i="69"/>
  <c r="N30" i="69"/>
  <c r="N31" i="69"/>
  <c r="N32" i="69"/>
  <c r="N33" i="69"/>
  <c r="N34" i="69"/>
  <c r="N35" i="69"/>
  <c r="N36" i="69"/>
  <c r="N37" i="69"/>
  <c r="N38" i="69"/>
  <c r="N39" i="69"/>
  <c r="N40" i="69"/>
  <c r="N41" i="69"/>
  <c r="N42" i="69"/>
  <c r="N43" i="69"/>
  <c r="N44" i="69"/>
  <c r="N45" i="69"/>
  <c r="N46" i="69"/>
  <c r="N47" i="69"/>
  <c r="N48" i="69"/>
  <c r="N49" i="69"/>
  <c r="N50" i="69"/>
  <c r="N51" i="69"/>
  <c r="N52" i="69"/>
  <c r="N53" i="69"/>
  <c r="N54" i="69"/>
  <c r="N55" i="69"/>
  <c r="N56" i="69"/>
  <c r="N57" i="69"/>
  <c r="N58" i="69"/>
  <c r="N59" i="69"/>
  <c r="N60" i="69"/>
  <c r="N61" i="69"/>
  <c r="N62" i="69"/>
  <c r="N63" i="69"/>
  <c r="N64" i="69"/>
  <c r="N65" i="69"/>
  <c r="N66" i="69"/>
  <c r="N67" i="69"/>
  <c r="N68" i="69"/>
  <c r="N69" i="69"/>
  <c r="N70" i="69"/>
  <c r="N71" i="69"/>
  <c r="N72" i="69"/>
  <c r="N73" i="69"/>
  <c r="N74" i="69"/>
  <c r="N75" i="69"/>
  <c r="N76" i="69"/>
  <c r="N77" i="69"/>
  <c r="N78" i="69"/>
  <c r="N79" i="69"/>
  <c r="N80" i="69"/>
  <c r="N81" i="69"/>
  <c r="N82" i="69"/>
  <c r="N83" i="69"/>
  <c r="N84" i="69"/>
  <c r="N85" i="69"/>
  <c r="N86" i="69"/>
  <c r="N87" i="69"/>
  <c r="N88" i="69"/>
  <c r="N89" i="69"/>
  <c r="N90" i="69"/>
  <c r="N91" i="69"/>
  <c r="N92" i="69"/>
  <c r="N93" i="69"/>
  <c r="N94" i="69"/>
  <c r="N95" i="69"/>
  <c r="N96" i="69"/>
  <c r="N97" i="69"/>
  <c r="N98" i="69"/>
  <c r="N99" i="69"/>
  <c r="N100" i="69"/>
  <c r="N101" i="69"/>
  <c r="N102" i="69"/>
  <c r="N103" i="69"/>
  <c r="N104" i="69"/>
  <c r="N105" i="69"/>
  <c r="N106" i="69"/>
  <c r="N107" i="69"/>
  <c r="N108" i="69"/>
  <c r="N109" i="69"/>
  <c r="N110" i="69"/>
  <c r="N111" i="69"/>
  <c r="N112" i="69"/>
  <c r="N113" i="69"/>
  <c r="N114" i="69"/>
  <c r="N115" i="69"/>
  <c r="N116" i="69"/>
  <c r="N117" i="69"/>
  <c r="N118" i="69"/>
  <c r="N119" i="69"/>
  <c r="N120" i="69"/>
  <c r="N121" i="69"/>
  <c r="N122" i="69"/>
  <c r="N123" i="69"/>
  <c r="N124" i="69"/>
  <c r="N125" i="69"/>
  <c r="N126" i="69"/>
  <c r="N127" i="69"/>
  <c r="N128" i="69"/>
  <c r="N129" i="69"/>
  <c r="N130" i="69"/>
  <c r="N131" i="69"/>
  <c r="N132" i="69"/>
  <c r="N133" i="69"/>
  <c r="N134" i="69"/>
  <c r="N135" i="69"/>
  <c r="N136" i="69"/>
  <c r="N137" i="69"/>
  <c r="N138" i="69"/>
  <c r="N139" i="69"/>
  <c r="N140" i="69"/>
  <c r="N141" i="69"/>
  <c r="N142" i="69"/>
  <c r="N143" i="69"/>
  <c r="N144" i="69"/>
  <c r="N145" i="69"/>
  <c r="N146" i="69"/>
  <c r="N147" i="69"/>
  <c r="N148" i="69"/>
  <c r="N149" i="69"/>
  <c r="N150" i="69"/>
  <c r="N151" i="69"/>
  <c r="N152" i="69"/>
  <c r="N153" i="69"/>
  <c r="N154" i="69"/>
  <c r="N155" i="69"/>
  <c r="N156" i="69"/>
  <c r="N157" i="69"/>
  <c r="N158" i="69"/>
  <c r="N159" i="69"/>
  <c r="N160" i="69"/>
  <c r="N161" i="69"/>
  <c r="N162" i="69"/>
  <c r="N163" i="69"/>
  <c r="N164" i="69"/>
  <c r="N165" i="69"/>
  <c r="N166" i="69"/>
  <c r="N167" i="69"/>
  <c r="N168" i="69"/>
  <c r="N169" i="69"/>
  <c r="N170" i="69"/>
  <c r="N171" i="69"/>
  <c r="N172" i="69"/>
  <c r="N173" i="69"/>
  <c r="N174" i="69"/>
  <c r="N175" i="69"/>
  <c r="N176" i="69"/>
  <c r="N177" i="69"/>
  <c r="N178" i="69"/>
  <c r="N179" i="69"/>
  <c r="N180" i="69"/>
  <c r="N181" i="69"/>
  <c r="N182" i="69"/>
  <c r="N183" i="69"/>
  <c r="N184" i="69"/>
  <c r="N185" i="69"/>
  <c r="N186" i="69"/>
  <c r="N187" i="69"/>
  <c r="N188" i="69"/>
  <c r="N189" i="69"/>
  <c r="N190" i="69"/>
  <c r="N191" i="69"/>
  <c r="N192" i="69"/>
  <c r="N193" i="69"/>
  <c r="N194" i="69"/>
  <c r="N195" i="69"/>
  <c r="N196" i="69"/>
  <c r="N197" i="69"/>
  <c r="N198" i="69"/>
  <c r="N4" i="69"/>
  <c r="N217" i="69" l="1"/>
  <c r="A329" i="49"/>
  <c r="B329" i="49"/>
  <c r="C329" i="49"/>
  <c r="A330" i="49"/>
  <c r="B330" i="49"/>
  <c r="C330" i="49"/>
  <c r="A331" i="49"/>
  <c r="B331" i="49"/>
  <c r="C331" i="49"/>
  <c r="B4" i="49" l="1"/>
  <c r="C4" i="49"/>
  <c r="B5" i="49"/>
  <c r="C5" i="49"/>
  <c r="B6" i="49"/>
  <c r="C6" i="49"/>
  <c r="B7" i="49"/>
  <c r="C7" i="49"/>
  <c r="B8" i="49"/>
  <c r="C8" i="49"/>
  <c r="B9" i="49"/>
  <c r="C9" i="49"/>
  <c r="B10" i="49"/>
  <c r="C10" i="49"/>
  <c r="B11" i="49"/>
  <c r="C11" i="49"/>
  <c r="B12" i="49"/>
  <c r="C12" i="49"/>
  <c r="B13" i="49"/>
  <c r="C13" i="49"/>
  <c r="B14" i="49"/>
  <c r="C14" i="49"/>
  <c r="B15" i="49"/>
  <c r="C15" i="49"/>
  <c r="B16" i="49"/>
  <c r="C16" i="49"/>
  <c r="B17" i="49"/>
  <c r="C17" i="49"/>
  <c r="B18" i="49"/>
  <c r="C18" i="49"/>
  <c r="B19" i="49"/>
  <c r="C19" i="49"/>
  <c r="B20" i="49"/>
  <c r="C20" i="49"/>
  <c r="B21" i="49"/>
  <c r="C21" i="49"/>
  <c r="B22" i="49"/>
  <c r="C22" i="49"/>
  <c r="B23" i="49"/>
  <c r="C23" i="49"/>
  <c r="B24" i="49"/>
  <c r="C24" i="49"/>
  <c r="B25" i="49"/>
  <c r="C25" i="49"/>
  <c r="B26" i="49"/>
  <c r="C26" i="49"/>
  <c r="B27" i="49"/>
  <c r="C27" i="49"/>
  <c r="B28" i="49"/>
  <c r="C28" i="49"/>
  <c r="B29" i="49"/>
  <c r="C29" i="49"/>
  <c r="B30" i="49"/>
  <c r="C30" i="49"/>
  <c r="B31" i="49"/>
  <c r="C31" i="49"/>
  <c r="B32" i="49"/>
  <c r="C32" i="49"/>
  <c r="B33" i="49"/>
  <c r="C33" i="49"/>
  <c r="B34" i="49"/>
  <c r="C34" i="49"/>
  <c r="B35" i="49"/>
  <c r="C35" i="49"/>
  <c r="B36" i="49"/>
  <c r="C36" i="49"/>
  <c r="B37" i="49"/>
  <c r="C37" i="49"/>
  <c r="B38" i="49"/>
  <c r="C38" i="49"/>
  <c r="B39" i="49"/>
  <c r="C39" i="49"/>
  <c r="B40" i="49"/>
  <c r="C40" i="49"/>
  <c r="B41" i="49"/>
  <c r="C41" i="49"/>
  <c r="B42" i="49"/>
  <c r="C42" i="49"/>
  <c r="B43" i="49"/>
  <c r="C43" i="49"/>
  <c r="B44" i="49"/>
  <c r="C44" i="49"/>
  <c r="C3" i="49"/>
  <c r="B3" i="49"/>
  <c r="A4" i="49"/>
  <c r="A5"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3" i="49"/>
  <c r="E44" i="2"/>
  <c r="E4" i="2"/>
  <c r="E5" i="2"/>
  <c r="E6" i="2"/>
  <c r="E7" i="2"/>
  <c r="E8" i="2"/>
  <c r="E9" i="2"/>
  <c r="E10" i="2"/>
  <c r="E12" i="2"/>
  <c r="E13" i="2"/>
  <c r="E15" i="2"/>
  <c r="E16" i="2"/>
  <c r="E17" i="2"/>
  <c r="E19" i="2"/>
  <c r="E20" i="2"/>
  <c r="E21" i="2"/>
  <c r="E22" i="2"/>
  <c r="E23" i="2"/>
  <c r="E24" i="2"/>
  <c r="E25" i="2"/>
  <c r="E26" i="2"/>
  <c r="E27" i="2"/>
  <c r="E28" i="2"/>
  <c r="E29" i="2"/>
  <c r="E30" i="2"/>
  <c r="E31" i="2"/>
  <c r="E32" i="2"/>
  <c r="E33" i="2"/>
  <c r="E34" i="2"/>
  <c r="E35" i="2"/>
  <c r="E36" i="2"/>
  <c r="E37" i="2"/>
  <c r="E38" i="2"/>
  <c r="E39" i="2"/>
  <c r="E40" i="2"/>
  <c r="E41" i="2"/>
  <c r="E42" i="2"/>
  <c r="E43" i="2"/>
  <c r="E3" i="2"/>
  <c r="E18" i="2"/>
  <c r="E14" i="2"/>
  <c r="E11" i="2"/>
  <c r="B183" i="49"/>
  <c r="C183" i="49"/>
  <c r="B184" i="49"/>
  <c r="C184" i="49"/>
  <c r="B185" i="49"/>
  <c r="C185" i="49"/>
  <c r="B186" i="49"/>
  <c r="C186" i="49"/>
  <c r="B187" i="49"/>
  <c r="C187" i="49"/>
  <c r="B188" i="49"/>
  <c r="C188" i="49"/>
  <c r="B189" i="49"/>
  <c r="C189" i="49"/>
  <c r="B190" i="49"/>
  <c r="C190" i="49"/>
  <c r="B191" i="49"/>
  <c r="C191" i="49"/>
  <c r="C182" i="49"/>
  <c r="B182" i="49"/>
  <c r="A183" i="49"/>
  <c r="A184" i="49"/>
  <c r="A185" i="49"/>
  <c r="A186" i="49"/>
  <c r="A187" i="49"/>
  <c r="A188" i="49"/>
  <c r="A189" i="49"/>
  <c r="A190" i="49"/>
  <c r="A191" i="49"/>
  <c r="A182" i="49"/>
  <c r="H3" i="2" l="1"/>
  <c r="F5" i="2"/>
  <c r="H5" i="2"/>
  <c r="G5" i="49" s="1"/>
  <c r="H31" i="2"/>
  <c r="G31" i="49" s="1"/>
  <c r="G31" i="2"/>
  <c r="F31" i="49" s="1"/>
  <c r="I31" i="2"/>
  <c r="H31" i="49" s="1"/>
  <c r="F31" i="2"/>
  <c r="E31" i="49" s="1"/>
  <c r="I14" i="2"/>
  <c r="H14" i="49" s="1"/>
  <c r="H14" i="2"/>
  <c r="G14" i="49" s="1"/>
  <c r="G14" i="2"/>
  <c r="F14" i="49" s="1"/>
  <c r="F14" i="2"/>
  <c r="E14" i="49" s="1"/>
  <c r="H30" i="2"/>
  <c r="G30" i="49" s="1"/>
  <c r="G30" i="2"/>
  <c r="F30" i="49" s="1"/>
  <c r="F30" i="2"/>
  <c r="E30" i="49" s="1"/>
  <c r="I30" i="2"/>
  <c r="H30" i="49" s="1"/>
  <c r="H22" i="2"/>
  <c r="G22" i="49" s="1"/>
  <c r="I22" i="2"/>
  <c r="H22" i="49" s="1"/>
  <c r="G22" i="2"/>
  <c r="F22" i="49" s="1"/>
  <c r="F22" i="2"/>
  <c r="E22" i="49" s="1"/>
  <c r="I44" i="2"/>
  <c r="H44" i="49" s="1"/>
  <c r="H44" i="2"/>
  <c r="G44" i="49" s="1"/>
  <c r="G44" i="2"/>
  <c r="F44" i="49" s="1"/>
  <c r="F44" i="2"/>
  <c r="E44" i="49" s="1"/>
  <c r="H18" i="2"/>
  <c r="G18" i="49" s="1"/>
  <c r="I18" i="2"/>
  <c r="H18" i="49" s="1"/>
  <c r="G18" i="2"/>
  <c r="F18" i="49" s="1"/>
  <c r="F18" i="2"/>
  <c r="E18" i="49" s="1"/>
  <c r="I29" i="2"/>
  <c r="H29" i="49" s="1"/>
  <c r="H29" i="2"/>
  <c r="G29" i="49" s="1"/>
  <c r="G29" i="2"/>
  <c r="F29" i="49" s="1"/>
  <c r="F29" i="2"/>
  <c r="E29" i="49" s="1"/>
  <c r="H21" i="2"/>
  <c r="G21" i="49" s="1"/>
  <c r="I21" i="2"/>
  <c r="H21" i="49" s="1"/>
  <c r="G21" i="2"/>
  <c r="F21" i="49" s="1"/>
  <c r="F21" i="2"/>
  <c r="E21" i="49" s="1"/>
  <c r="H10" i="2"/>
  <c r="G10" i="49" s="1"/>
  <c r="G10" i="2"/>
  <c r="F10" i="49" s="1"/>
  <c r="I10" i="2"/>
  <c r="H10" i="49" s="1"/>
  <c r="F10" i="2"/>
  <c r="E10" i="49" s="1"/>
  <c r="H36" i="2"/>
  <c r="G36" i="49" s="1"/>
  <c r="I36" i="2"/>
  <c r="H36" i="49" s="1"/>
  <c r="G36" i="2"/>
  <c r="F36" i="49" s="1"/>
  <c r="F36" i="2"/>
  <c r="E36" i="49" s="1"/>
  <c r="H28" i="2"/>
  <c r="G28" i="49" s="1"/>
  <c r="I28" i="2"/>
  <c r="H28" i="49" s="1"/>
  <c r="G28" i="2"/>
  <c r="F28" i="49" s="1"/>
  <c r="F28" i="2"/>
  <c r="E28" i="49" s="1"/>
  <c r="H20" i="2"/>
  <c r="G20" i="49" s="1"/>
  <c r="G20" i="2"/>
  <c r="F20" i="49" s="1"/>
  <c r="I20" i="2"/>
  <c r="H20" i="49" s="1"/>
  <c r="F20" i="2"/>
  <c r="E20" i="49" s="1"/>
  <c r="H9" i="2"/>
  <c r="G9" i="49" s="1"/>
  <c r="G9" i="2"/>
  <c r="F9" i="49" s="1"/>
  <c r="F9" i="2"/>
  <c r="E9" i="49" s="1"/>
  <c r="I9" i="2"/>
  <c r="H9" i="49" s="1"/>
  <c r="G3" i="49"/>
  <c r="G3" i="2"/>
  <c r="F3" i="49" s="1"/>
  <c r="F3" i="2"/>
  <c r="E3" i="49" s="1"/>
  <c r="I3" i="2"/>
  <c r="H3" i="49" s="1"/>
  <c r="H43" i="2"/>
  <c r="G43" i="49" s="1"/>
  <c r="G43" i="2"/>
  <c r="F43" i="49" s="1"/>
  <c r="F43" i="2"/>
  <c r="E43" i="49" s="1"/>
  <c r="I43" i="2"/>
  <c r="H43" i="49" s="1"/>
  <c r="I35" i="2"/>
  <c r="H35" i="49" s="1"/>
  <c r="H35" i="2"/>
  <c r="G35" i="49" s="1"/>
  <c r="G35" i="2"/>
  <c r="F35" i="49" s="1"/>
  <c r="F35" i="2"/>
  <c r="E35" i="49" s="1"/>
  <c r="I27" i="2"/>
  <c r="H27" i="49" s="1"/>
  <c r="G27" i="2"/>
  <c r="F27" i="49" s="1"/>
  <c r="H27" i="2"/>
  <c r="G27" i="49" s="1"/>
  <c r="F27" i="2"/>
  <c r="E27" i="49" s="1"/>
  <c r="I19" i="2"/>
  <c r="H19" i="49" s="1"/>
  <c r="G19" i="2"/>
  <c r="F19" i="49" s="1"/>
  <c r="H19" i="2"/>
  <c r="G19" i="49" s="1"/>
  <c r="F19" i="2"/>
  <c r="E19" i="49" s="1"/>
  <c r="I8" i="2"/>
  <c r="H8" i="49" s="1"/>
  <c r="H8" i="2"/>
  <c r="G8" i="49" s="1"/>
  <c r="G8" i="2"/>
  <c r="F8" i="49" s="1"/>
  <c r="F8" i="2"/>
  <c r="E8" i="49" s="1"/>
  <c r="G23" i="2"/>
  <c r="F23" i="49" s="1"/>
  <c r="I23" i="2"/>
  <c r="H23" i="49" s="1"/>
  <c r="H23" i="2"/>
  <c r="G23" i="49" s="1"/>
  <c r="F23" i="2"/>
  <c r="E23" i="49" s="1"/>
  <c r="H34" i="2"/>
  <c r="G34" i="49" s="1"/>
  <c r="G34" i="2"/>
  <c r="F34" i="49" s="1"/>
  <c r="I34" i="2"/>
  <c r="H34" i="49" s="1"/>
  <c r="F34" i="2"/>
  <c r="E34" i="49" s="1"/>
  <c r="H26" i="2"/>
  <c r="G26" i="49" s="1"/>
  <c r="G26" i="2"/>
  <c r="F26" i="49" s="1"/>
  <c r="F26" i="2"/>
  <c r="E26" i="49" s="1"/>
  <c r="I26" i="2"/>
  <c r="H26" i="49" s="1"/>
  <c r="H7" i="2"/>
  <c r="G7" i="49" s="1"/>
  <c r="G7" i="2"/>
  <c r="F7" i="49" s="1"/>
  <c r="I7" i="2"/>
  <c r="H7" i="49" s="1"/>
  <c r="F7" i="2"/>
  <c r="E7" i="49" s="1"/>
  <c r="I4" i="2"/>
  <c r="H4" i="49" s="1"/>
  <c r="H4" i="2"/>
  <c r="G4" i="49" s="1"/>
  <c r="G4" i="2"/>
  <c r="F4" i="49" s="1"/>
  <c r="F4" i="2"/>
  <c r="E4" i="49" s="1"/>
  <c r="H41" i="2"/>
  <c r="G41" i="49" s="1"/>
  <c r="G41" i="2"/>
  <c r="F41" i="49" s="1"/>
  <c r="I41" i="2"/>
  <c r="H41" i="49" s="1"/>
  <c r="F41" i="2"/>
  <c r="E41" i="49" s="1"/>
  <c r="H33" i="2"/>
  <c r="G33" i="49" s="1"/>
  <c r="G33" i="2"/>
  <c r="F33" i="49" s="1"/>
  <c r="I33" i="2"/>
  <c r="H33" i="49" s="1"/>
  <c r="F33" i="2"/>
  <c r="E33" i="49" s="1"/>
  <c r="H25" i="2"/>
  <c r="G25" i="49" s="1"/>
  <c r="G25" i="2"/>
  <c r="F25" i="49" s="1"/>
  <c r="I25" i="2"/>
  <c r="H25" i="49" s="1"/>
  <c r="F25" i="2"/>
  <c r="E25" i="49" s="1"/>
  <c r="I6" i="2"/>
  <c r="H6" i="49" s="1"/>
  <c r="H6" i="2"/>
  <c r="G6" i="49" s="1"/>
  <c r="G6" i="2"/>
  <c r="F6" i="49" s="1"/>
  <c r="F6" i="2"/>
  <c r="E6" i="49" s="1"/>
  <c r="H11" i="2"/>
  <c r="G11" i="49" s="1"/>
  <c r="G11" i="2"/>
  <c r="F11" i="49" s="1"/>
  <c r="F11" i="2"/>
  <c r="E11" i="49" s="1"/>
  <c r="I11" i="2"/>
  <c r="H11" i="49" s="1"/>
  <c r="H32" i="2"/>
  <c r="G32" i="49" s="1"/>
  <c r="G32" i="2"/>
  <c r="F32" i="49" s="1"/>
  <c r="F32" i="2"/>
  <c r="E32" i="49" s="1"/>
  <c r="I32" i="2"/>
  <c r="H32" i="49" s="1"/>
  <c r="H24" i="2"/>
  <c r="G24" i="49" s="1"/>
  <c r="G24" i="2"/>
  <c r="F24" i="49" s="1"/>
  <c r="F24" i="2"/>
  <c r="E24" i="49" s="1"/>
  <c r="I24" i="2"/>
  <c r="H24" i="49" s="1"/>
  <c r="I5" i="2"/>
  <c r="H5" i="49" s="1"/>
  <c r="G5" i="2"/>
  <c r="F5" i="49" s="1"/>
  <c r="E5" i="49"/>
  <c r="H13" i="2"/>
  <c r="G13" i="49" s="1"/>
  <c r="G13" i="2"/>
  <c r="F13" i="49" s="1"/>
  <c r="F13" i="2"/>
  <c r="E13" i="49" s="1"/>
  <c r="I13" i="2"/>
  <c r="H13" i="49" s="1"/>
  <c r="I38" i="2"/>
  <c r="H38" i="49" s="1"/>
  <c r="H38" i="2"/>
  <c r="G38" i="49" s="1"/>
  <c r="G38" i="2"/>
  <c r="F38" i="49" s="1"/>
  <c r="F38" i="2"/>
  <c r="E38" i="49" s="1"/>
  <c r="G12" i="2"/>
  <c r="F12" i="49" s="1"/>
  <c r="I12" i="2"/>
  <c r="H12" i="49" s="1"/>
  <c r="H12" i="2"/>
  <c r="G12" i="49" s="1"/>
  <c r="F12" i="2"/>
  <c r="E12" i="49" s="1"/>
  <c r="H37" i="2"/>
  <c r="G37" i="49" s="1"/>
  <c r="I37" i="2"/>
  <c r="H37" i="49" s="1"/>
  <c r="G37" i="2"/>
  <c r="F37" i="49" s="1"/>
  <c r="F37" i="2"/>
  <c r="E37" i="49" s="1"/>
  <c r="H39" i="2"/>
  <c r="G39" i="49" s="1"/>
  <c r="G39" i="2"/>
  <c r="F39" i="49" s="1"/>
  <c r="F39" i="2"/>
  <c r="E39" i="49" s="1"/>
  <c r="I39" i="2"/>
  <c r="H39" i="49" s="1"/>
  <c r="I42" i="2"/>
  <c r="H42" i="49" s="1"/>
  <c r="H42" i="2"/>
  <c r="G42" i="49" s="1"/>
  <c r="G42" i="2"/>
  <c r="F42" i="49" s="1"/>
  <c r="F42" i="2"/>
  <c r="E42" i="49" s="1"/>
  <c r="H17" i="2"/>
  <c r="G17" i="49" s="1"/>
  <c r="G17" i="2"/>
  <c r="F17" i="49" s="1"/>
  <c r="I17" i="2"/>
  <c r="H17" i="49" s="1"/>
  <c r="F17" i="2"/>
  <c r="E17" i="49" s="1"/>
  <c r="I16" i="2"/>
  <c r="H16" i="49" s="1"/>
  <c r="H16" i="2"/>
  <c r="G16" i="49" s="1"/>
  <c r="G16" i="2"/>
  <c r="F16" i="49" s="1"/>
  <c r="F16" i="2"/>
  <c r="E16" i="49" s="1"/>
  <c r="I40" i="2"/>
  <c r="H40" i="49" s="1"/>
  <c r="H40" i="2"/>
  <c r="G40" i="49" s="1"/>
  <c r="G40" i="2"/>
  <c r="F40" i="49" s="1"/>
  <c r="F40" i="2"/>
  <c r="E40" i="49" s="1"/>
  <c r="H15" i="2"/>
  <c r="G15" i="49" s="1"/>
  <c r="G15" i="2"/>
  <c r="F15" i="49" s="1"/>
  <c r="F15" i="2"/>
  <c r="E15" i="49" s="1"/>
  <c r="I15" i="2"/>
  <c r="H15" i="49" s="1"/>
  <c r="L5" i="25"/>
  <c r="M5" i="25" s="1"/>
  <c r="L6" i="25"/>
  <c r="L7" i="25"/>
  <c r="M7" i="25" s="1"/>
  <c r="L8" i="25"/>
  <c r="L9" i="25"/>
  <c r="L10" i="25"/>
  <c r="L11" i="25"/>
  <c r="M11" i="25" s="1"/>
  <c r="L12" i="25"/>
  <c r="L13" i="25"/>
  <c r="L15" i="25"/>
  <c r="L16" i="25"/>
  <c r="L17" i="25"/>
  <c r="L18" i="25"/>
  <c r="L19" i="25"/>
  <c r="L20" i="25"/>
  <c r="L21" i="25"/>
  <c r="L22" i="25"/>
  <c r="L23" i="25"/>
  <c r="L24" i="25"/>
  <c r="L25" i="25"/>
  <c r="L26" i="25"/>
  <c r="L27" i="25"/>
  <c r="L28" i="25"/>
  <c r="L29" i="25"/>
  <c r="L30" i="25"/>
  <c r="L4" i="25"/>
  <c r="M4" i="25" s="1"/>
  <c r="F46" i="2" l="1"/>
  <c r="P7" i="25"/>
  <c r="O7" i="25"/>
  <c r="N7" i="25"/>
  <c r="D199" i="49"/>
  <c r="M21" i="25"/>
  <c r="D206" i="49"/>
  <c r="M28" i="25"/>
  <c r="E206" i="49" s="1"/>
  <c r="D205" i="49"/>
  <c r="M27" i="25"/>
  <c r="D197" i="49"/>
  <c r="M19" i="25"/>
  <c r="E197" i="49" s="1"/>
  <c r="D204" i="49"/>
  <c r="M26" i="25"/>
  <c r="D196" i="49"/>
  <c r="M18" i="25"/>
  <c r="D203" i="49"/>
  <c r="M25" i="25"/>
  <c r="D187" i="49"/>
  <c r="M9" i="25"/>
  <c r="D202" i="49"/>
  <c r="M24" i="25"/>
  <c r="E202" i="49" s="1"/>
  <c r="D194" i="49"/>
  <c r="M16" i="25"/>
  <c r="E194" i="49" s="1"/>
  <c r="D186" i="49"/>
  <c r="M8" i="25"/>
  <c r="D201" i="49"/>
  <c r="M23" i="25"/>
  <c r="D208" i="49"/>
  <c r="M30" i="25"/>
  <c r="D200" i="49"/>
  <c r="M22" i="25"/>
  <c r="D193" i="49"/>
  <c r="M15" i="25"/>
  <c r="D184" i="49"/>
  <c r="M6" i="25"/>
  <c r="E184" i="49" s="1"/>
  <c r="D207" i="49"/>
  <c r="M29" i="25"/>
  <c r="D191" i="49"/>
  <c r="M13" i="25"/>
  <c r="D198" i="49"/>
  <c r="M20" i="25"/>
  <c r="E198" i="49" s="1"/>
  <c r="D190" i="49"/>
  <c r="M12" i="25"/>
  <c r="P11" i="25"/>
  <c r="O11" i="25"/>
  <c r="N11" i="25"/>
  <c r="D188" i="49"/>
  <c r="M10" i="25"/>
  <c r="P5" i="25"/>
  <c r="O5" i="25"/>
  <c r="N5" i="25"/>
  <c r="D195" i="49"/>
  <c r="M17" i="25"/>
  <c r="P4" i="25"/>
  <c r="N4" i="25"/>
  <c r="O4" i="25"/>
  <c r="E183" i="49"/>
  <c r="D183" i="49"/>
  <c r="E189" i="49"/>
  <c r="D189" i="49"/>
  <c r="E182" i="49"/>
  <c r="D182" i="49"/>
  <c r="E185" i="49"/>
  <c r="D185" i="49"/>
  <c r="J21" i="2"/>
  <c r="I21" i="49" s="1"/>
  <c r="J36" i="2"/>
  <c r="I36" i="49" s="1"/>
  <c r="J27" i="2"/>
  <c r="I27" i="49" s="1"/>
  <c r="J39" i="2"/>
  <c r="I39" i="49" s="1"/>
  <c r="J40" i="2"/>
  <c r="I40" i="49" s="1"/>
  <c r="J22" i="2"/>
  <c r="I22" i="49" s="1"/>
  <c r="J44" i="2"/>
  <c r="I44" i="49" s="1"/>
  <c r="J4" i="2"/>
  <c r="I4" i="49" s="1"/>
  <c r="J6" i="2"/>
  <c r="I6" i="49" s="1"/>
  <c r="J19" i="2"/>
  <c r="I19" i="49" s="1"/>
  <c r="J30" i="2"/>
  <c r="I30" i="49" s="1"/>
  <c r="J5" i="2"/>
  <c r="I5" i="49" s="1"/>
  <c r="J38" i="2"/>
  <c r="I38" i="49" s="1"/>
  <c r="J25" i="2"/>
  <c r="I25" i="49" s="1"/>
  <c r="J15" i="2"/>
  <c r="I15" i="49" s="1"/>
  <c r="J29" i="2"/>
  <c r="I29" i="49" s="1"/>
  <c r="J43" i="2"/>
  <c r="I43" i="49" s="1"/>
  <c r="J32" i="2"/>
  <c r="I32" i="49" s="1"/>
  <c r="J42" i="2"/>
  <c r="I42" i="49" s="1"/>
  <c r="J33" i="2"/>
  <c r="I33" i="49" s="1"/>
  <c r="J18" i="2"/>
  <c r="I18" i="49" s="1"/>
  <c r="J9" i="2"/>
  <c r="I9" i="49" s="1"/>
  <c r="J11" i="2"/>
  <c r="I11" i="49" s="1"/>
  <c r="J35" i="2"/>
  <c r="I35" i="49" s="1"/>
  <c r="J34" i="2"/>
  <c r="I34" i="49" s="1"/>
  <c r="J23" i="2"/>
  <c r="I23" i="49" s="1"/>
  <c r="J41" i="2"/>
  <c r="I41" i="49" s="1"/>
  <c r="J14" i="2"/>
  <c r="I14" i="49" s="1"/>
  <c r="J24" i="2"/>
  <c r="I24" i="49" s="1"/>
  <c r="J13" i="2"/>
  <c r="I13" i="49" s="1"/>
  <c r="J37" i="2"/>
  <c r="I37" i="49" s="1"/>
  <c r="J8" i="2"/>
  <c r="I8" i="49" s="1"/>
  <c r="J31" i="2"/>
  <c r="I31" i="49" s="1"/>
  <c r="J12" i="2"/>
  <c r="I12" i="49" s="1"/>
  <c r="J28" i="2"/>
  <c r="I28" i="49" s="1"/>
  <c r="J3" i="2"/>
  <c r="I3" i="49" s="1"/>
  <c r="J16" i="2"/>
  <c r="I16" i="49" s="1"/>
  <c r="J7" i="2"/>
  <c r="I7" i="49" s="1"/>
  <c r="J20" i="2"/>
  <c r="I20" i="49" s="1"/>
  <c r="J26" i="2"/>
  <c r="I26" i="49" s="1"/>
  <c r="J10" i="2"/>
  <c r="I10" i="49" s="1"/>
  <c r="J17" i="2"/>
  <c r="I17" i="49" s="1"/>
  <c r="P15" i="25" l="1"/>
  <c r="H193" i="49" s="1"/>
  <c r="N15" i="25"/>
  <c r="F193" i="49" s="1"/>
  <c r="O15" i="25"/>
  <c r="G193" i="49" s="1"/>
  <c r="E193" i="49"/>
  <c r="P27" i="25"/>
  <c r="H205" i="49" s="1"/>
  <c r="N27" i="25"/>
  <c r="O27" i="25"/>
  <c r="G205" i="49" s="1"/>
  <c r="P10" i="25"/>
  <c r="H188" i="49" s="1"/>
  <c r="O10" i="25"/>
  <c r="N10" i="25"/>
  <c r="F188" i="49" s="1"/>
  <c r="P8" i="25"/>
  <c r="H186" i="49" s="1"/>
  <c r="O8" i="25"/>
  <c r="G186" i="49" s="1"/>
  <c r="N8" i="25"/>
  <c r="F186" i="49" s="1"/>
  <c r="P22" i="25"/>
  <c r="H200" i="49" s="1"/>
  <c r="O22" i="25"/>
  <c r="G200" i="49" s="1"/>
  <c r="N22" i="25"/>
  <c r="F200" i="49" s="1"/>
  <c r="P18" i="25"/>
  <c r="O18" i="25"/>
  <c r="N18" i="25"/>
  <c r="P28" i="25"/>
  <c r="H206" i="49" s="1"/>
  <c r="N28" i="25"/>
  <c r="F206" i="49" s="1"/>
  <c r="O28" i="25"/>
  <c r="G206" i="49" s="1"/>
  <c r="P13" i="25"/>
  <c r="H191" i="49" s="1"/>
  <c r="N13" i="25"/>
  <c r="F191" i="49" s="1"/>
  <c r="O13" i="25"/>
  <c r="G191" i="49" s="1"/>
  <c r="P16" i="25"/>
  <c r="N16" i="25"/>
  <c r="F194" i="49" s="1"/>
  <c r="O16" i="25"/>
  <c r="P29" i="25"/>
  <c r="H207" i="49" s="1"/>
  <c r="N29" i="25"/>
  <c r="F207" i="49" s="1"/>
  <c r="O29" i="25"/>
  <c r="G207" i="49" s="1"/>
  <c r="P24" i="25"/>
  <c r="H202" i="49" s="1"/>
  <c r="N24" i="25"/>
  <c r="F202" i="49" s="1"/>
  <c r="O24" i="25"/>
  <c r="G202" i="49" s="1"/>
  <c r="P21" i="25"/>
  <c r="H199" i="49" s="1"/>
  <c r="O21" i="25"/>
  <c r="N21" i="25"/>
  <c r="F199" i="49" s="1"/>
  <c r="P30" i="25"/>
  <c r="H208" i="49" s="1"/>
  <c r="N30" i="25"/>
  <c r="F208" i="49" s="1"/>
  <c r="O30" i="25"/>
  <c r="G208" i="49" s="1"/>
  <c r="P26" i="25"/>
  <c r="H204" i="49" s="1"/>
  <c r="N26" i="25"/>
  <c r="F204" i="49" s="1"/>
  <c r="O26" i="25"/>
  <c r="G204" i="49" s="1"/>
  <c r="P6" i="25"/>
  <c r="H184" i="49" s="1"/>
  <c r="O6" i="25"/>
  <c r="G184" i="49" s="1"/>
  <c r="N6" i="25"/>
  <c r="F184" i="49" s="1"/>
  <c r="P9" i="25"/>
  <c r="H187" i="49" s="1"/>
  <c r="O9" i="25"/>
  <c r="G187" i="49" s="1"/>
  <c r="N9" i="25"/>
  <c r="F187" i="49" s="1"/>
  <c r="P19" i="25"/>
  <c r="H197" i="49" s="1"/>
  <c r="N19" i="25"/>
  <c r="F197" i="49" s="1"/>
  <c r="O19" i="25"/>
  <c r="G197" i="49" s="1"/>
  <c r="P17" i="25"/>
  <c r="H195" i="49" s="1"/>
  <c r="O17" i="25"/>
  <c r="N17" i="25"/>
  <c r="F195" i="49" s="1"/>
  <c r="P12" i="25"/>
  <c r="H190" i="49" s="1"/>
  <c r="N12" i="25"/>
  <c r="F190" i="49" s="1"/>
  <c r="O12" i="25"/>
  <c r="P23" i="25"/>
  <c r="H201" i="49" s="1"/>
  <c r="O23" i="25"/>
  <c r="G201" i="49" s="1"/>
  <c r="N23" i="25"/>
  <c r="F201" i="49" s="1"/>
  <c r="E200" i="49"/>
  <c r="P20" i="25"/>
  <c r="H198" i="49" s="1"/>
  <c r="O20" i="25"/>
  <c r="G198" i="49" s="1"/>
  <c r="N20" i="25"/>
  <c r="F198" i="49" s="1"/>
  <c r="P25" i="25"/>
  <c r="H203" i="49" s="1"/>
  <c r="O25" i="25"/>
  <c r="G203" i="49" s="1"/>
  <c r="N25" i="25"/>
  <c r="F203" i="49" s="1"/>
  <c r="E207" i="49"/>
  <c r="E195" i="49"/>
  <c r="E204" i="49"/>
  <c r="E208" i="49"/>
  <c r="E201" i="49"/>
  <c r="F205" i="49"/>
  <c r="E205" i="49"/>
  <c r="E199" i="49"/>
  <c r="H196" i="49"/>
  <c r="E196" i="49"/>
  <c r="E203" i="49"/>
  <c r="E191" i="49"/>
  <c r="E190" i="49"/>
  <c r="G190" i="49"/>
  <c r="E188" i="49"/>
  <c r="H194" i="49"/>
  <c r="G194" i="49"/>
  <c r="G195" i="49"/>
  <c r="G199" i="49"/>
  <c r="E186" i="49"/>
  <c r="H185" i="49"/>
  <c r="H183" i="49"/>
  <c r="G182" i="49"/>
  <c r="H182" i="49"/>
  <c r="G189" i="49"/>
  <c r="E187" i="49"/>
  <c r="H189" i="49"/>
  <c r="G185" i="49"/>
  <c r="G183" i="49"/>
  <c r="G196" i="49"/>
  <c r="F183" i="49"/>
  <c r="F196" i="49"/>
  <c r="Q15" i="25"/>
  <c r="I193" i="49" s="1"/>
  <c r="Q22" i="25" l="1"/>
  <c r="I200" i="49" s="1"/>
  <c r="N33" i="25"/>
  <c r="O33" i="25" s="1"/>
  <c r="Q13" i="25"/>
  <c r="I191" i="49" s="1"/>
  <c r="Q23" i="25"/>
  <c r="I201" i="49" s="1"/>
  <c r="Q29" i="25"/>
  <c r="I207" i="49" s="1"/>
  <c r="Q12" i="25"/>
  <c r="I190" i="49" s="1"/>
  <c r="Q10" i="25"/>
  <c r="I188" i="49" s="1"/>
  <c r="G188" i="49"/>
  <c r="Q25" i="25"/>
  <c r="I203" i="49" s="1"/>
  <c r="Q17" i="25"/>
  <c r="I195" i="49" s="1"/>
  <c r="Q19" i="25"/>
  <c r="I197" i="49" s="1"/>
  <c r="Q16" i="25"/>
  <c r="I194" i="49" s="1"/>
  <c r="Q6" i="25"/>
  <c r="I184" i="49" s="1"/>
  <c r="Q20" i="25"/>
  <c r="I198" i="49" s="1"/>
  <c r="Q7" i="25"/>
  <c r="I185" i="49" s="1"/>
  <c r="Q4" i="25"/>
  <c r="I182" i="49" s="1"/>
  <c r="Q11" i="25"/>
  <c r="I189" i="49" s="1"/>
  <c r="Q30" i="25"/>
  <c r="I208" i="49" s="1"/>
  <c r="Q27" i="25"/>
  <c r="I205" i="49" s="1"/>
  <c r="Q21" i="25"/>
  <c r="I199" i="49" s="1"/>
  <c r="F189" i="49"/>
  <c r="Q9" i="25"/>
  <c r="I187" i="49" s="1"/>
  <c r="Q8" i="25"/>
  <c r="I186" i="49" s="1"/>
  <c r="F185" i="49"/>
  <c r="F182" i="49"/>
  <c r="Q28" i="25"/>
  <c r="I206" i="49" s="1"/>
  <c r="Q5" i="25"/>
  <c r="I183" i="49" s="1"/>
  <c r="Q18" i="25"/>
  <c r="I196" i="49" s="1"/>
  <c r="Q26" i="25"/>
  <c r="I204" i="49" s="1"/>
  <c r="Q24" i="25"/>
  <c r="I202" i="49" s="1"/>
  <c r="H59" i="49" l="1"/>
  <c r="D60" i="49"/>
  <c r="D61" i="49"/>
  <c r="F62" i="49"/>
  <c r="F63" i="49"/>
  <c r="H64" i="49"/>
  <c r="F65" i="49"/>
  <c r="F66" i="49"/>
  <c r="B60" i="49"/>
  <c r="C60" i="49"/>
  <c r="B61" i="49"/>
  <c r="C61" i="49"/>
  <c r="B62" i="49"/>
  <c r="C62" i="49"/>
  <c r="D62" i="49"/>
  <c r="B63" i="49"/>
  <c r="C63" i="49"/>
  <c r="D63" i="49"/>
  <c r="B64" i="49"/>
  <c r="C64" i="49"/>
  <c r="D64" i="49"/>
  <c r="B65" i="49"/>
  <c r="C65" i="49"/>
  <c r="D65" i="49"/>
  <c r="B66" i="49"/>
  <c r="C66" i="49"/>
  <c r="C59" i="49"/>
  <c r="B59" i="49"/>
  <c r="E59" i="49"/>
  <c r="E60" i="49"/>
  <c r="E61" i="49"/>
  <c r="E62" i="49"/>
  <c r="E63" i="49"/>
  <c r="E64" i="49"/>
  <c r="E65" i="49"/>
  <c r="E66" i="49"/>
  <c r="A102" i="49"/>
  <c r="B102" i="49"/>
  <c r="C102" i="49"/>
  <c r="A103" i="49"/>
  <c r="B103" i="49"/>
  <c r="C103" i="49"/>
  <c r="A104" i="49"/>
  <c r="B104" i="49"/>
  <c r="C104" i="49"/>
  <c r="A105" i="49"/>
  <c r="B105" i="49"/>
  <c r="C105" i="49"/>
  <c r="A106" i="49"/>
  <c r="B106" i="49"/>
  <c r="C106" i="49"/>
  <c r="A107" i="49"/>
  <c r="B107" i="49"/>
  <c r="C107" i="49"/>
  <c r="A108" i="49"/>
  <c r="B108" i="49"/>
  <c r="C108" i="49"/>
  <c r="A109" i="49"/>
  <c r="B109" i="49"/>
  <c r="C109" i="49"/>
  <c r="A110" i="49"/>
  <c r="B110" i="49"/>
  <c r="C110" i="49"/>
  <c r="A111" i="49"/>
  <c r="B111" i="49"/>
  <c r="C111" i="49"/>
  <c r="A112" i="49"/>
  <c r="B112" i="49"/>
  <c r="C112" i="49"/>
  <c r="C101" i="49"/>
  <c r="B101" i="49"/>
  <c r="A101" i="49"/>
  <c r="F4" i="11"/>
  <c r="D102" i="49" s="1"/>
  <c r="F5" i="11"/>
  <c r="D103" i="49" s="1"/>
  <c r="F7" i="11"/>
  <c r="D104" i="49" s="1"/>
  <c r="F8" i="11"/>
  <c r="D105" i="49" s="1"/>
  <c r="F9" i="11"/>
  <c r="D106" i="49" s="1"/>
  <c r="F10" i="11"/>
  <c r="D107" i="49" s="1"/>
  <c r="F11" i="11"/>
  <c r="D108" i="49" s="1"/>
  <c r="F12" i="11"/>
  <c r="D109" i="49" s="1"/>
  <c r="F14" i="11"/>
  <c r="D110" i="49" s="1"/>
  <c r="F15" i="11"/>
  <c r="D111" i="49" s="1"/>
  <c r="F16" i="11"/>
  <c r="D112" i="49" s="1"/>
  <c r="G101" i="49"/>
  <c r="G102" i="49"/>
  <c r="G103" i="49"/>
  <c r="G108" i="49"/>
  <c r="G109" i="49"/>
  <c r="G110" i="49"/>
  <c r="G111" i="49"/>
  <c r="G112" i="49"/>
  <c r="F3" i="11"/>
  <c r="E109" i="49" l="1"/>
  <c r="H109" i="49"/>
  <c r="E106" i="49"/>
  <c r="F106" i="49"/>
  <c r="H106" i="49"/>
  <c r="E108" i="49"/>
  <c r="F108" i="49"/>
  <c r="H108" i="49"/>
  <c r="E105" i="49"/>
  <c r="F105" i="49"/>
  <c r="H105" i="49"/>
  <c r="E107" i="49"/>
  <c r="F107" i="49"/>
  <c r="H107" i="49"/>
  <c r="E112" i="49"/>
  <c r="H112" i="49"/>
  <c r="F112" i="49"/>
  <c r="E104" i="49"/>
  <c r="H104" i="49"/>
  <c r="F104" i="49"/>
  <c r="E101" i="49"/>
  <c r="H101" i="49"/>
  <c r="F101" i="49"/>
  <c r="E111" i="49"/>
  <c r="H111" i="49"/>
  <c r="F111" i="49"/>
  <c r="E103" i="49"/>
  <c r="H103" i="49"/>
  <c r="F103" i="49"/>
  <c r="E110" i="49"/>
  <c r="H110" i="49"/>
  <c r="F110" i="49"/>
  <c r="E102" i="49"/>
  <c r="H102" i="49"/>
  <c r="F102" i="49"/>
  <c r="D101" i="49"/>
  <c r="F59" i="49"/>
  <c r="G64" i="49"/>
  <c r="H61" i="49"/>
  <c r="H66" i="49"/>
  <c r="F64" i="49"/>
  <c r="G61" i="49"/>
  <c r="D66" i="49"/>
  <c r="G66" i="49"/>
  <c r="H63" i="49"/>
  <c r="F61" i="49"/>
  <c r="G63" i="49"/>
  <c r="H60" i="49"/>
  <c r="H65" i="49"/>
  <c r="G60" i="49"/>
  <c r="G65" i="49"/>
  <c r="H62" i="49"/>
  <c r="F60" i="49"/>
  <c r="G62" i="49"/>
  <c r="D59" i="49"/>
  <c r="G107" i="49"/>
  <c r="G106" i="49"/>
  <c r="G105" i="49"/>
  <c r="G104" i="49"/>
  <c r="G59" i="49" l="1"/>
  <c r="H13" i="7"/>
  <c r="K7" i="11"/>
  <c r="I104" i="49" s="1"/>
  <c r="K16" i="11"/>
  <c r="I112" i="49" s="1"/>
  <c r="K12" i="11"/>
  <c r="I109" i="49" s="1"/>
  <c r="K4" i="11"/>
  <c r="I102" i="49" s="1"/>
  <c r="K15" i="11"/>
  <c r="I111" i="49" s="1"/>
  <c r="F109" i="49"/>
  <c r="K8" i="11"/>
  <c r="I105" i="49" s="1"/>
  <c r="K9" i="11"/>
  <c r="I106" i="49" s="1"/>
  <c r="K10" i="11"/>
  <c r="I107" i="49" s="1"/>
  <c r="K5" i="11"/>
  <c r="I103" i="49" s="1"/>
  <c r="K3" i="11"/>
  <c r="I101" i="49" s="1"/>
  <c r="K14" i="11"/>
  <c r="I110" i="49" s="1"/>
  <c r="K11" i="11"/>
  <c r="I108" i="49" s="1"/>
  <c r="J3" i="7"/>
  <c r="I59" i="49" s="1"/>
  <c r="J6" i="7"/>
  <c r="I62" i="49" s="1"/>
  <c r="J7" i="7"/>
  <c r="I63" i="49" s="1"/>
  <c r="J5" i="7"/>
  <c r="I61" i="49" s="1"/>
  <c r="J10" i="7"/>
  <c r="I66" i="49" s="1"/>
  <c r="J4" i="7"/>
  <c r="I60" i="49" s="1"/>
  <c r="J9" i="7"/>
  <c r="I65" i="49" s="1"/>
  <c r="J8" i="7"/>
  <c r="I64" i="49" s="1"/>
  <c r="Q98" i="56"/>
  <c r="Q97" i="56"/>
  <c r="Q96" i="56"/>
  <c r="Q95" i="56"/>
  <c r="Q94" i="56"/>
  <c r="Q93" i="56"/>
  <c r="Q92" i="56"/>
  <c r="Q91" i="56"/>
  <c r="Q90" i="56"/>
  <c r="Q89" i="56"/>
  <c r="Q88" i="56"/>
  <c r="Q87" i="56"/>
  <c r="Q86" i="56"/>
  <c r="Q85" i="56"/>
  <c r="Q84" i="56"/>
  <c r="Q83" i="56"/>
  <c r="Q82" i="56"/>
  <c r="Q81" i="56"/>
  <c r="Q80" i="56"/>
  <c r="Q79" i="56"/>
  <c r="Q78" i="56"/>
  <c r="Q77" i="56"/>
  <c r="Q76" i="56"/>
  <c r="Q99" i="56"/>
  <c r="E76" i="56"/>
  <c r="J76" i="56"/>
  <c r="K76" i="56"/>
  <c r="E77" i="56"/>
  <c r="J77" i="56"/>
  <c r="K77" i="56" s="1"/>
  <c r="E78" i="56"/>
  <c r="J78" i="56"/>
  <c r="K78" i="56" s="1"/>
  <c r="E79" i="56"/>
  <c r="J79" i="56"/>
  <c r="K79" i="56" s="1"/>
  <c r="E80" i="56"/>
  <c r="J80" i="56"/>
  <c r="K80" i="56"/>
  <c r="E81" i="56"/>
  <c r="J81" i="56"/>
  <c r="K81" i="56" s="1"/>
  <c r="E82" i="56"/>
  <c r="J82" i="56"/>
  <c r="K82" i="56" s="1"/>
  <c r="E83" i="56"/>
  <c r="J83" i="56"/>
  <c r="K83" i="56" s="1"/>
  <c r="E84" i="56"/>
  <c r="J84" i="56"/>
  <c r="K84" i="56" s="1"/>
  <c r="E85" i="56"/>
  <c r="J85" i="56"/>
  <c r="K85" i="56" s="1"/>
  <c r="E86" i="56"/>
  <c r="J86" i="56"/>
  <c r="K86" i="56" s="1"/>
  <c r="E87" i="56"/>
  <c r="J87" i="56"/>
  <c r="K87" i="56" s="1"/>
  <c r="E88" i="56"/>
  <c r="J88" i="56"/>
  <c r="K88" i="56" s="1"/>
  <c r="E89" i="56"/>
  <c r="J89" i="56"/>
  <c r="K89" i="56" s="1"/>
  <c r="E90" i="56"/>
  <c r="J90" i="56"/>
  <c r="K90" i="56" s="1"/>
  <c r="E91" i="56"/>
  <c r="J91" i="56"/>
  <c r="K91" i="56" s="1"/>
  <c r="E92" i="56"/>
  <c r="J92" i="56"/>
  <c r="K92" i="56"/>
  <c r="E93" i="56"/>
  <c r="J93" i="56"/>
  <c r="K93" i="56" s="1"/>
  <c r="E94" i="56"/>
  <c r="J94" i="56"/>
  <c r="K94" i="56" s="1"/>
  <c r="E95" i="56"/>
  <c r="J95" i="56"/>
  <c r="K95" i="56" s="1"/>
  <c r="E96" i="56"/>
  <c r="J96" i="56"/>
  <c r="K96" i="56"/>
  <c r="E97" i="56"/>
  <c r="J97" i="56"/>
  <c r="K97" i="56" s="1"/>
  <c r="E98" i="56"/>
  <c r="J98" i="56"/>
  <c r="K98" i="56" s="1"/>
  <c r="E99" i="56"/>
  <c r="J99" i="56"/>
  <c r="K99" i="56" s="1"/>
  <c r="A305" i="49" l="1"/>
  <c r="B305" i="49"/>
  <c r="C305" i="49"/>
  <c r="A306" i="49"/>
  <c r="B306" i="49"/>
  <c r="C306" i="49"/>
  <c r="A307" i="49"/>
  <c r="B307" i="49"/>
  <c r="C307" i="49"/>
  <c r="A308" i="49"/>
  <c r="B308" i="49"/>
  <c r="C308" i="49"/>
  <c r="A309" i="49"/>
  <c r="B309" i="49"/>
  <c r="C309" i="49"/>
  <c r="A310" i="49"/>
  <c r="B310" i="49"/>
  <c r="C310" i="49"/>
  <c r="C304" i="49"/>
  <c r="B304" i="49"/>
  <c r="A304" i="49"/>
  <c r="A129" i="49" l="1"/>
  <c r="B129" i="49"/>
  <c r="C129" i="49"/>
  <c r="A130" i="49"/>
  <c r="B130" i="49"/>
  <c r="C130" i="49"/>
  <c r="A131" i="49"/>
  <c r="B131" i="49"/>
  <c r="C131" i="49"/>
  <c r="A132" i="49"/>
  <c r="B132" i="49"/>
  <c r="C132" i="49"/>
  <c r="A133" i="49"/>
  <c r="B133" i="49"/>
  <c r="C133" i="49"/>
  <c r="A134" i="49"/>
  <c r="B134" i="49"/>
  <c r="C134" i="49"/>
  <c r="A135" i="49"/>
  <c r="B135" i="49"/>
  <c r="C135" i="49"/>
  <c r="A136" i="49"/>
  <c r="B136" i="49"/>
  <c r="C136" i="49"/>
  <c r="A137" i="49"/>
  <c r="B137" i="49"/>
  <c r="C137" i="49"/>
  <c r="A138" i="49"/>
  <c r="B138" i="49"/>
  <c r="C138" i="49"/>
  <c r="A139" i="49"/>
  <c r="B139" i="49"/>
  <c r="C139" i="49"/>
  <c r="A140" i="49"/>
  <c r="B140" i="49"/>
  <c r="C140" i="49"/>
  <c r="A141" i="49"/>
  <c r="B141" i="49"/>
  <c r="C141" i="49"/>
  <c r="A142" i="49"/>
  <c r="B142" i="49"/>
  <c r="C142" i="49"/>
  <c r="A143" i="49"/>
  <c r="B143" i="49"/>
  <c r="C143" i="49"/>
  <c r="C128" i="49"/>
  <c r="B128" i="49"/>
  <c r="A128" i="49"/>
  <c r="A219" i="49" l="1"/>
  <c r="B219" i="49"/>
  <c r="C219" i="49"/>
  <c r="A220" i="49"/>
  <c r="B220" i="49"/>
  <c r="C220" i="49"/>
  <c r="A221" i="49"/>
  <c r="B221" i="49"/>
  <c r="C221" i="49"/>
  <c r="A222" i="49"/>
  <c r="B222" i="49"/>
  <c r="C222" i="49"/>
  <c r="A223" i="49"/>
  <c r="B223" i="49"/>
  <c r="C223" i="49"/>
  <c r="A224" i="49"/>
  <c r="B224" i="49"/>
  <c r="C224" i="49"/>
  <c r="A225" i="49"/>
  <c r="B225" i="49"/>
  <c r="C225" i="49"/>
  <c r="A226" i="49"/>
  <c r="B226" i="49"/>
  <c r="C226" i="49"/>
  <c r="A227" i="49"/>
  <c r="B227" i="49"/>
  <c r="C227" i="49"/>
  <c r="A228" i="49"/>
  <c r="B228" i="49"/>
  <c r="C228" i="49"/>
  <c r="A229" i="49"/>
  <c r="B229" i="49"/>
  <c r="C229" i="49"/>
  <c r="C218" i="49"/>
  <c r="B218" i="49"/>
  <c r="A218" i="49"/>
  <c r="A148" i="49"/>
  <c r="B148" i="49"/>
  <c r="C148" i="49"/>
  <c r="A149" i="49"/>
  <c r="B149" i="49"/>
  <c r="C149" i="49"/>
  <c r="A150" i="49"/>
  <c r="B150" i="49"/>
  <c r="C150" i="49"/>
  <c r="A151" i="49"/>
  <c r="B151" i="49"/>
  <c r="C151" i="49"/>
  <c r="A152" i="49"/>
  <c r="B152" i="49"/>
  <c r="C152" i="49"/>
  <c r="A153" i="49"/>
  <c r="B153" i="49"/>
  <c r="C153" i="49"/>
  <c r="A154" i="49"/>
  <c r="B154" i="49"/>
  <c r="C154" i="49"/>
  <c r="A155" i="49"/>
  <c r="B155" i="49"/>
  <c r="C155" i="49"/>
  <c r="A156" i="49"/>
  <c r="B156" i="49"/>
  <c r="C156" i="49"/>
  <c r="A157" i="49"/>
  <c r="B157" i="49"/>
  <c r="C157" i="49"/>
  <c r="A158" i="49"/>
  <c r="B158" i="49"/>
  <c r="C158" i="49"/>
  <c r="A159" i="49"/>
  <c r="B159" i="49"/>
  <c r="C159" i="49"/>
  <c r="A160" i="49"/>
  <c r="B160" i="49"/>
  <c r="C160" i="49"/>
  <c r="A161" i="49"/>
  <c r="B161" i="49"/>
  <c r="C161" i="49"/>
  <c r="A162" i="49"/>
  <c r="B162" i="49"/>
  <c r="C162" i="49"/>
  <c r="A163" i="49"/>
  <c r="B163" i="49"/>
  <c r="C163" i="49"/>
  <c r="A164" i="49"/>
  <c r="B164" i="49"/>
  <c r="C164" i="49"/>
  <c r="A165" i="49"/>
  <c r="B165" i="49"/>
  <c r="C165" i="49"/>
  <c r="A166" i="49"/>
  <c r="B166" i="49"/>
  <c r="C166" i="49"/>
  <c r="A167" i="49"/>
  <c r="B167" i="49"/>
  <c r="C167" i="49"/>
  <c r="A168" i="49"/>
  <c r="B168" i="49"/>
  <c r="C168" i="49"/>
  <c r="A169" i="49"/>
  <c r="B169" i="49"/>
  <c r="C169" i="49"/>
  <c r="A170" i="49"/>
  <c r="B170" i="49"/>
  <c r="C170" i="49"/>
  <c r="A171" i="49"/>
  <c r="B171" i="49"/>
  <c r="C171" i="49"/>
  <c r="A172" i="49"/>
  <c r="B172" i="49"/>
  <c r="C172" i="49"/>
  <c r="A173" i="49"/>
  <c r="B173" i="49"/>
  <c r="C173" i="49"/>
  <c r="A174" i="49"/>
  <c r="B174" i="49"/>
  <c r="C174" i="49"/>
  <c r="A175" i="49"/>
  <c r="B175" i="49"/>
  <c r="C175" i="49"/>
  <c r="A176" i="49"/>
  <c r="B176" i="49"/>
  <c r="C176" i="49"/>
  <c r="A177" i="49"/>
  <c r="B177" i="49"/>
  <c r="C177" i="49"/>
  <c r="A178" i="49"/>
  <c r="B178" i="49"/>
  <c r="C178" i="49"/>
  <c r="A179" i="49"/>
  <c r="B179" i="49"/>
  <c r="C179" i="49"/>
  <c r="C147" i="49"/>
  <c r="B147" i="49" l="1"/>
  <c r="A147" i="49"/>
  <c r="A213" i="49"/>
  <c r="B213" i="49"/>
  <c r="C213" i="49"/>
  <c r="A214" i="49"/>
  <c r="B214" i="49"/>
  <c r="C214" i="49"/>
  <c r="C212" i="49"/>
  <c r="B212" i="49"/>
  <c r="A212" i="49"/>
  <c r="A60" i="49"/>
  <c r="A61" i="49"/>
  <c r="A62" i="49"/>
  <c r="A63" i="49"/>
  <c r="A64" i="49"/>
  <c r="A65" i="49"/>
  <c r="A66" i="49"/>
  <c r="A59" i="49"/>
  <c r="F3" i="28" l="1"/>
  <c r="G3" i="28" s="1"/>
  <c r="F4" i="28"/>
  <c r="F5" i="28"/>
  <c r="G5" i="28" s="1"/>
  <c r="F6" i="28"/>
  <c r="G6" i="28" s="1"/>
  <c r="F7" i="28"/>
  <c r="G7" i="28" s="1"/>
  <c r="F8" i="28"/>
  <c r="F9" i="28"/>
  <c r="L18" i="26"/>
  <c r="L19" i="26"/>
  <c r="L20" i="26"/>
  <c r="L3" i="26"/>
  <c r="L4" i="26"/>
  <c r="L5" i="26"/>
  <c r="L6" i="26"/>
  <c r="L7" i="26"/>
  <c r="L8" i="26"/>
  <c r="L9" i="26"/>
  <c r="L10" i="26"/>
  <c r="D321" i="49" s="1"/>
  <c r="L11" i="26"/>
  <c r="L12" i="26"/>
  <c r="L13" i="26"/>
  <c r="L14" i="26"/>
  <c r="L15" i="26"/>
  <c r="L16" i="26"/>
  <c r="L17" i="26"/>
  <c r="L19" i="23"/>
  <c r="L18" i="23"/>
  <c r="M18" i="23" s="1"/>
  <c r="L17" i="23"/>
  <c r="M17" i="23" s="1"/>
  <c r="L16" i="23"/>
  <c r="M16" i="23" s="1"/>
  <c r="L15" i="23"/>
  <c r="L14" i="23"/>
  <c r="L13" i="23"/>
  <c r="M13" i="23" s="1"/>
  <c r="L12" i="23"/>
  <c r="M12" i="23" s="1"/>
  <c r="L11" i="23"/>
  <c r="M11" i="23" s="1"/>
  <c r="L10" i="23"/>
  <c r="M10" i="23" s="1"/>
  <c r="L9" i="23"/>
  <c r="M9" i="23" s="1"/>
  <c r="L8" i="23"/>
  <c r="M8" i="23" s="1"/>
  <c r="L7" i="23"/>
  <c r="M7" i="23" s="1"/>
  <c r="L6" i="23"/>
  <c r="M6" i="23" s="1"/>
  <c r="L5" i="23"/>
  <c r="M5" i="23" s="1"/>
  <c r="L4" i="23"/>
  <c r="M4" i="23" s="1"/>
  <c r="I4" i="24"/>
  <c r="D147" i="49" s="1"/>
  <c r="I5" i="24"/>
  <c r="I6" i="24"/>
  <c r="I7" i="24"/>
  <c r="I8" i="24"/>
  <c r="D151" i="49" s="1"/>
  <c r="I9" i="24"/>
  <c r="D152" i="49" s="1"/>
  <c r="I10" i="24"/>
  <c r="I11" i="24"/>
  <c r="I12" i="24"/>
  <c r="I13" i="24"/>
  <c r="I14" i="24"/>
  <c r="I15" i="24"/>
  <c r="I16" i="24"/>
  <c r="D159" i="49" s="1"/>
  <c r="I17" i="24"/>
  <c r="D160" i="49" s="1"/>
  <c r="I18" i="24"/>
  <c r="D161" i="49" s="1"/>
  <c r="I19" i="24"/>
  <c r="I20" i="24"/>
  <c r="I21" i="24"/>
  <c r="I22" i="24"/>
  <c r="I23" i="24"/>
  <c r="I24" i="24"/>
  <c r="D167" i="49" s="1"/>
  <c r="I25" i="24"/>
  <c r="D168" i="49" s="1"/>
  <c r="I26" i="24"/>
  <c r="I27" i="24"/>
  <c r="I28" i="24"/>
  <c r="I29" i="24"/>
  <c r="D172" i="49" s="1"/>
  <c r="I30" i="24"/>
  <c r="D173" i="49" s="1"/>
  <c r="I31" i="24"/>
  <c r="I32" i="24"/>
  <c r="D175" i="49" s="1"/>
  <c r="I33" i="24"/>
  <c r="I34" i="24"/>
  <c r="I35" i="24"/>
  <c r="I36" i="24"/>
  <c r="D179" i="49" s="1"/>
  <c r="I4" i="34"/>
  <c r="I5" i="34"/>
  <c r="D219" i="49" s="1"/>
  <c r="I6" i="34"/>
  <c r="I7" i="34"/>
  <c r="I8" i="34"/>
  <c r="D222" i="49" s="1"/>
  <c r="I9" i="34"/>
  <c r="I10" i="34"/>
  <c r="I11" i="34"/>
  <c r="I12" i="34"/>
  <c r="I13" i="34"/>
  <c r="I14" i="34"/>
  <c r="I15" i="34"/>
  <c r="F3" i="20"/>
  <c r="E212" i="49" s="1"/>
  <c r="F4" i="20"/>
  <c r="F5" i="20"/>
  <c r="I5" i="20" s="1"/>
  <c r="D214" i="49" s="1"/>
  <c r="A118" i="49"/>
  <c r="A119" i="49"/>
  <c r="A120" i="49"/>
  <c r="A121" i="49"/>
  <c r="A122" i="49"/>
  <c r="A123" i="49"/>
  <c r="A124" i="49"/>
  <c r="A117" i="49"/>
  <c r="R2" i="52"/>
  <c r="R312" i="52" s="1"/>
  <c r="N218" i="69" s="1"/>
  <c r="N219" i="69" s="1"/>
  <c r="Q2" i="52"/>
  <c r="Q312" i="52" s="1"/>
  <c r="P2" i="52"/>
  <c r="P312" i="52" s="1"/>
  <c r="O2" i="52"/>
  <c r="O312" i="52" s="1"/>
  <c r="N2" i="52"/>
  <c r="N312" i="52" s="1"/>
  <c r="M2" i="52"/>
  <c r="M312" i="52" s="1"/>
  <c r="L2" i="52"/>
  <c r="K2" i="52"/>
  <c r="J2" i="52"/>
  <c r="S2" i="52" s="1"/>
  <c r="B43" i="50"/>
  <c r="B44" i="50"/>
  <c r="B45" i="50"/>
  <c r="B46" i="50"/>
  <c r="B47" i="50"/>
  <c r="B48" i="50"/>
  <c r="B49" i="50"/>
  <c r="B50" i="50"/>
  <c r="B51" i="50"/>
  <c r="B52" i="50"/>
  <c r="B53" i="50"/>
  <c r="B54" i="50"/>
  <c r="B55" i="50"/>
  <c r="B56" i="50"/>
  <c r="B57" i="50"/>
  <c r="B58" i="50"/>
  <c r="B102" i="50"/>
  <c r="B103" i="50"/>
  <c r="B104" i="50"/>
  <c r="B105"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296" i="50"/>
  <c r="B297" i="50"/>
  <c r="B298" i="50"/>
  <c r="B299" i="50"/>
  <c r="B300" i="50"/>
  <c r="B302" i="50"/>
  <c r="B303" i="50"/>
  <c r="B320" i="50"/>
  <c r="B321" i="50"/>
  <c r="B322" i="50"/>
  <c r="B323" i="50"/>
  <c r="B324" i="50"/>
  <c r="B325" i="50"/>
  <c r="B326" i="50"/>
  <c r="B327" i="50"/>
  <c r="B338" i="50"/>
  <c r="B339" i="50"/>
  <c r="B340" i="50"/>
  <c r="B341" i="50"/>
  <c r="B342" i="50"/>
  <c r="B343" i="50"/>
  <c r="B344" i="50"/>
  <c r="B345" i="50"/>
  <c r="B346" i="50"/>
  <c r="B347" i="50"/>
  <c r="B348" i="50"/>
  <c r="B349" i="50"/>
  <c r="B350" i="50"/>
  <c r="B351" i="50"/>
  <c r="B352" i="50"/>
  <c r="B353" i="50"/>
  <c r="AC382" i="46"/>
  <c r="AD382" i="46"/>
  <c r="A315" i="49"/>
  <c r="B315" i="49"/>
  <c r="C315" i="49"/>
  <c r="A316" i="49"/>
  <c r="B316" i="49"/>
  <c r="C316" i="49"/>
  <c r="A317" i="49"/>
  <c r="B317" i="49"/>
  <c r="C317" i="49"/>
  <c r="A318" i="49"/>
  <c r="B318" i="49"/>
  <c r="C318" i="49"/>
  <c r="A319" i="49"/>
  <c r="B319" i="49"/>
  <c r="C319" i="49"/>
  <c r="A320" i="49"/>
  <c r="B320" i="49"/>
  <c r="C320" i="49"/>
  <c r="A321" i="49"/>
  <c r="B321" i="49"/>
  <c r="C321" i="49"/>
  <c r="A322" i="49"/>
  <c r="B322" i="49"/>
  <c r="C322" i="49"/>
  <c r="A323" i="49"/>
  <c r="B323" i="49"/>
  <c r="C323" i="49"/>
  <c r="A324" i="49"/>
  <c r="B324" i="49"/>
  <c r="C324" i="49"/>
  <c r="A325" i="49"/>
  <c r="B325" i="49"/>
  <c r="C325" i="49"/>
  <c r="A326" i="49"/>
  <c r="B326" i="49"/>
  <c r="C326" i="49"/>
  <c r="A327" i="49"/>
  <c r="B327" i="49"/>
  <c r="C327" i="49"/>
  <c r="A328" i="49"/>
  <c r="B328" i="49"/>
  <c r="C328" i="49"/>
  <c r="C314" i="49"/>
  <c r="B314" i="49"/>
  <c r="A314" i="49"/>
  <c r="A286" i="49"/>
  <c r="B286" i="49"/>
  <c r="C286" i="49"/>
  <c r="A287" i="49"/>
  <c r="B287" i="49"/>
  <c r="C287" i="49"/>
  <c r="A288" i="49"/>
  <c r="B288" i="49"/>
  <c r="C288" i="49"/>
  <c r="A289" i="49"/>
  <c r="B289" i="49"/>
  <c r="C289" i="49"/>
  <c r="A290" i="49"/>
  <c r="B290" i="49"/>
  <c r="C290" i="49"/>
  <c r="A291" i="49"/>
  <c r="B291" i="49"/>
  <c r="C291" i="49"/>
  <c r="A292" i="49"/>
  <c r="B292" i="49"/>
  <c r="C292" i="49"/>
  <c r="A293" i="49"/>
  <c r="B293" i="49"/>
  <c r="C293" i="49"/>
  <c r="A294" i="49"/>
  <c r="B294" i="49"/>
  <c r="C294" i="49"/>
  <c r="A295" i="49"/>
  <c r="B295" i="49"/>
  <c r="C295" i="49"/>
  <c r="A296" i="49"/>
  <c r="B296" i="49"/>
  <c r="C296" i="49"/>
  <c r="A297" i="49"/>
  <c r="B297" i="49"/>
  <c r="C297" i="49"/>
  <c r="A298" i="49"/>
  <c r="B298" i="49"/>
  <c r="C298" i="49"/>
  <c r="A299" i="49"/>
  <c r="B299" i="49"/>
  <c r="C299" i="49"/>
  <c r="A300" i="49"/>
  <c r="B300" i="49"/>
  <c r="C300" i="49"/>
  <c r="C285" i="49"/>
  <c r="B285" i="49"/>
  <c r="A285" i="49"/>
  <c r="A235" i="49"/>
  <c r="B235" i="49"/>
  <c r="C235" i="49"/>
  <c r="A236" i="49"/>
  <c r="B236" i="49"/>
  <c r="C236" i="49"/>
  <c r="A237" i="49"/>
  <c r="B237" i="49"/>
  <c r="C237" i="49"/>
  <c r="A238" i="49"/>
  <c r="B238" i="49"/>
  <c r="C238" i="49"/>
  <c r="A239" i="49"/>
  <c r="B239" i="49"/>
  <c r="C239" i="49"/>
  <c r="A240" i="49"/>
  <c r="B240" i="49"/>
  <c r="C240" i="49"/>
  <c r="A241" i="49"/>
  <c r="B241" i="49"/>
  <c r="C241" i="49"/>
  <c r="A242" i="49"/>
  <c r="B242" i="49"/>
  <c r="C242" i="49"/>
  <c r="A243" i="49"/>
  <c r="B243" i="49"/>
  <c r="C243" i="49"/>
  <c r="A244" i="49"/>
  <c r="B244" i="49"/>
  <c r="C244" i="49"/>
  <c r="A245" i="49"/>
  <c r="B245" i="49"/>
  <c r="C245" i="49"/>
  <c r="A246" i="49"/>
  <c r="B246" i="49"/>
  <c r="C246" i="49"/>
  <c r="A247" i="49"/>
  <c r="B247" i="49"/>
  <c r="C247" i="49"/>
  <c r="A248" i="49"/>
  <c r="B248" i="49"/>
  <c r="C248" i="49"/>
  <c r="A249" i="49"/>
  <c r="B249" i="49"/>
  <c r="C249" i="49"/>
  <c r="A250" i="49"/>
  <c r="B250" i="49"/>
  <c r="C250" i="49"/>
  <c r="A251" i="49"/>
  <c r="B251" i="49"/>
  <c r="C251" i="49"/>
  <c r="A252" i="49"/>
  <c r="B252" i="49"/>
  <c r="C252" i="49"/>
  <c r="A253" i="49"/>
  <c r="B253" i="49"/>
  <c r="C253" i="49"/>
  <c r="A254" i="49"/>
  <c r="B254" i="49"/>
  <c r="C254" i="49"/>
  <c r="A255" i="49"/>
  <c r="B255" i="49"/>
  <c r="C255" i="49"/>
  <c r="A256" i="49"/>
  <c r="B256" i="49"/>
  <c r="C256" i="49"/>
  <c r="A257" i="49"/>
  <c r="B257" i="49"/>
  <c r="C257" i="49"/>
  <c r="A258" i="49"/>
  <c r="B258" i="49"/>
  <c r="C258" i="49"/>
  <c r="A259" i="49"/>
  <c r="B259" i="49"/>
  <c r="C259" i="49"/>
  <c r="A260" i="49"/>
  <c r="B260" i="49"/>
  <c r="C260" i="49"/>
  <c r="A261" i="49"/>
  <c r="B261" i="49"/>
  <c r="C261" i="49"/>
  <c r="A262" i="49"/>
  <c r="B262" i="49"/>
  <c r="C262" i="49"/>
  <c r="A263" i="49"/>
  <c r="B263" i="49"/>
  <c r="C263" i="49"/>
  <c r="A264" i="49"/>
  <c r="B264" i="49"/>
  <c r="C264" i="49"/>
  <c r="A265" i="49"/>
  <c r="B265" i="49"/>
  <c r="C265" i="49"/>
  <c r="A266" i="49"/>
  <c r="B266" i="49"/>
  <c r="C266" i="49"/>
  <c r="A267" i="49"/>
  <c r="B267" i="49"/>
  <c r="C267" i="49"/>
  <c r="A268" i="49"/>
  <c r="B268" i="49"/>
  <c r="C268" i="49"/>
  <c r="A269" i="49"/>
  <c r="B269" i="49"/>
  <c r="C269" i="49"/>
  <c r="A270" i="49"/>
  <c r="B270" i="49"/>
  <c r="C270" i="49"/>
  <c r="A271" i="49"/>
  <c r="B271" i="49"/>
  <c r="C271" i="49"/>
  <c r="A272" i="49"/>
  <c r="B272" i="49"/>
  <c r="C272" i="49"/>
  <c r="A273" i="49"/>
  <c r="B273" i="49"/>
  <c r="C273" i="49"/>
  <c r="A274" i="49"/>
  <c r="B274" i="49"/>
  <c r="C274" i="49"/>
  <c r="A275" i="49"/>
  <c r="B275" i="49"/>
  <c r="C275" i="49"/>
  <c r="A276" i="49"/>
  <c r="B276" i="49"/>
  <c r="C276" i="49"/>
  <c r="A277" i="49"/>
  <c r="B277" i="49"/>
  <c r="C277" i="49"/>
  <c r="A278" i="49"/>
  <c r="B278" i="49"/>
  <c r="C278" i="49"/>
  <c r="A279" i="49"/>
  <c r="B279" i="49"/>
  <c r="C279" i="49"/>
  <c r="A280" i="49"/>
  <c r="B280" i="49"/>
  <c r="C280" i="49"/>
  <c r="A281" i="49"/>
  <c r="B281" i="49"/>
  <c r="C281" i="49"/>
  <c r="C234" i="49"/>
  <c r="B234" i="49"/>
  <c r="A234" i="49"/>
  <c r="B118" i="49"/>
  <c r="C118" i="49"/>
  <c r="B119" i="49"/>
  <c r="C119" i="49"/>
  <c r="B120" i="49"/>
  <c r="C120" i="49"/>
  <c r="B121" i="49"/>
  <c r="C121" i="49"/>
  <c r="B122" i="49"/>
  <c r="C122" i="49"/>
  <c r="B123" i="49"/>
  <c r="C123" i="49"/>
  <c r="B124" i="49"/>
  <c r="C124" i="49"/>
  <c r="C117" i="49"/>
  <c r="B117" i="49"/>
  <c r="A82" i="49"/>
  <c r="B82" i="49"/>
  <c r="C82" i="49"/>
  <c r="A83" i="49"/>
  <c r="B83" i="49"/>
  <c r="C83" i="49"/>
  <c r="A84" i="49"/>
  <c r="B84" i="49"/>
  <c r="C84" i="49"/>
  <c r="A85" i="49"/>
  <c r="B85" i="49"/>
  <c r="C85" i="49"/>
  <c r="A86" i="49"/>
  <c r="B86" i="49"/>
  <c r="C86" i="49"/>
  <c r="A87" i="49"/>
  <c r="B87" i="49"/>
  <c r="C87" i="49"/>
  <c r="A88" i="49"/>
  <c r="B88" i="49"/>
  <c r="C88" i="49"/>
  <c r="A89" i="49"/>
  <c r="B89" i="49"/>
  <c r="C89" i="49"/>
  <c r="A90" i="49"/>
  <c r="B90" i="49"/>
  <c r="C90" i="49"/>
  <c r="A91" i="49"/>
  <c r="B91" i="49"/>
  <c r="C91" i="49"/>
  <c r="A92" i="49"/>
  <c r="B92" i="49"/>
  <c r="C92" i="49"/>
  <c r="A93" i="49"/>
  <c r="B93" i="49"/>
  <c r="C93" i="49"/>
  <c r="A94" i="49"/>
  <c r="B94" i="49"/>
  <c r="C94" i="49"/>
  <c r="A95" i="49"/>
  <c r="B95" i="49"/>
  <c r="C95" i="49"/>
  <c r="A96" i="49"/>
  <c r="B96" i="49"/>
  <c r="C96" i="49"/>
  <c r="A97" i="49"/>
  <c r="B97" i="49"/>
  <c r="C97" i="49"/>
  <c r="C81" i="49"/>
  <c r="B81" i="49"/>
  <c r="A81" i="49"/>
  <c r="A71" i="49"/>
  <c r="B71" i="49"/>
  <c r="C71" i="49"/>
  <c r="A72" i="49"/>
  <c r="B72" i="49"/>
  <c r="C72" i="49"/>
  <c r="A73" i="49"/>
  <c r="B73" i="49"/>
  <c r="C73" i="49"/>
  <c r="A74" i="49"/>
  <c r="B74" i="49"/>
  <c r="C74" i="49"/>
  <c r="A75" i="49"/>
  <c r="B75" i="49"/>
  <c r="C75" i="49"/>
  <c r="A76" i="49"/>
  <c r="B76" i="49"/>
  <c r="C76" i="49"/>
  <c r="A77" i="49"/>
  <c r="B77" i="49"/>
  <c r="C77" i="49"/>
  <c r="C70" i="49"/>
  <c r="E70" i="49"/>
  <c r="F70" i="49"/>
  <c r="G70" i="49"/>
  <c r="H70" i="49"/>
  <c r="B70" i="49"/>
  <c r="A70" i="49"/>
  <c r="A49" i="49"/>
  <c r="B49" i="49"/>
  <c r="C49" i="49"/>
  <c r="A50" i="49"/>
  <c r="B50" i="49"/>
  <c r="C50" i="49"/>
  <c r="A51" i="49"/>
  <c r="B51" i="49"/>
  <c r="C51" i="49"/>
  <c r="A52" i="49"/>
  <c r="B52" i="49"/>
  <c r="C52" i="49"/>
  <c r="A53" i="49"/>
  <c r="B53" i="49"/>
  <c r="C53" i="49"/>
  <c r="A54" i="49"/>
  <c r="B54" i="49"/>
  <c r="C54" i="49"/>
  <c r="A55" i="49"/>
  <c r="B55" i="49"/>
  <c r="C55" i="49"/>
  <c r="C48" i="49"/>
  <c r="E48" i="49"/>
  <c r="F48" i="49"/>
  <c r="G48" i="49"/>
  <c r="H48" i="49"/>
  <c r="B48" i="49"/>
  <c r="A48" i="49"/>
  <c r="I5" i="45"/>
  <c r="I6" i="45"/>
  <c r="I7" i="45"/>
  <c r="I8" i="45"/>
  <c r="I9" i="45"/>
  <c r="I10" i="45"/>
  <c r="I11" i="45"/>
  <c r="I12" i="45"/>
  <c r="I13" i="45"/>
  <c r="I14" i="45"/>
  <c r="I15" i="45"/>
  <c r="I16" i="45"/>
  <c r="I17" i="45"/>
  <c r="I18" i="45"/>
  <c r="I19" i="45"/>
  <c r="I20" i="45"/>
  <c r="I4" i="45"/>
  <c r="G118" i="49"/>
  <c r="H119" i="49"/>
  <c r="D120" i="49"/>
  <c r="D121" i="49"/>
  <c r="F122" i="49"/>
  <c r="D123" i="49"/>
  <c r="D124" i="49"/>
  <c r="D117" i="49"/>
  <c r="D316" i="49"/>
  <c r="D318" i="49"/>
  <c r="D319" i="49"/>
  <c r="D314" i="49"/>
  <c r="J4" i="22"/>
  <c r="M4" i="22" s="1"/>
  <c r="J5" i="22"/>
  <c r="J6" i="22"/>
  <c r="M6" i="22" s="1"/>
  <c r="J7" i="22"/>
  <c r="M7" i="22" s="1"/>
  <c r="J8" i="22"/>
  <c r="M8" i="22" s="1"/>
  <c r="D290" i="49" s="1"/>
  <c r="J9" i="22"/>
  <c r="M9" i="22" s="1"/>
  <c r="J10" i="22"/>
  <c r="M10" i="22" s="1"/>
  <c r="D292" i="49" s="1"/>
  <c r="J11" i="22"/>
  <c r="M11" i="22" s="1"/>
  <c r="D293" i="49" s="1"/>
  <c r="J12" i="22"/>
  <c r="M12" i="22" s="1"/>
  <c r="D294" i="49" s="1"/>
  <c r="J17" i="22"/>
  <c r="M17" i="22" s="1"/>
  <c r="D299" i="49" s="1"/>
  <c r="J14" i="22"/>
  <c r="M14" i="22" s="1"/>
  <c r="D296" i="49" s="1"/>
  <c r="J18" i="22"/>
  <c r="M18" i="22" s="1"/>
  <c r="D300" i="49" s="1"/>
  <c r="J15" i="22"/>
  <c r="M15" i="22" s="1"/>
  <c r="D297" i="49" s="1"/>
  <c r="E298" i="49"/>
  <c r="J16" i="22"/>
  <c r="M16" i="22" s="1"/>
  <c r="D298" i="49" s="1"/>
  <c r="E299" i="49"/>
  <c r="J13" i="22"/>
  <c r="M13" i="22" s="1"/>
  <c r="D295" i="49" s="1"/>
  <c r="E300" i="49"/>
  <c r="J3" i="22"/>
  <c r="M3" i="22" s="1"/>
  <c r="M5" i="22"/>
  <c r="D287" i="49" s="1"/>
  <c r="F287" i="49"/>
  <c r="F290" i="49"/>
  <c r="G293" i="49"/>
  <c r="F294" i="49"/>
  <c r="F295" i="49"/>
  <c r="J4" i="21"/>
  <c r="K4" i="21" s="1"/>
  <c r="J5" i="21"/>
  <c r="J6" i="21"/>
  <c r="J7" i="21"/>
  <c r="J8" i="21"/>
  <c r="J9" i="21"/>
  <c r="J10" i="21"/>
  <c r="J11" i="21"/>
  <c r="D242" i="49" s="1"/>
  <c r="F242" i="49"/>
  <c r="J12" i="21"/>
  <c r="D243" i="49" s="1"/>
  <c r="F243" i="49"/>
  <c r="J13" i="21"/>
  <c r="J14" i="21"/>
  <c r="D245" i="49" s="1"/>
  <c r="H245" i="49"/>
  <c r="J15" i="21"/>
  <c r="J16" i="21"/>
  <c r="J17" i="21"/>
  <c r="D248" i="49" s="1"/>
  <c r="F248" i="49"/>
  <c r="J18" i="21"/>
  <c r="D249" i="49" s="1"/>
  <c r="H249" i="49"/>
  <c r="J19" i="21"/>
  <c r="J20" i="21"/>
  <c r="K20" i="21" s="1"/>
  <c r="J21" i="21"/>
  <c r="J22" i="21"/>
  <c r="J23" i="21"/>
  <c r="J24" i="21"/>
  <c r="K24" i="21" s="1"/>
  <c r="J25" i="21"/>
  <c r="K25" i="21" s="1"/>
  <c r="J26" i="21"/>
  <c r="J27" i="21"/>
  <c r="J28" i="21"/>
  <c r="J29" i="21"/>
  <c r="K29" i="21" s="1"/>
  <c r="J30" i="21"/>
  <c r="J31" i="21"/>
  <c r="K31" i="21" s="1"/>
  <c r="J32" i="21"/>
  <c r="J33" i="21"/>
  <c r="J34" i="21"/>
  <c r="J35" i="21"/>
  <c r="D266" i="49" s="1"/>
  <c r="F266" i="49"/>
  <c r="J36" i="21"/>
  <c r="D267" i="49" s="1"/>
  <c r="F267" i="49"/>
  <c r="J37" i="21"/>
  <c r="D268" i="49" s="1"/>
  <c r="F268" i="49"/>
  <c r="J38" i="21"/>
  <c r="D269" i="49" s="1"/>
  <c r="H269" i="49"/>
  <c r="J39" i="21"/>
  <c r="D270" i="49" s="1"/>
  <c r="F270" i="49"/>
  <c r="J40" i="21"/>
  <c r="D271" i="49" s="1"/>
  <c r="F271" i="49"/>
  <c r="J41" i="21"/>
  <c r="D272" i="49" s="1"/>
  <c r="F272" i="49"/>
  <c r="J42" i="21"/>
  <c r="H273" i="49"/>
  <c r="J43" i="21"/>
  <c r="J44" i="21"/>
  <c r="J45" i="21"/>
  <c r="K45" i="21" s="1"/>
  <c r="J46" i="21"/>
  <c r="K46" i="21" s="1"/>
  <c r="J47" i="21"/>
  <c r="J48" i="21"/>
  <c r="K48" i="21" s="1"/>
  <c r="J49" i="21"/>
  <c r="K49" i="21" s="1"/>
  <c r="J50" i="21"/>
  <c r="J3" i="21"/>
  <c r="K3" i="21" s="1"/>
  <c r="E5" i="30"/>
  <c r="E6" i="30"/>
  <c r="E7" i="30"/>
  <c r="E8" i="30"/>
  <c r="E9" i="30"/>
  <c r="E10" i="30"/>
  <c r="E4" i="30"/>
  <c r="J3" i="30"/>
  <c r="I70" i="49" s="1"/>
  <c r="E3" i="30"/>
  <c r="D49" i="49"/>
  <c r="H50" i="49"/>
  <c r="D51" i="49"/>
  <c r="D52" i="49"/>
  <c r="G52" i="49"/>
  <c r="D53" i="49"/>
  <c r="D54" i="49"/>
  <c r="D55" i="49"/>
  <c r="E296" i="49"/>
  <c r="E297" i="49"/>
  <c r="D325" i="49"/>
  <c r="D323" i="49"/>
  <c r="D317" i="49"/>
  <c r="D324" i="49"/>
  <c r="D322" i="49"/>
  <c r="D320" i="49"/>
  <c r="F118" i="49"/>
  <c r="E295" i="49"/>
  <c r="E294" i="49"/>
  <c r="E293" i="49"/>
  <c r="E287" i="49"/>
  <c r="E290" i="49"/>
  <c r="E272" i="49"/>
  <c r="E271" i="49"/>
  <c r="E270" i="49"/>
  <c r="G271" i="49"/>
  <c r="E269" i="49"/>
  <c r="E273" i="49"/>
  <c r="E268" i="49"/>
  <c r="G273" i="49"/>
  <c r="E267" i="49"/>
  <c r="F273" i="49"/>
  <c r="E266" i="49"/>
  <c r="E249" i="49"/>
  <c r="E248" i="49"/>
  <c r="E245" i="49"/>
  <c r="E243" i="49"/>
  <c r="E242" i="49"/>
  <c r="H266" i="49"/>
  <c r="G243" i="49"/>
  <c r="F269" i="49"/>
  <c r="G266" i="49"/>
  <c r="F245" i="49"/>
  <c r="F299" i="49"/>
  <c r="G299" i="49"/>
  <c r="G297" i="49"/>
  <c r="F297" i="49"/>
  <c r="F298" i="49"/>
  <c r="H298" i="49"/>
  <c r="F293" i="49"/>
  <c r="H294" i="49"/>
  <c r="H296" i="49"/>
  <c r="G296" i="49"/>
  <c r="F296" i="49"/>
  <c r="H300" i="49"/>
  <c r="F300" i="49"/>
  <c r="G300" i="49"/>
  <c r="H297" i="49"/>
  <c r="H293" i="49"/>
  <c r="H290" i="49"/>
  <c r="G298" i="49"/>
  <c r="G290" i="49"/>
  <c r="H299" i="49"/>
  <c r="H295" i="49"/>
  <c r="H287" i="49"/>
  <c r="G295" i="49"/>
  <c r="G249" i="49"/>
  <c r="F249" i="49"/>
  <c r="H270" i="49"/>
  <c r="G270" i="49"/>
  <c r="G245" i="49"/>
  <c r="G267" i="49"/>
  <c r="H242" i="49"/>
  <c r="G242" i="49"/>
  <c r="H267" i="49"/>
  <c r="H272" i="49"/>
  <c r="H268" i="49"/>
  <c r="H248" i="49"/>
  <c r="G272" i="49"/>
  <c r="G268" i="49"/>
  <c r="H53" i="49"/>
  <c r="G53" i="49"/>
  <c r="J3" i="5"/>
  <c r="I48" i="49" s="1"/>
  <c r="I294" i="49"/>
  <c r="G294" i="49"/>
  <c r="I287" i="49"/>
  <c r="G287" i="49"/>
  <c r="E292" i="49"/>
  <c r="I269" i="49"/>
  <c r="G269" i="49"/>
  <c r="I271" i="49"/>
  <c r="H271" i="49"/>
  <c r="I273" i="49"/>
  <c r="I266" i="49"/>
  <c r="I249" i="49"/>
  <c r="I248" i="49"/>
  <c r="G248" i="49"/>
  <c r="I245" i="49"/>
  <c r="I243" i="49"/>
  <c r="H243" i="49"/>
  <c r="I295" i="49"/>
  <c r="H292" i="49"/>
  <c r="I242" i="49"/>
  <c r="G292" i="49"/>
  <c r="I299" i="49"/>
  <c r="F292" i="49"/>
  <c r="I298" i="49"/>
  <c r="I297" i="49"/>
  <c r="I293" i="49"/>
  <c r="I290" i="49"/>
  <c r="I300" i="49"/>
  <c r="I296" i="49"/>
  <c r="I270" i="49"/>
  <c r="I268" i="49"/>
  <c r="I267" i="49"/>
  <c r="I272" i="49"/>
  <c r="I292" i="49"/>
  <c r="AD391" i="46"/>
  <c r="AC391" i="46"/>
  <c r="AD390" i="46"/>
  <c r="AC390" i="46"/>
  <c r="AD389" i="46"/>
  <c r="AC389" i="46"/>
  <c r="AD388" i="46"/>
  <c r="AC388" i="46"/>
  <c r="AD387" i="46"/>
  <c r="AC387" i="46"/>
  <c r="AD386" i="46"/>
  <c r="AC386" i="46"/>
  <c r="AD385" i="46"/>
  <c r="AC385" i="46"/>
  <c r="AD384" i="46"/>
  <c r="AC384" i="46"/>
  <c r="AD383" i="46"/>
  <c r="AC383" i="46"/>
  <c r="AD381" i="46"/>
  <c r="AC381" i="46"/>
  <c r="AD380" i="46"/>
  <c r="AC380" i="46"/>
  <c r="AD379" i="46"/>
  <c r="AC379" i="46"/>
  <c r="S379" i="46"/>
  <c r="AB379" i="46" s="1"/>
  <c r="AD378" i="46"/>
  <c r="AC378" i="46"/>
  <c r="S378" i="46"/>
  <c r="AB378" i="46" s="1"/>
  <c r="AD377" i="46"/>
  <c r="AC377" i="46"/>
  <c r="S377" i="46"/>
  <c r="AB377" i="46" s="1"/>
  <c r="AD376" i="46"/>
  <c r="AC376" i="46"/>
  <c r="S376" i="46"/>
  <c r="AB376" i="46" s="1"/>
  <c r="AD375" i="46"/>
  <c r="AC375" i="46"/>
  <c r="S375" i="46"/>
  <c r="AB375" i="46" s="1"/>
  <c r="AD374" i="46"/>
  <c r="AC374" i="46"/>
  <c r="S374" i="46"/>
  <c r="AB374" i="46" s="1"/>
  <c r="AD373" i="46"/>
  <c r="AC373" i="46"/>
  <c r="S373" i="46"/>
  <c r="AB373" i="46" s="1"/>
  <c r="AD372" i="46"/>
  <c r="AC372" i="46"/>
  <c r="S372" i="46"/>
  <c r="AB372" i="46" s="1"/>
  <c r="AD371" i="46"/>
  <c r="AC371" i="46"/>
  <c r="S371" i="46"/>
  <c r="AB371" i="46" s="1"/>
  <c r="AD370" i="46"/>
  <c r="AC370" i="46"/>
  <c r="S370" i="46"/>
  <c r="AB370" i="46" s="1"/>
  <c r="AD369" i="46"/>
  <c r="AC369" i="46"/>
  <c r="S369" i="46"/>
  <c r="AD368" i="46"/>
  <c r="AC368" i="46"/>
  <c r="S368" i="46"/>
  <c r="AB368" i="46" s="1"/>
  <c r="AD367" i="46"/>
  <c r="AC367" i="46"/>
  <c r="S367" i="46"/>
  <c r="AB367" i="46" s="1"/>
  <c r="AD366" i="46"/>
  <c r="AC366" i="46"/>
  <c r="AD365" i="46"/>
  <c r="AC365" i="46"/>
  <c r="AD364" i="46"/>
  <c r="AC364" i="46"/>
  <c r="AD363" i="46"/>
  <c r="AC363" i="46"/>
  <c r="AD362" i="46"/>
  <c r="AC362" i="46"/>
  <c r="AD361" i="46"/>
  <c r="AC361" i="46"/>
  <c r="AD360" i="46"/>
  <c r="AC360" i="46"/>
  <c r="AD359" i="46"/>
  <c r="AC359" i="46"/>
  <c r="AD358" i="46"/>
  <c r="AC358" i="46"/>
  <c r="AD357" i="46"/>
  <c r="AC357" i="46"/>
  <c r="AD356" i="46"/>
  <c r="AC356" i="46"/>
  <c r="AD355" i="46"/>
  <c r="AC355" i="46"/>
  <c r="AD354" i="46"/>
  <c r="AC354" i="46"/>
  <c r="AD353" i="46"/>
  <c r="AC353" i="46"/>
  <c r="AD352" i="46"/>
  <c r="AC352" i="46"/>
  <c r="AD351" i="46"/>
  <c r="AC351" i="46"/>
  <c r="AD350" i="46"/>
  <c r="AC350" i="46"/>
  <c r="S350" i="46"/>
  <c r="AB350" i="46" s="1"/>
  <c r="AD349" i="46"/>
  <c r="AC349" i="46"/>
  <c r="S349" i="46"/>
  <c r="AB349" i="46" s="1"/>
  <c r="AD348" i="46"/>
  <c r="AC348" i="46"/>
  <c r="S348" i="46"/>
  <c r="AB348" i="46" s="1"/>
  <c r="AD347" i="46"/>
  <c r="AC347" i="46"/>
  <c r="S347" i="46"/>
  <c r="AB347" i="46" s="1"/>
  <c r="AD346" i="46"/>
  <c r="AC346" i="46"/>
  <c r="S346" i="46"/>
  <c r="AB346" i="46" s="1"/>
  <c r="AD345" i="46"/>
  <c r="AC345" i="46"/>
  <c r="S345" i="46"/>
  <c r="AB345" i="46" s="1"/>
  <c r="AD344" i="46"/>
  <c r="AC344" i="46"/>
  <c r="S344" i="46"/>
  <c r="AB344" i="46" s="1"/>
  <c r="AD343" i="46"/>
  <c r="AC343" i="46"/>
  <c r="S343" i="46"/>
  <c r="AB343" i="46" s="1"/>
  <c r="AD337" i="46"/>
  <c r="AC337" i="46"/>
  <c r="S337" i="46"/>
  <c r="AB337" i="46" s="1"/>
  <c r="AD336" i="46"/>
  <c r="AC336" i="46"/>
  <c r="S336" i="46"/>
  <c r="AB336" i="46" s="1"/>
  <c r="AD335" i="46"/>
  <c r="AC335" i="46"/>
  <c r="S335" i="46"/>
  <c r="AB335" i="46" s="1"/>
  <c r="AD334" i="46"/>
  <c r="AC334" i="46"/>
  <c r="S334" i="46"/>
  <c r="AB334" i="46" s="1"/>
  <c r="AD333" i="46"/>
  <c r="AC333" i="46"/>
  <c r="S333" i="46"/>
  <c r="AB333" i="46" s="1"/>
  <c r="AD332" i="46"/>
  <c r="AC332" i="46"/>
  <c r="S332" i="46"/>
  <c r="AB332" i="46" s="1"/>
  <c r="AD331" i="46"/>
  <c r="AC331" i="46"/>
  <c r="S331" i="46"/>
  <c r="AB331" i="46" s="1"/>
  <c r="AD330" i="46"/>
  <c r="AC330" i="46"/>
  <c r="S330" i="46"/>
  <c r="AB330" i="46" s="1"/>
  <c r="AD329" i="46"/>
  <c r="AC329" i="46"/>
  <c r="S329" i="46"/>
  <c r="AB329" i="46" s="1"/>
  <c r="AD328" i="46"/>
  <c r="AC328" i="46"/>
  <c r="S328" i="46"/>
  <c r="AB328" i="46" s="1"/>
  <c r="AD327" i="46"/>
  <c r="AC327" i="46"/>
  <c r="S327" i="46"/>
  <c r="AB327" i="46" s="1"/>
  <c r="AD326" i="46"/>
  <c r="AC326" i="46"/>
  <c r="S326" i="46"/>
  <c r="AB326" i="46" s="1"/>
  <c r="AD325" i="46"/>
  <c r="AC325" i="46"/>
  <c r="S325" i="46"/>
  <c r="AB325" i="46" s="1"/>
  <c r="AD324" i="46"/>
  <c r="AC324" i="46"/>
  <c r="S324" i="46"/>
  <c r="AB324" i="46" s="1"/>
  <c r="AD323" i="46"/>
  <c r="AC323" i="46"/>
  <c r="S323" i="46"/>
  <c r="AB323" i="46" s="1"/>
  <c r="AD322" i="46"/>
  <c r="AC322" i="46"/>
  <c r="S322" i="46"/>
  <c r="AB322" i="46" s="1"/>
  <c r="AD321" i="46"/>
  <c r="AC321" i="46"/>
  <c r="S321" i="46"/>
  <c r="AB321" i="46" s="1"/>
  <c r="AD320" i="46"/>
  <c r="AC320" i="46"/>
  <c r="S320" i="46"/>
  <c r="AB320" i="46" s="1"/>
  <c r="AD319" i="46"/>
  <c r="AC319" i="46"/>
  <c r="S319" i="46"/>
  <c r="AB319" i="46" s="1"/>
  <c r="AD318" i="46"/>
  <c r="AC318" i="46"/>
  <c r="S318" i="46"/>
  <c r="AB318" i="46" s="1"/>
  <c r="AD317" i="46"/>
  <c r="AC317" i="46"/>
  <c r="S317" i="46"/>
  <c r="AB317" i="46" s="1"/>
  <c r="AD316" i="46"/>
  <c r="AC316" i="46"/>
  <c r="S316" i="46"/>
  <c r="AB316" i="46" s="1"/>
  <c r="AD315" i="46"/>
  <c r="AC315" i="46"/>
  <c r="S315" i="46"/>
  <c r="AB315" i="46" s="1"/>
  <c r="AD314" i="46"/>
  <c r="AC314" i="46"/>
  <c r="S314" i="46"/>
  <c r="AB314" i="46" s="1"/>
  <c r="AD313" i="46"/>
  <c r="AC313" i="46"/>
  <c r="S313" i="46"/>
  <c r="AB313" i="46" s="1"/>
  <c r="AD312" i="46"/>
  <c r="AC312" i="46"/>
  <c r="S312" i="46"/>
  <c r="AB312" i="46" s="1"/>
  <c r="AD311" i="46"/>
  <c r="AC311" i="46"/>
  <c r="S311" i="46"/>
  <c r="AB311" i="46" s="1"/>
  <c r="AD310" i="46"/>
  <c r="AC310" i="46"/>
  <c r="S310" i="46"/>
  <c r="AB310" i="46" s="1"/>
  <c r="AD309" i="46"/>
  <c r="AC309" i="46"/>
  <c r="S309" i="46"/>
  <c r="AB309" i="46" s="1"/>
  <c r="AD308" i="46"/>
  <c r="AC308" i="46"/>
  <c r="S308" i="46"/>
  <c r="AB308" i="46" s="1"/>
  <c r="AD307" i="46"/>
  <c r="AC307" i="46"/>
  <c r="S307" i="46"/>
  <c r="AB307" i="46" s="1"/>
  <c r="AD297" i="46"/>
  <c r="AC297" i="46"/>
  <c r="S297" i="46"/>
  <c r="AD296" i="46"/>
  <c r="AC296" i="46"/>
  <c r="S296" i="46"/>
  <c r="AD295" i="46"/>
  <c r="AC295" i="46"/>
  <c r="S295" i="46"/>
  <c r="AD293" i="46"/>
  <c r="AC293" i="46"/>
  <c r="S293" i="46"/>
  <c r="AD292" i="46"/>
  <c r="AC292" i="46"/>
  <c r="S292" i="46"/>
  <c r="AD291" i="46"/>
  <c r="AC291" i="46"/>
  <c r="S291" i="46"/>
  <c r="AD290" i="46"/>
  <c r="AC290" i="46"/>
  <c r="S290" i="46"/>
  <c r="AD288" i="46"/>
  <c r="AC288" i="46"/>
  <c r="S288" i="46"/>
  <c r="AD287" i="46"/>
  <c r="AC287" i="46"/>
  <c r="S287" i="46"/>
  <c r="AD279" i="46"/>
  <c r="AC279" i="46"/>
  <c r="S279" i="46"/>
  <c r="AD277" i="46"/>
  <c r="AC277" i="46"/>
  <c r="S277" i="46"/>
  <c r="AD276" i="46"/>
  <c r="AC276" i="46"/>
  <c r="S276" i="46"/>
  <c r="AD275" i="46"/>
  <c r="AC275" i="46"/>
  <c r="S275" i="46"/>
  <c r="AD274" i="46"/>
  <c r="AC274" i="46"/>
  <c r="S274" i="46"/>
  <c r="AD272" i="46"/>
  <c r="AC272" i="46"/>
  <c r="S272" i="46"/>
  <c r="AD271" i="46"/>
  <c r="AC271" i="46"/>
  <c r="S271" i="46"/>
  <c r="AD270" i="46"/>
  <c r="AC270" i="46"/>
  <c r="S270" i="46"/>
  <c r="AB270" i="46" s="1"/>
  <c r="AD269" i="46"/>
  <c r="AC269" i="46"/>
  <c r="S269" i="46"/>
  <c r="AB269" i="46" s="1"/>
  <c r="AD268" i="46"/>
  <c r="AC268" i="46"/>
  <c r="S268" i="46"/>
  <c r="AB268" i="46" s="1"/>
  <c r="AD267" i="46"/>
  <c r="AC267" i="46"/>
  <c r="S267" i="46"/>
  <c r="AB267" i="46" s="1"/>
  <c r="AD266" i="46"/>
  <c r="AC266" i="46"/>
  <c r="S266" i="46"/>
  <c r="AB266" i="46" s="1"/>
  <c r="AD265" i="46"/>
  <c r="AC265" i="46"/>
  <c r="S265" i="46"/>
  <c r="AB265" i="46" s="1"/>
  <c r="AD264" i="46"/>
  <c r="AC264" i="46"/>
  <c r="S264" i="46"/>
  <c r="AB264" i="46" s="1"/>
  <c r="AD263" i="46"/>
  <c r="AC263" i="46"/>
  <c r="S263" i="46"/>
  <c r="AB263" i="46" s="1"/>
  <c r="AD262" i="46"/>
  <c r="AC262" i="46"/>
  <c r="S262" i="46"/>
  <c r="AB262" i="46" s="1"/>
  <c r="AD261" i="46"/>
  <c r="AC261" i="46"/>
  <c r="S261" i="46"/>
  <c r="AB261" i="46" s="1"/>
  <c r="AD260" i="46"/>
  <c r="AC260" i="46"/>
  <c r="S260" i="46"/>
  <c r="AB260" i="46" s="1"/>
  <c r="AD259" i="46"/>
  <c r="AC259" i="46"/>
  <c r="S259" i="46"/>
  <c r="AB259" i="46" s="1"/>
  <c r="AD258" i="46"/>
  <c r="AC258" i="46"/>
  <c r="S258" i="46"/>
  <c r="AB258" i="46" s="1"/>
  <c r="AD257" i="46"/>
  <c r="AC257" i="46"/>
  <c r="S257" i="46"/>
  <c r="AB257" i="46" s="1"/>
  <c r="AD256" i="46"/>
  <c r="AC256" i="46"/>
  <c r="S256" i="46"/>
  <c r="AB256" i="46" s="1"/>
  <c r="AD255" i="46"/>
  <c r="AC255" i="46"/>
  <c r="S255" i="46"/>
  <c r="AB255" i="46" s="1"/>
  <c r="AD254" i="46"/>
  <c r="AC254" i="46"/>
  <c r="S254" i="46"/>
  <c r="AB254" i="46" s="1"/>
  <c r="AD253" i="46"/>
  <c r="AC253" i="46"/>
  <c r="S253" i="46"/>
  <c r="AB253" i="46" s="1"/>
  <c r="AD252" i="46"/>
  <c r="AC252" i="46"/>
  <c r="S252" i="46"/>
  <c r="AB252" i="46" s="1"/>
  <c r="AD251" i="46"/>
  <c r="AC251" i="46"/>
  <c r="S251" i="46"/>
  <c r="AB251" i="46" s="1"/>
  <c r="AD250" i="46"/>
  <c r="AC250" i="46"/>
  <c r="S250" i="46"/>
  <c r="AB250" i="46" s="1"/>
  <c r="AD249" i="46"/>
  <c r="AC249" i="46"/>
  <c r="S249" i="46"/>
  <c r="AB249" i="46" s="1"/>
  <c r="AD248" i="46"/>
  <c r="AC248" i="46"/>
  <c r="S248" i="46"/>
  <c r="AB248" i="46" s="1"/>
  <c r="AD247" i="46"/>
  <c r="AC247" i="46"/>
  <c r="S247" i="46"/>
  <c r="AB247" i="46" s="1"/>
  <c r="AD246" i="46"/>
  <c r="AC246" i="46"/>
  <c r="S246" i="46"/>
  <c r="AB246" i="46" s="1"/>
  <c r="AD245" i="46"/>
  <c r="AC245" i="46"/>
  <c r="S245" i="46"/>
  <c r="AB245" i="46" s="1"/>
  <c r="AD244" i="46"/>
  <c r="AC244" i="46"/>
  <c r="S244" i="46"/>
  <c r="AB244" i="46" s="1"/>
  <c r="AD243" i="46"/>
  <c r="AC243" i="46"/>
  <c r="S243" i="46"/>
  <c r="AB243" i="46" s="1"/>
  <c r="AD242" i="46"/>
  <c r="AC242" i="46"/>
  <c r="S242" i="46"/>
  <c r="AB242" i="46" s="1"/>
  <c r="AD241" i="46"/>
  <c r="AC241" i="46"/>
  <c r="S241" i="46"/>
  <c r="AB241" i="46" s="1"/>
  <c r="AD240" i="46"/>
  <c r="AC240" i="46"/>
  <c r="S240" i="46"/>
  <c r="AB240" i="46" s="1"/>
  <c r="AD239" i="46"/>
  <c r="AC239" i="46"/>
  <c r="S239" i="46"/>
  <c r="AB239" i="46" s="1"/>
  <c r="AD238" i="46"/>
  <c r="AC238" i="46"/>
  <c r="S238" i="46"/>
  <c r="AB238" i="46" s="1"/>
  <c r="AD237" i="46"/>
  <c r="AC237" i="46"/>
  <c r="S237" i="46"/>
  <c r="AB237" i="46" s="1"/>
  <c r="AD236" i="46"/>
  <c r="AC236" i="46"/>
  <c r="S236" i="46"/>
  <c r="AB236" i="46" s="1"/>
  <c r="AD235" i="46"/>
  <c r="AC235" i="46"/>
  <c r="S235" i="46"/>
  <c r="AB235" i="46" s="1"/>
  <c r="AD234" i="46"/>
  <c r="AC234" i="46"/>
  <c r="S234" i="46"/>
  <c r="AB234" i="46" s="1"/>
  <c r="AD233" i="46"/>
  <c r="AC233" i="46"/>
  <c r="S233" i="46"/>
  <c r="AB233" i="46" s="1"/>
  <c r="AD232" i="46"/>
  <c r="AC232" i="46"/>
  <c r="S232" i="46"/>
  <c r="AB232" i="46" s="1"/>
  <c r="AD231" i="46"/>
  <c r="AC231" i="46"/>
  <c r="S231" i="46"/>
  <c r="AB231" i="46" s="1"/>
  <c r="AD230" i="46"/>
  <c r="AC230" i="46"/>
  <c r="S230" i="46"/>
  <c r="AB230" i="46" s="1"/>
  <c r="AD229" i="46"/>
  <c r="AC229" i="46"/>
  <c r="S229" i="46"/>
  <c r="AB229" i="46" s="1"/>
  <c r="AD228" i="46"/>
  <c r="AC228" i="46"/>
  <c r="S228" i="46"/>
  <c r="AB228" i="46" s="1"/>
  <c r="AD227" i="46"/>
  <c r="AC227" i="46"/>
  <c r="S227" i="46"/>
  <c r="AB227" i="46" s="1"/>
  <c r="AD226" i="46"/>
  <c r="AC226" i="46"/>
  <c r="S226" i="46"/>
  <c r="AB226" i="46" s="1"/>
  <c r="AD225" i="46"/>
  <c r="AC225" i="46"/>
  <c r="S225" i="46"/>
  <c r="AB225" i="46" s="1"/>
  <c r="AD224" i="46"/>
  <c r="AC224" i="46"/>
  <c r="S224" i="46"/>
  <c r="AB224" i="46" s="1"/>
  <c r="AD223" i="46"/>
  <c r="AC223" i="46"/>
  <c r="S223" i="46"/>
  <c r="AB223" i="46" s="1"/>
  <c r="AD222" i="46"/>
  <c r="AC222" i="46"/>
  <c r="S222" i="46"/>
  <c r="AB222" i="46" s="1"/>
  <c r="AD221" i="46"/>
  <c r="AC221" i="46"/>
  <c r="S221" i="46"/>
  <c r="AB221" i="46" s="1"/>
  <c r="AD220" i="46"/>
  <c r="AC220" i="46"/>
  <c r="S220" i="46"/>
  <c r="AB220" i="46" s="1"/>
  <c r="AD219" i="46"/>
  <c r="AC219" i="46"/>
  <c r="S219" i="46"/>
  <c r="AB219" i="46" s="1"/>
  <c r="AD218" i="46"/>
  <c r="AC218" i="46"/>
  <c r="S218" i="46"/>
  <c r="AB218" i="46" s="1"/>
  <c r="AD217" i="46"/>
  <c r="AC217" i="46"/>
  <c r="S217" i="46"/>
  <c r="AB217" i="46" s="1"/>
  <c r="AD216" i="46"/>
  <c r="AC216" i="46"/>
  <c r="S216" i="46"/>
  <c r="AB216" i="46" s="1"/>
  <c r="AD215" i="46"/>
  <c r="AC215" i="46"/>
  <c r="S215" i="46"/>
  <c r="AB215" i="46" s="1"/>
  <c r="AD214" i="46"/>
  <c r="AC214" i="46"/>
  <c r="S214" i="46"/>
  <c r="AB214" i="46" s="1"/>
  <c r="AD213" i="46"/>
  <c r="AC213" i="46"/>
  <c r="S213" i="46"/>
  <c r="AB213" i="46" s="1"/>
  <c r="AD212" i="46"/>
  <c r="AC212" i="46"/>
  <c r="S212" i="46"/>
  <c r="AB212" i="46" s="1"/>
  <c r="AD211" i="46"/>
  <c r="AC211" i="46"/>
  <c r="S211" i="46"/>
  <c r="AB211" i="46" s="1"/>
  <c r="AD210" i="46"/>
  <c r="AC210" i="46"/>
  <c r="S210" i="46"/>
  <c r="AB210" i="46" s="1"/>
  <c r="AD209" i="46"/>
  <c r="AC209" i="46"/>
  <c r="S209" i="46"/>
  <c r="AB209" i="46" s="1"/>
  <c r="AD208" i="46"/>
  <c r="AC208" i="46"/>
  <c r="S208" i="46"/>
  <c r="AB208" i="46" s="1"/>
  <c r="AD207" i="46"/>
  <c r="AC207" i="46"/>
  <c r="S207" i="46"/>
  <c r="AB207" i="46" s="1"/>
  <c r="AD206" i="46"/>
  <c r="AC206" i="46"/>
  <c r="S206" i="46"/>
  <c r="AB206" i="46" s="1"/>
  <c r="AD205" i="46"/>
  <c r="AC205" i="46"/>
  <c r="S205" i="46"/>
  <c r="AB205" i="46" s="1"/>
  <c r="AD204" i="46"/>
  <c r="AC204" i="46"/>
  <c r="S204" i="46"/>
  <c r="AB204" i="46" s="1"/>
  <c r="AD203" i="46"/>
  <c r="AC203" i="46"/>
  <c r="S203" i="46"/>
  <c r="AB203" i="46" s="1"/>
  <c r="AD202" i="46"/>
  <c r="AC202" i="46"/>
  <c r="S202" i="46"/>
  <c r="AB202" i="46" s="1"/>
  <c r="AD201" i="46"/>
  <c r="AC201" i="46"/>
  <c r="S201" i="46"/>
  <c r="AB201" i="46" s="1"/>
  <c r="AD200" i="46"/>
  <c r="AC200" i="46"/>
  <c r="S200" i="46"/>
  <c r="AB200" i="46" s="1"/>
  <c r="AD199" i="46"/>
  <c r="AC199" i="46"/>
  <c r="S199" i="46"/>
  <c r="AB199" i="46" s="1"/>
  <c r="AD198" i="46"/>
  <c r="AC198" i="46"/>
  <c r="S198" i="46"/>
  <c r="AB198" i="46" s="1"/>
  <c r="AD197" i="46"/>
  <c r="AC197" i="46"/>
  <c r="S197" i="46"/>
  <c r="AB197" i="46" s="1"/>
  <c r="AD196" i="46"/>
  <c r="AC196" i="46"/>
  <c r="S196" i="46"/>
  <c r="AB196" i="46" s="1"/>
  <c r="AD195" i="46"/>
  <c r="AC195" i="46"/>
  <c r="S195" i="46"/>
  <c r="AB195" i="46" s="1"/>
  <c r="AD194" i="46"/>
  <c r="AC194" i="46"/>
  <c r="S194" i="46"/>
  <c r="AB194" i="46" s="1"/>
  <c r="AD193" i="46"/>
  <c r="AC193" i="46"/>
  <c r="S193" i="46"/>
  <c r="AB193" i="46" s="1"/>
  <c r="AD192" i="46"/>
  <c r="AC192" i="46"/>
  <c r="S192" i="46"/>
  <c r="AB192" i="46" s="1"/>
  <c r="AD191" i="46"/>
  <c r="AC191" i="46"/>
  <c r="S191" i="46"/>
  <c r="AB191" i="46" s="1"/>
  <c r="AD190" i="46"/>
  <c r="AC190" i="46"/>
  <c r="S190" i="46"/>
  <c r="AB190" i="46" s="1"/>
  <c r="AD189" i="46"/>
  <c r="AC189" i="46"/>
  <c r="S189" i="46"/>
  <c r="AB189" i="46" s="1"/>
  <c r="AD188" i="46"/>
  <c r="AC188" i="46"/>
  <c r="S188" i="46"/>
  <c r="AB188" i="46" s="1"/>
  <c r="AD187" i="46"/>
  <c r="AC187" i="46"/>
  <c r="S187" i="46"/>
  <c r="AB187" i="46" s="1"/>
  <c r="AD186" i="46"/>
  <c r="AC186" i="46"/>
  <c r="S186" i="46"/>
  <c r="AB186" i="46" s="1"/>
  <c r="AD185" i="46"/>
  <c r="AC185" i="46"/>
  <c r="S185" i="46"/>
  <c r="AB185" i="46" s="1"/>
  <c r="AD184" i="46"/>
  <c r="AC184" i="46"/>
  <c r="S184" i="46"/>
  <c r="AB184" i="46" s="1"/>
  <c r="AD183" i="46"/>
  <c r="AC183" i="46"/>
  <c r="S183" i="46"/>
  <c r="AB183" i="46" s="1"/>
  <c r="AD182" i="46"/>
  <c r="AC182" i="46"/>
  <c r="S182" i="46"/>
  <c r="AB182" i="46" s="1"/>
  <c r="AD181" i="46"/>
  <c r="AC181" i="46"/>
  <c r="S181" i="46"/>
  <c r="AB181" i="46" s="1"/>
  <c r="AD180" i="46"/>
  <c r="AC180" i="46"/>
  <c r="S180" i="46"/>
  <c r="AB180" i="46" s="1"/>
  <c r="AD179" i="46"/>
  <c r="AC179" i="46"/>
  <c r="S179" i="46"/>
  <c r="AB179" i="46" s="1"/>
  <c r="AD178" i="46"/>
  <c r="AC178" i="46"/>
  <c r="S178" i="46"/>
  <c r="AB178" i="46" s="1"/>
  <c r="AD177" i="46"/>
  <c r="AC177" i="46"/>
  <c r="S177" i="46"/>
  <c r="AB177" i="46" s="1"/>
  <c r="AD176" i="46"/>
  <c r="AC176" i="46"/>
  <c r="S176" i="46"/>
  <c r="AB176" i="46" s="1"/>
  <c r="AD175" i="46"/>
  <c r="AC175" i="46"/>
  <c r="S175" i="46"/>
  <c r="AB175" i="46" s="1"/>
  <c r="AD174" i="46"/>
  <c r="AC174" i="46"/>
  <c r="S174" i="46"/>
  <c r="AB174" i="46" s="1"/>
  <c r="AD173" i="46"/>
  <c r="AC173" i="46"/>
  <c r="S173" i="46"/>
  <c r="AB173" i="46" s="1"/>
  <c r="AD172" i="46"/>
  <c r="AC172" i="46"/>
  <c r="S172" i="46"/>
  <c r="AB172" i="46" s="1"/>
  <c r="AD171" i="46"/>
  <c r="AC171" i="46"/>
  <c r="S171" i="46"/>
  <c r="AB171" i="46" s="1"/>
  <c r="AD170" i="46"/>
  <c r="AC170" i="46"/>
  <c r="S170" i="46"/>
  <c r="AB170" i="46" s="1"/>
  <c r="AD169" i="46"/>
  <c r="AC169" i="46"/>
  <c r="S169" i="46"/>
  <c r="AB169" i="46" s="1"/>
  <c r="AD168" i="46"/>
  <c r="AC168" i="46"/>
  <c r="S168" i="46"/>
  <c r="AB168" i="46" s="1"/>
  <c r="AD167" i="46"/>
  <c r="AC167" i="46"/>
  <c r="S167" i="46"/>
  <c r="AB167" i="46" s="1"/>
  <c r="AD166" i="46"/>
  <c r="AC166" i="46"/>
  <c r="S166" i="46"/>
  <c r="AB166" i="46" s="1"/>
  <c r="AD165" i="46"/>
  <c r="AC165" i="46"/>
  <c r="S165" i="46"/>
  <c r="AB165" i="46" s="1"/>
  <c r="AD164" i="46"/>
  <c r="AC164" i="46"/>
  <c r="S164" i="46"/>
  <c r="AB164" i="46" s="1"/>
  <c r="AD163" i="46"/>
  <c r="AC163" i="46"/>
  <c r="S163" i="46"/>
  <c r="AB163" i="46" s="1"/>
  <c r="AD162" i="46"/>
  <c r="AC162" i="46"/>
  <c r="S162" i="46"/>
  <c r="AB162" i="46" s="1"/>
  <c r="AD161" i="46"/>
  <c r="AC161" i="46"/>
  <c r="S161" i="46"/>
  <c r="AB161" i="46" s="1"/>
  <c r="AD160" i="46"/>
  <c r="AC160" i="46"/>
  <c r="S160" i="46"/>
  <c r="AB160" i="46" s="1"/>
  <c r="AD159" i="46"/>
  <c r="AC159" i="46"/>
  <c r="S159" i="46"/>
  <c r="AB159" i="46" s="1"/>
  <c r="AD158" i="46"/>
  <c r="AC158" i="46"/>
  <c r="S158" i="46"/>
  <c r="AB158" i="46" s="1"/>
  <c r="AD157" i="46"/>
  <c r="AC157" i="46"/>
  <c r="S157" i="46"/>
  <c r="AB157" i="46" s="1"/>
  <c r="AD156" i="46"/>
  <c r="AC156" i="46"/>
  <c r="S156" i="46"/>
  <c r="AB156" i="46" s="1"/>
  <c r="AD155" i="46"/>
  <c r="AC155" i="46"/>
  <c r="S155" i="46"/>
  <c r="AB155" i="46" s="1"/>
  <c r="AD154" i="46"/>
  <c r="AC154" i="46"/>
  <c r="S154" i="46"/>
  <c r="AB154" i="46" s="1"/>
  <c r="AD153" i="46"/>
  <c r="AC153" i="46"/>
  <c r="S153" i="46"/>
  <c r="AB153" i="46" s="1"/>
  <c r="AD152" i="46"/>
  <c r="AC152" i="46"/>
  <c r="S152" i="46"/>
  <c r="AB152" i="46" s="1"/>
  <c r="AD151" i="46"/>
  <c r="AC151" i="46"/>
  <c r="S151" i="46"/>
  <c r="AB151" i="46" s="1"/>
  <c r="AD150" i="46"/>
  <c r="AC150" i="46"/>
  <c r="S150" i="46"/>
  <c r="AB150" i="46" s="1"/>
  <c r="AD149" i="46"/>
  <c r="AC149" i="46"/>
  <c r="S149" i="46"/>
  <c r="AB149" i="46" s="1"/>
  <c r="AD148" i="46"/>
  <c r="AC148" i="46"/>
  <c r="S148" i="46"/>
  <c r="AB148" i="46" s="1"/>
  <c r="AD147" i="46"/>
  <c r="AC147" i="46"/>
  <c r="S147" i="46"/>
  <c r="AB147" i="46" s="1"/>
  <c r="AD146" i="46"/>
  <c r="AC146" i="46"/>
  <c r="S146" i="46"/>
  <c r="AB146" i="46" s="1"/>
  <c r="AD145" i="46"/>
  <c r="AC145" i="46"/>
  <c r="S145" i="46"/>
  <c r="AB145" i="46" s="1"/>
  <c r="AD144" i="46"/>
  <c r="AC144" i="46"/>
  <c r="S144" i="46"/>
  <c r="AB144" i="46" s="1"/>
  <c r="AD143" i="46"/>
  <c r="AC143" i="46"/>
  <c r="S143" i="46"/>
  <c r="AB143" i="46" s="1"/>
  <c r="AD142" i="46"/>
  <c r="AC142" i="46"/>
  <c r="S142" i="46"/>
  <c r="AB142" i="46" s="1"/>
  <c r="AD141" i="46"/>
  <c r="AC141" i="46"/>
  <c r="S141" i="46"/>
  <c r="AB141" i="46" s="1"/>
  <c r="AD140" i="46"/>
  <c r="AC140" i="46"/>
  <c r="S140" i="46"/>
  <c r="AB140" i="46" s="1"/>
  <c r="AD139" i="46"/>
  <c r="AC139" i="46"/>
  <c r="S139" i="46"/>
  <c r="AB139" i="46" s="1"/>
  <c r="AD138" i="46"/>
  <c r="AC138" i="46"/>
  <c r="S138" i="46"/>
  <c r="AB138" i="46" s="1"/>
  <c r="AD137" i="46"/>
  <c r="AC137" i="46"/>
  <c r="S137" i="46"/>
  <c r="AB137" i="46" s="1"/>
  <c r="AD136" i="46"/>
  <c r="AC136" i="46"/>
  <c r="S136" i="46"/>
  <c r="AB136" i="46" s="1"/>
  <c r="AD135" i="46"/>
  <c r="AC135" i="46"/>
  <c r="S135" i="46"/>
  <c r="AB135" i="46" s="1"/>
  <c r="AD134" i="46"/>
  <c r="AC134" i="46"/>
  <c r="S134" i="46"/>
  <c r="AB134" i="46" s="1"/>
  <c r="AD133" i="46"/>
  <c r="AC133" i="46"/>
  <c r="S133" i="46"/>
  <c r="AB133" i="46" s="1"/>
  <c r="AD132" i="46"/>
  <c r="AC132" i="46"/>
  <c r="S132" i="46"/>
  <c r="AB132" i="46" s="1"/>
  <c r="AD131" i="46"/>
  <c r="AC131" i="46"/>
  <c r="S131" i="46"/>
  <c r="AB131" i="46" s="1"/>
  <c r="AD130" i="46"/>
  <c r="AC130" i="46"/>
  <c r="S130" i="46"/>
  <c r="AB130" i="46" s="1"/>
  <c r="AD129" i="46"/>
  <c r="AC129" i="46"/>
  <c r="S129" i="46"/>
  <c r="AB129" i="46" s="1"/>
  <c r="AD128" i="46"/>
  <c r="AC128" i="46"/>
  <c r="S128" i="46"/>
  <c r="AB128" i="46" s="1"/>
  <c r="AD127" i="46"/>
  <c r="AC127" i="46"/>
  <c r="S127" i="46"/>
  <c r="AB127" i="46" s="1"/>
  <c r="AD126" i="46"/>
  <c r="AC126" i="46"/>
  <c r="S126" i="46"/>
  <c r="AB126" i="46" s="1"/>
  <c r="AD125" i="46"/>
  <c r="AC125" i="46"/>
  <c r="S125" i="46"/>
  <c r="AB125" i="46" s="1"/>
  <c r="AD124" i="46"/>
  <c r="AC124" i="46"/>
  <c r="S124" i="46"/>
  <c r="AB124" i="46" s="1"/>
  <c r="AD123" i="46"/>
  <c r="AC123" i="46"/>
  <c r="S123" i="46"/>
  <c r="AB123" i="46" s="1"/>
  <c r="AD122" i="46"/>
  <c r="AC122" i="46"/>
  <c r="S122" i="46"/>
  <c r="AB122" i="46" s="1"/>
  <c r="AD121" i="46"/>
  <c r="AC121" i="46"/>
  <c r="S121" i="46"/>
  <c r="AB121" i="46" s="1"/>
  <c r="AD120" i="46"/>
  <c r="AC120" i="46"/>
  <c r="S120" i="46"/>
  <c r="AB120" i="46" s="1"/>
  <c r="AD119" i="46"/>
  <c r="AC119" i="46"/>
  <c r="S119" i="46"/>
  <c r="AB119" i="46" s="1"/>
  <c r="AD118" i="46"/>
  <c r="AC118" i="46"/>
  <c r="S118" i="46"/>
  <c r="AB118" i="46" s="1"/>
  <c r="AD117" i="46"/>
  <c r="AC117" i="46"/>
  <c r="S117" i="46"/>
  <c r="AB117" i="46" s="1"/>
  <c r="AD116" i="46"/>
  <c r="AC116" i="46"/>
  <c r="S116" i="46"/>
  <c r="AB116" i="46" s="1"/>
  <c r="AD115" i="46"/>
  <c r="AC115" i="46"/>
  <c r="S115" i="46"/>
  <c r="AB115" i="46" s="1"/>
  <c r="AD114" i="46"/>
  <c r="AC114" i="46"/>
  <c r="S114" i="46"/>
  <c r="AB114" i="46" s="1"/>
  <c r="AD113" i="46"/>
  <c r="AC113" i="46"/>
  <c r="S113" i="46"/>
  <c r="AB113" i="46" s="1"/>
  <c r="AD112" i="46"/>
  <c r="AC112" i="46"/>
  <c r="S112" i="46"/>
  <c r="AB112" i="46" s="1"/>
  <c r="AD111" i="46"/>
  <c r="AC111" i="46"/>
  <c r="S111" i="46"/>
  <c r="AB111" i="46" s="1"/>
  <c r="AD110" i="46"/>
  <c r="AC110" i="46"/>
  <c r="S110" i="46"/>
  <c r="AB110" i="46" s="1"/>
  <c r="AD109" i="46"/>
  <c r="AC109" i="46"/>
  <c r="S109" i="46"/>
  <c r="AB109" i="46" s="1"/>
  <c r="AD108" i="46"/>
  <c r="AC108" i="46"/>
  <c r="S108" i="46"/>
  <c r="AB108" i="46" s="1"/>
  <c r="AD107" i="46"/>
  <c r="AC107" i="46"/>
  <c r="S107" i="46"/>
  <c r="AB107" i="46" s="1"/>
  <c r="AD106" i="46"/>
  <c r="AC106" i="46"/>
  <c r="S106" i="46"/>
  <c r="AB106" i="46" s="1"/>
  <c r="AD105" i="46"/>
  <c r="AC105" i="46"/>
  <c r="S105" i="46"/>
  <c r="AB105" i="46" s="1"/>
  <c r="AD104" i="46"/>
  <c r="AC104" i="46"/>
  <c r="S104" i="46"/>
  <c r="AB104" i="46" s="1"/>
  <c r="AD103" i="46"/>
  <c r="AC103" i="46"/>
  <c r="S103" i="46"/>
  <c r="AB103" i="46" s="1"/>
  <c r="AD102" i="46"/>
  <c r="AC102" i="46"/>
  <c r="S102" i="46"/>
  <c r="AB102" i="46" s="1"/>
  <c r="AD101" i="46"/>
  <c r="AC101" i="46"/>
  <c r="S101" i="46"/>
  <c r="AB101" i="46" s="1"/>
  <c r="AD100" i="46"/>
  <c r="AC100" i="46"/>
  <c r="S100" i="46"/>
  <c r="AB100" i="46" s="1"/>
  <c r="AD99" i="46"/>
  <c r="AC99" i="46"/>
  <c r="S99" i="46"/>
  <c r="AB99" i="46" s="1"/>
  <c r="AD98" i="46"/>
  <c r="AC98" i="46"/>
  <c r="S98" i="46"/>
  <c r="AB98" i="46" s="1"/>
  <c r="AD97" i="46"/>
  <c r="AC97" i="46"/>
  <c r="S97" i="46"/>
  <c r="AB97" i="46" s="1"/>
  <c r="AD96" i="46"/>
  <c r="AC96" i="46"/>
  <c r="S96" i="46"/>
  <c r="AB96" i="46" s="1"/>
  <c r="AD95" i="46"/>
  <c r="AC95" i="46"/>
  <c r="S95" i="46"/>
  <c r="AB95" i="46" s="1"/>
  <c r="AD94" i="46"/>
  <c r="AC94" i="46"/>
  <c r="S94" i="46"/>
  <c r="AB94" i="46" s="1"/>
  <c r="AD93" i="46"/>
  <c r="AC93" i="46"/>
  <c r="S93" i="46"/>
  <c r="AB93" i="46" s="1"/>
  <c r="AD92" i="46"/>
  <c r="AC92" i="46"/>
  <c r="S92" i="46"/>
  <c r="AB92" i="46" s="1"/>
  <c r="AD91" i="46"/>
  <c r="AC91" i="46"/>
  <c r="S91" i="46"/>
  <c r="AB91" i="46" s="1"/>
  <c r="AD90" i="46"/>
  <c r="AC90" i="46"/>
  <c r="S90" i="46"/>
  <c r="AB90" i="46" s="1"/>
  <c r="AD89" i="46"/>
  <c r="AC89" i="46"/>
  <c r="S89" i="46"/>
  <c r="AB89" i="46" s="1"/>
  <c r="AD88" i="46"/>
  <c r="AC88" i="46"/>
  <c r="S88" i="46"/>
  <c r="AB88" i="46" s="1"/>
  <c r="AD87" i="46"/>
  <c r="AC87" i="46"/>
  <c r="S87" i="46"/>
  <c r="AB87" i="46" s="1"/>
  <c r="AD86" i="46"/>
  <c r="AC86" i="46"/>
  <c r="S86" i="46"/>
  <c r="AB86" i="46" s="1"/>
  <c r="AD85" i="46"/>
  <c r="AC85" i="46"/>
  <c r="S85" i="46"/>
  <c r="AB85" i="46" s="1"/>
  <c r="AD84" i="46"/>
  <c r="AC84" i="46"/>
  <c r="S84" i="46"/>
  <c r="AB84" i="46" s="1"/>
  <c r="AD83" i="46"/>
  <c r="AC83" i="46"/>
  <c r="S83" i="46"/>
  <c r="AB83" i="46" s="1"/>
  <c r="AD82" i="46"/>
  <c r="AC82" i="46"/>
  <c r="S82" i="46"/>
  <c r="AB82" i="46" s="1"/>
  <c r="AD81" i="46"/>
  <c r="AC81" i="46"/>
  <c r="S81" i="46"/>
  <c r="AB81" i="46" s="1"/>
  <c r="AD80" i="46"/>
  <c r="AC80" i="46"/>
  <c r="S80" i="46"/>
  <c r="AB80" i="46" s="1"/>
  <c r="AD79" i="46"/>
  <c r="AC79" i="46"/>
  <c r="S79" i="46"/>
  <c r="AB79" i="46" s="1"/>
  <c r="AD78" i="46"/>
  <c r="AC78" i="46"/>
  <c r="S78" i="46"/>
  <c r="AB78" i="46" s="1"/>
  <c r="AD77" i="46"/>
  <c r="AC77" i="46"/>
  <c r="S77" i="46"/>
  <c r="AB77" i="46" s="1"/>
  <c r="AD76" i="46"/>
  <c r="AC76" i="46"/>
  <c r="S76" i="46"/>
  <c r="AB76" i="46" s="1"/>
  <c r="AD75" i="46"/>
  <c r="AC75" i="46"/>
  <c r="AD74" i="46"/>
  <c r="AC74" i="46"/>
  <c r="AD73" i="46"/>
  <c r="AC73" i="46"/>
  <c r="AD72" i="46"/>
  <c r="AC72" i="46"/>
  <c r="AD71" i="46"/>
  <c r="AC71" i="46"/>
  <c r="AD70" i="46"/>
  <c r="AC70" i="46"/>
  <c r="AD69" i="46"/>
  <c r="AC69" i="46"/>
  <c r="AD68" i="46"/>
  <c r="AC68" i="46"/>
  <c r="AD67" i="46"/>
  <c r="AC67" i="46"/>
  <c r="AD66" i="46"/>
  <c r="AC66" i="46"/>
  <c r="AD65" i="46"/>
  <c r="AC65" i="46"/>
  <c r="AD64" i="46"/>
  <c r="AC64" i="46"/>
  <c r="AD63" i="46"/>
  <c r="AC63" i="46"/>
  <c r="AD62" i="46"/>
  <c r="AC62" i="46"/>
  <c r="AD61" i="46"/>
  <c r="AC61" i="46"/>
  <c r="AD60" i="46"/>
  <c r="AC60" i="46"/>
  <c r="AD59" i="46"/>
  <c r="AC59" i="46"/>
  <c r="AD58" i="46"/>
  <c r="AC58" i="46"/>
  <c r="AD57" i="46"/>
  <c r="AC57" i="46"/>
  <c r="AD56" i="46"/>
  <c r="AC56" i="46"/>
  <c r="AD55" i="46"/>
  <c r="AC55" i="46"/>
  <c r="AD54" i="46"/>
  <c r="AC54" i="46"/>
  <c r="AD53" i="46"/>
  <c r="AC53" i="46"/>
  <c r="AD52" i="46"/>
  <c r="AC52" i="46"/>
  <c r="AD51" i="46"/>
  <c r="AC51" i="46"/>
  <c r="AD50" i="46"/>
  <c r="AC50" i="46"/>
  <c r="AD49" i="46"/>
  <c r="AC49" i="46"/>
  <c r="AD48" i="46"/>
  <c r="AC48" i="46"/>
  <c r="AD47" i="46"/>
  <c r="AC47" i="46"/>
  <c r="AD46" i="46"/>
  <c r="AC46" i="46"/>
  <c r="AD45" i="46"/>
  <c r="AC45" i="46"/>
  <c r="AD44" i="46"/>
  <c r="AC44" i="46"/>
  <c r="AD43" i="46"/>
  <c r="AC43" i="46"/>
  <c r="AD42" i="46"/>
  <c r="AC42" i="46"/>
  <c r="AD41" i="46"/>
  <c r="AC41" i="46"/>
  <c r="AD40" i="46"/>
  <c r="AC40" i="46"/>
  <c r="AD39" i="46"/>
  <c r="AC39" i="46"/>
  <c r="AD38" i="46"/>
  <c r="AC38" i="46"/>
  <c r="AD37" i="46"/>
  <c r="AC37" i="46"/>
  <c r="AD36" i="46"/>
  <c r="AC36" i="46"/>
  <c r="AD35" i="46"/>
  <c r="AC35" i="46"/>
  <c r="AD34" i="46"/>
  <c r="AC34" i="46"/>
  <c r="AD33" i="46"/>
  <c r="AC33" i="46"/>
  <c r="AD32" i="46"/>
  <c r="AC32" i="46"/>
  <c r="AD31" i="46"/>
  <c r="AC31" i="46"/>
  <c r="AD30" i="46"/>
  <c r="AC30" i="46"/>
  <c r="AD29" i="46"/>
  <c r="AC29" i="46"/>
  <c r="AD28" i="46"/>
  <c r="AC28" i="46"/>
  <c r="AD27" i="46"/>
  <c r="AC27" i="46"/>
  <c r="AD26" i="46"/>
  <c r="AC26" i="46"/>
  <c r="AD25" i="46"/>
  <c r="AC25" i="46"/>
  <c r="AD24" i="46"/>
  <c r="AC24" i="46"/>
  <c r="AD23" i="46"/>
  <c r="AC23" i="46"/>
  <c r="AD22" i="46"/>
  <c r="AC22" i="46"/>
  <c r="AD21" i="46"/>
  <c r="AC21" i="46"/>
  <c r="AD20" i="46"/>
  <c r="AC20" i="46"/>
  <c r="AD19" i="46"/>
  <c r="AC19" i="46"/>
  <c r="AD18" i="46"/>
  <c r="AC18" i="46"/>
  <c r="AD17" i="46"/>
  <c r="AC17" i="46"/>
  <c r="AD16" i="46"/>
  <c r="AC16" i="46"/>
  <c r="AD15" i="46"/>
  <c r="AC15" i="46"/>
  <c r="AD14" i="46"/>
  <c r="AC14" i="46"/>
  <c r="AD13" i="46"/>
  <c r="AC13" i="46"/>
  <c r="AD12" i="46"/>
  <c r="AC12" i="46"/>
  <c r="AD11" i="46"/>
  <c r="AC11" i="46"/>
  <c r="AD10" i="46"/>
  <c r="AC10" i="46"/>
  <c r="AD9" i="46"/>
  <c r="AC9" i="46"/>
  <c r="AD8" i="46"/>
  <c r="AC8" i="46"/>
  <c r="AD7" i="46"/>
  <c r="AC7" i="46"/>
  <c r="AD6" i="46"/>
  <c r="AC6" i="46"/>
  <c r="AD5" i="46"/>
  <c r="AC5" i="46"/>
  <c r="E118" i="49"/>
  <c r="E119" i="49"/>
  <c r="E120" i="49"/>
  <c r="E121" i="49"/>
  <c r="E122" i="49"/>
  <c r="E123" i="49"/>
  <c r="E124" i="49"/>
  <c r="AF7" i="21"/>
  <c r="AG7" i="21" s="1"/>
  <c r="AF9" i="21"/>
  <c r="AG9" i="21" s="1"/>
  <c r="AF10" i="21"/>
  <c r="AG10" i="21" s="1"/>
  <c r="AF11" i="21"/>
  <c r="AG11" i="21" s="1"/>
  <c r="AF12" i="21"/>
  <c r="AG12" i="21" s="1"/>
  <c r="AF14" i="21"/>
  <c r="AG14" i="21" s="1"/>
  <c r="AJ14" i="21" s="1"/>
  <c r="AF15" i="21"/>
  <c r="AG15" i="21" s="1"/>
  <c r="AJ15" i="21" s="1"/>
  <c r="AF16" i="21"/>
  <c r="AG16" i="21" s="1"/>
  <c r="AF17" i="21"/>
  <c r="AG17" i="21" s="1"/>
  <c r="AJ17" i="21" s="1"/>
  <c r="AF18" i="21"/>
  <c r="AM18" i="21" s="1"/>
  <c r="AF20" i="21"/>
  <c r="AM20" i="21" s="1"/>
  <c r="AF22" i="21"/>
  <c r="AM22" i="21" s="1"/>
  <c r="AF23" i="21"/>
  <c r="AG23" i="21" s="1"/>
  <c r="AF24" i="21"/>
  <c r="AG24" i="21" s="1"/>
  <c r="AF25" i="21"/>
  <c r="AG25" i="21" s="1"/>
  <c r="AH25" i="21" s="1"/>
  <c r="AK25" i="21" s="1"/>
  <c r="AF26" i="21"/>
  <c r="AM26" i="21" s="1"/>
  <c r="AF28" i="21"/>
  <c r="AM28" i="21" s="1"/>
  <c r="AF29" i="21"/>
  <c r="AG29" i="21" s="1"/>
  <c r="AF30" i="21"/>
  <c r="AM30" i="21" s="1"/>
  <c r="AF31" i="21"/>
  <c r="AM31" i="21" s="1"/>
  <c r="AF33" i="21"/>
  <c r="AG33" i="21" s="1"/>
  <c r="AH33" i="21" s="1"/>
  <c r="AK33" i="21" s="1"/>
  <c r="AF34" i="21"/>
  <c r="AM34" i="21" s="1"/>
  <c r="AF35" i="21"/>
  <c r="AM35" i="21" s="1"/>
  <c r="AF36" i="21"/>
  <c r="AG36" i="21" s="1"/>
  <c r="AJ36" i="21" s="1"/>
  <c r="AF37" i="21"/>
  <c r="AG37" i="21" s="1"/>
  <c r="AF38" i="21"/>
  <c r="AM38" i="21" s="1"/>
  <c r="AF40" i="21"/>
  <c r="AG40" i="21" s="1"/>
  <c r="AF3" i="21"/>
  <c r="AG3" i="21" s="1"/>
  <c r="AG41" i="21" s="1"/>
  <c r="AI41" i="21"/>
  <c r="AF32" i="21"/>
  <c r="AG32" i="21" s="1"/>
  <c r="AF21" i="21"/>
  <c r="AG21" i="21" s="1"/>
  <c r="AJ21" i="21" s="1"/>
  <c r="AF13" i="21"/>
  <c r="AG13" i="21" s="1"/>
  <c r="AH13" i="21" s="1"/>
  <c r="AF8" i="21"/>
  <c r="AG8" i="21" s="1"/>
  <c r="AF6" i="21"/>
  <c r="AG6" i="21" s="1"/>
  <c r="AH6" i="21" s="1"/>
  <c r="AK6" i="21" s="1"/>
  <c r="AF5" i="21"/>
  <c r="AG5" i="21" s="1"/>
  <c r="AF4" i="21"/>
  <c r="AG4" i="21" s="1"/>
  <c r="AF19" i="21"/>
  <c r="AF27" i="21"/>
  <c r="AF39" i="21"/>
  <c r="D309" i="49" l="1"/>
  <c r="G8" i="28"/>
  <c r="J7" i="28"/>
  <c r="H7" i="28"/>
  <c r="I7" i="28"/>
  <c r="J6" i="28"/>
  <c r="H6" i="28"/>
  <c r="I6" i="28"/>
  <c r="J5" i="28"/>
  <c r="H5" i="28"/>
  <c r="I5" i="28"/>
  <c r="J3" i="28"/>
  <c r="I3" i="28"/>
  <c r="H3" i="28"/>
  <c r="L17" i="45"/>
  <c r="J17" i="45"/>
  <c r="J16" i="45"/>
  <c r="L16" i="45"/>
  <c r="L15" i="45"/>
  <c r="J15" i="45"/>
  <c r="J14" i="45"/>
  <c r="L14" i="45"/>
  <c r="J20" i="45"/>
  <c r="L20" i="45"/>
  <c r="L19" i="45"/>
  <c r="J19" i="45"/>
  <c r="J18" i="45"/>
  <c r="E95" i="49" s="1"/>
  <c r="L18" i="45"/>
  <c r="J10" i="45"/>
  <c r="K10" i="45" s="1"/>
  <c r="L10" i="45"/>
  <c r="M10" i="45"/>
  <c r="H87" i="49" s="1"/>
  <c r="D73" i="49"/>
  <c r="H6" i="30"/>
  <c r="G6" i="30"/>
  <c r="F6" i="30"/>
  <c r="I6" i="30"/>
  <c r="H73" i="49" s="1"/>
  <c r="D74" i="49"/>
  <c r="I7" i="30"/>
  <c r="H74" i="49" s="1"/>
  <c r="H7" i="30"/>
  <c r="G74" i="49" s="1"/>
  <c r="G7" i="30"/>
  <c r="F7" i="30"/>
  <c r="I5" i="30"/>
  <c r="G5" i="30"/>
  <c r="H5" i="30"/>
  <c r="F5" i="30"/>
  <c r="E72" i="49" s="1"/>
  <c r="F10" i="30"/>
  <c r="E77" i="49" s="1"/>
  <c r="I10" i="30"/>
  <c r="H77" i="49" s="1"/>
  <c r="H10" i="30"/>
  <c r="G10" i="30"/>
  <c r="D76" i="49"/>
  <c r="I9" i="30"/>
  <c r="H9" i="30"/>
  <c r="G76" i="49" s="1"/>
  <c r="G9" i="30"/>
  <c r="F76" i="49" s="1"/>
  <c r="F9" i="30"/>
  <c r="E76" i="49" s="1"/>
  <c r="T308" i="52"/>
  <c r="T240" i="52"/>
  <c r="T232" i="52"/>
  <c r="T215" i="52"/>
  <c r="T233" i="52"/>
  <c r="T228" i="52"/>
  <c r="T203" i="52"/>
  <c r="T229" i="52"/>
  <c r="T226" i="52"/>
  <c r="T221" i="52"/>
  <c r="T218" i="52"/>
  <c r="T213" i="52"/>
  <c r="T210" i="52"/>
  <c r="T222" i="52"/>
  <c r="T227" i="52"/>
  <c r="T214" i="52"/>
  <c r="T219" i="52"/>
  <c r="T223" i="52"/>
  <c r="T236" i="52"/>
  <c r="T211" i="52"/>
  <c r="T224" i="52"/>
  <c r="T207" i="52"/>
  <c r="T237" i="52"/>
  <c r="T220" i="52"/>
  <c r="T234" i="52"/>
  <c r="T225" i="52"/>
  <c r="T212" i="52"/>
  <c r="T238" i="52"/>
  <c r="T204" i="52"/>
  <c r="T230" i="52"/>
  <c r="T235" i="52"/>
  <c r="T205" i="52"/>
  <c r="T209" i="52"/>
  <c r="T206" i="52"/>
  <c r="T216" i="52"/>
  <c r="T208" i="52"/>
  <c r="T217" i="52"/>
  <c r="T239" i="52"/>
  <c r="T231" i="52"/>
  <c r="D71" i="49"/>
  <c r="G4" i="30"/>
  <c r="F71" i="49" s="1"/>
  <c r="F4" i="30"/>
  <c r="E71" i="49" s="1"/>
  <c r="I4" i="30"/>
  <c r="H4" i="30"/>
  <c r="H8" i="30"/>
  <c r="I8" i="30"/>
  <c r="H75" i="49" s="1"/>
  <c r="G8" i="30"/>
  <c r="F8" i="30"/>
  <c r="E75" i="49" s="1"/>
  <c r="N5" i="23"/>
  <c r="O5" i="23"/>
  <c r="P5" i="23"/>
  <c r="O6" i="23"/>
  <c r="P6" i="23"/>
  <c r="N6" i="23"/>
  <c r="D138" i="49"/>
  <c r="M14" i="23"/>
  <c r="N13" i="23"/>
  <c r="O13" i="23"/>
  <c r="P13" i="23"/>
  <c r="N7" i="23"/>
  <c r="O7" i="23"/>
  <c r="P7" i="23"/>
  <c r="D139" i="49"/>
  <c r="M15" i="23"/>
  <c r="N9" i="23"/>
  <c r="O9" i="23"/>
  <c r="P9" i="23"/>
  <c r="P17" i="23"/>
  <c r="N17" i="23"/>
  <c r="O17" i="23"/>
  <c r="O8" i="23"/>
  <c r="P8" i="23"/>
  <c r="N8" i="23"/>
  <c r="O10" i="23"/>
  <c r="P10" i="23"/>
  <c r="N10" i="23"/>
  <c r="P18" i="23"/>
  <c r="O18" i="23"/>
  <c r="N18" i="23"/>
  <c r="P16" i="23"/>
  <c r="N16" i="23"/>
  <c r="O16" i="23"/>
  <c r="N11" i="23"/>
  <c r="O11" i="23"/>
  <c r="P11" i="23"/>
  <c r="D143" i="49"/>
  <c r="M19" i="23"/>
  <c r="O12" i="23"/>
  <c r="P12" i="23"/>
  <c r="N12" i="23"/>
  <c r="O4" i="23"/>
  <c r="P4" i="23"/>
  <c r="N4" i="23"/>
  <c r="J4" i="20"/>
  <c r="N45" i="21"/>
  <c r="H276" i="49" s="1"/>
  <c r="M45" i="21"/>
  <c r="G276" i="49" s="1"/>
  <c r="L45" i="21"/>
  <c r="F276" i="49" s="1"/>
  <c r="N29" i="21"/>
  <c r="H260" i="49" s="1"/>
  <c r="M29" i="21"/>
  <c r="L29" i="21"/>
  <c r="F260" i="49" s="1"/>
  <c r="D252" i="49"/>
  <c r="K21" i="21"/>
  <c r="D246" i="49"/>
  <c r="K15" i="21"/>
  <c r="D241" i="49"/>
  <c r="K10" i="21"/>
  <c r="D275" i="49"/>
  <c r="K44" i="21"/>
  <c r="D259" i="49"/>
  <c r="K28" i="21"/>
  <c r="N20" i="21"/>
  <c r="H251" i="49" s="1"/>
  <c r="M20" i="21"/>
  <c r="G251" i="49" s="1"/>
  <c r="L20" i="21"/>
  <c r="K9" i="21"/>
  <c r="D254" i="49"/>
  <c r="K23" i="21"/>
  <c r="D274" i="49"/>
  <c r="K43" i="21"/>
  <c r="D258" i="49"/>
  <c r="K27" i="21"/>
  <c r="E258" i="49" s="1"/>
  <c r="K19" i="21"/>
  <c r="D239" i="49"/>
  <c r="K8" i="21"/>
  <c r="D278" i="49"/>
  <c r="K47" i="21"/>
  <c r="D281" i="49"/>
  <c r="K50" i="21"/>
  <c r="D265" i="49"/>
  <c r="K34" i="21"/>
  <c r="E265" i="49" s="1"/>
  <c r="D257" i="49"/>
  <c r="K26" i="21"/>
  <c r="D244" i="49"/>
  <c r="K13" i="21"/>
  <c r="D238" i="49"/>
  <c r="K7" i="21"/>
  <c r="N49" i="21"/>
  <c r="H280" i="49" s="1"/>
  <c r="M49" i="21"/>
  <c r="G280" i="49" s="1"/>
  <c r="L49" i="21"/>
  <c r="D264" i="49"/>
  <c r="K33" i="21"/>
  <c r="N25" i="21"/>
  <c r="H256" i="49" s="1"/>
  <c r="M25" i="21"/>
  <c r="G256" i="49" s="1"/>
  <c r="L25" i="21"/>
  <c r="D237" i="49"/>
  <c r="K6" i="21"/>
  <c r="N48" i="21"/>
  <c r="H279" i="49" s="1"/>
  <c r="L48" i="21"/>
  <c r="F279" i="49" s="1"/>
  <c r="M48" i="21"/>
  <c r="G279" i="49" s="1"/>
  <c r="D263" i="49"/>
  <c r="K32" i="21"/>
  <c r="N24" i="21"/>
  <c r="L24" i="21"/>
  <c r="M24" i="21"/>
  <c r="G255" i="49" s="1"/>
  <c r="D236" i="49"/>
  <c r="K5" i="21"/>
  <c r="N4" i="21"/>
  <c r="H235" i="49" s="1"/>
  <c r="L4" i="21"/>
  <c r="M4" i="21"/>
  <c r="G235" i="49" s="1"/>
  <c r="N31" i="21"/>
  <c r="L31" i="21"/>
  <c r="M31" i="21"/>
  <c r="G262" i="49" s="1"/>
  <c r="N46" i="21"/>
  <c r="H277" i="49" s="1"/>
  <c r="L46" i="21"/>
  <c r="M46" i="21"/>
  <c r="G277" i="49" s="1"/>
  <c r="D261" i="49"/>
  <c r="K30" i="21"/>
  <c r="D253" i="49"/>
  <c r="K22" i="21"/>
  <c r="D247" i="49"/>
  <c r="K16" i="21"/>
  <c r="N3" i="21"/>
  <c r="L3" i="21"/>
  <c r="M3" i="21"/>
  <c r="T311" i="52"/>
  <c r="T310" i="52"/>
  <c r="T307" i="52"/>
  <c r="T309" i="52"/>
  <c r="T302" i="52"/>
  <c r="T305" i="52"/>
  <c r="T301" i="52"/>
  <c r="T304" i="52"/>
  <c r="T299" i="52"/>
  <c r="T303" i="52"/>
  <c r="T306" i="52"/>
  <c r="T300" i="52"/>
  <c r="T202" i="52"/>
  <c r="T201" i="52"/>
  <c r="T279" i="52"/>
  <c r="D315" i="49"/>
  <c r="D327" i="49"/>
  <c r="F60" i="84"/>
  <c r="F61" i="84" s="1"/>
  <c r="H218" i="69"/>
  <c r="H219" i="69" s="1"/>
  <c r="H41" i="83"/>
  <c r="H42" i="83" s="1"/>
  <c r="F32" i="84"/>
  <c r="F33" i="84" s="1"/>
  <c r="H218" i="82"/>
  <c r="G60" i="84"/>
  <c r="G61" i="84" s="1"/>
  <c r="I218" i="69"/>
  <c r="I219" i="69" s="1"/>
  <c r="I41" i="83"/>
  <c r="I42" i="83" s="1"/>
  <c r="G32" i="84"/>
  <c r="G33" i="84" s="1"/>
  <c r="I218" i="82"/>
  <c r="J218" i="69"/>
  <c r="J219" i="69" s="1"/>
  <c r="H60" i="84"/>
  <c r="H61" i="84" s="1"/>
  <c r="H32" i="84"/>
  <c r="H33" i="84" s="1"/>
  <c r="J218" i="82"/>
  <c r="J41" i="83"/>
  <c r="J42" i="83" s="1"/>
  <c r="K218" i="69"/>
  <c r="K219" i="69" s="1"/>
  <c r="I60" i="84"/>
  <c r="I61" i="84" s="1"/>
  <c r="I32" i="84"/>
  <c r="I33" i="84" s="1"/>
  <c r="K218" i="82"/>
  <c r="K41" i="83"/>
  <c r="K42" i="83" s="1"/>
  <c r="L218" i="69"/>
  <c r="L219" i="69" s="1"/>
  <c r="J60" i="84"/>
  <c r="J61" i="84" s="1"/>
  <c r="L41" i="83"/>
  <c r="L42" i="83" s="1"/>
  <c r="J32" i="84"/>
  <c r="J33" i="84" s="1"/>
  <c r="L218" i="82"/>
  <c r="T294" i="52"/>
  <c r="T291" i="52"/>
  <c r="T297" i="52"/>
  <c r="T298" i="52"/>
  <c r="T292" i="52"/>
  <c r="T293" i="52"/>
  <c r="T295" i="52"/>
  <c r="T296" i="52"/>
  <c r="T290" i="52"/>
  <c r="T287" i="52"/>
  <c r="T289" i="52"/>
  <c r="T286" i="52"/>
  <c r="T288" i="52"/>
  <c r="T3" i="52"/>
  <c r="T185" i="52"/>
  <c r="T105" i="52"/>
  <c r="T256" i="52"/>
  <c r="T192" i="52"/>
  <c r="T128" i="52"/>
  <c r="T64" i="52"/>
  <c r="T273" i="52"/>
  <c r="T263" i="52"/>
  <c r="T199" i="52"/>
  <c r="T167" i="52"/>
  <c r="T103" i="52"/>
  <c r="T39" i="52"/>
  <c r="T153" i="52"/>
  <c r="T262" i="52"/>
  <c r="T198" i="52"/>
  <c r="T134" i="52"/>
  <c r="T70" i="52"/>
  <c r="T6" i="52"/>
  <c r="T269" i="52"/>
  <c r="T141" i="52"/>
  <c r="T45" i="52"/>
  <c r="T284" i="52"/>
  <c r="T156" i="52"/>
  <c r="T92" i="52"/>
  <c r="T28" i="52"/>
  <c r="T131" i="52"/>
  <c r="T67" i="52"/>
  <c r="T257" i="52"/>
  <c r="T282" i="52"/>
  <c r="T154" i="52"/>
  <c r="T90" i="52"/>
  <c r="T26" i="52"/>
  <c r="T81" i="52"/>
  <c r="T184" i="52"/>
  <c r="T120" i="52"/>
  <c r="T56" i="52"/>
  <c r="T159" i="52"/>
  <c r="T95" i="52"/>
  <c r="T63" i="52"/>
  <c r="T9" i="52"/>
  <c r="T158" i="52"/>
  <c r="T94" i="52"/>
  <c r="T30" i="52"/>
  <c r="T73" i="52"/>
  <c r="T261" i="52"/>
  <c r="T197" i="52"/>
  <c r="T133" i="52"/>
  <c r="T69" i="52"/>
  <c r="T5" i="52"/>
  <c r="T244" i="52"/>
  <c r="T180" i="52"/>
  <c r="T148" i="52"/>
  <c r="T84" i="52"/>
  <c r="T20" i="52"/>
  <c r="T195" i="52"/>
  <c r="T123" i="52"/>
  <c r="T59" i="52"/>
  <c r="T275" i="52"/>
  <c r="T274" i="52"/>
  <c r="T242" i="52"/>
  <c r="T178" i="52"/>
  <c r="T114" i="52"/>
  <c r="T50" i="52"/>
  <c r="T281" i="52"/>
  <c r="T177" i="52"/>
  <c r="T280" i="52"/>
  <c r="T248" i="52"/>
  <c r="T152" i="52"/>
  <c r="T88" i="52"/>
  <c r="T24" i="52"/>
  <c r="T97" i="52"/>
  <c r="T255" i="52"/>
  <c r="T191" i="52"/>
  <c r="T127" i="52"/>
  <c r="T31" i="52"/>
  <c r="T65" i="52"/>
  <c r="T254" i="52"/>
  <c r="T190" i="52"/>
  <c r="T126" i="52"/>
  <c r="T62" i="52"/>
  <c r="T165" i="52"/>
  <c r="T101" i="52"/>
  <c r="T37" i="52"/>
  <c r="T276" i="52"/>
  <c r="T116" i="52"/>
  <c r="T52" i="52"/>
  <c r="T267" i="52"/>
  <c r="T155" i="52"/>
  <c r="T91" i="52"/>
  <c r="T27" i="52"/>
  <c r="T146" i="52"/>
  <c r="T82" i="52"/>
  <c r="T18" i="52"/>
  <c r="T161" i="52"/>
  <c r="T176" i="52"/>
  <c r="T144" i="52"/>
  <c r="T80" i="52"/>
  <c r="T16" i="52"/>
  <c r="T183" i="52"/>
  <c r="T119" i="52"/>
  <c r="T55" i="52"/>
  <c r="T278" i="52"/>
  <c r="T150" i="52"/>
  <c r="T86" i="52"/>
  <c r="T22" i="52"/>
  <c r="T285" i="52"/>
  <c r="T157" i="52"/>
  <c r="T93" i="52"/>
  <c r="T29" i="52"/>
  <c r="T265" i="52"/>
  <c r="T172" i="52"/>
  <c r="T108" i="52"/>
  <c r="T44" i="52"/>
  <c r="T259" i="52"/>
  <c r="T147" i="52"/>
  <c r="T83" i="52"/>
  <c r="T19" i="52"/>
  <c r="T170" i="52"/>
  <c r="T106" i="52"/>
  <c r="T42" i="52"/>
  <c r="T249" i="52"/>
  <c r="T41" i="52"/>
  <c r="T272" i="52"/>
  <c r="T112" i="52"/>
  <c r="T48" i="52"/>
  <c r="T193" i="52"/>
  <c r="T247" i="52"/>
  <c r="T151" i="52"/>
  <c r="T87" i="52"/>
  <c r="T23" i="52"/>
  <c r="T57" i="52"/>
  <c r="T246" i="52"/>
  <c r="T182" i="52"/>
  <c r="T118" i="52"/>
  <c r="T54" i="52"/>
  <c r="T137" i="52"/>
  <c r="T253" i="52"/>
  <c r="T189" i="52"/>
  <c r="T125" i="52"/>
  <c r="T61" i="52"/>
  <c r="T268" i="52"/>
  <c r="T140" i="52"/>
  <c r="T76" i="52"/>
  <c r="T12" i="52"/>
  <c r="T179" i="52"/>
  <c r="T115" i="52"/>
  <c r="T51" i="52"/>
  <c r="T251" i="52"/>
  <c r="T266" i="52"/>
  <c r="T138" i="52"/>
  <c r="T74" i="52"/>
  <c r="T10" i="52"/>
  <c r="T121" i="52"/>
  <c r="T168" i="52"/>
  <c r="T136" i="52"/>
  <c r="T72" i="52"/>
  <c r="T8" i="52"/>
  <c r="T271" i="52"/>
  <c r="T143" i="52"/>
  <c r="T79" i="52"/>
  <c r="T15" i="52"/>
  <c r="T49" i="52"/>
  <c r="T174" i="52"/>
  <c r="T142" i="52"/>
  <c r="T78" i="52"/>
  <c r="T14" i="52"/>
  <c r="T277" i="52"/>
  <c r="T149" i="52"/>
  <c r="T85" i="52"/>
  <c r="T53" i="52"/>
  <c r="T164" i="52"/>
  <c r="T100" i="52"/>
  <c r="T36" i="52"/>
  <c r="T171" i="52"/>
  <c r="T107" i="52"/>
  <c r="T43" i="52"/>
  <c r="T243" i="52"/>
  <c r="T258" i="52"/>
  <c r="T194" i="52"/>
  <c r="T162" i="52"/>
  <c r="T98" i="52"/>
  <c r="T34" i="52"/>
  <c r="T241" i="52"/>
  <c r="T33" i="52"/>
  <c r="T264" i="52"/>
  <c r="T200" i="52"/>
  <c r="T104" i="52"/>
  <c r="T40" i="52"/>
  <c r="T145" i="52"/>
  <c r="T175" i="52"/>
  <c r="T111" i="52"/>
  <c r="T47" i="52"/>
  <c r="T169" i="52"/>
  <c r="T270" i="52"/>
  <c r="T110" i="52"/>
  <c r="T46" i="52"/>
  <c r="T113" i="52"/>
  <c r="T245" i="52"/>
  <c r="T181" i="52"/>
  <c r="T117" i="52"/>
  <c r="T21" i="52"/>
  <c r="T260" i="52"/>
  <c r="T196" i="52"/>
  <c r="T132" i="52"/>
  <c r="T68" i="52"/>
  <c r="T4" i="52"/>
  <c r="T139" i="52"/>
  <c r="T75" i="52"/>
  <c r="T11" i="52"/>
  <c r="T187" i="52"/>
  <c r="T130" i="52"/>
  <c r="T66" i="52"/>
  <c r="T17" i="52"/>
  <c r="T160" i="52"/>
  <c r="T96" i="52"/>
  <c r="T32" i="52"/>
  <c r="T129" i="52"/>
  <c r="T135" i="52"/>
  <c r="T71" i="52"/>
  <c r="T7" i="52"/>
  <c r="T25" i="52"/>
  <c r="T166" i="52"/>
  <c r="T102" i="52"/>
  <c r="T38" i="52"/>
  <c r="T89" i="52"/>
  <c r="T173" i="52"/>
  <c r="T109" i="52"/>
  <c r="T77" i="52"/>
  <c r="T13" i="52"/>
  <c r="T252" i="52"/>
  <c r="T188" i="52"/>
  <c r="T124" i="52"/>
  <c r="T60" i="52"/>
  <c r="T283" i="52"/>
  <c r="T163" i="52"/>
  <c r="T99" i="52"/>
  <c r="T35" i="52"/>
  <c r="T250" i="52"/>
  <c r="T186" i="52"/>
  <c r="T122" i="52"/>
  <c r="T58" i="52"/>
  <c r="T2" i="52"/>
  <c r="E12" i="30"/>
  <c r="G50" i="49"/>
  <c r="F50" i="49"/>
  <c r="H52" i="49"/>
  <c r="E50" i="49"/>
  <c r="H51" i="49"/>
  <c r="E51" i="49"/>
  <c r="G173" i="49"/>
  <c r="F52" i="49"/>
  <c r="F54" i="49"/>
  <c r="E52" i="49"/>
  <c r="D276" i="49"/>
  <c r="E54" i="49"/>
  <c r="F49" i="49"/>
  <c r="G168" i="49"/>
  <c r="E161" i="49"/>
  <c r="H54" i="49"/>
  <c r="D240" i="49"/>
  <c r="H118" i="49"/>
  <c r="F117" i="49"/>
  <c r="H121" i="49"/>
  <c r="D119" i="49"/>
  <c r="F121" i="49"/>
  <c r="AG22" i="21"/>
  <c r="AJ22" i="21" s="1"/>
  <c r="D91" i="49"/>
  <c r="D83" i="49"/>
  <c r="G83" i="49"/>
  <c r="H83" i="49"/>
  <c r="F90" i="49"/>
  <c r="G90" i="49"/>
  <c r="F82" i="49"/>
  <c r="G82" i="49"/>
  <c r="H82" i="49"/>
  <c r="D97" i="49"/>
  <c r="G96" i="49"/>
  <c r="G88" i="49"/>
  <c r="D89" i="49"/>
  <c r="G95" i="49"/>
  <c r="D94" i="49"/>
  <c r="G94" i="49"/>
  <c r="F86" i="49"/>
  <c r="H86" i="49"/>
  <c r="G86" i="49"/>
  <c r="G93" i="49"/>
  <c r="D85" i="49"/>
  <c r="G85" i="49"/>
  <c r="H85" i="49"/>
  <c r="D92" i="49"/>
  <c r="H84" i="49"/>
  <c r="G84" i="49"/>
  <c r="E329" i="49"/>
  <c r="D329" i="49"/>
  <c r="D326" i="49"/>
  <c r="D328" i="49"/>
  <c r="E331" i="49"/>
  <c r="D331" i="49"/>
  <c r="E330" i="49"/>
  <c r="D330" i="49"/>
  <c r="D235" i="49"/>
  <c r="H120" i="49"/>
  <c r="H117" i="49"/>
  <c r="F120" i="49"/>
  <c r="G119" i="49"/>
  <c r="G121" i="49"/>
  <c r="D118" i="49"/>
  <c r="G122" i="49"/>
  <c r="F119" i="49"/>
  <c r="H71" i="49"/>
  <c r="G71" i="49"/>
  <c r="F74" i="49"/>
  <c r="F222" i="49"/>
  <c r="E159" i="49"/>
  <c r="G152" i="49"/>
  <c r="H81" i="49"/>
  <c r="G81" i="49"/>
  <c r="D122" i="49"/>
  <c r="F179" i="49"/>
  <c r="D279" i="49"/>
  <c r="D260" i="49"/>
  <c r="D262" i="49"/>
  <c r="D50" i="49"/>
  <c r="E310" i="49"/>
  <c r="D310" i="49"/>
  <c r="E308" i="49"/>
  <c r="D308" i="49"/>
  <c r="E307" i="49"/>
  <c r="D307" i="49"/>
  <c r="H306" i="49"/>
  <c r="D306" i="49"/>
  <c r="H305" i="49"/>
  <c r="D305" i="49"/>
  <c r="E304" i="49"/>
  <c r="D304" i="49"/>
  <c r="H122" i="49"/>
  <c r="G117" i="49"/>
  <c r="H123" i="49"/>
  <c r="F123" i="49"/>
  <c r="F124" i="49"/>
  <c r="H124" i="49"/>
  <c r="G123" i="49"/>
  <c r="G120" i="49"/>
  <c r="G124" i="49"/>
  <c r="E223" i="49"/>
  <c r="D223" i="49"/>
  <c r="F229" i="49"/>
  <c r="D229" i="49"/>
  <c r="E228" i="49"/>
  <c r="D228" i="49"/>
  <c r="E221" i="49"/>
  <c r="D221" i="49"/>
  <c r="G227" i="49"/>
  <c r="D227" i="49"/>
  <c r="E220" i="49"/>
  <c r="D220" i="49"/>
  <c r="E226" i="49"/>
  <c r="D226" i="49"/>
  <c r="G219" i="49"/>
  <c r="E225" i="49"/>
  <c r="D225" i="49"/>
  <c r="E224" i="49"/>
  <c r="D224" i="49"/>
  <c r="E218" i="49"/>
  <c r="D218" i="49"/>
  <c r="E147" i="49"/>
  <c r="E175" i="49"/>
  <c r="D256" i="49"/>
  <c r="D250" i="49"/>
  <c r="AG30" i="21"/>
  <c r="AH30" i="21" s="1"/>
  <c r="AK30" i="21" s="1"/>
  <c r="AM40" i="21"/>
  <c r="F72" i="49"/>
  <c r="H76" i="49"/>
  <c r="E74" i="49"/>
  <c r="G73" i="49"/>
  <c r="H72" i="49"/>
  <c r="G72" i="49"/>
  <c r="H55" i="49"/>
  <c r="D48" i="49"/>
  <c r="F55" i="49"/>
  <c r="G55" i="49"/>
  <c r="E53" i="49"/>
  <c r="E55" i="49"/>
  <c r="F53" i="49"/>
  <c r="G51" i="49"/>
  <c r="E49" i="49"/>
  <c r="D82" i="49"/>
  <c r="D96" i="49"/>
  <c r="D86" i="49"/>
  <c r="D88" i="49"/>
  <c r="E86" i="49"/>
  <c r="D90" i="49"/>
  <c r="F84" i="49"/>
  <c r="E84" i="49"/>
  <c r="D81" i="49"/>
  <c r="E83" i="49"/>
  <c r="F83" i="49"/>
  <c r="E81" i="49"/>
  <c r="E82" i="49"/>
  <c r="E85" i="49"/>
  <c r="F81" i="49"/>
  <c r="F85" i="49"/>
  <c r="D95" i="49"/>
  <c r="D93" i="49"/>
  <c r="D87" i="49"/>
  <c r="D84" i="49"/>
  <c r="F51" i="49"/>
  <c r="E256" i="49"/>
  <c r="G54" i="49"/>
  <c r="J5" i="5"/>
  <c r="I50" i="49" s="1"/>
  <c r="H49" i="49"/>
  <c r="G49" i="49"/>
  <c r="E94" i="49"/>
  <c r="E136" i="49"/>
  <c r="D136" i="49"/>
  <c r="E135" i="49"/>
  <c r="D135" i="49"/>
  <c r="E137" i="49"/>
  <c r="D137" i="49"/>
  <c r="E130" i="49"/>
  <c r="D130" i="49"/>
  <c r="E131" i="49"/>
  <c r="D131" i="49"/>
  <c r="E132" i="49"/>
  <c r="D132" i="49"/>
  <c r="E140" i="49"/>
  <c r="D140" i="49"/>
  <c r="E133" i="49"/>
  <c r="D133" i="49"/>
  <c r="E141" i="49"/>
  <c r="D141" i="49"/>
  <c r="E134" i="49"/>
  <c r="D134" i="49"/>
  <c r="E142" i="49"/>
  <c r="D142" i="49"/>
  <c r="D128" i="49"/>
  <c r="E129" i="49"/>
  <c r="D129" i="49"/>
  <c r="E170" i="49"/>
  <c r="D170" i="49"/>
  <c r="E165" i="49"/>
  <c r="D165" i="49"/>
  <c r="E169" i="49"/>
  <c r="D169" i="49"/>
  <c r="E164" i="49"/>
  <c r="D164" i="49"/>
  <c r="F160" i="49"/>
  <c r="E160" i="49"/>
  <c r="E166" i="49"/>
  <c r="D166" i="49"/>
  <c r="D148" i="49"/>
  <c r="E174" i="49"/>
  <c r="D174" i="49"/>
  <c r="D163" i="49"/>
  <c r="E158" i="49"/>
  <c r="D158" i="49"/>
  <c r="E177" i="49"/>
  <c r="D177" i="49"/>
  <c r="E149" i="49"/>
  <c r="D149" i="49"/>
  <c r="E176" i="49"/>
  <c r="D176" i="49"/>
  <c r="E162" i="49"/>
  <c r="D162" i="49"/>
  <c r="E157" i="49"/>
  <c r="D157" i="49"/>
  <c r="E154" i="49"/>
  <c r="D154" i="49"/>
  <c r="F161" i="49"/>
  <c r="E156" i="49"/>
  <c r="D156" i="49"/>
  <c r="G171" i="49"/>
  <c r="D171" i="49"/>
  <c r="E153" i="49"/>
  <c r="D153" i="49"/>
  <c r="E178" i="49"/>
  <c r="D178" i="49"/>
  <c r="G172" i="49"/>
  <c r="F167" i="49"/>
  <c r="D155" i="49"/>
  <c r="E150" i="49"/>
  <c r="D150" i="49"/>
  <c r="G161" i="49"/>
  <c r="G160" i="49"/>
  <c r="G327" i="49"/>
  <c r="E327" i="49"/>
  <c r="G319" i="49"/>
  <c r="E319" i="49"/>
  <c r="E326" i="49"/>
  <c r="G326" i="49"/>
  <c r="E318" i="49"/>
  <c r="G318" i="49"/>
  <c r="E325" i="49"/>
  <c r="G325" i="49"/>
  <c r="E317" i="49"/>
  <c r="G317" i="49"/>
  <c r="G324" i="49"/>
  <c r="E324" i="49"/>
  <c r="G316" i="49"/>
  <c r="E316" i="49"/>
  <c r="E323" i="49"/>
  <c r="G323" i="49"/>
  <c r="G315" i="49"/>
  <c r="E315" i="49"/>
  <c r="E322" i="49"/>
  <c r="G322" i="49"/>
  <c r="G328" i="49"/>
  <c r="E328" i="49"/>
  <c r="G320" i="49"/>
  <c r="E320" i="49"/>
  <c r="D286" i="49"/>
  <c r="D285" i="49"/>
  <c r="D291" i="49"/>
  <c r="D289" i="49"/>
  <c r="D288" i="49"/>
  <c r="E260" i="49"/>
  <c r="E280" i="49"/>
  <c r="E234" i="49"/>
  <c r="H262" i="49"/>
  <c r="E262" i="49"/>
  <c r="F256" i="49"/>
  <c r="E251" i="49"/>
  <c r="E235" i="49"/>
  <c r="E255" i="49"/>
  <c r="H255" i="49"/>
  <c r="E277" i="49"/>
  <c r="G260" i="49"/>
  <c r="E279" i="49"/>
  <c r="D277" i="49"/>
  <c r="D234" i="49"/>
  <c r="E276" i="49"/>
  <c r="D280" i="49"/>
  <c r="D255" i="49"/>
  <c r="D251" i="49"/>
  <c r="AM32" i="21"/>
  <c r="D273" i="49"/>
  <c r="AG34" i="21"/>
  <c r="AJ34" i="21" s="1"/>
  <c r="AJ11" i="21"/>
  <c r="AH11" i="21"/>
  <c r="AM24" i="21"/>
  <c r="AG20" i="21"/>
  <c r="AJ20" i="21" s="1"/>
  <c r="AJ6" i="21"/>
  <c r="AH15" i="21"/>
  <c r="AK15" i="21" s="1"/>
  <c r="AH14" i="21"/>
  <c r="AK14" i="21" s="1"/>
  <c r="AJ24" i="21"/>
  <c r="AH24" i="21"/>
  <c r="AK24" i="21" s="1"/>
  <c r="AM25" i="21"/>
  <c r="AG26" i="21"/>
  <c r="AH36" i="21"/>
  <c r="AK36" i="21" s="1"/>
  <c r="AG28" i="21"/>
  <c r="AJ28" i="21" s="1"/>
  <c r="AJ16" i="21"/>
  <c r="AH16" i="21"/>
  <c r="AH29" i="21"/>
  <c r="AK29" i="21" s="1"/>
  <c r="AJ29" i="21"/>
  <c r="AG38" i="21"/>
  <c r="AG18" i="21"/>
  <c r="AH18" i="21" s="1"/>
  <c r="AK18" i="21" s="1"/>
  <c r="AG35" i="21"/>
  <c r="AM29" i="21"/>
  <c r="AJ25" i="21"/>
  <c r="AM21" i="21"/>
  <c r="AM23" i="21"/>
  <c r="AH21" i="21"/>
  <c r="AK21" i="21" s="1"/>
  <c r="AJ9" i="21"/>
  <c r="AH9" i="21"/>
  <c r="AK9" i="21" s="1"/>
  <c r="AH8" i="21"/>
  <c r="AK8" i="21" s="1"/>
  <c r="AJ8" i="21"/>
  <c r="AJ5" i="21"/>
  <c r="AH5" i="21"/>
  <c r="AK5" i="21" s="1"/>
  <c r="AJ10" i="21"/>
  <c r="AH10" i="21"/>
  <c r="AK10" i="21" s="1"/>
  <c r="AH3" i="21"/>
  <c r="AJ3" i="21"/>
  <c r="AJ41" i="21" s="1"/>
  <c r="AM33" i="21"/>
  <c r="AG27" i="21"/>
  <c r="AM27" i="21"/>
  <c r="AF41" i="21"/>
  <c r="AH44" i="21" s="1"/>
  <c r="AJ40" i="21"/>
  <c r="AH40" i="21"/>
  <c r="AK40" i="21" s="1"/>
  <c r="AH7" i="21"/>
  <c r="AK7" i="21" s="1"/>
  <c r="AJ7" i="21"/>
  <c r="AJ23" i="21"/>
  <c r="AH23" i="21"/>
  <c r="AK23" i="21" s="1"/>
  <c r="AM37" i="21"/>
  <c r="AJ12" i="21"/>
  <c r="AH12" i="21"/>
  <c r="AH17" i="21"/>
  <c r="AK17" i="21" s="1"/>
  <c r="AM39" i="21"/>
  <c r="AG39" i="21"/>
  <c r="AG19" i="21"/>
  <c r="AM19" i="21"/>
  <c r="AJ4" i="21"/>
  <c r="AH4" i="21"/>
  <c r="AK4" i="21" s="1"/>
  <c r="AJ37" i="21"/>
  <c r="AH37" i="21"/>
  <c r="AK37" i="21" s="1"/>
  <c r="AH32" i="21"/>
  <c r="AK32" i="21" s="1"/>
  <c r="AJ32" i="21"/>
  <c r="AJ33" i="21"/>
  <c r="AM17" i="21"/>
  <c r="AM36" i="21"/>
  <c r="AJ13" i="21"/>
  <c r="AK13" i="21" s="1"/>
  <c r="AG31" i="21"/>
  <c r="H214" i="49"/>
  <c r="I4" i="20"/>
  <c r="D213" i="49" s="1"/>
  <c r="F212" i="49"/>
  <c r="G212" i="49"/>
  <c r="H212" i="49"/>
  <c r="I3" i="20"/>
  <c r="D70" i="49"/>
  <c r="D72" i="49"/>
  <c r="G77" i="49"/>
  <c r="E73" i="49"/>
  <c r="D77" i="49"/>
  <c r="D75" i="49"/>
  <c r="J8" i="28" l="1"/>
  <c r="H309" i="49" s="1"/>
  <c r="H8" i="28"/>
  <c r="F309" i="49" s="1"/>
  <c r="I8" i="28"/>
  <c r="G309" i="49" s="1"/>
  <c r="E87" i="49"/>
  <c r="M14" i="45"/>
  <c r="H91" i="49" s="1"/>
  <c r="K14" i="45"/>
  <c r="M15" i="45"/>
  <c r="K15" i="45"/>
  <c r="M18" i="45"/>
  <c r="H95" i="49" s="1"/>
  <c r="K18" i="45"/>
  <c r="M19" i="45"/>
  <c r="H96" i="49" s="1"/>
  <c r="K19" i="45"/>
  <c r="F96" i="49" s="1"/>
  <c r="M16" i="45"/>
  <c r="H93" i="49" s="1"/>
  <c r="K16" i="45"/>
  <c r="M17" i="45"/>
  <c r="H94" i="49" s="1"/>
  <c r="K17" i="45"/>
  <c r="F94" i="49" s="1"/>
  <c r="M20" i="45"/>
  <c r="H97" i="49" s="1"/>
  <c r="K20" i="45"/>
  <c r="F97" i="49" s="1"/>
  <c r="P19" i="23"/>
  <c r="O19" i="23"/>
  <c r="G143" i="49" s="1"/>
  <c r="N19" i="23"/>
  <c r="O14" i="23"/>
  <c r="P14" i="23"/>
  <c r="N14" i="23"/>
  <c r="F138" i="49" s="1"/>
  <c r="N15" i="23"/>
  <c r="F139" i="49" s="1"/>
  <c r="O15" i="23"/>
  <c r="G139" i="49" s="1"/>
  <c r="P15" i="23"/>
  <c r="H139" i="49" s="1"/>
  <c r="M4" i="20"/>
  <c r="H213" i="49" s="1"/>
  <c r="K4" i="20"/>
  <c r="F213" i="49" s="1"/>
  <c r="L4" i="20"/>
  <c r="G213" i="49" s="1"/>
  <c r="E213" i="49"/>
  <c r="N30" i="21"/>
  <c r="H261" i="49" s="1"/>
  <c r="L30" i="21"/>
  <c r="F261" i="49" s="1"/>
  <c r="M30" i="21"/>
  <c r="N33" i="21"/>
  <c r="M33" i="21"/>
  <c r="L33" i="21"/>
  <c r="N28" i="21"/>
  <c r="H259" i="49" s="1"/>
  <c r="L28" i="21"/>
  <c r="M28" i="21"/>
  <c r="G259" i="49" s="1"/>
  <c r="N21" i="21"/>
  <c r="H252" i="49" s="1"/>
  <c r="L21" i="21"/>
  <c r="F252" i="49" s="1"/>
  <c r="M21" i="21"/>
  <c r="N8" i="21"/>
  <c r="L8" i="21"/>
  <c r="M8" i="21"/>
  <c r="G239" i="49" s="1"/>
  <c r="N6" i="21"/>
  <c r="H237" i="49" s="1"/>
  <c r="M6" i="21"/>
  <c r="G237" i="49" s="1"/>
  <c r="L6" i="21"/>
  <c r="F237" i="49" s="1"/>
  <c r="N34" i="21"/>
  <c r="H265" i="49" s="1"/>
  <c r="M34" i="21"/>
  <c r="G265" i="49" s="1"/>
  <c r="L34" i="21"/>
  <c r="N19" i="21"/>
  <c r="H250" i="49" s="1"/>
  <c r="L19" i="21"/>
  <c r="F250" i="49" s="1"/>
  <c r="M19" i="21"/>
  <c r="G250" i="49" s="1"/>
  <c r="N9" i="21"/>
  <c r="H240" i="49" s="1"/>
  <c r="L9" i="21"/>
  <c r="F240" i="49" s="1"/>
  <c r="M9" i="21"/>
  <c r="G240" i="49" s="1"/>
  <c r="N23" i="21"/>
  <c r="H254" i="49" s="1"/>
  <c r="M23" i="21"/>
  <c r="G254" i="49" s="1"/>
  <c r="L23" i="21"/>
  <c r="N16" i="21"/>
  <c r="H247" i="49" s="1"/>
  <c r="M16" i="21"/>
  <c r="G247" i="49" s="1"/>
  <c r="L16" i="21"/>
  <c r="F247" i="49" s="1"/>
  <c r="N44" i="21"/>
  <c r="H275" i="49" s="1"/>
  <c r="M44" i="21"/>
  <c r="G275" i="49" s="1"/>
  <c r="L44" i="21"/>
  <c r="N22" i="21"/>
  <c r="L22" i="21"/>
  <c r="M22" i="21"/>
  <c r="G253" i="49" s="1"/>
  <c r="E250" i="49"/>
  <c r="E240" i="49"/>
  <c r="N10" i="21"/>
  <c r="H241" i="49" s="1"/>
  <c r="L10" i="21"/>
  <c r="F241" i="49" s="1"/>
  <c r="M10" i="21"/>
  <c r="G241" i="49" s="1"/>
  <c r="N26" i="21"/>
  <c r="M26" i="21"/>
  <c r="G257" i="49" s="1"/>
  <c r="L26" i="21"/>
  <c r="F257" i="49" s="1"/>
  <c r="N7" i="21"/>
  <c r="L7" i="21"/>
  <c r="F238" i="49" s="1"/>
  <c r="M7" i="21"/>
  <c r="G238" i="49" s="1"/>
  <c r="N50" i="21"/>
  <c r="H281" i="49" s="1"/>
  <c r="L50" i="21"/>
  <c r="F281" i="49" s="1"/>
  <c r="M50" i="21"/>
  <c r="G281" i="49" s="1"/>
  <c r="N27" i="21"/>
  <c r="H258" i="49" s="1"/>
  <c r="M27" i="21"/>
  <c r="G258" i="49" s="1"/>
  <c r="L27" i="21"/>
  <c r="F258" i="49" s="1"/>
  <c r="N5" i="21"/>
  <c r="H236" i="49" s="1"/>
  <c r="L5" i="21"/>
  <c r="M5" i="21"/>
  <c r="G236" i="49" s="1"/>
  <c r="N32" i="21"/>
  <c r="H263" i="49" s="1"/>
  <c r="L32" i="21"/>
  <c r="F263" i="49" s="1"/>
  <c r="M32" i="21"/>
  <c r="G263" i="49" s="1"/>
  <c r="N15" i="21"/>
  <c r="H246" i="49" s="1"/>
  <c r="L15" i="21"/>
  <c r="M15" i="21"/>
  <c r="G246" i="49" s="1"/>
  <c r="E254" i="49"/>
  <c r="E263" i="49"/>
  <c r="N13" i="21"/>
  <c r="H244" i="49" s="1"/>
  <c r="M13" i="21"/>
  <c r="L13" i="21"/>
  <c r="F244" i="49" s="1"/>
  <c r="N47" i="21"/>
  <c r="H278" i="49" s="1"/>
  <c r="L47" i="21"/>
  <c r="M47" i="21"/>
  <c r="G278" i="49" s="1"/>
  <c r="N43" i="21"/>
  <c r="H274" i="49" s="1"/>
  <c r="L43" i="21"/>
  <c r="F274" i="49" s="1"/>
  <c r="M43" i="21"/>
  <c r="G274" i="49" s="1"/>
  <c r="F168" i="49"/>
  <c r="E238" i="49"/>
  <c r="H173" i="49"/>
  <c r="M218" i="69"/>
  <c r="M219" i="69" s="1"/>
  <c r="H238" i="49"/>
  <c r="F265" i="49"/>
  <c r="F331" i="49"/>
  <c r="J9" i="5"/>
  <c r="I54" i="49" s="1"/>
  <c r="G179" i="49"/>
  <c r="H90" i="49"/>
  <c r="F329" i="49"/>
  <c r="E90" i="49"/>
  <c r="G329" i="49"/>
  <c r="Y18" i="26"/>
  <c r="E168" i="49"/>
  <c r="E247" i="49"/>
  <c r="AH22" i="21"/>
  <c r="AK22" i="21" s="1"/>
  <c r="E261" i="49"/>
  <c r="E222" i="49"/>
  <c r="G252" i="49"/>
  <c r="G222" i="49"/>
  <c r="E241" i="49"/>
  <c r="E173" i="49"/>
  <c r="F173" i="49"/>
  <c r="E152" i="49"/>
  <c r="I121" i="49"/>
  <c r="F152" i="49"/>
  <c r="F95" i="49"/>
  <c r="E259" i="49"/>
  <c r="H159" i="49"/>
  <c r="F224" i="49"/>
  <c r="G224" i="49"/>
  <c r="H179" i="49"/>
  <c r="J4" i="5"/>
  <c r="I49" i="49" s="1"/>
  <c r="J7" i="5"/>
  <c r="I52" i="49" s="1"/>
  <c r="G229" i="49"/>
  <c r="F159" i="49"/>
  <c r="H229" i="49"/>
  <c r="G331" i="49"/>
  <c r="G159" i="49"/>
  <c r="I118" i="49"/>
  <c r="G220" i="49"/>
  <c r="H331" i="49"/>
  <c r="H220" i="49"/>
  <c r="E229" i="49"/>
  <c r="N25" i="24"/>
  <c r="I168" i="49" s="1"/>
  <c r="E252" i="49"/>
  <c r="F254" i="49"/>
  <c r="E96" i="49"/>
  <c r="J4" i="30"/>
  <c r="I71" i="49" s="1"/>
  <c r="E274" i="49"/>
  <c r="G261" i="49"/>
  <c r="E93" i="49"/>
  <c r="F88" i="49"/>
  <c r="E88" i="49"/>
  <c r="F87" i="49"/>
  <c r="G87" i="49"/>
  <c r="H330" i="49"/>
  <c r="F330" i="49"/>
  <c r="G330" i="49"/>
  <c r="I119" i="49"/>
  <c r="F305" i="49"/>
  <c r="G310" i="49"/>
  <c r="G305" i="49"/>
  <c r="E309" i="49"/>
  <c r="E305" i="49"/>
  <c r="H310" i="49"/>
  <c r="F220" i="49"/>
  <c r="H224" i="49"/>
  <c r="G218" i="49"/>
  <c r="E257" i="49"/>
  <c r="H257" i="49"/>
  <c r="E237" i="49"/>
  <c r="G226" i="49"/>
  <c r="G228" i="49"/>
  <c r="H228" i="49"/>
  <c r="H307" i="49"/>
  <c r="J7" i="30"/>
  <c r="I74" i="49" s="1"/>
  <c r="F307" i="49"/>
  <c r="J6" i="5"/>
  <c r="I51" i="49" s="1"/>
  <c r="E281" i="49"/>
  <c r="G223" i="49"/>
  <c r="G151" i="49"/>
  <c r="H151" i="49"/>
  <c r="E151" i="49"/>
  <c r="H227" i="49"/>
  <c r="F227" i="49"/>
  <c r="J9" i="30"/>
  <c r="I76" i="49" s="1"/>
  <c r="E92" i="49"/>
  <c r="H92" i="49"/>
  <c r="F89" i="49"/>
  <c r="H89" i="49"/>
  <c r="E91" i="49"/>
  <c r="F225" i="49"/>
  <c r="G225" i="49"/>
  <c r="H225" i="49"/>
  <c r="E97" i="49"/>
  <c r="F308" i="49"/>
  <c r="F228" i="49"/>
  <c r="F226" i="49"/>
  <c r="G244" i="49"/>
  <c r="H226" i="49"/>
  <c r="J5" i="30"/>
  <c r="I72" i="49" s="1"/>
  <c r="F176" i="49"/>
  <c r="G175" i="49"/>
  <c r="I122" i="49"/>
  <c r="F223" i="49"/>
  <c r="H223" i="49"/>
  <c r="E227" i="49"/>
  <c r="E179" i="49"/>
  <c r="H175" i="49"/>
  <c r="J8" i="5"/>
  <c r="I53" i="49" s="1"/>
  <c r="AJ30" i="21"/>
  <c r="F310" i="49"/>
  <c r="G308" i="49"/>
  <c r="H308" i="49"/>
  <c r="H304" i="49"/>
  <c r="F304" i="49"/>
  <c r="E306" i="49"/>
  <c r="G304" i="49"/>
  <c r="F306" i="49"/>
  <c r="G307" i="49"/>
  <c r="I117" i="49"/>
  <c r="I120" i="49"/>
  <c r="I123" i="49"/>
  <c r="E117" i="49"/>
  <c r="I124" i="49"/>
  <c r="F219" i="49"/>
  <c r="H221" i="49"/>
  <c r="G221" i="49"/>
  <c r="F221" i="49"/>
  <c r="E219" i="49"/>
  <c r="F175" i="49"/>
  <c r="G147" i="49"/>
  <c r="E244" i="49"/>
  <c r="J10" i="5"/>
  <c r="I55" i="49" s="1"/>
  <c r="N4" i="45"/>
  <c r="I81" i="49" s="1"/>
  <c r="H170" i="49"/>
  <c r="N7" i="45"/>
  <c r="I84" i="49" s="1"/>
  <c r="N5" i="45"/>
  <c r="I82" i="49" s="1"/>
  <c r="G97" i="49"/>
  <c r="N6" i="45"/>
  <c r="I83" i="49" s="1"/>
  <c r="N9" i="45"/>
  <c r="I86" i="49" s="1"/>
  <c r="N8" i="45"/>
  <c r="I85" i="49" s="1"/>
  <c r="E89" i="49"/>
  <c r="G92" i="49"/>
  <c r="G89" i="49"/>
  <c r="F91" i="49"/>
  <c r="G91" i="49"/>
  <c r="F149" i="49"/>
  <c r="G137" i="49"/>
  <c r="O25" i="21"/>
  <c r="I256" i="49" s="1"/>
  <c r="H131" i="49"/>
  <c r="G167" i="49"/>
  <c r="F141" i="49"/>
  <c r="H129" i="49"/>
  <c r="H137" i="49"/>
  <c r="G136" i="49"/>
  <c r="F136" i="49"/>
  <c r="G131" i="49"/>
  <c r="H177" i="49"/>
  <c r="H141" i="49"/>
  <c r="H136" i="49"/>
  <c r="G141" i="49"/>
  <c r="G162" i="49"/>
  <c r="G132" i="49"/>
  <c r="O48" i="21"/>
  <c r="I279" i="49" s="1"/>
  <c r="F135" i="49"/>
  <c r="G134" i="49"/>
  <c r="F156" i="49"/>
  <c r="H134" i="49"/>
  <c r="F166" i="49"/>
  <c r="G129" i="49"/>
  <c r="H172" i="49"/>
  <c r="G170" i="49"/>
  <c r="H176" i="49"/>
  <c r="H158" i="49"/>
  <c r="F169" i="49"/>
  <c r="G133" i="49"/>
  <c r="H156" i="49"/>
  <c r="F158" i="49"/>
  <c r="G128" i="49"/>
  <c r="F154" i="49"/>
  <c r="F153" i="49"/>
  <c r="H169" i="49"/>
  <c r="H157" i="49"/>
  <c r="G166" i="49"/>
  <c r="H148" i="49"/>
  <c r="G163" i="49"/>
  <c r="H162" i="49"/>
  <c r="H178" i="49"/>
  <c r="G169" i="49"/>
  <c r="F132" i="49"/>
  <c r="G140" i="49"/>
  <c r="F162" i="49"/>
  <c r="F170" i="49"/>
  <c r="F157" i="49"/>
  <c r="F165" i="49"/>
  <c r="G150" i="49"/>
  <c r="F150" i="49"/>
  <c r="G158" i="49"/>
  <c r="F134" i="49"/>
  <c r="H133" i="49"/>
  <c r="F137" i="49"/>
  <c r="G135" i="49"/>
  <c r="H88" i="49"/>
  <c r="H154" i="49"/>
  <c r="H166" i="49"/>
  <c r="G174" i="49"/>
  <c r="F131" i="49"/>
  <c r="F133" i="49"/>
  <c r="F129" i="49"/>
  <c r="H135" i="49"/>
  <c r="H143" i="49"/>
  <c r="E143" i="49"/>
  <c r="G130" i="49"/>
  <c r="H138" i="49"/>
  <c r="E138" i="49"/>
  <c r="G138" i="49"/>
  <c r="H132" i="49"/>
  <c r="H130" i="49"/>
  <c r="G142" i="49"/>
  <c r="F142" i="49"/>
  <c r="E139" i="49"/>
  <c r="F130" i="49"/>
  <c r="F143" i="49"/>
  <c r="H142" i="49"/>
  <c r="H140" i="49"/>
  <c r="F128" i="49"/>
  <c r="E128" i="49"/>
  <c r="G148" i="49"/>
  <c r="F163" i="49"/>
  <c r="G154" i="49"/>
  <c r="G178" i="49"/>
  <c r="G165" i="49"/>
  <c r="H155" i="49"/>
  <c r="E155" i="49"/>
  <c r="F148" i="49"/>
  <c r="E148" i="49"/>
  <c r="N18" i="24"/>
  <c r="I161" i="49" s="1"/>
  <c r="H161" i="49"/>
  <c r="F151" i="49"/>
  <c r="H174" i="49"/>
  <c r="F178" i="49"/>
  <c r="G176" i="49"/>
  <c r="H167" i="49"/>
  <c r="E167" i="49"/>
  <c r="H171" i="49"/>
  <c r="E171" i="49"/>
  <c r="F174" i="49"/>
  <c r="F172" i="49"/>
  <c r="E172" i="49"/>
  <c r="N17" i="24"/>
  <c r="I160" i="49" s="1"/>
  <c r="H160" i="49"/>
  <c r="H152" i="49"/>
  <c r="G155" i="49"/>
  <c r="H149" i="49"/>
  <c r="H153" i="49"/>
  <c r="G157" i="49"/>
  <c r="G164" i="49"/>
  <c r="G177" i="49"/>
  <c r="G149" i="49"/>
  <c r="H150" i="49"/>
  <c r="G153" i="49"/>
  <c r="F164" i="49"/>
  <c r="F177" i="49"/>
  <c r="H163" i="49"/>
  <c r="E163" i="49"/>
  <c r="N30" i="24"/>
  <c r="I173" i="49" s="1"/>
  <c r="N36" i="24"/>
  <c r="I179" i="49" s="1"/>
  <c r="X13" i="26"/>
  <c r="Q13" i="26"/>
  <c r="I324" i="49" s="1"/>
  <c r="F324" i="49"/>
  <c r="Y14" i="26"/>
  <c r="H325" i="49"/>
  <c r="Y8" i="26"/>
  <c r="H319" i="49"/>
  <c r="X12" i="26"/>
  <c r="Q12" i="26"/>
  <c r="I323" i="49" s="1"/>
  <c r="F323" i="49"/>
  <c r="H324" i="49"/>
  <c r="Y13" i="26"/>
  <c r="H328" i="49"/>
  <c r="Y17" i="26"/>
  <c r="Y15" i="26"/>
  <c r="H326" i="49"/>
  <c r="F320" i="49"/>
  <c r="Q9" i="26"/>
  <c r="I320" i="49" s="1"/>
  <c r="X9" i="26"/>
  <c r="Q17" i="26"/>
  <c r="I328" i="49" s="1"/>
  <c r="F328" i="49"/>
  <c r="X17" i="26"/>
  <c r="H315" i="49"/>
  <c r="Y4" i="26"/>
  <c r="X6" i="26"/>
  <c r="F317" i="49"/>
  <c r="Q6" i="26"/>
  <c r="I317" i="49" s="1"/>
  <c r="F326" i="49"/>
  <c r="X15" i="26"/>
  <c r="Q15" i="26"/>
  <c r="I326" i="49" s="1"/>
  <c r="Q8" i="26"/>
  <c r="I319" i="49" s="1"/>
  <c r="F319" i="49"/>
  <c r="X8" i="26"/>
  <c r="H322" i="49"/>
  <c r="Y11" i="26"/>
  <c r="X5" i="26"/>
  <c r="F316" i="49"/>
  <c r="Q5" i="26"/>
  <c r="I316" i="49" s="1"/>
  <c r="H317" i="49"/>
  <c r="Y6" i="26"/>
  <c r="Y16" i="26"/>
  <c r="H327" i="49"/>
  <c r="E314" i="49"/>
  <c r="G321" i="49"/>
  <c r="E321" i="49"/>
  <c r="F315" i="49"/>
  <c r="X4" i="26"/>
  <c r="Q4" i="26"/>
  <c r="I315" i="49" s="1"/>
  <c r="Y5" i="26"/>
  <c r="H316" i="49"/>
  <c r="H320" i="49"/>
  <c r="Y9" i="26"/>
  <c r="F322" i="49"/>
  <c r="Q11" i="26"/>
  <c r="I322" i="49" s="1"/>
  <c r="X11" i="26"/>
  <c r="H323" i="49"/>
  <c r="Y12" i="26"/>
  <c r="Y7" i="26"/>
  <c r="H318" i="49"/>
  <c r="X14" i="26"/>
  <c r="F325" i="49"/>
  <c r="Q14" i="26"/>
  <c r="I325" i="49" s="1"/>
  <c r="F318" i="49"/>
  <c r="X7" i="26"/>
  <c r="Q7" i="26"/>
  <c r="I318" i="49" s="1"/>
  <c r="Q16" i="26"/>
  <c r="I327" i="49" s="1"/>
  <c r="X16" i="26"/>
  <c r="F327" i="49"/>
  <c r="E291" i="49"/>
  <c r="H291" i="49"/>
  <c r="G291" i="49"/>
  <c r="E289" i="49"/>
  <c r="G289" i="49"/>
  <c r="H289" i="49"/>
  <c r="E285" i="49"/>
  <c r="E288" i="49"/>
  <c r="H288" i="49"/>
  <c r="G288" i="49"/>
  <c r="E286" i="49"/>
  <c r="H286" i="49"/>
  <c r="G286" i="49"/>
  <c r="AH34" i="21"/>
  <c r="AK34" i="21" s="1"/>
  <c r="O45" i="21"/>
  <c r="I276" i="49" s="1"/>
  <c r="O4" i="21"/>
  <c r="I235" i="49" s="1"/>
  <c r="F235" i="49"/>
  <c r="O29" i="21"/>
  <c r="I260" i="49" s="1"/>
  <c r="H234" i="49"/>
  <c r="H264" i="49"/>
  <c r="E264" i="49"/>
  <c r="G264" i="49"/>
  <c r="G234" i="49"/>
  <c r="E275" i="49"/>
  <c r="H253" i="49"/>
  <c r="E253" i="49"/>
  <c r="F234" i="49"/>
  <c r="O3" i="21"/>
  <c r="E278" i="49"/>
  <c r="O31" i="21"/>
  <c r="I262" i="49" s="1"/>
  <c r="F262" i="49"/>
  <c r="O24" i="21"/>
  <c r="I255" i="49" s="1"/>
  <c r="F255" i="49"/>
  <c r="O20" i="21"/>
  <c r="I251" i="49" s="1"/>
  <c r="F251" i="49"/>
  <c r="E236" i="49"/>
  <c r="O46" i="21"/>
  <c r="I277" i="49" s="1"/>
  <c r="F277" i="49"/>
  <c r="O49" i="21"/>
  <c r="I280" i="49" s="1"/>
  <c r="F280" i="49"/>
  <c r="E246" i="49"/>
  <c r="E239" i="49"/>
  <c r="H239" i="49"/>
  <c r="AJ18" i="21"/>
  <c r="AH20" i="21"/>
  <c r="AK20" i="21" s="1"/>
  <c r="AK11" i="21"/>
  <c r="AH28" i="21"/>
  <c r="AK28" i="21" s="1"/>
  <c r="AH26" i="21"/>
  <c r="AK26" i="21" s="1"/>
  <c r="AJ26" i="21"/>
  <c r="AK16" i="21"/>
  <c r="AJ38" i="21"/>
  <c r="AH38" i="21"/>
  <c r="AK38" i="21" s="1"/>
  <c r="AH35" i="21"/>
  <c r="AK35" i="21" s="1"/>
  <c r="AJ35" i="21"/>
  <c r="AK12" i="21"/>
  <c r="AJ39" i="21"/>
  <c r="AH39" i="21"/>
  <c r="AK39" i="21" s="1"/>
  <c r="AK3" i="21"/>
  <c r="AK41" i="21" s="1"/>
  <c r="AH41" i="21"/>
  <c r="AH31" i="21"/>
  <c r="AK31" i="21" s="1"/>
  <c r="AJ31" i="21"/>
  <c r="AH19" i="21"/>
  <c r="AK19" i="21" s="1"/>
  <c r="AJ19" i="21"/>
  <c r="AJ27" i="21"/>
  <c r="AH27" i="21"/>
  <c r="AK27" i="21" s="1"/>
  <c r="G214" i="49"/>
  <c r="E214" i="49"/>
  <c r="F214" i="49"/>
  <c r="D212" i="49"/>
  <c r="N3" i="20"/>
  <c r="F73" i="49"/>
  <c r="J6" i="30"/>
  <c r="I73" i="49" s="1"/>
  <c r="F75" i="49"/>
  <c r="J8" i="30"/>
  <c r="I75" i="49" s="1"/>
  <c r="J10" i="30"/>
  <c r="I77" i="49" s="1"/>
  <c r="F77" i="49"/>
  <c r="G75" i="49"/>
  <c r="N16" i="45" l="1"/>
  <c r="I93" i="49" s="1"/>
  <c r="N17" i="45"/>
  <c r="I94" i="49" s="1"/>
  <c r="N4" i="20"/>
  <c r="I213" i="49" s="1"/>
  <c r="O9" i="21"/>
  <c r="I240" i="49" s="1"/>
  <c r="O19" i="21"/>
  <c r="I250" i="49" s="1"/>
  <c r="O27" i="21"/>
  <c r="I258" i="49" s="1"/>
  <c r="L54" i="21"/>
  <c r="L55" i="21" s="1"/>
  <c r="O7" i="21"/>
  <c r="I238" i="49" s="1"/>
  <c r="K17" i="34"/>
  <c r="J17" i="34" s="1"/>
  <c r="O16" i="21"/>
  <c r="I247" i="49" s="1"/>
  <c r="O34" i="21"/>
  <c r="I265" i="49" s="1"/>
  <c r="O30" i="21"/>
  <c r="I261" i="49" s="1"/>
  <c r="N13" i="45"/>
  <c r="I90" i="49" s="1"/>
  <c r="H329" i="49"/>
  <c r="O32" i="21"/>
  <c r="I263" i="49" s="1"/>
  <c r="N9" i="24"/>
  <c r="I152" i="49" s="1"/>
  <c r="X18" i="26"/>
  <c r="H168" i="49"/>
  <c r="Q18" i="26"/>
  <c r="I329" i="49" s="1"/>
  <c r="O23" i="21"/>
  <c r="I254" i="49" s="1"/>
  <c r="O28" i="21"/>
  <c r="I259" i="49" s="1"/>
  <c r="O21" i="21"/>
  <c r="I252" i="49" s="1"/>
  <c r="F259" i="49"/>
  <c r="N8" i="34"/>
  <c r="I222" i="49" s="1"/>
  <c r="K4" i="28"/>
  <c r="I305" i="49" s="1"/>
  <c r="O10" i="21"/>
  <c r="I241" i="49" s="1"/>
  <c r="N6" i="34"/>
  <c r="I220" i="49" s="1"/>
  <c r="N19" i="45"/>
  <c r="I96" i="49" s="1"/>
  <c r="H222" i="49"/>
  <c r="N16" i="24"/>
  <c r="I159" i="49" s="1"/>
  <c r="N18" i="45"/>
  <c r="I95" i="49" s="1"/>
  <c r="N15" i="34"/>
  <c r="I229" i="49" s="1"/>
  <c r="Y19" i="26"/>
  <c r="Q20" i="26"/>
  <c r="I331" i="49" s="1"/>
  <c r="N10" i="34"/>
  <c r="I224" i="49" s="1"/>
  <c r="K8" i="28"/>
  <c r="I309" i="49" s="1"/>
  <c r="H147" i="49"/>
  <c r="M41" i="24"/>
  <c r="F218" i="49"/>
  <c r="Q19" i="26"/>
  <c r="I330" i="49" s="1"/>
  <c r="F147" i="49"/>
  <c r="K41" i="24"/>
  <c r="K42" i="24" s="1"/>
  <c r="H218" i="49"/>
  <c r="M17" i="34"/>
  <c r="M19" i="34" s="1"/>
  <c r="O43" i="21"/>
  <c r="I274" i="49" s="1"/>
  <c r="F93" i="49"/>
  <c r="N11" i="45"/>
  <c r="I88" i="49" s="1"/>
  <c r="N10" i="45"/>
  <c r="I87" i="49" s="1"/>
  <c r="X19" i="26"/>
  <c r="O26" i="21"/>
  <c r="I257" i="49" s="1"/>
  <c r="N4" i="34"/>
  <c r="I218" i="49" s="1"/>
  <c r="N8" i="24"/>
  <c r="I151" i="49" s="1"/>
  <c r="O50" i="21"/>
  <c r="I281" i="49" s="1"/>
  <c r="N13" i="34"/>
  <c r="I227" i="49" s="1"/>
  <c r="N12" i="34"/>
  <c r="I226" i="49" s="1"/>
  <c r="N11" i="34"/>
  <c r="I225" i="49" s="1"/>
  <c r="N14" i="34"/>
  <c r="I228" i="49" s="1"/>
  <c r="N4" i="24"/>
  <c r="I147" i="49" s="1"/>
  <c r="N32" i="24"/>
  <c r="I175" i="49" s="1"/>
  <c r="N9" i="34"/>
  <c r="I223" i="49" s="1"/>
  <c r="O13" i="21"/>
  <c r="I244" i="49" s="1"/>
  <c r="N5" i="34"/>
  <c r="I219" i="49" s="1"/>
  <c r="K5" i="28"/>
  <c r="I306" i="49" s="1"/>
  <c r="K7" i="28"/>
  <c r="I308" i="49" s="1"/>
  <c r="K9" i="28"/>
  <c r="I310" i="49" s="1"/>
  <c r="K6" i="28"/>
  <c r="I307" i="49" s="1"/>
  <c r="K3" i="28"/>
  <c r="I304" i="49" s="1"/>
  <c r="G306" i="49"/>
  <c r="H219" i="49"/>
  <c r="N7" i="34"/>
  <c r="I221" i="49" s="1"/>
  <c r="O6" i="21"/>
  <c r="I237" i="49" s="1"/>
  <c r="N20" i="45"/>
  <c r="I97" i="49" s="1"/>
  <c r="Q4" i="23"/>
  <c r="I128" i="49" s="1"/>
  <c r="N12" i="45"/>
  <c r="I89" i="49" s="1"/>
  <c r="F92" i="49"/>
  <c r="N15" i="45"/>
  <c r="I92" i="49" s="1"/>
  <c r="N14" i="45"/>
  <c r="I91" i="49" s="1"/>
  <c r="N19" i="24"/>
  <c r="I162" i="49" s="1"/>
  <c r="Q17" i="23"/>
  <c r="I141" i="49" s="1"/>
  <c r="Q12" i="23"/>
  <c r="I136" i="49" s="1"/>
  <c r="Q7" i="23"/>
  <c r="I131" i="49" s="1"/>
  <c r="N27" i="24"/>
  <c r="I170" i="49" s="1"/>
  <c r="Q13" i="23"/>
  <c r="I137" i="49" s="1"/>
  <c r="Q10" i="23"/>
  <c r="I134" i="49" s="1"/>
  <c r="Q5" i="23"/>
  <c r="I129" i="49" s="1"/>
  <c r="N26" i="24"/>
  <c r="I169" i="49" s="1"/>
  <c r="Q6" i="23"/>
  <c r="I130" i="49" s="1"/>
  <c r="N23" i="24"/>
  <c r="I166" i="49" s="1"/>
  <c r="Q9" i="23"/>
  <c r="I133" i="49" s="1"/>
  <c r="N31" i="24"/>
  <c r="I174" i="49" s="1"/>
  <c r="N15" i="24"/>
  <c r="I158" i="49" s="1"/>
  <c r="Q8" i="23"/>
  <c r="I132" i="49" s="1"/>
  <c r="Q14" i="23"/>
  <c r="I138" i="49" s="1"/>
  <c r="Q11" i="23"/>
  <c r="I135" i="49" s="1"/>
  <c r="N6" i="24"/>
  <c r="I149" i="49" s="1"/>
  <c r="N33" i="24"/>
  <c r="I176" i="49" s="1"/>
  <c r="Q19" i="23"/>
  <c r="I143" i="49" s="1"/>
  <c r="Q15" i="23"/>
  <c r="I139" i="49" s="1"/>
  <c r="Q18" i="23"/>
  <c r="I142" i="49" s="1"/>
  <c r="Q16" i="23"/>
  <c r="I140" i="49" s="1"/>
  <c r="F140" i="49"/>
  <c r="H128" i="49"/>
  <c r="N22" i="24"/>
  <c r="I165" i="49" s="1"/>
  <c r="H165" i="49"/>
  <c r="N11" i="24"/>
  <c r="I154" i="49" s="1"/>
  <c r="N10" i="24"/>
  <c r="I153" i="49" s="1"/>
  <c r="N20" i="24"/>
  <c r="I163" i="49" s="1"/>
  <c r="N29" i="24"/>
  <c r="I172" i="49" s="1"/>
  <c r="N28" i="24"/>
  <c r="I171" i="49" s="1"/>
  <c r="F171" i="49"/>
  <c r="N12" i="24"/>
  <c r="I155" i="49" s="1"/>
  <c r="F155" i="49"/>
  <c r="N5" i="24"/>
  <c r="I148" i="49" s="1"/>
  <c r="G156" i="49"/>
  <c r="N13" i="24"/>
  <c r="I156" i="49" s="1"/>
  <c r="N35" i="24"/>
  <c r="I178" i="49" s="1"/>
  <c r="N21" i="24"/>
  <c r="I164" i="49" s="1"/>
  <c r="H164" i="49"/>
  <c r="N7" i="24"/>
  <c r="I150" i="49" s="1"/>
  <c r="N24" i="24"/>
  <c r="I167" i="49" s="1"/>
  <c r="N14" i="24"/>
  <c r="I157" i="49" s="1"/>
  <c r="N34" i="24"/>
  <c r="I177" i="49" s="1"/>
  <c r="H314" i="49"/>
  <c r="Y3" i="26"/>
  <c r="F321" i="49"/>
  <c r="Q10" i="26"/>
  <c r="I321" i="49" s="1"/>
  <c r="X10" i="26"/>
  <c r="F314" i="49"/>
  <c r="X3" i="26"/>
  <c r="Q3" i="26"/>
  <c r="Y10" i="26"/>
  <c r="H321" i="49"/>
  <c r="G314" i="49"/>
  <c r="R7" i="22"/>
  <c r="I289" i="49" s="1"/>
  <c r="F289" i="49"/>
  <c r="F288" i="49"/>
  <c r="R6" i="22"/>
  <c r="I288" i="49" s="1"/>
  <c r="F286" i="49"/>
  <c r="R4" i="22"/>
  <c r="I286" i="49" s="1"/>
  <c r="G285" i="49"/>
  <c r="R9" i="22"/>
  <c r="I291" i="49" s="1"/>
  <c r="F291" i="49"/>
  <c r="H285" i="49"/>
  <c r="F285" i="49"/>
  <c r="R3" i="22"/>
  <c r="F278" i="49"/>
  <c r="O47" i="21"/>
  <c r="I278" i="49" s="1"/>
  <c r="O22" i="21"/>
  <c r="I253" i="49" s="1"/>
  <c r="F253" i="49"/>
  <c r="F275" i="49"/>
  <c r="O44" i="21"/>
  <c r="I275" i="49" s="1"/>
  <c r="O33" i="21"/>
  <c r="I264" i="49" s="1"/>
  <c r="F264" i="49"/>
  <c r="O15" i="21"/>
  <c r="I246" i="49" s="1"/>
  <c r="F246" i="49"/>
  <c r="F236" i="49"/>
  <c r="O5" i="21"/>
  <c r="I236" i="49" s="1"/>
  <c r="I234" i="49"/>
  <c r="F239" i="49"/>
  <c r="O8" i="21"/>
  <c r="I239" i="49" s="1"/>
  <c r="N5" i="20"/>
  <c r="I214" i="49" s="1"/>
  <c r="I212" i="49"/>
  <c r="K19" i="34" l="1"/>
  <c r="I314" i="49"/>
  <c r="I285"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Fotache, Ovidiu</author>
  </authors>
  <commentList>
    <comment ref="Z3" authorId="0" shapeId="0" xr:uid="{5210D5CB-09FC-4F54-8583-551D01E060FA}">
      <text>
        <r>
          <rPr>
            <b/>
            <sz val="9"/>
            <color indexed="81"/>
            <rFont val="Tahoma"/>
            <family val="2"/>
          </rPr>
          <t>Fotache, Ovidiu:</t>
        </r>
        <r>
          <rPr>
            <sz val="9"/>
            <color indexed="81"/>
            <rFont val="Tahoma"/>
            <family val="2"/>
          </rPr>
          <t xml:space="preserve">
TBC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Fotache, Ovidiu</author>
  </authors>
  <commentList>
    <comment ref="A297" authorId="0" shapeId="0" xr:uid="{92A747ED-136C-4D76-89AA-27F9D3A39ADA}">
      <text>
        <r>
          <rPr>
            <b/>
            <sz val="9"/>
            <color indexed="81"/>
            <rFont val="Tahoma"/>
            <family val="2"/>
          </rPr>
          <t>Fotache, Ovidiu:</t>
        </r>
        <r>
          <rPr>
            <sz val="9"/>
            <color indexed="81"/>
            <rFont val="Tahoma"/>
            <family val="2"/>
          </rPr>
          <t xml:space="preserve">
New account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452893D-8879-40C5-895D-5ABF690F82D8}" name="Connection" type="104" refreshedVersion="0" background="1">
    <extLst>
      <ext xmlns:x15="http://schemas.microsoft.com/office/spreadsheetml/2010/11/main" uri="{DE250136-89BD-433C-8126-D09CA5730AF9}">
        <x15:connection id="Calendar"/>
      </ext>
    </extLst>
  </connection>
  <connection id="2" xr16:uid="{1BA9902B-8160-4848-9F6B-9E83F3B58C49}" name="Connection1" type="104" refreshedVersion="0" background="1">
    <extLst>
      <ext xmlns:x15="http://schemas.microsoft.com/office/spreadsheetml/2010/11/main" uri="{DE250136-89BD-433C-8126-D09CA5730AF9}">
        <x15:connection id="Data_Entry-4b67148b-2add-46fc-af5f-5d796524d7f4"/>
      </ext>
    </extLst>
  </connection>
  <connection id="3" xr16:uid="{87C47A54-EDF1-4458-BEF9-DB9830179AC1}" name="Connection10" type="104" refreshedVersion="0" background="1">
    <extLst>
      <ext xmlns:x15="http://schemas.microsoft.com/office/spreadsheetml/2010/11/main" uri="{DE250136-89BD-433C-8126-D09CA5730AF9}">
        <x15:connection id="Grounds_Fuels-78a67c43-f5e2-4894-8d29-c2fee9169799"/>
      </ext>
    </extLst>
  </connection>
  <connection id="4" xr16:uid="{DEB7CE1C-94BE-46A5-9B04-14C5A58464E6}" name="Connection11" type="104" refreshedVersion="0" background="1">
    <extLst>
      <ext xmlns:x15="http://schemas.microsoft.com/office/spreadsheetml/2010/11/main" uri="{DE250136-89BD-433C-8126-D09CA5730AF9}">
        <x15:connection id="Contractor_Fuels-4e85aed0-1f0b-4add-b821-93f6c543b155"/>
      </ext>
    </extLst>
  </connection>
  <connection id="5" xr16:uid="{AA5B1D9F-AF8F-456A-848F-C470B6B20FAC}" name="Connection12" type="104" refreshedVersion="0" background="1">
    <extLst>
      <ext xmlns:x15="http://schemas.microsoft.com/office/spreadsheetml/2010/11/main" uri="{DE250136-89BD-433C-8126-D09CA5730AF9}">
        <x15:connection id="LP_Fleet-65975ee9-2b35-4d27-be5c-e049fccf8908"/>
      </ext>
    </extLst>
  </connection>
  <connection id="6" xr16:uid="{8D76464F-BE37-463B-8BDB-5F4228217F80}" name="Connection13" type="104" refreshedVersion="0" background="1">
    <extLst>
      <ext xmlns:x15="http://schemas.microsoft.com/office/spreadsheetml/2010/11/main" uri="{DE250136-89BD-433C-8126-D09CA5730AF9}">
        <x15:connection id="NON_Genset-48d775ac-5ea3-4440-8bba-b5a2af147257"/>
      </ext>
    </extLst>
  </connection>
  <connection id="7" xr16:uid="{6DF366DC-DA4E-4A2B-AF71-A2498708FDAB}" name="Connection14" type="104" refreshedVersion="0" background="1">
    <extLst>
      <ext xmlns:x15="http://schemas.microsoft.com/office/spreadsheetml/2010/11/main" uri="{DE250136-89BD-433C-8126-D09CA5730AF9}">
        <x15:connection id="DC_Genset-4265897c-6016-48f1-b584-1e1637491e19"/>
      </ext>
    </extLst>
  </connection>
  <connection id="8" xr16:uid="{7E029182-1B95-4C99-83D4-17EE4BBEFF7E}" name="Connection15" type="104" refreshedVersion="0" background="1">
    <extLst>
      <ext xmlns:x15="http://schemas.microsoft.com/office/spreadsheetml/2010/11/main" uri="{DE250136-89BD-433C-8126-D09CA5730AF9}">
        <x15:connection id="TelstraBCA-ac331e71-75fc-4cac-9fed-4e2c46a8fc77"/>
      </ext>
    </extLst>
  </connection>
  <connection id="9" xr16:uid="{3C9CF1F6-5B66-453E-BDAB-068C1D9AD4FE}" name="Connection16" type="104" refreshedVersion="0" background="1">
    <extLst>
      <ext xmlns:x15="http://schemas.microsoft.com/office/spreadsheetml/2010/11/main" uri="{DE250136-89BD-433C-8126-D09CA5730AF9}">
        <x15:connection id="NGERS_Stationary_report-c8c14bea-16e7-4f0c-8559-6f39607096b5"/>
      </ext>
    </extLst>
  </connection>
  <connection id="10" xr16:uid="{DE964B89-BDAE-4388-80D3-D1E7F707083E}" name="Connection17" type="104" refreshedVersion="0" background="1">
    <extLst>
      <ext xmlns:x15="http://schemas.microsoft.com/office/spreadsheetml/2010/11/main" uri="{DE250136-89BD-433C-8126-D09CA5730AF9}">
        <x15:connection id="Table19-e1fc18a8-5fa9-4572-86df-7bdf7777e24e"/>
      </ext>
    </extLst>
  </connection>
  <connection id="11" xr16:uid="{59A1121D-12F5-41D1-8FB1-E13367E9AB6B}" name="Connection18" type="104" refreshedVersion="0" background="1">
    <extLst>
      <ext xmlns:x15="http://schemas.microsoft.com/office/spreadsheetml/2010/11/main" uri="{DE250136-89BD-433C-8126-D09CA5730AF9}">
        <x15:connection id="Flight_Model-1e94083e-8d4a-4864-b587-bf3ef955b8e2"/>
      </ext>
    </extLst>
  </connection>
  <connection id="12" xr16:uid="{D72A07EE-B41A-41C5-A27D-7EDDF73AEA6C}" name="Connection19" type="104" refreshedVersion="0" background="1">
    <extLst>
      <ext xmlns:x15="http://schemas.microsoft.com/office/spreadsheetml/2010/11/main" uri="{DE250136-89BD-433C-8126-D09CA5730AF9}">
        <x15:connection id="Paper_CSR-7f390a57-95dd-42df-ab3f-17983a8f2c93"/>
      </ext>
    </extLst>
  </connection>
  <connection id="13" xr16:uid="{7F5AAF75-C79C-4200-A2C7-825FA1AA9DEA}" name="Connection2" type="104" refreshedVersion="0" background="1">
    <extLst>
      <ext xmlns:x15="http://schemas.microsoft.com/office/spreadsheetml/2010/11/main" uri="{DE250136-89BD-433C-8126-D09CA5730AF9}">
        <x15:connection id="NBN_Removal-ffcb18a9-02c6-4159-b053-cbed52187f16"/>
      </ext>
    </extLst>
  </connection>
  <connection id="14" xr16:uid="{4BD701E8-5A63-43F5-80AF-6387E1CB2851}" name="Connection20" type="104" refreshedVersion="0" background="1">
    <extLst>
      <ext xmlns:x15="http://schemas.microsoft.com/office/spreadsheetml/2010/11/main" uri="{DE250136-89BD-433C-8126-D09CA5730AF9}">
        <x15:connection id="Savings_Data-e01f4f28-fa1a-452c-8e84-83084edfce62"/>
      </ext>
    </extLst>
  </connection>
  <connection id="15" xr16:uid="{DD4FE972-2072-4933-901D-E6DFBDF2CC88}" name="Connection21" type="104" refreshedVersion="0" background="1">
    <extLst>
      <ext xmlns:x15="http://schemas.microsoft.com/office/spreadsheetml/2010/11/main" uri="{DE250136-89BD-433C-8126-D09CA5730AF9}">
        <x15:connection id="EntityFY20-f945b707-d74e-48ec-a159-2279c386f175"/>
      </ext>
    </extLst>
  </connection>
  <connection id="16" xr16:uid="{D8FE7743-0F46-4A34-ACA1-3320533F3701}" name="Connection22" type="104" refreshedVersion="0" background="1">
    <extLst>
      <ext xmlns:x15="http://schemas.microsoft.com/office/spreadsheetml/2010/11/main" uri="{DE250136-89BD-433C-8126-D09CA5730AF9}">
        <x15:connection id="Summary37-d19eb3f1-d0cf-4618-a397-91f4d57a17dd"/>
      </ext>
    </extLst>
  </connection>
  <connection id="17" xr16:uid="{E087580D-B83F-46BC-A743-D92BCC23E6A5}" name="Connection23" type="104" refreshedVersion="0" background="1">
    <extLst>
      <ext xmlns:x15="http://schemas.microsoft.com/office/spreadsheetml/2010/11/main" uri="{DE250136-89BD-433C-8126-D09CA5730AF9}">
        <x15:connection id="BCA_RemovalFY20"/>
      </ext>
    </extLst>
  </connection>
  <connection id="18" xr16:uid="{81B90C4E-894E-44E6-9DEE-736E0EF98D9B}" name="Connection24" type="104" refreshedVersion="0" background="1">
    <extLst>
      <ext xmlns:x15="http://schemas.microsoft.com/office/spreadsheetml/2010/11/main" uri="{DE250136-89BD-433C-8126-D09CA5730AF9}">
        <x15:connection id="DC_Genset2839"/>
      </ext>
    </extLst>
  </connection>
  <connection id="19" xr16:uid="{1D4DB966-F78D-4154-A1DB-2B8580CEA0E9}" name="Connection25" type="104" refreshedVersion="0" background="1">
    <extLst>
      <ext xmlns:x15="http://schemas.microsoft.com/office/spreadsheetml/2010/11/main" uri="{DE250136-89BD-433C-8126-D09CA5730AF9}">
        <x15:connection id="GasFY20"/>
      </ext>
    </extLst>
  </connection>
  <connection id="20" xr16:uid="{EB56773A-079F-4E7F-859E-B972823DC2C7}" name="Connection26" type="104" refreshedVersion="0" background="1">
    <extLst>
      <ext xmlns:x15="http://schemas.microsoft.com/office/spreadsheetml/2010/11/main" uri="{DE250136-89BD-433C-8126-D09CA5730AF9}">
        <x15:connection id="GHG_35"/>
      </ext>
    </extLst>
  </connection>
  <connection id="21" xr16:uid="{3D64DA4E-863C-4949-9B30-15A15621FE2E}" name="Connection27" type="104" refreshedVersion="0" background="1">
    <extLst>
      <ext xmlns:x15="http://schemas.microsoft.com/office/spreadsheetml/2010/11/main" uri="{DE250136-89BD-433C-8126-D09CA5730AF9}">
        <x15:connection id="Grounds_Fuels33"/>
      </ext>
    </extLst>
  </connection>
  <connection id="22" xr16:uid="{DDDA7C5A-314B-4514-9C47-720CFDCA7DBD}" name="Connection28" type="104" refreshedVersion="0" background="1">
    <extLst>
      <ext xmlns:x15="http://schemas.microsoft.com/office/spreadsheetml/2010/11/main" uri="{DE250136-89BD-433C-8126-D09CA5730AF9}">
        <x15:connection id="ReformFY20"/>
      </ext>
    </extLst>
  </connection>
  <connection id="23" xr16:uid="{D7113183-11AC-4CA4-A995-A1BAB85CA587}" name="Connection3" type="104" refreshedVersion="0" background="1">
    <extLst>
      <ext xmlns:x15="http://schemas.microsoft.com/office/spreadsheetml/2010/11/main" uri="{DE250136-89BD-433C-8126-D09CA5730AF9}">
        <x15:connection id="SE_Gas-4c57cd28-4931-4a4a-a7e7-999a8dddb67f"/>
      </ext>
    </extLst>
  </connection>
  <connection id="24" xr16:uid="{9C75DAF7-2E6C-4A19-B8C3-98429B70C5F1}" name="Connection4" type="104" refreshedVersion="0" background="1">
    <extLst>
      <ext xmlns:x15="http://schemas.microsoft.com/office/spreadsheetml/2010/11/main" uri="{DE250136-89BD-433C-8126-D09CA5730AF9}">
        <x15:connection id="GHG-390a778f-a1b0-44e0-9a93-2e25c9ea9fe5"/>
      </ext>
    </extLst>
  </connection>
  <connection id="25" xr16:uid="{A6A1A2DB-CA36-4B2A-9F84-ADF386F97019}" name="Connection5" type="104" refreshedVersion="0" background="1">
    <extLst>
      <ext xmlns:x15="http://schemas.microsoft.com/office/spreadsheetml/2010/11/main" uri="{DE250136-89BD-433C-8126-D09CA5730AF9}">
        <x15:connection id="Entity-ebd6c02f-4d1b-467e-a733-83b71d28ca00"/>
      </ext>
    </extLst>
  </connection>
  <connection id="26" xr16:uid="{D6280789-CB94-40B3-8062-4693829D185F}" name="Connection6" type="104" refreshedVersion="0" background="1">
    <extLst>
      <ext xmlns:x15="http://schemas.microsoft.com/office/spreadsheetml/2010/11/main" uri="{DE250136-89BD-433C-8126-D09CA5730AF9}">
        <x15:connection id="NET_Genset_Grounds-6c0eaff0-0b16-4a5a-9675-947f6f2d43a3"/>
      </ext>
    </extLst>
  </connection>
  <connection id="27" xr16:uid="{E906E876-85C3-47FB-A4F3-70CE2D4444E5}" name="Connection7" type="104" refreshedVersion="0" background="1">
    <extLst>
      <ext xmlns:x15="http://schemas.microsoft.com/office/spreadsheetml/2010/11/main" uri="{DE250136-89BD-433C-8126-D09CA5730AF9}">
        <x15:connection id="Percentage_Estimates-9afaca4d-4254-4b13-9359-66d4cedabfa7"/>
      </ext>
    </extLst>
  </connection>
  <connection id="28" xr16:uid="{217FFC7E-3F64-4FA8-828F-B6A8E15AA189}" name="Connection8" type="104" refreshedVersion="0" background="1">
    <extLst>
      <ext xmlns:x15="http://schemas.microsoft.com/office/spreadsheetml/2010/11/main" uri="{DE250136-89BD-433C-8126-D09CA5730AF9}">
        <x15:connection id="Pitwater-6906d71c-4675-439f-b4c9-7a92dcd5e174"/>
      </ext>
    </extLst>
  </connection>
  <connection id="29" xr16:uid="{77ACB8A4-8F7E-4627-8FCC-9C3B81B08CD8}" name="Connection9" type="104" refreshedVersion="0" background="1">
    <extLst>
      <ext xmlns:x15="http://schemas.microsoft.com/office/spreadsheetml/2010/11/main" uri="{DE250136-89BD-433C-8126-D09CA5730AF9}">
        <x15:connection id="Solar-5b7d4e0e-0b93-47d8-a88b-bfa910800705"/>
      </ext>
    </extLst>
  </connection>
  <connection id="30" xr16:uid="{00000000-0015-0000-FFFF-FFFF00000000}" name="LinkedTable_AVIS" type="102" refreshedVersion="5" minRefreshableVersion="5">
    <extLst>
      <ext xmlns:x15="http://schemas.microsoft.com/office/spreadsheetml/2010/11/main" uri="{DE250136-89BD-433C-8126-D09CA5730AF9}">
        <x15:connection id="AVIS-9c8f3f37-1a54-4382-ab4f-c4dbf6b79164">
          <x15:rangePr sourceName="_xlcn.LinkedTable_AVIS1"/>
        </x15:connection>
      </ext>
    </extLst>
  </connection>
  <connection id="31" xr16:uid="{196F2741-C387-46C9-A7A4-19650D0ABA9E}"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2" xr16:uid="{4BBB657E-09B8-4E2D-B0E4-631C91FF239A}" name="WorksheetConnection_20200611 NGER Data Model FY20 v13AL.xlsx!EntityFY20" type="102" refreshedVersion="6" minRefreshableVersion="5">
    <extLst>
      <ext xmlns:x15="http://schemas.microsoft.com/office/spreadsheetml/2010/11/main" uri="{DE250136-89BD-433C-8126-D09CA5730AF9}">
        <x15:connection id="EntityFY20 1" autoDelete="1">
          <x15:rangePr sourceName="_xlcn.WorksheetConnection_20200611NGERDataModelFY20v13AL.xlsxEntityFY201"/>
        </x15:connection>
      </ext>
    </extLst>
  </connection>
  <connection id="33" xr16:uid="{8A859710-6DFC-4EAE-B478-B3BBBC5C7E2D}" name="WorksheetConnection_20200611 NGER Data Model FY20 v13AL.xlsx!ReformFY20_" type="102" refreshedVersion="6" minRefreshableVersion="5">
    <extLst>
      <ext xmlns:x15="http://schemas.microsoft.com/office/spreadsheetml/2010/11/main" uri="{DE250136-89BD-433C-8126-D09CA5730AF9}">
        <x15:connection id="ReformFY20_">
          <x15:rangePr sourceName="_xlcn.WorksheetConnection_20200611NGERDataModelFY20v13AL.xlsxReformFY20_1"/>
        </x15:connection>
      </ext>
    </extLst>
  </connection>
</connections>
</file>

<file path=xl/sharedStrings.xml><?xml version="1.0" encoding="utf-8"?>
<sst xmlns="http://schemas.openxmlformats.org/spreadsheetml/2006/main" count="28873" uniqueCount="4461">
  <si>
    <t>Sources</t>
  </si>
  <si>
    <t>Telstra international GHG emissions inventory DRAFT.xls</t>
  </si>
  <si>
    <t>Financial year</t>
  </si>
  <si>
    <t>FY20</t>
  </si>
  <si>
    <t>Country</t>
  </si>
  <si>
    <t>Scope 1
(tCO2-e)</t>
  </si>
  <si>
    <t>Scope 2
(tCO2-e)</t>
  </si>
  <si>
    <t>Scope 3
(tCO2-e)</t>
  </si>
  <si>
    <t>Total 
(tCO2-e)</t>
  </si>
  <si>
    <t>%</t>
  </si>
  <si>
    <t>rank</t>
  </si>
  <si>
    <t>China</t>
  </si>
  <si>
    <t>Denmark</t>
  </si>
  <si>
    <t>France</t>
  </si>
  <si>
    <t>Germany</t>
  </si>
  <si>
    <t>Hong Kong</t>
  </si>
  <si>
    <t>India</t>
  </si>
  <si>
    <t>Indonesia</t>
  </si>
  <si>
    <t>Japan</t>
  </si>
  <si>
    <t>Malaysia</t>
  </si>
  <si>
    <t>Netherlands</t>
  </si>
  <si>
    <t>New Zealand</t>
  </si>
  <si>
    <t>Philippines</t>
  </si>
  <si>
    <t>Singapore</t>
  </si>
  <si>
    <t>South Africa</t>
  </si>
  <si>
    <t>South Korea</t>
  </si>
  <si>
    <t>Sweden</t>
  </si>
  <si>
    <t>Taiwan</t>
  </si>
  <si>
    <t>Thailand</t>
  </si>
  <si>
    <t>United Arab Emirates</t>
  </si>
  <si>
    <t>United Kingdom</t>
  </si>
  <si>
    <t>United States</t>
  </si>
  <si>
    <t>Vietnam</t>
  </si>
  <si>
    <t>TOTAL</t>
  </si>
  <si>
    <t>Gas</t>
  </si>
  <si>
    <t>Diesel</t>
  </si>
  <si>
    <t>Elec</t>
  </si>
  <si>
    <t>Site type</t>
  </si>
  <si>
    <t>Cable landing station</t>
  </si>
  <si>
    <t>Colocation</t>
  </si>
  <si>
    <t>Data Centre</t>
  </si>
  <si>
    <t>Office</t>
  </si>
  <si>
    <t>Row Labels</t>
  </si>
  <si>
    <t>Sum of FY20_adopted_elec_(kWh)</t>
  </si>
  <si>
    <t>Sum of FY20_Elec_S2_kgCO2e</t>
  </si>
  <si>
    <t>Conversion to GJ</t>
  </si>
  <si>
    <t>total GJ</t>
  </si>
  <si>
    <t>Sum of FY20_adopted_gas_(MJ)</t>
  </si>
  <si>
    <t>Sum of FY20_Gas_S1_kgCO2e</t>
  </si>
  <si>
    <t>Total GJ</t>
  </si>
  <si>
    <t>Sum of FY20_adopted_diesel_(L)</t>
  </si>
  <si>
    <t>Sum of FY20_Diesel_S1_kgCO2e</t>
  </si>
  <si>
    <t>Australia</t>
  </si>
  <si>
    <t>Grand Total</t>
  </si>
  <si>
    <t>Version name</t>
  </si>
  <si>
    <t>Date Created</t>
  </si>
  <si>
    <t>Status</t>
  </si>
  <si>
    <t>Change summary</t>
  </si>
  <si>
    <t>20210507 CSR Model FY21 Draft1</t>
  </si>
  <si>
    <t>Draft</t>
  </si>
  <si>
    <t>First draft report created</t>
  </si>
  <si>
    <t>20210816 CSR Model FY21 Draft2</t>
  </si>
  <si>
    <t>Second draft created</t>
  </si>
  <si>
    <t>20210709 CSR Model FY21 Draft2_V1.6</t>
  </si>
  <si>
    <t>12 months of data added to model</t>
  </si>
  <si>
    <t>20210712 CSR Model FY21 Draft2_V1.6.1</t>
  </si>
  <si>
    <t>Updates to model based on Tom and Gehan's feedback</t>
  </si>
  <si>
    <t>20210715 CSR Model FY21 Draft2_V1.7</t>
  </si>
  <si>
    <t>Updates to FY21 international data and update of Airfirst contractor data</t>
  </si>
  <si>
    <t>20210716 CSR Model FY21 Draft2_V1.8</t>
  </si>
  <si>
    <t>Update to some formatting based on discussion with Gehan 15/07/2021</t>
  </si>
  <si>
    <t>20210721 CSR Model FY21 Draft2_V1.8.1</t>
  </si>
  <si>
    <t>Updated energy savings, decommissioning, waste streams and contractor data.</t>
  </si>
  <si>
    <t>20210810 CSR Model FY21 Draft 2 V1.9</t>
  </si>
  <si>
    <t>Updated energy savings, australian electricity data, waste and contractor data.</t>
  </si>
  <si>
    <t>20210813 CSR Model FY21 Draft 2 V1.10</t>
  </si>
  <si>
    <t>Updated International data &amp; scope 3 data and methodology</t>
  </si>
  <si>
    <t>20210817 CSR Model FY21 Final Draft V1.11</t>
  </si>
  <si>
    <t>Final</t>
  </si>
  <si>
    <t>Updated energy savings</t>
  </si>
  <si>
    <t>Color code key for tabs</t>
  </si>
  <si>
    <t>Summary pages</t>
  </si>
  <si>
    <t>Summary pages source data</t>
  </si>
  <si>
    <t>References and look up tables</t>
  </si>
  <si>
    <t>Updated tabs with final values for reporting purposes</t>
  </si>
  <si>
    <t>Tabs with data queries</t>
  </si>
  <si>
    <t>FY19 published data</t>
  </si>
  <si>
    <t>Climate Change and Energy</t>
  </si>
  <si>
    <r>
      <t>Australia Scope 1 and 2 greenhouse gas emissions</t>
    </r>
    <r>
      <rPr>
        <b/>
        <vertAlign val="superscript"/>
        <sz val="14"/>
        <color rgb="FF074F30"/>
        <rFont val="Arial"/>
        <family val="2"/>
      </rPr>
      <t>1,2</t>
    </r>
  </si>
  <si>
    <t>GRI Standards: 305-1, 305-2, 305-3 &amp; 305-5</t>
  </si>
  <si>
    <r>
      <t>Tonnes of carbon dioxide equivalent (tCO</t>
    </r>
    <r>
      <rPr>
        <i/>
        <vertAlign val="subscript"/>
        <sz val="9"/>
        <color rgb="FF074F30"/>
        <rFont val="Arial"/>
        <family val="2"/>
      </rPr>
      <t>2</t>
    </r>
    <r>
      <rPr>
        <i/>
        <sz val="9"/>
        <color rgb="FF074F30"/>
        <rFont val="Arial"/>
        <family val="2"/>
      </rPr>
      <t>e)</t>
    </r>
  </si>
  <si>
    <t>FY21</t>
  </si>
  <si>
    <t>FY19</t>
  </si>
  <si>
    <t>FY18</t>
  </si>
  <si>
    <t>FY17</t>
  </si>
  <si>
    <t>FY16</t>
  </si>
  <si>
    <t>% change FY20-21</t>
  </si>
  <si>
    <r>
      <t>Total emissions (scope 1 &amp; 2) tCO</t>
    </r>
    <r>
      <rPr>
        <vertAlign val="subscript"/>
        <sz val="8"/>
        <color rgb="FF000000"/>
        <rFont val="Arial"/>
        <family val="2"/>
      </rPr>
      <t>2</t>
    </r>
    <r>
      <rPr>
        <sz val="8"/>
        <color indexed="8"/>
        <rFont val="Arial"/>
        <family val="2"/>
      </rPr>
      <t>e</t>
    </r>
    <r>
      <rPr>
        <vertAlign val="superscript"/>
        <sz val="8"/>
        <color rgb="FF000000"/>
        <rFont val="Arial"/>
        <family val="2"/>
      </rPr>
      <t>3</t>
    </r>
  </si>
  <si>
    <r>
      <t>Scope 1 emissions (tCO</t>
    </r>
    <r>
      <rPr>
        <vertAlign val="subscript"/>
        <sz val="8"/>
        <color rgb="FF000000"/>
        <rFont val="Arial"/>
        <family val="2"/>
      </rPr>
      <t>2</t>
    </r>
    <r>
      <rPr>
        <sz val="8"/>
        <color indexed="8"/>
        <rFont val="Arial"/>
        <family val="2"/>
      </rPr>
      <t>e)</t>
    </r>
  </si>
  <si>
    <r>
      <t>Scope 2 emissions (tCO</t>
    </r>
    <r>
      <rPr>
        <vertAlign val="subscript"/>
        <sz val="8"/>
        <color rgb="FF000000"/>
        <rFont val="Arial"/>
        <family val="2"/>
      </rPr>
      <t>2</t>
    </r>
    <r>
      <rPr>
        <sz val="8"/>
        <color indexed="8"/>
        <rFont val="Arial"/>
        <family val="2"/>
      </rPr>
      <t>e)</t>
    </r>
  </si>
  <si>
    <t>Emissions saving initiatives</t>
  </si>
  <si>
    <r>
      <t>Annualised emissions savings resulting from project initiatives (tCO</t>
    </r>
    <r>
      <rPr>
        <vertAlign val="subscript"/>
        <sz val="8"/>
        <color rgb="FF000000"/>
        <rFont val="Arial"/>
        <family val="2"/>
      </rPr>
      <t>2</t>
    </r>
    <r>
      <rPr>
        <sz val="8"/>
        <color indexed="8"/>
        <rFont val="Arial"/>
        <family val="2"/>
      </rPr>
      <t>e/yr)</t>
    </r>
  </si>
  <si>
    <r>
      <t>Annualised emissions savings resulting from decommisioning (tCO</t>
    </r>
    <r>
      <rPr>
        <vertAlign val="subscript"/>
        <sz val="8"/>
        <color rgb="FF000000"/>
        <rFont val="Arial"/>
        <family val="2"/>
      </rPr>
      <t>2</t>
    </r>
    <r>
      <rPr>
        <sz val="8"/>
        <color indexed="8"/>
        <rFont val="Arial"/>
        <family val="2"/>
      </rPr>
      <t>e/yr)</t>
    </r>
  </si>
  <si>
    <t>Not available yet for FY21</t>
  </si>
  <si>
    <t>N/A</t>
  </si>
  <si>
    <r>
      <t>Notes:</t>
    </r>
    <r>
      <rPr>
        <b/>
        <sz val="8"/>
        <color indexed="30"/>
        <rFont val="Arial"/>
        <family val="2"/>
      </rPr>
      <t xml:space="preserve"> </t>
    </r>
  </si>
  <si>
    <t>1 - Reported emissions are based on Telstra's Australian scope 1 and 2 emissions only  and do not include international scope 1 and 2 emissions.</t>
  </si>
  <si>
    <t xml:space="preserve">2 – Reported emissions are based on actual data wherever possible. Where metered or invoiced data was not available at 30 June 2021, estimates have been calculated based on prior actual consumption, taking into account seasonal variations, qualified assumptions and/or known business activity variations. 						</t>
  </si>
  <si>
    <r>
      <t>3 – We have re-stated our FY19 scope 1 GHG emissions to account for a change in the operational boundary with NBN and the treatment of contractor fuel data. This decreased our scope 1 GHG emissions by 4,067 tCO</t>
    </r>
    <r>
      <rPr>
        <vertAlign val="subscript"/>
        <sz val="8"/>
        <color rgb="FF000000"/>
        <rFont val="Arial"/>
        <family val="2"/>
      </rPr>
      <t>2</t>
    </r>
    <r>
      <rPr>
        <sz val="8"/>
        <color indexed="8"/>
        <rFont val="Arial"/>
        <family val="2"/>
      </rPr>
      <t xml:space="preserve">e (-8.0% change in scope 1 GHG emissions) from what was previously reported.   </t>
    </r>
  </si>
  <si>
    <r>
      <t>International Scope 1 and 2 greenhouse gas emissions</t>
    </r>
    <r>
      <rPr>
        <b/>
        <vertAlign val="superscript"/>
        <sz val="14"/>
        <color rgb="FF074F30"/>
        <rFont val="Arial"/>
        <family val="2"/>
      </rPr>
      <t>1</t>
    </r>
  </si>
  <si>
    <t>1 – Reported emissions are based on actual data wherever possible. Where metered or invoiced data was not available at 30 June 2021, estimates have been calculated based on prior actual consumption, cost data or buidling type data</t>
  </si>
  <si>
    <r>
      <t>Total scope 1 and scope 2 greenhouse gas emissions by source</t>
    </r>
    <r>
      <rPr>
        <b/>
        <vertAlign val="superscript"/>
        <sz val="14"/>
        <color rgb="FF074F30"/>
        <rFont val="Arial"/>
        <family val="2"/>
      </rPr>
      <t>1</t>
    </r>
  </si>
  <si>
    <t>GRI Standards: 305-1 &amp; 305-2</t>
  </si>
  <si>
    <t>Scope 1</t>
  </si>
  <si>
    <t xml:space="preserve">Stationary energy </t>
  </si>
  <si>
    <t>·  Natural gas</t>
  </si>
  <si>
    <t>·  Diesel</t>
  </si>
  <si>
    <t>·  Petrol</t>
  </si>
  <si>
    <t>·  LPG</t>
  </si>
  <si>
    <t>·  Ethanol</t>
  </si>
  <si>
    <t>&lt;1</t>
  </si>
  <si>
    <t>n/a</t>
  </si>
  <si>
    <t xml:space="preserve">Transport fuels </t>
  </si>
  <si>
    <r>
      <t>·  LPG</t>
    </r>
    <r>
      <rPr>
        <vertAlign val="superscript"/>
        <sz val="8"/>
        <color rgb="FF000000"/>
        <rFont val="Arial"/>
        <family val="2"/>
      </rPr>
      <t>2</t>
    </r>
  </si>
  <si>
    <t>Scope 2</t>
  </si>
  <si>
    <r>
      <t>Stationary energy</t>
    </r>
    <r>
      <rPr>
        <i/>
        <vertAlign val="superscript"/>
        <sz val="8"/>
        <color rgb="FF000000"/>
        <rFont val="Arial"/>
        <family val="2"/>
      </rPr>
      <t>3</t>
    </r>
  </si>
  <si>
    <t>·  Electricity</t>
  </si>
  <si>
    <t>Notes:</t>
  </si>
  <si>
    <t>1 – Reported emissions are based on Telstra's Australian scope 1 and 2 emissions only  and do not include international scope 1 and 2 emissions.</t>
  </si>
  <si>
    <t>2 – LPG vehicles were phased out from Telstra's fleet in FY20.</t>
  </si>
  <si>
    <t>3 – Stationary energy based emissions have been calculated using the location based scope 2 calculation method described in the GHG Protocol scope 2 standard.</t>
  </si>
  <si>
    <t>Energy consumption by source</t>
  </si>
  <si>
    <t>GRI Standards: 302-1 &amp; 302-4</t>
  </si>
  <si>
    <t>Gigajoules (GJ)</t>
  </si>
  <si>
    <r>
      <t>Total energy use</t>
    </r>
    <r>
      <rPr>
        <vertAlign val="superscript"/>
        <sz val="8"/>
        <color indexed="8"/>
        <rFont val="Arial"/>
        <family val="2"/>
      </rPr>
      <t>1</t>
    </r>
    <r>
      <rPr>
        <sz val="8"/>
        <color indexed="8"/>
        <rFont val="Arial"/>
        <family val="2"/>
      </rPr>
      <t xml:space="preserve"> </t>
    </r>
  </si>
  <si>
    <r>
      <t>·  Solar energy 
   (generated by Telstra)</t>
    </r>
    <r>
      <rPr>
        <vertAlign val="superscript"/>
        <sz val="8"/>
        <color indexed="8"/>
        <rFont val="Arial"/>
        <family val="2"/>
      </rPr>
      <t>2</t>
    </r>
  </si>
  <si>
    <t xml:space="preserve">Transport energy </t>
  </si>
  <si>
    <r>
      <t>Annualised energy savings resulting from energy reduction projects</t>
    </r>
    <r>
      <rPr>
        <vertAlign val="superscript"/>
        <sz val="8"/>
        <color rgb="FF000000"/>
        <rFont val="Arial"/>
        <family val="2"/>
      </rPr>
      <t>3</t>
    </r>
  </si>
  <si>
    <r>
      <t>Annualised energy savings resulting from decommissioning activites</t>
    </r>
    <r>
      <rPr>
        <vertAlign val="superscript"/>
        <sz val="8"/>
        <color rgb="FF000000"/>
        <rFont val="Arial"/>
        <family val="2"/>
      </rPr>
      <t>4</t>
    </r>
  </si>
  <si>
    <t>Solar capacity - connected to grid</t>
  </si>
  <si>
    <t>2.1 MW</t>
  </si>
  <si>
    <r>
      <t>Solar capacity - offgrid</t>
    </r>
    <r>
      <rPr>
        <vertAlign val="superscript"/>
        <sz val="8"/>
        <color rgb="FF000000"/>
        <rFont val="Arial"/>
        <family val="2"/>
      </rPr>
      <t>5, 6</t>
    </r>
  </si>
  <si>
    <t>5.6 MW</t>
  </si>
  <si>
    <t xml:space="preserve">1 – Sum of ‘stationary energy’ and ‘transport energy’ may differ to ‘total energy use’ due to rounding. </t>
  </si>
  <si>
    <t xml:space="preserve">2 – Telstra has over 10,000 sites which are wholly or partly powered with solar panels providing power to telecommunications equipment in rural and remote locations where the power grid does not reach. </t>
  </si>
  <si>
    <t xml:space="preserve">3 – This figure reflects energy saved from energy reduction projects at our network sites. </t>
  </si>
  <si>
    <t xml:space="preserve">4 – This figure reflects energy saved from decommissioning activities at both our network and commercial sites. </t>
  </si>
  <si>
    <t>5 – Offgrid solar capacity is based on installed solar panel capacity rather than actual capacity.</t>
  </si>
  <si>
    <t>6 – We have re-stated our FY19 offgrid solar capacity to reflect a revised calculation methodology. While the number of offgrid solar sites has remained consistent, this has resulted in  FY19 offgrid solar capacity increasing by 1.8MW (51% increase) compared to what was previously reported.</t>
  </si>
  <si>
    <t>Total greenhouse gas emissions by category (scope 1 &amp; 2 emissions)</t>
  </si>
  <si>
    <t>Category</t>
  </si>
  <si>
    <t>Contributor</t>
  </si>
  <si>
    <t xml:space="preserve"> GHG emissions
(scope 1 &amp; scope 2) </t>
  </si>
  <si>
    <t>% of total GHG emissions 
(scope 1 &amp; scope 2)</t>
  </si>
  <si>
    <t>Network Sites (inc mobile, Exchanges, Depots)¹</t>
  </si>
  <si>
    <t>Electricity</t>
  </si>
  <si>
    <t>Fuel</t>
  </si>
  <si>
    <t>Offices, Retail &amp; Residential</t>
  </si>
  <si>
    <t>Data Centres</t>
  </si>
  <si>
    <t>Vehicles</t>
  </si>
  <si>
    <t>1 – Network category includes all network-related sites including unmetered sites and data centre services hosted at Telstra exchanges. This consists of all scope 1 and 2 emissions allocated to the Telstra network, based on premises, vehicle or activity end use.</t>
  </si>
  <si>
    <t>Emissions intensity</t>
  </si>
  <si>
    <t>GRI Standards: 305-3 &amp; 305-4</t>
  </si>
  <si>
    <t>FY19³</t>
  </si>
  <si>
    <t>% change FY20-FY21</t>
  </si>
  <si>
    <r>
      <t>Emissions intensity (tCO</t>
    </r>
    <r>
      <rPr>
        <vertAlign val="subscript"/>
        <sz val="8"/>
        <color rgb="FF000000"/>
        <rFont val="Arial"/>
        <family val="2"/>
      </rPr>
      <t>2</t>
    </r>
    <r>
      <rPr>
        <sz val="8"/>
        <color rgb="FF000000"/>
        <rFont val="Arial"/>
        <family val="2"/>
      </rPr>
      <t>e/PB)</t>
    </r>
    <r>
      <rPr>
        <sz val="8"/>
        <color rgb="FF000000"/>
        <rFont val="Calibri"/>
        <family val="2"/>
      </rPr>
      <t>¹</t>
    </r>
  </si>
  <si>
    <r>
      <t>Total emissions (scope 1, 2 &amp; 3) included in emissions intensity target (tCO</t>
    </r>
    <r>
      <rPr>
        <vertAlign val="subscript"/>
        <sz val="8"/>
        <color rgb="FF000000"/>
        <rFont val="Arial"/>
        <family val="2"/>
      </rPr>
      <t>2</t>
    </r>
    <r>
      <rPr>
        <sz val="8"/>
        <color rgb="FF000000"/>
        <rFont val="Arial"/>
        <family val="2"/>
      </rPr>
      <t>e)</t>
    </r>
  </si>
  <si>
    <r>
      <t>Scope 3 emissions included in emissions intensity target (tCO</t>
    </r>
    <r>
      <rPr>
        <vertAlign val="subscript"/>
        <sz val="8"/>
        <color rgb="FF000000"/>
        <rFont val="Arial"/>
        <family val="2"/>
      </rPr>
      <t>2</t>
    </r>
    <r>
      <rPr>
        <sz val="8"/>
        <color rgb="FF000000"/>
        <rFont val="Arial"/>
        <family val="2"/>
      </rPr>
      <t>e)</t>
    </r>
    <r>
      <rPr>
        <vertAlign val="superscript"/>
        <sz val="8"/>
        <color rgb="FF000000"/>
        <rFont val="Arial"/>
        <family val="2"/>
      </rPr>
      <t>3</t>
    </r>
  </si>
  <si>
    <t>·  Electricity transmission losses</t>
  </si>
  <si>
    <t>·  Fuel extraction and refining</t>
  </si>
  <si>
    <t>·  Air travel</t>
  </si>
  <si>
    <t>·  Waste</t>
  </si>
  <si>
    <t>Petabytes (PB)</t>
  </si>
  <si>
    <t>1 – Scope 3 FY20 emissions included in intensity target provided in Emissions Intensity Target table above. For Telstra’s full scope 3 emissions profile for FY19, see below table FY19 greenhouse gas emissions by category (scope 3 emissions).</t>
  </si>
  <si>
    <r>
      <t>2 – Cumulative % reduction against Telstra's target to reduce carbon emissions intensity (tCO</t>
    </r>
    <r>
      <rPr>
        <vertAlign val="subscript"/>
        <sz val="8"/>
        <color rgb="FF000000"/>
        <rFont val="Arial"/>
        <family val="2"/>
      </rPr>
      <t>2</t>
    </r>
    <r>
      <rPr>
        <sz val="8"/>
        <color indexed="8"/>
        <rFont val="Arial"/>
        <family val="2"/>
      </rPr>
      <t xml:space="preserve">e/PB) by 50% from a baseline year of FY17. </t>
    </r>
  </si>
  <si>
    <r>
      <t>3 – We have re-stated our FY19 scope 3 GHG emissions to account for a change in the operational boundary with NBN and the treatment of contractor fuel data. This decreased our scope 3 GHG emissions by 248 tCO</t>
    </r>
    <r>
      <rPr>
        <vertAlign val="subscript"/>
        <sz val="8"/>
        <color rgb="FF000000"/>
        <rFont val="Arial"/>
        <family val="2"/>
      </rPr>
      <t>2</t>
    </r>
    <r>
      <rPr>
        <sz val="8"/>
        <color indexed="8"/>
        <rFont val="Arial"/>
        <family val="2"/>
      </rPr>
      <t xml:space="preserve">e (-0.1% change in scope 3 GHG emissions) from what was previously reported. </t>
    </r>
  </si>
  <si>
    <r>
      <t>FY20 greenhouse gas emissions by category (scope 3 emissions)</t>
    </r>
    <r>
      <rPr>
        <b/>
        <vertAlign val="superscript"/>
        <sz val="14"/>
        <color rgb="FF074F30"/>
        <rFont val="Arial"/>
        <family val="2"/>
      </rPr>
      <t>1,4</t>
    </r>
  </si>
  <si>
    <t>GRI Standards: 305-3</t>
  </si>
  <si>
    <t>GHG Protocol scope 3 category</t>
  </si>
  <si>
    <r>
      <t>Scope 3 GHG emissions (tCO</t>
    </r>
    <r>
      <rPr>
        <b/>
        <vertAlign val="subscript"/>
        <sz val="9"/>
        <color rgb="FFFFFFFF"/>
        <rFont val="Arial"/>
        <family val="2"/>
      </rPr>
      <t>2</t>
    </r>
    <r>
      <rPr>
        <b/>
        <sz val="9"/>
        <color indexed="9"/>
        <rFont val="Arial"/>
        <family val="2"/>
      </rPr>
      <t>e)</t>
    </r>
  </si>
  <si>
    <r>
      <t>Cat 1: Purchased goods and services</t>
    </r>
    <r>
      <rPr>
        <sz val="8"/>
        <color rgb="FF000000"/>
        <rFont val="Calibri"/>
        <family val="2"/>
      </rPr>
      <t>¹</t>
    </r>
  </si>
  <si>
    <t>Cat 2: Capital goods</t>
  </si>
  <si>
    <t>Cat 3: Fuel- and energy-related emissions</t>
  </si>
  <si>
    <t>Cat 4: Upstream transportation and distribution</t>
  </si>
  <si>
    <t>Cat 5: Waste generated in operations</t>
  </si>
  <si>
    <t>Cat 6: Business travel</t>
  </si>
  <si>
    <t>Cat 7: Employee commuting</t>
  </si>
  <si>
    <t>Cat 8: Upstream leased assets</t>
  </si>
  <si>
    <t>Cat 9: Downstream transportation and distribution</t>
  </si>
  <si>
    <r>
      <t>Cat 10: Processing of sold products</t>
    </r>
    <r>
      <rPr>
        <sz val="8"/>
        <color rgb="FF000000"/>
        <rFont val="Calibri"/>
        <family val="2"/>
      </rPr>
      <t>²</t>
    </r>
  </si>
  <si>
    <t>Cat 11: Use of sold products</t>
  </si>
  <si>
    <t>Cat 12: End-of-life treatment of sold products</t>
  </si>
  <si>
    <r>
      <t>Cat 13: Downstream leased assets</t>
    </r>
    <r>
      <rPr>
        <sz val="8"/>
        <color rgb="FF000000"/>
        <rFont val="Calibri"/>
        <family val="2"/>
      </rPr>
      <t>³</t>
    </r>
  </si>
  <si>
    <r>
      <t>Cat 14: Franchises</t>
    </r>
    <r>
      <rPr>
        <sz val="8"/>
        <color rgb="FF000000"/>
        <rFont val="Calibri"/>
        <family val="2"/>
      </rPr>
      <t>³</t>
    </r>
  </si>
  <si>
    <t>Cat 15: Investments</t>
  </si>
  <si>
    <t>1 – Scope 3 emissions in this table are provided only for FY20 data due to the lag in availability of supply chain spend data.</t>
  </si>
  <si>
    <t xml:space="preserve">2 – Category 10 is not relevant to Telstra as no further processing of physical products occurs.						</t>
  </si>
  <si>
    <t xml:space="preserve">3 – Emissions are included under Telstra's scope 1 and 2 emissions for fuel and electricity.						</t>
  </si>
  <si>
    <t>4 - This is the first year Telstra is reporting its corporate value chain scope 3 emissions in accordance with the GHG Protocol Corporate Value Chain Accounting and Reporting Standard. For further detail on our approach to reporting our scope 3 emissions please see Methodology below.</t>
  </si>
  <si>
    <t>Distance travelled by flight by type</t>
  </si>
  <si>
    <t>Kilometres (km)</t>
  </si>
  <si>
    <t>Total flights</t>
  </si>
  <si>
    <t>Domestic flights</t>
  </si>
  <si>
    <t>International flights</t>
  </si>
  <si>
    <t>Resource Efficiency</t>
  </si>
  <si>
    <t>Waste and recycling</t>
  </si>
  <si>
    <t>GRI Standards: 306-2</t>
  </si>
  <si>
    <t>Tonnes (t)</t>
  </si>
  <si>
    <r>
      <t>Total waste</t>
    </r>
    <r>
      <rPr>
        <vertAlign val="superscript"/>
        <sz val="8"/>
        <color rgb="FF000000"/>
        <rFont val="Arial"/>
        <family val="2"/>
      </rPr>
      <t>1,2</t>
    </r>
  </si>
  <si>
    <t>Total recycled material</t>
  </si>
  <si>
    <t>Operational waste</t>
  </si>
  <si>
    <t>·  Cardboard &amp; paper</t>
  </si>
  <si>
    <t>·  Co-mingled</t>
  </si>
  <si>
    <r>
      <t>·  Other</t>
    </r>
    <r>
      <rPr>
        <vertAlign val="superscript"/>
        <sz val="8"/>
        <color indexed="8"/>
        <rFont val="Arial"/>
        <family val="2"/>
      </rPr>
      <t>3</t>
    </r>
  </si>
  <si>
    <t>Construction &amp; demolition waste</t>
  </si>
  <si>
    <t>E-waste</t>
  </si>
  <si>
    <t>·  Network e-waste</t>
  </si>
  <si>
    <t>·  Mobile phones recycled</t>
  </si>
  <si>
    <r>
      <t>·  Modems recycled</t>
    </r>
    <r>
      <rPr>
        <vertAlign val="superscript"/>
        <sz val="8"/>
        <color rgb="FF000000"/>
        <rFont val="Arial"/>
        <family val="2"/>
      </rPr>
      <t>4</t>
    </r>
  </si>
  <si>
    <t>Total waste to landfill</t>
  </si>
  <si>
    <t>·  General waste</t>
  </si>
  <si>
    <r>
      <t>·  Hazardous waste</t>
    </r>
    <r>
      <rPr>
        <vertAlign val="superscript"/>
        <sz val="8"/>
        <color rgb="FF000000"/>
        <rFont val="Arial"/>
        <family val="2"/>
      </rPr>
      <t>5</t>
    </r>
  </si>
  <si>
    <t xml:space="preserve">     Construction &amp; demolition waste</t>
  </si>
  <si>
    <t xml:space="preserve">     E-waste</t>
  </si>
  <si>
    <t>Total recycling rate (%)</t>
  </si>
  <si>
    <t>Operational waste recycling rate (%)</t>
  </si>
  <si>
    <t>Construction &amp; demolition waste recycling rate (%)</t>
  </si>
  <si>
    <t>E-waste recycling rate (%)</t>
  </si>
  <si>
    <t xml:space="preserve">1 – Total waste does not include waste disposed of at sites managed by third parties.			 </t>
  </si>
  <si>
    <t xml:space="preserve">2 – Waste streams contributing less that one per cent are not reported.						</t>
  </si>
  <si>
    <t>3 – Other refers to other waste categories which collectively contribute less than 5 per cent of overall weight.</t>
  </si>
  <si>
    <t>4 – Telstra began reporting modem recycling as a separate line item in FY20.</t>
  </si>
  <si>
    <t>5 – Hazardous wastes which are not able to be re-processed are disposed at appropriate licenced landfill facilities.</t>
  </si>
  <si>
    <t>Office, billing and printing paper</t>
  </si>
  <si>
    <t>Total</t>
  </si>
  <si>
    <t>Office paper</t>
  </si>
  <si>
    <t>Printing paper</t>
  </si>
  <si>
    <t>Billing paper</t>
  </si>
  <si>
    <t xml:space="preserve">Water </t>
  </si>
  <si>
    <t>GRI Standards: 303-1 &amp; 306-1</t>
  </si>
  <si>
    <t>Megalitres (ML) and Kilolitres (kL)</t>
  </si>
  <si>
    <r>
      <t>Water consumption</t>
    </r>
    <r>
      <rPr>
        <vertAlign val="superscript"/>
        <sz val="8"/>
        <color indexed="8"/>
        <rFont val="Arial"/>
        <family val="2"/>
      </rPr>
      <t>1</t>
    </r>
    <r>
      <rPr>
        <sz val="8"/>
        <color indexed="8"/>
        <rFont val="Arial"/>
        <family val="2"/>
      </rPr>
      <t xml:space="preserve"> 
</t>
    </r>
    <r>
      <rPr>
        <i/>
        <sz val="8"/>
        <color indexed="8"/>
        <rFont val="Arial"/>
        <family val="2"/>
      </rPr>
      <t>(ML)</t>
    </r>
  </si>
  <si>
    <t>Still require historical data uploaded in Envizi</t>
  </si>
  <si>
    <r>
      <t>Wastewater</t>
    </r>
    <r>
      <rPr>
        <vertAlign val="superscript"/>
        <sz val="8"/>
        <color indexed="8"/>
        <rFont val="Arial"/>
        <family val="2"/>
      </rPr>
      <t>2</t>
    </r>
    <r>
      <rPr>
        <sz val="8"/>
        <color indexed="8"/>
        <rFont val="Arial"/>
        <family val="2"/>
      </rPr>
      <t xml:space="preserve"> 
</t>
    </r>
    <r>
      <rPr>
        <i/>
        <sz val="8"/>
        <color indexed="8"/>
        <rFont val="Arial"/>
        <family val="2"/>
      </rPr>
      <t>(kL)</t>
    </r>
  </si>
  <si>
    <t>1 – This metric does not include water consumption from sites where water is paid for by third parties.</t>
  </si>
  <si>
    <t>2 – Wastewater includes pit pump outs and asbestos pit remediation.</t>
  </si>
  <si>
    <t>Methodology</t>
  </si>
  <si>
    <t>FY20 greenhouse gas emissions by category (scope 3 emissions) calculation methodology</t>
  </si>
  <si>
    <t>GHG Protocol</t>
  </si>
  <si>
    <t>Evaluation status</t>
  </si>
  <si>
    <t>Emissions calculation methodology</t>
  </si>
  <si>
    <t>Emissions calculated using data from suppliers/ partners (%)</t>
  </si>
  <si>
    <t>Sources of data</t>
  </si>
  <si>
    <t xml:space="preserve">Inclusions </t>
  </si>
  <si>
    <t>Cat 1: Purchased goods and services</t>
  </si>
  <si>
    <t>Relevant, calculated</t>
  </si>
  <si>
    <t xml:space="preserve">Telstra’s Scope 3 GHG emissions have been assessed in a robust and detailed way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 </t>
  </si>
  <si>
    <t>Telstra spend data allocated to supplier, country and product type. GHG factors from input-output data base Exiobase 3</t>
  </si>
  <si>
    <t>Total spend across all suppliers.</t>
  </si>
  <si>
    <t>Telstra’s Scope 3 GHG emissions have been assessed in a robust and detailed way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t>
  </si>
  <si>
    <t xml:space="preserve">Telstra spend data allocated to supplier, country and product type. GHG factors from input-output data base Exiobase 3 </t>
  </si>
  <si>
    <t>Includes: fleet, hardware, non-network property, public telephones suppliers as part of the total spend across all suppliers.</t>
  </si>
  <si>
    <t>Scope 3 emissions arising from the use of Stationary and Transport fuels directly related to the operation of Telstra’s Network and ancillary to it are based on the emission coefficients contained in the National Greenhouse Accounts (NGA) Factors, August 2019 prepared by the Department of the Environment and Energy - https://publications.industry.gov.au/publications/climate-change/climate-change/climate-science-data/greenhouse-gas-measurement/publications/national-greenhouse-accounts-factors-august-2019.html.</t>
  </si>
  <si>
    <t>Telstra electricity and fuel invoices, 2019 NGER model and report, GHG factors from the National GHG Accounts factors (Australian Government, 2019)</t>
  </si>
  <si>
    <t>Electricity and energy use by state provided.</t>
  </si>
  <si>
    <t>Telstra spend data allocated to supplier, country and product type. Provided by Telstra. GHG factors from input-output data base Exiobase 3</t>
  </si>
  <si>
    <t>Includes: IP transport, domestic distribution suppliers as part of the total spend across all suppliers.</t>
  </si>
  <si>
    <t>The emission coefficient for waste is based on National Greenhouse Accounts (NGA) Factors, August 2019 prepared by the Department of Climate Change and Energy Efficiency - https://publications.industry.gov.au/publications/climate-change/climate-change/climate-science-data/greenhouse-gas-measurement/publications/national-greenhouse-accounts-factors-august-2019.html. Refer to Table 47, page 79. Category B has been used, “Commercial and Industrial Waste”. Emission factor (tCO2-e/t waste) = 1.2.</t>
  </si>
  <si>
    <t>Telstra waste invoice data, 2019 Sustainability Report. GHG factors from AusLCI and ecoinvent3.5</t>
  </si>
  <si>
    <t>Waste output, by waste stream and treatment.</t>
  </si>
  <si>
    <t>Both kilometres and emissions from employee air travel are reported as part of Telstra’s Annual Report. Emissions are calculated using the methodology prescribed by the UK Department of Environment, Food and Rural Affairs (DEFRA). The DEFRA method is endorsed by the Australian National Carbon Offset Standard. Translating the DEFRA methodology to the Australian context, short haul (domestic) flights are those taken within States while medium haul flights are to and from capital cities such as between Melbourne and Sydney, Sydney and Brisbane or Melbourne and Brisbane. Long Haul flights are trans-Tasman and other international journeys. http://www.ukconversionfactorscarbonsmart.co.uk/</t>
  </si>
  <si>
    <t>Telstra air travel and fleet activity and emissions data, 2019 Sustainability Report. GHG factors from AusLCI and ecoinvent3.5</t>
  </si>
  <si>
    <t>Travel distances and spend per travel mode.</t>
  </si>
  <si>
    <t>Telstra’s Scope 3 GHG emissions have been assessed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t>
  </si>
  <si>
    <t>Staff number and location data maintained by Telstra HR. Average commute distances for different regions and mode split retrieved from Australian Government statistics (BITRE, 2015). GHG factors from AusLCI.</t>
  </si>
  <si>
    <t>Staff commuting per city and region.</t>
  </si>
  <si>
    <t>Telstra electricity invoices, GHG factors from relevant national sources.</t>
  </si>
  <si>
    <t>Electricity use in international portfolio. Non-electricity energy emissions and refrigerants have been excluded as they are determined to be minimal in comparison to the overall footprint.</t>
  </si>
  <si>
    <t>Telstra’s Scope 3 GHG emissions have been assessed by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t>
  </si>
  <si>
    <t>Telstra spend data allocated to respective economic sector and country. GHG factors from input-output database ExioBase 3</t>
  </si>
  <si>
    <t>Includes all transport and distribution of Telstra’s sold products as part of the 500 top suppliers by spend.</t>
  </si>
  <si>
    <t>Cat 10: Processing of sold products</t>
  </si>
  <si>
    <t>Not relevant, explanation provided</t>
  </si>
  <si>
    <t>Not applicable for Telstra as Telstra does not sell products for the purposes of further processing. According to our Bigger Picture 2019 Sustainability Report (page 5), Telstra provided devices to customers across our 18.3 million domestic mobile retail customers services, including 1.4 million standalone voice customers and 3.7 million retail bundles and standalone fixed data services during FY19 and although many of these devices are Telstra branded, all are manufactured by third party providers and will be captured under the purchased goods and services category.</t>
  </si>
  <si>
    <t>Product list, device power for specific mobile broadband modems and mobile broadband power provided by Telstra.  Supplier electricity use estimates used for applicable broadband modems where available. GHG factors from the national GHG Accounts Factors (Australian Government, 2019).</t>
  </si>
  <si>
    <t>Electricity use of electronic devices.</t>
  </si>
  <si>
    <t>Product list from Telstra. Smartphone recovered materials and recycling data from e-waste recycling providers. GHG factors from AusLCI and ecoinvent 3.5</t>
  </si>
  <si>
    <t>Recycling and landfill of electronic devices and accessories.</t>
  </si>
  <si>
    <t>Cat 13: Downstream leased assets</t>
  </si>
  <si>
    <t>Telstra treats products leased to customers in the same way as sold products. All impacts are therefore disclosed in Use of Sold Products and End-of-Life Treatment of Sold Products. This category is therefore not applicable for Telstra.</t>
  </si>
  <si>
    <t>Cat 14: Franchises</t>
  </si>
  <si>
    <t>This category was previously assessed by Telstra and deemed immaterial. As such, it has been excluded from the analysis. Last year, Telstra both owned and licensed retail stores (over 350 stores). The owned retail stores were captured under our Scope 1 and 2 GHG emissions and reported to the Australian Government as part of the National Greenhouse and Energy Reporting Scheme (NGERS). Our owned retail stores contributed approximately 0.2% to our total Scope 1 and 2 GHG emissions. There were less licensed stores than owned stores and so the licensed store GHG emissions are considered not material.</t>
  </si>
  <si>
    <t>Revenue, share of participation and country of incorporation per investee. Only positive revenue was taken into account, losses were counted as no revenue so not to create a false negative emissions flow. GHG factors from input-output data base Exiobase 3.</t>
  </si>
  <si>
    <t>Current Telstra portfolio of investments.</t>
  </si>
  <si>
    <t xml:space="preserve">Bigger Picture 2020 Sustainability Report </t>
  </si>
  <si>
    <t>Trusted operations</t>
  </si>
  <si>
    <t>Workforce profile</t>
    <phoneticPr fontId="1" type="noConversion"/>
  </si>
  <si>
    <t xml:space="preserve">Telstra Group significant geographic locations </t>
  </si>
  <si>
    <t>Workforce by employment level</t>
  </si>
  <si>
    <t>Workforce by employment type</t>
  </si>
  <si>
    <t xml:space="preserve">Workforce by contract type </t>
  </si>
  <si>
    <t>Total new hires</t>
  </si>
  <si>
    <t>New hires by gender and age group and region</t>
  </si>
  <si>
    <t>Total turnover</t>
  </si>
  <si>
    <t>Turnover by gender and age group and region</t>
  </si>
  <si>
    <t>Absenteeism rates</t>
  </si>
  <si>
    <t>Parental leave by gender</t>
  </si>
  <si>
    <t>Returned to work after parental leave</t>
  </si>
  <si>
    <t>Return to work rate by gender</t>
  </si>
  <si>
    <t>Average hours of training per year per employee</t>
  </si>
  <si>
    <t>Female representation in the workforce by employment level since FY17</t>
  </si>
  <si>
    <t xml:space="preserve">Female representation in the workforce by employment level: with executive band breakdown  </t>
  </si>
  <si>
    <t>Gender Pay Equity: Compa-ratio</t>
  </si>
  <si>
    <t>Age distribution</t>
  </si>
  <si>
    <t>Reconciliation Action Plan update</t>
  </si>
  <si>
    <t>Telstra workplace health and safety indicators</t>
  </si>
  <si>
    <t xml:space="preserve">Telstra Total Recordable Injury Frequency Rate   </t>
  </si>
  <si>
    <t xml:space="preserve">Telstra Lost Time Injury Performance Indicators </t>
  </si>
  <si>
    <t xml:space="preserve">Discrimination complaints </t>
  </si>
  <si>
    <t>Sexual harrassment complaints</t>
  </si>
  <si>
    <t>Digital inclusion</t>
  </si>
  <si>
    <t>Social and community investment by focus</t>
  </si>
  <si>
    <t>Social and community investment by form of contribution</t>
  </si>
  <si>
    <t>Digital capability programs – number of people impacted</t>
  </si>
  <si>
    <t>Help keep one million customers in vulnerable circumstances connected</t>
  </si>
  <si>
    <t>Environmental action</t>
  </si>
  <si>
    <t>Scope 1 and 2 greenhouse gas emissions</t>
  </si>
  <si>
    <t>Total scope 1 and scope 2 greenhouse gas emissions by source</t>
  </si>
  <si>
    <t>Emissions savings initiatives</t>
  </si>
  <si>
    <t>FY20 greenhouse gas emissions by category (scope 3 emissions)</t>
  </si>
  <si>
    <t>Reports</t>
    <phoneticPr fontId="1" type="noConversion"/>
  </si>
  <si>
    <t>Bigger Picture 2021 Sustainability Report</t>
  </si>
  <si>
    <t>2021 Sustainability Report Assurance Statement</t>
  </si>
  <si>
    <t>2021 Sustainability Report Glossary</t>
  </si>
  <si>
    <t>2021 Sustainability Report GRI, UNGC, SASB &amp; TCFD Content Index</t>
  </si>
  <si>
    <t>2021 Sustainability Report TCFD Appendix</t>
  </si>
  <si>
    <t xml:space="preserve">Bigger Picture 2021 Sustainability Report </t>
  </si>
  <si>
    <t>Short Links</t>
    <phoneticPr fontId="1" type="noConversion"/>
  </si>
  <si>
    <t>General Workforce</t>
  </si>
  <si>
    <t>Employee Attraction and Retention</t>
  </si>
  <si>
    <t>Employee Learning and Capability Development</t>
  </si>
  <si>
    <t>Diversity and Inclusion</t>
  </si>
  <si>
    <t>Gender Pay Equity</t>
  </si>
  <si>
    <t>Reconciliation Action Plan</t>
  </si>
  <si>
    <t>Health, Safety and Wellbeing</t>
  </si>
  <si>
    <t>GENERAL WORKFORCE</t>
  </si>
  <si>
    <t>GRI Standards 102-8</t>
  </si>
  <si>
    <r>
      <t>Workforce profile</t>
    </r>
    <r>
      <rPr>
        <b/>
        <vertAlign val="superscript"/>
        <sz val="14"/>
        <color rgb="FF001E82"/>
        <rFont val="Arial"/>
        <family val="2"/>
        <scheme val="minor"/>
      </rPr>
      <t>1</t>
    </r>
    <r>
      <rPr>
        <b/>
        <sz val="14"/>
        <color rgb="FF001E82"/>
        <rFont val="Arial"/>
        <family val="2"/>
        <scheme val="minor"/>
      </rPr>
      <t xml:space="preserve"> </t>
    </r>
  </si>
  <si>
    <t>REMOVE - SHOW PERCENTAGE CHANGE 20 /19 ??</t>
  </si>
  <si>
    <t>% change FY20 - FY21</t>
  </si>
  <si>
    <r>
      <t>Telstra Group</t>
    </r>
    <r>
      <rPr>
        <b/>
        <vertAlign val="superscript"/>
        <sz val="8"/>
        <color rgb="FF000000"/>
        <rFont val="Arial"/>
        <family val="2"/>
        <scheme val="minor"/>
      </rPr>
      <t>1</t>
    </r>
    <r>
      <rPr>
        <i/>
        <sz val="8"/>
        <color rgb="FF000000"/>
        <rFont val="Arial"/>
        <family val="2"/>
        <scheme val="minor"/>
      </rPr>
      <t xml:space="preserve">
</t>
    </r>
    <r>
      <rPr>
        <sz val="8"/>
        <color rgb="FF000000"/>
        <rFont val="Arial"/>
        <family val="2"/>
        <scheme val="minor"/>
      </rPr>
      <t>Full time equivalent</t>
    </r>
  </si>
  <si>
    <r>
      <t>Telstra Group excluding contractors</t>
    </r>
    <r>
      <rPr>
        <i/>
        <sz val="8"/>
        <color rgb="FF000000"/>
        <rFont val="Arial"/>
        <family val="2"/>
        <scheme val="minor"/>
      </rPr>
      <t xml:space="preserve">
</t>
    </r>
    <r>
      <rPr>
        <sz val="8"/>
        <color rgb="FF000000"/>
        <rFont val="Arial"/>
        <family val="2"/>
        <scheme val="minor"/>
      </rPr>
      <t>Full time equivalent</t>
    </r>
  </si>
  <si>
    <r>
      <t>Telstra Corporation</t>
    </r>
    <r>
      <rPr>
        <sz val="8"/>
        <color rgb="FF000000"/>
        <rFont val="Arial"/>
        <family val="2"/>
        <scheme val="minor"/>
      </rPr>
      <t xml:space="preserve">
Headcount</t>
    </r>
    <r>
      <rPr>
        <b/>
        <vertAlign val="superscript"/>
        <sz val="8"/>
        <color rgb="FF000000"/>
        <rFont val="Arial"/>
        <family val="2"/>
        <scheme val="minor"/>
      </rPr>
      <t>2</t>
    </r>
  </si>
  <si>
    <r>
      <t xml:space="preserve">Telstra Group </t>
    </r>
    <r>
      <rPr>
        <i/>
        <sz val="8"/>
        <color rgb="FF000000"/>
        <rFont val="Arial"/>
        <family val="2"/>
        <scheme val="minor"/>
      </rPr>
      <t xml:space="preserve">
</t>
    </r>
    <r>
      <rPr>
        <sz val="8"/>
        <color rgb="FF000000"/>
        <rFont val="Arial"/>
        <family val="2"/>
        <scheme val="minor"/>
      </rPr>
      <t>Direct Headcount</t>
    </r>
    <r>
      <rPr>
        <b/>
        <vertAlign val="superscript"/>
        <sz val="8"/>
        <color rgb="FF000000"/>
        <rFont val="Arial"/>
        <family val="2"/>
        <scheme val="minor"/>
      </rPr>
      <t>3</t>
    </r>
  </si>
  <si>
    <r>
      <t xml:space="preserve">Telstra Group </t>
    </r>
    <r>
      <rPr>
        <i/>
        <sz val="8"/>
        <color rgb="FF000000"/>
        <rFont val="Arial"/>
        <family val="2"/>
        <scheme val="minor"/>
      </rPr>
      <t xml:space="preserve">
</t>
    </r>
    <r>
      <rPr>
        <sz val="8"/>
        <color rgb="FF000000"/>
        <rFont val="Arial"/>
        <family val="2"/>
        <scheme val="minor"/>
      </rPr>
      <t>Indirect Headcount</t>
    </r>
    <r>
      <rPr>
        <vertAlign val="superscript"/>
        <sz val="8"/>
        <color rgb="FF000000"/>
        <rFont val="Arial"/>
        <family val="2"/>
        <scheme val="minor"/>
      </rPr>
      <t>4</t>
    </r>
  </si>
  <si>
    <t>na</t>
  </si>
  <si>
    <t xml:space="preserve"> </t>
  </si>
  <si>
    <t>1 - From FY19, Telstra Group Labour includes Internal labour (full-time, part-time, casual, controlled entities, long term leave, temporary employees) and Direct Contractor Labour (contractors, controlled entity contractors). Prior to FY19 this data did not include employees on long-term leave. The FY18 number has been restated in line with this new reporting boundary and does not match the FY18 number published in the FY18 data pack.</t>
  </si>
  <si>
    <t>2 - Telstra Corporation Headcount is the number of Telstra-paid full time and part time. Excludes long term leave.</t>
  </si>
  <si>
    <t>3 - Telstra Group Direct Headcount is the internal / controlled entity workforce and contractors. Excludes indirect workforce.</t>
  </si>
  <si>
    <t>4 - Telstra Group Indirect Headcount is the Telstra workforce not defined as Direct Workforce (e.g. contingent labour - consultancy).</t>
  </si>
  <si>
    <t>GRI Standards 102-7</t>
  </si>
  <si>
    <r>
      <t>Telstra Group significant geographic locations</t>
    </r>
    <r>
      <rPr>
        <b/>
        <vertAlign val="superscript"/>
        <sz val="14"/>
        <color rgb="FF001E82"/>
        <rFont val="Arial"/>
        <family val="2"/>
        <scheme val="minor"/>
      </rPr>
      <t>1</t>
    </r>
  </si>
  <si>
    <t xml:space="preserve">Percentage </t>
    <phoneticPr fontId="0" type="noConversion"/>
  </si>
  <si>
    <r>
      <t xml:space="preserve">India </t>
    </r>
    <r>
      <rPr>
        <vertAlign val="superscript"/>
        <sz val="8"/>
        <color rgb="FF000000"/>
        <rFont val="Arial"/>
        <family val="2"/>
        <scheme val="minor"/>
      </rPr>
      <t>2</t>
    </r>
  </si>
  <si>
    <r>
      <t xml:space="preserve">Other </t>
    </r>
    <r>
      <rPr>
        <vertAlign val="superscript"/>
        <sz val="8"/>
        <color rgb="FF000000"/>
        <rFont val="Arial"/>
        <family val="2"/>
        <scheme val="minor"/>
      </rPr>
      <t>3</t>
    </r>
  </si>
  <si>
    <t>1 - Data refers to FY21 Telstra internal workforce. Employment types: permanent full-time, permanent part-time, full-time fixed term, part-time fixed term, casuals. Excludes contingent workers (contract labour and consultancy).</t>
  </si>
  <si>
    <t>2 - India workforce has grown over the past FY and is now listed as a separate significant geographic location.</t>
  </si>
  <si>
    <t>3 - Other countries are China, UK, Singapore, US, Japan, South Korea, Malaysia, Indonesia, Taiwan and Thailand.</t>
  </si>
  <si>
    <r>
      <t>Workforce by employment level</t>
    </r>
    <r>
      <rPr>
        <b/>
        <vertAlign val="superscript"/>
        <sz val="14"/>
        <color rgb="FF001E82"/>
        <rFont val="Arial"/>
        <family val="2"/>
        <scheme val="minor"/>
      </rPr>
      <t>1,2</t>
    </r>
  </si>
  <si>
    <t xml:space="preserve">Percentage </t>
  </si>
  <si>
    <t>Executive management
(Bands A, B and C)</t>
  </si>
  <si>
    <t>Middle management 
(Bands 1 and 2)</t>
    <phoneticPr fontId="0" type="noConversion"/>
  </si>
  <si>
    <t xml:space="preserve">Operational
(Bands 3 and 4) </t>
  </si>
  <si>
    <t>2 - For FY21 ~3.5% of the internal workforce does not have band data available due to the employment type construct.</t>
  </si>
  <si>
    <r>
      <t>Workforce by employment type</t>
    </r>
    <r>
      <rPr>
        <b/>
        <vertAlign val="superscript"/>
        <sz val="14"/>
        <color rgb="FF001E82"/>
        <rFont val="Arial"/>
        <family val="2"/>
        <scheme val="minor"/>
      </rPr>
      <t>1,2,3</t>
    </r>
  </si>
  <si>
    <t>Permanent full time</t>
  </si>
  <si>
    <t>Male</t>
  </si>
  <si>
    <t>Female</t>
  </si>
  <si>
    <t>Permanent part time</t>
  </si>
  <si>
    <t>Fixed term full time</t>
  </si>
  <si>
    <t>Fixed term part time</t>
  </si>
  <si>
    <t>&lt;0.1</t>
  </si>
  <si>
    <t>1 - Data refers to FY21 Telstra internal workforce. Employment types: permanent full time, permanent part time, full time fixed term, part time fixed term. Excludes casuals and Board members. Excludes contingent workers (contract labour and consultancy).</t>
  </si>
  <si>
    <t>2 - 0.5% of the workforce have selected "prefer not to say" or "another option" for their gender.</t>
  </si>
  <si>
    <t>3 - In FY21 ~3.5% of the internal workforce does not fall within these employment types due to the employment type construct.</t>
  </si>
  <si>
    <t>GRI Standards 102-41</t>
  </si>
  <si>
    <r>
      <t xml:space="preserve">Individual contracts or statutory agreements </t>
    </r>
    <r>
      <rPr>
        <vertAlign val="superscript"/>
        <sz val="8"/>
        <color rgb="FF000000"/>
        <rFont val="Arial"/>
        <family val="2"/>
        <scheme val="minor"/>
      </rPr>
      <t>1</t>
    </r>
  </si>
  <si>
    <r>
      <t xml:space="preserve">Collective agreements </t>
    </r>
    <r>
      <rPr>
        <vertAlign val="superscript"/>
        <sz val="8"/>
        <color rgb="FF000000"/>
        <rFont val="Arial"/>
        <family val="2"/>
        <scheme val="minor"/>
      </rPr>
      <t>2</t>
    </r>
  </si>
  <si>
    <t xml:space="preserve">1 - Individual contracts or individual statutory agreements include Australian Workplace Agreements (AWAs) and Individual Transitional Employment Agreements (ITEAs) and Common Law Contracts. </t>
  </si>
  <si>
    <t xml:space="preserve">2 - Collective agreements include Employee Agreements (EAs). </t>
  </si>
  <si>
    <t>EMPLOYEE ATTRACTION AND RETENTION</t>
  </si>
  <si>
    <r>
      <t>Total new hires</t>
    </r>
    <r>
      <rPr>
        <b/>
        <vertAlign val="superscript"/>
        <sz val="14"/>
        <color rgb="FF001E82"/>
        <rFont val="Arial"/>
        <family val="2"/>
        <scheme val="minor"/>
      </rPr>
      <t>1</t>
    </r>
  </si>
  <si>
    <t>GRI Standards 401-1</t>
  </si>
  <si>
    <t>Headcount</t>
  </si>
  <si>
    <t>Rate (%)</t>
  </si>
  <si>
    <t>1 - Data refers to FY21 Telstra internal workforce. Employment types: permanent full-time, permanent part-time, full-time fixed term, part-time fixed term (excludes casuals). Excludes contingent workers (contract labour and consultancy).</t>
  </si>
  <si>
    <r>
      <t>New hires by gender and age group and region</t>
    </r>
    <r>
      <rPr>
        <b/>
        <vertAlign val="superscript"/>
        <sz val="14"/>
        <color rgb="FF001E82"/>
        <rFont val="Arial"/>
        <family val="2"/>
        <scheme val="minor"/>
      </rPr>
      <t>1,2,3</t>
    </r>
  </si>
  <si>
    <t>16-24</t>
  </si>
  <si>
    <t>25-34</t>
  </si>
  <si>
    <t>35-44</t>
  </si>
  <si>
    <t>45-54</t>
  </si>
  <si>
    <t>55 +</t>
  </si>
  <si>
    <r>
      <t>India</t>
    </r>
    <r>
      <rPr>
        <vertAlign val="superscript"/>
        <sz val="8"/>
        <rFont val="Arial"/>
        <family val="2"/>
        <scheme val="minor"/>
      </rPr>
      <t>4</t>
    </r>
  </si>
  <si>
    <t>-</t>
  </si>
  <si>
    <r>
      <t>Other</t>
    </r>
    <r>
      <rPr>
        <vertAlign val="superscript"/>
        <sz val="8"/>
        <rFont val="Arial"/>
        <family val="2"/>
        <scheme val="minor"/>
      </rPr>
      <t>5</t>
    </r>
  </si>
  <si>
    <t>1 - New hires include all external hires, contractors turned employees and casuals to employees.</t>
  </si>
  <si>
    <t>2 - Data refers to FY21 Telstra internal workforce. Employment types: permanent full time, permanent part time, full time fixed term, part time fixed term (excludes casuals).</t>
  </si>
  <si>
    <t>3 - Some Telstra fully owned Subsidiaries in Workday contain "light records". As a result, date of birth is not available, and therefore not included in the age groups.</t>
  </si>
  <si>
    <t>4 - India workforce has grown over the past FY and is now listed as a separate significant geographic location.</t>
  </si>
  <si>
    <t>5 - Other countries are China, UK, Singapore, US, Japan, South Korea, Malaysia, Indonesia, Taiwan and Thailand.</t>
  </si>
  <si>
    <r>
      <t>Total turnover</t>
    </r>
    <r>
      <rPr>
        <b/>
        <vertAlign val="superscript"/>
        <sz val="14"/>
        <color rgb="FF001E82"/>
        <rFont val="Arial"/>
        <family val="2"/>
        <scheme val="minor"/>
      </rPr>
      <t>1,2</t>
    </r>
  </si>
  <si>
    <t xml:space="preserve">1 - Turnover is the number of employees who leave Telstra including all types of separation. </t>
  </si>
  <si>
    <t>2 - Data refers to FY21 Telstra internal workforce. Employment types permanent full time, permanent part time, full time fixed term, part time fixed term (excludes casuals).</t>
  </si>
  <si>
    <r>
      <t>Turnover by gender and age group and region</t>
    </r>
    <r>
      <rPr>
        <b/>
        <vertAlign val="superscript"/>
        <sz val="14"/>
        <color rgb="FF001E82"/>
        <rFont val="Arial"/>
        <family val="2"/>
        <scheme val="minor"/>
      </rPr>
      <t>1,2,3</t>
    </r>
  </si>
  <si>
    <t>1 - Definition changed from FY17 due to regional inclusion.</t>
  </si>
  <si>
    <t>2 - Data refers to FY21 Telstra internal workforce who have left Telstra. Employment types: permanent full-time, permanent part-time, full-time fixed term, part-time fixed term (excludes casuals).</t>
  </si>
  <si>
    <t>3 - Some Telstra fully owned subsidiaries in Workday contain "light records". As a result, date of birth is not available, and therefore are not included in the age groups.</t>
  </si>
  <si>
    <t>4 - India workforce has grown over the past FY.</t>
  </si>
  <si>
    <t>5 - Other countries are China UK, Singapore, US,  Japan, South Korea, Malaysia, Indonesia, Taiwan and Thailand.</t>
  </si>
  <si>
    <r>
      <t>Absenteeism Rates</t>
    </r>
    <r>
      <rPr>
        <b/>
        <vertAlign val="superscript"/>
        <sz val="14"/>
        <color rgb="FF001E82"/>
        <rFont val="Arial"/>
        <family val="2"/>
        <scheme val="minor"/>
      </rPr>
      <t>1,2</t>
    </r>
  </si>
  <si>
    <t>GRI Standards 403-2</t>
  </si>
  <si>
    <t>1 - Number of actual absenteeism days lost (due to incapacity of any kind) as a percentage of total days scheduled to be worked by workforce.</t>
  </si>
  <si>
    <t>2 - Data refers to FY21 Telstra internal workforce. Employment types: permanent full-time, permanent part-time, full-time fixed term, part-time fixed term (excludes casuals).</t>
  </si>
  <si>
    <r>
      <t>Parental leave by gender</t>
    </r>
    <r>
      <rPr>
        <b/>
        <vertAlign val="superscript"/>
        <sz val="14"/>
        <color rgb="FF001E82"/>
        <rFont val="Arial"/>
        <family val="2"/>
        <scheme val="minor"/>
      </rPr>
      <t>1,2</t>
    </r>
  </si>
  <si>
    <t>GRI Standards 401-3</t>
  </si>
  <si>
    <t>1 - Total number of employees from the internal workforce (full-time or part-time) that took parental leave at any time within the reporting period, including those that may still be on parental leave at the end of the reporting period (Australian employees).</t>
  </si>
  <si>
    <t>2 - 0.8% of those who took parental leave have chosen not to advise their gender.</t>
  </si>
  <si>
    <r>
      <t>Returned to work after parental leave</t>
    </r>
    <r>
      <rPr>
        <b/>
        <vertAlign val="superscript"/>
        <sz val="14"/>
        <color rgb="FF001E82"/>
        <rFont val="Arial"/>
        <family val="2"/>
        <scheme val="minor"/>
      </rPr>
      <t>1</t>
    </r>
  </si>
  <si>
    <t>1 - Total number of employees that returned to work after parental leave ended within the reporting period (Australia).</t>
  </si>
  <si>
    <r>
      <t>Return to work rate by gender</t>
    </r>
    <r>
      <rPr>
        <b/>
        <vertAlign val="superscript"/>
        <sz val="14"/>
        <color rgb="FF001E82"/>
        <rFont val="Arial"/>
        <family val="2"/>
        <scheme val="minor"/>
      </rPr>
      <t>1,2</t>
    </r>
  </si>
  <si>
    <t>Percentage</t>
  </si>
  <si>
    <t>1 - Rate calculated as Total number of employees that did return to work after parental leave/ Total number of employees due to return to work after taking parental leave x 100.</t>
  </si>
  <si>
    <t>2 - Return to work defined as separation date being at least 3 days post last day of parental leave. Includes employee initiatied separations.</t>
  </si>
  <si>
    <t>EMPLOYEE LEARNING AND CAPABILITY DEVELOPMENT</t>
  </si>
  <si>
    <r>
      <t>Average hours of training per year per employee</t>
    </r>
    <r>
      <rPr>
        <b/>
        <vertAlign val="superscript"/>
        <sz val="14"/>
        <color rgb="FF001E82"/>
        <rFont val="Arial"/>
        <family val="2"/>
        <scheme val="minor"/>
      </rPr>
      <t>1,2</t>
    </r>
  </si>
  <si>
    <t> </t>
  </si>
  <si>
    <t>GRI Standards 404-1</t>
  </si>
  <si>
    <t xml:space="preserve">REMOVE - </t>
  </si>
  <si>
    <t>Middle management (Bands 1 and 2)</t>
  </si>
  <si>
    <t>Undisclosed</t>
  </si>
  <si>
    <t xml:space="preserve">Operational (Bands 3 and 4) </t>
  </si>
  <si>
    <r>
      <t>Overall Telstra</t>
    </r>
    <r>
      <rPr>
        <b/>
        <vertAlign val="superscript"/>
        <sz val="9"/>
        <color rgb="FF000000"/>
        <rFont val="Arial"/>
        <family val="2"/>
        <scheme val="minor"/>
      </rPr>
      <t xml:space="preserve"> 3</t>
    </r>
  </si>
  <si>
    <t>1 - Data refers to FY21 Telstra internal workforce. Employment types: permanent full-time, permanent part-time, full-time fixed term, part-time fixed term, casuals. Excludes Board members and contingent workers (contract labour and consultancy).</t>
  </si>
  <si>
    <t>2 -Training refers to all types of vocational training and instruction; paid educational leave provided by for employees; training or education pursued externally and paid for in whole or in part by Telstra; and training on specific topics. Training does not include on-site coaching by supervisors.</t>
  </si>
  <si>
    <t>3 - Significant additional development occurs as part of internal change programs (eg. Transitioning to Agile) and an estimate of this type of training in FY21 averages to an additional 1.56 hours per person overall. Further granularity is unavailable.</t>
  </si>
  <si>
    <t>DIVERSITY AND INCLUSION</t>
  </si>
  <si>
    <t>GRI Standards 405-1</t>
  </si>
  <si>
    <t xml:space="preserve">Count and Percentage </t>
  </si>
  <si>
    <t>Count</t>
    <phoneticPr fontId="1" type="noConversion"/>
  </si>
  <si>
    <t>%</t>
    <phoneticPr fontId="1" type="noConversion"/>
  </si>
  <si>
    <t>for percentages from 2019 report</t>
  </si>
  <si>
    <r>
      <t xml:space="preserve">Board </t>
    </r>
    <r>
      <rPr>
        <vertAlign val="superscript"/>
        <sz val="8"/>
        <color rgb="FF000000"/>
        <rFont val="Arial"/>
        <family val="2"/>
        <scheme val="minor"/>
      </rPr>
      <t>1</t>
    </r>
    <r>
      <rPr>
        <sz val="8"/>
        <color rgb="FF000000"/>
        <rFont val="Arial"/>
        <family val="2"/>
        <scheme val="minor"/>
      </rPr>
      <t xml:space="preserve">
(Non-executive directors)</t>
    </r>
  </si>
  <si>
    <r>
      <t xml:space="preserve">Executive management </t>
    </r>
    <r>
      <rPr>
        <vertAlign val="superscript"/>
        <sz val="8"/>
        <color rgb="FF000000"/>
        <rFont val="Arial"/>
        <family val="2"/>
        <scheme val="minor"/>
      </rPr>
      <t>*2</t>
    </r>
    <r>
      <rPr>
        <sz val="8"/>
        <color rgb="FF000000"/>
        <rFont val="Arial"/>
        <family val="2"/>
        <scheme val="minor"/>
      </rPr>
      <t xml:space="preserve">
(Bands A, B and C)</t>
    </r>
  </si>
  <si>
    <r>
      <t xml:space="preserve">Middle management </t>
    </r>
    <r>
      <rPr>
        <vertAlign val="superscript"/>
        <sz val="8"/>
        <color rgb="FF000000"/>
        <rFont val="Arial"/>
        <family val="2"/>
        <scheme val="minor"/>
      </rPr>
      <t>*3</t>
    </r>
    <r>
      <rPr>
        <sz val="8"/>
        <color rgb="FF000000"/>
        <rFont val="Arial"/>
        <family val="2"/>
        <scheme val="minor"/>
      </rPr>
      <t xml:space="preserve">
(Bands 1 and 2)</t>
    </r>
  </si>
  <si>
    <r>
      <t>Operational *</t>
    </r>
    <r>
      <rPr>
        <vertAlign val="superscript"/>
        <sz val="8"/>
        <color rgb="FF000000"/>
        <rFont val="Arial"/>
        <family val="2"/>
        <scheme val="minor"/>
      </rPr>
      <t>4</t>
    </r>
    <r>
      <rPr>
        <sz val="8"/>
        <color rgb="FF000000"/>
        <rFont val="Arial"/>
        <family val="2"/>
        <scheme val="minor"/>
      </rPr>
      <t xml:space="preserve">
(Bands 3 and 4)</t>
    </r>
  </si>
  <si>
    <r>
      <t xml:space="preserve">Telstra Total </t>
    </r>
    <r>
      <rPr>
        <vertAlign val="superscript"/>
        <sz val="8"/>
        <color rgb="FF000000"/>
        <rFont val="Arial"/>
        <family val="2"/>
        <scheme val="minor"/>
      </rPr>
      <t>*</t>
    </r>
  </si>
  <si>
    <r>
      <t xml:space="preserve">Telstra Group Total </t>
    </r>
    <r>
      <rPr>
        <vertAlign val="superscript"/>
        <sz val="9"/>
        <color rgb="FF000000"/>
        <rFont val="Arial"/>
        <family val="2"/>
        <scheme val="minor"/>
      </rPr>
      <t>**</t>
    </r>
  </si>
  <si>
    <t>*  Includes full time, part time and casual staff in Telstra Corporation Limited and its wholly owned subsidiaries, excluding contractors and agency staff. It does not include staff in any other controlled entities within the Telstra Group. </t>
  </si>
  <si>
    <t>** Includes full time, part time and casual staff in controlled entities within the Telstra Group, excluding contractors and agency staff.  </t>
  </si>
  <si>
    <t>Information regarding the controlled entities in the Telstra Group can be found on our website at telstra.com.au/aboutus/investors/financial-information/financial-results. </t>
  </si>
  <si>
    <t>1 - Number and percentage relates to non-executive Directors. </t>
  </si>
  <si>
    <t>2 - Executive management comprises persons holding roles within Telstra designated as Bands A, B and C. CEO is also included in the executive management total. </t>
  </si>
  <si>
    <t>3 - Middle management comprises persons holding roles within Telstra designated as Bands 1 or 2, or equivalent. </t>
  </si>
  <si>
    <t>4 - Operational comprises persons holding roles within Telstra designated as Bands 3 or 4, or equivalent. </t>
  </si>
  <si>
    <t>Female representation in the workforce by employment level: with Executive band breakdown</t>
  </si>
  <si>
    <r>
      <t>FY21</t>
    </r>
    <r>
      <rPr>
        <b/>
        <vertAlign val="superscript"/>
        <sz val="10"/>
        <color rgb="FFFFFFFF"/>
        <rFont val="Arial"/>
        <family val="2"/>
        <scheme val="minor"/>
      </rPr>
      <t>5</t>
    </r>
  </si>
  <si>
    <t>Bands</t>
  </si>
  <si>
    <r>
      <t>Board</t>
    </r>
    <r>
      <rPr>
        <vertAlign val="superscript"/>
        <sz val="8"/>
        <color theme="3"/>
        <rFont val="Arial"/>
        <family val="2"/>
        <scheme val="minor"/>
      </rPr>
      <t>1</t>
    </r>
  </si>
  <si>
    <r>
      <t>Executive management *</t>
    </r>
    <r>
      <rPr>
        <vertAlign val="superscript"/>
        <sz val="8"/>
        <color theme="3"/>
        <rFont val="Arial"/>
        <family val="2"/>
        <scheme val="minor"/>
      </rPr>
      <t>2</t>
    </r>
  </si>
  <si>
    <t>CEO</t>
  </si>
  <si>
    <t>CEO-1 (Band A)</t>
  </si>
  <si>
    <t>CEO-2 (Band B)</t>
  </si>
  <si>
    <t>CEO-3 (Band C)</t>
  </si>
  <si>
    <r>
      <t>Middle Management*</t>
    </r>
    <r>
      <rPr>
        <vertAlign val="superscript"/>
        <sz val="8"/>
        <color theme="3"/>
        <rFont val="Arial"/>
        <family val="2"/>
        <scheme val="minor"/>
      </rPr>
      <t>3</t>
    </r>
  </si>
  <si>
    <r>
      <rPr>
        <sz val="8"/>
        <color theme="3"/>
        <rFont val="Arial"/>
        <family val="2"/>
        <scheme val="minor"/>
      </rPr>
      <t>Operational</t>
    </r>
    <r>
      <rPr>
        <vertAlign val="superscript"/>
        <sz val="8"/>
        <color theme="3"/>
        <rFont val="Arial"/>
        <family val="2"/>
        <scheme val="minor"/>
      </rPr>
      <t>4</t>
    </r>
  </si>
  <si>
    <t>Telstra Total*</t>
  </si>
  <si>
    <t>Gender Pay Equity: Compa-ratio¹</t>
  </si>
  <si>
    <t>Compa-ratio</t>
  </si>
  <si>
    <t>Australian Average</t>
  </si>
  <si>
    <t>Delta</t>
  </si>
  <si>
    <t>0.042 </t>
  </si>
  <si>
    <t>Australian Average excluding Workstream²</t>
  </si>
  <si>
    <t xml:space="preserve">1 - Compa-ratio analysis includes full time and part time staff in Telstra Corporation Limited and its wholly owned subsidiaries, excluding casuals, contractors and agency staff. It does not include staff in any other controlled entities within the Telstra Group. Ratio calculated as base salary plus superannuation (female Fixed Remuneration vs of male Fixed Remuneration). </t>
  </si>
  <si>
    <t xml:space="preserve">2 - Workstream employees are paid fixed pay rates as determined under the Telstra Enterprise Agreement. </t>
  </si>
  <si>
    <r>
      <t>Age distribution</t>
    </r>
    <r>
      <rPr>
        <b/>
        <vertAlign val="superscript"/>
        <sz val="14"/>
        <color rgb="FF001E82"/>
        <rFont val="Arial"/>
        <family val="2"/>
        <scheme val="minor"/>
      </rPr>
      <t>1,2</t>
    </r>
  </si>
  <si>
    <t>55+</t>
  </si>
  <si>
    <t xml:space="preserve">1 - Data refers to FY21 Telstra internal workforce. Employment types: permanent full-time, permanent part-time, full-time fixed term, part-time fixed term, casuals, Board members. </t>
  </si>
  <si>
    <t>2 - Some Subsidiaries in Workday contain "light records". As a result, date of birth is not available, and therefore not included in the age groups.</t>
  </si>
  <si>
    <r>
      <t>Reconciliation Action Plan update</t>
    </r>
    <r>
      <rPr>
        <b/>
        <vertAlign val="superscript"/>
        <sz val="14"/>
        <color rgb="FF001E82"/>
        <rFont val="Arial"/>
        <family val="2"/>
        <scheme val="minor"/>
      </rPr>
      <t>1</t>
    </r>
  </si>
  <si>
    <t>Annual spend with Supply Nation certified or registered Indigenous suppliers (millions of dollars)</t>
  </si>
  <si>
    <t xml:space="preserve">2.7
</t>
  </si>
  <si>
    <t>Percentage of workforce who self identify as Aborigional or 
Torres Strait Islander</t>
  </si>
  <si>
    <t>1 - Data refers to FY21 Telstra internal workforce (Australia). Employment types: permanent full-time, permanent part-time, full-time fixed term, part-time fixed term, casuals, Board members (Excluding Koud, Readify, TBS and Telstra Health).</t>
  </si>
  <si>
    <t>HEALTH, SAFETY AND WELLBEING</t>
  </si>
  <si>
    <r>
      <t>Telstra workplace health and safety indicators</t>
    </r>
    <r>
      <rPr>
        <b/>
        <vertAlign val="superscript"/>
        <sz val="14"/>
        <color rgb="FF001E82"/>
        <rFont val="Arial"/>
        <family val="2"/>
        <scheme val="minor"/>
      </rPr>
      <t>1</t>
    </r>
  </si>
  <si>
    <t>Key performance indicator</t>
  </si>
  <si>
    <t>Calcutaion Missing?</t>
  </si>
  <si>
    <t>New workers' compensation claims</t>
  </si>
  <si>
    <t>Number</t>
  </si>
  <si>
    <r>
      <t>Open workers' compensation claims</t>
    </r>
    <r>
      <rPr>
        <vertAlign val="superscript"/>
        <sz val="8"/>
        <rFont val="Arial"/>
        <family val="2"/>
        <scheme val="minor"/>
      </rPr>
      <t>2</t>
    </r>
  </si>
  <si>
    <r>
      <t>Fatalities</t>
    </r>
    <r>
      <rPr>
        <vertAlign val="superscript"/>
        <sz val="8"/>
        <rFont val="Arial"/>
        <family val="2"/>
        <scheme val="minor"/>
      </rPr>
      <t>3</t>
    </r>
  </si>
  <si>
    <t>2 - From FY20, only claims with activity within the most recent one month are counted as 'open'. Previously claims with activity within the most recent four months were counted as 'open'.</t>
  </si>
  <si>
    <t>3 - Includes Telstra Corporation Ltd employees and contractors.</t>
  </si>
  <si>
    <r>
      <t>Telstra Total Recordable Injury Frequency Rate</t>
    </r>
    <r>
      <rPr>
        <b/>
        <vertAlign val="superscript"/>
        <sz val="14"/>
        <color rgb="FF001E82"/>
        <rFont val="Arial"/>
        <family val="2"/>
        <scheme val="minor"/>
      </rPr>
      <t>1</t>
    </r>
  </si>
  <si>
    <r>
      <t xml:space="preserve">TRIFR </t>
    </r>
    <r>
      <rPr>
        <vertAlign val="superscript"/>
        <sz val="8"/>
        <color rgb="FF000000"/>
        <rFont val="Arial"/>
        <family val="2"/>
        <scheme val="minor"/>
      </rPr>
      <t>2,3</t>
    </r>
  </si>
  <si>
    <t>Rate of occurrence of all injuries requiring intervention beyond simple first aid</t>
  </si>
  <si>
    <t xml:space="preserve">2 - In 2019, we updated how we calculate our TRIFR to include mental health incidents and remove claims that were rejected. </t>
  </si>
  <si>
    <t>3 - Includes full time, part time and casual Telstra Corporate Ltd employees only, not including subsidiaries or contractors.</t>
  </si>
  <si>
    <r>
      <t>Telstra Lost Time Injury Performance Indicators</t>
    </r>
    <r>
      <rPr>
        <b/>
        <vertAlign val="superscript"/>
        <sz val="14"/>
        <color rgb="FF001E82"/>
        <rFont val="Arial"/>
        <family val="2"/>
        <scheme val="minor"/>
      </rPr>
      <t>1</t>
    </r>
  </si>
  <si>
    <r>
      <t xml:space="preserve">LTIFR </t>
    </r>
    <r>
      <rPr>
        <vertAlign val="superscript"/>
        <sz val="8"/>
        <rFont val="Arial"/>
        <family val="2"/>
        <scheme val="minor"/>
      </rPr>
      <t>2,3</t>
    </r>
  </si>
  <si>
    <t>Number of occurrences of lost time</t>
  </si>
  <si>
    <t xml:space="preserve">2 - LTIFR is the reported number per million hours worked of all work-related injuries or diseases that result in one or more days of lost time (for Australian-based Telstra employees). </t>
  </si>
  <si>
    <t>3 - This metric is no longer dependent on having a worker’s compensation claim.</t>
  </si>
  <si>
    <r>
      <t>Discrimination complaints</t>
    </r>
    <r>
      <rPr>
        <b/>
        <vertAlign val="superscript"/>
        <sz val="14"/>
        <color rgb="FF031E82"/>
        <rFont val="Arial"/>
        <family val="2"/>
        <scheme val="minor"/>
      </rPr>
      <t>1</t>
    </r>
  </si>
  <si>
    <t>GRI Standards 406-1</t>
  </si>
  <si>
    <t>Total number of internal discrimination complaints</t>
  </si>
  <si>
    <t>Number of claims closed at 30 June</t>
  </si>
  <si>
    <t>Number of claims open at 30 June</t>
  </si>
  <si>
    <r>
      <t>Sexual harassment complaints</t>
    </r>
    <r>
      <rPr>
        <b/>
        <vertAlign val="superscript"/>
        <sz val="14"/>
        <color rgb="FF031E82"/>
        <rFont val="Arial"/>
        <family val="2"/>
        <scheme val="minor"/>
      </rPr>
      <t>1</t>
    </r>
  </si>
  <si>
    <t>Total number of internal sexual harassment complaints</t>
  </si>
  <si>
    <r>
      <t>Social and community investment by focus</t>
    </r>
    <r>
      <rPr>
        <b/>
        <vertAlign val="superscript"/>
        <sz val="14"/>
        <color rgb="FF570066"/>
        <rFont val="Arial"/>
        <family val="2"/>
      </rPr>
      <t>1</t>
    </r>
  </si>
  <si>
    <t>GRI Standards: 201-1</t>
  </si>
  <si>
    <t>Millions of dollars</t>
  </si>
  <si>
    <t>Program</t>
  </si>
  <si>
    <t>Description</t>
  </si>
  <si>
    <t>Amount invested</t>
  </si>
  <si>
    <t>Percentage of total</t>
  </si>
  <si>
    <t>Everyone Connected</t>
  </si>
  <si>
    <t>Customer and community digital inclusion programs</t>
  </si>
  <si>
    <t>Access</t>
  </si>
  <si>
    <t>Digital literacy and cyber safety</t>
  </si>
  <si>
    <t>Digital innovation</t>
  </si>
  <si>
    <t>Employee volunteering and giving</t>
  </si>
  <si>
    <t>Value of employee volunteering, matched payroll giving (regular and disaster relief), fundraising and Telstra Kids Fund</t>
  </si>
  <si>
    <t>Sponsorship</t>
  </si>
  <si>
    <t>Local community and high profile national sponsorships. Focus on art, health, sport, children and youth, general community assistance, economic development and diversity</t>
  </si>
  <si>
    <t>Disaster relief</t>
  </si>
  <si>
    <t>Covers customer and community measures, including disaster relief credits and free payphones in disaster affected areas</t>
  </si>
  <si>
    <r>
      <t>Notes:</t>
    </r>
    <r>
      <rPr>
        <b/>
        <sz val="8"/>
        <color rgb="FF404040"/>
        <rFont val="Arial"/>
        <family val="2"/>
      </rPr>
      <t xml:space="preserve"> </t>
    </r>
  </si>
  <si>
    <t>1 - Management costs associated with each program are included in the amount invested. Total differs due to rounding.</t>
  </si>
  <si>
    <t>GRI Standards: 203-1</t>
  </si>
  <si>
    <t>Revenue foregone</t>
  </si>
  <si>
    <t>Social contribution in the form of missed earnings to assist the community, non-profit organisations or customers in time of need</t>
  </si>
  <si>
    <t>Cash</t>
  </si>
  <si>
    <t>In-kind</t>
  </si>
  <si>
    <t>Contributions of products or services, valued at retail cost to Telstra, to assist non-profit organisations</t>
  </si>
  <si>
    <t>Time</t>
  </si>
  <si>
    <t>Contributions of employee time, during work hours, to assist 
non-profit organisations</t>
  </si>
  <si>
    <t>Management costs</t>
  </si>
  <si>
    <t>Costs borne by Telstra to deliver the suite of initiatives within our social and community investment program</t>
  </si>
  <si>
    <t>Leverage</t>
  </si>
  <si>
    <t>Contributions by employees to a partner organisation or project as a result of the active support of Telstra (e.g. payroll giving)</t>
  </si>
  <si>
    <r>
      <t>Digital capability programs – number of people impacted</t>
    </r>
    <r>
      <rPr>
        <b/>
        <vertAlign val="superscript"/>
        <sz val="14"/>
        <color rgb="FF7030A0"/>
        <rFont val="Arial"/>
        <family val="2"/>
      </rPr>
      <t>1</t>
    </r>
  </si>
  <si>
    <t>Number of people</t>
  </si>
  <si>
    <t>Face to face and online training</t>
  </si>
  <si>
    <t>Online resource downloads</t>
  </si>
  <si>
    <t xml:space="preserve">Number of people impacted </t>
  </si>
  <si>
    <t xml:space="preserve">Notes: </t>
  </si>
  <si>
    <t>1 - In FY19, we updated how we report on the reach of our digital capability programs. These programs aim to build digital skills and confidence online. Programs are delivered in a variety of formats, including face-to-face and online training or mentoring as well as the provision of online resources.</t>
  </si>
  <si>
    <t>For more information see the Glossary https://exchange.telstra.com.au/sustainability/data-downloads/</t>
  </si>
  <si>
    <t>Help to close the digital inclusion gap by assisting one million vulnerable customers to stay connected each year through our affordability, accessibility and digital ability programs</t>
  </si>
  <si>
    <r>
      <t>Number of customers in vulnerable circumstances supported through our products and services</t>
    </r>
    <r>
      <rPr>
        <vertAlign val="superscript"/>
        <sz val="8"/>
        <color rgb="FF000000"/>
        <rFont val="Arial"/>
        <family val="2"/>
      </rPr>
      <t>1,2</t>
    </r>
  </si>
  <si>
    <t>1 - In FY21, products and services included in this figure include Telstra's Pensioner discount, Disability Equipment Program, customer credits for disaster relief and other financial hardship relief for customers on low-income, homeless, victoms-surviors of domestic and family violence or people from First Nations communities.</t>
  </si>
  <si>
    <t xml:space="preserve">2 - Calculated based on the number of instances in which we provided specialised programs, products and services to support customers in vulnerable circumstances, and may include instances where a customer has accessed multiple mechanisms.  </t>
  </si>
  <si>
    <t>CLIMATE CHANGE AND ENERGY</t>
  </si>
  <si>
    <r>
      <t>Scope 1 and 2 greenhouse gas emissions</t>
    </r>
    <r>
      <rPr>
        <b/>
        <vertAlign val="superscript"/>
        <sz val="14"/>
        <color rgb="FF074F30"/>
        <rFont val="Arial"/>
        <family val="2"/>
      </rPr>
      <t>1,2</t>
    </r>
  </si>
  <si>
    <t>Baseline FY19</t>
  </si>
  <si>
    <t>% change 
FY20-21</t>
  </si>
  <si>
    <t>% change F
Y19-21</t>
  </si>
  <si>
    <r>
      <t>Total emissions (scope 1 &amp; 2) tCO</t>
    </r>
    <r>
      <rPr>
        <vertAlign val="subscript"/>
        <sz val="8"/>
        <color rgb="FF000000"/>
        <rFont val="Arial"/>
        <family val="2"/>
      </rPr>
      <t>2</t>
    </r>
    <r>
      <rPr>
        <sz val="8"/>
        <color indexed="8"/>
        <rFont val="Arial"/>
        <family val="2"/>
      </rPr>
      <t>e</t>
    </r>
  </si>
  <si>
    <t>International</t>
  </si>
  <si>
    <t>1 - Reported emissions include both Australia and International from FY19 onwards. FY18 and FY17 are just based on Australian figures.</t>
  </si>
  <si>
    <t>% change 
FY19-21</t>
  </si>
  <si>
    <r>
      <t>Stationary energy</t>
    </r>
    <r>
      <rPr>
        <vertAlign val="superscript"/>
        <sz val="8"/>
        <color rgb="FF000000"/>
        <rFont val="Arial"/>
        <family val="2"/>
      </rPr>
      <t>3</t>
    </r>
  </si>
  <si>
    <t>1 – Reported emissions are based on Telstra's Australian and international scope 1 and 2 emissions for FY19 onwards only.</t>
  </si>
  <si>
    <r>
      <t>FY19</t>
    </r>
    <r>
      <rPr>
        <b/>
        <vertAlign val="superscript"/>
        <sz val="10"/>
        <color theme="0"/>
        <rFont val="Arial"/>
        <family val="2"/>
      </rPr>
      <t>4</t>
    </r>
  </si>
  <si>
    <t>% change
 FY19-21</t>
  </si>
  <si>
    <t xml:space="preserve">       ·  Australia</t>
  </si>
  <si>
    <t xml:space="preserve">       ·  International</t>
  </si>
  <si>
    <t>Solar capacity (MW) - connected to grid</t>
  </si>
  <si>
    <r>
      <t>Solar capacity (MW) - offgrid</t>
    </r>
    <r>
      <rPr>
        <vertAlign val="superscript"/>
        <sz val="8"/>
        <color rgb="FF000000"/>
        <rFont val="Arial"/>
        <family val="2"/>
      </rPr>
      <t>3</t>
    </r>
  </si>
  <si>
    <t>3 – Offgrid solar capacity is based on installed solar panel capacity rather than actual capacity.</t>
  </si>
  <si>
    <t>4 - Reported energy consumption is based on Telstra's Australian and International data from FY19 onwards only.</t>
  </si>
  <si>
    <t>Network Sites (inc mobile, Exchanges, Depots, Warehouses)¹</t>
  </si>
  <si>
    <r>
      <t>Emissions intensity</t>
    </r>
    <r>
      <rPr>
        <b/>
        <vertAlign val="superscript"/>
        <sz val="14"/>
        <color rgb="FF074F30"/>
        <rFont val="Arial"/>
        <family val="2"/>
      </rPr>
      <t>1</t>
    </r>
  </si>
  <si>
    <r>
      <t>Emissions intensity (tCO</t>
    </r>
    <r>
      <rPr>
        <vertAlign val="subscript"/>
        <sz val="8"/>
        <color rgb="FF000000"/>
        <rFont val="Arial"/>
        <family val="2"/>
      </rPr>
      <t>2</t>
    </r>
    <r>
      <rPr>
        <sz val="8"/>
        <color rgb="FF000000"/>
        <rFont val="Arial"/>
        <family val="2"/>
      </rPr>
      <t>e/PB)</t>
    </r>
  </si>
  <si>
    <t>Total emissions (scope 1 &amp; 2) included in emissions intensity  (tCO2e)</t>
  </si>
  <si>
    <r>
      <t>Petabytes (PB)</t>
    </r>
    <r>
      <rPr>
        <vertAlign val="superscript"/>
        <sz val="8"/>
        <color rgb="FF000000"/>
        <rFont val="Arial"/>
        <family val="2"/>
      </rPr>
      <t>2</t>
    </r>
  </si>
  <si>
    <t>1 –  This data is only available for Australia currently.</t>
  </si>
  <si>
    <t>2 - This data relates to the volume of data on our network for FY21.</t>
  </si>
  <si>
    <r>
      <t>Emissions savings initiatives</t>
    </r>
    <r>
      <rPr>
        <b/>
        <vertAlign val="superscript"/>
        <sz val="14"/>
        <color rgb="FF074F30"/>
        <rFont val="Arial"/>
        <family val="2"/>
      </rPr>
      <t>1</t>
    </r>
  </si>
  <si>
    <t>GRI Standards: 305-5</t>
  </si>
  <si>
    <t>% change
FY20-21</t>
  </si>
  <si>
    <r>
      <t>Annualised emissions savings resulting from project initiatives (tCO2e/yr)</t>
    </r>
    <r>
      <rPr>
        <vertAlign val="superscript"/>
        <sz val="8"/>
        <color rgb="FF000000"/>
        <rFont val="Arial"/>
        <family val="2"/>
      </rPr>
      <t>2</t>
    </r>
  </si>
  <si>
    <r>
      <t>Annualised emissions savings resulting from decommisioning (tCO</t>
    </r>
    <r>
      <rPr>
        <vertAlign val="subscript"/>
        <sz val="8"/>
        <color rgb="FF000000"/>
        <rFont val="Arial"/>
        <family val="2"/>
      </rPr>
      <t>2</t>
    </r>
    <r>
      <rPr>
        <sz val="8"/>
        <color indexed="8"/>
        <rFont val="Arial"/>
        <family val="2"/>
      </rPr>
      <t>e/yr)</t>
    </r>
    <r>
      <rPr>
        <vertAlign val="superscript"/>
        <sz val="8"/>
        <color rgb="FF000000"/>
        <rFont val="Arial"/>
        <family val="2"/>
      </rPr>
      <t>3</t>
    </r>
  </si>
  <si>
    <t>1 - This data is only available for Australia currently.</t>
  </si>
  <si>
    <t xml:space="preserve">2 – This figure reflects energy saved from energy reduction projects at our network sites. </t>
  </si>
  <si>
    <t xml:space="preserve">3 – This figure reflects energy saved from decommissioning activities at both our network and commercial sites. </t>
  </si>
  <si>
    <r>
      <t>FY20 greenhouse gas emissions by category (scope 3 emissions)</t>
    </r>
    <r>
      <rPr>
        <b/>
        <vertAlign val="superscript"/>
        <sz val="14"/>
        <color rgb="FF074F30"/>
        <rFont val="Arial"/>
        <family val="2"/>
      </rPr>
      <t>1,2</t>
    </r>
  </si>
  <si>
    <t>% change
 FY19-20</t>
  </si>
  <si>
    <t>Cat 1: Purchased goods and services¹</t>
  </si>
  <si>
    <t>Cat 10: Processing of sold products²</t>
  </si>
  <si>
    <t>Cat 13: Downstream leased assets³</t>
  </si>
  <si>
    <t>Cat 14: Franchises³</t>
  </si>
  <si>
    <t xml:space="preserve">2 – For rationale around inclusion of categories, please see the scope 3 emissions methodology table below.					</t>
  </si>
  <si>
    <r>
      <t>Distance travelled by flight by type</t>
    </r>
    <r>
      <rPr>
        <b/>
        <vertAlign val="superscript"/>
        <sz val="14"/>
        <color rgb="FF074F30"/>
        <rFont val="Arial"/>
        <family val="2"/>
      </rPr>
      <t>1</t>
    </r>
  </si>
  <si>
    <t>% change
 FY20-21</t>
  </si>
  <si>
    <t xml:space="preserve">RESOURCE EFFICIENCY </t>
  </si>
  <si>
    <r>
      <t>Waste and recycling</t>
    </r>
    <r>
      <rPr>
        <b/>
        <vertAlign val="superscript"/>
        <sz val="14"/>
        <color rgb="FF074F30"/>
        <rFont val="Arial"/>
        <family val="2"/>
      </rPr>
      <t>5</t>
    </r>
  </si>
  <si>
    <t>GRI Standards: 306-3 &amp; 306-4</t>
  </si>
  <si>
    <r>
      <t xml:space="preserve">Total waste </t>
    </r>
    <r>
      <rPr>
        <vertAlign val="superscript"/>
        <sz val="8"/>
        <color rgb="FF000000"/>
        <rFont val="Arial"/>
        <family val="2"/>
      </rPr>
      <t>1,2</t>
    </r>
  </si>
  <si>
    <t>Network Waste</t>
  </si>
  <si>
    <t>·  Operational Waste</t>
  </si>
  <si>
    <t>·  Construction &amp; demolition waste</t>
  </si>
  <si>
    <t>·  E-waste</t>
  </si>
  <si>
    <t>Non-Network Waste</t>
  </si>
  <si>
    <r>
      <t>Hazardous waste</t>
    </r>
    <r>
      <rPr>
        <vertAlign val="superscript"/>
        <sz val="8"/>
        <color rgb="FF000000"/>
        <rFont val="Arial"/>
        <family val="2"/>
      </rPr>
      <t>4</t>
    </r>
  </si>
  <si>
    <t>Network waste recycling rate (%)</t>
  </si>
  <si>
    <t>Non-Network waste recycling rate (%)</t>
  </si>
  <si>
    <t>Total number of devices reused/recycled</t>
  </si>
  <si>
    <t>·  Mobile phones reused/recycled</t>
  </si>
  <si>
    <t>·  Modems reused/recycled</t>
  </si>
  <si>
    <t>·  Other reused/recycled</t>
  </si>
  <si>
    <t xml:space="preserve">1 – Total waste generated from network sites and does not include waste disposed of at sites managed by third parties.			 </t>
  </si>
  <si>
    <t>4 – Hazardous wastes which are not able to be re-processed are disposed at appropriate licenced landfill facilities. For FY21 we have included asbestos waste in this category as well.</t>
  </si>
  <si>
    <t>5 - This data is currently only available for Australia.</t>
  </si>
  <si>
    <r>
      <t>Office, billing and printing paper</t>
    </r>
    <r>
      <rPr>
        <b/>
        <vertAlign val="superscript"/>
        <sz val="14"/>
        <color rgb="FF074F30"/>
        <rFont val="Arial"/>
        <family val="2"/>
      </rPr>
      <t>1</t>
    </r>
  </si>
  <si>
    <r>
      <t>Water</t>
    </r>
    <r>
      <rPr>
        <b/>
        <vertAlign val="superscript"/>
        <sz val="14"/>
        <color rgb="FF074F30"/>
        <rFont val="Arial"/>
        <family val="2"/>
      </rPr>
      <t>3</t>
    </r>
  </si>
  <si>
    <t>GRI Standards: 303-3, 4 &amp; 5</t>
  </si>
  <si>
    <r>
      <t>Water consumption</t>
    </r>
    <r>
      <rPr>
        <vertAlign val="superscript"/>
        <sz val="8"/>
        <rFont val="Arial"/>
        <family val="2"/>
      </rPr>
      <t xml:space="preserve">1 </t>
    </r>
    <r>
      <rPr>
        <sz val="8"/>
        <rFont val="Arial"/>
        <family val="2"/>
      </rPr>
      <t xml:space="preserve">
(ML)</t>
    </r>
  </si>
  <si>
    <r>
      <t>Wastewater</t>
    </r>
    <r>
      <rPr>
        <vertAlign val="superscript"/>
        <sz val="8"/>
        <rFont val="Arial"/>
        <family val="2"/>
      </rPr>
      <t xml:space="preserve">2 </t>
    </r>
    <r>
      <rPr>
        <sz val="8"/>
        <rFont val="Arial"/>
        <family val="2"/>
      </rPr>
      <t xml:space="preserve">
(kL)</t>
    </r>
  </si>
  <si>
    <t>3 - This data is only available for Australia currently.</t>
  </si>
  <si>
    <t xml:space="preserve">METHODOLOGY </t>
  </si>
  <si>
    <t xml:space="preserve">Telstra’s Scope 3 GHG emissions have been assessed in a robust and detailed way utilising a heirarchy of calculation methods including the use of supplier specific emissions factors where available, to using supplier emissions and revenue data sourced from the CDP supply chain program to generate Telstra specific supplier emissions intensity factors. Where these methods cannot be used, we use supplier spend-base and material-based data and aligning this data with LCA databases (ecoinvent 3.5, AusLCI and ExioBase 3) and other published sources (e.g. National GHG Accounts Factors and Climate Active Factors) to calculate the GHG emissions. These methodologies followed the Greenhouse Gas Protocol Corporate Value Chain (Scope 3) Accounting and Reporting Standard (Greenhouse Gas Protocol, 2013). </t>
  </si>
  <si>
    <t>Supplier specific emissions factors, supplier revenue and emissions data, Telstra spend data allocated to supplier, country and product type. GHG factors from input-output data base Exiobase 3</t>
  </si>
  <si>
    <t>Scope 3 emissions arising from the use of Stationary and Transport fuels directly related to the operation of Telstra’s Network and ancillary to it are based on the emission coefficients contained in the National Greenhouse Accounts (NGA) Factors, August 2020 prepared by the Department of the Environment and Energy - https://www.industry.gov.au/sites/default/files/2020-10/national-greenhouse-accounts-factors-2020.pdf</t>
  </si>
  <si>
    <t>Telstra electricity and fuel invoices, 2020 NGER model and report, GHG factors from the National GHG Accounts factors (Australian Government, 2020)</t>
  </si>
  <si>
    <t xml:space="preserve">Waste data by stream is multiplied by the relevant emissions factor per waste stream. The emission coefficients for waste are based on the most current Climate Active factors. </t>
  </si>
  <si>
    <t>Telstra waste invoice data, 2020 Sustainability Report. GHG factors from Climate Active, AusLCI &amp; ecoinvent3.5.</t>
  </si>
  <si>
    <t>Telstra air travel and fleet activity and emissions data, 2020 Sustainability Report. GHG factors from AusLCI and ecoinvent3.5</t>
  </si>
  <si>
    <t>Telstra’s Scope 3 GHG emissions have been assessed utilising spend-base and material-based data and aligning this data with LCA databases (ecoinvent 3.5, AusLCI and ExioBase 3) and other published sources (e.g. National GHG Accounts Factors) to calculate the GHG emissions. The methodology followed the Greenhouse Gas Protocol Corporate Value Chain (Scope 3) Accounting and Reporting Standard (Greenhouse Gas Protocol, 2013).</t>
  </si>
  <si>
    <t>Telstra’s Scope 3 GHG emissions have been assessed in a robust and detailed way utilising spend-base and material-based data and aligning this data with LCA databases (ecoinvent 3.5, AusLCI and ExioBase 3) and other published sources (e.g. National GHG Accounts Factors) to calculate the GHG emissions. The methodology followed the Greenhouse Gas Protocol Corporate Value Chain (Scope 3) Accounting and Reporting Standard (Greenhouse Gas Protocol, 2013).</t>
  </si>
  <si>
    <t>Telstra’s Scope 3 GHG emissions have been assessed by utilising spend-base and material-based data and aligning this data with LCA databases (ecoinvent 3.5, AusLCI and ExioBase 3) and other published sources (e.g. National GHG Accounts Factors) to calculate the GHG emissions. The methodology followed the Greenhouse Gas Protocol Corporate Value Chain (Scope 3) Accounting and Reporting Standard (Greenhouse Gas Protocol, 2013).</t>
  </si>
  <si>
    <t>Product list, device power for specific mobile broadband modems and mobile broadband power provided by Telstra.  Supplier electricity use estimates used for applicable broadband modems where available. GHG factors from the national GHG Accounts Factors (Australian Government, 2020).</t>
  </si>
  <si>
    <t>Level 1</t>
  </si>
  <si>
    <t>Source Name</t>
  </si>
  <si>
    <t>Activity Type</t>
  </si>
  <si>
    <t>Activity Type Context</t>
  </si>
  <si>
    <t>UoM</t>
  </si>
  <si>
    <t>Sum of Consumption Quantity</t>
  </si>
  <si>
    <t>Sum of Total GJ</t>
  </si>
  <si>
    <t>Sum of Scope 1 kg CO2-e</t>
  </si>
  <si>
    <t>Sum of Scope 2 kg CO2-e</t>
  </si>
  <si>
    <t>Sum of Scope 3 kg CO2-e</t>
  </si>
  <si>
    <t>Telstra Corporation Limited</t>
  </si>
  <si>
    <t>Diesel Oil</t>
  </si>
  <si>
    <t>Non-transport (Genset)</t>
  </si>
  <si>
    <t>KL</t>
  </si>
  <si>
    <t>Gasoline</t>
  </si>
  <si>
    <t>Liquified petroleum gas</t>
  </si>
  <si>
    <t>Energy Commodities</t>
  </si>
  <si>
    <t>Energy Commodity</t>
  </si>
  <si>
    <t>kWh</t>
  </si>
  <si>
    <t>Solar energy for electricity generation</t>
  </si>
  <si>
    <t>Other Stationary</t>
  </si>
  <si>
    <t>Non-transport</t>
  </si>
  <si>
    <t>Ethanol</t>
  </si>
  <si>
    <t>Natural gas distributed in pipeline</t>
  </si>
  <si>
    <t>GJ</t>
  </si>
  <si>
    <t>MJ</t>
  </si>
  <si>
    <t>Transport</t>
  </si>
  <si>
    <t>Transport - Post 2004 vehicles</t>
  </si>
  <si>
    <t>L</t>
  </si>
  <si>
    <t>FY20 CSR</t>
  </si>
  <si>
    <t>Change</t>
  </si>
  <si>
    <t>Australia only for scope 3</t>
  </si>
  <si>
    <t>Level 2</t>
  </si>
  <si>
    <t>Level 3 Entity type</t>
  </si>
  <si>
    <t>Percentage Estimates</t>
  </si>
  <si>
    <t>Facility</t>
  </si>
  <si>
    <t>Facility Aggregate</t>
  </si>
  <si>
    <t>Network/Pipeline</t>
  </si>
  <si>
    <t>Level 3</t>
  </si>
  <si>
    <t>Primary Criterion</t>
  </si>
  <si>
    <t>(blank)</t>
  </si>
  <si>
    <t>BBB</t>
  </si>
  <si>
    <t>Warehouse</t>
  </si>
  <si>
    <t>Data Centres (ACT)</t>
  </si>
  <si>
    <t>Data Centres (NSW)</t>
  </si>
  <si>
    <t>Data Centres (NT)</t>
  </si>
  <si>
    <t>Data Centres (QLD)</t>
  </si>
  <si>
    <t>Data Centres (SA)</t>
  </si>
  <si>
    <t>Data Centres (TAS)</t>
  </si>
  <si>
    <t>Data Centres (VIC)</t>
  </si>
  <si>
    <t>A</t>
  </si>
  <si>
    <t>Data Centres (WA)</t>
  </si>
  <si>
    <t>Residences (ACT)</t>
  </si>
  <si>
    <t>Residences (NSW)</t>
  </si>
  <si>
    <t>Residences (NT)</t>
  </si>
  <si>
    <t>Residences (QLD)</t>
  </si>
  <si>
    <t>Residences (SA)</t>
  </si>
  <si>
    <t>Residences (TAS)</t>
  </si>
  <si>
    <t>Residences (VIC)</t>
  </si>
  <si>
    <t>Residences (WA)</t>
  </si>
  <si>
    <t>SLDC</t>
  </si>
  <si>
    <t>Telecommunication and Ancillary Facilities (ACT)</t>
  </si>
  <si>
    <t>Telecommunication and Ancillary Facilities (NSW)</t>
  </si>
  <si>
    <t>Telecommunication and Ancillary Facilities (NT)</t>
  </si>
  <si>
    <t>Telecommunication and Ancillary Facilities (QLD)</t>
  </si>
  <si>
    <t>Telecommunication and Ancillary Facilities (SA)</t>
  </si>
  <si>
    <t>Telecommunication and Ancillary Facilities (TAS)</t>
  </si>
  <si>
    <t>Telecommunication and Ancillary Facilities (VIC)</t>
  </si>
  <si>
    <t>Telecommunication and Ancillary Facilities (WA)</t>
  </si>
  <si>
    <t>Telstra Office Accommodation (ACT)</t>
  </si>
  <si>
    <t>Telstra Office Accommodation (NSW)</t>
  </si>
  <si>
    <t>Telstra Office Accommodation (NT)</t>
  </si>
  <si>
    <t>Telstra Office Accommodation (QLD)</t>
  </si>
  <si>
    <t>Telstra Office Accommodation (SA)</t>
  </si>
  <si>
    <t>Telstra Office Accommodation (TAS)</t>
  </si>
  <si>
    <t>Telstra Office Accommodation (VIC)</t>
  </si>
  <si>
    <t>Telstra Office Accommodation (WA)</t>
  </si>
  <si>
    <t>T-Shops (ACT)</t>
  </si>
  <si>
    <t>T-Shops (NSW)</t>
  </si>
  <si>
    <t>T-Shops (NT)</t>
  </si>
  <si>
    <t>T-Shops (QLD)</t>
  </si>
  <si>
    <t>T-Shops (SA)</t>
  </si>
  <si>
    <t>T-Shops (TAS)</t>
  </si>
  <si>
    <t>T-Shops (VIC)</t>
  </si>
  <si>
    <t>T-Shops (WA)</t>
  </si>
  <si>
    <t>S1+2</t>
  </si>
  <si>
    <t>S1+2+3</t>
  </si>
  <si>
    <t>Allocation</t>
  </si>
  <si>
    <t>Elec/fuel</t>
  </si>
  <si>
    <t>Sum of S1+2</t>
  </si>
  <si>
    <t>Emissions (S1, S2 &amp; S3)</t>
  </si>
  <si>
    <t>Final NET vs NON Split</t>
  </si>
  <si>
    <t>Split</t>
  </si>
  <si>
    <t>tCO2</t>
  </si>
  <si>
    <t>Data centers</t>
  </si>
  <si>
    <t>Network Sites (includes exchanges, base stations, warehouse, payphones, etc.)</t>
  </si>
  <si>
    <t>NET</t>
  </si>
  <si>
    <t>NON</t>
  </si>
  <si>
    <t>Network</t>
  </si>
  <si>
    <t>Offices, Call Centres, Residences &amp; Shops</t>
  </si>
  <si>
    <t>tbc</t>
  </si>
  <si>
    <t>Offices/Residences/Shops</t>
  </si>
  <si>
    <t xml:space="preserve">Notes - </t>
  </si>
  <si>
    <t>&gt; Assume 90/10 split of vehicles in favour of network</t>
  </si>
  <si>
    <t>Total Emissions</t>
  </si>
  <si>
    <t>Reporting Alias</t>
  </si>
  <si>
    <t>Sum of Total Emissions</t>
  </si>
  <si>
    <t>Cable landing station_elec</t>
  </si>
  <si>
    <t>Colocation_elec</t>
  </si>
  <si>
    <t>Data Centre_elec</t>
  </si>
  <si>
    <t>Office_elec</t>
  </si>
  <si>
    <t>Warehouse_elec</t>
  </si>
  <si>
    <t>Cable landing station_gas</t>
  </si>
  <si>
    <t>Colocation_gas</t>
  </si>
  <si>
    <t>Data Centre_gas</t>
  </si>
  <si>
    <t>Office_gas</t>
  </si>
  <si>
    <t>Warehouse_gas</t>
  </si>
  <si>
    <t>Cable landing station_diesel</t>
  </si>
  <si>
    <t>Colocation_diesel</t>
  </si>
  <si>
    <t>Data Centre_diesel</t>
  </si>
  <si>
    <t>Office_diesel</t>
  </si>
  <si>
    <t>Warehouse_diesel</t>
  </si>
  <si>
    <t>JC Decaux Removals ACT</t>
  </si>
  <si>
    <t>JC Decaux Removals NSW</t>
  </si>
  <si>
    <t>JC Decaux Removals NT</t>
  </si>
  <si>
    <t>JC Decaux Removals QLD</t>
  </si>
  <si>
    <t>JC Decaux Removals SA</t>
  </si>
  <si>
    <t>JC Decaux Removals TAS</t>
  </si>
  <si>
    <t>JC Decaux Removals VIC</t>
  </si>
  <si>
    <t>JC Decaux Removals WA</t>
  </si>
  <si>
    <t>Sum of Sum of Consumption Quantity</t>
  </si>
  <si>
    <t>Sum of Sum of Total GJ</t>
  </si>
  <si>
    <t>Sum of Sum of Scope 1 kg CO2-e</t>
  </si>
  <si>
    <t>Sum of Sum of Scope 2 kg CO2-e</t>
  </si>
  <si>
    <t>Sum of Sum of Scope 3 kg CO2-e</t>
  </si>
  <si>
    <t>Sum of Sum of Total Emissions</t>
  </si>
  <si>
    <t>Consumption Quantity</t>
  </si>
  <si>
    <t>Scope 1 kg CO2-e</t>
  </si>
  <si>
    <t>Scope 2 kg CO2-e</t>
  </si>
  <si>
    <t>Scope 3 kg CO2-e</t>
  </si>
  <si>
    <t>Column1</t>
  </si>
  <si>
    <t>Estimates Transport Diesel ACT</t>
  </si>
  <si>
    <t>kL</t>
  </si>
  <si>
    <t>Estimates Transport Diesel NSW</t>
  </si>
  <si>
    <t>Estimates Transport Diesel QLD</t>
  </si>
  <si>
    <t>Estimates Transport Diesel VIC</t>
  </si>
  <si>
    <t>Estimates Transport Diesel WA</t>
  </si>
  <si>
    <t>Estimates Transport Petrol NSW</t>
  </si>
  <si>
    <t>Estimates Transport Petrol QLD</t>
  </si>
  <si>
    <t>Estimates Transport Petrol VIC</t>
  </si>
  <si>
    <t>Estimates Transport Petrol WA</t>
  </si>
  <si>
    <t>BCA on Telstra sites for removal ACT</t>
  </si>
  <si>
    <t>BCA on Telstra sites for removal NSW</t>
  </si>
  <si>
    <t>BCA on Telstra sites for removal NT</t>
  </si>
  <si>
    <t>BCA on Telstra sites for removal QLD</t>
  </si>
  <si>
    <t>BCA on Telstra sites for removal SA</t>
  </si>
  <si>
    <t>BCA on Telstra sites for removal TAS</t>
  </si>
  <si>
    <t>BCA on Telstra sites for removal VIC</t>
  </si>
  <si>
    <t>BCA on Telstra sites for removal WA</t>
  </si>
  <si>
    <t>NBN Co Removal ACT</t>
  </si>
  <si>
    <t>NBN Co Removal NSW</t>
  </si>
  <si>
    <t>NBN Co Removal NT</t>
  </si>
  <si>
    <t>NBN Co Removal QLD</t>
  </si>
  <si>
    <t>NBN Co Removal SA</t>
  </si>
  <si>
    <t>NBN Co Removal TAS</t>
  </si>
  <si>
    <t>NBN Co Removal VIC</t>
  </si>
  <si>
    <t>NBN Co Removal WA</t>
  </si>
  <si>
    <t>Telstra services on BCA Sites ACT</t>
  </si>
  <si>
    <t>Telstra services on BCA Sites NSW</t>
  </si>
  <si>
    <t>Telstra services on BCA Sites NT</t>
  </si>
  <si>
    <t>Telstra services on BCA Sites QLD</t>
  </si>
  <si>
    <t>Telstra services on BCA Sites SA</t>
  </si>
  <si>
    <t>Telstra services on BCA Sites TAS</t>
  </si>
  <si>
    <t>Telstra services on BCA Sites VIC</t>
  </si>
  <si>
    <t>Telstra services on BCA Sites WA</t>
  </si>
  <si>
    <t>Estimates Electricity ACT</t>
  </si>
  <si>
    <t>Estimates Electricity NSW</t>
  </si>
  <si>
    <t>Estimates Electricity QLD</t>
  </si>
  <si>
    <t>Estimates Electricity SA</t>
  </si>
  <si>
    <t>Estimates Electricity VIC</t>
  </si>
  <si>
    <t>Estimates Electricity WA</t>
  </si>
  <si>
    <t>Estimates Non-transport Gas VIC</t>
  </si>
  <si>
    <t>Estimates Non-transport Diesel NSW</t>
  </si>
  <si>
    <t>Avis Hire Cars TNA Diesel post 04 ACT</t>
  </si>
  <si>
    <t>Avis Hire Cars TNA Diesel post 04 NSW</t>
  </si>
  <si>
    <t>Avis Hire Cars TNA Diesel post 04 NT</t>
  </si>
  <si>
    <t>Avis Hire Cars TNA Diesel post 04 QLD</t>
  </si>
  <si>
    <t>Avis Hire Cars TNA Diesel post 04 SA</t>
  </si>
  <si>
    <t>Avis Hire Cars TNA Diesel post 04 TAS</t>
  </si>
  <si>
    <t>Avis Hire Cars TNA Diesel post 04 VIC</t>
  </si>
  <si>
    <t>Avis Hire Cars TNA Diesel post 04 WA</t>
  </si>
  <si>
    <t>Avis Hire Cars TNA Petrol post 04 ACT</t>
  </si>
  <si>
    <t>Avis Hire Cars TNA Petrol post 04 NSW</t>
  </si>
  <si>
    <t>Avis Hire Cars TNA Petrol post 04 NT</t>
  </si>
  <si>
    <t>Avis Hire Cars TNA Petrol post 04 QLD</t>
  </si>
  <si>
    <t>Avis Hire Cars TNA Petrol post 04 SA</t>
  </si>
  <si>
    <t>Avis Hire Cars TNA Petrol post 04 TAS</t>
  </si>
  <si>
    <t>Avis Hire Cars TNA Petrol post 04 VIC</t>
  </si>
  <si>
    <t>Avis Hire Cars TNA Petrol post 04 WA</t>
  </si>
  <si>
    <t>Telstra FLEET Diesel 04 or earlier NSW A</t>
  </si>
  <si>
    <t>Telstra FLEET Diesel 04 or earlier QLD A</t>
  </si>
  <si>
    <t>Telstra FLEET Diesel 04 or earlier SA A</t>
  </si>
  <si>
    <t>Telstra FLEET Diesel 04 or earlier TAS A</t>
  </si>
  <si>
    <t>Telstra FLEET Diesel 04 or earlier VIC A</t>
  </si>
  <si>
    <t>Telstra FLEET Diesel 04 or earlier WA A</t>
  </si>
  <si>
    <t>Telstra FLEET Diesel post 04 ACT A</t>
  </si>
  <si>
    <t>Telstra FLEET Diesel post 04 NSW A</t>
  </si>
  <si>
    <t>Telstra FLEET Diesel post 04 NT A</t>
  </si>
  <si>
    <t>Telstra FLEET Diesel post 04 QLD A</t>
  </si>
  <si>
    <t>Telstra FLEET Diesel post 04 SA A</t>
  </si>
  <si>
    <t>Telstra FLEET Diesel post 04 TAS A</t>
  </si>
  <si>
    <t>Telstra FLEET Diesel post 04 VIC A</t>
  </si>
  <si>
    <t>Telstra FLEET Diesel post 04 WA A</t>
  </si>
  <si>
    <t>Telstra FLEET Ethanol post 04 ACT A</t>
  </si>
  <si>
    <t>Telstra FLEET Ethanol post 04 NSW A</t>
  </si>
  <si>
    <t>Telstra FLEET Ethanol post 04 QLD A</t>
  </si>
  <si>
    <t>Telstra FLEET Ethanol post 04 SA A</t>
  </si>
  <si>
    <t>Telstra FLEET Ethanol post 04 TAS A</t>
  </si>
  <si>
    <t>Telstra FLEET Ethanol post 04 VIC A</t>
  </si>
  <si>
    <t>Telstra FLEET LPG post 04 NSW A</t>
  </si>
  <si>
    <t>Telstra FLEET LPG post 04 QLD A</t>
  </si>
  <si>
    <t>Telstra FLEET LPG post 04 SA A</t>
  </si>
  <si>
    <t>Telstra FLEET LPG post 04 VIC A</t>
  </si>
  <si>
    <t>Telstra FLEET Petrol 04 or earlier VIC A</t>
  </si>
  <si>
    <t>Telstra FLEET Petrol post 04 ACT A</t>
  </si>
  <si>
    <t>Telstra FLEET Petrol post 04 NSW A</t>
  </si>
  <si>
    <t>Telstra FLEET Petrol post 04 NT A</t>
  </si>
  <si>
    <t>Telstra FLEET Petrol post 04 QLD A</t>
  </si>
  <si>
    <t>Telstra FLEET Petrol post 04 SA A</t>
  </si>
  <si>
    <t>Telstra FLEET Petrol post 04 TAS A</t>
  </si>
  <si>
    <t>Telstra FLEET Petrol post 04 VIC A</t>
  </si>
  <si>
    <t>Telstra FLEET Petrol post 04 WA A</t>
  </si>
  <si>
    <t>Diesel Generators Data Centres NSW ST LEONARDS</t>
  </si>
  <si>
    <t>Diesel Generators Data Centres VIC CLAYTON</t>
  </si>
  <si>
    <t>Diesel Generators Data Centres NSW</t>
  </si>
  <si>
    <t>Stationary Diesel LeasePlan NSW</t>
  </si>
  <si>
    <t>Stationary Diesel LeasePlan NT</t>
  </si>
  <si>
    <t>Stationary Diesel LeasePlan QLD</t>
  </si>
  <si>
    <t>Stationary Diesel LeasePlan SA</t>
  </si>
  <si>
    <t>Stationary Diesel LeasePlan TAS</t>
  </si>
  <si>
    <t>Stationary Diesel LeasePlan VIC</t>
  </si>
  <si>
    <t>Stationary Diesel LeasePlan WA</t>
  </si>
  <si>
    <t>Stationary Ethanol LeasePlan QLD</t>
  </si>
  <si>
    <t>Stationary Petrol LeasePlan NSW</t>
  </si>
  <si>
    <t>Stationary Petrol LeasePlan QLD</t>
  </si>
  <si>
    <t>Stationary Petrol LeasePlan TAS</t>
  </si>
  <si>
    <t>Stationary Petrol LeasePlan VIC</t>
  </si>
  <si>
    <t>Diesel Generators Network Visionstream ACT</t>
  </si>
  <si>
    <t>Diesel Generators Network Visionstream NSW</t>
  </si>
  <si>
    <t>Diesel Generators Network Visionstream NT</t>
  </si>
  <si>
    <t>Diesel Generators Network Visionstream QLD</t>
  </si>
  <si>
    <t>Diesel Generators Network Visionstream SA</t>
  </si>
  <si>
    <t>Diesel Generators Network Visionstream TAS</t>
  </si>
  <si>
    <t>Diesel Generators Network Visionstream VIC</t>
  </si>
  <si>
    <t>Diesel Generators Network Visionstream WA</t>
  </si>
  <si>
    <t>LPG Generators Network Visionstream ACT</t>
  </si>
  <si>
    <t>LPG Generators Network Visionstream NSW</t>
  </si>
  <si>
    <t>LPG Generators Network Visionstream VIC</t>
  </si>
  <si>
    <t>LPG Generators Network Visionstream QLD</t>
  </si>
  <si>
    <t>LPG Generators Network Visionstream WA</t>
  </si>
  <si>
    <t>LPG Generators Network Visionstream SA</t>
  </si>
  <si>
    <t>LPG Generators Network Visionstream TAS</t>
  </si>
  <si>
    <t>LPG Generators Network Visionstream NT</t>
  </si>
  <si>
    <t>Petrol Generators Network Visionstream ACT</t>
  </si>
  <si>
    <t>Petrol Generators Network Visionstream NSW</t>
  </si>
  <si>
    <t>Petrol Generators Network Visionstream NT</t>
  </si>
  <si>
    <t>Petrol Generators Network Visionstream QLD</t>
  </si>
  <si>
    <t>Petrol Generators Network Visionstream SA</t>
  </si>
  <si>
    <t>Petrol Generators Network Visionstream TAS</t>
  </si>
  <si>
    <t>Petrol Generators Network Visionstream VIC</t>
  </si>
  <si>
    <t>Petrol Generators Network Visionstream WA</t>
  </si>
  <si>
    <t>Other Grounds Portable Gensets etc Diesel ACT</t>
  </si>
  <si>
    <t>Other Grounds Portable Gensets etc Diesel NSW</t>
  </si>
  <si>
    <t>Other Grounds Portable Gensets etc Diesel NT</t>
  </si>
  <si>
    <t>Other Grounds Portable Gensets etc Diesel QLD</t>
  </si>
  <si>
    <t>Other Grounds Portable Gensets etc Diesel SA</t>
  </si>
  <si>
    <t>Other Grounds Portable Gensets etc Diesel TAS</t>
  </si>
  <si>
    <t>Other Grounds Portable Gensets etc Diesel VIC</t>
  </si>
  <si>
    <t>Other Grounds Portable Gensets etc Diesel WA</t>
  </si>
  <si>
    <t>Other Grounds Portable Gensets etc LPG ACT</t>
  </si>
  <si>
    <t>Other Grounds Portable Gensets etc LPG NSW</t>
  </si>
  <si>
    <t>Other Grounds Portable Gensets etc LPG VIC</t>
  </si>
  <si>
    <t>Other Grounds Portable Gensets etc LPG QLD</t>
  </si>
  <si>
    <t>Other Grounds Portable Gensets etc LPG WA</t>
  </si>
  <si>
    <t>Other Grounds Portable Gensets etc LPG SA</t>
  </si>
  <si>
    <t>Other Grounds Portable Gensets etc LPG TAS</t>
  </si>
  <si>
    <t>Other Grounds Portable Gensets etc LPG NT</t>
  </si>
  <si>
    <t>Other Grounds Portable Gensets etc Petrol ACT</t>
  </si>
  <si>
    <t>Other Grounds Portable Gensets etc Petrol NSW</t>
  </si>
  <si>
    <t>Other Grounds Portable Gensets etc Petrol NT</t>
  </si>
  <si>
    <t>Other Grounds Portable Gensets etc Petrol QLD</t>
  </si>
  <si>
    <t>Other Grounds Portable Gensets etc Petrol SA</t>
  </si>
  <si>
    <t>Other Grounds Portable Gensets etc Petrol TAS</t>
  </si>
  <si>
    <t>Other Grounds Portable Gensets etc Petrol VIC</t>
  </si>
  <si>
    <t>Other Grounds Portable Gensets etc Petrol WA</t>
  </si>
  <si>
    <t>Diesel Generators NON-Network COMMERCIAL JLL ACT</t>
  </si>
  <si>
    <t>Diesel Generators NON-Network COMMERCIAL JLL NSW</t>
  </si>
  <si>
    <t>Diesel Generators NON-Network COMMERCIAL JLL NT</t>
  </si>
  <si>
    <t>Diesel Generators NON-Network COMMERCIAL JLL QLD</t>
  </si>
  <si>
    <t>Diesel Generators NON-Network COMMERCIAL JLL SA</t>
  </si>
  <si>
    <t>Diesel Generators NON-Network COMMERCIAL JLL TAS</t>
  </si>
  <si>
    <t>Diesel Generators NON-Network COMMERCIAL JLL VIC</t>
  </si>
  <si>
    <t>Diesel Generators NON-Network COMMERCIAL JLL WA</t>
  </si>
  <si>
    <t>LPG Generators NON-Network COMMERCIAL JLL ACT</t>
  </si>
  <si>
    <t>LPG Generators NON-Network COMMERCIAL JLL NSW</t>
  </si>
  <si>
    <t>LPG Generators NON-Network COMMERCIAL JLL NT</t>
  </si>
  <si>
    <t>LPG Generators NON-Network COMMERCIAL JLL QLD</t>
  </si>
  <si>
    <t>LPG Generators NON-Network COMMERCIAL JLL SA</t>
  </si>
  <si>
    <t>LPG Generators NON-Network COMMERCIAL JLL TAS</t>
  </si>
  <si>
    <t>LPG Generators NON-Network COMMERCIAL JLL VIC</t>
  </si>
  <si>
    <t>LPG Generators NON-Network COMMERCIAL JLL WA</t>
  </si>
  <si>
    <t>Pitwater fuel Diesel NSW</t>
  </si>
  <si>
    <t>Pitwater fuel Diesel NT</t>
  </si>
  <si>
    <t>Pitwater fuel Diesel QLD</t>
  </si>
  <si>
    <t>Pitwater fuel Diesel SA</t>
  </si>
  <si>
    <t>Pitwater fuel Diesel TAS</t>
  </si>
  <si>
    <t>Pitwater fuel Diesel VIC</t>
  </si>
  <si>
    <t>Pitwater fuel Diesel WA</t>
  </si>
  <si>
    <t>FST Grounds maintenance fuel Diesel ACT</t>
  </si>
  <si>
    <t>FST Grounds maintenance fuel Diesel NSW</t>
  </si>
  <si>
    <t>FST Grounds maintenance fuel Diesel NT</t>
  </si>
  <si>
    <t>FST Grounds maintenance fuel Diesel QLD</t>
  </si>
  <si>
    <t>FST Grounds maintenance fuel Diesel SA</t>
  </si>
  <si>
    <t>FST Grounds maintenance fuel Diesel VIC</t>
  </si>
  <si>
    <t>FST Grounds maintenance fuel Diesel WA</t>
  </si>
  <si>
    <t>FST Grounds maintenance fuel Petrol ACT</t>
  </si>
  <si>
    <t>FST Grounds maintenance fuel Petrol NSW</t>
  </si>
  <si>
    <t>FST Grounds maintenance fuel Petrol NT</t>
  </si>
  <si>
    <t>FST Grounds maintenance fuel Petrol QLD</t>
  </si>
  <si>
    <t>FST Grounds maintenance fuel Petrol SA</t>
  </si>
  <si>
    <t>FST Grounds maintenance fuel Petrol TAS</t>
  </si>
  <si>
    <t>FST Grounds maintenance fuel Petrol VIC</t>
  </si>
  <si>
    <t>FST Grounds maintenance fuel Petrol WA</t>
  </si>
  <si>
    <t>Solar Generation ACT</t>
  </si>
  <si>
    <t>Solar Generation NSW</t>
  </si>
  <si>
    <t>Solar Generation NT</t>
  </si>
  <si>
    <t>Solar Generation QLD</t>
  </si>
  <si>
    <t>Solar Generation SA</t>
  </si>
  <si>
    <t>Solar Generation TAS</t>
  </si>
  <si>
    <t>Solar Generation VIC</t>
  </si>
  <si>
    <t>Solar Generation WA</t>
  </si>
  <si>
    <t>DC ACT</t>
  </si>
  <si>
    <t>DC NSW</t>
  </si>
  <si>
    <t>DC NT</t>
  </si>
  <si>
    <t>DC QLD</t>
  </si>
  <si>
    <t>DC SA</t>
  </si>
  <si>
    <t>DC TAS</t>
  </si>
  <si>
    <t>DC VIC</t>
  </si>
  <si>
    <t>DC WA</t>
  </si>
  <si>
    <t>Offices ACT</t>
  </si>
  <si>
    <t>Offices NSW</t>
  </si>
  <si>
    <t>Offices NT</t>
  </si>
  <si>
    <t>Offices QLD</t>
  </si>
  <si>
    <t>Offices SA</t>
  </si>
  <si>
    <t>Offices TAS</t>
  </si>
  <si>
    <t>Offices VIC</t>
  </si>
  <si>
    <t>Offices WA</t>
  </si>
  <si>
    <t>Residences ACT</t>
  </si>
  <si>
    <t>Residences NSW</t>
  </si>
  <si>
    <t>Residences NT</t>
  </si>
  <si>
    <t>Residences QLD</t>
  </si>
  <si>
    <t>Residences SA</t>
  </si>
  <si>
    <t>Residences TAS</t>
  </si>
  <si>
    <t>Residences VIC</t>
  </si>
  <si>
    <t>Residences WA</t>
  </si>
  <si>
    <t>Retail ACT</t>
  </si>
  <si>
    <t>Retail NSW</t>
  </si>
  <si>
    <t>Retail NT</t>
  </si>
  <si>
    <t>Retail QLD</t>
  </si>
  <si>
    <t>Retail SA</t>
  </si>
  <si>
    <t>Retail TAS</t>
  </si>
  <si>
    <t>Retail VIC</t>
  </si>
  <si>
    <t>Retail WA</t>
  </si>
  <si>
    <t>TNA ACT</t>
  </si>
  <si>
    <t>TNA NSW</t>
  </si>
  <si>
    <t>TNA QLD</t>
  </si>
  <si>
    <t>TNA SA</t>
  </si>
  <si>
    <t>TNA TAS</t>
  </si>
  <si>
    <t>TNA VIC</t>
  </si>
  <si>
    <t>TNA WA</t>
  </si>
  <si>
    <t>TNA Gas NSW A</t>
  </si>
  <si>
    <t>TNA Gas NSW BBB</t>
  </si>
  <si>
    <t>TNA Gas SA A</t>
  </si>
  <si>
    <t>TNA Gas SA BBB</t>
  </si>
  <si>
    <t>TNA Gas VIC A</t>
  </si>
  <si>
    <t>TNA Gas VIC BBB</t>
  </si>
  <si>
    <t>Contractor Fuel Diesel ACT</t>
  </si>
  <si>
    <t>Contractor Fuel LPG ACT</t>
  </si>
  <si>
    <t>Contractor Fuel Petrol ACT</t>
  </si>
  <si>
    <t>Contractor Fuel Diesel NSW</t>
  </si>
  <si>
    <t>Contractor Fuel Ethanol NSW</t>
  </si>
  <si>
    <t>Contractor Fuel LPG NSW</t>
  </si>
  <si>
    <t>Contractor Fuel Petrol NSW</t>
  </si>
  <si>
    <t>Contractor Fuel Diesel NT</t>
  </si>
  <si>
    <t>Contractor Fuel LPG NT</t>
  </si>
  <si>
    <t>Contractor Fuel Petrol NT</t>
  </si>
  <si>
    <t>Contractor Fuel Diesel QLD</t>
  </si>
  <si>
    <t>Contractor Fuel Ethanol QLD</t>
  </si>
  <si>
    <t>Contractor Fuel LPG QLD</t>
  </si>
  <si>
    <t>Contractor Fuel Petrol QLD</t>
  </si>
  <si>
    <t>Contractor Fuel Diesel SA</t>
  </si>
  <si>
    <t>Contractor Fuel LPG SA</t>
  </si>
  <si>
    <t>Contractor Fuel Petrol SA</t>
  </si>
  <si>
    <t>Contractor Fuel Diesel TAS</t>
  </si>
  <si>
    <t>Contractor Fuel LPG TAS</t>
  </si>
  <si>
    <t>Contractor Fuel Petrol TAS</t>
  </si>
  <si>
    <t>Contractor Fuel Diesel VIC</t>
  </si>
  <si>
    <t>Contractor Fuel LPG VIC</t>
  </si>
  <si>
    <t>Contractor Fuel Petrol VIC</t>
  </si>
  <si>
    <t>Contractor Fuel Diesel WA</t>
  </si>
  <si>
    <t>Contractor Fuel LPG WA</t>
  </si>
  <si>
    <t>Contractor Fuel Petrol WA</t>
  </si>
  <si>
    <t>Data Centre Gas VIC A</t>
  </si>
  <si>
    <t>Residence Gas ACT A</t>
  </si>
  <si>
    <t>Telstra Office Accommodation Gas VIC A</t>
  </si>
  <si>
    <t>Data Centre Gas VIC BBB</t>
  </si>
  <si>
    <t>Residence Gas ACT BBB</t>
  </si>
  <si>
    <t>Telstra Office Accommodation Gas VIC BBB</t>
  </si>
  <si>
    <t>Grounds maintenance ISS Petrol NT</t>
  </si>
  <si>
    <t>Grounds maintenance ISS Petrol QLD</t>
  </si>
  <si>
    <t>Grounds maintenance ISS Petrol WA</t>
  </si>
  <si>
    <t>Brightstar</t>
  </si>
  <si>
    <t>Contractor Fuel Ethanol VIC</t>
  </si>
  <si>
    <t>Grounds maintenance VIVID Petrol QLD</t>
  </si>
  <si>
    <t>Grounds maintenance VIVID Petrol WA</t>
  </si>
  <si>
    <t>TNA NT</t>
  </si>
  <si>
    <r>
      <t>Greenhouse gas emissions</t>
    </r>
    <r>
      <rPr>
        <b/>
        <vertAlign val="superscript"/>
        <sz val="14"/>
        <color rgb="FF074F30"/>
        <rFont val="Arial"/>
        <family val="2"/>
      </rPr>
      <t>1</t>
    </r>
  </si>
  <si>
    <t>GRI Standards: 305-1 - 305-5</t>
  </si>
  <si>
    <r>
      <t>FY18</t>
    </r>
    <r>
      <rPr>
        <b/>
        <vertAlign val="superscript"/>
        <sz val="10"/>
        <color rgb="FFFFFFFF"/>
        <rFont val="Arial"/>
        <family val="2"/>
      </rPr>
      <t>4</t>
    </r>
  </si>
  <si>
    <t>FY15</t>
  </si>
  <si>
    <t>% change FY18-19</t>
  </si>
  <si>
    <r>
      <t>Total emissions (Scope 1, 2 &amp; 3) tCO</t>
    </r>
    <r>
      <rPr>
        <vertAlign val="subscript"/>
        <sz val="8"/>
        <color rgb="FF000000"/>
        <rFont val="Arial"/>
        <family val="2"/>
      </rPr>
      <t>2</t>
    </r>
    <r>
      <rPr>
        <sz val="8"/>
        <color indexed="8"/>
        <rFont val="Arial"/>
        <family val="2"/>
      </rPr>
      <t>e</t>
    </r>
  </si>
  <si>
    <r>
      <t>Scope 3 emissions (tCO</t>
    </r>
    <r>
      <rPr>
        <vertAlign val="subscript"/>
        <sz val="8"/>
        <color rgb="FF000000"/>
        <rFont val="Arial"/>
        <family val="2"/>
      </rPr>
      <t>2</t>
    </r>
    <r>
      <rPr>
        <sz val="8"/>
        <color indexed="8"/>
        <rFont val="Arial"/>
        <family val="2"/>
      </rPr>
      <t>e)</t>
    </r>
    <r>
      <rPr>
        <vertAlign val="superscript"/>
        <sz val="8"/>
        <color rgb="FF000000"/>
        <rFont val="Arial"/>
        <family val="2"/>
      </rPr>
      <t>2</t>
    </r>
  </si>
  <si>
    <r>
      <t>Emissions intensity tCO</t>
    </r>
    <r>
      <rPr>
        <vertAlign val="subscript"/>
        <sz val="8"/>
        <color rgb="FF000000"/>
        <rFont val="Arial"/>
        <family val="2"/>
      </rPr>
      <t>2</t>
    </r>
    <r>
      <rPr>
        <sz val="8"/>
        <color indexed="8"/>
        <rFont val="Arial"/>
        <family val="2"/>
      </rPr>
      <t xml:space="preserve">e/PB </t>
    </r>
  </si>
  <si>
    <t>Other emissions data</t>
  </si>
  <si>
    <r>
      <t>Network related GHG emissions (% of total)</t>
    </r>
    <r>
      <rPr>
        <vertAlign val="superscript"/>
        <sz val="8"/>
        <color rgb="FF000000"/>
        <rFont val="Arial"/>
        <family val="2"/>
      </rPr>
      <t>3</t>
    </r>
  </si>
  <si>
    <t xml:space="preserve">1 – Reported emissions are based on actual data wherever possible. Where metered or invoiced data was not available at 30 June 2019, estimates have been calculated based on prior actual consumption, taking into account seasonal variations, qualified assumptions and/or known business activity variations. 						</t>
  </si>
  <si>
    <t>2 - Scope 3 emissions included in the scope of the emissions intensity target include category 3, 4, 5 and 6 as these were reported at the time of the baseline.</t>
  </si>
  <si>
    <t xml:space="preserve">3 – Network category includes all network-related sites including unmetered sites and data centre services hosted at Telstra exchanges. This consists of all Scope 1, 2 &amp; 3 emissions allocated to the Telstra network, based on premises, vehicle or activity end use.						</t>
  </si>
  <si>
    <t xml:space="preserve">4 - We have re-stated our FY18 total GHG emissions due to the identification of additional contractor fuel data from a review of our operational boundary. This increased our scope 1 and 3 GHG emissions by 5,352 tCO2-e (9.2% change in scope 1, 0.1% change in scope 3 and 0.4% change in total GHG emissions from previously reported).    </t>
  </si>
  <si>
    <t>Total greenhouse gas emissions by source</t>
  </si>
  <si>
    <t>Scope 3</t>
  </si>
  <si>
    <t>Total greenhouse gas emissions by category (scope 1, 2 &amp; 3 emissions)</t>
  </si>
  <si>
    <t xml:space="preserve"> Emissions (S1, S2 &amp; S3) </t>
  </si>
  <si>
    <t>Network Sites (inc mobile, Exchanges, Depots)</t>
  </si>
  <si>
    <t xml:space="preserve">Flights </t>
  </si>
  <si>
    <t>Waste</t>
  </si>
  <si>
    <r>
      <t>Solar capacity - offgrid</t>
    </r>
    <r>
      <rPr>
        <vertAlign val="superscript"/>
        <sz val="8"/>
        <color rgb="FF000000"/>
        <rFont val="Arial"/>
        <family val="2"/>
      </rPr>
      <t>5</t>
    </r>
  </si>
  <si>
    <t>3.8 MW</t>
  </si>
  <si>
    <t xml:space="preserve">2 – Telstra has over 10,200 sites which are wholly or partly powered with solar panels providing power to telecommunications equipment in rural and remote locations where the power grid does not reach. </t>
  </si>
  <si>
    <t xml:space="preserve">3 –This figure reflects energy saved from energy reduction projects at both our network and commercial sites. </t>
  </si>
  <si>
    <t>5 - Calculated figure based on solar capacity.</t>
  </si>
  <si>
    <t>Kilometres (Km)</t>
  </si>
  <si>
    <t xml:space="preserve">    ·  General waste</t>
  </si>
  <si>
    <r>
      <t xml:space="preserve">    ·  Hazardous waste</t>
    </r>
    <r>
      <rPr>
        <vertAlign val="superscript"/>
        <sz val="8"/>
        <color indexed="8"/>
        <rFont val="Arial"/>
        <family val="2"/>
      </rPr>
      <t>4</t>
    </r>
  </si>
  <si>
    <t xml:space="preserve">1 – Total waste does not include waste disposed of at sites managed by third parties.  						 </t>
  </si>
  <si>
    <t>3 - Other refers to other waste categories which collectively contribute less than 5 per cent of overall weight.</t>
  </si>
  <si>
    <t>4 – Hazardous wastes which are not able to be re-processed are disposed at appropriate licenced landfill facilities.</t>
  </si>
  <si>
    <t>·  Office paper</t>
  </si>
  <si>
    <t>·  Printing paper</t>
  </si>
  <si>
    <t>·  Billing paper</t>
  </si>
  <si>
    <t xml:space="preserve">Bigger Picture 2019 Sustainability Report </t>
  </si>
  <si>
    <t>Total Scope 1, 2 &amp; 3</t>
  </si>
  <si>
    <t>alloc</t>
  </si>
  <si>
    <t>elec</t>
  </si>
  <si>
    <t>Telstra Corporation Limited Total</t>
  </si>
  <si>
    <t>Flights</t>
  </si>
  <si>
    <t>Total CO2-e (tonnes)</t>
  </si>
  <si>
    <t>NGER</t>
  </si>
  <si>
    <t>Scope 3 Fuel</t>
  </si>
  <si>
    <t>CSR</t>
  </si>
  <si>
    <t>Delta in NGER</t>
  </si>
  <si>
    <t>FY19 Revised</t>
  </si>
  <si>
    <t>difference CO2</t>
  </si>
  <si>
    <t xml:space="preserve">We have re-stated our FY19 total GHG emissions mainly due to a change in operational boundaries for contractor fuel data. This decreased our scope 1 and 3 GHG emissions by 4,275 tCO2-e (-8.0% change in scope 1, -0.1% change in scope 3 and -0.3% change in total GHG emissions from previously reported).    </t>
  </si>
  <si>
    <t>FY21_N</t>
  </si>
  <si>
    <t>FY20_N</t>
  </si>
  <si>
    <t>(Accenture data)</t>
  </si>
  <si>
    <t>(PointAdvisory data)</t>
  </si>
  <si>
    <t>Total Scope 1 &amp; Scope 2</t>
  </si>
  <si>
    <t>FY21_N kgCO2e</t>
  </si>
  <si>
    <t>Fuel type</t>
  </si>
  <si>
    <t>% of total</t>
  </si>
  <si>
    <t>Rank</t>
  </si>
  <si>
    <t>Electricity_International</t>
  </si>
  <si>
    <t>Natural gas_International</t>
  </si>
  <si>
    <t>Diesel_International</t>
  </si>
  <si>
    <t>FY21_N Consumption</t>
  </si>
  <si>
    <t>Criterion</t>
  </si>
  <si>
    <t>Consumption</t>
  </si>
  <si>
    <t>Energy content factor - Electricity</t>
  </si>
  <si>
    <t>EC Unit</t>
  </si>
  <si>
    <t>GJ/kWh</t>
  </si>
  <si>
    <t>Natural gas</t>
  </si>
  <si>
    <t>Energy content factor - Diesel</t>
  </si>
  <si>
    <t>GJ/KL</t>
  </si>
  <si>
    <t>Sum of FY21_N_Elec_S2_kgCO2e</t>
  </si>
  <si>
    <t>Sum of FY21_N_Elec_S3_kgCO2e</t>
  </si>
  <si>
    <t>Sum of FY21_N_Gas_S1_kgCO2e</t>
  </si>
  <si>
    <t>Sum of FY21_N_Gas_S3_kgCO2e</t>
  </si>
  <si>
    <t>Sum of FY21_N_Diesel_S1_kgCO2e</t>
  </si>
  <si>
    <t>Sum of FY21_N_Diesel_S3_kgCO2e</t>
  </si>
  <si>
    <t>Total Scope 1</t>
  </si>
  <si>
    <t>Total Scope 2</t>
  </si>
  <si>
    <t>Total Scope 3</t>
  </si>
  <si>
    <t>Sum of FY21_N_adopted_elec_(kWh)</t>
  </si>
  <si>
    <t>Sum of FY21_N_adopted_gas_(MJ)</t>
  </si>
  <si>
    <t>Sum of FY21_N_adopted_diesel_(L)</t>
  </si>
  <si>
    <t>Total GJ_elec</t>
  </si>
  <si>
    <t>Total GJ_gas</t>
  </si>
  <si>
    <t>Total GJ_diesel</t>
  </si>
  <si>
    <t>FY20 tCO2e</t>
  </si>
  <si>
    <t>Total emissions (tonnes CO2-e)</t>
  </si>
  <si>
    <t>FY20 Consumption</t>
  </si>
  <si>
    <t>FY20kgCO2e</t>
  </si>
  <si>
    <t>Sum of FY20_Elec_S3_kgCO2e</t>
  </si>
  <si>
    <t>Sum of FY20_Gas_S3_kgCO2e</t>
  </si>
  <si>
    <t>Sum of FY20_Diesel_S3_kgCO2e</t>
  </si>
  <si>
    <t>FY19 Consumption</t>
  </si>
  <si>
    <t>FY19kgCO2e</t>
  </si>
  <si>
    <t>Sum of FY19_Elec_S2_kgCO2e</t>
  </si>
  <si>
    <t>Sum of FY19_Elec_S3_kgCO2e</t>
  </si>
  <si>
    <t>Sum of FY19_Gas_S1_kgCO2e</t>
  </si>
  <si>
    <t>Sum of FY19_Gas_S3_kgCO2e</t>
  </si>
  <si>
    <t>Sum of FY19_Diesel_S1_kgCO2e</t>
  </si>
  <si>
    <t>Sum of FY19_Diesel_S3_kgCO2e</t>
  </si>
  <si>
    <t>until June-21 (Actual &amp; Accruals from Envizi)</t>
  </si>
  <si>
    <t>until Jun-21 (actual data)</t>
  </si>
  <si>
    <t>ENV</t>
  </si>
  <si>
    <t>until June-20</t>
  </si>
  <si>
    <t>until June21</t>
  </si>
  <si>
    <r>
      <t xml:space="preserve">BCA on Telstra sites for removal </t>
    </r>
    <r>
      <rPr>
        <sz val="10"/>
        <color theme="1"/>
        <rFont val="Arial"/>
        <family val="2"/>
        <scheme val="minor"/>
      </rPr>
      <t>ACT</t>
    </r>
  </si>
  <si>
    <t>08-Jul-21 :Data Vaildated using Envizi Report and Work file/Data file</t>
  </si>
  <si>
    <t>FY21 removals from JCDecaux assets</t>
  </si>
  <si>
    <t>08/07/2021 - OF notes: to be uplaoded in Envizi</t>
  </si>
  <si>
    <t>July20-June21 (Actual)</t>
  </si>
  <si>
    <t>8-Jul-21 :Data Validated using Work file/data file</t>
  </si>
  <si>
    <t>OF notes: to be uploaded in Envizi</t>
  </si>
  <si>
    <t>Not updated yet</t>
  </si>
  <si>
    <t xml:space="preserve">TNA NT </t>
  </si>
  <si>
    <t>Muru D removal NSW</t>
  </si>
  <si>
    <t>FY21 (Actuals &amp; Accruals from Envizi)</t>
  </si>
  <si>
    <t>State</t>
  </si>
  <si>
    <t>Consumption Quanity</t>
  </si>
  <si>
    <t>VIC</t>
  </si>
  <si>
    <t>ACT</t>
  </si>
  <si>
    <t>Telstra Office Accommodations Gas NSW A</t>
  </si>
  <si>
    <t>NSW</t>
  </si>
  <si>
    <t>SA</t>
  </si>
  <si>
    <t>Telstra Office Accommodations Gas NSW BBB</t>
  </si>
  <si>
    <t>Total MJ</t>
  </si>
  <si>
    <t>Residence</t>
  </si>
  <si>
    <t>Telstra Office Accommodation</t>
  </si>
  <si>
    <t>TNA</t>
  </si>
  <si>
    <t>until June-21</t>
  </si>
  <si>
    <t>Entity</t>
  </si>
  <si>
    <t>Production/Consumption Quantity</t>
  </si>
  <si>
    <t>Production Unit</t>
  </si>
  <si>
    <t>Energy Conversion factor (GJ/kWh)</t>
  </si>
  <si>
    <t>Production/Consumption GJ</t>
  </si>
  <si>
    <t>Telecommunication and Ancillary Facilities ACT</t>
  </si>
  <si>
    <t>Telecommunication and Ancillary Facilities NSW</t>
  </si>
  <si>
    <t>Telecommunication and Ancillary Facilities NT</t>
  </si>
  <si>
    <t>NT</t>
  </si>
  <si>
    <t>Telecommunication and Ancillary Facilities QLD</t>
  </si>
  <si>
    <t>QLD</t>
  </si>
  <si>
    <t>Telecommunication and Ancillary Facilities SA</t>
  </si>
  <si>
    <t>Telecommunication and Ancillary Facilities TAS</t>
  </si>
  <si>
    <t>TAS</t>
  </si>
  <si>
    <t>Telecommunication and Ancillary Facilities VIC</t>
  </si>
  <si>
    <t>Telecommunication and Ancillary Facilities WA</t>
  </si>
  <si>
    <t>WA</t>
  </si>
  <si>
    <t>until March-20</t>
  </si>
  <si>
    <t>Until June 2020</t>
  </si>
  <si>
    <t>Consumption Quantity (L)</t>
  </si>
  <si>
    <t>Consumption  Units</t>
  </si>
  <si>
    <t xml:space="preserve">Consumption Quantity </t>
  </si>
  <si>
    <t>8-Jul-2021 : Data validated using Envizi data and data file. However, the data for CLDC from data file doesn't match with Envizi</t>
  </si>
  <si>
    <t>OF notes: updated with RFI2 data</t>
  </si>
  <si>
    <t>Emission source</t>
  </si>
  <si>
    <t>Production Quantity</t>
  </si>
  <si>
    <t>Production  Units</t>
  </si>
  <si>
    <t>Genset</t>
  </si>
  <si>
    <t>LPG</t>
  </si>
  <si>
    <t>NETGenset LPGACT</t>
  </si>
  <si>
    <t>NETGenset LPGNSW</t>
  </si>
  <si>
    <t>NETGenset LPGNT</t>
  </si>
  <si>
    <t>NETGenset LPGQLD</t>
  </si>
  <si>
    <t>NETGenset LPGTAS</t>
  </si>
  <si>
    <t>Petrol</t>
  </si>
  <si>
    <t>Grounds Maintenance</t>
  </si>
  <si>
    <t>Check = 0</t>
  </si>
  <si>
    <t>8-Jul-2021 : Data validated using Envizi data and data file.</t>
  </si>
  <si>
    <t>data as received for draft 1</t>
  </si>
  <si>
    <t>Until June 21 (actuals)</t>
  </si>
  <si>
    <t>Consumption Units</t>
  </si>
  <si>
    <t>Diesel [L]</t>
  </si>
  <si>
    <t>Diesel post-2004 [L]</t>
  </si>
  <si>
    <t>Ethanol post-2004 [L]</t>
  </si>
  <si>
    <t>LPG post-2004 [L]</t>
  </si>
  <si>
    <t>Petrol [L]</t>
  </si>
  <si>
    <t>Petrol post-2004 [L]</t>
  </si>
  <si>
    <t>8-Jul-2021 : Data updated from Envizi file (Actual and Accruals) - Total data, However, data is not matching with consolidated data file</t>
  </si>
  <si>
    <t>Model Check</t>
  </si>
  <si>
    <t>ENV check</t>
  </si>
  <si>
    <t>Until June-21 (actuals+accruals)</t>
  </si>
  <si>
    <t>Telecommunication and Ancillary Facilities NSW Virtual Loc</t>
  </si>
  <si>
    <t>Telecommunication and Ancillary Facilities NT Virtual Loc</t>
  </si>
  <si>
    <t>Telecommunication and Ancillary Facilities QLD Virtual Loc</t>
  </si>
  <si>
    <t>Telecommunication and Ancillary Facilities SA Virtual Loc</t>
  </si>
  <si>
    <t>Telecommunication and Ancillary Facilities TAS Virtual Loc</t>
  </si>
  <si>
    <t>Telecommunication and Ancillary Facilities VIC Virtual Loc</t>
  </si>
  <si>
    <t>Telecommunication and Ancillary Facilities WA Virtual Loc</t>
  </si>
  <si>
    <t>8-Jul-2021 : Data updated from Envizi file (Actual and Accruals) - Total data, However, data consolidated data file is not on Teams.</t>
  </si>
  <si>
    <t>Until June</t>
  </si>
  <si>
    <t>until June-21 (actuals+accruals, May-21 actual data missing)</t>
  </si>
  <si>
    <t>Diesel (post 04)</t>
  </si>
  <si>
    <t>Petrol (post 04)</t>
  </si>
  <si>
    <t>21-Jul-2021 : Data updated from Envizi file (Actual and Accruals) - Total data. May-21 data file requested and pending).</t>
  </si>
  <si>
    <t>until June</t>
  </si>
  <si>
    <t>COMPANY NAME</t>
  </si>
  <si>
    <t>(Multiple Items)</t>
  </si>
  <si>
    <t>Sum of Fuel usage amended</t>
  </si>
  <si>
    <t>Column Labels</t>
  </si>
  <si>
    <t>21-Jul-21 : Data is validated using Envizi file and Work file/data file</t>
  </si>
  <si>
    <t>Diesel emissions</t>
  </si>
  <si>
    <t>OF notes: Fuel marked with "Other" received from Visionstream (139 litres), not included on the totals. Queried with Visionstream and this refers to vehicle oil.</t>
  </si>
  <si>
    <t>Diesel Stationary [L]</t>
  </si>
  <si>
    <t>Petrol Stationary [L]</t>
  </si>
  <si>
    <t>8-Jul-21 : Data is validated using Envizi file.</t>
  </si>
  <si>
    <t>FST - use last year data</t>
  </si>
  <si>
    <t>ISS - estimated data for Jul-Oct20 period</t>
  </si>
  <si>
    <t>Vivid - new supplier starting Nov20</t>
  </si>
  <si>
    <t>ISS has accruals for April-June as no update was received in time for Draft 2</t>
  </si>
  <si>
    <t>ISS - use last year data from Jul-Oct</t>
  </si>
  <si>
    <t>until June-21 (actuals+estimates from Envizi until Jun21)</t>
  </si>
  <si>
    <t>Reporting alias</t>
  </si>
  <si>
    <t>08/07/2021 - OF notes: Remondis has been replaced by Cleanaway as a waste supplier starting Dec20, however Remondis data was still received until Feb21.</t>
  </si>
  <si>
    <t>June accrued</t>
  </si>
  <si>
    <t>until June-21 (estimations)</t>
  </si>
  <si>
    <t>Use of fuel</t>
  </si>
  <si>
    <t>Fuel/ Utility Type</t>
  </si>
  <si>
    <t>Unit of measure</t>
  </si>
  <si>
    <t>Estimates Electricity NT</t>
  </si>
  <si>
    <t>Estimates Electricity TAS</t>
  </si>
  <si>
    <t>Estimates Water VIC</t>
  </si>
  <si>
    <t>Water</t>
  </si>
  <si>
    <t>Alloc</t>
  </si>
  <si>
    <t>Data Type</t>
  </si>
  <si>
    <t>Sum of Total 21</t>
  </si>
  <si>
    <t>Electricity [kWh]</t>
  </si>
  <si>
    <t>Natural Gas</t>
  </si>
  <si>
    <t>Natural Gas [MJ]</t>
  </si>
  <si>
    <t>Stationary Fuels</t>
  </si>
  <si>
    <t>Transport Fuels</t>
  </si>
  <si>
    <t>Diesel Transport post-2004 [L]</t>
  </si>
  <si>
    <t>Petrol Transport post-2004 [L]</t>
  </si>
  <si>
    <t>Water [L]</t>
  </si>
  <si>
    <t>Region</t>
  </si>
  <si>
    <t>Units</t>
  </si>
  <si>
    <t>Australian Capital Territory</t>
  </si>
  <si>
    <t>New South Wales</t>
  </si>
  <si>
    <t>Queensland</t>
  </si>
  <si>
    <t>South Australia</t>
  </si>
  <si>
    <t>Victoria</t>
  </si>
  <si>
    <t>Western Australia</t>
  </si>
  <si>
    <t>until June21 (actuals+accruals)</t>
  </si>
  <si>
    <t>Included Network, Data Centre &amp; TBC (as all network accounts that need allocating)</t>
  </si>
  <si>
    <t>Sum of Total Data</t>
  </si>
  <si>
    <t>Reuse</t>
  </si>
  <si>
    <t>Recycle</t>
  </si>
  <si>
    <t>Removed Mobile Muster, WVTech &amp; TES</t>
  </si>
  <si>
    <t>Hydro</t>
  </si>
  <si>
    <t>Mobile Phone</t>
  </si>
  <si>
    <t>Removed Cleanaway Asbestos, Remondis Asbestos</t>
  </si>
  <si>
    <t>Modems</t>
  </si>
  <si>
    <t>Landfill Waste</t>
  </si>
  <si>
    <t>Other</t>
  </si>
  <si>
    <t>Construction and Demolition Landfill</t>
  </si>
  <si>
    <t>Recycling rates</t>
  </si>
  <si>
    <t>Operational Waste Landfill General</t>
  </si>
  <si>
    <t>Non-Network waste calculation</t>
  </si>
  <si>
    <t>Operational Waste Landfill Hazardous</t>
  </si>
  <si>
    <t>Network waste calculation</t>
  </si>
  <si>
    <t>Non-Network recycled waste</t>
  </si>
  <si>
    <t>Recycled Waste</t>
  </si>
  <si>
    <t>Network recycled waste</t>
  </si>
  <si>
    <t>Total Non-Network waste</t>
  </si>
  <si>
    <t>Electronic Waste (e-waste) Recycled</t>
  </si>
  <si>
    <t>Total network waste</t>
  </si>
  <si>
    <t>% non-network waste recycled</t>
  </si>
  <si>
    <t>Mobile Phones Recycled</t>
  </si>
  <si>
    <t>Modems recycled</t>
  </si>
  <si>
    <t>% network waste recycled</t>
  </si>
  <si>
    <t>Operational Waste Cardboard &amp; Paper</t>
  </si>
  <si>
    <t>Operational Waste Recycled Co-mingled</t>
  </si>
  <si>
    <t>Operational Waste Recycled Other</t>
  </si>
  <si>
    <t>FY</t>
  </si>
  <si>
    <t>Waste Recycled - Construction and Demolition [t]</t>
  </si>
  <si>
    <t>Level 1 Group</t>
  </si>
  <si>
    <t>Supplier</t>
  </si>
  <si>
    <t>Removed Mobile Muster, WVTech, TES &amp; Accenture</t>
  </si>
  <si>
    <t>Account Style/Component</t>
  </si>
  <si>
    <t>Including all account styles</t>
  </si>
  <si>
    <t>Removed Remondis Absestos</t>
  </si>
  <si>
    <t>Sum of Actual + Estimated Data</t>
  </si>
  <si>
    <t>Sum of Total FY20</t>
  </si>
  <si>
    <t>Difference from Remondis</t>
  </si>
  <si>
    <t>Totals</t>
  </si>
  <si>
    <t>FY14</t>
  </si>
  <si>
    <t>FY13</t>
  </si>
  <si>
    <t>% change FY19 &amp; FY20</t>
  </si>
  <si>
    <t xml:space="preserve">     Cardboard &amp; paper</t>
  </si>
  <si>
    <t>Electronic Waste (e-waste) Landfill</t>
  </si>
  <si>
    <t>no accounting of difference</t>
  </si>
  <si>
    <t xml:space="preserve">     Co-mingled</t>
  </si>
  <si>
    <r>
      <t>Other</t>
    </r>
    <r>
      <rPr>
        <i/>
        <vertAlign val="superscript"/>
        <sz val="8"/>
        <color indexed="8"/>
        <rFont val="Arial"/>
        <family val="2"/>
      </rPr>
      <t>3</t>
    </r>
  </si>
  <si>
    <t>Operational Waste Landfill Other</t>
  </si>
  <si>
    <t>Network e-waste</t>
  </si>
  <si>
    <t>Mobile phones recycled</t>
  </si>
  <si>
    <t xml:space="preserve">Modems recycled </t>
  </si>
  <si>
    <t>Modems Recycled</t>
  </si>
  <si>
    <t xml:space="preserve">     General waste</t>
  </si>
  <si>
    <t>NON-NETWORK</t>
  </si>
  <si>
    <t>Included Non-Network only</t>
  </si>
  <si>
    <t>Only non-network</t>
  </si>
  <si>
    <r>
      <t xml:space="preserve">     Hazardous waste</t>
    </r>
    <r>
      <rPr>
        <i/>
        <vertAlign val="superscript"/>
        <sz val="8"/>
        <color indexed="8"/>
        <rFont val="Arial"/>
        <family val="2"/>
      </rPr>
      <t>4</t>
    </r>
  </si>
  <si>
    <t>Removed Mobile Muster, WVTech,TES &amp; Accenture</t>
  </si>
  <si>
    <t>E-waste recycling rate(%)</t>
  </si>
  <si>
    <t>Total hazardous waste (landfill)</t>
  </si>
  <si>
    <t>Total hazardous waste</t>
  </si>
  <si>
    <t>Sum of Envizi</t>
  </si>
  <si>
    <t>Jul</t>
  </si>
  <si>
    <t>Aug</t>
  </si>
  <si>
    <t>Sep</t>
  </si>
  <si>
    <t>Oct</t>
  </si>
  <si>
    <t>Nov</t>
  </si>
  <si>
    <t>Dec</t>
  </si>
  <si>
    <t>Jan</t>
  </si>
  <si>
    <t>Feb</t>
  </si>
  <si>
    <t>Mar</t>
  </si>
  <si>
    <t>Apr</t>
  </si>
  <si>
    <t>May</t>
  </si>
  <si>
    <t>Jun</t>
  </si>
  <si>
    <t>Domestic</t>
  </si>
  <si>
    <t>Medium Haul</t>
  </si>
  <si>
    <t>Short Haul</t>
  </si>
  <si>
    <t>Long Haul</t>
  </si>
  <si>
    <t>08/07/2021 - OF notes: for FY21 a new data template was provided based on Active Segment, which is more accurate than the one based on Sector Departure Date (provided in FY20).</t>
  </si>
  <si>
    <t>date</t>
  </si>
  <si>
    <t>Source report</t>
  </si>
  <si>
    <t>Air travel_AL v13 20200709</t>
  </si>
  <si>
    <t>Include</t>
  </si>
  <si>
    <t>2019</t>
  </si>
  <si>
    <t>2020</t>
  </si>
  <si>
    <t>Sum of Emissions based on Envizi distances</t>
  </si>
  <si>
    <t>until June (actuals+accruals from Envizi)</t>
  </si>
  <si>
    <t>t</t>
  </si>
  <si>
    <t>Business magazines</t>
  </si>
  <si>
    <t>FY21 Update</t>
  </si>
  <si>
    <t>CY20</t>
  </si>
  <si>
    <t>3 (upstream)</t>
  </si>
  <si>
    <t>1. Purchased goods and services</t>
  </si>
  <si>
    <t>2. Capital goods</t>
  </si>
  <si>
    <t>3. Fuel- and energy-related activities (not included in scope 1 or scope 2)</t>
  </si>
  <si>
    <t>4. Upstream transportation and distribution</t>
  </si>
  <si>
    <t>5. Waste generated in operations</t>
  </si>
  <si>
    <t>6. Business travel</t>
  </si>
  <si>
    <t>7. Employee commuting</t>
  </si>
  <si>
    <t>8. Upstream leased assets</t>
  </si>
  <si>
    <t>3 (downstream)</t>
  </si>
  <si>
    <t>9. Downstream transportation and distribution</t>
  </si>
  <si>
    <t>10. Processing of sold products</t>
  </si>
  <si>
    <t>11. Use of sold products</t>
  </si>
  <si>
    <t>12. End-of-life treatment of sold products</t>
  </si>
  <si>
    <t>13. Downstream leased assets</t>
  </si>
  <si>
    <t>14. Franchises</t>
  </si>
  <si>
    <t>15. Investments</t>
  </si>
  <si>
    <t>Data Traffic (TB)</t>
  </si>
  <si>
    <t>WIRELINE</t>
  </si>
  <si>
    <t>WIRELESS</t>
  </si>
  <si>
    <t>TOTAL TELSTRA</t>
  </si>
  <si>
    <t>until March-21</t>
  </si>
  <si>
    <t>date updated</t>
  </si>
  <si>
    <t>Wireline</t>
  </si>
  <si>
    <t>Wireless</t>
  </si>
  <si>
    <t>Month (TB)</t>
  </si>
  <si>
    <t>until June-21 (only actual data from the data file provided - no accruals considered)</t>
  </si>
  <si>
    <t>Decommisioning</t>
  </si>
  <si>
    <t>Grand Total kWh</t>
  </si>
  <si>
    <t>ESP 37 DSLAM</t>
  </si>
  <si>
    <t>ESP 40 DMS PSTN</t>
  </si>
  <si>
    <t>ESP 41 Legacy PDH</t>
  </si>
  <si>
    <t>ESP 46 Mobile Core</t>
  </si>
  <si>
    <t>IBM Managed Servers</t>
  </si>
  <si>
    <t>V&amp;V EOSL</t>
  </si>
  <si>
    <t>Alcatel 7450 EAN</t>
  </si>
  <si>
    <t xml:space="preserve">Cisco 3700 </t>
  </si>
  <si>
    <t xml:space="preserve">Cisco 3750 </t>
  </si>
  <si>
    <t xml:space="preserve">Cisco 4900 </t>
  </si>
  <si>
    <t xml:space="preserve">Cisco 4900 switch </t>
  </si>
  <si>
    <t xml:space="preserve">Cisco 6509 </t>
  </si>
  <si>
    <t xml:space="preserve">Cisco 6509 Switch </t>
  </si>
  <si>
    <t>Cisco 7206VXR</t>
  </si>
  <si>
    <t>Cisco 7609</t>
  </si>
  <si>
    <t>CRS-1</t>
  </si>
  <si>
    <t>Dial IP</t>
  </si>
  <si>
    <t>DWDM MHL</t>
  </si>
  <si>
    <t>DWDM Siemens</t>
  </si>
  <si>
    <t xml:space="preserve">E320 LNS </t>
  </si>
  <si>
    <t xml:space="preserve">MSE </t>
  </si>
  <si>
    <t xml:space="preserve">MX960 RDN Mobile PE </t>
  </si>
  <si>
    <t xml:space="preserve">PDH </t>
  </si>
  <si>
    <t>PDH and Analogue Carrier Racks</t>
  </si>
  <si>
    <t>RDN CRS</t>
  </si>
  <si>
    <t>RDN Mobile MX960 PEs</t>
  </si>
  <si>
    <t>RDN PEs</t>
  </si>
  <si>
    <t xml:space="preserve">SAA Routers </t>
  </si>
  <si>
    <t>Siemens DWDM</t>
  </si>
  <si>
    <t>SMA</t>
  </si>
  <si>
    <t>SR16</t>
  </si>
  <si>
    <t>TSG3800 BITS Clocks</t>
  </si>
  <si>
    <t>Network savings</t>
  </si>
  <si>
    <t>Sum of Annual Energy Savings (KWh)</t>
  </si>
  <si>
    <t>EFS2</t>
  </si>
  <si>
    <t>EFS3</t>
  </si>
  <si>
    <t>Total Emissions (tonnes of CO2e)</t>
  </si>
  <si>
    <t>Scope 2 Emission factor</t>
  </si>
  <si>
    <t>Scope 3 Emission factor</t>
  </si>
  <si>
    <t>Sum of Annual Decomm Savings (KWh)</t>
  </si>
  <si>
    <t>FY20 CVV PSTN Equipment Depowering</t>
  </si>
  <si>
    <t>FY20 Legacy PDH Equipment Decommissioning</t>
  </si>
  <si>
    <t>FY20 PSTN and DSLAM depower</t>
  </si>
  <si>
    <t>Converged Cloud &amp; Infrastructure - RAPID</t>
  </si>
  <si>
    <t>Converged Cloud &amp; Infrastructure - Planned/reactive decommissioning</t>
  </si>
  <si>
    <t>Transport IP &amp; Edge Engineering - TID, FBB, EAN, SDH &amp; DWDM</t>
  </si>
  <si>
    <t>updated</t>
  </si>
  <si>
    <t>Source:</t>
  </si>
  <si>
    <t>Savings NET and Decomms FY16-FY19 20200715</t>
  </si>
  <si>
    <t>% change FY19-20</t>
  </si>
  <si>
    <t>Annualised emissions savings resulting from project initiatives (tCO2e/yr)</t>
  </si>
  <si>
    <t>Annualised emissions savings resulting from decommisioning initiatives (tCO2e/yr)</t>
  </si>
  <si>
    <t>calculated at national level, using National EF from NGA 2017</t>
  </si>
  <si>
    <t>Annualised energy savings resulting from energy reduction projects3</t>
  </si>
  <si>
    <t>Annualised energy savings resulting from decommissioning activites4</t>
  </si>
  <si>
    <t>Energy reduction projects check</t>
  </si>
  <si>
    <t>Decomms check</t>
  </si>
  <si>
    <t>data not available</t>
  </si>
  <si>
    <t>Total Sum of Actual+Estimated Data</t>
  </si>
  <si>
    <t>Total Sum of Accrued Data</t>
  </si>
  <si>
    <t xml:space="preserve">FY20 </t>
  </si>
  <si>
    <t>Sum of Actual Data</t>
  </si>
  <si>
    <t>Sum of Accrued Data</t>
  </si>
  <si>
    <t>Location Reference</t>
  </si>
  <si>
    <t>Item Number</t>
  </si>
  <si>
    <t>Total Sum of Actual+Accrued Data</t>
  </si>
  <si>
    <t>Total Consumption KL</t>
  </si>
  <si>
    <t>3478120_JGFJ0004</t>
  </si>
  <si>
    <t>121868431008_LC1022:1</t>
  </si>
  <si>
    <t>121161841012_LD0061:1</t>
  </si>
  <si>
    <t>121161841012_LD2513:1_CLOSED</t>
  </si>
  <si>
    <t>121868411005_LD0030</t>
  </si>
  <si>
    <t>127246151008_L24504:1**</t>
  </si>
  <si>
    <t>999924027110_LD2421:1</t>
  </si>
  <si>
    <t>999924027110_RMV*LD0300:1_CLOSED</t>
  </si>
  <si>
    <t>121868331002_LC0369:1**</t>
  </si>
  <si>
    <t>121862791110_TBC</t>
  </si>
  <si>
    <t>122091791011_LA0954:1</t>
  </si>
  <si>
    <t>121868291005_LC0099:1</t>
  </si>
  <si>
    <t>121868291005_LC0099:1**_CLOSED</t>
  </si>
  <si>
    <t>126131171004_W349569:1</t>
  </si>
  <si>
    <t>423030204100_121868391011_Historical</t>
  </si>
  <si>
    <t>121868461006_LC14911</t>
  </si>
  <si>
    <t>121090771006_LA0608:1</t>
  </si>
  <si>
    <t>121868451011_LC0373:1</t>
  </si>
  <si>
    <t>121868491004_L40108:1</t>
  </si>
  <si>
    <t>121868471001_LC0157:1</t>
  </si>
  <si>
    <t>121868481009_LA2358:1</t>
  </si>
  <si>
    <t>121868481009_LC1488:1</t>
  </si>
  <si>
    <t>121868401010_LA1379:1</t>
  </si>
  <si>
    <t>121868341010_LC1499:1</t>
  </si>
  <si>
    <t>122020111010_L46585:1</t>
  </si>
  <si>
    <t>4136094_ETFA0030</t>
  </si>
  <si>
    <t>21488_98C006181</t>
  </si>
  <si>
    <t>423030000100_18515_Historical</t>
  </si>
  <si>
    <t>107_AHCHOW</t>
  </si>
  <si>
    <t>3596833_BDNJ1347</t>
  </si>
  <si>
    <t>17164_11014413</t>
  </si>
  <si>
    <t>17164_M900866</t>
  </si>
  <si>
    <t>278742_19D000271</t>
  </si>
  <si>
    <t>278742_2474</t>
  </si>
  <si>
    <t>30078500_ANNA</t>
  </si>
  <si>
    <t>423030252900_1002607_Historical</t>
  </si>
  <si>
    <t>423030252900_1002607-15_Historical</t>
  </si>
  <si>
    <t>285635_A-03X039456</t>
  </si>
  <si>
    <t>423030317600_301436_Historical</t>
  </si>
  <si>
    <t>4728263_4728 263</t>
  </si>
  <si>
    <t>30318000_ASHFIELD</t>
  </si>
  <si>
    <t>3687799_EGCG0169</t>
  </si>
  <si>
    <t>423030086000_9501-8_Historical</t>
  </si>
  <si>
    <t>4581507_DDOH0525</t>
  </si>
  <si>
    <t>5356698_EDZJ0072</t>
  </si>
  <si>
    <t>2106727_13D001070</t>
  </si>
  <si>
    <t>5302700_CTJK0028</t>
  </si>
  <si>
    <t>172433_02X029212</t>
  </si>
  <si>
    <t>4765242_DGHD0033</t>
  </si>
  <si>
    <t>00000-27897860-000_MF57739</t>
  </si>
  <si>
    <t>10013126_BALRANALD</t>
  </si>
  <si>
    <t>423030318800_2682852_Historical</t>
  </si>
  <si>
    <t>13897_02E008455</t>
  </si>
  <si>
    <t>30319100_BK0619911</t>
  </si>
  <si>
    <t>423030091100_132580_Historical</t>
  </si>
  <si>
    <t>423030783800_10089-00000000-000_Historical</t>
  </si>
  <si>
    <t>30089300_YAF283263</t>
  </si>
  <si>
    <t>7128428005_BARRINGTON</t>
  </si>
  <si>
    <t>6073383_16W087133</t>
  </si>
  <si>
    <t>140110_900990</t>
  </si>
  <si>
    <t>30263900_ERYB0063</t>
  </si>
  <si>
    <t>423031328900_920939_Historical</t>
  </si>
  <si>
    <t>3219086_NM3219086</t>
  </si>
  <si>
    <t>40009355_40BVSC069</t>
  </si>
  <si>
    <t>10W036277</t>
  </si>
  <si>
    <t>2508300000_Z04405</t>
  </si>
  <si>
    <t>40023359_17W021764</t>
  </si>
  <si>
    <t>423030104800_01977-8_Historical</t>
  </si>
  <si>
    <t>60511001_13W040925</t>
  </si>
  <si>
    <t>423030104400_159190_Historical</t>
  </si>
  <si>
    <t>2476745_2541702</t>
  </si>
  <si>
    <t>40034910_11W111949</t>
  </si>
  <si>
    <t>106_BERREMANGRA</t>
  </si>
  <si>
    <t>2009058_M555800</t>
  </si>
  <si>
    <t>423030327100_13199-00000000-000_Historical</t>
  </si>
  <si>
    <t>6012097_17W033690</t>
  </si>
  <si>
    <t>423030324100_10105930_Historical</t>
  </si>
  <si>
    <t>20010203_20W090874</t>
  </si>
  <si>
    <t>4350843_CDQB0610</t>
  </si>
  <si>
    <t>4720434_BRZM1244</t>
  </si>
  <si>
    <t>4256617_DRXE0047</t>
  </si>
  <si>
    <t>30325600_BLAKEHURST</t>
  </si>
  <si>
    <t>4705488_CDYC0017</t>
  </si>
  <si>
    <t>114010002_7519</t>
  </si>
  <si>
    <t>423030326100_A308385_Historical</t>
  </si>
  <si>
    <t>423030326100_A308385-12_Historical</t>
  </si>
  <si>
    <t>423030326100_A308385-120_Historical</t>
  </si>
  <si>
    <t>78166_GW04913</t>
  </si>
  <si>
    <t>M100836_M100836</t>
  </si>
  <si>
    <t>25232000_22009</t>
  </si>
  <si>
    <t>00809-00000000_03W609656</t>
  </si>
  <si>
    <t>30326500_BOMBALA</t>
  </si>
  <si>
    <t>40005415_19WX000916</t>
  </si>
  <si>
    <t>4190393_EGCB0044</t>
  </si>
  <si>
    <t>7553400000_DM03906</t>
  </si>
  <si>
    <t>423030113800_21391-8_Historical</t>
  </si>
  <si>
    <t>00772-21000000-000_99W204201</t>
  </si>
  <si>
    <t>1700788_17HC00185</t>
  </si>
  <si>
    <t>21541_MF56081</t>
  </si>
  <si>
    <t>6185530_MF56081</t>
  </si>
  <si>
    <t>423030121500_204735_Historical</t>
  </si>
  <si>
    <t>423030121500_204735-1_Historical</t>
  </si>
  <si>
    <t>423030121500_6196510000_Historical</t>
  </si>
  <si>
    <t>4551560_GDZG0035</t>
  </si>
  <si>
    <t>10012060_8828</t>
  </si>
  <si>
    <t>423030333400_Historical</t>
  </si>
  <si>
    <t>4838100_BDWB3384</t>
  </si>
  <si>
    <t>423030424800_115489_Historical</t>
  </si>
  <si>
    <t>160600000000_BRUNGLE</t>
  </si>
  <si>
    <t>2013050_4046970</t>
  </si>
  <si>
    <t>7118106-00-9_R00001884</t>
  </si>
  <si>
    <t>423030126700_64279_Historical</t>
  </si>
  <si>
    <t>8077_BUNDARRA</t>
  </si>
  <si>
    <t>6173120_19B002410</t>
  </si>
  <si>
    <t>4768478_CGHH0015</t>
  </si>
  <si>
    <t>423030426600_3407939_Historical</t>
  </si>
  <si>
    <t>377101_03F004566</t>
  </si>
  <si>
    <t>423030427200_2865237_Historical</t>
  </si>
  <si>
    <t>423030136000_6006012_Historical</t>
  </si>
  <si>
    <t>423030332100_289272_Historical</t>
  </si>
  <si>
    <t>4433372_CDYC0050</t>
  </si>
  <si>
    <t>3783286_CDYL0238</t>
  </si>
  <si>
    <t>423030335200_7459215_Historical</t>
  </si>
  <si>
    <t>40037976_17W016223</t>
  </si>
  <si>
    <t>423030335400_A25949_Historical</t>
  </si>
  <si>
    <t>30138400_CAPTAINS</t>
  </si>
  <si>
    <t>6110500000_Z04921</t>
  </si>
  <si>
    <t>423030378600_A17417_Historical</t>
  </si>
  <si>
    <t>4847464_BGGB2331</t>
  </si>
  <si>
    <t>117695_75007485</t>
  </si>
  <si>
    <t>5791117_DRXE0037</t>
  </si>
  <si>
    <t>5625417_BTKA3249</t>
  </si>
  <si>
    <t>423031105300_390435_Historical</t>
  </si>
  <si>
    <t>31185200_CECIL</t>
  </si>
  <si>
    <t>4843487_BTJL0766</t>
  </si>
  <si>
    <t>4559403_BRUL1736</t>
  </si>
  <si>
    <t>2527100000_Z04349</t>
  </si>
  <si>
    <t>9645500000_ZE103265</t>
  </si>
  <si>
    <t>9645500000_ZE103285_CLOSED</t>
  </si>
  <si>
    <t>3489221_BDVB2606</t>
  </si>
  <si>
    <t>3489221_FGEG0014</t>
  </si>
  <si>
    <t>31072400_12W089130</t>
  </si>
  <si>
    <t>4722941_B0RH5661</t>
  </si>
  <si>
    <t>5272746_EJCD0020</t>
  </si>
  <si>
    <t>5312958_GDZM0042</t>
  </si>
  <si>
    <t>10871_03W652693</t>
  </si>
  <si>
    <t>423030429900_A6713_Historical</t>
  </si>
  <si>
    <t>423030336200_06121-00000-8_Historical</t>
  </si>
  <si>
    <t>40043139_BVSC11370</t>
  </si>
  <si>
    <t>423030336800_1145200_Historical</t>
  </si>
  <si>
    <t>8219552_CHX11712</t>
  </si>
  <si>
    <t>30337200_COLEAMBALLY</t>
  </si>
  <si>
    <t>30337800_12W088843</t>
  </si>
  <si>
    <t>423030151700_44428_Historical</t>
  </si>
  <si>
    <t>3975900_CDQB0563</t>
  </si>
  <si>
    <t>3831176_BRYH0894</t>
  </si>
  <si>
    <t>3859459_CRYM0107</t>
  </si>
  <si>
    <t>1001739_R13009927</t>
  </si>
  <si>
    <t>423030339600_11163_Historical</t>
  </si>
  <si>
    <t>30339800_R10014517</t>
  </si>
  <si>
    <t>4772460_CDQE0442</t>
  </si>
  <si>
    <t>423031247700_1001477_Historical</t>
  </si>
  <si>
    <t>10037794_CRH000435</t>
  </si>
  <si>
    <t>30340100_COOMA</t>
  </si>
  <si>
    <t>10051720_28653</t>
  </si>
  <si>
    <t>30342200_COONAMBLE</t>
  </si>
  <si>
    <t>7125580006_COOPERNOOK</t>
  </si>
  <si>
    <t>0467510000_GVB40884</t>
  </si>
  <si>
    <t>10036366_R07001373</t>
  </si>
  <si>
    <t>139690_3603750</t>
  </si>
  <si>
    <t>2077630_CHX13581</t>
  </si>
  <si>
    <t>423030171300_2218235_Historical</t>
  </si>
  <si>
    <t>3022779_16T003585</t>
  </si>
  <si>
    <t>4716316_CDYB0165</t>
  </si>
  <si>
    <t>2181444_05W834685</t>
  </si>
  <si>
    <t>423030341800_42625_Historical</t>
  </si>
  <si>
    <t>31336100_CRANEBR</t>
  </si>
  <si>
    <t>4590383_DGFM0031</t>
  </si>
  <si>
    <t>4993417_DDJJ0205</t>
  </si>
  <si>
    <t>A9477_O4W6684210</t>
  </si>
  <si>
    <t>30340900_CRONULLA</t>
  </si>
  <si>
    <t>4718999_CDOF1742</t>
  </si>
  <si>
    <t>1564_D190</t>
  </si>
  <si>
    <t>5542000004_6868</t>
  </si>
  <si>
    <t>6033375_01W395576</t>
  </si>
  <si>
    <t>10103687_11094156</t>
  </si>
  <si>
    <t>34649_11094156</t>
  </si>
  <si>
    <t>5746-00000-8_14W091612-1</t>
  </si>
  <si>
    <t>6236410319_18W075672</t>
  </si>
  <si>
    <t>31078100_CUTTABRI</t>
  </si>
  <si>
    <t>423030303900_002977-7_Historical</t>
  </si>
  <si>
    <t>6551717_18W014442</t>
  </si>
  <si>
    <t>30176500_MADF59535</t>
  </si>
  <si>
    <t>423030178500_22687-8_Historical</t>
  </si>
  <si>
    <t>3608127_GTEB0026</t>
  </si>
  <si>
    <t>30342500_DAVES</t>
  </si>
  <si>
    <t>4848770_CDYA0075</t>
  </si>
  <si>
    <t>423030179500_10569-05000000-000_Historical</t>
  </si>
  <si>
    <t>30345600_DENILIQUIN</t>
  </si>
  <si>
    <t>7914_16W096144</t>
  </si>
  <si>
    <t>00165-93100-00-5_07W078670</t>
  </si>
  <si>
    <t>442_07W078670</t>
  </si>
  <si>
    <t>423030181500_4667163_Historical</t>
  </si>
  <si>
    <t>4024292_EDNC0023</t>
  </si>
  <si>
    <t>TELSTRA_04HD005630</t>
  </si>
  <si>
    <t>TELSTRA_18HB00853</t>
  </si>
  <si>
    <t>1207500000_DB140347</t>
  </si>
  <si>
    <t>2462637918_R01001404</t>
  </si>
  <si>
    <t>2462637918_R01001404_CLOSED</t>
  </si>
  <si>
    <t>12284_98W087745</t>
  </si>
  <si>
    <t>3176667_DD0D0150</t>
  </si>
  <si>
    <t>4742921_BGHG4185</t>
  </si>
  <si>
    <t>423030435300_8026370470_Historical</t>
  </si>
  <si>
    <t>31136900_08B106638</t>
  </si>
  <si>
    <t>30344700_DDOH0525</t>
  </si>
  <si>
    <t>7344900000_GVB74404</t>
  </si>
  <si>
    <t>3364513_DDYB0132</t>
  </si>
  <si>
    <t>40052269_MK61518</t>
  </si>
  <si>
    <t>207703_73783698</t>
  </si>
  <si>
    <t>31078400_ELDERSLIE</t>
  </si>
  <si>
    <t>1611400_CHX12344</t>
  </si>
  <si>
    <t>5273841_EGGK0060</t>
  </si>
  <si>
    <t>5490235_DDOD0117</t>
  </si>
  <si>
    <t>4795564_DRYE0029</t>
  </si>
  <si>
    <t>2794457_13D000772</t>
  </si>
  <si>
    <t>5421579_ERXL0008</t>
  </si>
  <si>
    <t>5926_06W1006920</t>
  </si>
  <si>
    <t>423030183500_12262-00000-2_Historical</t>
  </si>
  <si>
    <t>2984200002_DUMMY114</t>
  </si>
  <si>
    <t>148390_08W105380_CLOSED</t>
  </si>
  <si>
    <t>148390_8W105380_CLOSED</t>
  </si>
  <si>
    <t>211006973_12W095870</t>
  </si>
  <si>
    <t>423030183800_157135_Historical</t>
  </si>
  <si>
    <t>423031088800_2159820_Historical</t>
  </si>
  <si>
    <t>423031088800_3207826_Historical</t>
  </si>
  <si>
    <t>4021783_DGHJ0061</t>
  </si>
  <si>
    <t>2035576_R13005031</t>
  </si>
  <si>
    <t>30180800_17E000554</t>
  </si>
  <si>
    <t>7103981-00-2_17E000554</t>
  </si>
  <si>
    <t>A10674_18W0058330</t>
  </si>
  <si>
    <t>423031087100_A16139_Historical</t>
  </si>
  <si>
    <t>3462052_CDOH0485</t>
  </si>
  <si>
    <t>3179122_BGHC0113</t>
  </si>
  <si>
    <t>103_GARANGULA</t>
  </si>
  <si>
    <t>2390_8788</t>
  </si>
  <si>
    <t>4053396_DJBL0085</t>
  </si>
  <si>
    <t>423030389500_11036-51000000-000_Historical</t>
  </si>
  <si>
    <t>0146720000000000_01W333073</t>
  </si>
  <si>
    <t>4352649_DRYF0044</t>
  </si>
  <si>
    <t>423030190600_11078-40110000-000_Historical</t>
  </si>
  <si>
    <t>30929_12610054RW</t>
  </si>
  <si>
    <t>423030349200_1529055_Historical</t>
  </si>
  <si>
    <t>423030349200_6629_Historical</t>
  </si>
  <si>
    <t>3159940_BDTG1404</t>
  </si>
  <si>
    <t>2175966_CVE03069</t>
  </si>
  <si>
    <t>7127715-00-6_06W975489</t>
  </si>
  <si>
    <t>30192900_SAFJ045409</t>
  </si>
  <si>
    <t>423030194500_107805_Historical</t>
  </si>
  <si>
    <t>408_10W000380</t>
  </si>
  <si>
    <t>4019_03W652737</t>
  </si>
  <si>
    <t>02600849_270000370</t>
  </si>
  <si>
    <t>2600849_270000370</t>
  </si>
  <si>
    <t>2864238_15E000690</t>
  </si>
  <si>
    <t>20056636_19X003116</t>
  </si>
  <si>
    <t>2035012_07X065850</t>
  </si>
  <si>
    <t>423030350800_10201408_Historical</t>
  </si>
  <si>
    <t>423030350800_455375_Historical</t>
  </si>
  <si>
    <t>4780873_DDQK0126</t>
  </si>
  <si>
    <t>423030200800_10004844_Historical</t>
  </si>
  <si>
    <t>6016900_12W062087</t>
  </si>
  <si>
    <t>1431000007_99C009010</t>
  </si>
  <si>
    <t>30352200_GRIFFITH</t>
  </si>
  <si>
    <t>800854_12F000427</t>
  </si>
  <si>
    <t>3327719_CGGG0013</t>
  </si>
  <si>
    <t>423030243300_4869_Historical</t>
  </si>
  <si>
    <t>423030243300_4869-3_Historical</t>
  </si>
  <si>
    <t>11020401_44111M</t>
  </si>
  <si>
    <t>423031412500_2584890_Historical</t>
  </si>
  <si>
    <t>423031412500_584890_Historical</t>
  </si>
  <si>
    <t>13263763_05E015737</t>
  </si>
  <si>
    <t>30353000_GUNNEDAH</t>
  </si>
  <si>
    <t>30235700_3195</t>
  </si>
  <si>
    <t>33639_G-20W007439</t>
  </si>
  <si>
    <t>4750190-00-3_14W086261</t>
  </si>
  <si>
    <t>9007553274_BC0314494</t>
  </si>
  <si>
    <t>2084110000_AM00222</t>
  </si>
  <si>
    <t>423030354400_14052_Historical</t>
  </si>
  <si>
    <t>3440014_ED0H1495</t>
  </si>
  <si>
    <t>3440014_EDOH1495</t>
  </si>
  <si>
    <t>423030663900_5192.4_Historical</t>
  </si>
  <si>
    <t>423031088100_119594_Historical</t>
  </si>
  <si>
    <t>28525_03W531251</t>
  </si>
  <si>
    <t>423030211900_70350459_Historical</t>
  </si>
  <si>
    <t>A8398_14W0509640</t>
  </si>
  <si>
    <t>30356000_HAY</t>
  </si>
  <si>
    <t>5016328_MF58188</t>
  </si>
  <si>
    <t>5630599_HGGJ0009</t>
  </si>
  <si>
    <t>4359295_BTDG0528</t>
  </si>
  <si>
    <t>30353600_BA001694</t>
  </si>
  <si>
    <t>5710469_DGCG0012</t>
  </si>
  <si>
    <t>423031312100_10123958_Historical</t>
  </si>
  <si>
    <t>423031312100_34824_Historical</t>
  </si>
  <si>
    <t>3193463_PSM12995</t>
  </si>
  <si>
    <t>8149569_HILL</t>
  </si>
  <si>
    <t>30477300_HILLSTON</t>
  </si>
  <si>
    <t>423030220200_5436510000_Historical</t>
  </si>
  <si>
    <t>423030355000_10059483_Historical</t>
  </si>
  <si>
    <t>423030355000_34689_Historical</t>
  </si>
  <si>
    <t>4730687_DDQF0109</t>
  </si>
  <si>
    <t>30355500_BD9895120</t>
  </si>
  <si>
    <t>5083439_ED0J0043</t>
  </si>
  <si>
    <t>3173919_CDYH0390</t>
  </si>
  <si>
    <t>423031162100_606022_Historical</t>
  </si>
  <si>
    <t>31076600_HOXTON</t>
  </si>
  <si>
    <t>4797572_BGJM2664</t>
  </si>
  <si>
    <t>423030220900_45416_Historical</t>
  </si>
  <si>
    <t>3190075_CRYG0320</t>
  </si>
  <si>
    <t>3835038_CGEH0040</t>
  </si>
  <si>
    <t>423030220700_111202_Historical</t>
  </si>
  <si>
    <t>31122400_INGELARA</t>
  </si>
  <si>
    <t>4418241_DDOK0074</t>
  </si>
  <si>
    <t>107017-6_F321</t>
  </si>
  <si>
    <t>423030444500_126990_Historical</t>
  </si>
  <si>
    <t>423030221300_3496717_Historical</t>
  </si>
  <si>
    <t>2020170_18W032052</t>
  </si>
  <si>
    <t>40548299_1BW032052</t>
  </si>
  <si>
    <t>128_JUGIONG</t>
  </si>
  <si>
    <t>30360400_16W016775</t>
  </si>
  <si>
    <t>15430_19V24979T</t>
  </si>
  <si>
    <t>30392400_KANGAROO</t>
  </si>
  <si>
    <t>423030221900_2140734_Historical</t>
  </si>
  <si>
    <t>423030392500_1403000000_Historical</t>
  </si>
  <si>
    <t>4827873_BDWH1076</t>
  </si>
  <si>
    <t>30058700_CDPG0025</t>
  </si>
  <si>
    <t>423030359700_111546_Historical</t>
  </si>
  <si>
    <t>4283782_CDPG0025</t>
  </si>
  <si>
    <t>423030359900_4559404_Historical</t>
  </si>
  <si>
    <t>30361000_KENSINGTON</t>
  </si>
  <si>
    <t>4129059_CRZD0176</t>
  </si>
  <si>
    <t>3119390_BGHG3618</t>
  </si>
  <si>
    <t>423030222500_4725659_Historical</t>
  </si>
  <si>
    <t>10018356_KHANCOB</t>
  </si>
  <si>
    <t>10020196_R00017552</t>
  </si>
  <si>
    <t>3220531_EDOG0355</t>
  </si>
  <si>
    <t>30361800_BCH133913</t>
  </si>
  <si>
    <t>3916628_EDYM0033</t>
  </si>
  <si>
    <t>154_KINGSVALE</t>
  </si>
  <si>
    <t>5903_25060064RW</t>
  </si>
  <si>
    <t>30393400_KUNGHUR</t>
  </si>
  <si>
    <t>30362500_8SEN0130219175</t>
  </si>
  <si>
    <t>3936257_BGHF1918</t>
  </si>
  <si>
    <t>4455726_BDSD0995</t>
  </si>
  <si>
    <t>423030233000_13042_Historical</t>
  </si>
  <si>
    <t>4794200000_DM03303</t>
  </si>
  <si>
    <t>10026181_08W077280</t>
  </si>
  <si>
    <t>423030231700_26631_Historical</t>
  </si>
  <si>
    <t>40865_145714</t>
  </si>
  <si>
    <t>3816612_CDYH0009</t>
  </si>
  <si>
    <t>3816612_GDYH0009_CLOSED</t>
  </si>
  <si>
    <t>423030232100_4703021_Historical</t>
  </si>
  <si>
    <t>30271700_BRUL1736</t>
  </si>
  <si>
    <t>4723838_BRYB1406</t>
  </si>
  <si>
    <t>423030393700_28829.4_Historical</t>
  </si>
  <si>
    <t>3131059_PSM13111</t>
  </si>
  <si>
    <t>23894_14X000208</t>
  </si>
  <si>
    <t>4366304_BGJD0866</t>
  </si>
  <si>
    <t>6039921_DNRS13</t>
  </si>
  <si>
    <t>4389904_ERXG0093</t>
  </si>
  <si>
    <t>1ATaylorSt_CRXM1320</t>
  </si>
  <si>
    <t>5420345_FGJL0054</t>
  </si>
  <si>
    <t>423030233700_4369753_Historical</t>
  </si>
  <si>
    <t>5364452_CRVL0145</t>
  </si>
  <si>
    <t>6813_17H760544</t>
  </si>
  <si>
    <t>42610_MN04480</t>
  </si>
  <si>
    <t>8041501_MN04480</t>
  </si>
  <si>
    <t>5328835_CRYC0001</t>
  </si>
  <si>
    <t>4636402_DDQH0143</t>
  </si>
  <si>
    <t>4636704_BRUB3289</t>
  </si>
  <si>
    <t>31091_A54425/32</t>
  </si>
  <si>
    <t>2420909_5048401</t>
  </si>
  <si>
    <t>423030241600_282772_Historical</t>
  </si>
  <si>
    <t>31306600_LUCAS</t>
  </si>
  <si>
    <t>423030235100_4768404_Historical</t>
  </si>
  <si>
    <t>11137467_08X002367</t>
  </si>
  <si>
    <t>2103315_R0254</t>
  </si>
  <si>
    <t>2103315_RE0687</t>
  </si>
  <si>
    <t>30276500_ZDOC0064</t>
  </si>
  <si>
    <t>423030235400_601807_Historical</t>
  </si>
  <si>
    <t>423030236000_10050199_Historical</t>
  </si>
  <si>
    <t>16W062303_16W062303</t>
  </si>
  <si>
    <t>30237600_BZA014971</t>
  </si>
  <si>
    <t>5722551_ED0L0249</t>
  </si>
  <si>
    <t>2014025_220003725</t>
  </si>
  <si>
    <t>30275800_MAROUBRA</t>
  </si>
  <si>
    <t>4128496_CTJL0007</t>
  </si>
  <si>
    <t>423030724800_100375-1_Historical</t>
  </si>
  <si>
    <t>423030724800_100375-2_Historical</t>
  </si>
  <si>
    <t>20216206_MARULAN</t>
  </si>
  <si>
    <t>30278400_CRZD0176</t>
  </si>
  <si>
    <t>5585377_CEGH0146</t>
  </si>
  <si>
    <t>108_MCMAHONS</t>
  </si>
  <si>
    <t>423030239600_7736510000_Historical</t>
  </si>
  <si>
    <t>30279100_6859</t>
  </si>
  <si>
    <t>5535645_CRZC0288</t>
  </si>
  <si>
    <t>423030240100_10017002_Historical</t>
  </si>
  <si>
    <t>30535800_15W024472</t>
  </si>
  <si>
    <t>40075762_15W024472</t>
  </si>
  <si>
    <t>30380700_MEROO</t>
  </si>
  <si>
    <t>4555081_CRXM0399</t>
  </si>
  <si>
    <t>4420263_ED0G1078</t>
  </si>
  <si>
    <t>4420263_EDOG1078</t>
  </si>
  <si>
    <t>3963405_CRYK0005</t>
  </si>
  <si>
    <t>3963405_CTDK0050</t>
  </si>
  <si>
    <t>1810210_R140021</t>
  </si>
  <si>
    <t>11222563_11997</t>
  </si>
  <si>
    <t>11222563_19V53202T</t>
  </si>
  <si>
    <t>3984-01000-3_09W052563</t>
  </si>
  <si>
    <t>30282000_MONA</t>
  </si>
  <si>
    <t>3445174_BTDJ0243</t>
  </si>
  <si>
    <t>30317000_16W073325</t>
  </si>
  <si>
    <t>30332000_M634736</t>
  </si>
  <si>
    <t>423030241500_2418622_Historical</t>
  </si>
  <si>
    <t>30280700_12W039298</t>
  </si>
  <si>
    <t>423030281000_9067800000_Historical</t>
  </si>
  <si>
    <t>30111400_MK65067</t>
  </si>
  <si>
    <t>MK65067_MK65067</t>
  </si>
  <si>
    <t>30281300_MOSMAN</t>
  </si>
  <si>
    <t>4739343_DDQB0575</t>
  </si>
  <si>
    <t>47700_10W066194</t>
  </si>
  <si>
    <t>17W040316_17W040316</t>
  </si>
  <si>
    <t>6051082_17W040316</t>
  </si>
  <si>
    <t>31113600_MOULAMEIN</t>
  </si>
  <si>
    <t>423030283800_10009-20100000-000_Historical</t>
  </si>
  <si>
    <t>423030283900_2626193_Historical</t>
  </si>
  <si>
    <t>9069600000_Z05297</t>
  </si>
  <si>
    <t>3173520_DDZC0211</t>
  </si>
  <si>
    <t>423030282800_217389_Historical</t>
  </si>
  <si>
    <t>4371956_BGHH1628</t>
  </si>
  <si>
    <t>9305_RM10098</t>
  </si>
  <si>
    <t>30241900_MULLALEY</t>
  </si>
  <si>
    <t>319806_13W048024</t>
  </si>
  <si>
    <t>62523_15W050028</t>
  </si>
  <si>
    <t>10036366_R01005744</t>
  </si>
  <si>
    <t>64857_R010785</t>
  </si>
  <si>
    <t>6712290425_09W100815</t>
  </si>
  <si>
    <t>11157475_08E000759</t>
  </si>
  <si>
    <t>2219089_99D002313</t>
  </si>
  <si>
    <t>5409208_EDYE0116</t>
  </si>
  <si>
    <t>3465215_DDOD0188</t>
  </si>
  <si>
    <t>30286300_NARRANDERA</t>
  </si>
  <si>
    <t>7027000000_DB111821</t>
  </si>
  <si>
    <t>21317003_1898</t>
  </si>
  <si>
    <t>30243900_ZEB177150</t>
  </si>
  <si>
    <t>8769910000_DB187558</t>
  </si>
  <si>
    <t>30287700_BC1415450</t>
  </si>
  <si>
    <t>5350461_ETEL0018</t>
  </si>
  <si>
    <t>15471_99W205168</t>
  </si>
  <si>
    <t>5799600000_ZE02665_CLOSED</t>
  </si>
  <si>
    <t>5799600000_ZE02665X</t>
  </si>
  <si>
    <t>423030291500_50048149_Historical</t>
  </si>
  <si>
    <t>4857726_DRYK0101</t>
  </si>
  <si>
    <t>30034300_BGHF4645</t>
  </si>
  <si>
    <t>3376754_BGHF4645</t>
  </si>
  <si>
    <t>423030288000_173153_Historical</t>
  </si>
  <si>
    <t>5320891_GDQL0009</t>
  </si>
  <si>
    <t>5320891_W30910006</t>
  </si>
  <si>
    <t>30288500_NORTHBRIDGE</t>
  </si>
  <si>
    <t>3474346_BRVJ1871</t>
  </si>
  <si>
    <t>30288400_M10808207</t>
  </si>
  <si>
    <t>6049895_09M169991</t>
  </si>
  <si>
    <t>423030401800_2134010_Historical</t>
  </si>
  <si>
    <t>31097900_12AF001214</t>
  </si>
  <si>
    <t>1008731_MX30537</t>
  </si>
  <si>
    <t>423030246200_4656518_Historical</t>
  </si>
  <si>
    <t>423030246300_3111309_Historical</t>
  </si>
  <si>
    <t>423030246300_36325_Historical</t>
  </si>
  <si>
    <t>30290000_10E002000</t>
  </si>
  <si>
    <t>619205_16W022396</t>
  </si>
  <si>
    <t>5354660-12-7_17W012513</t>
  </si>
  <si>
    <t>30305800_BK0277579</t>
  </si>
  <si>
    <t>8678_02HB05471</t>
  </si>
  <si>
    <t>412497009_16636</t>
  </si>
  <si>
    <t>423030247000_45421_Historical</t>
  </si>
  <si>
    <t>3097383_2043303</t>
  </si>
  <si>
    <t>3440474_EDTB0131</t>
  </si>
  <si>
    <t>3440474_EGCB0121</t>
  </si>
  <si>
    <t>30247200_OXLEY</t>
  </si>
  <si>
    <t>5178810_GTGC0005</t>
  </si>
  <si>
    <t>30247300_BC0515145</t>
  </si>
  <si>
    <t>4853509_DDOH1252</t>
  </si>
  <si>
    <t>40100779_10W054839</t>
  </si>
  <si>
    <t>133400_12082</t>
  </si>
  <si>
    <t>30290900_PARRAMATTA</t>
  </si>
  <si>
    <t>3336707_BGFE3328</t>
  </si>
  <si>
    <t>423030247500_13532_Historical</t>
  </si>
  <si>
    <t>423030247500_2358877907_Historical</t>
  </si>
  <si>
    <t>423030247600_2425276_Historical</t>
  </si>
  <si>
    <t>3247200000_DB146157</t>
  </si>
  <si>
    <t>3833235_BDRK1451</t>
  </si>
  <si>
    <t>3833235_BTEC0412_CLOSED</t>
  </si>
  <si>
    <t>3175 291</t>
  </si>
  <si>
    <t>4609242_CTGH0069</t>
  </si>
  <si>
    <t>31119700_PERISHER</t>
  </si>
  <si>
    <t>410430_R03002697</t>
  </si>
  <si>
    <t>30291800_22430</t>
  </si>
  <si>
    <t>4059989_EDNK0012</t>
  </si>
  <si>
    <t>4073962_DDZB0094</t>
  </si>
  <si>
    <t>4157127_JGGL0003</t>
  </si>
  <si>
    <t>30251800_PITT</t>
  </si>
  <si>
    <t>5899_19783</t>
  </si>
  <si>
    <t>30293600_PORT</t>
  </si>
  <si>
    <t>3117306_HAST0002</t>
  </si>
  <si>
    <t>423031096100_66640-1_Historical</t>
  </si>
  <si>
    <t>423031096100_66640-2_Historical</t>
  </si>
  <si>
    <t>31094800_DDGL0002</t>
  </si>
  <si>
    <t>4903405_DDGL0002</t>
  </si>
  <si>
    <t>423030684600_158488_Historical</t>
  </si>
  <si>
    <t>3812444_BDWB0851</t>
  </si>
  <si>
    <t>4801603_DDQE0333</t>
  </si>
  <si>
    <t>4801603_DDQEO333</t>
  </si>
  <si>
    <t>40168840_11W097532</t>
  </si>
  <si>
    <t>5573226_CDQL0211</t>
  </si>
  <si>
    <t>1608488_12070015</t>
  </si>
  <si>
    <t>6067900_12070015</t>
  </si>
  <si>
    <t>423030295000_1395_Historical</t>
  </si>
  <si>
    <t>423031205200_348606_Historical</t>
  </si>
  <si>
    <t>4456_08W016866</t>
  </si>
  <si>
    <t>5615496_BGKJ0922</t>
  </si>
  <si>
    <t>423030250100_37493_Historical</t>
  </si>
  <si>
    <t>423030295600_146343_Historical</t>
  </si>
  <si>
    <t>423030295600_5493700_Historical</t>
  </si>
  <si>
    <t>423030251000_11438-00100000-000_Historical</t>
  </si>
  <si>
    <t>5557585_EDOG0035</t>
  </si>
  <si>
    <t>4617571_CDXL0112</t>
  </si>
  <si>
    <t>3723141_CRZK0229</t>
  </si>
  <si>
    <t>5589149_CDOE0248</t>
  </si>
  <si>
    <t>423030251700_1686900_Historical</t>
  </si>
  <si>
    <t>3904066_DD0A0252</t>
  </si>
  <si>
    <t>3904066_DDOA0252</t>
  </si>
  <si>
    <t>423030297400_160081_Historical</t>
  </si>
  <si>
    <t>4292847_DDQG0103</t>
  </si>
  <si>
    <t>423030298000_245202_Historical</t>
  </si>
  <si>
    <t>423030298200_12240-20100000-000_Historical</t>
  </si>
  <si>
    <t>30297700_RUTHERFORD</t>
  </si>
  <si>
    <t>4776900000_GVB17330</t>
  </si>
  <si>
    <t>423030297900_10022069_Historical</t>
  </si>
  <si>
    <t>3352675_DDQH0107</t>
  </si>
  <si>
    <t>30880100_BGEG0916</t>
  </si>
  <si>
    <t>4797445_BGEG0916</t>
  </si>
  <si>
    <t>16329_98C002924</t>
  </si>
  <si>
    <t>6038987_M99227</t>
  </si>
  <si>
    <t>2150170_06x057088</t>
  </si>
  <si>
    <t>423030299000_8236788_Historical</t>
  </si>
  <si>
    <t>475200_04E015207</t>
  </si>
  <si>
    <t>32879_14F000457</t>
  </si>
  <si>
    <t>11199100_SCOTTS</t>
  </si>
  <si>
    <t>423030254400_4417510000_Historical</t>
  </si>
  <si>
    <t>2188753_CVW00854</t>
  </si>
  <si>
    <t>3717224_DDQJ0446</t>
  </si>
  <si>
    <t>423030299800_891570_Historical</t>
  </si>
  <si>
    <t>5578268_DDQE0179</t>
  </si>
  <si>
    <t>5578268_DGHA0005</t>
  </si>
  <si>
    <t>5035322_CRWK0102</t>
  </si>
  <si>
    <t>5035322_CRWKO1O2</t>
  </si>
  <si>
    <t>60371273_11W059891</t>
  </si>
  <si>
    <t>30300000_12008864</t>
  </si>
  <si>
    <t>23457_14X000261</t>
  </si>
  <si>
    <t>423030402400_69732_Historical</t>
  </si>
  <si>
    <t>7115832003_SMITHS</t>
  </si>
  <si>
    <t>423030254200_1023100000_Historical</t>
  </si>
  <si>
    <t>2054831_RW0064</t>
  </si>
  <si>
    <t>5420258_BTFH0245</t>
  </si>
  <si>
    <t>A5135_11W1112290</t>
  </si>
  <si>
    <t>12870_06W996871</t>
  </si>
  <si>
    <t>30255800_SPRING</t>
  </si>
  <si>
    <t>4374847_CDYA0113</t>
  </si>
  <si>
    <t>4792402_BDTG1858</t>
  </si>
  <si>
    <t>30300900_ST</t>
  </si>
  <si>
    <t>3241886_DGHB0087</t>
  </si>
  <si>
    <t>4628488_CDQH0472</t>
  </si>
  <si>
    <t>2569110000_ZEB177150</t>
  </si>
  <si>
    <t>423030302500_60244_Historical</t>
  </si>
  <si>
    <t>30255900_BC0727266</t>
  </si>
  <si>
    <t>423030256400_151650_Historical</t>
  </si>
  <si>
    <t>31451400_1730640</t>
  </si>
  <si>
    <t>7100073001_07W117547</t>
  </si>
  <si>
    <t>423030256700_A11498_Historical</t>
  </si>
  <si>
    <t>30257300_K31001549</t>
  </si>
  <si>
    <t>6044717_14W110393</t>
  </si>
  <si>
    <t>3930550_DDOH1022</t>
  </si>
  <si>
    <t>4392700000_GVB64678</t>
  </si>
  <si>
    <t>30304700_YDF005399</t>
  </si>
  <si>
    <t>4677238_EDOG0393_CLOSED</t>
  </si>
  <si>
    <t>4668242_BDXB1099</t>
  </si>
  <si>
    <t>271109100000_TALBINGO</t>
  </si>
  <si>
    <t>423031305600_3254464_Historical</t>
  </si>
  <si>
    <t>423031305600_4705217_Historical</t>
  </si>
  <si>
    <t>30504100_DDYB0132</t>
  </si>
  <si>
    <t>30311800_TAMWORTH</t>
  </si>
  <si>
    <t>423030257500_5001_Historical</t>
  </si>
  <si>
    <t>0000638-10-6_04X041517</t>
  </si>
  <si>
    <t>263010000_Z04084</t>
  </si>
  <si>
    <t>40229971_11W142017</t>
  </si>
  <si>
    <t>7106760-00-7_06W990612</t>
  </si>
  <si>
    <t>44015411_GW10992</t>
  </si>
  <si>
    <t>70414_GW10992</t>
  </si>
  <si>
    <t>423030312400_2384_Historical</t>
  </si>
  <si>
    <t>423030312400_2384-1_Historical</t>
  </si>
  <si>
    <t>423030312400_2384-2_Historical</t>
  </si>
  <si>
    <t>423030312400_44016559_Historical</t>
  </si>
  <si>
    <t>30196400_TENNYSON</t>
  </si>
  <si>
    <t>423030258200_02398-6_Historical</t>
  </si>
  <si>
    <t>30184000_05W875926</t>
  </si>
  <si>
    <t>30312800_TENTERFIELD</t>
  </si>
  <si>
    <t>5245913_DRYE0012</t>
  </si>
  <si>
    <t>2774479_13X002405</t>
  </si>
  <si>
    <t>423031194100_21804-0_Historical</t>
  </si>
  <si>
    <t>12686_01W312853</t>
  </si>
  <si>
    <t>423030258300_4656708</t>
  </si>
  <si>
    <t>30315800_THIRROUL</t>
  </si>
  <si>
    <t>3639 973</t>
  </si>
  <si>
    <t>3639973_BTFB1265_CLOSED</t>
  </si>
  <si>
    <t>2154820_11193063CH</t>
  </si>
  <si>
    <t>1977310000_ZEB00209</t>
  </si>
  <si>
    <t>423030259000_114481-5_Historical</t>
  </si>
  <si>
    <t>5816280126_10W104232</t>
  </si>
  <si>
    <t>423030702300_12200-00000000-000_Historical</t>
  </si>
  <si>
    <t>30259100_AT006316</t>
  </si>
  <si>
    <t>30406500_TOMERONG</t>
  </si>
  <si>
    <t>11145444_TOMINGLEY</t>
  </si>
  <si>
    <t>3765700000_ZE102442</t>
  </si>
  <si>
    <t>1025131_498555</t>
  </si>
  <si>
    <t>2494060_4046567</t>
  </si>
  <si>
    <t>200082_TRALEE</t>
  </si>
  <si>
    <t>111225593_97026661</t>
  </si>
  <si>
    <t>10004950_539372</t>
  </si>
  <si>
    <t>03999-00000000-000_13E002532</t>
  </si>
  <si>
    <t>399900000000_122872</t>
  </si>
  <si>
    <t>40136584_11W043406</t>
  </si>
  <si>
    <t>18W014623_M100841</t>
  </si>
  <si>
    <t>6390366_18W014623</t>
  </si>
  <si>
    <t>30324900_TWEED</t>
  </si>
  <si>
    <t>5848_99HB02008</t>
  </si>
  <si>
    <t>23042_01W337003</t>
  </si>
  <si>
    <t>30718700_TWEED</t>
  </si>
  <si>
    <t>31295700_SBFA004553</t>
  </si>
  <si>
    <t>30303800_ULLADULLA</t>
  </si>
  <si>
    <t>6034938_10X002606</t>
  </si>
  <si>
    <t>30304000_UNANDERRA</t>
  </si>
  <si>
    <t>3655044_DGKA0012</t>
  </si>
  <si>
    <t>30305500_UNDERCLIFFE</t>
  </si>
  <si>
    <t>10235_R05014796</t>
  </si>
  <si>
    <t>10235_R05014796_CLOSED</t>
  </si>
  <si>
    <t>423031091500_3104650_Historical</t>
  </si>
  <si>
    <t>423031091500_34857_Historical</t>
  </si>
  <si>
    <t>31091400_875711</t>
  </si>
  <si>
    <t>423030408500_00354-44140-00-0_Historical</t>
  </si>
  <si>
    <t>423030408500_A7833_Historical</t>
  </si>
  <si>
    <t>4213717_DDOF1151</t>
  </si>
  <si>
    <t>30834_11070151RW</t>
  </si>
  <si>
    <t>5905_11070151RW</t>
  </si>
  <si>
    <t>30798_12620018RW</t>
  </si>
  <si>
    <t>30798_19783_CLOSED</t>
  </si>
  <si>
    <t>423030305700_2083550_Historical</t>
  </si>
  <si>
    <t>2018822_13W027177</t>
  </si>
  <si>
    <t>3201148_ERYC0032</t>
  </si>
  <si>
    <t>422_16W071265</t>
  </si>
  <si>
    <t>30307000_WALGETT</t>
  </si>
  <si>
    <t>3343_2141_CLOSED</t>
  </si>
  <si>
    <t>3343_76_CLOSED</t>
  </si>
  <si>
    <t>423031027700_10114247_Historical</t>
  </si>
  <si>
    <t>423031027700_41600_Historical</t>
  </si>
  <si>
    <t>423030262500_Historical</t>
  </si>
  <si>
    <t>8065252_3427</t>
  </si>
  <si>
    <t>5662110000_Z04683</t>
  </si>
  <si>
    <t>423030262300_02400-0_Historical</t>
  </si>
  <si>
    <t>844400000_ZE103377</t>
  </si>
  <si>
    <t>230469_02W431653</t>
  </si>
  <si>
    <t>423030411100_345446_Historical</t>
  </si>
  <si>
    <t>423030307600_10013605_Historical</t>
  </si>
  <si>
    <t>30307700_B413484</t>
  </si>
  <si>
    <t>3598268_CDNF0092</t>
  </si>
  <si>
    <t>4659449_CDML0094</t>
  </si>
  <si>
    <t>110252_R12001928</t>
  </si>
  <si>
    <t>423030264200_4376651_Historical</t>
  </si>
  <si>
    <t>3155074_K78742</t>
  </si>
  <si>
    <t>30310800_M607824</t>
  </si>
  <si>
    <t>4171455_BGKB3394</t>
  </si>
  <si>
    <t>30309800_WAVERLEY</t>
  </si>
  <si>
    <t>4170462_EDOJ1218</t>
  </si>
  <si>
    <t>423030460100_12287-10000000-000_Historical</t>
  </si>
  <si>
    <t>2010990_M56156</t>
  </si>
  <si>
    <t>423030734200_01219-00000000-000_Historical</t>
  </si>
  <si>
    <t>4378003_BDVK3580</t>
  </si>
  <si>
    <t>30410700_WEROMBI</t>
  </si>
  <si>
    <t>70426_LPSC3315</t>
  </si>
  <si>
    <t>30312000_MBSR000325</t>
  </si>
  <si>
    <t>9062800000_DM03250</t>
  </si>
  <si>
    <t>30265000_R010785</t>
  </si>
  <si>
    <t>30315500_12W148298</t>
  </si>
  <si>
    <t>30690000_FK0600515</t>
  </si>
  <si>
    <t>4737226_CDQH0919</t>
  </si>
  <si>
    <t>423030267100_15383_Historical</t>
  </si>
  <si>
    <t>423030267100_4453015_Historical</t>
  </si>
  <si>
    <t>32512_11105277RW</t>
  </si>
  <si>
    <t>30320100_17B007466</t>
  </si>
  <si>
    <t>3474135_BDPG0924</t>
  </si>
  <si>
    <t>30320300_MF59638</t>
  </si>
  <si>
    <t>30320400_SDMA000407</t>
  </si>
  <si>
    <t>30601900_EDOL0249</t>
  </si>
  <si>
    <t>4654210-12-1_04X041532</t>
  </si>
  <si>
    <t>4382767_FGJL0060</t>
  </si>
  <si>
    <t>31114500_Z04852</t>
  </si>
  <si>
    <t>9667210000_Z04852</t>
  </si>
  <si>
    <t>5137344_ETFK0021</t>
  </si>
  <si>
    <t>423030269300_1111799_Historical</t>
  </si>
  <si>
    <t>151230_09W114966</t>
  </si>
  <si>
    <t>10007835_575119</t>
  </si>
  <si>
    <t>1899300_03E011368</t>
  </si>
  <si>
    <t>423030269800_14191_Historical</t>
  </si>
  <si>
    <t>2350356_13D000994</t>
  </si>
  <si>
    <t>2350356_99D002287</t>
  </si>
  <si>
    <t>30939200_13D000994</t>
  </si>
  <si>
    <t>423031094700_16903_Historical</t>
  </si>
  <si>
    <t>2117620_5048088</t>
  </si>
  <si>
    <t>2129161_CVE02295</t>
  </si>
  <si>
    <t>423030265100_116788_Historical</t>
  </si>
  <si>
    <t>6040210_DNRS42</t>
  </si>
  <si>
    <t>31575_10C006718</t>
  </si>
  <si>
    <t>423030268500_02351-10000000-000_Historical</t>
  </si>
  <si>
    <t>8299794_YERRINBOOL</t>
  </si>
  <si>
    <t>62127535_12W033002</t>
  </si>
  <si>
    <t>202860713_17VC00465</t>
  </si>
  <si>
    <t>120287_17IW05608</t>
  </si>
  <si>
    <t>203015210_12E002311</t>
  </si>
  <si>
    <t>203015210_14724139_CLOSED</t>
  </si>
  <si>
    <t>205352110_11E001953</t>
  </si>
  <si>
    <t>203146910_04HD0557105F005977_CLOSED</t>
  </si>
  <si>
    <t>203146910_16H000111_CLOSED</t>
  </si>
  <si>
    <t>2012785912_14W068688</t>
  </si>
  <si>
    <t>423031048800_Historical</t>
  </si>
  <si>
    <t>423030526300_Historical</t>
  </si>
  <si>
    <t>800682_14-505113487</t>
  </si>
  <si>
    <t>205356910_14X007884</t>
  </si>
  <si>
    <t>423030527900_Historical</t>
  </si>
  <si>
    <t>2013681110_09C002597</t>
  </si>
  <si>
    <t>423030704400_Historical</t>
  </si>
  <si>
    <t>423031035900_A1_Historical</t>
  </si>
  <si>
    <t>423031035900_A1-2_Historical</t>
  </si>
  <si>
    <t>423031035900_Historical</t>
  </si>
  <si>
    <t>202652811_16V009387</t>
  </si>
  <si>
    <t>423030576500_Historical</t>
  </si>
  <si>
    <t>203656810_16V006878</t>
  </si>
  <si>
    <t>202938710_15X005772</t>
  </si>
  <si>
    <t>202085910_17IW00841</t>
  </si>
  <si>
    <t>2013714610_09B057842</t>
  </si>
  <si>
    <t>101001604300000_CBP00953</t>
  </si>
  <si>
    <t>30000900_AGNES</t>
  </si>
  <si>
    <t>1102190_MC5146</t>
  </si>
  <si>
    <t>1066771_12F000491</t>
  </si>
  <si>
    <t>101024346300005_BBD03831</t>
  </si>
  <si>
    <t>30002000_DB01668</t>
  </si>
  <si>
    <t>356090_11X006021</t>
  </si>
  <si>
    <t>39205_20W026935</t>
  </si>
  <si>
    <t>423030003500_30090-10000-000_Historical</t>
  </si>
  <si>
    <t>423030003400_30096-00000-000_Historical</t>
  </si>
  <si>
    <t>10499911_ADB1536181</t>
  </si>
  <si>
    <t>24_FEB1800010</t>
  </si>
  <si>
    <t>4301456_20W047521</t>
  </si>
  <si>
    <t>423030030600_10167-50000-000_Historical</t>
  </si>
  <si>
    <t>10601454_10W078808</t>
  </si>
  <si>
    <t>810731810_10HB00803</t>
  </si>
  <si>
    <t>10236126_ADB1907759</t>
  </si>
  <si>
    <t>810277277_09HB18585</t>
  </si>
  <si>
    <t>10328397_BBD00628</t>
  </si>
  <si>
    <t>423030006000_29273_Historical</t>
  </si>
  <si>
    <t>24011_13002310</t>
  </si>
  <si>
    <t>8150000000_29631</t>
  </si>
  <si>
    <t>30006600_M815656W</t>
  </si>
  <si>
    <t>134928_19V018869</t>
  </si>
  <si>
    <t>6206_07W143777</t>
  </si>
  <si>
    <t>433425_98034643</t>
  </si>
  <si>
    <t>101006175500003_DBA02586</t>
  </si>
  <si>
    <t>13047303_19W046736</t>
  </si>
  <si>
    <t>1013478_UE1807699W</t>
  </si>
  <si>
    <t>423030011300_20228-10000-000_Historical</t>
  </si>
  <si>
    <t>518930_ASO90276</t>
  </si>
  <si>
    <t>101060294900008_98063596</t>
  </si>
  <si>
    <t>101060294900008_ABG28855</t>
  </si>
  <si>
    <t>223717_960219</t>
  </si>
  <si>
    <t>181588_02B487863</t>
  </si>
  <si>
    <t>181588_TBC</t>
  </si>
  <si>
    <t>43474_11W007013</t>
  </si>
  <si>
    <t>101764_W726852</t>
  </si>
  <si>
    <t>240838_R08033411</t>
  </si>
  <si>
    <t>423030169700_113135-6_Historical</t>
  </si>
  <si>
    <t>13066352_14E001615</t>
  </si>
  <si>
    <t>423030020900_15588-00000-000_Historical</t>
  </si>
  <si>
    <t>A150_Diamantina</t>
  </si>
  <si>
    <t>1060600000000_BLACKALL</t>
  </si>
  <si>
    <t>112260_05W824607</t>
  </si>
  <si>
    <t>16287_17HB00758_CLOSED</t>
  </si>
  <si>
    <t>16287_4167</t>
  </si>
  <si>
    <t>423030292100_17309-6_Historical</t>
  </si>
  <si>
    <t>423030016500_17481_Historical</t>
  </si>
  <si>
    <t>1201035_09-B006667</t>
  </si>
  <si>
    <t>423030017700_00028-00000-000_Historical</t>
  </si>
  <si>
    <t>423030017700_A22_Historical</t>
  </si>
  <si>
    <t>101060449000001_10W078662</t>
  </si>
  <si>
    <t>30050300_BOROREN</t>
  </si>
  <si>
    <t>423030051600_A74_Historical</t>
  </si>
  <si>
    <t>M08X006464 _1202534</t>
  </si>
  <si>
    <t>195784_18X004204</t>
  </si>
  <si>
    <t>438002_BRAMSTON</t>
  </si>
  <si>
    <t>7969_02W450910</t>
  </si>
  <si>
    <t>101053449000006_003722C</t>
  </si>
  <si>
    <t>101053449000006_DBA1700032</t>
  </si>
  <si>
    <t>1019374_03W606532</t>
  </si>
  <si>
    <t>423030024800_109374_Historical</t>
  </si>
  <si>
    <t>423030025100_10009_Historical</t>
  </si>
  <si>
    <t>643_12C007159W</t>
  </si>
  <si>
    <t>423031269900_1010506_Historical</t>
  </si>
  <si>
    <t>10176640_BBD05459</t>
  </si>
  <si>
    <t>7286767_BROOKSTEAD</t>
  </si>
  <si>
    <t>94315699_10RD04173</t>
  </si>
  <si>
    <t>94315699_17V019834</t>
  </si>
  <si>
    <t>12541-9_03W568282</t>
  </si>
  <si>
    <t>423030031800_525410_Historical</t>
  </si>
  <si>
    <t>101065221800007_BB000680</t>
  </si>
  <si>
    <t>243331_18X005655</t>
  </si>
  <si>
    <t>ADB1921333_ADB1921333</t>
  </si>
  <si>
    <t>423030029300_00198-15000-000_Historical</t>
  </si>
  <si>
    <t>547418_2294800626</t>
  </si>
  <si>
    <t>423030003100_Historical</t>
  </si>
  <si>
    <t>261008_05E015989_CLOSED</t>
  </si>
  <si>
    <t>261008_15BF038528</t>
  </si>
  <si>
    <t>233254_6859</t>
  </si>
  <si>
    <t>18882-1_13W052698</t>
  </si>
  <si>
    <t>84456_03W578361</t>
  </si>
  <si>
    <t>168041_12W014087</t>
  </si>
  <si>
    <t>7100125_03W6158991</t>
  </si>
  <si>
    <t>101024125600005_BZA014971</t>
  </si>
  <si>
    <t>46339_13W035577</t>
  </si>
  <si>
    <t>101060563000001_05W837025</t>
  </si>
  <si>
    <t>10605630_ADD2029203</t>
  </si>
  <si>
    <t>101013383500007_DBA02131</t>
  </si>
  <si>
    <t>10243_10W119404</t>
  </si>
  <si>
    <t>257840_8W008305</t>
  </si>
  <si>
    <t>25075821_13W033891</t>
  </si>
  <si>
    <t>816649426_10HB00826</t>
  </si>
  <si>
    <t>871160_04B680569</t>
  </si>
  <si>
    <t>7360448_18B007015</t>
  </si>
  <si>
    <t>101012150200007_ADB10029</t>
  </si>
  <si>
    <t>133111000000_CHARLEVILLE</t>
  </si>
  <si>
    <t>10946636_DDA00017</t>
  </si>
  <si>
    <t>1064610000000_CHARTERS</t>
  </si>
  <si>
    <t>101023925000002_BZA014512</t>
  </si>
  <si>
    <t>2010787_12W120797</t>
  </si>
  <si>
    <t>10157_14W122541</t>
  </si>
  <si>
    <t>25003005_13W033059</t>
  </si>
  <si>
    <t>2818_10E002000</t>
  </si>
  <si>
    <t>30832_25060064RW</t>
  </si>
  <si>
    <t>462218_DCV93809</t>
  </si>
  <si>
    <t>7133944_254942</t>
  </si>
  <si>
    <t>30035100_CLINTON</t>
  </si>
  <si>
    <t>423030040400_00490-00000-000_Historical</t>
  </si>
  <si>
    <t>10001931_M601639</t>
  </si>
  <si>
    <t>1206104_M11W111485</t>
  </si>
  <si>
    <t>423030040100_20135_Historical</t>
  </si>
  <si>
    <t>10003028_09W099601</t>
  </si>
  <si>
    <t>10011518_COOKTOWN</t>
  </si>
  <si>
    <t>12464_UWS1500060H</t>
  </si>
  <si>
    <t>810006621_10HB00818</t>
  </si>
  <si>
    <t>128862_13W123510</t>
  </si>
  <si>
    <t>101033363500009_BBD04833</t>
  </si>
  <si>
    <t>423030045600_195780_Historical</t>
  </si>
  <si>
    <t>13019419_CRACOW</t>
  </si>
  <si>
    <t>7151094_8611/3</t>
  </si>
  <si>
    <t>14650000000_CROYDON</t>
  </si>
  <si>
    <t>2358640000_MBF007387</t>
  </si>
  <si>
    <t>810614000_03B643439</t>
  </si>
  <si>
    <t>820187293_18E000486</t>
  </si>
  <si>
    <t>30053300_CURTIS</t>
  </si>
  <si>
    <t>1708_15HB01026</t>
  </si>
  <si>
    <t>101067462800001_ADB38686</t>
  </si>
  <si>
    <t>11621148_10C003558</t>
  </si>
  <si>
    <t>19W074780 _1204490</t>
  </si>
  <si>
    <t>30053900_DIMBULAH</t>
  </si>
  <si>
    <t>17689_11W032625</t>
  </si>
  <si>
    <t>423030054400_00167-00000-000_Historical</t>
  </si>
  <si>
    <t>423030054400_A164_Historical</t>
  </si>
  <si>
    <t>30057100_DOOMADGEE</t>
  </si>
  <si>
    <t>368877_97B047666</t>
  </si>
  <si>
    <t>25074287_16W023238</t>
  </si>
  <si>
    <t>101386_DCV82425</t>
  </si>
  <si>
    <t>183509_03W533457</t>
  </si>
  <si>
    <t>393538_02X028727</t>
  </si>
  <si>
    <t>101012033700009_BA001694</t>
  </si>
  <si>
    <t>13432_08X006581</t>
  </si>
  <si>
    <t>13432-0_08X006581</t>
  </si>
  <si>
    <t>1041410_04W670893</t>
  </si>
  <si>
    <t>503668_11W053376</t>
  </si>
  <si>
    <t>1627_16HB00871</t>
  </si>
  <si>
    <t>423030064900_4661_Historical</t>
  </si>
  <si>
    <t>101058793100005_ADB1925094</t>
  </si>
  <si>
    <t>423030067400_18882-1-15_Historical</t>
  </si>
  <si>
    <t>14671_13W038216</t>
  </si>
  <si>
    <t>14671_92_276757</t>
  </si>
  <si>
    <t>101015222800001_APB00655</t>
  </si>
  <si>
    <t>16072_03W568335_CLOSED</t>
  </si>
  <si>
    <t>16072-1_03W568335_CLOSED</t>
  </si>
  <si>
    <t>234460_19W057452</t>
  </si>
  <si>
    <t>1062527_12F000212</t>
  </si>
  <si>
    <t>101056546500000_R91001631</t>
  </si>
  <si>
    <t>10565465_ADD2024437</t>
  </si>
  <si>
    <t>100857_9023472</t>
  </si>
  <si>
    <t>101001133000006_BBD03588</t>
  </si>
  <si>
    <t>201091-4_R99W176651</t>
  </si>
  <si>
    <t>561761_DCV94116</t>
  </si>
  <si>
    <t>561761_F10S001422</t>
  </si>
  <si>
    <t>101056181300005_06E019293</t>
  </si>
  <si>
    <t>3020290000000_GAYNDAH</t>
  </si>
  <si>
    <t>2294800409_GIN</t>
  </si>
  <si>
    <t>3004490_11W052565</t>
  </si>
  <si>
    <t>8029_00HB02140</t>
  </si>
  <si>
    <t>1UNIT_11B031240</t>
  </si>
  <si>
    <t>182500_13X005280</t>
  </si>
  <si>
    <t>50156-00000-000_18W010462</t>
  </si>
  <si>
    <t>423030078400_30033_Historical</t>
  </si>
  <si>
    <t>99739477_13F000463</t>
  </si>
  <si>
    <t>99739477_M1019865</t>
  </si>
  <si>
    <t>101055594000004_19283</t>
  </si>
  <si>
    <t>10555940_CDA2000183</t>
  </si>
  <si>
    <t>7302119_ABF026007</t>
  </si>
  <si>
    <t>40081_G1502086</t>
  </si>
  <si>
    <t>10111-00000-000_09B091429</t>
  </si>
  <si>
    <t>30082100_17VC00465</t>
  </si>
  <si>
    <t>13020722_19W030417</t>
  </si>
  <si>
    <t>2369526_G14W066757</t>
  </si>
  <si>
    <t>101056456900000_06W1010709</t>
  </si>
  <si>
    <t>7104150_GREENMOUNT</t>
  </si>
  <si>
    <t>2125600000000_17W003744</t>
  </si>
  <si>
    <t>2423015_16X002154</t>
  </si>
  <si>
    <t>A1363_G1601355</t>
  </si>
  <si>
    <t>G1401200_A2192</t>
  </si>
  <si>
    <t>101169_19V57156T</t>
  </si>
  <si>
    <t>101169_W813758</t>
  </si>
  <si>
    <t>7152779_7073</t>
  </si>
  <si>
    <t>101060605000001_I769078</t>
  </si>
  <si>
    <t>10606050_ADB2011525</t>
  </si>
  <si>
    <t>47713-3_11W207270</t>
  </si>
  <si>
    <t>10564657_98W125408</t>
  </si>
  <si>
    <t>35772_13016750</t>
  </si>
  <si>
    <t>7178170_11W119075</t>
  </si>
  <si>
    <t>815965077_MX31497A</t>
  </si>
  <si>
    <t>517367_R05006884</t>
  </si>
  <si>
    <t>30095900_BTFB1265</t>
  </si>
  <si>
    <t>G1101051_A5397</t>
  </si>
  <si>
    <t>101023480500008_APB02372</t>
  </si>
  <si>
    <t>100068_14W043789</t>
  </si>
  <si>
    <t>30087300_05W857542</t>
  </si>
  <si>
    <t>30281-50000-000</t>
  </si>
  <si>
    <t>13000534_11W174226</t>
  </si>
  <si>
    <t>152490_8D000076</t>
  </si>
  <si>
    <t>845537_11AM100801</t>
  </si>
  <si>
    <t>101064808400000_DBA01903</t>
  </si>
  <si>
    <t>40385_15W016090</t>
  </si>
  <si>
    <t>176040_AS074667</t>
  </si>
  <si>
    <t>423030093800_30339-00000-000_Historical</t>
  </si>
  <si>
    <t>423030094900_101058034600003_Historical</t>
  </si>
  <si>
    <t>7212763_JONDARYAN</t>
  </si>
  <si>
    <t>30097300_JULIA</t>
  </si>
  <si>
    <t>423030098500_00058-50000-000_Historical</t>
  </si>
  <si>
    <t>423030098000_01044-00000-000_Historical</t>
  </si>
  <si>
    <t>10606382_B09004909</t>
  </si>
  <si>
    <t>101050551500005_BBD1511282</t>
  </si>
  <si>
    <t>A67_02W501129</t>
  </si>
  <si>
    <t>12310067_10HB01688</t>
  </si>
  <si>
    <t>14921_10W081496</t>
  </si>
  <si>
    <t>101058102800006_05W857542</t>
  </si>
  <si>
    <t>G1501679_A40533</t>
  </si>
  <si>
    <t>45270_19W019910</t>
  </si>
  <si>
    <t>155150_03W530330</t>
  </si>
  <si>
    <t>7213480_M0032514</t>
  </si>
  <si>
    <t>12675033_05B2869</t>
  </si>
  <si>
    <t>10606939_10W078385</t>
  </si>
  <si>
    <t>212200_M456125</t>
  </si>
  <si>
    <t>30105800_KURANDA</t>
  </si>
  <si>
    <t>163280_7W047956</t>
  </si>
  <si>
    <t>30106500_BC1659263</t>
  </si>
  <si>
    <t>101056575500004_BBG00064</t>
  </si>
  <si>
    <t>423030237000_129882-5_Historical</t>
  </si>
  <si>
    <t>181133_02B503313_CLOSED</t>
  </si>
  <si>
    <t>181133_UE1638224W</t>
  </si>
  <si>
    <t>10013480_03W547913</t>
  </si>
  <si>
    <t>56905_97B047251</t>
  </si>
  <si>
    <t>30338500_16HB00787</t>
  </si>
  <si>
    <t>91133731_16HB00787</t>
  </si>
  <si>
    <t>9000402992_08W012610</t>
  </si>
  <si>
    <t>229600_ABF65958</t>
  </si>
  <si>
    <t>102558_6003430</t>
  </si>
  <si>
    <t>101018429400005_CBP03298</t>
  </si>
  <si>
    <t>28176-6_01D004027</t>
  </si>
  <si>
    <t>4170452_BDWK3381</t>
  </si>
  <si>
    <t>6940-1_00A255738</t>
  </si>
  <si>
    <t>17327_09W095148</t>
  </si>
  <si>
    <t>30129700_MBF003289</t>
  </si>
  <si>
    <t>3815022_04-CO43120</t>
  </si>
  <si>
    <t>31440_771607</t>
  </si>
  <si>
    <t>220566_12W014123</t>
  </si>
  <si>
    <t>220566_181184</t>
  </si>
  <si>
    <t>101050870900001_ADB52477</t>
  </si>
  <si>
    <t>11076_15W710106</t>
  </si>
  <si>
    <t>41140_04W696169</t>
  </si>
  <si>
    <t>423030153300_131658-5_Historical</t>
  </si>
  <si>
    <t>99710187_12F000273</t>
  </si>
  <si>
    <t>94821332_17VE00470</t>
  </si>
  <si>
    <t>152728_03X034602</t>
  </si>
  <si>
    <t>150697-001_04X040950</t>
  </si>
  <si>
    <t>231779_04X040950</t>
  </si>
  <si>
    <t>423030114600_30140_Historical</t>
  </si>
  <si>
    <t>7311649_MERINGANDAN</t>
  </si>
  <si>
    <t>818189561_10HB00738</t>
  </si>
  <si>
    <t>873752_03B627796</t>
  </si>
  <si>
    <t>154798_11W112737</t>
  </si>
  <si>
    <t>202844_MIDDLEMOUNT</t>
  </si>
  <si>
    <t>19488_03W564927</t>
  </si>
  <si>
    <t>20440_09W103431</t>
  </si>
  <si>
    <t>32989_06W986353</t>
  </si>
  <si>
    <t>32989_986354</t>
  </si>
  <si>
    <t>7366965_M445297</t>
  </si>
  <si>
    <t>21121-9_TBC</t>
  </si>
  <si>
    <t>101058647300009_ABG10932</t>
  </si>
  <si>
    <t>41444-1_09W060517</t>
  </si>
  <si>
    <t>291419_18W022048</t>
  </si>
  <si>
    <t>169000_6W111480</t>
  </si>
  <si>
    <t>30130600_MISSION</t>
  </si>
  <si>
    <t>12004339_02C025927</t>
  </si>
  <si>
    <t>101024155400003_BB001172</t>
  </si>
  <si>
    <t>101009458100004_BBD02533</t>
  </si>
  <si>
    <t>4039320000000_10W068067</t>
  </si>
  <si>
    <t>587_10W019325</t>
  </si>
  <si>
    <t>423030135500_223718_Historical</t>
  </si>
  <si>
    <t>25010554_16X000782</t>
  </si>
  <si>
    <t>1021174_08F000560</t>
  </si>
  <si>
    <t>199330000000_MORVEN</t>
  </si>
  <si>
    <t>857110_08X007576</t>
  </si>
  <si>
    <t>10608170_MOUNT</t>
  </si>
  <si>
    <t>101037735100000_AC005426</t>
  </si>
  <si>
    <t>101037735100000_ADB1514399</t>
  </si>
  <si>
    <t>101023752500009_BB000814</t>
  </si>
  <si>
    <t>05996-10000-000_X056964</t>
  </si>
  <si>
    <t>30135600_MOUNT</t>
  </si>
  <si>
    <t>215939_13W050797</t>
  </si>
  <si>
    <t>368059_18V012307</t>
  </si>
  <si>
    <t>11075001_04B716397</t>
  </si>
  <si>
    <t>238429-3_M9517015</t>
  </si>
  <si>
    <t>7913_13W052367</t>
  </si>
  <si>
    <t>5006200000000_0DW260589</t>
  </si>
  <si>
    <t>7279143_4939/6</t>
  </si>
  <si>
    <t>13029160_15V006754</t>
  </si>
  <si>
    <t>172510_ABF81342</t>
  </si>
  <si>
    <t>817211137_12HB01134</t>
  </si>
  <si>
    <t>22680_12X009253</t>
  </si>
  <si>
    <t>4074600000000_09B063534</t>
  </si>
  <si>
    <t>6037300000000_MUNDUBBERA</t>
  </si>
  <si>
    <t>188470_19W074533</t>
  </si>
  <si>
    <t>423030144900_10352-10000-000_Historical</t>
  </si>
  <si>
    <t>24428_S07E00218_CLOSED</t>
  </si>
  <si>
    <t>24428_UT1900051E</t>
  </si>
  <si>
    <t>119100_NANANGO</t>
  </si>
  <si>
    <t>1030493_F07S000690</t>
  </si>
  <si>
    <t>25066754_14W069233</t>
  </si>
  <si>
    <t>31398300_11HB00527</t>
  </si>
  <si>
    <t>815609925_11HB00527</t>
  </si>
  <si>
    <t>873364_08W124517</t>
  </si>
  <si>
    <t>101064829800006_BBD05280</t>
  </si>
  <si>
    <t>5350461_EDML0055_CLOSED</t>
  </si>
  <si>
    <t>1010597_02W482251</t>
  </si>
  <si>
    <t>7135204_NOBBY</t>
  </si>
  <si>
    <t>6208036_RB14004897</t>
  </si>
  <si>
    <t>6510201_07B108424</t>
  </si>
  <si>
    <t>127480_UE170051HB</t>
  </si>
  <si>
    <t>150020_10HB01519</t>
  </si>
  <si>
    <t>A641_1950000923</t>
  </si>
  <si>
    <t>101033604700004_DBA00963</t>
  </si>
  <si>
    <t>101015632800005_CBP03542</t>
  </si>
  <si>
    <t>7228942_07W021164/4</t>
  </si>
  <si>
    <t>1031954_04C045655</t>
  </si>
  <si>
    <t>814024596_02B429720</t>
  </si>
  <si>
    <t>30346500_11HB00534</t>
  </si>
  <si>
    <t>814749796_01HB05097</t>
  </si>
  <si>
    <t>814749796_11HB00534</t>
  </si>
  <si>
    <t>101023204200000_CBP04085</t>
  </si>
  <si>
    <t>33988-7_14W022737</t>
  </si>
  <si>
    <t>423030186600_103200_Historical</t>
  </si>
  <si>
    <t>27764_92_245468</t>
  </si>
  <si>
    <t>13103001_10B084804</t>
  </si>
  <si>
    <t>833910744_14HB00223</t>
  </si>
  <si>
    <t>93821192_R14003855</t>
  </si>
  <si>
    <t>423030187400_121383-2_Historical</t>
  </si>
  <si>
    <t>127531_12X000580</t>
  </si>
  <si>
    <t>127531_UT1900015X</t>
  </si>
  <si>
    <t>1083625_03E012463</t>
  </si>
  <si>
    <t>1083625_13E002345</t>
  </si>
  <si>
    <t>533661_18X000255</t>
  </si>
  <si>
    <t>10055290_ADC2001976</t>
  </si>
  <si>
    <t>141086_13W021863</t>
  </si>
  <si>
    <t>829424_03B586677</t>
  </si>
  <si>
    <t>1103860_10d000374</t>
  </si>
  <si>
    <t>248930_8020</t>
  </si>
  <si>
    <t>101050652400006_ZBF04739</t>
  </si>
  <si>
    <t>M95025138 _1201300</t>
  </si>
  <si>
    <t>44800000000_QUILPIE</t>
  </si>
  <si>
    <t>G1001941_A5880</t>
  </si>
  <si>
    <t>423031242800_6363_Historical</t>
  </si>
  <si>
    <t>10607803_10W078779</t>
  </si>
  <si>
    <t>36513_13016418</t>
  </si>
  <si>
    <t>101065134100008_DDA00120</t>
  </si>
  <si>
    <t>1120314_UE1500036X</t>
  </si>
  <si>
    <t>30158900_BC0804818</t>
  </si>
  <si>
    <t>5834_10X005426</t>
  </si>
  <si>
    <t>550293_14CW01197</t>
  </si>
  <si>
    <t>A199_10C003535</t>
  </si>
  <si>
    <t>101060749600005_I953420</t>
  </si>
  <si>
    <t>818587159_11HB00130</t>
  </si>
  <si>
    <t>200024-6_R00E004881</t>
  </si>
  <si>
    <t>201610-1_R01A097390</t>
  </si>
  <si>
    <t>14029664_MX35687</t>
  </si>
  <si>
    <t>101050726600003_814110</t>
  </si>
  <si>
    <t>1126539_13HB00921</t>
  </si>
  <si>
    <t>20138_14W129400</t>
  </si>
  <si>
    <t>101023712400001_ABF37507</t>
  </si>
  <si>
    <t>1096333_13E002438</t>
  </si>
  <si>
    <t>101046379500003_DBA02124</t>
  </si>
  <si>
    <t>44118-8_16X006531</t>
  </si>
  <si>
    <t>1127093_13HB00913</t>
  </si>
  <si>
    <t>20630_03W568383_CLOSED</t>
  </si>
  <si>
    <t>20630-0_03W568383_CLOSED</t>
  </si>
  <si>
    <t>106380_19HB00081</t>
  </si>
  <si>
    <t>101015974300002_BBD07507</t>
  </si>
  <si>
    <t>176040_18W040388</t>
  </si>
  <si>
    <t>92205413_15RD00600</t>
  </si>
  <si>
    <t>9921-8_12W143846</t>
  </si>
  <si>
    <t>178030_ABF81141</t>
  </si>
  <si>
    <t>7287526_9493866</t>
  </si>
  <si>
    <t>101002472900004_BZ013527</t>
  </si>
  <si>
    <t>25448_14X003322</t>
  </si>
  <si>
    <t>423030165000_01096-00000-000_Historical</t>
  </si>
  <si>
    <t>25097981_13W033187</t>
  </si>
  <si>
    <t>97210_13W006923</t>
  </si>
  <si>
    <t>97210_17W018911</t>
  </si>
  <si>
    <t>819613903_10HB00981</t>
  </si>
  <si>
    <t>1074793_12F000488</t>
  </si>
  <si>
    <t>101016459800003_BBD02428</t>
  </si>
  <si>
    <t>15002496_11W174276</t>
  </si>
  <si>
    <t>30784800_10HD00379</t>
  </si>
  <si>
    <t>810421110_10HD00379</t>
  </si>
  <si>
    <t>101064177900002_MX31202</t>
  </si>
  <si>
    <t>242070_SYNDICATE</t>
  </si>
  <si>
    <t>650457_17W066569</t>
  </si>
  <si>
    <t>819649304_01B299771</t>
  </si>
  <si>
    <t>819649304_14E001126_CLOSED</t>
  </si>
  <si>
    <t>20090-00000-000_14005186</t>
  </si>
  <si>
    <t>2010910000000_TAMBO</t>
  </si>
  <si>
    <t>423030194400_30308_Historical</t>
  </si>
  <si>
    <t>12004164_04B675015</t>
  </si>
  <si>
    <t>100162_19V55809T</t>
  </si>
  <si>
    <t>31290400_TEXAS</t>
  </si>
  <si>
    <t>423030197100_01557-00000-000_Historical</t>
  </si>
  <si>
    <t>13033022_UT1818321W</t>
  </si>
  <si>
    <t>14000000000_THARGOMINDAH</t>
  </si>
  <si>
    <t>2293619_Y16W114912</t>
  </si>
  <si>
    <t>13034095_12B011583</t>
  </si>
  <si>
    <t>30201400_THORNLANDS</t>
  </si>
  <si>
    <t>31667_07W124419</t>
  </si>
  <si>
    <t>30202200_THURSDAY</t>
  </si>
  <si>
    <t>10582_10W115324</t>
  </si>
  <si>
    <t>8452_G1200865</t>
  </si>
  <si>
    <t>101019033000009_ADB1529391</t>
  </si>
  <si>
    <t>101058497900007_ABG15587</t>
  </si>
  <si>
    <t>101023527900005_DBA01634</t>
  </si>
  <si>
    <t>338748_04W770121</t>
  </si>
  <si>
    <t>338748_09E000421</t>
  </si>
  <si>
    <t>684944_07D013165</t>
  </si>
  <si>
    <t>30219100_17W018911</t>
  </si>
  <si>
    <t>107131_03-DO06570</t>
  </si>
  <si>
    <t>487850_06W939976</t>
  </si>
  <si>
    <t>104534_10233</t>
  </si>
  <si>
    <t>30215900_08B106623</t>
  </si>
  <si>
    <t>33709_09W076099</t>
  </si>
  <si>
    <t>101036410200002_ABF22675</t>
  </si>
  <si>
    <t>100535_17C003606</t>
  </si>
  <si>
    <t>10508208_ADB50160</t>
  </si>
  <si>
    <t>1041457_R00003529</t>
  </si>
  <si>
    <t>50523_10W005268</t>
  </si>
  <si>
    <t>423030207200_1072664_Historical</t>
  </si>
  <si>
    <t>40855_12W025531</t>
  </si>
  <si>
    <t>14705_233196</t>
  </si>
  <si>
    <t>93334352_14V004081</t>
  </si>
  <si>
    <t>1100000000_18HB01239</t>
  </si>
  <si>
    <t>27572_12D001542</t>
  </si>
  <si>
    <t>350348_03X033575</t>
  </si>
  <si>
    <t>2012774810_17M000463</t>
  </si>
  <si>
    <t>423030219000_00182-00000-000_Historical</t>
  </si>
  <si>
    <t>30223200_WINTON</t>
  </si>
  <si>
    <t>10565138_WITHCOTT</t>
  </si>
  <si>
    <t>247370_19W076700</t>
  </si>
  <si>
    <t>863134_01B336717</t>
  </si>
  <si>
    <t>1042792_03W592984</t>
  </si>
  <si>
    <t>2020232_11W053262</t>
  </si>
  <si>
    <t>101048005800005_12HD00133</t>
  </si>
  <si>
    <t>101048005800005_CBP01396_CLOSED</t>
  </si>
  <si>
    <t>423030225800_67211_Historical</t>
  </si>
  <si>
    <t>214040_96009742</t>
  </si>
  <si>
    <t>13037874_17TD00350</t>
  </si>
  <si>
    <t>3301001_04-CO45378</t>
  </si>
  <si>
    <t>188215_UE170160HB</t>
  </si>
  <si>
    <t>101022430100000_BZA014636</t>
  </si>
  <si>
    <t>7217341_9440394</t>
  </si>
  <si>
    <t>29138_13W013974</t>
  </si>
  <si>
    <t>48810_05B906100</t>
  </si>
  <si>
    <t>7315442_M0874397</t>
  </si>
  <si>
    <t>312010_04-EO14243</t>
  </si>
  <si>
    <t>231375-5_Y03X037358</t>
  </si>
  <si>
    <t>423030225600_134827-3_Historical</t>
  </si>
  <si>
    <t>101033454000000_BBD00738</t>
  </si>
  <si>
    <t>29601_913372</t>
  </si>
  <si>
    <t>101012580100009_CBP03127</t>
  </si>
  <si>
    <t>1317069203_E91200057</t>
  </si>
  <si>
    <t>A42787_AMERICAN</t>
  </si>
  <si>
    <t>9676217008_M41102097</t>
  </si>
  <si>
    <t>423030503400_8301785004_Historical</t>
  </si>
  <si>
    <t>4600189503_M00801683</t>
  </si>
  <si>
    <t>4606037009_M60903917</t>
  </si>
  <si>
    <t>6040058001_M70401919</t>
  </si>
  <si>
    <t>912325700_M70302917</t>
  </si>
  <si>
    <t>3717024003_M20925159</t>
  </si>
  <si>
    <t>423030492300_6040783000_Historical</t>
  </si>
  <si>
    <t>5672158006_M60102309</t>
  </si>
  <si>
    <t>7580439002_M60403977</t>
  </si>
  <si>
    <t>8911367053_M50700663</t>
  </si>
  <si>
    <t>6021093004_M60803863</t>
  </si>
  <si>
    <t>7560767009_K80225094</t>
  </si>
  <si>
    <t>7560767009_M30125589</t>
  </si>
  <si>
    <t>7560684000_K00425262</t>
  </si>
  <si>
    <t>4710805004_M20501365</t>
  </si>
  <si>
    <t>822422202_K00140010</t>
  </si>
  <si>
    <t>7120334007_M60403815</t>
  </si>
  <si>
    <t>423030488100_3006151006</t>
  </si>
  <si>
    <t>4000348013_M00825206</t>
  </si>
  <si>
    <t>1222989103_E80225117</t>
  </si>
  <si>
    <t>1222989103_E80725026_CLOSED</t>
  </si>
  <si>
    <t>6021446009_M60803852</t>
  </si>
  <si>
    <t>4206552001_E60640911</t>
  </si>
  <si>
    <t>423030612500_6015722003_Historical</t>
  </si>
  <si>
    <t>950730600_M40500519</t>
  </si>
  <si>
    <t>8701539005_M41100721</t>
  </si>
  <si>
    <t>7808169513_K30840016</t>
  </si>
  <si>
    <t>423030516100_103702005_Historical</t>
  </si>
  <si>
    <t>4303911205_M80200684</t>
  </si>
  <si>
    <t>1478735000_M00800659</t>
  </si>
  <si>
    <t>938292900_COFFIN</t>
  </si>
  <si>
    <t>WS184_WM9411043</t>
  </si>
  <si>
    <t>1455321200_M10806960</t>
  </si>
  <si>
    <t>9510824000_M50600976</t>
  </si>
  <si>
    <t>9280101009_M60502135</t>
  </si>
  <si>
    <t>2552897003_M40725378</t>
  </si>
  <si>
    <t>2552897003_W20250012</t>
  </si>
  <si>
    <t>3500013004_M20700067</t>
  </si>
  <si>
    <t>9380217009_K01240006</t>
  </si>
  <si>
    <t>5408103006_CURRAMULKA</t>
  </si>
  <si>
    <t>9122452209_M60500727</t>
  </si>
  <si>
    <t>9675966007_M60402727</t>
  </si>
  <si>
    <t>5405076209_EDITHBURGH</t>
  </si>
  <si>
    <t>1000183059_E71025115</t>
  </si>
  <si>
    <t>3235808104_K00425228</t>
  </si>
  <si>
    <t>9370084003_M60702556</t>
  </si>
  <si>
    <t>423030530500_A31265_Historical</t>
  </si>
  <si>
    <t>6006718002_M60600011</t>
  </si>
  <si>
    <t>4207260000_FARRELL</t>
  </si>
  <si>
    <t>205523112_W30910006</t>
  </si>
  <si>
    <t>3120769002_E80125R19</t>
  </si>
  <si>
    <t>4928179501_99030269</t>
  </si>
  <si>
    <t>9121555003_M50701594</t>
  </si>
  <si>
    <t>7620085000_M51203125</t>
  </si>
  <si>
    <t>620453000_990525475</t>
  </si>
  <si>
    <t>7205544003_M30100597</t>
  </si>
  <si>
    <t>1251743006_K50804001</t>
  </si>
  <si>
    <t>1852323509_X10140011</t>
  </si>
  <si>
    <t>30047300_X10140011</t>
  </si>
  <si>
    <t>2818418656_M91100836</t>
  </si>
  <si>
    <t>4520205809_M50603794</t>
  </si>
  <si>
    <t>30536200_GREENOCK</t>
  </si>
  <si>
    <t>2841390006_W40603104</t>
  </si>
  <si>
    <t>4710377353_M50503927</t>
  </si>
  <si>
    <t>581717100*_M70702898</t>
  </si>
  <si>
    <t>3717321008_M01000101</t>
  </si>
  <si>
    <t>423030538700_371603500*_Historical</t>
  </si>
  <si>
    <t>604100205_K50725044</t>
  </si>
  <si>
    <t>4830142006_M60502494</t>
  </si>
  <si>
    <t>950785900_M40500495</t>
  </si>
  <si>
    <t>2557320000_E80525405</t>
  </si>
  <si>
    <t>8700799008_E90400328</t>
  </si>
  <si>
    <t>3402948009_E41032011</t>
  </si>
  <si>
    <t>30688400_S648580</t>
  </si>
  <si>
    <t>3140886003_K60700194</t>
  </si>
  <si>
    <t>423030688900_9511190003_Historical</t>
  </si>
  <si>
    <t>5103292053_KAROONDA</t>
  </si>
  <si>
    <t>4003362005_M10808207</t>
  </si>
  <si>
    <t>471018800_W50800172</t>
  </si>
  <si>
    <t>30685800_KIMBA</t>
  </si>
  <si>
    <t>9002314004_K40400766</t>
  </si>
  <si>
    <t>5200042507_M40625272</t>
  </si>
  <si>
    <t>6402120002_E70432016</t>
  </si>
  <si>
    <t>423030681500_9511545804_Historical</t>
  </si>
  <si>
    <t>3500753002_M40603804</t>
  </si>
  <si>
    <t>6041746009_M60903584</t>
  </si>
  <si>
    <t>6006895009_M50602376</t>
  </si>
  <si>
    <t>30293300_LAMEROO</t>
  </si>
  <si>
    <t>7205242005_K20100257</t>
  </si>
  <si>
    <t>567035410_M91200252</t>
  </si>
  <si>
    <t>9251332000_M60702462</t>
  </si>
  <si>
    <t>5670619008_M50701159</t>
  </si>
  <si>
    <t>6006602931_M51103384</t>
  </si>
  <si>
    <t>423030529600_9370306008_Historical</t>
  </si>
  <si>
    <t>423030529600_A22404_Historical</t>
  </si>
  <si>
    <t>125050931101_F150039MA_CLOSED</t>
  </si>
  <si>
    <t>9510241008_M30825795</t>
  </si>
  <si>
    <t>5520792008_E41125208</t>
  </si>
  <si>
    <t>101206016_M70500348</t>
  </si>
  <si>
    <t>8201155005_M30805175</t>
  </si>
  <si>
    <t>1451338_MB58479_CLOSED</t>
  </si>
  <si>
    <t>9672348000_LYNDOCH</t>
  </si>
  <si>
    <t>9102631103_LYRUP</t>
  </si>
  <si>
    <t>2906891806_MACDONALD</t>
  </si>
  <si>
    <t>4601831107_E50725020</t>
  </si>
  <si>
    <t>7111357004_M41101688</t>
  </si>
  <si>
    <t>9100335757_MANTUNG</t>
  </si>
  <si>
    <t>6807696018_RR160293</t>
  </si>
  <si>
    <t>430876315_MARRABEL</t>
  </si>
  <si>
    <t>6807799009_MARREE</t>
  </si>
  <si>
    <t>8671386502_M011R0226</t>
  </si>
  <si>
    <t>1333738702_M11107003</t>
  </si>
  <si>
    <t>78204_MEADOWS</t>
  </si>
  <si>
    <t>423030932300_A12619_Historical</t>
  </si>
  <si>
    <t>8302007503_W30200974</t>
  </si>
  <si>
    <t>8001128205_M60402838</t>
  </si>
  <si>
    <t>8915416000_M90600679</t>
  </si>
  <si>
    <t>5407676101_MINLATON</t>
  </si>
  <si>
    <t>4302032516_MINTARO</t>
  </si>
  <si>
    <t>9679807003_M00307430</t>
  </si>
  <si>
    <t>2813878012_K60600288</t>
  </si>
  <si>
    <t>423030553100_3403604005_Historical</t>
  </si>
  <si>
    <t>423030553100_A29129_Historical</t>
  </si>
  <si>
    <t>141051_MOUNT</t>
  </si>
  <si>
    <t>9006315514_BK0528543</t>
  </si>
  <si>
    <t>8912196188_MOUNT</t>
  </si>
  <si>
    <t>4535309002_M90600631</t>
  </si>
  <si>
    <t>3850199304_1300883121</t>
  </si>
  <si>
    <t>3850199304_K60925228</t>
  </si>
  <si>
    <t>423030553900_9675447004_Historical</t>
  </si>
  <si>
    <t>4711083007_M40500959</t>
  </si>
  <si>
    <t>7830170000_M30825956</t>
  </si>
  <si>
    <t>410008000*_97090097</t>
  </si>
  <si>
    <t>2600307005_98093254</t>
  </si>
  <si>
    <t>49742_NAIRNE</t>
  </si>
  <si>
    <t>5815958001_M11001153</t>
  </si>
  <si>
    <t>30242600_E41125103</t>
  </si>
  <si>
    <t>6720147008_M50700151</t>
  </si>
  <si>
    <t>6720148000_E41125103</t>
  </si>
  <si>
    <t>600515601_990902842</t>
  </si>
  <si>
    <t>2607351906_NORMANVILLE</t>
  </si>
  <si>
    <t>220212005_M40525155</t>
  </si>
  <si>
    <t>150475760*_D00625159</t>
  </si>
  <si>
    <t>30112600_D00625159</t>
  </si>
  <si>
    <t>9677497005_M20925511</t>
  </si>
  <si>
    <t>2920057906_AA8020530</t>
  </si>
  <si>
    <t>5010180052_M50904924</t>
  </si>
  <si>
    <t>31567400_16636</t>
  </si>
  <si>
    <t>3716391004_OWEN</t>
  </si>
  <si>
    <t>1903471107_M21225166</t>
  </si>
  <si>
    <t>520256005_M60402685</t>
  </si>
  <si>
    <t>5215025005_S18080091</t>
  </si>
  <si>
    <t>5003999502_W10150015</t>
  </si>
  <si>
    <t>4603848009_M50603468</t>
  </si>
  <si>
    <t>7206117003_M61102968</t>
  </si>
  <si>
    <t>423030587200_8173013009_Historical</t>
  </si>
  <si>
    <t>7832062003_POOCHERA</t>
  </si>
  <si>
    <t>30327500_E71032042</t>
  </si>
  <si>
    <t>401429254_E71032042</t>
  </si>
  <si>
    <t>6610281003_E61225025</t>
  </si>
  <si>
    <t>6612912008_M60403405</t>
  </si>
  <si>
    <t>4606223055_M21006281</t>
  </si>
  <si>
    <t>423030580600_4532968002_Historical</t>
  </si>
  <si>
    <t>9344495001_X11040135</t>
  </si>
  <si>
    <t>9344496004_990410776</t>
  </si>
  <si>
    <t>9344496004_K31000943_CLOSED</t>
  </si>
  <si>
    <t>7300302002_M60402498</t>
  </si>
  <si>
    <t>9251141001_PORT</t>
  </si>
  <si>
    <t>3527279013_M31025132</t>
  </si>
  <si>
    <t>4603249014_M50603316</t>
  </si>
  <si>
    <t>5408330057_M50802174</t>
  </si>
  <si>
    <t>3717439006_M10101072</t>
  </si>
  <si>
    <t>4606347007_M60903618</t>
  </si>
  <si>
    <t>524535006_97030107</t>
  </si>
  <si>
    <t>7400218000_M60203535</t>
  </si>
  <si>
    <t>3500856001_M90400565</t>
  </si>
  <si>
    <t>7512092000_K21125102</t>
  </si>
  <si>
    <t>30682800_RENMARK</t>
  </si>
  <si>
    <t>8645330206_M40625104</t>
  </si>
  <si>
    <t>8207013702_M30103198</t>
  </si>
  <si>
    <t>9802176201_ROBERTSTOWN</t>
  </si>
  <si>
    <t>423030683200_9124455059_Historical</t>
  </si>
  <si>
    <t>423030683300_9120601207_Historical</t>
  </si>
  <si>
    <t>W0555.0_96288</t>
  </si>
  <si>
    <t>4308591351_M60500234</t>
  </si>
  <si>
    <t>4427229005_K10300463</t>
  </si>
  <si>
    <t>7120072254_M60902327</t>
  </si>
  <si>
    <t>1312959004_M80600262</t>
  </si>
  <si>
    <t>406729002_K20525005</t>
  </si>
  <si>
    <t>2913020507_12438</t>
  </si>
  <si>
    <t>3006532001_M60103457</t>
  </si>
  <si>
    <t>6011693006_M60402275</t>
  </si>
  <si>
    <t>7600155059_SPALDING</t>
  </si>
  <si>
    <t>8613222032_K40402739</t>
  </si>
  <si>
    <t>806539005_16327</t>
  </si>
  <si>
    <t>1600566555_K50600293</t>
  </si>
  <si>
    <t>5404594231_M50800403</t>
  </si>
  <si>
    <t>30174400_98093557</t>
  </si>
  <si>
    <t>3301873204_98093557</t>
  </si>
  <si>
    <t>423030624500_6617073004_Historical</t>
  </si>
  <si>
    <t>7704143001_M50601404</t>
  </si>
  <si>
    <t>71969_E50740060</t>
  </si>
  <si>
    <t>8000109109_K1003605</t>
  </si>
  <si>
    <t>30486600_M30701830</t>
  </si>
  <si>
    <t>8000528004_M30701830</t>
  </si>
  <si>
    <t>967040200*_990908175</t>
  </si>
  <si>
    <t>3827482005_TARPEENA</t>
  </si>
  <si>
    <t>9511343022_M60501768</t>
  </si>
  <si>
    <t>9510359006_W10700748</t>
  </si>
  <si>
    <t>9511093000_M60702491</t>
  </si>
  <si>
    <t>9250186005_M21102951</t>
  </si>
  <si>
    <t>9251251008_UNGARRA</t>
  </si>
  <si>
    <t>423030619200_6041202001_Historical</t>
  </si>
  <si>
    <t>4510146104_K40100228</t>
  </si>
  <si>
    <t>4510146104_M60150008_CLOSED</t>
  </si>
  <si>
    <t>2901156001_M10502147</t>
  </si>
  <si>
    <t>30681100_ABG28855</t>
  </si>
  <si>
    <t>755009500*_M30425264</t>
  </si>
  <si>
    <t>3010880009_WALLAROO</t>
  </si>
  <si>
    <t>3540183008_M11102165</t>
  </si>
  <si>
    <t>3121413008_M51201534</t>
  </si>
  <si>
    <t>4443628006_M10503824</t>
  </si>
  <si>
    <t>4309803002_WATERVALE</t>
  </si>
  <si>
    <t>201263018_M70880006</t>
  </si>
  <si>
    <t>201263018_M90380003</t>
  </si>
  <si>
    <t>2163996016_W80100657</t>
  </si>
  <si>
    <t>423030594600_6007450001_Historical</t>
  </si>
  <si>
    <t>8541761001_M60103083</t>
  </si>
  <si>
    <t>8546585035_M90700259</t>
  </si>
  <si>
    <t>8540975008_M40625929</t>
  </si>
  <si>
    <t>1347823502_M21005052</t>
  </si>
  <si>
    <t>8302885007_M50904504</t>
  </si>
  <si>
    <t>7832107005_WIRRULLA</t>
  </si>
  <si>
    <t>5672692209_M10500704</t>
  </si>
  <si>
    <t>2504426004_E51032014</t>
  </si>
  <si>
    <t>9270005005_E70925456</t>
  </si>
  <si>
    <t>423030521400_950785900*_Historical</t>
  </si>
  <si>
    <t>7621269004_M51202920</t>
  </si>
  <si>
    <t>2604001011_M21225488</t>
  </si>
  <si>
    <t>9380913004_M90600418</t>
  </si>
  <si>
    <t>5012028003_M30901604</t>
  </si>
  <si>
    <t>5403682002_K31125122</t>
  </si>
  <si>
    <t>423030693500_8162320003_Historical</t>
  </si>
  <si>
    <t>270024464_M919321</t>
  </si>
  <si>
    <t>423030912600_72367377_Historical</t>
  </si>
  <si>
    <t>423030801100_Historical</t>
  </si>
  <si>
    <t>270108879_11W191750</t>
  </si>
  <si>
    <t>423030904500_9000001666297_Historical</t>
  </si>
  <si>
    <t>270099788_8SEN0130185066</t>
  </si>
  <si>
    <t>240030906_8SEN0110095441</t>
  </si>
  <si>
    <t>270078949_8SEN0130220055</t>
  </si>
  <si>
    <t>270053898_15W032902</t>
  </si>
  <si>
    <t>210071903_8SEN0130522373</t>
  </si>
  <si>
    <t>240016204_11X005874</t>
  </si>
  <si>
    <t>270117225_12W106562</t>
  </si>
  <si>
    <t>30327300_12W106562</t>
  </si>
  <si>
    <t>270000114_8SEN0130184811</t>
  </si>
  <si>
    <t>270054135_12W084548</t>
  </si>
  <si>
    <t>210056074_CRESSY</t>
  </si>
  <si>
    <t>240028260_8SEN0130291940</t>
  </si>
  <si>
    <t>270102333_8SEN0130181834</t>
  </si>
  <si>
    <t>270028048_120049234_CLOSED</t>
  </si>
  <si>
    <t>270028048_12168775</t>
  </si>
  <si>
    <t>210033448_12W077650</t>
  </si>
  <si>
    <t>270074337_8SEN0130294033_CLOSED</t>
  </si>
  <si>
    <t>270074337_92W006023</t>
  </si>
  <si>
    <t>270074337_M1029408</t>
  </si>
  <si>
    <t>240011401_8SEN0130502719</t>
  </si>
  <si>
    <t>240011401_CLOSED</t>
  </si>
  <si>
    <t>240009902_11W067216</t>
  </si>
  <si>
    <t>240009902_CLOSED</t>
  </si>
  <si>
    <t>210054817_11W110202</t>
  </si>
  <si>
    <t>210054195_11W129024</t>
  </si>
  <si>
    <t>270015297_11W192098</t>
  </si>
  <si>
    <t>210001525_12W088843</t>
  </si>
  <si>
    <t>270087739_TBC</t>
  </si>
  <si>
    <t>270074723_8SEN0130245466</t>
  </si>
  <si>
    <t>30912000_GEEVESTON</t>
  </si>
  <si>
    <t>210045859_12X007943</t>
  </si>
  <si>
    <t>270112826_GORDONS</t>
  </si>
  <si>
    <t>270102560_8SEN0130289765</t>
  </si>
  <si>
    <t>210036925_11W088137</t>
  </si>
  <si>
    <t>30937500_CGGG0013</t>
  </si>
  <si>
    <t>270120267_12W130761</t>
  </si>
  <si>
    <t>30339700_12W130761</t>
  </si>
  <si>
    <t>423030912900_9000001792234_Historical</t>
  </si>
  <si>
    <t>210066041_11W036972</t>
  </si>
  <si>
    <t>270102458_8SEN0130245658</t>
  </si>
  <si>
    <t>210026161_12W064868</t>
  </si>
  <si>
    <t>30913500_08B040395</t>
  </si>
  <si>
    <t>270041412_12W084485</t>
  </si>
  <si>
    <t>30913700_04F005609</t>
  </si>
  <si>
    <t>270124204_12W131867</t>
  </si>
  <si>
    <t>210063074_12W088621</t>
  </si>
  <si>
    <t>270113431_11W046114</t>
  </si>
  <si>
    <t>210054978_11W079651</t>
  </si>
  <si>
    <t>30918200_CBP00953</t>
  </si>
  <si>
    <t>270042377_M634736</t>
  </si>
  <si>
    <t>210002301_MATHINNA</t>
  </si>
  <si>
    <t>423031124300_270050028_Historical</t>
  </si>
  <si>
    <t>210046377_8SEN0110095401</t>
  </si>
  <si>
    <t>240020619_8SEN0130293790</t>
  </si>
  <si>
    <t>270011796_M714513</t>
  </si>
  <si>
    <t>30915400_NEW</t>
  </si>
  <si>
    <t>210057931_NILE</t>
  </si>
  <si>
    <t>270000383_8SEN0130182603</t>
  </si>
  <si>
    <t>270097283_8SEN0130256138</t>
  </si>
  <si>
    <t>270079801_8SEN0130255232</t>
  </si>
  <si>
    <t>210008870_12W017873</t>
  </si>
  <si>
    <t>240025408_11W135707</t>
  </si>
  <si>
    <t>240031236_88EN0110090773</t>
  </si>
  <si>
    <t>240031236_8SEN0110090773</t>
  </si>
  <si>
    <t>240057877_11W129983</t>
  </si>
  <si>
    <t>423030921600_7126896_Historical</t>
  </si>
  <si>
    <t>423030921600_7126909_Historical</t>
  </si>
  <si>
    <t>423030921600_7768995_Historical</t>
  </si>
  <si>
    <t>240054336_8SEN0130219175</t>
  </si>
  <si>
    <t>240054336_8SEN0230219175</t>
  </si>
  <si>
    <t>270118998_12W131340</t>
  </si>
  <si>
    <t>240020160_8SEN0130244456</t>
  </si>
  <si>
    <t>210062546_14W048011</t>
  </si>
  <si>
    <t>240019813_12W096700</t>
  </si>
  <si>
    <t>30906300_12F000427</t>
  </si>
  <si>
    <t>423030938900_2901013_Historical</t>
  </si>
  <si>
    <t>423030938900_7456297_Historical</t>
  </si>
  <si>
    <t>211016884_11W129609</t>
  </si>
  <si>
    <t>270024893_07B088229</t>
  </si>
  <si>
    <t>210003444_11W158174</t>
  </si>
  <si>
    <t>210028976_8SEN0130522490</t>
  </si>
  <si>
    <t>210057778_12W000752</t>
  </si>
  <si>
    <t>240054865_8SEN0130217954</t>
  </si>
  <si>
    <t>210080195_12W046360</t>
  </si>
  <si>
    <t>270043634_12W084451</t>
  </si>
  <si>
    <t>30195300_12W084451</t>
  </si>
  <si>
    <t>31039400_SOMERSET</t>
  </si>
  <si>
    <t>270082989_12W148298</t>
  </si>
  <si>
    <t>30916700_SOUTH</t>
  </si>
  <si>
    <t>210044481_12W056116</t>
  </si>
  <si>
    <t>240011215_8SEN0130186359</t>
  </si>
  <si>
    <t>210010368_8SEN0130559243</t>
  </si>
  <si>
    <t>210029182_7525643</t>
  </si>
  <si>
    <t>210009398_12W072615</t>
  </si>
  <si>
    <t>240063289_8SEN0130108232</t>
  </si>
  <si>
    <t>423031287000_1641600_Historical</t>
  </si>
  <si>
    <t>423030925400_7781858_Historical</t>
  </si>
  <si>
    <t>423030925500_7790615_Historical</t>
  </si>
  <si>
    <t>271086558_TAROONA</t>
  </si>
  <si>
    <t>270097030_8SEN0130255128</t>
  </si>
  <si>
    <t>423030946300_6030112_Historical</t>
  </si>
  <si>
    <t>240029587_11W088830</t>
  </si>
  <si>
    <t>210045366_12W001254</t>
  </si>
  <si>
    <t>240041300_WESLEY</t>
  </si>
  <si>
    <t>423030927400_240049569_Historical</t>
  </si>
  <si>
    <t>423030947000_1717687_Historical</t>
  </si>
  <si>
    <t>41007891 20048271</t>
  </si>
  <si>
    <t>41007891 20048271_CLOSED</t>
  </si>
  <si>
    <t>38-1871-0460-01-3_800598</t>
  </si>
  <si>
    <t>127897-001_BCH135240</t>
  </si>
  <si>
    <t>2004070150012_M98B073405</t>
  </si>
  <si>
    <t>122008873108_MBFD01052</t>
  </si>
  <si>
    <t>6035714720127450_97924</t>
  </si>
  <si>
    <t>210359_APSLEY</t>
  </si>
  <si>
    <t>423030558600_2313327_Historical</t>
  </si>
  <si>
    <t>125281490104_MCSR000733</t>
  </si>
  <si>
    <t>4265908_SAFP108401</t>
  </si>
  <si>
    <t>4420810110017_AVENEL</t>
  </si>
  <si>
    <t>134928_03W658255</t>
  </si>
  <si>
    <t>11-1067-0100-01-7_17W038250</t>
  </si>
  <si>
    <t>1104132000014_06W938199</t>
  </si>
  <si>
    <t>11-0413-2000-01-4_R04004423</t>
  </si>
  <si>
    <t>4484584_SBFA007893</t>
  </si>
  <si>
    <t>143620-001_BCH103198</t>
  </si>
  <si>
    <t>143425-001_BCH102631</t>
  </si>
  <si>
    <t>127889-001_BCH133913</t>
  </si>
  <si>
    <t>9001310400_BALLIANG</t>
  </si>
  <si>
    <t>2782872_SAKH011078</t>
  </si>
  <si>
    <t>1606800000_MAF085668</t>
  </si>
  <si>
    <t>423030771100_4321364_Historical</t>
  </si>
  <si>
    <t>4100789115754900_831545</t>
  </si>
  <si>
    <t>3509130020012_13W044642</t>
  </si>
  <si>
    <t>1108370270015_BARMAH</t>
  </si>
  <si>
    <t>4100789115966650_1036641</t>
  </si>
  <si>
    <t>1020949832_MDK003821_CLOSED</t>
  </si>
  <si>
    <t>121000537122_MDK003821</t>
  </si>
  <si>
    <t>2880292_SBFA003210</t>
  </si>
  <si>
    <t>6928607_SBKB001586</t>
  </si>
  <si>
    <t>4913840000_MAF383487</t>
  </si>
  <si>
    <t>7334384_SAFJ116322</t>
  </si>
  <si>
    <t>3888811_MB79521</t>
  </si>
  <si>
    <t>4100789115121680_1036525</t>
  </si>
  <si>
    <t>1208980150019_06W938106</t>
  </si>
  <si>
    <t>423030563800_18697965_Historical</t>
  </si>
  <si>
    <t>1210016411_1006949</t>
  </si>
  <si>
    <t>12100164115_01D003966</t>
  </si>
  <si>
    <t>12216672100_09B029212</t>
  </si>
  <si>
    <t>CON00008496_DEV000077264</t>
  </si>
  <si>
    <t>4961442_SBFA009075</t>
  </si>
  <si>
    <t>230744_19V50286T</t>
  </si>
  <si>
    <t>1692251_SBFA004553</t>
  </si>
  <si>
    <t>1735401_SAFJ077597</t>
  </si>
  <si>
    <t>250710_19V33030T</t>
  </si>
  <si>
    <t>5664530000_YBA000811</t>
  </si>
  <si>
    <t>2714193_SAFP073614</t>
  </si>
  <si>
    <t>13214902_08AF024847</t>
  </si>
  <si>
    <t>CON00074598_DEV000047300</t>
  </si>
  <si>
    <t>7028193_SATM038523</t>
  </si>
  <si>
    <t>6085041929_YDU000214T</t>
  </si>
  <si>
    <t>12104981100_13B093778</t>
  </si>
  <si>
    <t>6792939_SBFN003291</t>
  </si>
  <si>
    <t>39-1977-0540-01-5_424902</t>
  </si>
  <si>
    <t>1020949832_YCF009157</t>
  </si>
  <si>
    <t>423030567500_1020537_Historical</t>
  </si>
  <si>
    <t>423030567500_1020621_Historical</t>
  </si>
  <si>
    <t>423030567500_1029933_Historical</t>
  </si>
  <si>
    <t>423030567500_2960165_Historical</t>
  </si>
  <si>
    <t>423030567500_2960403_Historical</t>
  </si>
  <si>
    <t>423030567500_2961742_Historical</t>
  </si>
  <si>
    <t>423030567500_2964149_Historical</t>
  </si>
  <si>
    <t>423030567500_2969705_Historical</t>
  </si>
  <si>
    <t>4013080000_YBF000434</t>
  </si>
  <si>
    <t>423030790600_4010541_Historical</t>
  </si>
  <si>
    <t>423030790600_4016883_Historical</t>
  </si>
  <si>
    <t>423030790600_4018173_Historical</t>
  </si>
  <si>
    <t>423030790600_4018513_Historical</t>
  </si>
  <si>
    <t>19-0377-3000-01-3</t>
  </si>
  <si>
    <t>5333920357_YATD033524</t>
  </si>
  <si>
    <t>423030569200_5473212_Historical</t>
  </si>
  <si>
    <t>423030569200_5474918_Historical</t>
  </si>
  <si>
    <t>423030569200_5476155_Historical</t>
  </si>
  <si>
    <t>423030569200_5476625_Historical</t>
  </si>
  <si>
    <t>423030569200_5478434_Historical</t>
  </si>
  <si>
    <t>423030569200_5479732_Historical</t>
  </si>
  <si>
    <t>423030569200_6470245_Historical</t>
  </si>
  <si>
    <t>423030569200_6470395_Historical</t>
  </si>
  <si>
    <t>423030569200_6472122_Historical</t>
  </si>
  <si>
    <t>423030569200_6472292_Historical</t>
  </si>
  <si>
    <t>423030569200_6477477_Historical</t>
  </si>
  <si>
    <t>423030569200_6477508_Historical</t>
  </si>
  <si>
    <t>423030569200_6479668_Historical</t>
  </si>
  <si>
    <t>9304230_SAFJ018579</t>
  </si>
  <si>
    <t>1564707752_MBF010293</t>
  </si>
  <si>
    <t>423030783500_1563366_Historical</t>
  </si>
  <si>
    <t>423030783500_1564055_Historical</t>
  </si>
  <si>
    <t>423030783500_1567388_Historical</t>
  </si>
  <si>
    <t>423030783500_1568459_Historical</t>
  </si>
  <si>
    <t>423030566700_9651796_Historical</t>
  </si>
  <si>
    <t>423030566700_9652548_Historical</t>
  </si>
  <si>
    <t>423030566700_9656848_Historical</t>
  </si>
  <si>
    <t>9653423764_MBF008819</t>
  </si>
  <si>
    <t>423030888600_8753638_Historical</t>
  </si>
  <si>
    <t>423030888600_8755774_Historical</t>
  </si>
  <si>
    <t>22-0201-0150-01-5_M05B00112</t>
  </si>
  <si>
    <t>1508531200019_18W063819</t>
  </si>
  <si>
    <t>15-0853-1200-01-9_18W068319</t>
  </si>
  <si>
    <t>2864110000_YBA003069</t>
  </si>
  <si>
    <t>4211055800_12W079732</t>
  </si>
  <si>
    <t>423030568400_15855185_Historical</t>
  </si>
  <si>
    <t>147937-001_BCH182610</t>
  </si>
  <si>
    <t>423030715400_Historical</t>
  </si>
  <si>
    <t>1627914_SAFJ045409</t>
  </si>
  <si>
    <t>6468665_SAFP029236</t>
  </si>
  <si>
    <t>02-4195-5100-01-7_MNO4529</t>
  </si>
  <si>
    <t>CON00063822_DEV000044276</t>
  </si>
  <si>
    <t>423030728300_1953877_Historical</t>
  </si>
  <si>
    <t>2733410000_MBF004246</t>
  </si>
  <si>
    <t>2733410000_PS425694</t>
  </si>
  <si>
    <t>2546231_01B320789</t>
  </si>
  <si>
    <t>6025553_SBFN004630</t>
  </si>
  <si>
    <t>5117294_SAFN030511</t>
  </si>
  <si>
    <t>11986601_07CF00206</t>
  </si>
  <si>
    <t>19261594_SFCA002049</t>
  </si>
  <si>
    <t>9390417_SCKB002934</t>
  </si>
  <si>
    <t>145575-001_BCH094384</t>
  </si>
  <si>
    <t>423030571600_1257199_Historical</t>
  </si>
  <si>
    <t>423030571600_1936446_Historical</t>
  </si>
  <si>
    <t>12-0905-0250-01-0_06W945672</t>
  </si>
  <si>
    <t>1085440000_YAF234747</t>
  </si>
  <si>
    <t>2045270000_TP135119</t>
  </si>
  <si>
    <t>CON00071792_DEV000054621</t>
  </si>
  <si>
    <t>4100789117571610_771606</t>
  </si>
  <si>
    <t>4100782820094460_442827</t>
  </si>
  <si>
    <t>423030572900_6532040_Historical</t>
  </si>
  <si>
    <t>423030572900_6534335_Historical</t>
  </si>
  <si>
    <t>423030572900_6534967_Historical</t>
  </si>
  <si>
    <t>423030572900_6536231_Historical</t>
  </si>
  <si>
    <t>423030572900_6537462_Historical</t>
  </si>
  <si>
    <t>423030572900_6539287_Historical</t>
  </si>
  <si>
    <t>423030572900_6539385_Historical</t>
  </si>
  <si>
    <t>04-4482-0050-01-7_46574</t>
  </si>
  <si>
    <t>125370561109_F100601BMB</t>
  </si>
  <si>
    <t>10162543_M1017286</t>
  </si>
  <si>
    <t>4100789112393780_1038764</t>
  </si>
  <si>
    <t>1410040550010_COROP</t>
  </si>
  <si>
    <t>1221844810_19B010597</t>
  </si>
  <si>
    <t>10067767_95031807</t>
  </si>
  <si>
    <t>10067775_99006740</t>
  </si>
  <si>
    <t>16121401_COWWARR</t>
  </si>
  <si>
    <t>7499260000_YCF013649</t>
  </si>
  <si>
    <t>1146019_SBMA002936</t>
  </si>
  <si>
    <t>1677635_SAFJ048007</t>
  </si>
  <si>
    <t>6035714720140590_1236890</t>
  </si>
  <si>
    <t>142909-001_MS40518</t>
  </si>
  <si>
    <t>142909-001_MS40518_CLOSED</t>
  </si>
  <si>
    <t>2820919_M815656W</t>
  </si>
  <si>
    <t>423030725200_2350647_Historical</t>
  </si>
  <si>
    <t>423030725200_2354250_Historical</t>
  </si>
  <si>
    <t>423030725200_2356679_Historical</t>
  </si>
  <si>
    <t>205776_19V42314T</t>
  </si>
  <si>
    <t>3598835_MC32169</t>
  </si>
  <si>
    <t>423030577700_3598820_Historical</t>
  </si>
  <si>
    <t>30313900_SBFA003538</t>
  </si>
  <si>
    <t>4145570_SBFA003538</t>
  </si>
  <si>
    <t>4222197_SAFP052751</t>
  </si>
  <si>
    <t>9004637528_BC0742399</t>
  </si>
  <si>
    <t>9010170200014_DARRAWEIT</t>
  </si>
  <si>
    <t>140476-001_B413484</t>
  </si>
  <si>
    <t>4017929385_MBF020059</t>
  </si>
  <si>
    <t>121516016101_MBFD06842</t>
  </si>
  <si>
    <t>423030583500_1900135_Historical</t>
  </si>
  <si>
    <t>2751870000_MBF011003</t>
  </si>
  <si>
    <t>206948_19V38556T</t>
  </si>
  <si>
    <t>2069482_00B256611_CLOSED</t>
  </si>
  <si>
    <t>1600860180019_69308</t>
  </si>
  <si>
    <t>1427120000_YBF009635</t>
  </si>
  <si>
    <t>193463448_YAF196171</t>
  </si>
  <si>
    <t>2341279_SBFH001763</t>
  </si>
  <si>
    <t>13557801_08AF024672</t>
  </si>
  <si>
    <t>4100789116738050_530221</t>
  </si>
  <si>
    <t>544800250014_553284</t>
  </si>
  <si>
    <t>CON00000082 _DEV000039284</t>
  </si>
  <si>
    <t>CON00074162_DEV000039284</t>
  </si>
  <si>
    <t>CON00021808_DEV000021989</t>
  </si>
  <si>
    <t>423030732500_2221628_Historical</t>
  </si>
  <si>
    <t>423030732500_2223548_Historical</t>
  </si>
  <si>
    <t>423030732500_2225456_Historical</t>
  </si>
  <si>
    <t>423030732500_2226252_Historical</t>
  </si>
  <si>
    <t>423030732500_2226546_Historical</t>
  </si>
  <si>
    <t>423030732500_2226848_Historical</t>
  </si>
  <si>
    <t>423030732500_2229917_Historical</t>
  </si>
  <si>
    <t>2086247_06B1018908</t>
  </si>
  <si>
    <t>3819300050016_EILDON</t>
  </si>
  <si>
    <t>209460_19V35912T</t>
  </si>
  <si>
    <t>CON00077342_DEV000051686</t>
  </si>
  <si>
    <t>CON00054288_DEV000027406</t>
  </si>
  <si>
    <t>5602314_SBKC000675</t>
  </si>
  <si>
    <t>3421570000_YCA001841</t>
  </si>
  <si>
    <t>27081438_SAFN086803</t>
  </si>
  <si>
    <t>30651667_SBFN002954</t>
  </si>
  <si>
    <t>3664530000_YBF017385</t>
  </si>
  <si>
    <t>423030776900_3664456_Historical</t>
  </si>
  <si>
    <t>423030776900_3665692_Historical</t>
  </si>
  <si>
    <t>423030776900_3667849_Historical</t>
  </si>
  <si>
    <t>CON00050436_DEV000004787</t>
  </si>
  <si>
    <t>121195600109_MBSR000325</t>
  </si>
  <si>
    <t>121179206110_MAF375869</t>
  </si>
  <si>
    <t>16-0968-0060-01-2_9411766</t>
  </si>
  <si>
    <t>121002661109_F150866BMB</t>
  </si>
  <si>
    <t>1482850000_YBF009098</t>
  </si>
  <si>
    <t>7579322_MB53782</t>
  </si>
  <si>
    <t>423030584300_2726087_Historical</t>
  </si>
  <si>
    <t>3823640000_YAAD053377</t>
  </si>
  <si>
    <t>121024316105_MAF387798</t>
  </si>
  <si>
    <t>2756086_SAFJ106281</t>
  </si>
  <si>
    <t>122823876107_MDF000559_CLOSED</t>
  </si>
  <si>
    <t>122823876107_MDS000376T</t>
  </si>
  <si>
    <t>2270007100_09W003378</t>
  </si>
  <si>
    <t>6493303_ML5452W</t>
  </si>
  <si>
    <t>4100789118297790_15712373</t>
  </si>
  <si>
    <t>6743237_SAFJ087851</t>
  </si>
  <si>
    <t>7640421_SAFJ018323</t>
  </si>
  <si>
    <t>4100789111012540_241618</t>
  </si>
  <si>
    <t>4100789112394130_446110</t>
  </si>
  <si>
    <t>3172460000_MBF014191</t>
  </si>
  <si>
    <t>1710360020019_19W007755</t>
  </si>
  <si>
    <t>14-1221-1300-01-9_09W012449</t>
  </si>
  <si>
    <t>423031171900_6520134_Historical</t>
  </si>
  <si>
    <t>423031171900_6520355_Historical</t>
  </si>
  <si>
    <t>423031171900_6521456_Historical</t>
  </si>
  <si>
    <t>423031171900_6526311_Historical</t>
  </si>
  <si>
    <t>423031171900_6526696_Historical</t>
  </si>
  <si>
    <t>423031171900_6528472_Historical</t>
  </si>
  <si>
    <t>3864110000_YAF259634</t>
  </si>
  <si>
    <t>209790_16W028545</t>
  </si>
  <si>
    <t>1210627210_19B018928</t>
  </si>
  <si>
    <t>423031130900_9970624_Historical</t>
  </si>
  <si>
    <t>423031130900_9970843_Historical</t>
  </si>
  <si>
    <t>423031130900_9974136_Historical</t>
  </si>
  <si>
    <t>423031130900_9974246_Historical</t>
  </si>
  <si>
    <t>423031130900_9974294_Historical</t>
  </si>
  <si>
    <t>423031130900_9974584_Historical</t>
  </si>
  <si>
    <t>423031130900_9975082_Historical</t>
  </si>
  <si>
    <t>423030590500_9121958_Historical</t>
  </si>
  <si>
    <t>423030590500_9122863_Historical</t>
  </si>
  <si>
    <t>423030590500_9126708_Historical</t>
  </si>
  <si>
    <t>9120550000_YAF134733</t>
  </si>
  <si>
    <t>643000650013_AS56985</t>
  </si>
  <si>
    <t>210133_GOROKE</t>
  </si>
  <si>
    <t>210501_19V43443T</t>
  </si>
  <si>
    <t>4236570000_MBF020389</t>
  </si>
  <si>
    <t>3789360000_YAND39212</t>
  </si>
  <si>
    <t>4100789115439410_439133</t>
  </si>
  <si>
    <t>423031039000_Historical</t>
  </si>
  <si>
    <t>07-4256-0400-01-5_M07C066528</t>
  </si>
  <si>
    <t>CON00057238_DEV000001179</t>
  </si>
  <si>
    <t>7200447047_YATD037449</t>
  </si>
  <si>
    <t>30453700_SBKC003865</t>
  </si>
  <si>
    <t>31047400_YEF01783P</t>
  </si>
  <si>
    <t>7056720000_YEF01783P</t>
  </si>
  <si>
    <t>2414380000_YAAD054939</t>
  </si>
  <si>
    <t>30174500_YAAD054939</t>
  </si>
  <si>
    <t>CON00069481_DEV000040138</t>
  </si>
  <si>
    <t>5220165_SBKB001101</t>
  </si>
  <si>
    <t>5220165_SBMA003691_CLOSED</t>
  </si>
  <si>
    <t>5542260000_MBF017822</t>
  </si>
  <si>
    <t>423030593200__Historical</t>
  </si>
  <si>
    <t>91-3129-2950-01-1_9710107</t>
  </si>
  <si>
    <t>5237908_SCFN002163</t>
  </si>
  <si>
    <t>211808_19V45618T</t>
  </si>
  <si>
    <t>2635670000_MAF238463</t>
  </si>
  <si>
    <t>CON00071385_DEV000041652</t>
  </si>
  <si>
    <t>4100789115756300_632912</t>
  </si>
  <si>
    <t>4300502600_05W813328</t>
  </si>
  <si>
    <t>12390_14w131334</t>
  </si>
  <si>
    <t>2572020000_YAF283263</t>
  </si>
  <si>
    <t>423030597100_2574229_Historical</t>
  </si>
  <si>
    <t>423030597100_2577275_Historical</t>
  </si>
  <si>
    <t>423030597100_2579284_Historical</t>
  </si>
  <si>
    <t>1904900500016_TR6W1016146</t>
  </si>
  <si>
    <t>CON00047277_DEV000077276</t>
  </si>
  <si>
    <t>6635670000_MAF036993</t>
  </si>
  <si>
    <t>2216213_04B792967</t>
  </si>
  <si>
    <t>6493617_M977486W</t>
  </si>
  <si>
    <t>6493617_SBMA003486</t>
  </si>
  <si>
    <t>1805930010019_KATAMATITE</t>
  </si>
  <si>
    <t>2002410020010_18W044503</t>
  </si>
  <si>
    <t>121825700109_MBFD05296</t>
  </si>
  <si>
    <t>18560_19101514</t>
  </si>
  <si>
    <t>18560_k715337_CLOSED</t>
  </si>
  <si>
    <t>423030603200_820651_Historical</t>
  </si>
  <si>
    <t>423030603200_822588_Historical</t>
  </si>
  <si>
    <t>423030603200_824161_Historical</t>
  </si>
  <si>
    <t>828700000_MBF018399</t>
  </si>
  <si>
    <t>1828700000_MBF010684_CLOSED</t>
  </si>
  <si>
    <t>1828700000_TBC</t>
  </si>
  <si>
    <t>9728700000_MBF010684</t>
  </si>
  <si>
    <t>4322094_MBF003289</t>
  </si>
  <si>
    <t>31-1252-0030-01-2_02C028554</t>
  </si>
  <si>
    <t>31-1252-0030-01-2_02CO28554</t>
  </si>
  <si>
    <t>1221171810_19B000668</t>
  </si>
  <si>
    <t>40-2230-0060-01-5_703764</t>
  </si>
  <si>
    <t>423030603600_2271010_Historical</t>
  </si>
  <si>
    <t>423030603600_2271524_Historical</t>
  </si>
  <si>
    <t>423030603600_2277097_Historical</t>
  </si>
  <si>
    <t>423030603600_2277481_Historical</t>
  </si>
  <si>
    <t>423030603600_2277515_Historical</t>
  </si>
  <si>
    <t>423030603600_2278883_Historical</t>
  </si>
  <si>
    <t>423030603600_2279903_Historical</t>
  </si>
  <si>
    <t>9637933290_YBF010840</t>
  </si>
  <si>
    <t>3205060750013_M07B093683</t>
  </si>
  <si>
    <t>1506517200_07W145736</t>
  </si>
  <si>
    <t>2101610140014_19X000627</t>
  </si>
  <si>
    <t>CON00067425_DEV000037561</t>
  </si>
  <si>
    <t>423030613900_6613359_Historical</t>
  </si>
  <si>
    <t>25638_16W049864</t>
  </si>
  <si>
    <t>22-0058-0150-01-9_77738</t>
  </si>
  <si>
    <t>226774_19V39186T</t>
  </si>
  <si>
    <t>18-1308-2650-01-2_07B068010</t>
  </si>
  <si>
    <t>4100789113654060_190002</t>
  </si>
  <si>
    <t>227061_19V41493T</t>
  </si>
  <si>
    <t>423030607500_9820462_Historical</t>
  </si>
  <si>
    <t>423030607500_9820646_Historical</t>
  </si>
  <si>
    <t>423030607500_9821464_Historical</t>
  </si>
  <si>
    <t>423030607500_9821771_Historical</t>
  </si>
  <si>
    <t>423030607500_9824037_Historical</t>
  </si>
  <si>
    <t>423030607500_9827135_Historical</t>
  </si>
  <si>
    <t>423030607500_9827548_Historical</t>
  </si>
  <si>
    <t>122507149103_MBFD05444</t>
  </si>
  <si>
    <t>CON00072982_DEV000054958</t>
  </si>
  <si>
    <t>CON00095479_LEITCHVILLE</t>
  </si>
  <si>
    <t>148000100_09W005125</t>
  </si>
  <si>
    <t>31219900_09W005125</t>
  </si>
  <si>
    <t>4100789117059210_1572040</t>
  </si>
  <si>
    <t>4100789117059210_96510</t>
  </si>
  <si>
    <t>210043350_11W080353</t>
  </si>
  <si>
    <t>2306423100010_06W937748</t>
  </si>
  <si>
    <t>3405070850015_M07B074144</t>
  </si>
  <si>
    <t>1267509650_11W009067</t>
  </si>
  <si>
    <t>423030604000_18745824_Historical</t>
  </si>
  <si>
    <t>20889101_LOCH</t>
  </si>
  <si>
    <t>423030604400_6573253_Historical</t>
  </si>
  <si>
    <t>125050931101_F150048MA</t>
  </si>
  <si>
    <t>6035714720028790_1234560</t>
  </si>
  <si>
    <t>6035714720033110_M934501</t>
  </si>
  <si>
    <t>1451338_SBFN005361</t>
  </si>
  <si>
    <t>842010050012_M0127757</t>
  </si>
  <si>
    <t>16757201_04AF016084</t>
  </si>
  <si>
    <t>CON00051386_DEV000021046</t>
  </si>
  <si>
    <t>121505112101_MAF390673</t>
  </si>
  <si>
    <t>423030801200_Historical</t>
  </si>
  <si>
    <t>423031252000_16391512_Historical</t>
  </si>
  <si>
    <t>CON00059465_DEV000011326</t>
  </si>
  <si>
    <t>25-0977-0500-01-9_60143</t>
  </si>
  <si>
    <t>1399998512_MBF004508</t>
  </si>
  <si>
    <t>227644_19V45658T</t>
  </si>
  <si>
    <t>41-2008-0190-01-8_801275</t>
  </si>
  <si>
    <t>2606650200015_16W012706</t>
  </si>
  <si>
    <t>224886_19V42910T</t>
  </si>
  <si>
    <t>423030742800_42-2170-0520-01-2</t>
  </si>
  <si>
    <t>423030643200_9520551_Historical</t>
  </si>
  <si>
    <t>423030643200_9520645_Historical</t>
  </si>
  <si>
    <t>423030643200_9524011_Historical</t>
  </si>
  <si>
    <t>423030643200_9525758_Historical</t>
  </si>
  <si>
    <t>423030643200_9526840_Historical</t>
  </si>
  <si>
    <t>423030643200_9527020_Historical</t>
  </si>
  <si>
    <t>423030643200_9529269_Historical</t>
  </si>
  <si>
    <t>16-0177-4400-01-4_14T0594</t>
  </si>
  <si>
    <t>14485_6992970</t>
  </si>
  <si>
    <t>4100782815757000_631562</t>
  </si>
  <si>
    <t>43746_22630</t>
  </si>
  <si>
    <t>56930000_YAF168628</t>
  </si>
  <si>
    <t>423030624200_9920144_Historical</t>
  </si>
  <si>
    <t>423030624200_9922590_Historical</t>
  </si>
  <si>
    <t>423030624200_9922851_Historical</t>
  </si>
  <si>
    <t>423030624200_9923588_Historical</t>
  </si>
  <si>
    <t>423030624200_9924724_Historical</t>
  </si>
  <si>
    <t>423030624200_9927182_Historical</t>
  </si>
  <si>
    <t>423030624200_9928363_Historical</t>
  </si>
  <si>
    <t>23-1582-0280-01-0_19W007584</t>
  </si>
  <si>
    <t>23-1582-0280-01-0_98B066692</t>
  </si>
  <si>
    <t>423030626300_4470769_Historical</t>
  </si>
  <si>
    <t>423030626300_4471525_Historical</t>
  </si>
  <si>
    <t>423030626300_4471533_Historical</t>
  </si>
  <si>
    <t>423030626300_4475779_Historical</t>
  </si>
  <si>
    <t>423030626300_4476209_Historical</t>
  </si>
  <si>
    <t>423030626300_4477019_Historical</t>
  </si>
  <si>
    <t>31674700_07X070595</t>
  </si>
  <si>
    <t>4356_07X070595</t>
  </si>
  <si>
    <t>28886_15W019633</t>
  </si>
  <si>
    <t>228256_MINYIP</t>
  </si>
  <si>
    <t>14800101_10AF034102</t>
  </si>
  <si>
    <t>9220661980_YATD038091</t>
  </si>
  <si>
    <t>9446810000_MBF020527</t>
  </si>
  <si>
    <t>7726430000_YAAD054252</t>
  </si>
  <si>
    <t>4100789114064120_1432062</t>
  </si>
  <si>
    <t>423030621500_2990810_Historical</t>
  </si>
  <si>
    <t>5231630000_MBF009492</t>
  </si>
  <si>
    <t>2404451900011_19W011112</t>
  </si>
  <si>
    <t>3542137_SBFP000869</t>
  </si>
  <si>
    <t>423030631500_1840856_Historical</t>
  </si>
  <si>
    <t>423030631500_1845517_Historical</t>
  </si>
  <si>
    <t>423030631500_1846625_Historical</t>
  </si>
  <si>
    <t>423030631500_1847357_Historical</t>
  </si>
  <si>
    <t>423030631500_1848552_Historical</t>
  </si>
  <si>
    <t>423030631500_1849391_Historical</t>
  </si>
  <si>
    <t>423030631500_1849669_Historical</t>
  </si>
  <si>
    <t>3031172_SBKC000984</t>
  </si>
  <si>
    <t>423030773300_2971771_Historical</t>
  </si>
  <si>
    <t>3610920050019_M07B073819</t>
  </si>
  <si>
    <t>10637802_MORWELL</t>
  </si>
  <si>
    <t>12213468122_96020234</t>
  </si>
  <si>
    <t>30188100_96020234</t>
  </si>
  <si>
    <t>127899-001_BCH140968</t>
  </si>
  <si>
    <t>9002980350014_MOUNT</t>
  </si>
  <si>
    <t>4100789118297860_1435900</t>
  </si>
  <si>
    <t>6687559_SBKC004502</t>
  </si>
  <si>
    <t>0159830000_YBF007192</t>
  </si>
  <si>
    <t>159830000_YBF007192</t>
  </si>
  <si>
    <t>15-2006-2400-01-7_04W743543</t>
  </si>
  <si>
    <t>3110585_SAFJ041684</t>
  </si>
  <si>
    <t>423031226200_8193100_Historical</t>
  </si>
  <si>
    <t>423031226200_8193298_Historical</t>
  </si>
  <si>
    <t>423031226200_8197011_Historical</t>
  </si>
  <si>
    <t>423031226200_8197505_Historical</t>
  </si>
  <si>
    <t>423031226200_8197589_Historical</t>
  </si>
  <si>
    <t>423031226200_8198455_Historical</t>
  </si>
  <si>
    <t>423031226200_8199700_Historical</t>
  </si>
  <si>
    <t>1210671310_96B009488</t>
  </si>
  <si>
    <t>229533_19V37640T</t>
  </si>
  <si>
    <t>2305720_08B106623</t>
  </si>
  <si>
    <t>12107451101_01C019008</t>
  </si>
  <si>
    <t>26-0599-0260-01-0_12W149332</t>
  </si>
  <si>
    <t>232726_19V45018T</t>
  </si>
  <si>
    <t>423030726400_7634827_Historical</t>
  </si>
  <si>
    <t>423030726100_7674994_Historical</t>
  </si>
  <si>
    <t>1362995_SBMA002187</t>
  </si>
  <si>
    <t>27-0561-0210-01-3_18W044286</t>
  </si>
  <si>
    <t>15311001_11AF001885</t>
  </si>
  <si>
    <t>121118409104_MBFD04573</t>
  </si>
  <si>
    <t>2347547_144826</t>
  </si>
  <si>
    <t>2347547_20760_CLOSED</t>
  </si>
  <si>
    <t>121009479107_MDF004452</t>
  </si>
  <si>
    <t>423031146200_7801526_Historical</t>
  </si>
  <si>
    <t>423031146200_7802089_Historical</t>
  </si>
  <si>
    <t>423031146200_7802309_Historical</t>
  </si>
  <si>
    <t>423031146200_7802524_Historical</t>
  </si>
  <si>
    <t>423031146200_7805616_Historical</t>
  </si>
  <si>
    <t>423031146200_7808962_Historical</t>
  </si>
  <si>
    <t>7734640000_YDF006262</t>
  </si>
  <si>
    <t>236385_19V41416T</t>
  </si>
  <si>
    <t>28-1248-0040-01-5_18X002535</t>
  </si>
  <si>
    <t>423030754000_4330962_Historical</t>
  </si>
  <si>
    <t>3296641_SBGA000873</t>
  </si>
  <si>
    <t>28658571_SAFN093106</t>
  </si>
  <si>
    <t>30342300_SAFN093106</t>
  </si>
  <si>
    <t>4100789116120860_1074248</t>
  </si>
  <si>
    <t>423031183300_9330286_Historical</t>
  </si>
  <si>
    <t>7533365_SAFJ019443</t>
  </si>
  <si>
    <t>423030627800_5170219_Historical</t>
  </si>
  <si>
    <t>423030627800_5171723_Historical</t>
  </si>
  <si>
    <t>423030627800_5173524_Historical</t>
  </si>
  <si>
    <t>423030627800_5175858_Historical</t>
  </si>
  <si>
    <t>423030627800_5176991_Historical</t>
  </si>
  <si>
    <t>423030627800_5178651_Historical</t>
  </si>
  <si>
    <t>30073300_11W006477</t>
  </si>
  <si>
    <t>2455489883_YATD048060</t>
  </si>
  <si>
    <t>32-0137-0550-01-1_06X056893</t>
  </si>
  <si>
    <t>5545625_SAFJ075135</t>
  </si>
  <si>
    <t>423030636600_7682350_Historical</t>
  </si>
  <si>
    <t>423030622800_7673629_Historical</t>
  </si>
  <si>
    <t>4635670000_TBC</t>
  </si>
  <si>
    <t>238709_19V41501T</t>
  </si>
  <si>
    <t>33-0826-0950-01-9_14W130064</t>
  </si>
  <si>
    <t>3304090050013_06W937795</t>
  </si>
  <si>
    <t>1937917_SAFP145283</t>
  </si>
  <si>
    <t>1040240250010_AS46793</t>
  </si>
  <si>
    <t>2910330360011_PICOLA</t>
  </si>
  <si>
    <t>1163007400_09W002298</t>
  </si>
  <si>
    <t>423030773600_4330229_Historical</t>
  </si>
  <si>
    <t>92-3028-3350-01-5_9708019</t>
  </si>
  <si>
    <t>2230251_SBHK000170</t>
  </si>
  <si>
    <t>2230251_SBHK000170_CLOSED</t>
  </si>
  <si>
    <t>4100789117320590_1730640</t>
  </si>
  <si>
    <t>93-3350-0900-01-6_16HD00347</t>
  </si>
  <si>
    <t>423030633500_7520282_Historical</t>
  </si>
  <si>
    <t>423030633500_7520543_Historical</t>
  </si>
  <si>
    <t>423030633500_7522816_Historical</t>
  </si>
  <si>
    <t>423030633500_7524582_Historical</t>
  </si>
  <si>
    <t>423030633500_7526099_Historical</t>
  </si>
  <si>
    <t>423030633500_7526850_Historical</t>
  </si>
  <si>
    <t>423031188900_8130489_Historical</t>
  </si>
  <si>
    <t>423031188900_8130894_Historical</t>
  </si>
  <si>
    <t>423031188900_8134753_Historical</t>
  </si>
  <si>
    <t>423031188900_8134865_Historical</t>
  </si>
  <si>
    <t>423031188900_8136073_Historical</t>
  </si>
  <si>
    <t>423031188900_8139858_Historical</t>
  </si>
  <si>
    <t>7478480000_YBF009071</t>
  </si>
  <si>
    <t>423030639700_43-1980-0110-01-3</t>
  </si>
  <si>
    <t>15478_10W043672</t>
  </si>
  <si>
    <t>423030661200_2376891_Historical</t>
  </si>
  <si>
    <t>423030712100_7674976_Historical</t>
  </si>
  <si>
    <t>423030661300_8361555_Historical</t>
  </si>
  <si>
    <t>423030661300_8363003_Historical</t>
  </si>
  <si>
    <t>423030661300_8365838_Historical</t>
  </si>
  <si>
    <t>423030661300_8366412_Historical</t>
  </si>
  <si>
    <t>423030661300_8368190_Historical</t>
  </si>
  <si>
    <t>423030661300_8368320_Historical</t>
  </si>
  <si>
    <t>423030661300_8368700_Historical</t>
  </si>
  <si>
    <t>883959047_LP10830</t>
  </si>
  <si>
    <t>10097806_98052173</t>
  </si>
  <si>
    <t>121048788101_MCF007916</t>
  </si>
  <si>
    <t>1987480000_YCF007573</t>
  </si>
  <si>
    <t>423030662900_6619035_Historical</t>
  </si>
  <si>
    <t>20840_ROBINVALE</t>
  </si>
  <si>
    <t>26916_2031584</t>
  </si>
  <si>
    <t>CON00076216_DEV000057182</t>
  </si>
  <si>
    <t>18-1755-3750-01-1_08B040395</t>
  </si>
  <si>
    <t>2453927_SBFH001703</t>
  </si>
  <si>
    <t>7483357_SAFJ087967</t>
  </si>
  <si>
    <t>3006840530018_19W006119</t>
  </si>
  <si>
    <t>2757365_SAFP112971</t>
  </si>
  <si>
    <t>3077752_SAFP041305</t>
  </si>
  <si>
    <t>11107901_16AF001644</t>
  </si>
  <si>
    <t>1070019_SBFA009196</t>
  </si>
  <si>
    <t>10192401_02AF005241</t>
  </si>
  <si>
    <t>30233200_02AF005241</t>
  </si>
  <si>
    <t>7091259_SBKC001493</t>
  </si>
  <si>
    <t>6131574_SBFA002953</t>
  </si>
  <si>
    <t>6492914_SAFA034339</t>
  </si>
  <si>
    <t>127892-001_BCH132468</t>
  </si>
  <si>
    <t>CON00075258_DEV000056677</t>
  </si>
  <si>
    <t>44-2442-0010-01-3_10W049321</t>
  </si>
  <si>
    <t>3107090260015_12W148546</t>
  </si>
  <si>
    <t>30220600_04F005666</t>
  </si>
  <si>
    <t>31-1641-1200-01-4_04F005666</t>
  </si>
  <si>
    <t>31-1641-1210-01-3_04F005666</t>
  </si>
  <si>
    <t>2365207_SAFJ106283</t>
  </si>
  <si>
    <t>423030648600_2780139_Historical</t>
  </si>
  <si>
    <t>423030648600_2780408_Historical</t>
  </si>
  <si>
    <t>423030648600_2787038_Historical</t>
  </si>
  <si>
    <t>423030647900_2952711_Historical</t>
  </si>
  <si>
    <t>2137400_BDTB4717</t>
  </si>
  <si>
    <t>2119375_SDKB001186</t>
  </si>
  <si>
    <t>4664530000_YBF011383</t>
  </si>
  <si>
    <t>4664530000_YBF022692</t>
  </si>
  <si>
    <t>6693888_SBFA006965</t>
  </si>
  <si>
    <t>CON00045888_DEV000034635</t>
  </si>
  <si>
    <t>12034567_SCMA000105</t>
  </si>
  <si>
    <t>121823588109_MBFD04830</t>
  </si>
  <si>
    <t>423030666600_7361471_Historical</t>
  </si>
  <si>
    <t>423030666600_7363647_Historical</t>
  </si>
  <si>
    <t>423030666600_7364467_Historical</t>
  </si>
  <si>
    <t>423030666600_7366502_Historical</t>
  </si>
  <si>
    <t>423030666600_7366589_Historical</t>
  </si>
  <si>
    <t>423030666600_7368147_Historical</t>
  </si>
  <si>
    <t>423030666600_7368612_Historical</t>
  </si>
  <si>
    <t>2463105_07B095877</t>
  </si>
  <si>
    <t>4516848_SDMA000407</t>
  </si>
  <si>
    <t>4100789116931740_1434416</t>
  </si>
  <si>
    <t>3201920340012_10W004543</t>
  </si>
  <si>
    <t>CON00031434_DEV000034174</t>
  </si>
  <si>
    <t>CON00043303_DEV000003276</t>
  </si>
  <si>
    <t>CON00055455_1004965DC</t>
  </si>
  <si>
    <t>30486300_991122</t>
  </si>
  <si>
    <t>CON00055688_DEV000020206</t>
  </si>
  <si>
    <t>423030730300_33-0503-0010-01-7_Historical</t>
  </si>
  <si>
    <t>250418_STREATHAM</t>
  </si>
  <si>
    <t>423030783900_2537370_Historical</t>
  </si>
  <si>
    <t>19-0912-0160-01-2_06C061589</t>
  </si>
  <si>
    <t>125291661108_MBFD07528</t>
  </si>
  <si>
    <t>30101000_MBFD07528</t>
  </si>
  <si>
    <t>423030765900_Historical</t>
  </si>
  <si>
    <t>7848820000_YBF014706</t>
  </si>
  <si>
    <t>22101_S567700</t>
  </si>
  <si>
    <t>122806613128_MASR077440</t>
  </si>
  <si>
    <t>5432100000_YCF008931</t>
  </si>
  <si>
    <t>125061987128_MBF029655</t>
  </si>
  <si>
    <t>34-0242-0180-01-1_1101245</t>
  </si>
  <si>
    <t>122389493104_MA752848</t>
  </si>
  <si>
    <t>7960420000_MBF007125</t>
  </si>
  <si>
    <t>30685100_M15B035999</t>
  </si>
  <si>
    <t>48-0368-0350-01-3_M15B035999</t>
  </si>
  <si>
    <t>5294830000_YBF017383</t>
  </si>
  <si>
    <t>841940000_MBF011615</t>
  </si>
  <si>
    <t>423031301000_2204754_Historical</t>
  </si>
  <si>
    <t>423031301000_2205083_Historical</t>
  </si>
  <si>
    <t>423031301000_2207585_Historical</t>
  </si>
  <si>
    <t>423031301000_2208622_Historical</t>
  </si>
  <si>
    <t>423031301000_2208825_Historical</t>
  </si>
  <si>
    <t>423031301000_2208992_Historical</t>
  </si>
  <si>
    <t>3823600180010_THORNTON</t>
  </si>
  <si>
    <t>12586201_10AF034245</t>
  </si>
  <si>
    <t>5006700250010_M04B719234</t>
  </si>
  <si>
    <t>423030702600_INV-000_Historical</t>
  </si>
  <si>
    <t>12-0767-1500-01-1_10W070996</t>
  </si>
  <si>
    <t>423030703100_1901965_Historical</t>
  </si>
  <si>
    <t>30339400_SBFN004952</t>
  </si>
  <si>
    <t>4745537_SBFN004952</t>
  </si>
  <si>
    <t>423030798000_6618210_Historical</t>
  </si>
  <si>
    <t>4100789117939460_938570</t>
  </si>
  <si>
    <t>12262001_05BF000876</t>
  </si>
  <si>
    <t>11089201_10AF033616</t>
  </si>
  <si>
    <t>121836640105_MBFD000044</t>
  </si>
  <si>
    <t>7198950000_MAC17412</t>
  </si>
  <si>
    <t>1210965810_215042</t>
  </si>
  <si>
    <t>251052_19V50714T</t>
  </si>
  <si>
    <t>251293_19V38565T</t>
  </si>
  <si>
    <t>10158475_98052393</t>
  </si>
  <si>
    <t>423030754200_37-1519-0440-01-2_Historical</t>
  </si>
  <si>
    <t>6544480000_YAK007580</t>
  </si>
  <si>
    <t>31027800_MAK053323</t>
  </si>
  <si>
    <t>5531140000_MAK053323</t>
  </si>
  <si>
    <t>4022480140025_14W084948</t>
  </si>
  <si>
    <t>1211447910_00X016764</t>
  </si>
  <si>
    <t>12114479103_00X016764</t>
  </si>
  <si>
    <t>6884988_SAFJ085411</t>
  </si>
  <si>
    <t>8526580000_MAF008668</t>
  </si>
  <si>
    <t>1313449_SBKB000018</t>
  </si>
  <si>
    <t>2529653_97B033094</t>
  </si>
  <si>
    <t>12445901_95P002655</t>
  </si>
  <si>
    <t>9471520000_YAF173195</t>
  </si>
  <si>
    <t>52-0597-4120-01-2_17B007466</t>
  </si>
  <si>
    <t>5205974120012_MAG596605H112_CLOSED</t>
  </si>
  <si>
    <t>127896-001_BCH178746</t>
  </si>
  <si>
    <t>423031252800_T55944_Historical</t>
  </si>
  <si>
    <t>121752753109_MCK002907</t>
  </si>
  <si>
    <t>43610_WERRIMULL</t>
  </si>
  <si>
    <t>3353885081_MCF002734</t>
  </si>
  <si>
    <t>6789630000_YAAD016735</t>
  </si>
  <si>
    <t>253184_19B015909</t>
  </si>
  <si>
    <t>253419_19V37565T</t>
  </si>
  <si>
    <t>13742001_WILLOW</t>
  </si>
  <si>
    <t>30927292_SDFA001831</t>
  </si>
  <si>
    <t>4803944_SDFN001011</t>
  </si>
  <si>
    <t>4803944_TBC</t>
  </si>
  <si>
    <t>12207372108_18B066971</t>
  </si>
  <si>
    <t>12159138119_98B159376</t>
  </si>
  <si>
    <t>12159138119_99B169376</t>
  </si>
  <si>
    <t>12204493105_19B001540</t>
  </si>
  <si>
    <t>423030668100_1036290_Historical</t>
  </si>
  <si>
    <t>423030668100_1036908_Historical</t>
  </si>
  <si>
    <t>423030668100_1038515_Historical</t>
  </si>
  <si>
    <t>423030668100_1038995_Historical</t>
  </si>
  <si>
    <t>423030668100_1039006_Historical</t>
  </si>
  <si>
    <t>423030668100_1039885_Historical</t>
  </si>
  <si>
    <t>423030668100_7121319_Historical</t>
  </si>
  <si>
    <t>423030668100_7124252_Historical</t>
  </si>
  <si>
    <t>423030668100_7125108_Historical</t>
  </si>
  <si>
    <t>423030668100_7125144_Historical</t>
  </si>
  <si>
    <t>423030668100_7125526_Historical</t>
  </si>
  <si>
    <t>423030668100_7129072_Historical</t>
  </si>
  <si>
    <t>423030668100_7129463_Historical</t>
  </si>
  <si>
    <t>4551330000_MAK121567</t>
  </si>
  <si>
    <t>4551330000_YATD104653_CLOSED</t>
  </si>
  <si>
    <t>4150004600_06X054961</t>
  </si>
  <si>
    <t>20-0072-2400-01-1_16T0619</t>
  </si>
  <si>
    <t>423030710300_5521005_Historical</t>
  </si>
  <si>
    <t>423030710300_5521110_Historical</t>
  </si>
  <si>
    <t>423030710300_5521577_Historical</t>
  </si>
  <si>
    <t>423030710300_5523012_Historical</t>
  </si>
  <si>
    <t>423030710300_5527765_Historical</t>
  </si>
  <si>
    <t>254132_19V44892T</t>
  </si>
  <si>
    <t>13818801_YALLOURN</t>
  </si>
  <si>
    <t>423030699200_1958793_Historical</t>
  </si>
  <si>
    <t>9687180000_MP007543</t>
  </si>
  <si>
    <t>929380000_LP218691</t>
  </si>
  <si>
    <t>125053753109_MAFD82548</t>
  </si>
  <si>
    <t>1211854210_96B021151</t>
  </si>
  <si>
    <t>46-2377-0040-01-3_08W087194</t>
  </si>
  <si>
    <t>423030703600_5600882_Historical</t>
  </si>
  <si>
    <t>423030703600_5601778_Historical</t>
  </si>
  <si>
    <t>423030703600_5603133_Historical</t>
  </si>
  <si>
    <t>423030703600_5604260_Historical</t>
  </si>
  <si>
    <t>423030703600_5607650_Historical</t>
  </si>
  <si>
    <t>423030703600_5609971_Historical</t>
  </si>
  <si>
    <t>423031206800_9003022601_Historical</t>
  </si>
  <si>
    <t>9006181851_BC0700462</t>
  </si>
  <si>
    <t>9000961419_CK0500944</t>
  </si>
  <si>
    <t>9006107272_BD9895120</t>
  </si>
  <si>
    <t>9004961686_BC0727266</t>
  </si>
  <si>
    <t>9000874227_BC1727370</t>
  </si>
  <si>
    <t>423030850400_9006368958_Historical</t>
  </si>
  <si>
    <t>423030951000_9007842316_Historical</t>
  </si>
  <si>
    <t>423030809800_9007892049_Historical</t>
  </si>
  <si>
    <t>423031235200_9016131014_Historical</t>
  </si>
  <si>
    <t>9004453438_BC1928705</t>
  </si>
  <si>
    <t>423030822500_9007811771_Historical</t>
  </si>
  <si>
    <t>9004214111_BC18118209</t>
  </si>
  <si>
    <t>9001055709_BC1858241</t>
  </si>
  <si>
    <t>423030822800_9007821216_Historical</t>
  </si>
  <si>
    <t>423031058300_9000014163_Historical</t>
  </si>
  <si>
    <t>423031451900_9009366296_Historical</t>
  </si>
  <si>
    <t>9004364750_BK0149827</t>
  </si>
  <si>
    <t>423031055900_9004552436_Historical</t>
  </si>
  <si>
    <t>423030822900_9007822040_Historical</t>
  </si>
  <si>
    <t>423030822900_9011974581_Historical</t>
  </si>
  <si>
    <t>423030808400_9007244391_Historical</t>
  </si>
  <si>
    <t>423030808600_9007083575_Historical</t>
  </si>
  <si>
    <t>423030808700_9007580117</t>
  </si>
  <si>
    <t>423030801500_9009813906_Historical</t>
  </si>
  <si>
    <t>423030809000_9007249723_Historical</t>
  </si>
  <si>
    <t>423030876400_9007548889_Historical</t>
  </si>
  <si>
    <t>423030861000_9007363526_Historical</t>
  </si>
  <si>
    <t>423030861000_A20560_Historical</t>
  </si>
  <si>
    <t>9006863078_BC0501191</t>
  </si>
  <si>
    <t>423030808300_9007794510_Historical</t>
  </si>
  <si>
    <t>423030806400_9013079433_Historical</t>
  </si>
  <si>
    <t>9006939095_BC0803290</t>
  </si>
  <si>
    <t>9006939095_BC1139016</t>
  </si>
  <si>
    <t>9007581494_BK0290662_CLOSED</t>
  </si>
  <si>
    <t>9007581494_BK0290882</t>
  </si>
  <si>
    <t>423030871500_9006407400_Historical</t>
  </si>
  <si>
    <t>9004560305_BK0615296</t>
  </si>
  <si>
    <t>41108929_15400059</t>
  </si>
  <si>
    <t>11-0306-0200-01-8_BB1500563</t>
  </si>
  <si>
    <t>9006168163_BK0634976</t>
  </si>
  <si>
    <t>423031131500_9003124616_Historical</t>
  </si>
  <si>
    <t>30811900_LC14911</t>
  </si>
  <si>
    <t>9005364488_BC1913476</t>
  </si>
  <si>
    <t>423030810200_9006510387_Historical</t>
  </si>
  <si>
    <t>423030870900_9004899149_Historical</t>
  </si>
  <si>
    <t>9006988970_BC1024307</t>
  </si>
  <si>
    <t>9006758470_BC0515145</t>
  </si>
  <si>
    <t>30856000_CARNARVON</t>
  </si>
  <si>
    <t>423031006900_9007256472_Historical</t>
  </si>
  <si>
    <t>423031000700_9004693896_Historical</t>
  </si>
  <si>
    <t>9006815017_BK0323086</t>
  </si>
  <si>
    <t>9008350356_BC1654818</t>
  </si>
  <si>
    <t>423030995600_9019088840_Historical</t>
  </si>
  <si>
    <t>423030865000_9007586543_Historical</t>
  </si>
  <si>
    <t>30079300_770256</t>
  </si>
  <si>
    <t>9001346477_770256</t>
  </si>
  <si>
    <t>9006668141_BK0161218</t>
  </si>
  <si>
    <t>423031001500_9006994342_Historical</t>
  </si>
  <si>
    <t>423030877100_9007830542_Historical</t>
  </si>
  <si>
    <t>423031069900_9008839661_Historical</t>
  </si>
  <si>
    <t>9007824361_BK0277579</t>
  </si>
  <si>
    <t>423030877800_9006514468_Historical</t>
  </si>
  <si>
    <t>9004637528_BC1638609</t>
  </si>
  <si>
    <t>423030862100_9008152720_Historical</t>
  </si>
  <si>
    <t>9006293327_BK0029927</t>
  </si>
  <si>
    <t>9006980952_BC0536331</t>
  </si>
  <si>
    <t>9007007847_BC1527993</t>
  </si>
  <si>
    <t>9006860213_BC0722568</t>
  </si>
  <si>
    <t>9002787020_BC0701868</t>
  </si>
  <si>
    <t>9007827722_BC0804818</t>
  </si>
  <si>
    <t>9007667239_BC0639817</t>
  </si>
  <si>
    <t>9003947698_BC0620419</t>
  </si>
  <si>
    <t>423030859800_9006545993_Historical</t>
  </si>
  <si>
    <t>9004558416_BC1728928</t>
  </si>
  <si>
    <t>423030807900_9007014502_Historical</t>
  </si>
  <si>
    <t>9007396264_BK0431130</t>
  </si>
  <si>
    <t>9007379579_EK1000240</t>
  </si>
  <si>
    <t>9006788960_CK1300728</t>
  </si>
  <si>
    <t>9006986801_BC0554924_CLOSED</t>
  </si>
  <si>
    <t>9006986801_BC1102565</t>
  </si>
  <si>
    <t>423030865900_9006350643_Historical</t>
  </si>
  <si>
    <t>9007261482_BC0514278</t>
  </si>
  <si>
    <t>9003473242_BC0633127</t>
  </si>
  <si>
    <t>9004650845_BC0742919</t>
  </si>
  <si>
    <t>423030969100_9007131151_Historical</t>
  </si>
  <si>
    <t>31088500_FK0700403</t>
  </si>
  <si>
    <t>9004539020_FK0700403</t>
  </si>
  <si>
    <t>9007836645_BK0120236</t>
  </si>
  <si>
    <t>9005829855_ck0600336</t>
  </si>
  <si>
    <t>423030820300_9010629567_Historical</t>
  </si>
  <si>
    <t>423030820400_9006884573_Historical</t>
  </si>
  <si>
    <t>9007970676_BK0418545</t>
  </si>
  <si>
    <t>9004610130_BK0601705</t>
  </si>
  <si>
    <t>9007553274_BC1659263</t>
  </si>
  <si>
    <t>423030876500_9008166612_Historical</t>
  </si>
  <si>
    <t>9002960903_CK1600376</t>
  </si>
  <si>
    <t>9004527257_BC1653850</t>
  </si>
  <si>
    <t>423031001900_9007669533_Historical</t>
  </si>
  <si>
    <t>9000727120_BK0360846</t>
  </si>
  <si>
    <t>423030989000_9007777665_Historical</t>
  </si>
  <si>
    <t>423030874700_9005942882_Historical</t>
  </si>
  <si>
    <t>423030824700_9007773752_Historical</t>
  </si>
  <si>
    <t>9000494099_CK0501075</t>
  </si>
  <si>
    <t>30828300_JERRAMUNGUP</t>
  </si>
  <si>
    <t>9007792291_BC0536111</t>
  </si>
  <si>
    <t>9012269067_BK02109715</t>
  </si>
  <si>
    <t>9003743636_BC1434989</t>
  </si>
  <si>
    <t>423030818200_9007273037_Historical</t>
  </si>
  <si>
    <t>9004852404_BC0620880_CLOSED</t>
  </si>
  <si>
    <t>9004852404_BC1709916</t>
  </si>
  <si>
    <t>9007183111_BC1415450</t>
  </si>
  <si>
    <t>30338200_BC1130845</t>
  </si>
  <si>
    <t>9007465979_BC0303020</t>
  </si>
  <si>
    <t>9007465979_BC1130845</t>
  </si>
  <si>
    <t>423031255600_A35104_Historical</t>
  </si>
  <si>
    <t>9009534149_9702367</t>
  </si>
  <si>
    <t>9008436352_BC1436522</t>
  </si>
  <si>
    <t>423031251000_9008466797_Historical</t>
  </si>
  <si>
    <t>9007678616_BC0534525</t>
  </si>
  <si>
    <t>9007593858_BK0290839</t>
  </si>
  <si>
    <t>9005960159_BC1643374</t>
  </si>
  <si>
    <t>9015179657_BC1526296</t>
  </si>
  <si>
    <t>9003570413_BC1305046</t>
  </si>
  <si>
    <t>9003570413_BC130504624</t>
  </si>
  <si>
    <t>423030843300_9006886608_Historical</t>
  </si>
  <si>
    <t>9007770121_BK0527770</t>
  </si>
  <si>
    <t>423030827400_9007701863_Historical</t>
  </si>
  <si>
    <t>423030957000_9007700609_Historical</t>
  </si>
  <si>
    <t>9007558462_BC1919475</t>
  </si>
  <si>
    <t>9007558462_CLOSED</t>
  </si>
  <si>
    <t>9007704490_BC0721807</t>
  </si>
  <si>
    <t>9007285839_BC0519283</t>
  </si>
  <si>
    <t>9003539424_BK0210468</t>
  </si>
  <si>
    <t>9007521977_BC1837745</t>
  </si>
  <si>
    <t>9004865926_BK0619911</t>
  </si>
  <si>
    <t>423030988500_9006326707_Historical</t>
  </si>
  <si>
    <t>9007694931_BK0524332</t>
  </si>
  <si>
    <t>9005691219_BC1621640</t>
  </si>
  <si>
    <t>9004795008_BC18118065</t>
  </si>
  <si>
    <t>9008013683_BC1422961</t>
  </si>
  <si>
    <t>9008143138_BC0615116</t>
  </si>
  <si>
    <t>9006887707_BK0513220</t>
  </si>
  <si>
    <t>9008339974_CK1400200</t>
  </si>
  <si>
    <t>9006672212_BC0501261</t>
  </si>
  <si>
    <t>423030984600_9007528431_Historical</t>
  </si>
  <si>
    <t>9002216295_BK0000053</t>
  </si>
  <si>
    <t>9008056050_BC0547969</t>
  </si>
  <si>
    <t>9000339750_BC0764245</t>
  </si>
  <si>
    <t>9007185694_BC0515323</t>
  </si>
  <si>
    <t>9007185942_BC1129034</t>
  </si>
  <si>
    <t>9007600560_BC0603398</t>
  </si>
  <si>
    <t>9004288495_CD9600087</t>
  </si>
  <si>
    <t>9004288495_CK1900121</t>
  </si>
  <si>
    <t>423030821500_9007851140_Historical</t>
  </si>
  <si>
    <t>9007193280_BC1651294</t>
  </si>
  <si>
    <t>423030821700_9007122263_Historical</t>
  </si>
  <si>
    <t>9007300824_BK0537243</t>
  </si>
  <si>
    <t>423030875100_A268_Historical</t>
  </si>
  <si>
    <t>30345300_BK0528543</t>
  </si>
  <si>
    <t>9007433096_FK0600515</t>
  </si>
  <si>
    <t>9004706423_BC1650429</t>
  </si>
  <si>
    <t>9007200030_BC0639308</t>
  </si>
  <si>
    <t>9002292589_BC18113425</t>
  </si>
  <si>
    <t>9003375052_BC0627684_CLOSED</t>
  </si>
  <si>
    <t>9003375052_BC1844576</t>
  </si>
  <si>
    <t>9007206248_BC1726297</t>
  </si>
  <si>
    <t>9004680729_BC0601958</t>
  </si>
  <si>
    <t>423030874600_9000387525_Historical</t>
  </si>
  <si>
    <t>423030878500_9007797455_Historical</t>
  </si>
  <si>
    <t>423030868600_9006916299_Historical</t>
  </si>
  <si>
    <t>9007622591_BK0290852</t>
  </si>
  <si>
    <t>9007713880_BK0527810</t>
  </si>
  <si>
    <t>9001431815_BC1852458</t>
  </si>
  <si>
    <t>423030876200_9007733611_Historical</t>
  </si>
  <si>
    <t>9008414436_BC1021137</t>
  </si>
  <si>
    <t>423030959300_9007634795</t>
  </si>
  <si>
    <t>9007534065_S648580</t>
  </si>
  <si>
    <t>9007904046_CK0100407</t>
  </si>
  <si>
    <t>30362800_BC0811405</t>
  </si>
  <si>
    <t>9007212509_BC0811405</t>
  </si>
  <si>
    <t>423030878700_9006916854_Historical</t>
  </si>
  <si>
    <t>9008342014_BK0277733</t>
  </si>
  <si>
    <t>423030958000_9007735203_Historical</t>
  </si>
  <si>
    <t>9003760209_BC0607650</t>
  </si>
  <si>
    <t>423030835000_9007789383_Historical</t>
  </si>
  <si>
    <t>423030835000_A899_Historical</t>
  </si>
  <si>
    <t>9008513901_BC1232572</t>
  </si>
  <si>
    <t>423031106700_9002650606_Historical</t>
  </si>
  <si>
    <t>423030845500_9006340322_Historical</t>
  </si>
  <si>
    <t>9000847026_BK1707585</t>
  </si>
  <si>
    <t>423030845600_9004661675_Historical</t>
  </si>
  <si>
    <t>31244500_BC1549159</t>
  </si>
  <si>
    <t>9007216710_BC1549159</t>
  </si>
  <si>
    <t>9001802233_CK1300734</t>
  </si>
  <si>
    <t>423030810100_9004902088_Historical</t>
  </si>
  <si>
    <t>423030858900_41278722_Historical</t>
  </si>
  <si>
    <t>9001944004_FK1400270</t>
  </si>
  <si>
    <t>9007736994_BC0705264</t>
  </si>
  <si>
    <t>423030860100_9007743254_Historical</t>
  </si>
  <si>
    <t>9008216253_BK0418863</t>
  </si>
  <si>
    <t>423030860400_9007852020_Historical</t>
  </si>
  <si>
    <t>423031623800_9016780479_Historical</t>
  </si>
  <si>
    <t>9007856881_BK0292198</t>
  </si>
  <si>
    <t>30246000_BC0620429</t>
  </si>
  <si>
    <t>9003894784_BC0620429</t>
  </si>
  <si>
    <t>9005430561_ED9900196</t>
  </si>
  <si>
    <t>9000163599_BC1611615</t>
  </si>
  <si>
    <t>423030842400_9006349693_Historical</t>
  </si>
  <si>
    <t>9008479117_BC0504452_CLOSED</t>
  </si>
  <si>
    <t>9008479117_BC1213672</t>
  </si>
  <si>
    <t>9002807618_BC0635268</t>
  </si>
  <si>
    <t>9000004301_BC0711025</t>
  </si>
  <si>
    <t>423030836100_9006178070_Historical</t>
  </si>
  <si>
    <t>9000381465_BK0241647</t>
  </si>
  <si>
    <t>423030841600_9008365523_Historical</t>
  </si>
  <si>
    <t>9005068208_BK0351236</t>
  </si>
  <si>
    <t>9007544597_BK0223010</t>
  </si>
  <si>
    <t>9000454310_BC0621838</t>
  </si>
  <si>
    <t>423030874400_9004389325-20_Historical</t>
  </si>
  <si>
    <t>9001562997_CK1400789</t>
  </si>
  <si>
    <t>423030861100_9007623404_Historical</t>
  </si>
  <si>
    <t>423031683500_9013851323_Historical</t>
  </si>
  <si>
    <t>423031185700_9007035717_Historical</t>
  </si>
  <si>
    <t>423030848300_9007222969_Historical</t>
  </si>
  <si>
    <t>423030850700_Historical</t>
  </si>
  <si>
    <t>9007933859_BD9813203</t>
  </si>
  <si>
    <t>423030863500_9008902704_Historical</t>
  </si>
  <si>
    <t>9002554155_CD0300001_CLOSED</t>
  </si>
  <si>
    <t>9002554155_CK1100483</t>
  </si>
  <si>
    <t>9003866185_BC1225027</t>
  </si>
  <si>
    <t>9001996592_BC1822814</t>
  </si>
  <si>
    <t>9007755036_BK0526708</t>
  </si>
  <si>
    <t>9004895252_BC0616724</t>
  </si>
  <si>
    <t>423030850000_9006924379_Historical</t>
  </si>
  <si>
    <t>9003698257_CK0900549</t>
  </si>
  <si>
    <t>9000031684_BC1723228</t>
  </si>
  <si>
    <t>9008228932_BK0418950</t>
  </si>
  <si>
    <t>30255000_KK1600240</t>
  </si>
  <si>
    <t>9023806526_KK1700209*</t>
  </si>
  <si>
    <t>9001624051_BC1923049</t>
  </si>
  <si>
    <t>423030989600_9007626672_Historical</t>
  </si>
  <si>
    <t>423030849100_9007762375_Historical</t>
  </si>
  <si>
    <t>423030849100_A5178_Historical</t>
  </si>
  <si>
    <t>9008487061_BC0614168</t>
  </si>
  <si>
    <t>9008487061_BC1218641_CLOSED</t>
  </si>
  <si>
    <t>9007224980_BC1533007</t>
  </si>
  <si>
    <t>9007862317_BK0277542</t>
  </si>
  <si>
    <t>423030848900_9004692949_Historical</t>
  </si>
  <si>
    <t>423031257800_9007125130_Historical</t>
  </si>
  <si>
    <t>423031464000_9007868639_Historical</t>
  </si>
  <si>
    <t>423031464000_9009591266_Historical</t>
  </si>
  <si>
    <t>9007872523_BK0254301</t>
  </si>
  <si>
    <t>423030837100_9007574702_Historical</t>
  </si>
  <si>
    <t>9007243102_BC0639471</t>
  </si>
  <si>
    <t>9003848227_BC1557370</t>
  </si>
  <si>
    <t>9007879346_BK0285842</t>
  </si>
  <si>
    <t>423030969500_9007226089_Historical</t>
  </si>
  <si>
    <t>423030854100_9022249617_Historical</t>
  </si>
  <si>
    <t>423030854100_9022249617-03_Historical</t>
  </si>
  <si>
    <t>423030854100_9022249617-05_Historical</t>
  </si>
  <si>
    <t>31430900_03X034602</t>
  </si>
  <si>
    <t>4390610_CRXJ0387</t>
  </si>
  <si>
    <t>4658360_BDUA2041</t>
  </si>
  <si>
    <t>10022838_VL0015</t>
  </si>
  <si>
    <t>30100100_SAFP121217</t>
  </si>
  <si>
    <t>7480640_SAFP121217</t>
  </si>
  <si>
    <t>31660100_JANNALI</t>
  </si>
  <si>
    <t>30363500_KYBEYAN</t>
  </si>
  <si>
    <t>201949_05W882743</t>
  </si>
  <si>
    <t>4115058_DDQC1452</t>
  </si>
  <si>
    <t>423030482400_22153-1_Historical</t>
  </si>
  <si>
    <t>125RIDGESt_GVB34897</t>
  </si>
  <si>
    <t>31816300_MORPETH</t>
  </si>
  <si>
    <t>423032008500_921061_Historical</t>
  </si>
  <si>
    <t>04083-00000000_17VC01858</t>
  </si>
  <si>
    <t>5063043_BDPJ1050</t>
  </si>
  <si>
    <t>31950300_PARKWOOD</t>
  </si>
  <si>
    <t>206684_QUEANBEYAN</t>
  </si>
  <si>
    <t>31733500_SMEATON</t>
  </si>
  <si>
    <t>31474500_ST</t>
  </si>
  <si>
    <t>31775000_SUTHERLAND</t>
  </si>
  <si>
    <t>31423500_TAMWORTH</t>
  </si>
  <si>
    <t>27182005_2519</t>
  </si>
  <si>
    <t>423030305000_2240600000_Historical</t>
  </si>
  <si>
    <t>28531_20000218</t>
  </si>
  <si>
    <t>423031740300_412992_Historical</t>
  </si>
  <si>
    <t>4529246_DRYF0081</t>
  </si>
  <si>
    <t>31395100_WEST</t>
  </si>
  <si>
    <t>423031623300_413008_Historical</t>
  </si>
  <si>
    <t>6015_11105277RW</t>
  </si>
  <si>
    <t>8117954_YERRINBOOL</t>
  </si>
  <si>
    <t>30237800_YETMAN</t>
  </si>
  <si>
    <t>387703_30122488</t>
  </si>
  <si>
    <t>810099264_13HB00567</t>
  </si>
  <si>
    <t>810099264_3HB00567</t>
  </si>
  <si>
    <t>1009497_04C041827</t>
  </si>
  <si>
    <t>1009497_UT1500003X</t>
  </si>
  <si>
    <t>195860_19W076853</t>
  </si>
  <si>
    <t>423031669500_1134824</t>
  </si>
  <si>
    <t>423031409700_823092736_Historical</t>
  </si>
  <si>
    <t>423030045100_811600683_Historical</t>
  </si>
  <si>
    <t>423030054500_00979-50000-000_Historical</t>
  </si>
  <si>
    <t>10030261_ADC09719</t>
  </si>
  <si>
    <t>98887297_EDENS</t>
  </si>
  <si>
    <t>10013684_EKIBIN</t>
  </si>
  <si>
    <t>10375552_FIG</t>
  </si>
  <si>
    <t>101064930300003_APB00717</t>
  </si>
  <si>
    <t>2105400000000_GILMORE</t>
  </si>
  <si>
    <t>423031284000_821722408_Historical</t>
  </si>
  <si>
    <t>99019759_R08032115</t>
  </si>
  <si>
    <t>1088818_13F000589</t>
  </si>
  <si>
    <t>30146200_13F000589</t>
  </si>
  <si>
    <t>10335182_KENMORE</t>
  </si>
  <si>
    <t>10041165_KURABY</t>
  </si>
  <si>
    <t>423031513000_210094</t>
  </si>
  <si>
    <t>7282_14W094289</t>
  </si>
  <si>
    <t>4041595000000_10W068018</t>
  </si>
  <si>
    <t>10119234_ABF03762</t>
  </si>
  <si>
    <t>814716786_07W020962</t>
  </si>
  <si>
    <t>423030186500_820667112_Historical</t>
  </si>
  <si>
    <t>31396400_RD15000070</t>
  </si>
  <si>
    <t>10430188_ROCHEDALE</t>
  </si>
  <si>
    <t>11001997_SCAX</t>
  </si>
  <si>
    <t>423032038400_101049926300000_Historical</t>
  </si>
  <si>
    <t>85910_10C003552</t>
  </si>
  <si>
    <t>150524_DCV107065</t>
  </si>
  <si>
    <t>307108_WHITFIELD</t>
  </si>
  <si>
    <t>98992964_R13008611</t>
  </si>
  <si>
    <t>98992964_R99011863</t>
  </si>
  <si>
    <t>951004600_M40500611</t>
  </si>
  <si>
    <t>8635672202_E71225078</t>
  </si>
  <si>
    <t>6007630002_M51103491</t>
  </si>
  <si>
    <t>908224506_UNLEY</t>
  </si>
  <si>
    <t>31841200_597</t>
  </si>
  <si>
    <t>423033147300_651620_Historical</t>
  </si>
  <si>
    <t>270030038_12W100768</t>
  </si>
  <si>
    <t>210034738_11W162509</t>
  </si>
  <si>
    <t>423031332500_270113771_Historical</t>
  </si>
  <si>
    <t>423031791400_270048184_Historical</t>
  </si>
  <si>
    <t>240057877_12O051383</t>
  </si>
  <si>
    <t>423030947300_240030642</t>
  </si>
  <si>
    <t>240063444_8SEN0110095335</t>
  </si>
  <si>
    <t>31332400_TRANMERE</t>
  </si>
  <si>
    <t>240013390_8SEN0130172591</t>
  </si>
  <si>
    <t>1221449210_11B185920</t>
  </si>
  <si>
    <t>423031925400_Historical</t>
  </si>
  <si>
    <t>122018746109_MAFD29793</t>
  </si>
  <si>
    <t>5635670000_YAF248283</t>
  </si>
  <si>
    <t>423031359800_1521774_Historical</t>
  </si>
  <si>
    <t>423031359800_1523189_Historical</t>
  </si>
  <si>
    <t>423031359800_1523892_Historical</t>
  </si>
  <si>
    <t>423031359800_1524940_Historical</t>
  </si>
  <si>
    <t>423031359800_1528042_Historical</t>
  </si>
  <si>
    <t>423031359800_1529109_Historical</t>
  </si>
  <si>
    <t>423031359800_1529494_Historical</t>
  </si>
  <si>
    <t>423031359800_1529828_Historical</t>
  </si>
  <si>
    <t>CON00071361_DEV000047009</t>
  </si>
  <si>
    <t>2087170000_YAAD050642</t>
  </si>
  <si>
    <t>423031340500_460384_Historical</t>
  </si>
  <si>
    <t>423031340500_460635_Historical</t>
  </si>
  <si>
    <t>423031340500_462284_Historical</t>
  </si>
  <si>
    <t>423031340500_464514_Historical</t>
  </si>
  <si>
    <t>423031340500_465968_Historical</t>
  </si>
  <si>
    <t>423031340500_469774_Historical</t>
  </si>
  <si>
    <t>TELS1_BC0744022</t>
  </si>
  <si>
    <t>423030723300_1737620_Historical</t>
  </si>
  <si>
    <t>423031296800_Historical</t>
  </si>
  <si>
    <t>423031392800_2622008_Historical</t>
  </si>
  <si>
    <t>423031392800_2622260_Historical</t>
  </si>
  <si>
    <t>423031392800_2622998_Historical</t>
  </si>
  <si>
    <t>423031392800_2626529_Historical</t>
  </si>
  <si>
    <t>423031392800_2628836_Historical</t>
  </si>
  <si>
    <t>423031392800_2629011_Historical</t>
  </si>
  <si>
    <t>423031392800_2629907_Historical</t>
  </si>
  <si>
    <t>12-0419-1350-01-9_12W049871</t>
  </si>
  <si>
    <t>423030790200_3196752_Historical</t>
  </si>
  <si>
    <t>423030790200_3198900_Historical</t>
  </si>
  <si>
    <t>423031827100_T53_Historical</t>
  </si>
  <si>
    <t>423031790200_380084_Historical</t>
  </si>
  <si>
    <t>423031790200_380454_Historical</t>
  </si>
  <si>
    <t>423031790200_382708_Historical</t>
  </si>
  <si>
    <t>423031790200_388751_Historical</t>
  </si>
  <si>
    <t>423031790200_389619_Historical</t>
  </si>
  <si>
    <t>423031790200_3934648_Historical</t>
  </si>
  <si>
    <t>CON00079178_DEV000053732</t>
  </si>
  <si>
    <t>6070530000_YBF017016</t>
  </si>
  <si>
    <t>31584900_FITZROY</t>
  </si>
  <si>
    <t>803720000_RP14332</t>
  </si>
  <si>
    <t>423031609600_Historical</t>
  </si>
  <si>
    <t>423031282300_1701866_Historical</t>
  </si>
  <si>
    <t>423031282300_1705557_Historical</t>
  </si>
  <si>
    <t>423031282300_1706284_Historical</t>
  </si>
  <si>
    <t>423031282300_1706505_Historical</t>
  </si>
  <si>
    <t>423031282300_1708008_Historical</t>
  </si>
  <si>
    <t>423031282300_1708847_Historical</t>
  </si>
  <si>
    <t>423031282300_1708952_Historical</t>
  </si>
  <si>
    <t>423031214300_7950304_Historical</t>
  </si>
  <si>
    <t>423031214300_7950588_Historical</t>
  </si>
  <si>
    <t>423031214300_7951987_Historical</t>
  </si>
  <si>
    <t>423031214300_7956981_Historical</t>
  </si>
  <si>
    <t>423031214300_7957330_Historical</t>
  </si>
  <si>
    <t>423031214300_7958393_Historical</t>
  </si>
  <si>
    <t>423031214300_7959181_Historical</t>
  </si>
  <si>
    <t>1652013_SAFJ041599</t>
  </si>
  <si>
    <t>3326510780_09W005567</t>
  </si>
  <si>
    <t>6RobinsonRoad_SAKC080989</t>
  </si>
  <si>
    <t>423030604100_1703248_Historical</t>
  </si>
  <si>
    <t>25-1296-0020-01-2_12W140987</t>
  </si>
  <si>
    <t>423031661900_8933165_Historical</t>
  </si>
  <si>
    <t>423031907200_9240831_Historical</t>
  </si>
  <si>
    <t>423031907200_9241799_Historical</t>
  </si>
  <si>
    <t>423031907200_9246097_Historical</t>
  </si>
  <si>
    <t>423031907200_9246912_Historical</t>
  </si>
  <si>
    <t>423031907200_9249033_Historical</t>
  </si>
  <si>
    <t>423031907200_9249258_Historical</t>
  </si>
  <si>
    <t>423031907200_9249785_Historical</t>
  </si>
  <si>
    <t>5402930_SEFA000847</t>
  </si>
  <si>
    <t>3003340000_MAF031838</t>
  </si>
  <si>
    <t>1633432300013_08B044298</t>
  </si>
  <si>
    <t>122285510102_MAF499455</t>
  </si>
  <si>
    <t>10392159_PUBLIC</t>
  </si>
  <si>
    <t>.</t>
  </si>
  <si>
    <t>Emission Source</t>
  </si>
  <si>
    <t>Level 4</t>
  </si>
  <si>
    <t>Residences</t>
  </si>
  <si>
    <t>Retail</t>
  </si>
  <si>
    <t>Commercial</t>
  </si>
  <si>
    <t>St Leonards DC</t>
  </si>
  <si>
    <t>Telstra services on BCA Sites</t>
  </si>
  <si>
    <t>BCA on Telstra sites for removal (-ve values)</t>
  </si>
  <si>
    <t>NBN Co Removal (figures should be -ve)</t>
  </si>
  <si>
    <t>TNA Gas ACT A</t>
  </si>
  <si>
    <t>TNA Gas QLD A</t>
  </si>
  <si>
    <t>TNA Gas TAS A</t>
  </si>
  <si>
    <t>TNA Gas WA A</t>
  </si>
  <si>
    <t>TNA Gas ACT BBB</t>
  </si>
  <si>
    <t>TNA Gas QLD BBB</t>
  </si>
  <si>
    <t>TNA Gas TAS BBB</t>
  </si>
  <si>
    <t>TNA Gas WA BBB</t>
  </si>
  <si>
    <t>Telstra Office Accommodations Gas ACT A</t>
  </si>
  <si>
    <t>Telstra Office Accommodations Gas QLD A</t>
  </si>
  <si>
    <t>Telstra Office Accommodations Gas SA A</t>
  </si>
  <si>
    <t>Telstra Office Accommodations Gas TAS A</t>
  </si>
  <si>
    <t>Telstra Office Accommodations Gas WA A</t>
  </si>
  <si>
    <t>Telstra Office Accommodations Gas ACT BBB</t>
  </si>
  <si>
    <t>Telstra Office Accommodations Gas QLD BBB</t>
  </si>
  <si>
    <t>Telstra Office Accommodations Gas SA BBB</t>
  </si>
  <si>
    <t>Telstra Office Accommodations Gas TAS BBB</t>
  </si>
  <si>
    <t>Telstra Office Accommodations Gas WA BBB</t>
  </si>
  <si>
    <t/>
  </si>
  <si>
    <t>Visionstream Genset</t>
  </si>
  <si>
    <t>Visionstream Grounds</t>
  </si>
  <si>
    <t>NON Genset</t>
  </si>
  <si>
    <t>Fleet</t>
  </si>
  <si>
    <t>Telstra FLEET Diesel 04 or earlier ACT A</t>
  </si>
  <si>
    <t>Telstra FLEET Diesel 04 or earlier NT A</t>
  </si>
  <si>
    <t>Telstra FLEET Ethanol post 04 NT A</t>
  </si>
  <si>
    <t>Telstra FLEET Ethanol post 04 WA A</t>
  </si>
  <si>
    <t>Telstra FLEET LPG post 04 ACT A</t>
  </si>
  <si>
    <t>Telstra FLEET LPG post 04 NT A</t>
  </si>
  <si>
    <t>Telstra FLEET LPG post 04 TAS A</t>
  </si>
  <si>
    <t>Telstra FLEET LPG post 04 WA A</t>
  </si>
  <si>
    <t>Telstra FLEET Petrol 04 or earlier ACT A</t>
  </si>
  <si>
    <t>Telstra FLEET Petrol 04 or earlier NSW A</t>
  </si>
  <si>
    <t>Telstra FLEET Petrol 04 or earlier NT A</t>
  </si>
  <si>
    <t>Telstra FLEET Petrol 04 or earlier QLD A</t>
  </si>
  <si>
    <t>Telstra FLEET Petrol 04 or earlier SA A</t>
  </si>
  <si>
    <t>Telstra FLEET Petrol 04 or earlier TAS A</t>
  </si>
  <si>
    <t>Telstra FLEET Petrol 04 or earlier WA A</t>
  </si>
  <si>
    <t>Stationary Diesel LeasePlan ACT</t>
  </si>
  <si>
    <t>Fleet Stationary</t>
  </si>
  <si>
    <t>Stationary LPG LeasePlan ACT</t>
  </si>
  <si>
    <t>Stationary LPG LeasePlan NSW</t>
  </si>
  <si>
    <t>Stationary LPG LeasePlan VIC</t>
  </si>
  <si>
    <t>Stationary LPG LeasePlan QLD</t>
  </si>
  <si>
    <t>Stationary LPG LeasePlan WA</t>
  </si>
  <si>
    <t>Stationary LPG LeasePlan SA</t>
  </si>
  <si>
    <t>Stationary LPG LeasePlan TAS</t>
  </si>
  <si>
    <t>Stationary LPG LeasePlan NT</t>
  </si>
  <si>
    <t>Stationary Petrol LeasePlan ACT</t>
  </si>
  <si>
    <t>Stationary Petrol LeasePlan WA</t>
  </si>
  <si>
    <t>Stationary Petrol LeasePlan SA</t>
  </si>
  <si>
    <t>Stationary Petrol LeasePlan NT</t>
  </si>
  <si>
    <t>Stationary Ethanol LeasePlan ACT</t>
  </si>
  <si>
    <t>Stationary Ethanol LeasePlan NSW</t>
  </si>
  <si>
    <t>Stationary Ethanol LeasePlan VIC</t>
  </si>
  <si>
    <t>Stationary Ethanol LeasePlan WA</t>
  </si>
  <si>
    <t>Stationary Ethanol LeasePlan SA</t>
  </si>
  <si>
    <t>Stationary Ethanol LeasePlan TAS</t>
  </si>
  <si>
    <t>Stationary Ethanol LeasePlan NT</t>
  </si>
  <si>
    <t>Contractors</t>
  </si>
  <si>
    <t>Contractor Vehicle Use Petrol 04 or earlier ACT</t>
  </si>
  <si>
    <t>Contractor Vehicle Use Petrol 04 or earlier NSW</t>
  </si>
  <si>
    <t>Contractor Vehicle Use Petrol 04 or earlier NT</t>
  </si>
  <si>
    <t>Contractor Vehicle Use Petrol 04 or earlier QLD</t>
  </si>
  <si>
    <t>Contractor Vehicle Use Petrol 04 or earlier SA</t>
  </si>
  <si>
    <t>Contractor Vehicle Use Petrol 04 or earlier TAS</t>
  </si>
  <si>
    <t>Contractor Vehicle Use Petrol 04 or earlier VIC</t>
  </si>
  <si>
    <t>Contractor Vehicle Use Petrol 04 or earlier WA</t>
  </si>
  <si>
    <t>FST Grounds maintenance fuel Diesel TAS</t>
  </si>
  <si>
    <t>FST Grounds maintenance fuel Ethanol ACT</t>
  </si>
  <si>
    <t>FST Grounds maintenance fuel Ethanol NSW</t>
  </si>
  <si>
    <t>FST Grounds maintenance fuel Ethanol NT</t>
  </si>
  <si>
    <t>FST Grounds maintenance fuel Ethanol QLD</t>
  </si>
  <si>
    <t>FST Grounds maintenance fuel Ethanol SA</t>
  </si>
  <si>
    <t>FST Grounds maintenance fuel Ethanol TAS</t>
  </si>
  <si>
    <t>FST Grounds maintenance fuel Ethanol VIC</t>
  </si>
  <si>
    <t>FST Grounds maintenance fuel Ethanol WA</t>
  </si>
  <si>
    <t>FST Grounds maintenance fuel LPG ACT</t>
  </si>
  <si>
    <t>FST Grounds maintenance fuel LPG NSW</t>
  </si>
  <si>
    <t>FST Grounds maintenance fuel LPG NT</t>
  </si>
  <si>
    <t>FST Grounds maintenance fuel LPG QLD</t>
  </si>
  <si>
    <t>FST Grounds maintenance fuel LPG SA</t>
  </si>
  <si>
    <t>FST Grounds maintenance fuel LPG TAS</t>
  </si>
  <si>
    <t>FST Grounds maintenance fuel LPG VIC</t>
  </si>
  <si>
    <t>FST Grounds maintenance fuel LPG WA</t>
  </si>
  <si>
    <t>Pitwater</t>
  </si>
  <si>
    <t>Solar</t>
  </si>
  <si>
    <t>Estimates - Elec</t>
  </si>
  <si>
    <t>Estimates - Gas</t>
  </si>
  <si>
    <t>Estimates - Stationary</t>
  </si>
  <si>
    <t>Estimates - Transport</t>
  </si>
  <si>
    <t>Estimates Transport Ethanol NSW</t>
  </si>
  <si>
    <t>New in FY21</t>
  </si>
  <si>
    <t>New in FY22</t>
  </si>
  <si>
    <t>New in FY23</t>
  </si>
  <si>
    <t>New in FY24</t>
  </si>
  <si>
    <t>New in FY25</t>
  </si>
  <si>
    <t>New in FY26</t>
  </si>
  <si>
    <t>New in FY27</t>
  </si>
  <si>
    <t>New in FY28</t>
  </si>
  <si>
    <t>New in FY29</t>
  </si>
  <si>
    <t>New in FY30</t>
  </si>
  <si>
    <t>New in FY31</t>
  </si>
  <si>
    <t>New in FY32</t>
  </si>
  <si>
    <t>New in FY33</t>
  </si>
  <si>
    <t>New in FY34</t>
  </si>
  <si>
    <t>New in FY35</t>
  </si>
  <si>
    <t>New in FY36</t>
  </si>
  <si>
    <t>Muru D Removal</t>
  </si>
  <si>
    <t>Muru D Removal VIC</t>
  </si>
  <si>
    <t>MUDDY WATER/SLUDGE - RECYCLED</t>
  </si>
  <si>
    <t>Exclude</t>
  </si>
  <si>
    <t>0</t>
  </si>
  <si>
    <t>OILYWATER - RECYCLED</t>
  </si>
  <si>
    <t>RECYCLED WATER</t>
  </si>
  <si>
    <t>SEPTIC</t>
  </si>
  <si>
    <t>ASBESTOS</t>
  </si>
  <si>
    <t>Hazardous Waste</t>
  </si>
  <si>
    <t>Landfill</t>
  </si>
  <si>
    <t>BUILDING MAT.</t>
  </si>
  <si>
    <t>Construction and demolition waste</t>
  </si>
  <si>
    <t>CARDBOARD - LOOSE - LANDFILL</t>
  </si>
  <si>
    <t>General Waste</t>
  </si>
  <si>
    <t>CHEMICALS - MIXED COLLECTION</t>
  </si>
  <si>
    <t>CLINICAL WASTE</t>
  </si>
  <si>
    <t>COMMINGLED - LANDFILL</t>
  </si>
  <si>
    <t>CONCRETE</t>
  </si>
  <si>
    <t>CONSTRUCTION &amp; DEMOLITION</t>
  </si>
  <si>
    <t>CONSTRUCTION &amp; DEMOLITION - LANDFILL</t>
  </si>
  <si>
    <t>FIBREGLASS SHEETS - LANDFILL</t>
  </si>
  <si>
    <t>GAS CYLINDERS</t>
  </si>
  <si>
    <t>GENERAL WASTE</t>
  </si>
  <si>
    <t>GENERAL WASTE COMPACTED</t>
  </si>
  <si>
    <t>GLOBES/BULBS - MERCURY</t>
  </si>
  <si>
    <t>GLOBES/BULBS - MERCURY/METAL HALIDE</t>
  </si>
  <si>
    <t>E-waste to landfill</t>
  </si>
  <si>
    <t>GREEN WASTE</t>
  </si>
  <si>
    <t>HAZARDOUS WASTE - L.FILL/TRTD</t>
  </si>
  <si>
    <t>MUDDY WATER/SLUDGE - ASBESTOS IMPACTED</t>
  </si>
  <si>
    <t>PAY GENERAL WASTE</t>
  </si>
  <si>
    <t>PAY HAZ WASTE</t>
  </si>
  <si>
    <t>PAY HAZ WASTE - PCBs</t>
  </si>
  <si>
    <t>PLASTIC PVC - LANDFILL</t>
  </si>
  <si>
    <t>POLYSTYRENE - LANDFILL</t>
  </si>
  <si>
    <t>SECURE BURIAL</t>
  </si>
  <si>
    <t>SERVICE ONLY</t>
  </si>
  <si>
    <t>SHARPS MEDICAL DISPOSAL</t>
  </si>
  <si>
    <t>SOIL CLEAN - LANDFILL</t>
  </si>
  <si>
    <t>SYNTHETIC MINERAL FIBRE</t>
  </si>
  <si>
    <t>TIMBER - ALL WOOD LANDFILL</t>
  </si>
  <si>
    <t>WASTE DIESEL</t>
  </si>
  <si>
    <t>WASTE OIL</t>
  </si>
  <si>
    <t>BATTERIES</t>
  </si>
  <si>
    <t>E-waste recycled</t>
  </si>
  <si>
    <t>Recycled</t>
  </si>
  <si>
    <t>BATTERIES - LEAD ACID</t>
  </si>
  <si>
    <t>BUILDING MAT. RECYCLED</t>
  </si>
  <si>
    <t>CARDBOARD - COMPACTED - RECYC</t>
  </si>
  <si>
    <t>Cardboard and Paper</t>
  </si>
  <si>
    <t>CARDBOARD - LOOSE - RECYCLED</t>
  </si>
  <si>
    <t>COMMINGLED</t>
  </si>
  <si>
    <t>Co-mingled</t>
  </si>
  <si>
    <t>COMMINGLE-PUBLIC PLACE REC.LE</t>
  </si>
  <si>
    <t>CONCRETE - RECYCLED</t>
  </si>
  <si>
    <t>CONSTRUCTION &amp; DEMOLITION - RECYCLED</t>
  </si>
  <si>
    <t>EraseIT communication</t>
  </si>
  <si>
    <t>EraseIT desktop</t>
  </si>
  <si>
    <t>EraseIT laptop</t>
  </si>
  <si>
    <t>EraseIT misc inc racks</t>
  </si>
  <si>
    <t>EraseIT monitor</t>
  </si>
  <si>
    <t>EraseIT network</t>
  </si>
  <si>
    <t>EraseIT POS</t>
  </si>
  <si>
    <t>EraseIT server</t>
  </si>
  <si>
    <t>EraseIT storage</t>
  </si>
  <si>
    <t>E-WASTE</t>
  </si>
  <si>
    <t>FLUORO TUBES</t>
  </si>
  <si>
    <t>Media</t>
  </si>
  <si>
    <t>MEDIA DESTRUCTION</t>
  </si>
  <si>
    <t>METAL - ALUMINIUM MIXED</t>
  </si>
  <si>
    <t>METAL - COPPER</t>
  </si>
  <si>
    <t>METAL - MIXED</t>
  </si>
  <si>
    <t>METAL - STEEL MIXED</t>
  </si>
  <si>
    <t>Mobile Muster</t>
  </si>
  <si>
    <t>PALLET - TIMBER</t>
  </si>
  <si>
    <t>PAPER MIXED OFFICE RECYCLED</t>
  </si>
  <si>
    <t>Pay = Mixed Metal</t>
  </si>
  <si>
    <t>PAY PHONE CABINETS</t>
  </si>
  <si>
    <t>Payphones - Aluminium</t>
  </si>
  <si>
    <t>PLASTIC SHRINKWRAP</t>
  </si>
  <si>
    <t>POLYSTYRENE</t>
  </si>
  <si>
    <t>Rental payphones</t>
  </si>
  <si>
    <t>Scrab Cable</t>
  </si>
  <si>
    <t>SECURITY DESTRUCTION</t>
  </si>
  <si>
    <t>TIMBER - ALL WOOD RECYCLE</t>
  </si>
  <si>
    <t>Toner Catridges</t>
  </si>
  <si>
    <t>TYRES - RECYCLED</t>
  </si>
  <si>
    <t>JC Decaux Removal (figures should be -ve)</t>
  </si>
  <si>
    <t>Scope 1 Emission factor</t>
  </si>
  <si>
    <t>Reference</t>
  </si>
  <si>
    <t>CO2</t>
  </si>
  <si>
    <t>CH4</t>
  </si>
  <si>
    <t>N2O</t>
  </si>
  <si>
    <t>Energy Category</t>
  </si>
  <si>
    <t>Purpose</t>
  </si>
  <si>
    <t>Default Unit</t>
  </si>
  <si>
    <t>Unit Conversion Factor</t>
  </si>
  <si>
    <t>Unit</t>
  </si>
  <si>
    <t>Energy content factor</t>
  </si>
  <si>
    <t>EF Unit</t>
  </si>
  <si>
    <t>Data Source (scope 1)</t>
  </si>
  <si>
    <t>Data Source (scope 2)</t>
  </si>
  <si>
    <t>Data Source (scope 3)</t>
  </si>
  <si>
    <t>Commodity</t>
  </si>
  <si>
    <t>kg CO2‑e/kWh</t>
  </si>
  <si>
    <t>National Greenhouse and Energy Reporting (Measurement) Determination 2008 (compiled 1 July 2020). Indirect Factor - NGA workbook (where applicable), published Sept 2020.</t>
  </si>
  <si>
    <t>NGA2019, pg 81, Table 49</t>
  </si>
  <si>
    <t>NGA2019, pg 84, Table 49</t>
  </si>
  <si>
    <t>NGA2019, pg 82, Table 49</t>
  </si>
  <si>
    <t>NGA2019, pg 83, Table 49</t>
  </si>
  <si>
    <t>Gaseous Fuels</t>
  </si>
  <si>
    <t>GJ/MJ</t>
  </si>
  <si>
    <t>kg CO2‑e/GJ</t>
  </si>
  <si>
    <t>Stationary</t>
  </si>
  <si>
    <t>kL/L</t>
  </si>
  <si>
    <t>kg CO2 e/GJ</t>
  </si>
  <si>
    <t>NGER (Measurement) Determination 2008 2019versions pg 318 - Part 3 Fuel combustion - 40</t>
  </si>
  <si>
    <t>NGA Factors 2019 - (p70, Table 43)</t>
  </si>
  <si>
    <t>fuels for generation (genset)- check fuel</t>
  </si>
  <si>
    <t>NGER (Measurement) Determination 2008 2019versions pg 318 - Part 3 Fuel combustion - 44</t>
  </si>
  <si>
    <t>NGER (Measurement) Determination 2008 2019versions pg 318 - Part 3 Fuel combustion - 35</t>
  </si>
  <si>
    <t>Transport - post-04 vehicles</t>
  </si>
  <si>
    <t>NGER (Measurement) Determination 2008 2019versions pg 321 - Part 4 Fuel combustion - 65</t>
  </si>
  <si>
    <t>check fuel type post and pre 2004</t>
  </si>
  <si>
    <t>NGER (Measurement) Determination 2008 2019versions pg 321 - Part 4 Fuel combustion - 64</t>
  </si>
  <si>
    <t>Transport - 04 or earlier vehicles</t>
  </si>
  <si>
    <t>NGER (Measurement) Determination 2008 2019versions pg 320 - Part 4 Fuel combustion - 54</t>
  </si>
  <si>
    <t>NGER (Measurement) Determination 2008 2019versions pg 320 - Part 4 Fuel combustion - 53</t>
  </si>
  <si>
    <t>NGA Factors 2020 Page 17 - table 4</t>
  </si>
  <si>
    <t>NGER (Measurement) Determination 2008 2019versions pg 321 - Part 4 Fuel combustion - 67</t>
  </si>
  <si>
    <t>NGER (Measurement) Determination 2008 2019versions pg 321 - Part 4 Fuel combustion - 66</t>
  </si>
  <si>
    <t>check fuel, and stationary not for generation (other stationary)</t>
  </si>
  <si>
    <t>GJ/kL</t>
  </si>
  <si>
    <t>NGER (Measurement) Determination 2008 2019versions pg 319 - Part 3 Fuel combustion - 51</t>
  </si>
  <si>
    <t>other stationary</t>
  </si>
  <si>
    <t>other stationaty</t>
  </si>
  <si>
    <t>Solar Energy Consumed ACT</t>
  </si>
  <si>
    <t>Solar Energy Consumed NSW</t>
  </si>
  <si>
    <t>Solar Energy Consumed NT</t>
  </si>
  <si>
    <t>Solar Energy Consumed QLD</t>
  </si>
  <si>
    <t>Solar Energy Consumed SA</t>
  </si>
  <si>
    <t>Solar Energy Consumed TAS</t>
  </si>
  <si>
    <t>Solar Energy Consumed VIC</t>
  </si>
  <si>
    <t>Solar Energy Consumed WA</t>
  </si>
  <si>
    <t>NGA Factors 2019 - (p69, Table 41) (assume metro)</t>
  </si>
  <si>
    <t>gas</t>
  </si>
  <si>
    <t>Stationary Fuels- New South Wales</t>
  </si>
  <si>
    <t>check fuel type, post or pre 2004</t>
  </si>
  <si>
    <t>Nat</t>
  </si>
  <si>
    <t>t CO2- e/t</t>
  </si>
  <si>
    <t>NGA 2019 pg 79 table 47</t>
  </si>
  <si>
    <t>Savings ACT</t>
  </si>
  <si>
    <t>Energy Savings</t>
  </si>
  <si>
    <t>Savings NSW</t>
  </si>
  <si>
    <t>Savings NT</t>
  </si>
  <si>
    <t>Savings QLD</t>
  </si>
  <si>
    <t>Savings SA</t>
  </si>
  <si>
    <t>Savings TAS</t>
  </si>
  <si>
    <t>Savings VIC</t>
  </si>
  <si>
    <t>Savings WA</t>
  </si>
  <si>
    <t>Telstra Office Accommodation Gas NSW BBB</t>
  </si>
  <si>
    <t>NGER (Measurement) Determination 2008 2019versions pg 317 - Part 2 Fuel combustion - 17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</si>
</sst>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2">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_);_(* \(#,##0\);_(* &quot;-&quot;??_);_(@_)"/>
    <numFmt numFmtId="166" formatCode="0.000%"/>
    <numFmt numFmtId="167" formatCode="0.0%"/>
    <numFmt numFmtId="168" formatCode="_-* #,##0_-;\-* #,##0_-;_-* &quot;-&quot;??_-;_-@_-"/>
    <numFmt numFmtId="169" formatCode="0.00000"/>
    <numFmt numFmtId="170" formatCode="_-* #,##0.000_-;\-* #,##0.000_-;_-* &quot;-&quot;??_-;_-@_-"/>
    <numFmt numFmtId="171" formatCode="_-* #,##0.0_-;\-* #,##0.0_-;_-* &quot;-&quot;??_-;_-@_-"/>
    <numFmt numFmtId="172" formatCode="0.0000"/>
    <numFmt numFmtId="173" formatCode="0.0"/>
    <numFmt numFmtId="174" formatCode="_(* #,##0.0_);_(* \(#,##0.0\);_(* &quot;-&quot;??_);_(@_)"/>
    <numFmt numFmtId="175" formatCode="0.00000000"/>
    <numFmt numFmtId="176" formatCode="_(* #,##0.000_);_(* \(#,##0.000\);_(* &quot;-&quot;??_);_(@_)"/>
    <numFmt numFmtId="177" formatCode="_(* #,##0.0_);_(* \(#,##0.0\);_(* &quot;-&quot;_);_(@_)"/>
    <numFmt numFmtId="178" formatCode="_(#,##0.0%_);\(#,##0.0%\);_(&quot;-&quot;_)"/>
    <numFmt numFmtId="179" formatCode="_(#,##0.00%_);\(#,##0.00%\);_(&quot;-&quot;_)"/>
    <numFmt numFmtId="180" formatCode="_(* #,##0.00_);_(* \(#,##0.00\);_(* &quot;-&quot;_);_(@_)"/>
    <numFmt numFmtId="181" formatCode="#,##0&quot; bps &quot;;\(#,##0&quot; bps)&quot;;_(* &quot;-&quot;_)"/>
    <numFmt numFmtId="182" formatCode="&quot;$&quot;#,##0.0\m;\-&quot;$&quot;#,##0.0\m;\-"/>
    <numFmt numFmtId="183" formatCode="&quot;\&quot;#,##0.00;[Red]&quot;\&quot;&quot;\&quot;\-#,##0.00"/>
    <numFmt numFmtId="184" formatCode="&quot;\&quot;#,##0;[Red]&quot;\&quot;&quot;\&quot;\-#,##0"/>
    <numFmt numFmtId="185" formatCode="dd/mm/yy"/>
    <numFmt numFmtId="186" formatCode="#,##0\x_);\(#,##0\x\);#,##0\x_)"/>
    <numFmt numFmtId="187" formatCode="#,##0%_);\(#,##0%\);#,##0%_)"/>
    <numFmt numFmtId="188" formatCode="###0_);\(###0\);###0_)"/>
    <numFmt numFmtId="189" formatCode="_(&quot;$&quot;#,##0.00_);\(&quot;$&quot;#,##0.00\);_(&quot;-&quot;_)"/>
    <numFmt numFmtId="190" formatCode="_(&quot;$&quot;#,##0.0_);\(&quot;$&quot;#,##0.0\);_(&quot;$&quot;#,##0.0_)"/>
    <numFmt numFmtId="191" formatCode="_(&quot;$&quot;#,##0.0_);\(&quot;$&quot;#,##0.0\);_(&quot;-&quot;_)"/>
    <numFmt numFmtId="192" formatCode="_(#,##0.0\x_);\(#,##0.0\x\);_(&quot;-&quot;_)"/>
    <numFmt numFmtId="193" formatCode="_(#,##0.0\x_);\(#,##0.0\x\);_(#,##0.0\x_)"/>
    <numFmt numFmtId="194" formatCode="_(#,##0_);\(#,##0\);_(&quot;-&quot;_)"/>
    <numFmt numFmtId="195" formatCode="_(#,##0.0_);\(#,##0.0\);_(#,##0.0_)"/>
    <numFmt numFmtId="196" formatCode="_(#,##0.0%_);\(#,##0.0%\);_(#,##0.0%_)"/>
    <numFmt numFmtId="197" formatCode="_(###0_);\(###0\);_(###0_)"/>
    <numFmt numFmtId="198" formatCode="_(* &quot;$&quot;#,##0_)_;;_(* \(&quot;$&quot;#,##0\)_;;_(* &quot;$&quot;#,##0_)_;"/>
    <numFmt numFmtId="199" formatCode="d/m/yy__;"/>
    <numFmt numFmtId="200" formatCode="_(* #,##0\x_)_;;_(* \(#,##0\x\)_;;_(* #,##0\x_)_;"/>
    <numFmt numFmtId="201" formatCode="_(* #,##0_)_;;_(* \(#,##0\)_;;_(* #,##0_)_;"/>
    <numFmt numFmtId="202" formatCode="_(* #,##0%_)_;;_(* \(#,##0%\)_;;_(* #,##0%_)_;"/>
    <numFmt numFmtId="203" formatCode="###0_)_;;\(###0\)_;;###0_)_;"/>
    <numFmt numFmtId="204" formatCode="&quot;$&quot;#,##0;\(&quot;$&quot;#,##0\);&quot;$&quot;#,##0"/>
    <numFmt numFmtId="205" formatCode="#,##0\x;\(#,##0\x\);#,##0\x"/>
    <numFmt numFmtId="206" formatCode="#,##0;\(#,##0\)"/>
    <numFmt numFmtId="207" formatCode="#,##0%;\(#,##0%\);#,##0%"/>
    <numFmt numFmtId="208" formatCode="###0;\(###0\);###0"/>
    <numFmt numFmtId="209" formatCode="_)d/m/yy_)"/>
    <numFmt numFmtId="210" formatCode="#,##0.0_);\(#,##0.0\)"/>
    <numFmt numFmtId="211" formatCode="dd\-mmm\-yyyy"/>
    <numFmt numFmtId="212" formatCode="#,##0.0_);[Red]\(#,##0.0\)"/>
    <numFmt numFmtId="213" formatCode="#,##0;\-#,##0;&quot;-&quot;"/>
    <numFmt numFmtId="214" formatCode="_(* #,##0.0000_);_(* \(#,##0.0000\);_(* &quot;-&quot;??_);_(@_)"/>
    <numFmt numFmtId="215" formatCode="0.0%;[Red]\(0.0%\)"/>
    <numFmt numFmtId="216" formatCode="0%;[Red]\(0%\)"/>
    <numFmt numFmtId="217" formatCode="0.0%;\(0.0%\)"/>
    <numFmt numFmtId="218" formatCode="d\ mmmm\ yy"/>
    <numFmt numFmtId="219" formatCode="_ * #,##0.00_ ;_ * \-#,##0.00_ ;_ * &quot;-&quot;??_ ;_ @_ "/>
    <numFmt numFmtId="220" formatCode="General_)"/>
    <numFmt numFmtId="221" formatCode="m/d/yy_)"/>
    <numFmt numFmtId="222" formatCode="#,##0.00_ ;[Red]\(#,##0.00\ \)"/>
    <numFmt numFmtId="223" formatCode="mmm\-yyyy"/>
    <numFmt numFmtId="224" formatCode="#,##0.000_);\(#,##0.000\)"/>
    <numFmt numFmtId="225" formatCode="#,##0.000000"/>
    <numFmt numFmtId="226" formatCode="_-[$€-2]* #,##0.00_-;\-[$€-2]* #,##0.00_-;_-[$€-2]* &quot;-&quot;??_-"/>
    <numFmt numFmtId="227" formatCode="#,##0.0000000_ ;[Red]\-#,##0.0000000\ "/>
    <numFmt numFmtId="228" formatCode="_([$€-2]* #,##0.00_);_([$€-2]* \(#,##0.00\);_([$€-2]* &quot;-&quot;??_)"/>
    <numFmt numFmtId="229" formatCode="dd/mm/yy__;"/>
    <numFmt numFmtId="230" formatCode="_(* &quot;$&quot;#,##0_)_;;[Blue]_(* \(&quot;$&quot;#,##0\)_;;_(* &quot;$&quot;#,##0_)_;"/>
    <numFmt numFmtId="231" formatCode="_(* #,##0\x_)_;;[Blue]_(* \(#,##0\x\)_;;_(* #,##0\x_)_;"/>
    <numFmt numFmtId="232" formatCode="_(* #,##0_)_;;[Blue]_(* \(#,##0\)_;;_(* #,##0_)_;"/>
    <numFmt numFmtId="233" formatCode="_(* #,##0%_)_;;[Blue]_(* \(#,##0%\)_;;_(* #,##0%_)_;"/>
    <numFmt numFmtId="234" formatCode="#,##0_ ;\(#,##0\)_-;&quot;-&quot;"/>
    <numFmt numFmtId="235" formatCode="#,##0.00_ ;[Red]\-#,##0.00\ "/>
    <numFmt numFmtId="236" formatCode="&quot;OK&quot;;[Red]&quot;ERROR&quot;;[Green]&quot;Warning&quot;"/>
    <numFmt numFmtId="237" formatCode="#,##0_);\(#,##0\);\-_)"/>
    <numFmt numFmtId="238" formatCode="_(#,##0_);\(#,##0\);_(#,##0_)"/>
    <numFmt numFmtId="239" formatCode="#,##0_);[Blue]\(#,##0\);#,##0_)"/>
    <numFmt numFmtId="240" formatCode="mmm\-yy_)"/>
    <numFmt numFmtId="241" formatCode="#,##0.0\x_);\(#,##0.0\x\)"/>
    <numFmt numFmtId="242" formatCode="_(* #,##0_);_(* \(#,##0\);_(* &quot;-&quot;?_);_(@_)"/>
    <numFmt numFmtId="243" formatCode="_(* #,##0.0_);_(* \(#,##0.0\);_(\ &quot;-&quot;_);_(@_)"/>
    <numFmt numFmtId="244" formatCode="_(* #,##0.000_);_(* \(#,##0.000\);_(* &quot;-&quot;_);_(@_)"/>
    <numFmt numFmtId="245" formatCode="_(* #,##0.0000_);_(* \(#,##0.0000\);_(* &quot;-&quot;_);_(@_)"/>
    <numFmt numFmtId="246" formatCode="_(* #,##0.0_);_(* \(#,##0.0\);_(* &quot;-&quot;?_);_(@_)"/>
    <numFmt numFmtId="247" formatCode="_(#,##0%_);\(#,##0%\);_(&quot;-&quot;_)"/>
    <numFmt numFmtId="248" formatCode="0.00%;\(0.00%\)"/>
    <numFmt numFmtId="249" formatCode="0.00_)"/>
    <numFmt numFmtId="250" formatCode="#."/>
    <numFmt numFmtId="251" formatCode="_(* #,##0.0_);[Red]\(* #,##0.0\);_(* &quot;-&quot;_);_(@_)"/>
    <numFmt numFmtId="252" formatCode="#,##0.0000"/>
    <numFmt numFmtId="253" formatCode="#,##0.00000"/>
    <numFmt numFmtId="254" formatCode="\N&quot;$&quot;#,##0_);\(\N&quot;$&quot;#,##0\)"/>
    <numFmt numFmtId="255" formatCode="#,##0.00;[Red]\(#,##0.00\)"/>
    <numFmt numFmtId="256" formatCode="#,##0.0%_);\(#,##0.0%\)"/>
    <numFmt numFmtId="257" formatCode="0%;\(0%\)"/>
    <numFmt numFmtId="258" formatCode="0.0%;[Red]\-0.0%"/>
    <numFmt numFmtId="259" formatCode="0.00%;[Red]\-0.00%"/>
    <numFmt numFmtId="260" formatCode="_-* #,##0.0000_-;\-* #,##0.0000_-;_-* &quot;-&quot;??_-;_-@_-"/>
    <numFmt numFmtId="261" formatCode="0.000000%"/>
    <numFmt numFmtId="262" formatCode="&quot;   &quot;@"/>
    <numFmt numFmtId="263" formatCode="_(* #,##0_);_(* \(#,##0\);_(* &quot;-&quot;_)"/>
    <numFmt numFmtId="264" formatCode="\U&quot;$&quot;#,##0_);\(\U&quot;$&quot;#,##0\)"/>
    <numFmt numFmtId="265" formatCode="#,##0\ &quot;DM&quot;;[Red]\-#,##0\ &quot;DM&quot;"/>
    <numFmt numFmtId="266" formatCode="#,##0.000"/>
    <numFmt numFmtId="267" formatCode="###0_)"/>
    <numFmt numFmtId="268" formatCode="_(#,##0.0_);\(#,##0.0\);_(&quot;-&quot;_)"/>
    <numFmt numFmtId="269" formatCode="_ * #,##0_ ;_ * \-#,##0_ ;_ * &quot;-&quot;_ ;_ @_ "/>
    <numFmt numFmtId="270" formatCode="[=0]&quot;OK&quot;;&quot;$&quot;#,##0.00"/>
    <numFmt numFmtId="271" formatCode="&quot;$&quot;#,##0.00"/>
    <numFmt numFmtId="272" formatCode="#,##0_ ;[Red]\-#,##0\ "/>
    <numFmt numFmtId="273" formatCode="#,##0.0_ ;[Red]\-#,##0.0\ "/>
    <numFmt numFmtId="274" formatCode="&quot;Mean &quot;#,##0.0&quot; %&quot;;&quot;Mean &quot;\(#,##0.0\)&quot; %&quot;"/>
    <numFmt numFmtId="275" formatCode="m/d/yyyy\ \ h:mm\ AM/PM"/>
    <numFmt numFmtId="276" formatCode="0.00&quot;%&quot;"/>
    <numFmt numFmtId="277" formatCode="yyyy\-mm\-dd;@"/>
    <numFmt numFmtId="278" formatCode="_-* #,##0\ _€_-;\-* #,##0\ _€_-;_-* &quot;-&quot;\ _€_-;_-@_-"/>
    <numFmt numFmtId="279" formatCode="_-* #,##0.00\ _€_-;\-* #,##0.00\ _€_-;_-* &quot;-&quot;??\ _€_-;_-@_-"/>
    <numFmt numFmtId="280" formatCode="_-* #,##0\ &quot;€&quot;_-;\-* #,##0\ &quot;€&quot;_-;_-* &quot;-&quot;\ &quot;€&quot;_-;_-@_-"/>
    <numFmt numFmtId="281" formatCode="_-* #,##0.00\ &quot;€&quot;_-;\-* #,##0.00\ &quot;€&quot;_-;_-* &quot;-&quot;??\ &quot;€&quot;_-;_-@_-"/>
    <numFmt numFmtId="282" formatCode="d/m/yy\ h:mm\ AM/PM"/>
    <numFmt numFmtId="283" formatCode="[&lt;=9999999]###\-####;\(###\)\ ###\-####"/>
    <numFmt numFmtId="284" formatCode="_(&quot;£&quot;#,##0.0_);\(&quot;£&quot;#,##0.0\);_(&quot;-&quot;_)"/>
    <numFmt numFmtId="285" formatCode="_)d\-mmm\-yy_)"/>
    <numFmt numFmtId="286" formatCode="&quot;Basel II - Group Management Summary - &quot;\ [$-C09]dd\-mmmm\-yyyy;@"/>
    <numFmt numFmtId="287" formatCode="&quot;Yes&quot;;[Red]&quot;No&quot;"/>
    <numFmt numFmtId="288" formatCode="[&gt;0]General"/>
    <numFmt numFmtId="289" formatCode="0.0000%"/>
    <numFmt numFmtId="290" formatCode="#,##0_);\(#,##0_)"/>
    <numFmt numFmtId="291" formatCode="d/m"/>
    <numFmt numFmtId="292" formatCode="[$-409]mmm\-yy;@"/>
    <numFmt numFmtId="293" formatCode="_-* #,##0.0_-;\-* #,##0.0_-;_-* &quot;-&quot;?_-;_-@_-"/>
    <numFmt numFmtId="294" formatCode="0.000000"/>
    <numFmt numFmtId="295" formatCode="_(* #,##0.0000_);_(* \(#,##0.0000\);_(* &quot;-&quot;????_);_(@_)"/>
    <numFmt numFmtId="296" formatCode="0.000"/>
    <numFmt numFmtId="297" formatCode="#,##0.0"/>
  </numFmts>
  <fonts count="480">
    <font>
      <sz val="11"/>
      <color theme="1"/>
      <name val="Arial"/>
      <family val="2"/>
      <scheme val="minor"/>
    </font>
    <font>
      <sz val="11"/>
      <color theme="1"/>
      <name val="Arial"/>
      <family val="2"/>
      <scheme val="minor"/>
    </font>
    <font>
      <b/>
      <sz val="11"/>
      <color theme="1"/>
      <name val="Arial"/>
      <family val="2"/>
      <scheme val="minor"/>
    </font>
    <font>
      <sz val="11"/>
      <color rgb="FF3F3F76"/>
      <name val="Arial"/>
      <family val="2"/>
      <scheme val="minor"/>
    </font>
    <font>
      <b/>
      <sz val="10"/>
      <color indexed="30"/>
      <name val="Arial"/>
      <family val="2"/>
    </font>
    <font>
      <b/>
      <sz val="14"/>
      <color indexed="57"/>
      <name val="Arial"/>
      <family val="2"/>
    </font>
    <font>
      <i/>
      <sz val="10"/>
      <color indexed="8"/>
      <name val="Arial"/>
      <family val="2"/>
    </font>
    <font>
      <i/>
      <sz val="10"/>
      <color indexed="11"/>
      <name val="Arial"/>
      <family val="2"/>
    </font>
    <font>
      <b/>
      <sz val="10"/>
      <color indexed="9"/>
      <name val="Arial"/>
      <family val="2"/>
    </font>
    <font>
      <sz val="8"/>
      <color indexed="8"/>
      <name val="Arial"/>
      <family val="2"/>
    </font>
    <font>
      <vertAlign val="superscript"/>
      <sz val="8"/>
      <color indexed="8"/>
      <name val="Arial"/>
      <family val="2"/>
    </font>
    <font>
      <sz val="8"/>
      <color indexed="9"/>
      <name val="Arial"/>
      <family val="2"/>
    </font>
    <font>
      <sz val="8"/>
      <color indexed="8"/>
      <name val="Calibri"/>
      <family val="2"/>
    </font>
    <font>
      <b/>
      <sz val="8"/>
      <color indexed="30"/>
      <name val="Arial"/>
      <family val="2"/>
    </font>
    <font>
      <sz val="9"/>
      <color indexed="8"/>
      <name val="Calibri"/>
      <family val="2"/>
    </font>
    <font>
      <b/>
      <sz val="8"/>
      <color indexed="8"/>
      <name val="Arial"/>
      <family val="2"/>
    </font>
    <font>
      <b/>
      <sz val="8"/>
      <color indexed="9"/>
      <name val="Arial"/>
      <family val="2"/>
    </font>
    <font>
      <b/>
      <sz val="8"/>
      <color indexed="57"/>
      <name val="Arial"/>
      <family val="2"/>
    </font>
    <font>
      <i/>
      <sz val="8"/>
      <color indexed="8"/>
      <name val="Arial"/>
      <family val="2"/>
    </font>
    <font>
      <sz val="8"/>
      <name val="Arial"/>
      <family val="2"/>
    </font>
    <font>
      <sz val="8"/>
      <color indexed="10"/>
      <name val="Arial"/>
      <family val="2"/>
    </font>
    <font>
      <i/>
      <sz val="9"/>
      <color indexed="8"/>
      <name val="Arial"/>
      <family val="2"/>
    </font>
    <font>
      <sz val="9"/>
      <color indexed="8"/>
      <name val="Arial"/>
      <family val="2"/>
    </font>
    <font>
      <sz val="8"/>
      <color indexed="8"/>
      <name val="Ariel"/>
    </font>
    <font>
      <sz val="10"/>
      <color indexed="11"/>
      <name val="Arial"/>
      <family val="2"/>
    </font>
    <font>
      <sz val="10"/>
      <color indexed="8"/>
      <name val="Calibri"/>
      <family val="2"/>
    </font>
    <font>
      <b/>
      <sz val="11"/>
      <color indexed="8"/>
      <name val="Calibri"/>
      <family val="2"/>
    </font>
    <font>
      <sz val="10"/>
      <color indexed="8"/>
      <name val="Arial"/>
      <family val="2"/>
    </font>
    <font>
      <sz val="11"/>
      <color theme="0"/>
      <name val="Arial"/>
      <family val="2"/>
      <scheme val="minor"/>
    </font>
    <font>
      <sz val="10"/>
      <color theme="1"/>
      <name val="Arial"/>
      <family val="2"/>
      <scheme val="minor"/>
    </font>
    <font>
      <sz val="11"/>
      <color indexed="8"/>
      <name val="Calibri"/>
      <family val="2"/>
    </font>
    <font>
      <sz val="11"/>
      <color rgb="FF006100"/>
      <name val="Arial"/>
      <family val="2"/>
      <scheme val="minor"/>
    </font>
    <font>
      <sz val="10"/>
      <color theme="1"/>
      <name val="Calibri"/>
      <family val="2"/>
    </font>
    <font>
      <sz val="11"/>
      <color rgb="FF9C5700"/>
      <name val="Arial"/>
      <family val="2"/>
      <scheme val="minor"/>
    </font>
    <font>
      <sz val="11"/>
      <color rgb="FFFF0000"/>
      <name val="Arial"/>
      <family val="2"/>
      <scheme val="minor"/>
    </font>
    <font>
      <b/>
      <sz val="11"/>
      <color rgb="FFFFFFFF"/>
      <name val="Arial"/>
      <family val="2"/>
      <scheme val="minor"/>
    </font>
    <font>
      <sz val="11"/>
      <color rgb="FF9C0006"/>
      <name val="Arial"/>
      <family val="2"/>
      <scheme val="minor"/>
    </font>
    <font>
      <b/>
      <sz val="11"/>
      <color theme="0"/>
      <name val="Arial"/>
      <family val="2"/>
      <scheme val="minor"/>
    </font>
    <font>
      <sz val="11"/>
      <name val="Arial"/>
      <family val="2"/>
      <scheme val="minor"/>
    </font>
    <font>
      <b/>
      <sz val="18"/>
      <color rgb="FFED7D31"/>
      <name val="Arial"/>
      <family val="2"/>
    </font>
    <font>
      <b/>
      <sz val="14"/>
      <color theme="8" tint="-0.249977111117893"/>
      <name val="Arial"/>
      <family val="2"/>
    </font>
    <font>
      <i/>
      <sz val="10"/>
      <color theme="4" tint="-0.249977111117893"/>
      <name val="Arial"/>
      <family val="2"/>
    </font>
    <font>
      <i/>
      <sz val="10"/>
      <color indexed="24"/>
      <name val="Arial"/>
      <family val="2"/>
    </font>
    <font>
      <b/>
      <sz val="9"/>
      <color indexed="9"/>
      <name val="Arial"/>
      <family val="2"/>
    </font>
    <font>
      <vertAlign val="superscript"/>
      <sz val="8"/>
      <color rgb="FF000000"/>
      <name val="Arial"/>
      <family val="2"/>
    </font>
    <font>
      <b/>
      <sz val="8"/>
      <name val="Arial"/>
      <family val="2"/>
    </font>
    <font>
      <vertAlign val="subscript"/>
      <sz val="8"/>
      <color rgb="FF000000"/>
      <name val="Arial"/>
      <family val="2"/>
    </font>
    <font>
      <b/>
      <vertAlign val="superscript"/>
      <sz val="10"/>
      <color rgb="FFFFFFFF"/>
      <name val="Arial"/>
      <family val="2"/>
    </font>
    <font>
      <sz val="11"/>
      <color theme="9"/>
      <name val="Calibri"/>
      <family val="2"/>
    </font>
    <font>
      <i/>
      <vertAlign val="superscript"/>
      <sz val="8"/>
      <color indexed="8"/>
      <name val="Arial"/>
      <family val="2"/>
    </font>
    <font>
      <b/>
      <sz val="10"/>
      <color indexed="8"/>
      <name val="Arial"/>
      <family val="2"/>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0"/>
      <name val="Arial"/>
      <family val="2"/>
    </font>
    <font>
      <sz val="11"/>
      <color theme="1"/>
      <name val="Verdana"/>
      <family val="2"/>
    </font>
    <font>
      <sz val="10"/>
      <color theme="1"/>
      <name val="Arial"/>
      <family val="2"/>
    </font>
    <font>
      <b/>
      <sz val="10"/>
      <color theme="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b/>
      <sz val="9"/>
      <color indexed="18"/>
      <name val="Arial"/>
      <family val="2"/>
    </font>
    <font>
      <b/>
      <sz val="10"/>
      <color indexed="18"/>
      <name val="Arial"/>
      <family val="2"/>
    </font>
    <font>
      <sz val="11"/>
      <name val="lr oSVbN"/>
      <charset val="128"/>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b/>
      <sz val="9"/>
      <color indexed="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Arial"/>
      <family val="2"/>
      <scheme val="minor"/>
    </font>
    <font>
      <i/>
      <sz val="12"/>
      <name val="Frutiger 45 Light"/>
      <family val="2"/>
    </font>
    <font>
      <b/>
      <sz val="11"/>
      <color indexed="9"/>
      <name val="Calibri"/>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amily val="1"/>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i/>
      <sz val="11"/>
      <color indexed="8"/>
      <name val="Times New Roman"/>
      <family val="1"/>
    </font>
    <font>
      <b/>
      <sz val="12"/>
      <color indexed="9"/>
      <name val="Geneva"/>
      <family val="2"/>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u/>
      <sz val="8"/>
      <color indexed="12"/>
      <name val="Arial"/>
      <family val="2"/>
    </font>
    <font>
      <u/>
      <sz val="20"/>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Arial"/>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sz val="10"/>
      <name val="Frutiger"/>
    </font>
    <font>
      <b/>
      <u/>
      <sz val="14"/>
      <name val="SWISS"/>
    </font>
    <font>
      <sz val="10"/>
      <name val="Geneva"/>
      <family val="2"/>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i/>
      <sz val="10"/>
      <name val="Arial"/>
      <family val="2"/>
    </font>
    <font>
      <sz val="14"/>
      <name val="?? ??"/>
      <family val="1"/>
    </font>
    <font>
      <sz val="12"/>
      <name val="Arial"/>
      <family val="1"/>
      <charset val="128"/>
    </font>
    <font>
      <sz val="10"/>
      <name val="?? ?????"/>
      <family val="3"/>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amily val="2"/>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amily val="2"/>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sz val="11"/>
      <color theme="1" tint="0.249977111117893"/>
      <name val="Arial"/>
      <family val="2"/>
      <scheme val="minor"/>
    </font>
    <font>
      <b/>
      <sz val="11"/>
      <color theme="1" tint="0.249977111117893"/>
      <name val="Arial"/>
      <family val="2"/>
      <scheme val="minor"/>
    </font>
    <font>
      <b/>
      <i/>
      <sz val="11"/>
      <color theme="0"/>
      <name val="Arial"/>
      <family val="2"/>
      <scheme val="minor"/>
    </font>
    <font>
      <i/>
      <sz val="11"/>
      <color theme="1" tint="0.249977111117893"/>
      <name val="Arial"/>
      <family val="2"/>
      <scheme val="minor"/>
    </font>
    <font>
      <b/>
      <sz val="10"/>
      <color rgb="FFFFFFFF"/>
      <name val="Arial"/>
      <family val="2"/>
      <scheme val="minor"/>
    </font>
    <font>
      <b/>
      <sz val="14"/>
      <color rgb="FF074F30"/>
      <name val="Arial"/>
      <family val="2"/>
    </font>
    <font>
      <b/>
      <vertAlign val="superscript"/>
      <sz val="14"/>
      <color rgb="FF074F30"/>
      <name val="Arial"/>
      <family val="2"/>
    </font>
    <font>
      <sz val="10"/>
      <color rgb="FF074F30"/>
      <name val="Arial"/>
      <family val="2"/>
    </font>
    <font>
      <i/>
      <sz val="9"/>
      <color rgb="FF074F30"/>
      <name val="Arial"/>
      <family val="2"/>
    </font>
    <font>
      <i/>
      <vertAlign val="subscript"/>
      <sz val="9"/>
      <color rgb="FF074F30"/>
      <name val="Arial"/>
      <family val="2"/>
    </font>
    <font>
      <sz val="9"/>
      <color rgb="FF074F30"/>
      <name val="Calibri"/>
      <family val="2"/>
    </font>
    <font>
      <sz val="11"/>
      <color indexed="8"/>
      <name val="Arial"/>
      <family val="2"/>
    </font>
    <font>
      <b/>
      <sz val="10"/>
      <color rgb="FFFFFFFF"/>
      <name val="Arial"/>
      <family val="2"/>
    </font>
    <font>
      <b/>
      <sz val="9"/>
      <color rgb="FFFFFFFF"/>
      <name val="Arial"/>
      <family val="2"/>
    </font>
    <font>
      <sz val="8"/>
      <color rgb="FF000000"/>
      <name val="Arial"/>
      <family val="2"/>
    </font>
    <font>
      <b/>
      <i/>
      <sz val="11"/>
      <color theme="1"/>
      <name val="Arial"/>
      <family val="2"/>
      <scheme val="minor"/>
    </font>
    <font>
      <b/>
      <sz val="10"/>
      <color theme="0"/>
      <name val="Arial"/>
      <family val="2"/>
      <scheme val="minor"/>
    </font>
    <font>
      <sz val="8"/>
      <name val="Arial"/>
      <family val="2"/>
      <scheme val="minor"/>
    </font>
    <font>
      <sz val="8"/>
      <color rgb="FF000000"/>
      <name val="Calibri"/>
      <family val="2"/>
    </font>
    <font>
      <sz val="10"/>
      <name val="Arial"/>
      <family val="2"/>
      <scheme val="minor"/>
    </font>
    <font>
      <sz val="11"/>
      <color rgb="FF9C6500"/>
      <name val="Arial"/>
      <family val="2"/>
      <scheme val="minor"/>
    </font>
    <font>
      <sz val="10"/>
      <color rgb="FF000000"/>
      <name val="Times New Roman"/>
      <family val="1"/>
    </font>
    <font>
      <sz val="12"/>
      <color theme="0"/>
      <name val="Arial"/>
      <family val="2"/>
      <scheme val="minor"/>
    </font>
    <font>
      <sz val="11"/>
      <color theme="4" tint="-0.249977111117893"/>
      <name val="Arial"/>
      <family val="2"/>
      <scheme val="minor"/>
    </font>
    <font>
      <b/>
      <sz val="11"/>
      <color rgb="FF000000"/>
      <name val="Calibri"/>
      <family val="2"/>
    </font>
    <font>
      <sz val="10"/>
      <color rgb="FF000000"/>
      <name val="Calibri"/>
      <family val="2"/>
    </font>
    <font>
      <sz val="11"/>
      <color rgb="FF000000"/>
      <name val="Calibri"/>
      <family val="2"/>
    </font>
    <font>
      <i/>
      <vertAlign val="superscript"/>
      <sz val="8"/>
      <color rgb="FF000000"/>
      <name val="Arial"/>
      <family val="2"/>
    </font>
    <font>
      <b/>
      <sz val="9"/>
      <color theme="0"/>
      <name val="Arial"/>
      <family val="2"/>
    </font>
    <font>
      <b/>
      <vertAlign val="subscript"/>
      <sz val="9"/>
      <color rgb="FFFFFFFF"/>
      <name val="Arial"/>
      <family val="2"/>
    </font>
    <font>
      <sz val="11"/>
      <color rgb="FF0070C0"/>
      <name val="Arial"/>
      <family val="2"/>
      <scheme val="minor"/>
    </font>
    <font>
      <sz val="9"/>
      <color indexed="81"/>
      <name val="Tahoma"/>
      <family val="2"/>
    </font>
    <font>
      <b/>
      <sz val="9"/>
      <color indexed="81"/>
      <name val="Tahoma"/>
      <family val="2"/>
    </font>
    <font>
      <b/>
      <sz val="11"/>
      <color rgb="FF9C5700"/>
      <name val="Arial"/>
      <family val="2"/>
      <scheme val="minor"/>
    </font>
    <font>
      <b/>
      <sz val="11"/>
      <name val="Arial"/>
      <family val="2"/>
      <scheme val="minor"/>
    </font>
    <font>
      <sz val="8"/>
      <color rgb="FF000000"/>
      <name val="Arial"/>
      <family val="2"/>
      <scheme val="minor"/>
    </font>
    <font>
      <b/>
      <sz val="10"/>
      <color rgb="FFFFFFFF"/>
      <name val="Calibri"/>
      <family val="2"/>
    </font>
    <font>
      <sz val="11"/>
      <color theme="1"/>
      <name val="Calibri"/>
      <family val="2"/>
    </font>
    <font>
      <sz val="10"/>
      <name val="Calibri"/>
      <family val="2"/>
    </font>
    <font>
      <b/>
      <sz val="10"/>
      <color rgb="FF000000"/>
      <name val="Calibri"/>
      <family val="2"/>
    </font>
    <font>
      <b/>
      <sz val="10"/>
      <color theme="1"/>
      <name val="Arial"/>
      <family val="2"/>
      <scheme val="minor"/>
    </font>
    <font>
      <i/>
      <sz val="11"/>
      <color rgb="FF404040"/>
      <name val="Calibri"/>
      <family val="2"/>
    </font>
    <font>
      <b/>
      <sz val="11"/>
      <color rgb="FFFFFFFF"/>
      <name val="Calibri"/>
      <family val="2"/>
    </font>
    <font>
      <sz val="11"/>
      <color rgb="FFFFFFFF"/>
      <name val="Calibri"/>
      <family val="2"/>
    </font>
    <font>
      <sz val="11"/>
      <color rgb="FF404040"/>
      <name val="Calibri"/>
      <family val="2"/>
    </font>
    <font>
      <b/>
      <sz val="11"/>
      <color rgb="FF404040"/>
      <name val="Calibri"/>
      <family val="2"/>
    </font>
    <font>
      <b/>
      <vertAlign val="superscript"/>
      <sz val="10"/>
      <color theme="0"/>
      <name val="Arial"/>
      <family val="2"/>
    </font>
    <font>
      <sz val="11"/>
      <color rgb="FF5B5B5B"/>
      <name val="Arial"/>
      <family val="2"/>
      <scheme val="minor"/>
    </font>
    <font>
      <vertAlign val="superscript"/>
      <sz val="8"/>
      <name val="Arial"/>
      <family val="2"/>
    </font>
    <font>
      <b/>
      <sz val="9"/>
      <color rgb="FF37797B"/>
      <name val="Segoe UI"/>
      <family val="2"/>
    </font>
    <font>
      <sz val="9"/>
      <color rgb="FF37797B"/>
      <name val="Segoe UI"/>
      <family val="2"/>
    </font>
    <font>
      <sz val="9"/>
      <color theme="1"/>
      <name val="Segoe UI"/>
      <family val="2"/>
    </font>
    <font>
      <sz val="8"/>
      <color rgb="FF404040"/>
      <name val="Arial"/>
      <family val="2"/>
    </font>
    <font>
      <u/>
      <sz val="11"/>
      <color theme="10"/>
      <name val="Arial"/>
      <family val="2"/>
      <scheme val="minor"/>
    </font>
    <font>
      <u/>
      <sz val="11"/>
      <color indexed="12"/>
      <name val="Calibri"/>
      <family val="2"/>
    </font>
    <font>
      <b/>
      <sz val="8"/>
      <color rgb="FF404040"/>
      <name val="Arial"/>
      <family val="2"/>
    </font>
    <font>
      <b/>
      <sz val="10"/>
      <color indexed="9"/>
      <name val="Arial"/>
      <family val="2"/>
      <scheme val="minor"/>
    </font>
    <font>
      <sz val="8"/>
      <color indexed="8"/>
      <name val="Arial"/>
      <family val="2"/>
      <scheme val="minor"/>
    </font>
    <font>
      <sz val="8"/>
      <color rgb="FF404040"/>
      <name val="Arial"/>
      <family val="2"/>
      <scheme val="minor"/>
    </font>
    <font>
      <b/>
      <sz val="14"/>
      <color rgb="FF7030A0"/>
      <name val="Arial"/>
      <family val="2"/>
      <scheme val="minor"/>
    </font>
    <font>
      <vertAlign val="superscript"/>
      <sz val="8"/>
      <color rgb="FF000000"/>
      <name val="Arial"/>
      <family val="2"/>
      <scheme val="minor"/>
    </font>
    <font>
      <sz val="8"/>
      <color theme="1"/>
      <name val="Arial"/>
      <family val="2"/>
      <scheme val="minor"/>
    </font>
    <font>
      <sz val="11"/>
      <color indexed="8"/>
      <name val="Arial"/>
      <family val="2"/>
      <scheme val="minor"/>
    </font>
    <font>
      <b/>
      <sz val="16"/>
      <color rgb="FF001E82"/>
      <name val="Arial"/>
      <family val="2"/>
      <scheme val="minor"/>
    </font>
    <font>
      <sz val="11"/>
      <color rgb="FF001E82"/>
      <name val="Arial"/>
      <family val="2"/>
      <scheme val="minor"/>
    </font>
    <font>
      <b/>
      <sz val="14"/>
      <color rgb="FF001E82"/>
      <name val="Arial"/>
      <family val="2"/>
      <scheme val="minor"/>
    </font>
    <font>
      <b/>
      <vertAlign val="superscript"/>
      <sz val="14"/>
      <color rgb="FF001E82"/>
      <name val="Arial"/>
      <family val="2"/>
      <scheme val="minor"/>
    </font>
    <font>
      <b/>
      <sz val="14"/>
      <color rgb="FF3366FF"/>
      <name val="Arial"/>
      <family val="2"/>
      <scheme val="minor"/>
    </font>
    <font>
      <sz val="11"/>
      <color rgb="FF000000"/>
      <name val="Arial"/>
      <family val="2"/>
      <scheme val="minor"/>
    </font>
    <font>
      <b/>
      <sz val="14"/>
      <color rgb="FF003366"/>
      <name val="Arial"/>
      <family val="2"/>
      <scheme val="minor"/>
    </font>
    <font>
      <b/>
      <sz val="10"/>
      <color rgb="FF0066CC"/>
      <name val="Arial"/>
      <family val="2"/>
      <scheme val="minor"/>
    </font>
    <font>
      <b/>
      <sz val="9"/>
      <color theme="0"/>
      <name val="Arial"/>
      <family val="2"/>
      <scheme val="minor"/>
    </font>
    <font>
      <b/>
      <sz val="10"/>
      <color rgb="FFFF0000"/>
      <name val="Arial"/>
      <family val="2"/>
      <scheme val="minor"/>
    </font>
    <font>
      <b/>
      <sz val="8"/>
      <color rgb="FF000000"/>
      <name val="Arial"/>
      <family val="2"/>
      <scheme val="minor"/>
    </font>
    <font>
      <b/>
      <vertAlign val="superscript"/>
      <sz val="8"/>
      <color rgb="FF000000"/>
      <name val="Arial"/>
      <family val="2"/>
      <scheme val="minor"/>
    </font>
    <font>
      <i/>
      <sz val="8"/>
      <color rgb="FF000000"/>
      <name val="Arial"/>
      <family val="2"/>
      <scheme val="minor"/>
    </font>
    <font>
      <sz val="9"/>
      <color rgb="FFFF0000"/>
      <name val="Arial"/>
      <family val="2"/>
      <scheme val="minor"/>
    </font>
    <font>
      <sz val="10"/>
      <color rgb="FF000000"/>
      <name val="Arial"/>
      <family val="2"/>
      <scheme val="minor"/>
    </font>
    <font>
      <sz val="8"/>
      <color theme="1" tint="0.249977111117893"/>
      <name val="Arial"/>
      <family val="2"/>
      <scheme val="minor"/>
    </font>
    <font>
      <i/>
      <sz val="11"/>
      <color rgb="FF008080"/>
      <name val="Arial"/>
      <family val="2"/>
      <scheme val="minor"/>
    </font>
    <font>
      <i/>
      <sz val="9"/>
      <color rgb="FF001E82"/>
      <name val="Arial"/>
      <family val="2"/>
      <scheme val="minor"/>
    </font>
    <font>
      <i/>
      <sz val="9"/>
      <color rgb="FF00CCFF"/>
      <name val="Arial"/>
      <family val="2"/>
      <scheme val="minor"/>
    </font>
    <font>
      <sz val="11"/>
      <color rgb="FFFFFFFF"/>
      <name val="Arial"/>
      <family val="2"/>
      <scheme val="minor"/>
    </font>
    <font>
      <b/>
      <sz val="11"/>
      <color rgb="FF003366"/>
      <name val="Arial"/>
      <family val="2"/>
      <scheme val="minor"/>
    </font>
    <font>
      <sz val="9"/>
      <color rgb="FF000000"/>
      <name val="Arial"/>
      <family val="2"/>
      <scheme val="minor"/>
    </font>
    <font>
      <i/>
      <sz val="8"/>
      <name val="Arial"/>
      <family val="2"/>
      <scheme val="minor"/>
    </font>
    <font>
      <sz val="8"/>
      <color rgb="FFFF0000"/>
      <name val="Arial"/>
      <family val="2"/>
      <scheme val="minor"/>
    </font>
    <font>
      <vertAlign val="superscript"/>
      <sz val="8"/>
      <name val="Arial"/>
      <family val="2"/>
      <scheme val="minor"/>
    </font>
    <font>
      <sz val="8"/>
      <color theme="0"/>
      <name val="Arial"/>
      <family val="2"/>
      <scheme val="minor"/>
    </font>
    <font>
      <sz val="9"/>
      <color theme="1" tint="0.249977111117893"/>
      <name val="Arial"/>
      <family val="2"/>
      <scheme val="minor"/>
    </font>
    <font>
      <i/>
      <sz val="8"/>
      <color theme="1" tint="0.249977111117893"/>
      <name val="Arial"/>
      <family val="2"/>
      <scheme val="minor"/>
    </font>
    <font>
      <b/>
      <sz val="14"/>
      <color rgb="FFFF0000"/>
      <name val="Arial"/>
      <family val="2"/>
      <scheme val="minor"/>
    </font>
    <font>
      <i/>
      <sz val="8"/>
      <color rgb="FF001E82"/>
      <name val="Arial"/>
      <family val="2"/>
      <scheme val="minor"/>
    </font>
    <font>
      <i/>
      <sz val="8"/>
      <color rgb="FF00B0F0"/>
      <name val="Arial"/>
      <family val="2"/>
      <scheme val="minor"/>
    </font>
    <font>
      <b/>
      <sz val="9"/>
      <color rgb="FF000000"/>
      <name val="Arial"/>
      <family val="2"/>
      <scheme val="minor"/>
    </font>
    <font>
      <b/>
      <vertAlign val="superscript"/>
      <sz val="9"/>
      <color rgb="FF000000"/>
      <name val="Arial"/>
      <family val="2"/>
      <scheme val="minor"/>
    </font>
    <font>
      <sz val="11"/>
      <color rgb="FF7030A0"/>
      <name val="Arial"/>
      <family val="2"/>
      <scheme val="minor"/>
    </font>
    <font>
      <sz val="8"/>
      <color indexed="9"/>
      <name val="Arial"/>
      <family val="2"/>
      <scheme val="minor"/>
    </font>
    <font>
      <vertAlign val="superscript"/>
      <sz val="9"/>
      <color rgb="FF000000"/>
      <name val="Arial"/>
      <family val="2"/>
      <scheme val="minor"/>
    </font>
    <font>
      <b/>
      <vertAlign val="superscript"/>
      <sz val="10"/>
      <color rgb="FFFFFFFF"/>
      <name val="Arial"/>
      <family val="2"/>
      <scheme val="minor"/>
    </font>
    <font>
      <b/>
      <sz val="8"/>
      <name val="Arial"/>
      <family val="2"/>
      <scheme val="minor"/>
    </font>
    <font>
      <b/>
      <sz val="8"/>
      <color theme="0"/>
      <name val="Arial"/>
      <family val="2"/>
      <scheme val="minor"/>
    </font>
    <font>
      <sz val="8"/>
      <color theme="3"/>
      <name val="Arial"/>
      <family val="2"/>
      <scheme val="minor"/>
    </font>
    <font>
      <vertAlign val="superscript"/>
      <sz val="8"/>
      <color theme="3"/>
      <name val="Arial"/>
      <family val="2"/>
      <scheme val="minor"/>
    </font>
    <font>
      <b/>
      <sz val="8"/>
      <color theme="1"/>
      <name val="Arial"/>
      <family val="2"/>
      <scheme val="minor"/>
    </font>
    <font>
      <sz val="8"/>
      <color rgb="FFFFFFFF"/>
      <name val="Arial"/>
      <family val="2"/>
      <scheme val="minor"/>
    </font>
    <font>
      <sz val="10"/>
      <color theme="1" tint="0.249977111117893"/>
      <name val="Arial"/>
      <family val="2"/>
      <scheme val="minor"/>
    </font>
    <font>
      <sz val="8"/>
      <color theme="9" tint="-0.499984740745262"/>
      <name val="Arial"/>
      <family val="2"/>
      <scheme val="minor"/>
    </font>
    <font>
      <b/>
      <sz val="14"/>
      <color rgb="FF031E82"/>
      <name val="Arial"/>
      <family val="2"/>
      <scheme val="minor"/>
    </font>
    <font>
      <sz val="9"/>
      <color rgb="FF031E82"/>
      <name val="Arial"/>
      <family val="2"/>
      <scheme val="minor"/>
    </font>
    <font>
      <b/>
      <sz val="11"/>
      <color rgb="FF074F30"/>
      <name val="Arial"/>
      <family val="2"/>
    </font>
    <font>
      <b/>
      <sz val="11"/>
      <color rgb="FFED7D31"/>
      <name val="Arial"/>
      <family val="2"/>
    </font>
    <font>
      <b/>
      <sz val="14"/>
      <color rgb="FF074F30"/>
      <name val="Arial"/>
      <family val="2"/>
      <scheme val="minor"/>
    </font>
    <font>
      <b/>
      <sz val="9"/>
      <color rgb="FF074F30"/>
      <name val="Arial"/>
      <family val="2"/>
    </font>
    <font>
      <b/>
      <sz val="16"/>
      <color rgb="FF074F30"/>
      <name val="Arial"/>
      <family val="2"/>
    </font>
    <font>
      <u/>
      <sz val="9"/>
      <color theme="1" tint="0.249977111117893"/>
      <name val="Arial"/>
      <family val="2"/>
      <scheme val="minor"/>
    </font>
    <font>
      <b/>
      <sz val="14"/>
      <color indexed="29"/>
      <name val="Arial"/>
      <family val="2"/>
      <scheme val="minor"/>
    </font>
    <font>
      <b/>
      <sz val="11"/>
      <color indexed="29"/>
      <name val="Arial"/>
      <family val="2"/>
      <scheme val="minor"/>
    </font>
    <font>
      <sz val="10"/>
      <color rgb="FF074F30"/>
      <name val="Arial"/>
      <family val="2"/>
      <scheme val="minor"/>
    </font>
    <font>
      <b/>
      <vertAlign val="superscript"/>
      <sz val="14"/>
      <color rgb="FF031E82"/>
      <name val="Arial"/>
      <family val="2"/>
      <scheme val="minor"/>
    </font>
    <font>
      <sz val="11"/>
      <color theme="1"/>
      <name val="Arial"/>
      <family val="2"/>
    </font>
    <font>
      <sz val="9"/>
      <color rgb="FF074F30"/>
      <name val="Arial"/>
      <family val="2"/>
    </font>
    <font>
      <sz val="9"/>
      <color theme="1"/>
      <name val="Arial"/>
      <family val="2"/>
    </font>
    <font>
      <sz val="11"/>
      <color rgb="FF404040"/>
      <name val="Arial"/>
      <family val="2"/>
    </font>
    <font>
      <sz val="11"/>
      <color rgb="FFFF0000"/>
      <name val="Arial"/>
      <family val="2"/>
    </font>
    <font>
      <b/>
      <sz val="11"/>
      <color indexed="8"/>
      <name val="Arial"/>
      <family val="2"/>
    </font>
    <font>
      <sz val="11"/>
      <color theme="9"/>
      <name val="Arial"/>
      <family val="2"/>
    </font>
    <font>
      <sz val="11"/>
      <color indexed="19"/>
      <name val="Arial"/>
      <family val="2"/>
    </font>
    <font>
      <b/>
      <sz val="14"/>
      <color rgb="FF570066"/>
      <name val="Arial"/>
      <family val="2"/>
    </font>
    <font>
      <b/>
      <vertAlign val="superscript"/>
      <sz val="14"/>
      <color rgb="FF570066"/>
      <name val="Arial"/>
      <family val="2"/>
    </font>
    <font>
      <b/>
      <sz val="14"/>
      <color rgb="FFFF2896"/>
      <name val="Arial"/>
      <family val="2"/>
    </font>
    <font>
      <b/>
      <sz val="11"/>
      <color rgb="FF7030A0"/>
      <name val="Arial"/>
      <family val="2"/>
    </font>
    <font>
      <i/>
      <sz val="9"/>
      <color rgb="FF570066"/>
      <name val="Arial"/>
      <family val="2"/>
    </font>
    <font>
      <b/>
      <sz val="11"/>
      <color rgb="FF570066"/>
      <name val="Arial"/>
      <family val="2"/>
    </font>
    <font>
      <b/>
      <sz val="11"/>
      <color indexed="56"/>
      <name val="Arial"/>
      <family val="2"/>
    </font>
    <font>
      <b/>
      <sz val="14"/>
      <color rgb="FF7030A0"/>
      <name val="Arial"/>
      <family val="2"/>
    </font>
    <font>
      <b/>
      <vertAlign val="superscript"/>
      <sz val="14"/>
      <color rgb="FF7030A0"/>
      <name val="Arial"/>
      <family val="2"/>
    </font>
    <font>
      <b/>
      <sz val="11"/>
      <color rgb="FFFF2896"/>
      <name val="Arial"/>
      <family val="2"/>
    </font>
    <font>
      <sz val="9"/>
      <color indexed="20"/>
      <name val="Arial"/>
      <family val="2"/>
    </font>
    <font>
      <b/>
      <sz val="10"/>
      <color indexed="29"/>
      <name val="Arial"/>
      <family val="2"/>
      <scheme val="minor"/>
    </font>
    <font>
      <sz val="9"/>
      <color rgb="FFFF0000"/>
      <name val="Arial"/>
      <family val="2"/>
    </font>
    <font>
      <sz val="8"/>
      <color rgb="FF404040"/>
      <name val="Arial (Body)"/>
    </font>
    <font>
      <sz val="11"/>
      <color rgb="FF404040"/>
      <name val="Arial (Body)"/>
    </font>
    <font>
      <b/>
      <sz val="8"/>
      <color rgb="FF5B5B5B"/>
      <name val="Arial"/>
      <family val="2"/>
      <scheme val="minor"/>
    </font>
  </fonts>
  <fills count="175">
    <fill>
      <patternFill patternType="none"/>
    </fill>
    <fill>
      <patternFill patternType="gray125"/>
    </fill>
    <fill>
      <patternFill patternType="solid">
        <fgColor rgb="FFFFCC99"/>
      </patternFill>
    </fill>
    <fill>
      <patternFill patternType="solid">
        <fgColor indexed="65"/>
        <bgColor indexed="64"/>
      </patternFill>
    </fill>
    <fill>
      <patternFill patternType="solid">
        <fgColor indexed="57"/>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theme="0" tint="-0.14999847407452621"/>
        <bgColor indexed="64"/>
      </patternFill>
    </fill>
    <fill>
      <patternFill patternType="solid">
        <fgColor rgb="FFFFEB9C"/>
      </patternFill>
    </fill>
    <fill>
      <patternFill patternType="solid">
        <fgColor theme="2" tint="0.24994659260841701"/>
        <bgColor indexed="64"/>
      </patternFill>
    </fill>
    <fill>
      <patternFill patternType="solid">
        <fgColor theme="2" tint="0.89996032593768116"/>
        <bgColor indexed="64"/>
      </patternFill>
    </fill>
    <fill>
      <patternFill patternType="solid">
        <fgColor rgb="FFFFC000"/>
        <bgColor indexed="64"/>
      </patternFill>
    </fill>
    <fill>
      <patternFill patternType="solid">
        <fgColor rgb="FFFFC7CE"/>
      </patternFill>
    </fill>
    <fill>
      <patternFill patternType="solid">
        <fgColor theme="8"/>
        <bgColor theme="8"/>
      </patternFill>
    </fill>
    <fill>
      <patternFill patternType="solid">
        <fgColor rgb="FF00B050"/>
        <bgColor indexed="64"/>
      </patternFill>
    </fill>
    <fill>
      <patternFill patternType="solid">
        <fgColor indexed="56"/>
        <bgColor indexed="64"/>
      </patternFill>
    </fill>
    <fill>
      <patternFill patternType="solid">
        <fgColor indexed="55"/>
        <bgColor indexed="64"/>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rgb="FF1D6693"/>
        <bgColor indexed="64"/>
      </patternFill>
    </fill>
    <fill>
      <patternFill patternType="solid">
        <fgColor rgb="FF5FAEDF"/>
        <bgColor indexed="64"/>
      </patternFill>
    </fill>
    <fill>
      <patternFill patternType="solid">
        <fgColor theme="0" tint="-4.9989318521683403E-2"/>
        <bgColor indexed="64"/>
      </patternFill>
    </fill>
    <fill>
      <patternFill patternType="solid">
        <fgColor theme="8" tint="0.79998168889431442"/>
        <bgColor theme="8" tint="0.79998168889431442"/>
      </patternFill>
    </fill>
    <fill>
      <patternFill patternType="solid">
        <fgColor theme="4" tint="0.79998168889431442"/>
        <bgColor theme="4" tint="0.79998168889431442"/>
      </patternFill>
    </fill>
    <fill>
      <patternFill patternType="solid">
        <fgColor rgb="FF074F30"/>
        <bgColor indexed="64"/>
      </patternFill>
    </fill>
    <fill>
      <patternFill patternType="solid">
        <fgColor theme="0" tint="-0.24994659260841701"/>
        <bgColor indexed="64"/>
      </patternFill>
    </fill>
    <fill>
      <patternFill patternType="solid">
        <fgColor indexed="65"/>
        <bgColor rgb="FF000000"/>
      </patternFill>
    </fill>
    <fill>
      <patternFill patternType="solid">
        <fgColor rgb="FF969696"/>
        <bgColor rgb="FF000000"/>
      </patternFill>
    </fill>
    <fill>
      <patternFill patternType="solid">
        <fgColor rgb="FFC0C0C0"/>
        <bgColor rgb="FF000000"/>
      </patternFill>
    </fill>
    <fill>
      <patternFill patternType="solid">
        <fgColor rgb="FFFFEB9C"/>
        <bgColor indexed="64"/>
      </patternFill>
    </fill>
    <fill>
      <patternFill patternType="solid">
        <fgColor rgb="FF7500C0"/>
        <bgColor indexed="64"/>
      </patternFill>
    </fill>
    <fill>
      <patternFill patternType="solid">
        <fgColor rgb="FF7030A0"/>
        <bgColor indexed="64"/>
      </patternFill>
    </fill>
    <fill>
      <patternFill patternType="solid">
        <fgColor theme="6"/>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6" tint="-0.249977111117893"/>
        <bgColor theme="6" tint="-0.249977111117893"/>
      </patternFill>
    </fill>
    <fill>
      <patternFill patternType="solid">
        <fgColor theme="1" tint="-0.499984740745262"/>
        <bgColor indexed="64"/>
      </patternFill>
    </fill>
    <fill>
      <patternFill patternType="solid">
        <fgColor rgb="FF92D050"/>
        <bgColor indexed="64"/>
      </patternFill>
    </fill>
    <fill>
      <patternFill patternType="solid">
        <fgColor rgb="FFD9D9D9"/>
        <bgColor indexed="64"/>
      </patternFill>
    </fill>
    <fill>
      <patternFill patternType="solid">
        <fgColor rgb="FFC6E0B4"/>
        <bgColor indexed="64"/>
      </patternFill>
    </fill>
    <fill>
      <patternFill patternType="solid">
        <fgColor theme="0"/>
        <bgColor rgb="FF000000"/>
      </patternFill>
    </fill>
    <fill>
      <patternFill patternType="solid">
        <fgColor rgb="FFCC99FF"/>
        <bgColor indexed="64"/>
      </patternFill>
    </fill>
    <fill>
      <patternFill patternType="solid">
        <fgColor theme="0" tint="-0.249977111117893"/>
        <bgColor indexed="64"/>
      </patternFill>
    </fill>
    <fill>
      <patternFill patternType="solid">
        <fgColor rgb="FF1D6693"/>
        <bgColor rgb="FF000000"/>
      </patternFill>
    </fill>
    <fill>
      <patternFill patternType="solid">
        <fgColor rgb="FFFFC000"/>
        <bgColor rgb="FF000000"/>
      </patternFill>
    </fill>
    <fill>
      <patternFill patternType="solid">
        <fgColor rgb="FFFFFFFF"/>
        <bgColor rgb="FF000000"/>
      </patternFill>
    </fill>
    <fill>
      <patternFill patternType="solid">
        <fgColor rgb="FF5FAEDF"/>
        <bgColor rgb="FF000000"/>
      </patternFill>
    </fill>
    <fill>
      <patternFill patternType="solid">
        <fgColor rgb="FFF2F2F2"/>
        <bgColor rgb="FF000000"/>
      </patternFill>
    </fill>
    <fill>
      <patternFill patternType="solid">
        <fgColor theme="8" tint="0.59999389629810485"/>
        <bgColor indexed="64"/>
      </patternFill>
    </fill>
    <fill>
      <patternFill patternType="solid">
        <fgColor theme="9" tint="0.79998168889431442"/>
        <bgColor indexed="64"/>
      </patternFill>
    </fill>
    <fill>
      <patternFill patternType="solid">
        <fgColor rgb="FFD9E1F2"/>
        <bgColor rgb="FFD9E1F2"/>
      </patternFill>
    </fill>
    <fill>
      <patternFill patternType="solid">
        <fgColor theme="4" tint="0.59999389629810485"/>
        <bgColor indexed="64"/>
      </patternFill>
    </fill>
    <fill>
      <patternFill patternType="solid">
        <fgColor theme="0" tint="-0.249977111117893"/>
        <bgColor rgb="FF000000"/>
      </patternFill>
    </fill>
    <fill>
      <patternFill patternType="solid">
        <fgColor rgb="FFFFFFFF"/>
        <bgColor indexed="64"/>
      </patternFill>
    </fill>
    <fill>
      <patternFill patternType="solid">
        <fgColor rgb="FFC0C0C0"/>
        <bgColor indexed="64"/>
      </patternFill>
    </fill>
    <fill>
      <patternFill patternType="solid">
        <fgColor rgb="FF969696"/>
        <bgColor indexed="64"/>
      </patternFill>
    </fill>
    <fill>
      <patternFill patternType="solid">
        <fgColor rgb="FF001E82"/>
        <bgColor indexed="64"/>
      </patternFill>
    </fill>
    <fill>
      <patternFill patternType="solid">
        <fgColor rgb="FF001E82"/>
        <bgColor rgb="FF000000"/>
      </patternFill>
    </fill>
    <fill>
      <patternFill patternType="solid">
        <fgColor indexed="9"/>
        <bgColor indexed="8"/>
      </patternFill>
    </fill>
    <fill>
      <patternFill patternType="solid">
        <fgColor rgb="FFC0C0C0"/>
        <bgColor theme="4" tint="0.79998168889431442"/>
      </patternFill>
    </fill>
    <fill>
      <patternFill patternType="solid">
        <fgColor indexed="55"/>
        <bgColor indexed="8"/>
      </patternFill>
    </fill>
    <fill>
      <patternFill patternType="solid">
        <fgColor rgb="FF001E82"/>
        <bgColor indexed="8"/>
      </patternFill>
    </fill>
    <fill>
      <patternFill patternType="solid">
        <fgColor rgb="FFBFBFBF"/>
        <bgColor rgb="FF000000"/>
      </patternFill>
    </fill>
    <fill>
      <patternFill patternType="solid">
        <fgColor indexed="23"/>
        <bgColor indexed="8"/>
      </patternFill>
    </fill>
    <fill>
      <patternFill patternType="solid">
        <fgColor rgb="FF570066"/>
        <bgColor indexed="64"/>
      </patternFill>
    </fill>
    <fill>
      <patternFill patternType="solid">
        <fgColor indexed="65"/>
        <bgColor theme="0"/>
      </patternFill>
    </fill>
    <fill>
      <patternFill patternType="solid">
        <fgColor theme="0" tint="-0.34998626667073579"/>
        <bgColor indexed="64"/>
      </patternFill>
    </fill>
    <fill>
      <patternFill patternType="solid">
        <fgColor rgb="FFC0C0C0"/>
        <bgColor rgb="FFBBFFFF"/>
      </patternFill>
    </fill>
  </fills>
  <borders count="210">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style="thin">
        <color indexed="22"/>
      </right>
      <top/>
      <bottom/>
      <diagonal/>
    </border>
    <border>
      <left/>
      <right/>
      <top style="thin">
        <color theme="6" tint="0.79998168889431442"/>
      </top>
      <bottom style="thin">
        <color theme="6" tint="0.7999816888943144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rgb="FFA9D08E"/>
      </left>
      <right/>
      <top style="thin">
        <color rgb="FFA9D08E"/>
      </top>
      <bottom style="thin">
        <color rgb="FFA9D08E"/>
      </bottom>
      <diagonal/>
    </border>
    <border>
      <left/>
      <right/>
      <top style="thin">
        <color rgb="FFA9D08E"/>
      </top>
      <bottom style="thin">
        <color rgb="FFA9D08E"/>
      </bottom>
      <diagonal/>
    </border>
    <border>
      <left/>
      <right style="thin">
        <color rgb="FFA9D08E"/>
      </right>
      <top style="thin">
        <color rgb="FFA9D08E"/>
      </top>
      <bottom style="thin">
        <color rgb="FFA9D08E"/>
      </bottom>
      <diagonal/>
    </border>
    <border>
      <left/>
      <right/>
      <top/>
      <bottom style="thin">
        <color theme="4"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n">
        <color theme="8" tint="0.39997558519241921"/>
      </bottom>
      <diagonal/>
    </border>
    <border>
      <left style="thin">
        <color indexed="18"/>
      </left>
      <right style="thin">
        <color indexed="18"/>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auto="1"/>
      </bottom>
      <diagonal/>
    </border>
    <border>
      <left/>
      <right/>
      <top style="medium">
        <color auto="1"/>
      </top>
      <bottom/>
      <diagonal/>
    </border>
    <border>
      <left/>
      <right/>
      <top style="thin">
        <color rgb="FF1D6693"/>
      </top>
      <bottom style="thin">
        <color rgb="FF1D6693"/>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thin">
        <color theme="8" tint="0.39997558519241921"/>
      </left>
      <right/>
      <top style="thin">
        <color theme="8" tint="0.39997558519241921"/>
      </top>
      <bottom style="thin">
        <color theme="8" tint="0.39997558519241921"/>
      </bottom>
      <diagonal/>
    </border>
    <border>
      <left/>
      <right style="thin">
        <color rgb="FFA9D08E"/>
      </right>
      <top style="thin">
        <color theme="6" tint="0.79998168889431442"/>
      </top>
      <bottom style="thin">
        <color theme="6" tint="0.79998168889431442"/>
      </bottom>
      <diagonal/>
    </border>
    <border>
      <left/>
      <right/>
      <top/>
      <bottom style="thin">
        <color rgb="FFA9D08E"/>
      </bottom>
      <diagonal/>
    </border>
    <border>
      <left/>
      <right style="thin">
        <color rgb="FFA9D08E"/>
      </right>
      <top/>
      <bottom style="thin">
        <color rgb="FFA9D08E"/>
      </bottom>
      <diagonal/>
    </border>
    <border>
      <left style="thin">
        <color rgb="FF074F30"/>
      </left>
      <right style="thin">
        <color rgb="FF074F30"/>
      </right>
      <top/>
      <bottom/>
      <diagonal/>
    </border>
    <border>
      <left style="thin">
        <color rgb="FF074F30"/>
      </left>
      <right style="thin">
        <color rgb="FF074F30"/>
      </right>
      <top/>
      <bottom style="thin">
        <color rgb="FF074F30"/>
      </bottom>
      <diagonal/>
    </border>
    <border>
      <left style="thin">
        <color rgb="FFA9D08E"/>
      </left>
      <right/>
      <top/>
      <bottom style="thin">
        <color rgb="FFA9D08E"/>
      </bottom>
      <diagonal/>
    </border>
    <border>
      <left/>
      <right style="thin">
        <color rgb="FF074F30"/>
      </right>
      <top/>
      <bottom/>
      <diagonal/>
    </border>
    <border>
      <left style="thin">
        <color indexed="22"/>
      </left>
      <right/>
      <top style="thin">
        <color indexed="22"/>
      </top>
      <bottom/>
      <diagonal/>
    </border>
    <border>
      <left/>
      <right style="thin">
        <color indexed="22"/>
      </right>
      <top style="thin">
        <color indexed="22"/>
      </top>
      <bottom/>
      <diagonal/>
    </border>
    <border>
      <left/>
      <right style="thin">
        <color indexed="22"/>
      </right>
      <top/>
      <bottom style="thin">
        <color indexed="22"/>
      </bottom>
      <diagonal/>
    </border>
    <border>
      <left style="thin">
        <color rgb="FFC0C0C0"/>
      </left>
      <right/>
      <top/>
      <bottom/>
      <diagonal/>
    </border>
    <border>
      <left style="thin">
        <color theme="8" tint="0.39997558519241921"/>
      </left>
      <right/>
      <top style="thin">
        <color theme="8" tint="0.39997558519241921"/>
      </top>
      <bottom/>
      <diagonal/>
    </border>
    <border>
      <left/>
      <right/>
      <top style="thin">
        <color theme="6" tint="0.79998168889431442"/>
      </top>
      <bottom/>
      <diagonal/>
    </border>
    <border>
      <left style="thin">
        <color indexed="22"/>
      </left>
      <right/>
      <top/>
      <bottom style="thin">
        <color indexed="22"/>
      </bottom>
      <diagonal/>
    </border>
    <border>
      <left/>
      <right/>
      <top/>
      <bottom style="thin">
        <color indexed="2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6" tint="-0.249977111117893"/>
      </top>
      <bottom style="thin">
        <color theme="6" tint="0.79998168889431442"/>
      </bottom>
      <diagonal/>
    </border>
    <border>
      <left/>
      <right/>
      <top style="thin">
        <color theme="6" tint="-0.249977111117893"/>
      </top>
      <bottom style="thin">
        <color theme="6" tint="0.59999389629810485"/>
      </bottom>
      <diagonal/>
    </border>
    <border>
      <left/>
      <right style="thin">
        <color indexed="64"/>
      </right>
      <top style="thin">
        <color indexed="64"/>
      </top>
      <bottom/>
      <diagonal/>
    </border>
    <border>
      <left style="thin">
        <color indexed="22"/>
      </left>
      <right style="thin">
        <color indexed="64"/>
      </right>
      <top style="thin">
        <color indexed="64"/>
      </top>
      <bottom/>
      <diagonal/>
    </border>
    <border>
      <left style="thin">
        <color theme="0" tint="-0.249977111117893"/>
      </left>
      <right/>
      <top/>
      <bottom/>
      <diagonal/>
    </border>
    <border>
      <left/>
      <right/>
      <top style="thin">
        <color theme="4" tint="0.39997558519241921"/>
      </top>
      <bottom/>
      <diagonal/>
    </border>
    <border>
      <left style="thin">
        <color theme="0" tint="-0.14999847407452621"/>
      </left>
      <right/>
      <top/>
      <bottom/>
      <diagonal/>
    </border>
    <border>
      <left/>
      <right style="thin">
        <color theme="0" tint="-0.14999847407452621"/>
      </right>
      <top/>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medium">
        <color rgb="FF1D6693"/>
      </left>
      <right/>
      <top style="medium">
        <color rgb="FF1D6693"/>
      </top>
      <bottom/>
      <diagonal/>
    </border>
    <border>
      <left/>
      <right/>
      <top style="medium">
        <color rgb="FF1D6693"/>
      </top>
      <bottom/>
      <diagonal/>
    </border>
    <border>
      <left/>
      <right style="medium">
        <color rgb="FF1D6693"/>
      </right>
      <top style="medium">
        <color rgb="FF1D6693"/>
      </top>
      <bottom/>
      <diagonal/>
    </border>
    <border>
      <left style="medium">
        <color rgb="FF1D6693"/>
      </left>
      <right/>
      <top style="medium">
        <color rgb="FF1D6693"/>
      </top>
      <bottom style="medium">
        <color rgb="FF1D6693"/>
      </bottom>
      <diagonal/>
    </border>
    <border>
      <left/>
      <right/>
      <top style="medium">
        <color rgb="FF1D6693"/>
      </top>
      <bottom style="medium">
        <color rgb="FF1D6693"/>
      </bottom>
      <diagonal/>
    </border>
    <border>
      <left/>
      <right style="medium">
        <color rgb="FF1D6693"/>
      </right>
      <top style="medium">
        <color rgb="FF1D6693"/>
      </top>
      <bottom style="medium">
        <color rgb="FF1D6693"/>
      </bottom>
      <diagonal/>
    </border>
    <border>
      <left style="medium">
        <color rgb="FF1D6693"/>
      </left>
      <right/>
      <top/>
      <bottom/>
      <diagonal/>
    </border>
    <border>
      <left/>
      <right style="medium">
        <color rgb="FF1D6693"/>
      </right>
      <top/>
      <bottom/>
      <diagonal/>
    </border>
    <border>
      <left style="medium">
        <color rgb="FF1D6693"/>
      </left>
      <right/>
      <top/>
      <bottom style="medium">
        <color rgb="FF1D6693"/>
      </bottom>
      <diagonal/>
    </border>
    <border>
      <left/>
      <right/>
      <top/>
      <bottom style="medium">
        <color rgb="FF1D6693"/>
      </bottom>
      <diagonal/>
    </border>
    <border>
      <left/>
      <right style="medium">
        <color rgb="FF1D6693"/>
      </right>
      <top/>
      <bottom style="medium">
        <color rgb="FF1D6693"/>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tted">
        <color rgb="FF808080"/>
      </left>
      <right style="dotted">
        <color rgb="FF808080"/>
      </right>
      <top style="dotted">
        <color rgb="FF808080"/>
      </top>
      <bottom style="dotted">
        <color rgb="FF808080"/>
      </bottom>
      <diagonal/>
    </border>
    <border>
      <left/>
      <right style="thin">
        <color theme="4" tint="0.39997558519241921"/>
      </right>
      <top style="thin">
        <color theme="4" tint="0.39997558519241921"/>
      </top>
      <bottom style="thin">
        <color theme="4" tint="0.39997558519241921"/>
      </bottom>
      <diagonal/>
    </border>
    <border>
      <left/>
      <right/>
      <top/>
      <bottom style="thin">
        <color rgb="FF8EA9DB"/>
      </bottom>
      <diagonal/>
    </border>
    <border>
      <left/>
      <right/>
      <top style="thin">
        <color rgb="FF8EA9DB"/>
      </top>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thin">
        <color rgb="FF001E82"/>
      </left>
      <right style="thin">
        <color rgb="FF001E82"/>
      </right>
      <top/>
      <bottom style="thin">
        <color rgb="FF001E82"/>
      </bottom>
      <diagonal/>
    </border>
    <border>
      <left style="thin">
        <color rgb="FFD0CECE"/>
      </left>
      <right style="thin">
        <color rgb="FFD0CECE"/>
      </right>
      <top style="thin">
        <color rgb="FFD0CECE"/>
      </top>
      <bottom style="thin">
        <color rgb="FFD0CECE"/>
      </bottom>
      <diagonal/>
    </border>
    <border>
      <left style="thin">
        <color rgb="FF001E82"/>
      </left>
      <right style="thin">
        <color rgb="FF001E82"/>
      </right>
      <top/>
      <bottom/>
      <diagonal/>
    </border>
    <border>
      <left style="medium">
        <color rgb="FF001E82"/>
      </left>
      <right style="medium">
        <color rgb="FF001E82"/>
      </right>
      <top style="medium">
        <color rgb="FF001E82"/>
      </top>
      <bottom/>
      <diagonal/>
    </border>
    <border>
      <left style="thin">
        <color rgb="FF001E82"/>
      </left>
      <right style="thin">
        <color rgb="FF001E82"/>
      </right>
      <top style="thin">
        <color rgb="FF001E82"/>
      </top>
      <bottom/>
      <diagonal/>
    </border>
    <border>
      <left/>
      <right style="thin">
        <color rgb="FF001E82"/>
      </right>
      <top/>
      <bottom style="thin">
        <color rgb="FF001E82"/>
      </bottom>
      <diagonal/>
    </border>
    <border>
      <left style="thin">
        <color rgb="FF001E82"/>
      </left>
      <right/>
      <top/>
      <bottom style="thin">
        <color rgb="FF001E82"/>
      </bottom>
      <diagonal/>
    </border>
    <border>
      <left/>
      <right style="thin">
        <color rgb="FF001E82"/>
      </right>
      <top/>
      <bottom/>
      <diagonal/>
    </border>
    <border>
      <left style="thin">
        <color rgb="FF001E82"/>
      </left>
      <right/>
      <top/>
      <bottom/>
      <diagonal/>
    </border>
    <border>
      <left style="thin">
        <color theme="0" tint="-0.34998626667073579"/>
      </left>
      <right/>
      <top/>
      <bottom style="thin">
        <color rgb="FFA6A6A6"/>
      </bottom>
      <diagonal/>
    </border>
    <border>
      <left/>
      <right style="thin">
        <color rgb="FFA6A6A6"/>
      </right>
      <top/>
      <bottom/>
      <diagonal/>
    </border>
    <border>
      <left style="thin">
        <color rgb="FF001E82"/>
      </left>
      <right style="thin">
        <color rgb="FF001E82"/>
      </right>
      <top/>
      <bottom style="thin">
        <color theme="0" tint="-0.34998626667073579"/>
      </bottom>
      <diagonal/>
    </border>
    <border>
      <left/>
      <right/>
      <top style="thin">
        <color theme="0" tint="-0.34998626667073579"/>
      </top>
      <bottom style="thin">
        <color theme="0" tint="-0.34998626667073579"/>
      </bottom>
      <diagonal/>
    </border>
    <border>
      <left style="thin">
        <color rgb="FF001E82"/>
      </left>
      <right style="thin">
        <color rgb="FF001E82"/>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499984740745262"/>
      </bottom>
      <diagonal/>
    </border>
    <border>
      <left/>
      <right/>
      <top/>
      <bottom style="thin">
        <color theme="0" tint="-0.24994659260841701"/>
      </bottom>
      <diagonal/>
    </border>
    <border>
      <left/>
      <right style="thin">
        <color theme="0" tint="-0.34998626667073579"/>
      </right>
      <top style="thin">
        <color theme="0" tint="-0.34998626667073579"/>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rgb="FF570066"/>
      </right>
      <top/>
      <bottom style="thin">
        <color rgb="FF570066"/>
      </bottom>
      <diagonal/>
    </border>
    <border>
      <left style="thin">
        <color rgb="FF570066"/>
      </left>
      <right/>
      <top/>
      <bottom style="thin">
        <color rgb="FF570066"/>
      </bottom>
      <diagonal/>
    </border>
    <border>
      <left/>
      <right style="thin">
        <color rgb="FF570066"/>
      </right>
      <top/>
      <bottom/>
      <diagonal/>
    </border>
    <border>
      <left style="thin">
        <color rgb="FF570066"/>
      </left>
      <right/>
      <top/>
      <bottom/>
      <diagonal/>
    </border>
    <border>
      <left/>
      <right style="thin">
        <color rgb="FF570066"/>
      </right>
      <top style="thin">
        <color rgb="FF570066"/>
      </top>
      <bottom/>
      <diagonal/>
    </border>
    <border>
      <left style="thin">
        <color rgb="FF570066"/>
      </left>
      <right/>
      <top style="thin">
        <color rgb="FF570066"/>
      </top>
      <bottom/>
      <diagonal/>
    </border>
    <border>
      <left style="thin">
        <color rgb="FF570066"/>
      </left>
      <right style="thin">
        <color rgb="FF570066"/>
      </right>
      <top style="thin">
        <color rgb="FF570066"/>
      </top>
      <bottom/>
      <diagonal/>
    </border>
    <border>
      <left style="thin">
        <color rgb="FF570066"/>
      </left>
      <right style="thin">
        <color rgb="FF570066"/>
      </right>
      <top/>
      <bottom style="thin">
        <color rgb="FF570066"/>
      </bottom>
      <diagonal/>
    </border>
    <border>
      <left style="thin">
        <color rgb="FF570066"/>
      </left>
      <right style="thin">
        <color rgb="FF570066"/>
      </right>
      <top/>
      <bottom/>
      <diagonal/>
    </border>
    <border>
      <left style="thin">
        <color rgb="FF000000"/>
      </left>
      <right style="thin">
        <color rgb="FF570066"/>
      </right>
      <top/>
      <bottom style="thin">
        <color rgb="FF570066"/>
      </bottom>
      <diagonal/>
    </border>
    <border>
      <left style="thin">
        <color indexed="64"/>
      </left>
      <right style="thin">
        <color rgb="FF570066"/>
      </right>
      <top/>
      <bottom/>
      <diagonal/>
    </border>
    <border>
      <left style="thin">
        <color rgb="FF074F30"/>
      </left>
      <right/>
      <top/>
      <bottom/>
      <diagonal/>
    </border>
    <border>
      <left style="thin">
        <color rgb="FF074F30"/>
      </left>
      <right/>
      <top/>
      <bottom style="thin">
        <color rgb="FF074F30"/>
      </bottom>
      <diagonal/>
    </border>
    <border>
      <left/>
      <right style="thin">
        <color rgb="FF074F30"/>
      </right>
      <top/>
      <bottom style="thin">
        <color rgb="FF074F30"/>
      </bottom>
      <diagonal/>
    </border>
    <border>
      <left style="thin">
        <color rgb="FF074F30"/>
      </left>
      <right style="thin">
        <color rgb="FF074F30"/>
      </right>
      <top style="thin">
        <color rgb="FF074F30"/>
      </top>
      <bottom/>
      <diagonal/>
    </border>
    <border>
      <left style="thin">
        <color theme="0" tint="-0.24994659260841701"/>
      </left>
      <right style="thin">
        <color theme="0" tint="-0.24994659260841701"/>
      </right>
      <top/>
      <bottom/>
      <diagonal/>
    </border>
    <border>
      <left/>
      <right style="thin">
        <color theme="0" tint="-0.24994659260841701"/>
      </right>
      <top/>
      <bottom/>
      <diagonal/>
    </border>
    <border>
      <left style="thin">
        <color theme="0" tint="-0.24994659260841701"/>
      </left>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diagonal/>
    </border>
    <border>
      <left style="thin">
        <color rgb="FF074F30"/>
      </left>
      <right/>
      <top style="thin">
        <color rgb="FF074F30"/>
      </top>
      <bottom/>
      <diagonal/>
    </border>
    <border>
      <left style="thin">
        <color indexed="64"/>
      </left>
      <right style="thin">
        <color rgb="FF074F30"/>
      </right>
      <top style="thin">
        <color rgb="FF074F30"/>
      </top>
      <bottom/>
      <diagonal/>
    </border>
    <border>
      <left style="thin">
        <color rgb="FF002060"/>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s>
  <cellStyleXfs count="11605">
    <xf numFmtId="0" fontId="0" fillId="0" borderId="0"/>
    <xf numFmtId="9" fontId="1" fillId="0" borderId="0" applyFont="0" applyFill="0" applyBorder="0" applyAlignment="0" applyProtection="0"/>
    <xf numFmtId="164" fontId="1" fillId="0" borderId="0" applyFont="0" applyFill="0" applyBorder="0" applyAlignment="0" applyProtection="0"/>
    <xf numFmtId="0" fontId="3" fillId="2" borderId="2" applyNumberFormat="0" applyAlignment="0" applyProtection="0"/>
    <xf numFmtId="164" fontId="1" fillId="0" borderId="0" applyFont="0" applyFill="0" applyBorder="0" applyAlignment="0" applyProtection="0"/>
    <xf numFmtId="0" fontId="29" fillId="0" borderId="0"/>
    <xf numFmtId="0" fontId="30" fillId="0" borderId="0"/>
    <xf numFmtId="0" fontId="31" fillId="9" borderId="0" applyNumberFormat="0" applyBorder="0" applyAlignment="0" applyProtection="0"/>
    <xf numFmtId="0" fontId="33" fillId="11" borderId="0" applyNumberFormat="0" applyBorder="0" applyAlignment="0" applyProtection="0"/>
    <xf numFmtId="0" fontId="36" fillId="15" borderId="0" applyNumberFormat="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52" fillId="0" borderId="29" applyNumberFormat="0" applyFill="0" applyAlignment="0" applyProtection="0"/>
    <xf numFmtId="0" fontId="53" fillId="0" borderId="30" applyNumberFormat="0" applyFill="0" applyAlignment="0" applyProtection="0"/>
    <xf numFmtId="0" fontId="54" fillId="0" borderId="31" applyNumberFormat="0" applyFill="0" applyAlignment="0" applyProtection="0"/>
    <xf numFmtId="0" fontId="54" fillId="0" borderId="0" applyNumberFormat="0" applyFill="0" applyBorder="0" applyAlignment="0" applyProtection="0"/>
    <xf numFmtId="0" fontId="55" fillId="20" borderId="32" applyNumberFormat="0" applyAlignment="0" applyProtection="0"/>
    <xf numFmtId="0" fontId="56" fillId="20" borderId="2" applyNumberFormat="0" applyAlignment="0" applyProtection="0"/>
    <xf numFmtId="0" fontId="57" fillId="0" borderId="33" applyNumberFormat="0" applyFill="0" applyAlignment="0" applyProtection="0"/>
    <xf numFmtId="0" fontId="37" fillId="21" borderId="34" applyNumberFormat="0" applyAlignment="0" applyProtection="0"/>
    <xf numFmtId="0" fontId="34" fillId="0" borderId="0" applyNumberFormat="0" applyFill="0" applyBorder="0" applyAlignment="0" applyProtection="0"/>
    <xf numFmtId="0" fontId="1" fillId="22" borderId="35" applyNumberFormat="0" applyFont="0" applyAlignment="0" applyProtection="0"/>
    <xf numFmtId="0" fontId="58" fillId="0" borderId="0" applyNumberFormat="0" applyFill="0" applyBorder="0" applyAlignment="0" applyProtection="0"/>
    <xf numFmtId="0" fontId="2" fillId="0" borderId="36" applyNumberFormat="0" applyFill="0" applyAlignment="0" applyProtection="0"/>
    <xf numFmtId="0" fontId="2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8"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28"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59" fillId="0" borderId="0"/>
    <xf numFmtId="0" fontId="60" fillId="0" borderId="0"/>
    <xf numFmtId="43" fontId="1" fillId="0" borderId="0" applyFont="0" applyFill="0" applyBorder="0" applyAlignment="0" applyProtection="0"/>
    <xf numFmtId="0" fontId="1" fillId="0" borderId="0"/>
    <xf numFmtId="0" fontId="59" fillId="0" borderId="0" applyProtection="0"/>
    <xf numFmtId="0" fontId="63" fillId="0" borderId="0"/>
    <xf numFmtId="0" fontId="64" fillId="0" borderId="0"/>
    <xf numFmtId="0" fontId="65" fillId="0" borderId="0"/>
    <xf numFmtId="0" fontId="66" fillId="0" borderId="38">
      <alignment horizontal="center"/>
    </xf>
    <xf numFmtId="15" fontId="66" fillId="0" borderId="0">
      <alignment horizontal="right"/>
    </xf>
    <xf numFmtId="0" fontId="66" fillId="0" borderId="38"/>
    <xf numFmtId="0" fontId="66" fillId="0" borderId="38">
      <alignment horizontal="right"/>
    </xf>
    <xf numFmtId="0" fontId="66" fillId="0" borderId="0"/>
    <xf numFmtId="177" fontId="68" fillId="0" borderId="0">
      <alignment horizontal="right"/>
    </xf>
    <xf numFmtId="0" fontId="68" fillId="0" borderId="0"/>
    <xf numFmtId="177" fontId="67" fillId="5" borderId="0">
      <alignment horizontal="right"/>
    </xf>
    <xf numFmtId="177" fontId="67" fillId="0" borderId="0">
      <alignment horizontal="right"/>
    </xf>
    <xf numFmtId="41" fontId="68" fillId="5" borderId="0">
      <alignment horizontal="right"/>
    </xf>
    <xf numFmtId="41" fontId="68" fillId="0" borderId="0">
      <alignment horizontal="right"/>
    </xf>
    <xf numFmtId="177" fontId="68" fillId="5" borderId="0">
      <alignment horizontal="right"/>
    </xf>
    <xf numFmtId="178" fontId="67" fillId="0" borderId="0">
      <alignment horizontal="right"/>
    </xf>
    <xf numFmtId="0" fontId="68" fillId="0" borderId="38"/>
    <xf numFmtId="178" fontId="67" fillId="5" borderId="0">
      <alignment horizontal="right"/>
    </xf>
    <xf numFmtId="179" fontId="67" fillId="5" borderId="0">
      <alignment horizontal="right"/>
    </xf>
    <xf numFmtId="179" fontId="67" fillId="0" borderId="0">
      <alignment horizontal="right"/>
    </xf>
    <xf numFmtId="41" fontId="68" fillId="5" borderId="38">
      <alignment horizontal="right"/>
    </xf>
    <xf numFmtId="41" fontId="68" fillId="0" borderId="38">
      <alignment horizontal="right"/>
    </xf>
    <xf numFmtId="180" fontId="67" fillId="5" borderId="0">
      <alignment horizontal="right"/>
    </xf>
    <xf numFmtId="180" fontId="67" fillId="0" borderId="0">
      <alignment horizontal="right"/>
    </xf>
    <xf numFmtId="0" fontId="69" fillId="0" borderId="0">
      <alignment vertical="top"/>
      <protection locked="0"/>
    </xf>
    <xf numFmtId="0" fontId="70" fillId="0" borderId="0">
      <alignment vertical="top" wrapText="1"/>
      <protection locked="0"/>
    </xf>
    <xf numFmtId="0" fontId="66" fillId="0" borderId="0">
      <alignment horizontal="center"/>
    </xf>
    <xf numFmtId="0" fontId="66" fillId="0" borderId="38">
      <alignment horizontal="center"/>
    </xf>
    <xf numFmtId="41" fontId="67" fillId="5" borderId="0">
      <alignment horizontal="right"/>
    </xf>
    <xf numFmtId="0" fontId="68" fillId="0" borderId="0">
      <alignment horizontal="center"/>
    </xf>
    <xf numFmtId="41" fontId="67" fillId="5" borderId="38">
      <alignment horizontal="right"/>
    </xf>
    <xf numFmtId="0" fontId="68" fillId="0" borderId="38">
      <alignment horizontal="center"/>
    </xf>
    <xf numFmtId="0" fontId="66" fillId="19" borderId="41"/>
    <xf numFmtId="41" fontId="68" fillId="19" borderId="41">
      <alignment horizontal="right"/>
    </xf>
    <xf numFmtId="41" fontId="67" fillId="19" borderId="41">
      <alignment horizontal="right"/>
    </xf>
    <xf numFmtId="0" fontId="68" fillId="19" borderId="41">
      <alignment horizontal="center"/>
    </xf>
    <xf numFmtId="177" fontId="68" fillId="0" borderId="38">
      <alignment horizontal="right"/>
    </xf>
    <xf numFmtId="0" fontId="71" fillId="0" borderId="0"/>
    <xf numFmtId="0" fontId="68" fillId="0" borderId="41">
      <alignment horizontal="center"/>
    </xf>
    <xf numFmtId="0" fontId="66" fillId="0" borderId="41"/>
    <xf numFmtId="177" fontId="68" fillId="19" borderId="41">
      <alignment horizontal="right"/>
    </xf>
    <xf numFmtId="43" fontId="59" fillId="0" borderId="0" applyFont="0" applyFill="0" applyBorder="0" applyAlignment="0" applyProtection="0"/>
    <xf numFmtId="179" fontId="68" fillId="0" borderId="0">
      <alignment horizontal="right"/>
    </xf>
    <xf numFmtId="181" fontId="68" fillId="0" borderId="0">
      <alignment horizontal="right"/>
    </xf>
    <xf numFmtId="178" fontId="68" fillId="0" borderId="0">
      <alignment horizontal="right"/>
    </xf>
    <xf numFmtId="0" fontId="59" fillId="0" borderId="0"/>
    <xf numFmtId="182" fontId="74" fillId="0" borderId="0" applyFont="0" applyFill="0" applyBorder="0" applyAlignment="0" applyProtection="0">
      <alignment vertical="top"/>
    </xf>
    <xf numFmtId="0" fontId="59" fillId="0" borderId="0" applyFont="0" applyFill="0" applyBorder="0" applyAlignment="0" applyProtection="0"/>
    <xf numFmtId="0" fontId="59" fillId="0" borderId="0" applyFont="0" applyFill="0" applyBorder="0" applyAlignment="0" applyProtection="0"/>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27" fillId="0" borderId="0">
      <alignment vertical="top"/>
    </xf>
    <xf numFmtId="0" fontId="59" fillId="0" borderId="0"/>
    <xf numFmtId="0" fontId="59" fillId="0" borderId="0"/>
    <xf numFmtId="0" fontId="59"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27" fillId="0" borderId="0">
      <alignment vertical="top"/>
    </xf>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22" fillId="0" borderId="42" applyNumberFormat="0" applyFill="0" applyAlignment="0" applyProtection="0"/>
    <xf numFmtId="0" fontId="75" fillId="0" borderId="43" applyNumberFormat="0" applyFill="0" applyProtection="0">
      <alignment horizontal="center"/>
    </xf>
    <xf numFmtId="0" fontId="76" fillId="0" borderId="0" applyNumberFormat="0" applyFill="0" applyBorder="0" applyProtection="0">
      <alignment horizontal="left"/>
    </xf>
    <xf numFmtId="0" fontId="59" fillId="0" borderId="0"/>
    <xf numFmtId="0" fontId="59" fillId="0" borderId="0"/>
    <xf numFmtId="183" fontId="77" fillId="0" borderId="0" applyFont="0" applyFill="0" applyBorder="0" applyAlignment="0" applyProtection="0"/>
    <xf numFmtId="184" fontId="77" fillId="0" borderId="0" applyFont="0" applyFill="0" applyBorder="0" applyAlignment="0" applyProtection="0"/>
    <xf numFmtId="0" fontId="77" fillId="0" borderId="0"/>
    <xf numFmtId="0" fontId="30" fillId="48" borderId="0" applyNumberFormat="0" applyBorder="0" applyAlignment="0" applyProtection="0"/>
    <xf numFmtId="0" fontId="30" fillId="4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0" fillId="50" borderId="0" applyNumberFormat="0" applyBorder="0" applyAlignment="0" applyProtection="0"/>
    <xf numFmtId="0" fontId="30"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0" fillId="53" borderId="0" applyNumberFormat="0" applyBorder="0" applyAlignment="0" applyProtection="0"/>
    <xf numFmtId="0" fontId="30"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49" borderId="0" applyNumberFormat="0" applyBorder="0" applyAlignment="0" applyProtection="0"/>
    <xf numFmtId="0" fontId="3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4"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0" fillId="5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0" fillId="59" borderId="0" applyNumberFormat="0" applyBorder="0" applyAlignment="0" applyProtection="0"/>
    <xf numFmtId="0" fontId="30" fillId="5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0" fillId="59" borderId="0" applyNumberFormat="0" applyBorder="0" applyAlignment="0" applyProtection="0"/>
    <xf numFmtId="0" fontId="30" fillId="55" borderId="0" applyNumberFormat="0" applyBorder="0" applyAlignment="0" applyProtection="0"/>
    <xf numFmtId="0" fontId="30"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78" fillId="49" borderId="0" applyNumberFormat="0" applyBorder="0" applyAlignment="0" applyProtection="0"/>
    <xf numFmtId="0" fontId="78" fillId="52"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3" borderId="0" applyNumberFormat="0" applyBorder="0" applyAlignment="0" applyProtection="0"/>
    <xf numFmtId="0" fontId="30" fillId="58" borderId="0" applyNumberFormat="0" applyBorder="0" applyAlignment="0" applyProtection="0"/>
    <xf numFmtId="0" fontId="30" fillId="4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60" borderId="0" applyNumberFormat="0" applyBorder="0" applyAlignment="0" applyProtection="0"/>
    <xf numFmtId="0" fontId="30"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60"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53" borderId="0" applyNumberFormat="0" applyBorder="0" applyAlignment="0" applyProtection="0"/>
    <xf numFmtId="0" fontId="3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58" borderId="0" applyNumberFormat="0" applyBorder="0" applyAlignment="0" applyProtection="0"/>
    <xf numFmtId="0" fontId="30" fillId="61" borderId="0" applyNumberFormat="0" applyBorder="0" applyAlignment="0" applyProtection="0"/>
    <xf numFmtId="0" fontId="30" fillId="6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0" fillId="49" borderId="0" applyNumberFormat="0" applyBorder="0" applyAlignment="0" applyProtection="0"/>
    <xf numFmtId="0" fontId="30"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0" fillId="58" borderId="0" applyNumberFormat="0" applyBorder="0" applyAlignment="0" applyProtection="0"/>
    <xf numFmtId="0" fontId="30" fillId="52" borderId="0" applyNumberFormat="0" applyBorder="0" applyAlignment="0" applyProtection="0"/>
    <xf numFmtId="0" fontId="30"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0" fillId="60" borderId="0" applyNumberFormat="0" applyBorder="0" applyAlignment="0" applyProtection="0"/>
    <xf numFmtId="0" fontId="30"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0" fillId="60" borderId="0" applyNumberFormat="0" applyBorder="0" applyAlignment="0" applyProtection="0"/>
    <xf numFmtId="0" fontId="30" fillId="58" borderId="0" applyNumberFormat="0" applyBorder="0" applyAlignment="0" applyProtection="0"/>
    <xf numFmtId="0" fontId="30" fillId="4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55" borderId="0" applyNumberFormat="0" applyBorder="0" applyAlignment="0" applyProtection="0"/>
    <xf numFmtId="0" fontId="30" fillId="6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3" borderId="0" applyNumberFormat="0" applyBorder="0" applyAlignment="0" applyProtection="0"/>
    <xf numFmtId="0" fontId="78" fillId="48" borderId="0" applyNumberFormat="0" applyBorder="0" applyAlignment="0" applyProtection="0"/>
    <xf numFmtId="0" fontId="78" fillId="51" borderId="0" applyNumberFormat="0" applyBorder="0" applyAlignment="0" applyProtection="0"/>
    <xf numFmtId="0" fontId="78" fillId="62" borderId="0" applyNumberFormat="0" applyBorder="0" applyAlignment="0" applyProtection="0"/>
    <xf numFmtId="0" fontId="78" fillId="57" borderId="0" applyNumberFormat="0" applyBorder="0" applyAlignment="0" applyProtection="0"/>
    <xf numFmtId="0" fontId="78" fillId="48" borderId="0" applyNumberFormat="0" applyBorder="0" applyAlignment="0" applyProtection="0"/>
    <xf numFmtId="0" fontId="78" fillId="63" borderId="0" applyNumberFormat="0" applyBorder="0" applyAlignment="0" applyProtection="0"/>
    <xf numFmtId="0" fontId="79" fillId="58" borderId="0" applyNumberFormat="0" applyBorder="0" applyAlignment="0" applyProtection="0"/>
    <xf numFmtId="0" fontId="79" fillId="64" borderId="0" applyNumberFormat="0" applyBorder="0" applyAlignment="0" applyProtection="0"/>
    <xf numFmtId="0" fontId="28" fillId="58"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28" fillId="58" borderId="0" applyNumberFormat="0" applyBorder="0" applyAlignment="0" applyProtection="0"/>
    <xf numFmtId="0" fontId="79" fillId="65" borderId="0" applyNumberFormat="0" applyBorder="0" applyAlignment="0" applyProtection="0"/>
    <xf numFmtId="0" fontId="79" fillId="58" borderId="0" applyNumberFormat="0" applyBorder="0" applyAlignment="0" applyProtection="0"/>
    <xf numFmtId="0" fontId="28" fillId="58" borderId="0" applyNumberFormat="0" applyBorder="0" applyAlignment="0" applyProtection="0"/>
    <xf numFmtId="0" fontId="79" fillId="66" borderId="0" applyNumberFormat="0" applyBorder="0" applyAlignment="0" applyProtection="0"/>
    <xf numFmtId="0" fontId="79" fillId="51" borderId="0" applyNumberFormat="0" applyBorder="0" applyAlignment="0" applyProtection="0"/>
    <xf numFmtId="0" fontId="28" fillId="6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8" fillId="66" borderId="0" applyNumberFormat="0" applyBorder="0" applyAlignment="0" applyProtection="0"/>
    <xf numFmtId="0" fontId="79" fillId="66" borderId="0" applyNumberFormat="0" applyBorder="0" applyAlignment="0" applyProtection="0"/>
    <xf numFmtId="0" fontId="28" fillId="66" borderId="0" applyNumberFormat="0" applyBorder="0" applyAlignment="0" applyProtection="0"/>
    <xf numFmtId="0" fontId="79" fillId="63" borderId="0" applyNumberFormat="0" applyBorder="0" applyAlignment="0" applyProtection="0"/>
    <xf numFmtId="0" fontId="79" fillId="62" borderId="0" applyNumberFormat="0" applyBorder="0" applyAlignment="0" applyProtection="0"/>
    <xf numFmtId="0" fontId="28" fillId="63"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28" fillId="63" borderId="0" applyNumberFormat="0" applyBorder="0" applyAlignment="0" applyProtection="0"/>
    <xf numFmtId="0" fontId="79" fillId="49" borderId="0" applyNumberFormat="0" applyBorder="0" applyAlignment="0" applyProtection="0"/>
    <xf numFmtId="0" fontId="79" fillId="63" borderId="0" applyNumberFormat="0" applyBorder="0" applyAlignment="0" applyProtection="0"/>
    <xf numFmtId="0" fontId="28" fillId="63" borderId="0" applyNumberFormat="0" applyBorder="0" applyAlignment="0" applyProtection="0"/>
    <xf numFmtId="0" fontId="79" fillId="52" borderId="0" applyNumberFormat="0" applyBorder="0" applyAlignment="0" applyProtection="0"/>
    <xf numFmtId="0" fontId="79" fillId="67" borderId="0" applyNumberFormat="0" applyBorder="0" applyAlignment="0" applyProtection="0"/>
    <xf numFmtId="0" fontId="28" fillId="52"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28" fillId="52" borderId="0" applyNumberFormat="0" applyBorder="0" applyAlignment="0" applyProtection="0"/>
    <xf numFmtId="0" fontId="79" fillId="60" borderId="0" applyNumberFormat="0" applyBorder="0" applyAlignment="0" applyProtection="0"/>
    <xf numFmtId="0" fontId="79" fillId="52" borderId="0" applyNumberFormat="0" applyBorder="0" applyAlignment="0" applyProtection="0"/>
    <xf numFmtId="0" fontId="28" fillId="52" borderId="0" applyNumberFormat="0" applyBorder="0" applyAlignment="0" applyProtection="0"/>
    <xf numFmtId="0" fontId="79" fillId="58" borderId="0" applyNumberFormat="0" applyBorder="0" applyAlignment="0" applyProtection="0"/>
    <xf numFmtId="0" fontId="79" fillId="65" borderId="0" applyNumberFormat="0" applyBorder="0" applyAlignment="0" applyProtection="0"/>
    <xf numFmtId="0" fontId="28" fillId="58"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28" fillId="58" borderId="0" applyNumberFormat="0" applyBorder="0" applyAlignment="0" applyProtection="0"/>
    <xf numFmtId="0" fontId="79" fillId="58" borderId="0" applyNumberFormat="0" applyBorder="0" applyAlignment="0" applyProtection="0"/>
    <xf numFmtId="0" fontId="28" fillId="58" borderId="0" applyNumberFormat="0" applyBorder="0" applyAlignment="0" applyProtection="0"/>
    <xf numFmtId="0" fontId="79" fillId="51" borderId="0" applyNumberFormat="0" applyBorder="0" applyAlignment="0" applyProtection="0"/>
    <xf numFmtId="0" fontId="79" fillId="68" borderId="0" applyNumberFormat="0" applyBorder="0" applyAlignment="0" applyProtection="0"/>
    <xf numFmtId="0" fontId="28" fillId="51"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28" fillId="51" borderId="0" applyNumberFormat="0" applyBorder="0" applyAlignment="0" applyProtection="0"/>
    <xf numFmtId="0" fontId="79" fillId="53" borderId="0" applyNumberFormat="0" applyBorder="0" applyAlignment="0" applyProtection="0"/>
    <xf numFmtId="0" fontId="79" fillId="51" borderId="0" applyNumberFormat="0" applyBorder="0" applyAlignment="0" applyProtection="0"/>
    <xf numFmtId="0" fontId="28" fillId="51" borderId="0" applyNumberFormat="0" applyBorder="0" applyAlignment="0" applyProtection="0"/>
    <xf numFmtId="0" fontId="80" fillId="64" borderId="0" applyNumberFormat="0" applyBorder="0" applyAlignment="0" applyProtection="0"/>
    <xf numFmtId="0" fontId="80" fillId="51" borderId="0" applyNumberFormat="0" applyBorder="0" applyAlignment="0" applyProtection="0"/>
    <xf numFmtId="0" fontId="80" fillId="62" borderId="0" applyNumberFormat="0" applyBorder="0" applyAlignment="0" applyProtection="0"/>
    <xf numFmtId="0" fontId="80" fillId="67" borderId="0" applyNumberFormat="0" applyBorder="0" applyAlignment="0" applyProtection="0"/>
    <xf numFmtId="0" fontId="80" fillId="65" borderId="0" applyNumberFormat="0" applyBorder="0" applyAlignment="0" applyProtection="0"/>
    <xf numFmtId="0" fontId="80" fillId="68" borderId="0" applyNumberFormat="0" applyBorder="0" applyAlignment="0" applyProtection="0"/>
    <xf numFmtId="0" fontId="79" fillId="69" borderId="0" applyNumberFormat="0" applyBorder="0" applyAlignment="0" applyProtection="0"/>
    <xf numFmtId="0" fontId="79" fillId="70" borderId="0" applyNumberFormat="0" applyBorder="0" applyAlignment="0" applyProtection="0"/>
    <xf numFmtId="0" fontId="28" fillId="69"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28" fillId="69" borderId="0" applyNumberFormat="0" applyBorder="0" applyAlignment="0" applyProtection="0"/>
    <xf numFmtId="0" fontId="79" fillId="65" borderId="0" applyNumberFormat="0" applyBorder="0" applyAlignment="0" applyProtection="0"/>
    <xf numFmtId="0" fontId="79" fillId="69" borderId="0" applyNumberFormat="0" applyBorder="0" applyAlignment="0" applyProtection="0"/>
    <xf numFmtId="0" fontId="28" fillId="69" borderId="0" applyNumberFormat="0" applyBorder="0" applyAlignment="0" applyProtection="0"/>
    <xf numFmtId="0" fontId="79" fillId="66" borderId="0" applyNumberFormat="0" applyBorder="0" applyAlignment="0" applyProtection="0"/>
    <xf numFmtId="0" fontId="79" fillId="71" borderId="0" applyNumberFormat="0" applyBorder="0" applyAlignment="0" applyProtection="0"/>
    <xf numFmtId="0" fontId="28" fillId="66"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28" fillId="66" borderId="0" applyNumberFormat="0" applyBorder="0" applyAlignment="0" applyProtection="0"/>
    <xf numFmtId="0" fontId="79" fillId="72" borderId="0" applyNumberFormat="0" applyBorder="0" applyAlignment="0" applyProtection="0"/>
    <xf numFmtId="0" fontId="79" fillId="66" borderId="0" applyNumberFormat="0" applyBorder="0" applyAlignment="0" applyProtection="0"/>
    <xf numFmtId="0" fontId="28" fillId="66" borderId="0" applyNumberFormat="0" applyBorder="0" applyAlignment="0" applyProtection="0"/>
    <xf numFmtId="0" fontId="79" fillId="63" borderId="0" applyNumberFormat="0" applyBorder="0" applyAlignment="0" applyProtection="0"/>
    <xf numFmtId="0" fontId="79" fillId="73" borderId="0" applyNumberFormat="0" applyBorder="0" applyAlignment="0" applyProtection="0"/>
    <xf numFmtId="0" fontId="28" fillId="6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28" fillId="63" borderId="0" applyNumberFormat="0" applyBorder="0" applyAlignment="0" applyProtection="0"/>
    <xf numFmtId="0" fontId="79" fillId="49" borderId="0" applyNumberFormat="0" applyBorder="0" applyAlignment="0" applyProtection="0"/>
    <xf numFmtId="0" fontId="79" fillId="63" borderId="0" applyNumberFormat="0" applyBorder="0" applyAlignment="0" applyProtection="0"/>
    <xf numFmtId="0" fontId="28" fillId="63" borderId="0" applyNumberFormat="0" applyBorder="0" applyAlignment="0" applyProtection="0"/>
    <xf numFmtId="0" fontId="79" fillId="74" borderId="0" applyNumberFormat="0" applyBorder="0" applyAlignment="0" applyProtection="0"/>
    <xf numFmtId="0" fontId="79" fillId="67" borderId="0" applyNumberFormat="0" applyBorder="0" applyAlignment="0" applyProtection="0"/>
    <xf numFmtId="0" fontId="28" fillId="74"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28" fillId="74" borderId="0" applyNumberFormat="0" applyBorder="0" applyAlignment="0" applyProtection="0"/>
    <xf numFmtId="0" fontId="79" fillId="74" borderId="0" applyNumberFormat="0" applyBorder="0" applyAlignment="0" applyProtection="0"/>
    <xf numFmtId="0" fontId="28" fillId="74"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28" fillId="39"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28" fillId="39" borderId="0" applyNumberFormat="0" applyBorder="0" applyAlignment="0" applyProtection="0"/>
    <xf numFmtId="0" fontId="79" fillId="65" borderId="0" applyNumberFormat="0" applyBorder="0" applyAlignment="0" applyProtection="0"/>
    <xf numFmtId="0" fontId="28" fillId="39" borderId="0" applyNumberFormat="0" applyBorder="0" applyAlignment="0" applyProtection="0"/>
    <xf numFmtId="0" fontId="79" fillId="71" borderId="0" applyNumberFormat="0" applyBorder="0" applyAlignment="0" applyProtection="0"/>
    <xf numFmtId="0" fontId="79" fillId="66" borderId="0" applyNumberFormat="0" applyBorder="0" applyAlignment="0" applyProtection="0"/>
    <xf numFmtId="0" fontId="28" fillId="71"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28" fillId="71" borderId="0" applyNumberFormat="0" applyBorder="0" applyAlignment="0" applyProtection="0"/>
    <xf numFmtId="0" fontId="79" fillId="51" borderId="0" applyNumberFormat="0" applyBorder="0" applyAlignment="0" applyProtection="0"/>
    <xf numFmtId="0" fontId="79" fillId="71" borderId="0" applyNumberFormat="0" applyBorder="0" applyAlignment="0" applyProtection="0"/>
    <xf numFmtId="0" fontId="28" fillId="71" borderId="0" applyNumberFormat="0" applyBorder="0" applyAlignment="0" applyProtection="0"/>
    <xf numFmtId="0" fontId="81" fillId="0" borderId="0">
      <alignment horizontal="left"/>
    </xf>
    <xf numFmtId="0" fontId="82" fillId="0" borderId="0"/>
    <xf numFmtId="5" fontId="83" fillId="0" borderId="44">
      <alignment horizontal="center" vertical="center"/>
      <protection locked="0"/>
    </xf>
    <xf numFmtId="185" fontId="83" fillId="0" borderId="44">
      <alignment horizontal="center" vertical="center"/>
      <protection locked="0"/>
    </xf>
    <xf numFmtId="186" fontId="83" fillId="0" borderId="44">
      <alignment horizontal="center" vertical="center"/>
      <protection locked="0"/>
    </xf>
    <xf numFmtId="37" fontId="83" fillId="0" borderId="44">
      <alignment horizontal="center" vertical="center"/>
      <protection locked="0"/>
    </xf>
    <xf numFmtId="187" fontId="83" fillId="0" borderId="44">
      <alignment horizontal="center" vertical="center"/>
      <protection locked="0"/>
    </xf>
    <xf numFmtId="0" fontId="83" fillId="0" borderId="44">
      <alignment horizontal="center" vertical="center"/>
      <protection locked="0"/>
    </xf>
    <xf numFmtId="188" fontId="83" fillId="0" borderId="44">
      <alignment horizontal="center" vertical="center"/>
      <protection locked="0"/>
    </xf>
    <xf numFmtId="5" fontId="84" fillId="0" borderId="44">
      <alignment horizontal="center" vertical="center"/>
      <protection locked="0"/>
    </xf>
    <xf numFmtId="14" fontId="84" fillId="0" borderId="44">
      <alignment horizontal="center" vertical="center"/>
      <protection locked="0"/>
    </xf>
    <xf numFmtId="0" fontId="85" fillId="75" borderId="0">
      <alignment vertical="center"/>
      <protection locked="0"/>
    </xf>
    <xf numFmtId="0" fontId="86" fillId="75" borderId="0">
      <alignment vertical="center"/>
      <protection locked="0"/>
    </xf>
    <xf numFmtId="0" fontId="87" fillId="75" borderId="0">
      <alignment vertical="center"/>
      <protection locked="0"/>
    </xf>
    <xf numFmtId="0" fontId="84" fillId="75" borderId="0">
      <alignment vertical="center"/>
      <protection locked="0"/>
    </xf>
    <xf numFmtId="186" fontId="84" fillId="0" borderId="44">
      <alignment horizontal="center" vertical="center"/>
      <protection locked="0"/>
    </xf>
    <xf numFmtId="37" fontId="84" fillId="0" borderId="44">
      <alignment horizontal="center" vertical="center"/>
      <protection locked="0"/>
    </xf>
    <xf numFmtId="187" fontId="84" fillId="0" borderId="44">
      <alignment horizontal="center" vertical="center"/>
      <protection locked="0"/>
    </xf>
    <xf numFmtId="0" fontId="88" fillId="75" borderId="0">
      <alignment vertical="center"/>
      <protection locked="0"/>
    </xf>
    <xf numFmtId="0" fontId="84" fillId="0" borderId="44">
      <alignment horizontal="center" vertical="center"/>
      <protection locked="0"/>
    </xf>
    <xf numFmtId="37" fontId="84" fillId="0" borderId="44">
      <alignment horizontal="center" vertical="center"/>
      <protection locked="0"/>
    </xf>
    <xf numFmtId="0" fontId="89" fillId="75" borderId="0">
      <alignment vertical="center"/>
      <protection locked="0"/>
    </xf>
    <xf numFmtId="5" fontId="9" fillId="75" borderId="0">
      <alignment horizontal="center" vertical="center"/>
      <protection locked="0"/>
    </xf>
    <xf numFmtId="14" fontId="9" fillId="75" borderId="0">
      <alignment horizontal="center" vertical="center"/>
      <protection locked="0"/>
    </xf>
    <xf numFmtId="0" fontId="50" fillId="75" borderId="0">
      <alignment vertical="center"/>
      <protection locked="0"/>
    </xf>
    <xf numFmtId="0" fontId="90" fillId="75" borderId="0">
      <alignment vertical="center"/>
      <protection locked="0"/>
    </xf>
    <xf numFmtId="0" fontId="15" fillId="75" borderId="0">
      <alignment vertical="center"/>
      <protection locked="0"/>
    </xf>
    <xf numFmtId="0" fontId="84" fillId="75" borderId="0">
      <alignment vertical="center"/>
      <protection locked="0"/>
    </xf>
    <xf numFmtId="0" fontId="9" fillId="75" borderId="0">
      <alignment horizontal="left" vertical="center"/>
      <protection locked="0"/>
    </xf>
    <xf numFmtId="186" fontId="9" fillId="75" borderId="0">
      <alignment horizontal="center" vertical="center"/>
      <protection locked="0"/>
    </xf>
    <xf numFmtId="37" fontId="9" fillId="75" borderId="0">
      <alignment horizontal="center" vertical="center"/>
      <protection locked="0"/>
    </xf>
    <xf numFmtId="187" fontId="9" fillId="75" borderId="0">
      <alignment horizontal="center" vertical="center"/>
      <protection locked="0"/>
    </xf>
    <xf numFmtId="0" fontId="9" fillId="75" borderId="0">
      <alignment horizontal="center" vertical="center"/>
      <protection locked="0"/>
    </xf>
    <xf numFmtId="188" fontId="9" fillId="75" borderId="0">
      <alignment horizontal="center" vertical="center"/>
      <protection locked="0"/>
    </xf>
    <xf numFmtId="189" fontId="19" fillId="0" borderId="45">
      <alignment horizontal="center" vertical="center"/>
      <protection locked="0"/>
    </xf>
    <xf numFmtId="189" fontId="19" fillId="0" borderId="45">
      <alignment horizontal="center" vertical="center"/>
      <protection locked="0"/>
    </xf>
    <xf numFmtId="189" fontId="19" fillId="0" borderId="45">
      <alignment horizontal="center" vertical="center"/>
      <protection locked="0"/>
    </xf>
    <xf numFmtId="190" fontId="19" fillId="0" borderId="44">
      <alignment horizontal="center" vertical="center"/>
      <protection locked="0"/>
    </xf>
    <xf numFmtId="189" fontId="19" fillId="0" borderId="45">
      <alignment horizontal="center" vertical="center"/>
      <protection locked="0"/>
    </xf>
    <xf numFmtId="189" fontId="19" fillId="0" borderId="45">
      <alignment horizontal="center" vertical="center"/>
      <protection locked="0"/>
    </xf>
    <xf numFmtId="191" fontId="19" fillId="0" borderId="45">
      <alignment horizontal="center" vertical="center"/>
      <protection locked="0"/>
    </xf>
    <xf numFmtId="14" fontId="19" fillId="0" borderId="45">
      <alignment horizontal="center" vertical="center"/>
      <protection locked="0"/>
    </xf>
    <xf numFmtId="14" fontId="19" fillId="0" borderId="45">
      <alignment horizontal="center" vertical="center"/>
      <protection locked="0"/>
    </xf>
    <xf numFmtId="14" fontId="19" fillId="0" borderId="45">
      <alignment horizontal="center" vertical="center"/>
      <protection locked="0"/>
    </xf>
    <xf numFmtId="14" fontId="19" fillId="0" borderId="45">
      <alignment horizontal="center" vertical="center"/>
      <protection locked="0"/>
    </xf>
    <xf numFmtId="14" fontId="19" fillId="0" borderId="44">
      <alignment horizontal="center" vertical="center"/>
      <protection locked="0"/>
    </xf>
    <xf numFmtId="14" fontId="19" fillId="0" borderId="45">
      <alignment horizontal="center" vertical="center"/>
      <protection locked="0"/>
    </xf>
    <xf numFmtId="14" fontId="19" fillId="0" borderId="45">
      <alignment horizontal="center" vertical="center"/>
      <protection locked="0"/>
    </xf>
    <xf numFmtId="192" fontId="19" fillId="0" borderId="45">
      <alignment horizontal="center" vertical="center"/>
      <protection locked="0"/>
    </xf>
    <xf numFmtId="192" fontId="19" fillId="0" borderId="45">
      <alignment horizontal="center" vertical="center"/>
      <protection locked="0"/>
    </xf>
    <xf numFmtId="192" fontId="19" fillId="0" borderId="45">
      <alignment horizontal="center" vertical="center"/>
      <protection locked="0"/>
    </xf>
    <xf numFmtId="192" fontId="19" fillId="0" borderId="45">
      <alignment horizontal="center" vertical="center"/>
      <protection locked="0"/>
    </xf>
    <xf numFmtId="193" fontId="19" fillId="0" borderId="44">
      <alignment horizontal="center" vertical="center"/>
      <protection locked="0"/>
    </xf>
    <xf numFmtId="192" fontId="19" fillId="0" borderId="45">
      <alignment horizontal="center" vertical="center"/>
      <protection locked="0"/>
    </xf>
    <xf numFmtId="192" fontId="19" fillId="0" borderId="45">
      <alignment horizontal="center" vertical="center"/>
      <protection locked="0"/>
    </xf>
    <xf numFmtId="194" fontId="19" fillId="0" borderId="45">
      <alignment horizontal="center" vertical="center"/>
      <protection locked="0"/>
    </xf>
    <xf numFmtId="194" fontId="19" fillId="0" borderId="45">
      <alignment horizontal="center" vertical="center"/>
      <protection locked="0"/>
    </xf>
    <xf numFmtId="194" fontId="19" fillId="0" borderId="45">
      <alignment horizontal="center" vertical="center"/>
      <protection locked="0"/>
    </xf>
    <xf numFmtId="194" fontId="19" fillId="0" borderId="45">
      <alignment horizontal="center" vertical="center"/>
      <protection locked="0"/>
    </xf>
    <xf numFmtId="195" fontId="19" fillId="0" borderId="44">
      <alignment horizontal="center" vertical="center"/>
      <protection locked="0"/>
    </xf>
    <xf numFmtId="194" fontId="19" fillId="0" borderId="45">
      <alignment horizontal="center" vertical="center"/>
      <protection locked="0"/>
    </xf>
    <xf numFmtId="194" fontId="19" fillId="0" borderId="45">
      <alignment horizontal="center" vertical="center"/>
      <protection locked="0"/>
    </xf>
    <xf numFmtId="178" fontId="19" fillId="0" borderId="45">
      <alignment horizontal="center" vertical="center"/>
      <protection locked="0"/>
    </xf>
    <xf numFmtId="178" fontId="19" fillId="0" borderId="45">
      <alignment horizontal="center" vertical="center"/>
      <protection locked="0"/>
    </xf>
    <xf numFmtId="178" fontId="19" fillId="0" borderId="45">
      <alignment horizontal="center" vertical="center"/>
      <protection locked="0"/>
    </xf>
    <xf numFmtId="178" fontId="19" fillId="0" borderId="45">
      <alignment horizontal="center" vertical="center"/>
      <protection locked="0"/>
    </xf>
    <xf numFmtId="196" fontId="19" fillId="0" borderId="44">
      <alignment horizontal="center" vertical="center"/>
      <protection locked="0"/>
    </xf>
    <xf numFmtId="178" fontId="19" fillId="0" borderId="45">
      <alignment horizontal="center" vertical="center"/>
      <protection locked="0"/>
    </xf>
    <xf numFmtId="178" fontId="19" fillId="0" borderId="45">
      <alignment horizontal="center" vertical="center"/>
      <protection locked="0"/>
    </xf>
    <xf numFmtId="197" fontId="19" fillId="0" borderId="45">
      <alignment horizontal="center" vertical="center"/>
      <protection locked="0"/>
    </xf>
    <xf numFmtId="197" fontId="19" fillId="0" borderId="45">
      <alignment horizontal="center" vertical="center"/>
      <protection locked="0"/>
    </xf>
    <xf numFmtId="197" fontId="19" fillId="0" borderId="45">
      <alignment horizontal="center" vertical="center"/>
      <protection locked="0"/>
    </xf>
    <xf numFmtId="197" fontId="19" fillId="0" borderId="45">
      <alignment horizontal="center" vertical="center"/>
      <protection locked="0"/>
    </xf>
    <xf numFmtId="197" fontId="19" fillId="0" borderId="44">
      <alignment horizontal="center" vertical="center"/>
      <protection locked="0"/>
    </xf>
    <xf numFmtId="197" fontId="19" fillId="0" borderId="45">
      <alignment horizontal="center" vertical="center"/>
      <protection locked="0"/>
    </xf>
    <xf numFmtId="197" fontId="19" fillId="0" borderId="45">
      <alignment horizontal="center" vertical="center"/>
      <protection locked="0"/>
    </xf>
    <xf numFmtId="198" fontId="83" fillId="0" borderId="44">
      <alignment vertical="center"/>
      <protection locked="0"/>
    </xf>
    <xf numFmtId="199" fontId="83" fillId="0" borderId="44">
      <alignment horizontal="right" vertical="center"/>
      <protection locked="0"/>
    </xf>
    <xf numFmtId="200" fontId="83" fillId="0" borderId="44">
      <alignment vertical="center"/>
      <protection locked="0"/>
    </xf>
    <xf numFmtId="201" fontId="83" fillId="0" borderId="44">
      <alignment horizontal="center" vertical="center"/>
      <protection locked="0"/>
    </xf>
    <xf numFmtId="202" fontId="83" fillId="0" borderId="44">
      <alignment horizontal="center" vertical="center"/>
      <protection locked="0"/>
    </xf>
    <xf numFmtId="0" fontId="83" fillId="0" borderId="44">
      <alignment vertical="center"/>
      <protection locked="0"/>
    </xf>
    <xf numFmtId="203" fontId="83" fillId="0" borderId="44">
      <alignment horizontal="right" vertical="center"/>
      <protection locked="0"/>
    </xf>
    <xf numFmtId="0" fontId="19" fillId="0" borderId="45">
      <alignment vertical="center"/>
      <protection locked="0"/>
    </xf>
    <xf numFmtId="0" fontId="19" fillId="0" borderId="45">
      <alignment vertical="center"/>
      <protection locked="0"/>
    </xf>
    <xf numFmtId="0" fontId="19" fillId="0" borderId="45">
      <alignment vertical="center"/>
      <protection locked="0"/>
    </xf>
    <xf numFmtId="0" fontId="19" fillId="0" borderId="45">
      <alignment vertical="center"/>
      <protection locked="0"/>
    </xf>
    <xf numFmtId="0" fontId="19" fillId="0" borderId="44" applyAlignment="0">
      <protection locked="0"/>
    </xf>
    <xf numFmtId="0" fontId="19" fillId="0" borderId="45">
      <alignment vertical="center"/>
      <protection locked="0"/>
    </xf>
    <xf numFmtId="0" fontId="19" fillId="0" borderId="45">
      <alignment vertical="center"/>
      <protection locked="0"/>
    </xf>
    <xf numFmtId="204" fontId="83" fillId="0" borderId="44">
      <alignment horizontal="center" vertical="center"/>
      <protection locked="0"/>
    </xf>
    <xf numFmtId="14" fontId="83" fillId="0" borderId="44">
      <alignment horizontal="center" vertical="center"/>
      <protection locked="0"/>
    </xf>
    <xf numFmtId="205" fontId="83" fillId="0" borderId="44">
      <alignment horizontal="center" vertical="center"/>
      <protection locked="0"/>
    </xf>
    <xf numFmtId="206" fontId="83" fillId="0" borderId="44">
      <alignment horizontal="center" vertical="center"/>
      <protection locked="0"/>
    </xf>
    <xf numFmtId="207" fontId="83" fillId="0" borderId="44">
      <alignment horizontal="center" vertical="center"/>
      <protection locked="0"/>
    </xf>
    <xf numFmtId="0" fontId="83" fillId="0" borderId="44">
      <alignment horizontal="center" vertical="center"/>
      <protection locked="0"/>
    </xf>
    <xf numFmtId="208" fontId="83" fillId="0" borderId="44">
      <alignment horizontal="center" vertical="center"/>
      <protection locked="0"/>
    </xf>
    <xf numFmtId="189" fontId="19" fillId="0" borderId="45">
      <alignment horizontal="right" vertical="center"/>
      <protection locked="0"/>
    </xf>
    <xf numFmtId="189" fontId="19" fillId="0" borderId="45">
      <alignment horizontal="right" vertical="center"/>
      <protection locked="0"/>
    </xf>
    <xf numFmtId="189" fontId="19" fillId="0" borderId="45">
      <alignment horizontal="right" vertical="center"/>
      <protection locked="0"/>
    </xf>
    <xf numFmtId="189" fontId="19" fillId="0" borderId="45">
      <alignment horizontal="right" vertical="center"/>
      <protection locked="0"/>
    </xf>
    <xf numFmtId="190" fontId="19" fillId="0" borderId="44">
      <alignment vertical="center"/>
      <protection locked="0"/>
    </xf>
    <xf numFmtId="189" fontId="19" fillId="0" borderId="45">
      <alignment horizontal="right" vertical="center"/>
      <protection locked="0"/>
    </xf>
    <xf numFmtId="189" fontId="19" fillId="0" borderId="45">
      <alignment horizontal="right" vertical="center"/>
      <protection locked="0"/>
    </xf>
    <xf numFmtId="191" fontId="19" fillId="0" borderId="45">
      <alignment horizontal="right" vertical="center"/>
      <protection locked="0"/>
    </xf>
    <xf numFmtId="209" fontId="19" fillId="0" borderId="45">
      <alignment horizontal="right" vertical="center"/>
      <protection locked="0"/>
    </xf>
    <xf numFmtId="209" fontId="19" fillId="0" borderId="45">
      <alignment horizontal="right" vertical="center"/>
      <protection locked="0"/>
    </xf>
    <xf numFmtId="209" fontId="19" fillId="0" borderId="45">
      <alignment horizontal="right" vertical="center"/>
      <protection locked="0"/>
    </xf>
    <xf numFmtId="209" fontId="19" fillId="0" borderId="45">
      <alignment horizontal="right" vertical="center"/>
      <protection locked="0"/>
    </xf>
    <xf numFmtId="209" fontId="19" fillId="0" borderId="44">
      <alignment horizontal="right" vertical="center"/>
      <protection locked="0"/>
    </xf>
    <xf numFmtId="209" fontId="19" fillId="0" borderId="45">
      <alignment horizontal="right" vertical="center"/>
      <protection locked="0"/>
    </xf>
    <xf numFmtId="209" fontId="19" fillId="0" borderId="45">
      <alignment horizontal="right" vertical="center"/>
      <protection locked="0"/>
    </xf>
    <xf numFmtId="192" fontId="19" fillId="0" borderId="45">
      <alignment horizontal="right" vertical="center"/>
      <protection locked="0"/>
    </xf>
    <xf numFmtId="192" fontId="19" fillId="0" borderId="45">
      <alignment horizontal="right" vertical="center"/>
      <protection locked="0"/>
    </xf>
    <xf numFmtId="192" fontId="19" fillId="0" borderId="45">
      <alignment horizontal="right" vertical="center"/>
      <protection locked="0"/>
    </xf>
    <xf numFmtId="192" fontId="19" fillId="0" borderId="45">
      <alignment horizontal="right" vertical="center"/>
      <protection locked="0"/>
    </xf>
    <xf numFmtId="193" fontId="19" fillId="0" borderId="44">
      <alignment vertical="center"/>
      <protection locked="0"/>
    </xf>
    <xf numFmtId="192" fontId="19" fillId="0" borderId="45">
      <alignment horizontal="right" vertical="center"/>
      <protection locked="0"/>
    </xf>
    <xf numFmtId="192" fontId="19" fillId="0" borderId="45">
      <alignment horizontal="right" vertical="center"/>
      <protection locked="0"/>
    </xf>
    <xf numFmtId="194" fontId="19" fillId="0" borderId="45">
      <alignment horizontal="right" vertical="center"/>
      <protection locked="0"/>
    </xf>
    <xf numFmtId="194" fontId="19" fillId="0" borderId="45">
      <alignment horizontal="right" vertical="center"/>
      <protection locked="0"/>
    </xf>
    <xf numFmtId="194" fontId="19" fillId="0" borderId="45">
      <alignment horizontal="right" vertical="center"/>
      <protection locked="0"/>
    </xf>
    <xf numFmtId="194" fontId="19" fillId="0" borderId="45">
      <alignment horizontal="right" vertical="center"/>
      <protection locked="0"/>
    </xf>
    <xf numFmtId="195" fontId="19" fillId="0" borderId="44">
      <alignment vertical="center"/>
      <protection locked="0"/>
    </xf>
    <xf numFmtId="194" fontId="19" fillId="0" borderId="45">
      <alignment horizontal="right" vertical="center"/>
      <protection locked="0"/>
    </xf>
    <xf numFmtId="194" fontId="19" fillId="0" borderId="45">
      <alignment horizontal="right" vertical="center"/>
      <protection locked="0"/>
    </xf>
    <xf numFmtId="178" fontId="19" fillId="0" borderId="45">
      <alignment horizontal="right" vertical="center"/>
      <protection locked="0"/>
    </xf>
    <xf numFmtId="178" fontId="19" fillId="0" borderId="45">
      <alignment horizontal="right" vertical="center"/>
      <protection locked="0"/>
    </xf>
    <xf numFmtId="178" fontId="19" fillId="0" borderId="45">
      <alignment horizontal="right" vertical="center"/>
      <protection locked="0"/>
    </xf>
    <xf numFmtId="178" fontId="19" fillId="0" borderId="45">
      <alignment horizontal="right" vertical="center"/>
      <protection locked="0"/>
    </xf>
    <xf numFmtId="196" fontId="19" fillId="0" borderId="44">
      <alignment vertical="center"/>
      <protection locked="0"/>
    </xf>
    <xf numFmtId="178" fontId="19" fillId="0" borderId="45">
      <alignment horizontal="right" vertical="center"/>
      <protection locked="0"/>
    </xf>
    <xf numFmtId="178" fontId="19" fillId="0" borderId="45">
      <alignment horizontal="right" vertical="center"/>
      <protection locked="0"/>
    </xf>
    <xf numFmtId="197" fontId="19" fillId="0" borderId="45">
      <alignment horizontal="right" vertical="center"/>
      <protection locked="0"/>
    </xf>
    <xf numFmtId="197" fontId="19" fillId="0" borderId="45">
      <alignment horizontal="right" vertical="center"/>
      <protection locked="0"/>
    </xf>
    <xf numFmtId="197" fontId="19" fillId="0" borderId="45">
      <alignment horizontal="right" vertical="center"/>
      <protection locked="0"/>
    </xf>
    <xf numFmtId="197" fontId="19" fillId="0" borderId="45">
      <alignment horizontal="right" vertical="center"/>
      <protection locked="0"/>
    </xf>
    <xf numFmtId="197" fontId="19" fillId="0" borderId="44">
      <alignment horizontal="right" vertical="center"/>
      <protection locked="0"/>
    </xf>
    <xf numFmtId="197" fontId="19" fillId="0" borderId="45">
      <alignment horizontal="right" vertical="center"/>
      <protection locked="0"/>
    </xf>
    <xf numFmtId="197" fontId="19" fillId="0" borderId="45">
      <alignment horizontal="right" vertical="center"/>
      <protection locked="0"/>
    </xf>
    <xf numFmtId="0" fontId="91" fillId="0" borderId="1">
      <alignment horizontal="center"/>
    </xf>
    <xf numFmtId="0" fontId="92" fillId="0" borderId="38">
      <alignment horizontal="left" vertical="center" wrapText="1"/>
    </xf>
    <xf numFmtId="0" fontId="92" fillId="0" borderId="38">
      <alignment horizontal="left" wrapText="1" indent="2"/>
    </xf>
    <xf numFmtId="210" fontId="93" fillId="76" borderId="46" applyProtection="0"/>
    <xf numFmtId="0" fontId="94" fillId="57" borderId="0" applyNumberFormat="0" applyBorder="0" applyAlignment="0" applyProtection="0"/>
    <xf numFmtId="0" fontId="95" fillId="52" borderId="0" applyNumberFormat="0" applyBorder="0" applyAlignment="0" applyProtection="0"/>
    <xf numFmtId="0" fontId="36" fillId="57"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36" fillId="57" borderId="0" applyNumberFormat="0" applyBorder="0" applyAlignment="0" applyProtection="0"/>
    <xf numFmtId="0" fontId="96" fillId="52"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36" fillId="57" borderId="0" applyNumberFormat="0" applyBorder="0" applyAlignment="0" applyProtection="0"/>
    <xf numFmtId="0" fontId="97" fillId="77" borderId="0" applyNumberFormat="0" applyFont="0" applyBorder="0" applyAlignment="0" applyProtection="0">
      <alignment vertical="center"/>
    </xf>
    <xf numFmtId="0" fontId="97" fillId="77" borderId="0" applyNumberFormat="0" applyFont="0" applyBorder="0" applyAlignment="0" applyProtection="0">
      <alignment vertical="center"/>
    </xf>
    <xf numFmtId="211" fontId="97" fillId="77" borderId="0" applyNumberFormat="0" applyFont="0" applyBorder="0" applyAlignment="0" applyProtection="0">
      <alignment horizontal="center" vertical="center"/>
    </xf>
    <xf numFmtId="211" fontId="97" fillId="77" borderId="0" applyNumberFormat="0" applyFont="0" applyBorder="0" applyAlignment="0" applyProtection="0">
      <alignment horizontal="center" vertical="center"/>
    </xf>
    <xf numFmtId="3" fontId="98" fillId="0" borderId="0"/>
    <xf numFmtId="212" fontId="99" fillId="0" borderId="0" applyNumberFormat="0" applyFill="0" applyBorder="0" applyAlignment="0"/>
    <xf numFmtId="213" fontId="27" fillId="0" borderId="0" applyFill="0" applyBorder="0" applyAlignment="0"/>
    <xf numFmtId="213" fontId="27" fillId="0" borderId="0" applyFill="0" applyBorder="0" applyAlignment="0"/>
    <xf numFmtId="210" fontId="100" fillId="0" borderId="0" applyFill="0" applyBorder="0" applyAlignment="0"/>
    <xf numFmtId="214" fontId="100" fillId="0" borderId="0" applyFill="0" applyBorder="0" applyAlignment="0"/>
    <xf numFmtId="215" fontId="100" fillId="0" borderId="0" applyFill="0" applyBorder="0" applyAlignment="0"/>
    <xf numFmtId="216" fontId="100" fillId="0" borderId="0" applyFill="0" applyBorder="0" applyAlignment="0"/>
    <xf numFmtId="44" fontId="100" fillId="0" borderId="0" applyFill="0" applyBorder="0" applyAlignment="0"/>
    <xf numFmtId="217" fontId="100" fillId="0" borderId="0" applyFill="0" applyBorder="0" applyAlignment="0"/>
    <xf numFmtId="210" fontId="100" fillId="0" borderId="0" applyFill="0" applyBorder="0" applyAlignment="0"/>
    <xf numFmtId="0" fontId="101" fillId="60" borderId="47" applyNumberFormat="0" applyAlignment="0" applyProtection="0"/>
    <xf numFmtId="0" fontId="102" fillId="60" borderId="47" applyNumberFormat="0" applyAlignment="0" applyProtection="0"/>
    <xf numFmtId="0" fontId="103" fillId="50" borderId="2" applyNumberFormat="0" applyAlignment="0" applyProtection="0"/>
    <xf numFmtId="0" fontId="102" fillId="60" borderId="47" applyNumberFormat="0" applyAlignment="0" applyProtection="0"/>
    <xf numFmtId="0" fontId="102" fillId="60" borderId="47" applyNumberFormat="0" applyAlignment="0" applyProtection="0"/>
    <xf numFmtId="0" fontId="103" fillId="50" borderId="2" applyNumberFormat="0" applyAlignment="0" applyProtection="0"/>
    <xf numFmtId="0" fontId="102" fillId="50" borderId="47" applyNumberFormat="0" applyAlignment="0" applyProtection="0"/>
    <xf numFmtId="0" fontId="101" fillId="50" borderId="47" applyNumberFormat="0" applyAlignment="0" applyProtection="0"/>
    <xf numFmtId="0" fontId="101" fillId="50" borderId="47" applyNumberFormat="0" applyAlignment="0" applyProtection="0"/>
    <xf numFmtId="0" fontId="103" fillId="50" borderId="2" applyNumberFormat="0" applyAlignment="0" applyProtection="0"/>
    <xf numFmtId="0" fontId="104" fillId="0" borderId="0">
      <alignment wrapText="1"/>
    </xf>
    <xf numFmtId="0" fontId="19" fillId="0" borderId="0" applyNumberFormat="0" applyFont="0" applyFill="0" applyBorder="0">
      <alignment horizontal="center" vertical="center"/>
      <protection locked="0"/>
    </xf>
    <xf numFmtId="0" fontId="19" fillId="0" borderId="0" applyNumberFormat="0" applyFont="0" applyFill="0" applyBorder="0">
      <alignment horizontal="center" vertical="center"/>
      <protection locked="0"/>
    </xf>
    <xf numFmtId="0" fontId="19" fillId="0" borderId="0" applyNumberFormat="0" applyFont="0" applyFill="0" applyBorder="0">
      <alignment horizontal="center" vertical="center"/>
      <protection locked="0"/>
    </xf>
    <xf numFmtId="0" fontId="19" fillId="0" borderId="0" applyNumberFormat="0" applyFont="0" applyFill="0" applyBorder="0">
      <alignment horizontal="center" vertical="center"/>
      <protection locked="0"/>
    </xf>
    <xf numFmtId="189" fontId="19" fillId="0" borderId="0" applyFill="0" applyBorder="0">
      <alignment horizontal="center" vertical="center"/>
    </xf>
    <xf numFmtId="189" fontId="19" fillId="0" borderId="0" applyFill="0" applyBorder="0">
      <alignment horizontal="center" vertical="center"/>
    </xf>
    <xf numFmtId="189" fontId="19" fillId="0" borderId="0" applyFill="0" applyBorder="0">
      <alignment horizontal="center" vertical="center"/>
    </xf>
    <xf numFmtId="190" fontId="19" fillId="0" borderId="0" applyFill="0" applyBorder="0">
      <alignment horizontal="center" vertical="center"/>
    </xf>
    <xf numFmtId="189" fontId="19" fillId="0" borderId="0" applyFill="0" applyBorder="0">
      <alignment horizontal="center" vertical="center"/>
    </xf>
    <xf numFmtId="191" fontId="19" fillId="0" borderId="0" applyFill="0" applyBorder="0">
      <alignment horizontal="center" vertical="center"/>
    </xf>
    <xf numFmtId="14" fontId="19" fillId="0" borderId="0" applyFill="0" applyBorder="0">
      <alignment horizontal="center" vertical="center"/>
    </xf>
    <xf numFmtId="14" fontId="19" fillId="0" borderId="0" applyFill="0" applyBorder="0">
      <alignment horizontal="center" vertical="center"/>
    </xf>
    <xf numFmtId="14" fontId="19" fillId="0" borderId="0" applyFill="0" applyBorder="0">
      <alignment horizontal="center" vertical="center"/>
    </xf>
    <xf numFmtId="14" fontId="19" fillId="0" borderId="0" applyFill="0" applyBorder="0">
      <alignment horizontal="center" vertical="center"/>
    </xf>
    <xf numFmtId="192" fontId="19" fillId="0" borderId="0" applyFill="0" applyBorder="0">
      <alignment horizontal="center" vertical="center"/>
    </xf>
    <xf numFmtId="192" fontId="19" fillId="0" borderId="0" applyFill="0" applyBorder="0">
      <alignment horizontal="center" vertical="center"/>
    </xf>
    <xf numFmtId="192" fontId="19" fillId="0" borderId="0" applyFill="0" applyBorder="0">
      <alignment horizontal="center" vertical="center"/>
    </xf>
    <xf numFmtId="193" fontId="19" fillId="0" borderId="0" applyFill="0" applyBorder="0">
      <alignment horizontal="center" vertical="center"/>
    </xf>
    <xf numFmtId="192" fontId="19" fillId="0" borderId="0" applyFill="0" applyBorder="0">
      <alignment horizontal="center" vertical="center"/>
    </xf>
    <xf numFmtId="194" fontId="19" fillId="0" borderId="0" applyFill="0" applyBorder="0">
      <alignment horizontal="center" vertical="center"/>
    </xf>
    <xf numFmtId="194" fontId="19" fillId="0" borderId="0" applyFill="0" applyBorder="0">
      <alignment horizontal="center" vertical="center"/>
    </xf>
    <xf numFmtId="194" fontId="19" fillId="0" borderId="0" applyFill="0" applyBorder="0">
      <alignment horizontal="center" vertical="center"/>
    </xf>
    <xf numFmtId="195" fontId="19" fillId="0" borderId="0" applyFill="0" applyBorder="0">
      <alignment horizontal="center" vertical="center"/>
    </xf>
    <xf numFmtId="194" fontId="19" fillId="0" borderId="0" applyFill="0" applyBorder="0">
      <alignment horizontal="center" vertical="center"/>
    </xf>
    <xf numFmtId="178" fontId="19" fillId="0" borderId="0" applyFill="0" applyBorder="0">
      <alignment horizontal="center" vertical="center"/>
    </xf>
    <xf numFmtId="178" fontId="19" fillId="0" borderId="0" applyFill="0" applyBorder="0">
      <alignment horizontal="center" vertical="center"/>
    </xf>
    <xf numFmtId="178" fontId="19" fillId="0" borderId="0" applyFill="0" applyBorder="0">
      <alignment horizontal="center" vertical="center"/>
    </xf>
    <xf numFmtId="196" fontId="19" fillId="0" borderId="0" applyFill="0" applyBorder="0">
      <alignment horizontal="center" vertical="center"/>
    </xf>
    <xf numFmtId="178" fontId="19" fillId="0" borderId="0" applyFill="0" applyBorder="0">
      <alignment horizontal="center" vertical="center"/>
    </xf>
    <xf numFmtId="197" fontId="19" fillId="0" borderId="0" applyFill="0" applyBorder="0">
      <alignment horizontal="center" vertical="center"/>
    </xf>
    <xf numFmtId="197" fontId="19" fillId="0" borderId="0" applyFill="0" applyBorder="0">
      <alignment horizontal="center" vertical="center"/>
    </xf>
    <xf numFmtId="197" fontId="19" fillId="0" borderId="0" applyFill="0" applyBorder="0">
      <alignment horizontal="center" vertical="center"/>
    </xf>
    <xf numFmtId="197" fontId="19" fillId="0" borderId="0" applyFill="0" applyBorder="0">
      <alignment horizontal="center" vertical="center"/>
    </xf>
    <xf numFmtId="0" fontId="105" fillId="78" borderId="48" applyNumberFormat="0" applyAlignment="0" applyProtection="0"/>
    <xf numFmtId="0" fontId="105" fillId="79" borderId="48" applyNumberFormat="0" applyAlignment="0" applyProtection="0"/>
    <xf numFmtId="0" fontId="37" fillId="21" borderId="34" applyNumberFormat="0" applyAlignment="0" applyProtection="0"/>
    <xf numFmtId="0" fontId="105" fillId="79" borderId="48" applyNumberFormat="0" applyAlignment="0" applyProtection="0"/>
    <xf numFmtId="0" fontId="105" fillId="79" borderId="48" applyNumberFormat="0" applyAlignment="0" applyProtection="0"/>
    <xf numFmtId="0" fontId="37" fillId="21" borderId="34" applyNumberFormat="0" applyAlignment="0" applyProtection="0"/>
    <xf numFmtId="0" fontId="105" fillId="79" borderId="48" applyNumberFormat="0" applyAlignment="0" applyProtection="0"/>
    <xf numFmtId="0" fontId="105" fillId="79" borderId="48" applyNumberFormat="0" applyAlignment="0" applyProtection="0"/>
    <xf numFmtId="0" fontId="37" fillId="21" borderId="34" applyNumberFormat="0" applyAlignment="0" applyProtection="0"/>
    <xf numFmtId="0" fontId="45" fillId="55" borderId="0">
      <alignment horizontal="center" wrapText="1"/>
    </xf>
    <xf numFmtId="0" fontId="106" fillId="0" borderId="0" applyNumberFormat="0" applyFill="0" applyBorder="0" applyProtection="0">
      <alignment horizontal="center" vertical="center" wrapText="1"/>
    </xf>
    <xf numFmtId="218" fontId="107" fillId="0" borderId="0" applyBorder="0" applyAlignment="0">
      <alignment horizontal="center"/>
    </xf>
    <xf numFmtId="41" fontId="30" fillId="0" borderId="0" applyFont="0" applyFill="0" applyBorder="0" applyAlignment="0" applyProtection="0"/>
    <xf numFmtId="41" fontId="30"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4" fontId="100" fillId="0" borderId="0" applyFont="0" applyFill="0" applyBorder="0" applyAlignment="0" applyProtection="0"/>
    <xf numFmtId="0" fontId="108" fillId="0" borderId="0" applyFont="0" applyFill="0" applyBorder="0" applyAlignment="0" applyProtection="0">
      <alignment horizontal="right"/>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alignment vertical="top"/>
    </xf>
    <xf numFmtId="0" fontId="59" fillId="0" borderId="0">
      <alignment vertical="top"/>
    </xf>
    <xf numFmtId="0" fontId="59" fillId="0" borderId="0">
      <alignment vertical="top"/>
    </xf>
    <xf numFmtId="0" fontId="59" fillId="0" borderId="0">
      <alignment vertical="top"/>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09"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43" fontId="110" fillId="0" borderId="0" applyFont="0" applyFill="0" applyBorder="0" applyAlignment="0" applyProtection="0"/>
    <xf numFmtId="43" fontId="111" fillId="0" borderId="0" applyFont="0" applyFill="0" applyBorder="0" applyAlignment="0" applyProtection="0"/>
    <xf numFmtId="0" fontId="108" fillId="0" borderId="0" applyFont="0" applyFill="0" applyBorder="0" applyAlignment="0" applyProtection="0">
      <alignment horizontal="right"/>
    </xf>
    <xf numFmtId="43" fontId="30"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19" fontId="97" fillId="0" borderId="0" applyFont="0" applyFill="0" applyBorder="0" applyAlignment="0" applyProtection="0"/>
    <xf numFmtId="43" fontId="59" fillId="0" borderId="0" applyFont="0" applyFill="0" applyBorder="0" applyAlignment="0" applyProtection="0"/>
    <xf numFmtId="219" fontId="97" fillId="0" borderId="0" applyFont="0" applyFill="0" applyBorder="0" applyAlignment="0" applyProtection="0"/>
    <xf numFmtId="43" fontId="59" fillId="0" borderId="0" applyFont="0" applyFill="0" applyBorder="0" applyAlignment="0" applyProtection="0"/>
    <xf numFmtId="219" fontId="9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0" fillId="0" borderId="0" applyFont="0" applyFill="0" applyBorder="0" applyAlignment="0" applyProtection="0"/>
    <xf numFmtId="43" fontId="59" fillId="0" borderId="0" applyFont="0" applyFill="0" applyBorder="0" applyAlignment="0" applyProtection="0"/>
    <xf numFmtId="43" fontId="111"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2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112" fillId="0" borderId="0" applyFill="0" applyBorder="0">
      <alignment vertical="center"/>
    </xf>
    <xf numFmtId="0" fontId="113" fillId="0" borderId="0" applyFill="0" applyBorder="0">
      <alignment vertical="center"/>
    </xf>
    <xf numFmtId="0" fontId="114" fillId="0" borderId="0">
      <alignment vertical="center"/>
      <protection locked="0"/>
    </xf>
    <xf numFmtId="0" fontId="84" fillId="0" borderId="0">
      <alignment vertical="center"/>
      <protection locked="0"/>
    </xf>
    <xf numFmtId="0" fontId="87" fillId="0" borderId="0">
      <alignment vertical="center"/>
      <protection locked="0"/>
    </xf>
    <xf numFmtId="0" fontId="113" fillId="0" borderId="0">
      <alignment vertical="center"/>
      <protection locked="0"/>
    </xf>
    <xf numFmtId="0" fontId="88" fillId="0" borderId="0">
      <alignment vertical="center"/>
      <protection locked="0"/>
    </xf>
    <xf numFmtId="210" fontId="100" fillId="0" borderId="0" applyFont="0" applyFill="0" applyBorder="0" applyAlignment="0" applyProtection="0"/>
    <xf numFmtId="220" fontId="115" fillId="0" borderId="0" applyBorder="0"/>
    <xf numFmtId="0" fontId="108" fillId="0" borderId="0" applyFont="0" applyFill="0" applyBorder="0" applyAlignment="0" applyProtection="0">
      <alignment horizontal="right"/>
    </xf>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30" fillId="0" borderId="0" applyFont="0" applyFill="0" applyBorder="0" applyAlignment="0" applyProtection="0"/>
    <xf numFmtId="44" fontId="59" fillId="0" borderId="0" applyFont="0" applyFill="0" applyBorder="0" applyAlignment="0" applyProtection="0"/>
    <xf numFmtId="0" fontId="108" fillId="0" borderId="0" applyFont="0" applyFill="0" applyBorder="0" applyAlignment="0" applyProtection="0">
      <alignment horizontal="right"/>
    </xf>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7" fillId="0" borderId="0" applyFont="0" applyFill="0" applyBorder="0" applyAlignment="0" applyProtection="0"/>
    <xf numFmtId="44" fontId="59" fillId="0" borderId="0" applyFont="0" applyFill="0" applyBorder="0" applyAlignment="0" applyProtection="0"/>
    <xf numFmtId="44" fontId="111"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210" fontId="59" fillId="0" borderId="0" applyNumberFormat="0" applyAlignment="0">
      <alignment horizontal="left"/>
      <protection locked="0"/>
    </xf>
    <xf numFmtId="210" fontId="59" fillId="0" borderId="0" applyNumberFormat="0" applyAlignment="0">
      <alignment horizontal="left"/>
      <protection locked="0"/>
    </xf>
    <xf numFmtId="221" fontId="116" fillId="0" borderId="0" applyFont="0" applyFill="0" applyBorder="0" applyAlignment="0" applyProtection="0"/>
    <xf numFmtId="222" fontId="59" fillId="0" borderId="0"/>
    <xf numFmtId="223" fontId="59" fillId="0" borderId="0"/>
    <xf numFmtId="15" fontId="82" fillId="0" borderId="0" applyFont="0" applyFill="0" applyBorder="0" applyAlignment="0" applyProtection="0"/>
    <xf numFmtId="15" fontId="117" fillId="0" borderId="0"/>
    <xf numFmtId="15" fontId="117" fillId="0" borderId="0"/>
    <xf numFmtId="15" fontId="59" fillId="0" borderId="0"/>
    <xf numFmtId="15" fontId="59" fillId="0" borderId="0"/>
    <xf numFmtId="0" fontId="108" fillId="0" borderId="0" applyFont="0" applyFill="0" applyBorder="0" applyAlignment="0" applyProtection="0"/>
    <xf numFmtId="14" fontId="27" fillId="0" borderId="0" applyFill="0" applyBorder="0" applyAlignment="0"/>
    <xf numFmtId="14" fontId="27" fillId="0" borderId="0" applyFill="0" applyBorder="0" applyAlignment="0"/>
    <xf numFmtId="14" fontId="118" fillId="0" borderId="49">
      <alignment horizontal="center"/>
    </xf>
    <xf numFmtId="210" fontId="119" fillId="0" borderId="0" applyFont="0" applyFill="0" applyBorder="0" applyAlignment="0" applyProtection="0">
      <protection locked="0"/>
    </xf>
    <xf numFmtId="39" fontId="109" fillId="0" borderId="0" applyFont="0" applyFill="0" applyBorder="0" applyAlignment="0" applyProtection="0"/>
    <xf numFmtId="224" fontId="120" fillId="0" borderId="0" applyFont="0" applyFill="0" applyBorder="0" applyAlignment="0"/>
    <xf numFmtId="41" fontId="59" fillId="0" borderId="0" applyFont="0" applyFill="0" applyBorder="0" applyAlignment="0" applyProtection="0"/>
    <xf numFmtId="4" fontId="109" fillId="0" borderId="0" applyFont="0" applyFill="0" applyBorder="0" applyAlignment="0" applyProtection="0"/>
    <xf numFmtId="225" fontId="117" fillId="80" borderId="0">
      <alignment horizontal="center"/>
    </xf>
    <xf numFmtId="225" fontId="117" fillId="80" borderId="0">
      <alignment horizontal="center"/>
    </xf>
    <xf numFmtId="0" fontId="117" fillId="80" borderId="0">
      <alignment horizontal="center"/>
    </xf>
    <xf numFmtId="0" fontId="108" fillId="0" borderId="50" applyNumberFormat="0" applyFont="0" applyFill="0" applyAlignment="0" applyProtection="0"/>
    <xf numFmtId="44" fontId="100" fillId="0" borderId="0" applyFill="0" applyBorder="0" applyAlignment="0"/>
    <xf numFmtId="210" fontId="100" fillId="0" borderId="0" applyFill="0" applyBorder="0" applyAlignment="0"/>
    <xf numFmtId="44" fontId="100" fillId="0" borderId="0" applyFill="0" applyBorder="0" applyAlignment="0"/>
    <xf numFmtId="217" fontId="100" fillId="0" borderId="0" applyFill="0" applyBorder="0" applyAlignment="0"/>
    <xf numFmtId="210" fontId="100" fillId="0" borderId="0" applyFill="0" applyBorder="0" applyAlignment="0"/>
    <xf numFmtId="226" fontId="82" fillId="0" borderId="0" applyFont="0" applyFill="0" applyBorder="0" applyAlignment="0" applyProtection="0"/>
    <xf numFmtId="226" fontId="82" fillId="0" borderId="0" applyFont="0" applyFill="0" applyBorder="0" applyAlignment="0" applyProtection="0"/>
    <xf numFmtId="227" fontId="59" fillId="0" borderId="0" applyFont="0" applyFill="0" applyBorder="0" applyAlignment="0" applyProtection="0"/>
    <xf numFmtId="228" fontId="111"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8" fillId="0" borderId="0" applyNumberFormat="0" applyFill="0" applyBorder="0" applyAlignment="0" applyProtection="0"/>
    <xf numFmtId="0" fontId="121" fillId="0" borderId="0" applyNumberFormat="0" applyFill="0" applyBorder="0" applyAlignment="0" applyProtection="0"/>
    <xf numFmtId="0" fontId="58" fillId="0" borderId="0" applyNumberFormat="0" applyFill="0" applyBorder="0" applyAlignment="0" applyProtection="0"/>
    <xf numFmtId="198" fontId="83" fillId="0" borderId="44">
      <alignment horizontal="center" vertical="center"/>
      <protection locked="0"/>
    </xf>
    <xf numFmtId="229" fontId="83" fillId="0" borderId="44">
      <alignment horizontal="right" vertical="center"/>
      <protection locked="0"/>
    </xf>
    <xf numFmtId="200" fontId="83" fillId="0" borderId="44">
      <alignment horizontal="center" vertical="center"/>
      <protection locked="0"/>
    </xf>
    <xf numFmtId="201" fontId="83" fillId="0" borderId="44">
      <alignment horizontal="center" vertical="center"/>
      <protection locked="0"/>
    </xf>
    <xf numFmtId="202" fontId="83" fillId="0" borderId="44">
      <alignment horizontal="center" vertical="center"/>
      <protection locked="0"/>
    </xf>
    <xf numFmtId="0" fontId="83" fillId="0" borderId="44">
      <alignment vertical="center"/>
      <protection locked="0"/>
    </xf>
    <xf numFmtId="203" fontId="83" fillId="0" borderId="44">
      <alignment horizontal="right" vertical="center"/>
      <protection locked="0"/>
    </xf>
    <xf numFmtId="198" fontId="84" fillId="0" borderId="44">
      <alignment horizontal="center" vertical="center"/>
      <protection locked="0"/>
    </xf>
    <xf numFmtId="229" fontId="84" fillId="0" borderId="44">
      <alignment horizontal="right" vertical="center"/>
      <protection locked="0"/>
    </xf>
    <xf numFmtId="0" fontId="85" fillId="75" borderId="0">
      <alignment vertical="center"/>
      <protection locked="0"/>
    </xf>
    <xf numFmtId="0" fontId="86" fillId="75" borderId="0">
      <alignment vertical="center"/>
      <protection locked="0"/>
    </xf>
    <xf numFmtId="0" fontId="87" fillId="75" borderId="0">
      <alignment vertical="center"/>
      <protection locked="0"/>
    </xf>
    <xf numFmtId="0" fontId="84" fillId="75" borderId="0">
      <alignment vertical="center"/>
      <protection locked="0"/>
    </xf>
    <xf numFmtId="200" fontId="84" fillId="0" borderId="44">
      <alignment horizontal="center" vertical="center"/>
      <protection locked="0"/>
    </xf>
    <xf numFmtId="201" fontId="84" fillId="0" borderId="44">
      <alignment horizontal="center" vertical="center"/>
      <protection locked="0"/>
    </xf>
    <xf numFmtId="202" fontId="84" fillId="0" borderId="44">
      <alignment horizontal="center" vertical="center"/>
      <protection locked="0"/>
    </xf>
    <xf numFmtId="0" fontId="88" fillId="75" borderId="0">
      <alignment vertical="center"/>
      <protection locked="0"/>
    </xf>
    <xf numFmtId="0" fontId="84" fillId="0" borderId="44">
      <alignment vertical="center"/>
      <protection locked="0"/>
    </xf>
    <xf numFmtId="0" fontId="89" fillId="75" borderId="0">
      <alignment vertical="center"/>
      <protection locked="0"/>
    </xf>
    <xf numFmtId="198" fontId="9" fillId="75" borderId="0">
      <alignment horizontal="center" vertical="center"/>
      <protection locked="0"/>
    </xf>
    <xf numFmtId="229" fontId="9" fillId="75" borderId="0">
      <alignment horizontal="right" vertical="center"/>
      <protection locked="0"/>
    </xf>
    <xf numFmtId="0" fontId="50" fillId="75" borderId="0">
      <alignment vertical="center"/>
      <protection locked="0"/>
    </xf>
    <xf numFmtId="0" fontId="90" fillId="75" borderId="0">
      <alignment vertical="center"/>
      <protection locked="0"/>
    </xf>
    <xf numFmtId="0" fontId="15" fillId="75" borderId="0">
      <alignment vertical="center"/>
      <protection locked="0"/>
    </xf>
    <xf numFmtId="0" fontId="9" fillId="75" borderId="0">
      <alignment vertical="center"/>
      <protection locked="0"/>
    </xf>
    <xf numFmtId="0" fontId="9" fillId="75" borderId="0">
      <alignment horizontal="left" vertical="center"/>
      <protection locked="0"/>
    </xf>
    <xf numFmtId="200" fontId="9" fillId="75" borderId="0">
      <alignment horizontal="center" vertical="center"/>
      <protection locked="0"/>
    </xf>
    <xf numFmtId="201" fontId="9" fillId="75" borderId="0">
      <alignment horizontal="center" vertical="center"/>
      <protection locked="0"/>
    </xf>
    <xf numFmtId="202" fontId="9" fillId="0" borderId="0">
      <alignment horizontal="center" vertical="center"/>
      <protection locked="0"/>
    </xf>
    <xf numFmtId="0" fontId="9" fillId="75" borderId="0">
      <alignment horizontal="center" vertical="center"/>
      <protection locked="0"/>
    </xf>
    <xf numFmtId="203" fontId="9" fillId="75" borderId="0">
      <alignment horizontal="right" vertical="center"/>
      <protection locked="0"/>
    </xf>
    <xf numFmtId="41" fontId="122" fillId="0" borderId="0" applyBorder="0">
      <alignment horizontal="right"/>
    </xf>
    <xf numFmtId="0" fontId="123" fillId="0" borderId="0" applyFill="0" applyBorder="0" applyProtection="0">
      <alignment horizontal="left"/>
    </xf>
    <xf numFmtId="198" fontId="83" fillId="0" borderId="0" applyFill="0" applyBorder="0">
      <alignment horizontal="right" vertical="center"/>
    </xf>
    <xf numFmtId="199" fontId="83" fillId="0" borderId="0" applyFill="0" applyBorder="0">
      <alignment horizontal="right" vertical="center"/>
    </xf>
    <xf numFmtId="200" fontId="83" fillId="0" borderId="0" applyFill="0" applyBorder="0">
      <alignment horizontal="right" vertical="center"/>
    </xf>
    <xf numFmtId="201" fontId="83" fillId="0" borderId="0" applyFill="0" applyBorder="0">
      <alignment horizontal="center" vertical="center"/>
    </xf>
    <xf numFmtId="202" fontId="83" fillId="0" borderId="0" applyFill="0" applyBorder="0">
      <alignment horizontal="center" vertical="center"/>
    </xf>
    <xf numFmtId="0" fontId="124" fillId="0" borderId="0" applyFill="0" applyBorder="0">
      <alignment horizontal="right" vertical="center"/>
    </xf>
    <xf numFmtId="203" fontId="83" fillId="0" borderId="0" applyFill="0" applyBorder="0">
      <alignment horizontal="right" vertical="center"/>
    </xf>
    <xf numFmtId="229" fontId="125" fillId="0" borderId="0">
      <alignment horizontal="right" vertical="center"/>
      <protection locked="0"/>
    </xf>
    <xf numFmtId="230" fontId="84" fillId="0" borderId="0">
      <alignment horizontal="center" vertical="center"/>
      <protection locked="0"/>
    </xf>
    <xf numFmtId="0" fontId="85" fillId="0" borderId="0">
      <alignment vertical="center"/>
      <protection locked="0"/>
    </xf>
    <xf numFmtId="0" fontId="86" fillId="0" borderId="0">
      <alignment vertical="center"/>
      <protection locked="0"/>
    </xf>
    <xf numFmtId="0" fontId="87" fillId="0" borderId="0">
      <alignment vertical="center"/>
      <protection locked="0"/>
    </xf>
    <xf numFmtId="0" fontId="84" fillId="0" borderId="0">
      <alignment vertical="center"/>
      <protection locked="0"/>
    </xf>
    <xf numFmtId="231" fontId="84" fillId="0" borderId="0">
      <alignment horizontal="center" vertical="center"/>
      <protection locked="0"/>
    </xf>
    <xf numFmtId="232" fontId="84" fillId="0" borderId="0">
      <alignment horizontal="center" vertical="center"/>
      <protection locked="0"/>
    </xf>
    <xf numFmtId="233" fontId="84" fillId="0" borderId="0">
      <alignment horizontal="center" vertical="center"/>
      <protection locked="0"/>
    </xf>
    <xf numFmtId="0" fontId="88" fillId="0" borderId="0">
      <alignment vertical="center"/>
      <protection locked="0"/>
    </xf>
    <xf numFmtId="0" fontId="89" fillId="0" borderId="0">
      <alignment vertical="center"/>
      <protection locked="0"/>
    </xf>
    <xf numFmtId="198" fontId="9" fillId="0" borderId="0">
      <alignment horizontal="center" vertical="center"/>
      <protection locked="0"/>
    </xf>
    <xf numFmtId="229" fontId="9" fillId="0" borderId="0">
      <alignment horizontal="right" vertical="center"/>
      <protection locked="0"/>
    </xf>
    <xf numFmtId="0" fontId="50" fillId="0" borderId="0">
      <alignment vertical="center"/>
      <protection locked="0"/>
    </xf>
    <xf numFmtId="0" fontId="90" fillId="0" borderId="0">
      <alignment vertical="center"/>
      <protection locked="0"/>
    </xf>
    <xf numFmtId="0" fontId="15" fillId="0" borderId="0">
      <alignment vertical="center"/>
      <protection locked="0"/>
    </xf>
    <xf numFmtId="0" fontId="9" fillId="0" borderId="0">
      <alignment vertical="center"/>
      <protection locked="0"/>
    </xf>
    <xf numFmtId="200" fontId="9" fillId="0" borderId="0">
      <alignment horizontal="center" vertical="center"/>
      <protection locked="0"/>
    </xf>
    <xf numFmtId="201" fontId="9" fillId="0" borderId="0">
      <alignment horizontal="center" vertical="center"/>
      <protection locked="0"/>
    </xf>
    <xf numFmtId="202" fontId="9" fillId="0" borderId="0">
      <alignment horizontal="center" vertical="center"/>
      <protection locked="0"/>
    </xf>
    <xf numFmtId="0" fontId="15" fillId="0" borderId="0">
      <alignment horizontal="right" vertical="center"/>
      <protection locked="0"/>
    </xf>
    <xf numFmtId="203" fontId="9" fillId="0" borderId="0">
      <alignment horizontal="right" vertical="center"/>
      <protection locked="0"/>
    </xf>
    <xf numFmtId="5" fontId="9" fillId="0" borderId="0">
      <alignment horizontal="center" vertical="center"/>
      <protection locked="0"/>
    </xf>
    <xf numFmtId="14" fontId="9" fillId="0" borderId="0">
      <alignment horizontal="center" vertical="center"/>
      <protection locked="0"/>
    </xf>
    <xf numFmtId="186" fontId="9" fillId="0" borderId="0">
      <alignment horizontal="center" vertical="center"/>
      <protection locked="0"/>
    </xf>
    <xf numFmtId="37" fontId="9" fillId="0" borderId="0">
      <alignment horizontal="center" vertical="center"/>
      <protection locked="0"/>
    </xf>
    <xf numFmtId="187" fontId="9" fillId="0" borderId="0">
      <alignment horizontal="center" vertical="center"/>
      <protection locked="0"/>
    </xf>
    <xf numFmtId="0" fontId="9" fillId="0" borderId="0">
      <alignment horizontal="center" vertical="center"/>
      <protection locked="0"/>
    </xf>
    <xf numFmtId="225" fontId="117" fillId="0" borderId="0"/>
    <xf numFmtId="225" fontId="117" fillId="0" borderId="0"/>
    <xf numFmtId="0" fontId="117" fillId="0" borderId="0"/>
    <xf numFmtId="210" fontId="72" fillId="0" borderId="0">
      <alignment horizontal="right"/>
    </xf>
    <xf numFmtId="210" fontId="72" fillId="0" borderId="0">
      <alignment horizontal="right"/>
    </xf>
    <xf numFmtId="0" fontId="126" fillId="50" borderId="0"/>
    <xf numFmtId="0" fontId="127" fillId="58" borderId="0" applyNumberFormat="0" applyBorder="0" applyAlignment="0" applyProtection="0"/>
    <xf numFmtId="0" fontId="127" fillId="56" borderId="0" applyNumberFormat="0" applyBorder="0" applyAlignment="0" applyProtection="0"/>
    <xf numFmtId="0" fontId="31" fillId="58"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31" fillId="58" borderId="0" applyNumberFormat="0" applyBorder="0" applyAlignment="0" applyProtection="0"/>
    <xf numFmtId="0" fontId="127" fillId="58" borderId="0" applyNumberFormat="0" applyBorder="0" applyAlignment="0" applyProtection="0"/>
    <xf numFmtId="0" fontId="31" fillId="58" borderId="0" applyNumberFormat="0" applyBorder="0" applyAlignment="0" applyProtection="0"/>
    <xf numFmtId="0" fontId="128" fillId="81" borderId="51" applyNumberFormat="0" applyFont="0" applyAlignment="0" applyProtection="0">
      <protection hidden="1"/>
    </xf>
    <xf numFmtId="0" fontId="128" fillId="81" borderId="51" applyNumberFormat="0" applyFont="0" applyAlignment="0" applyProtection="0">
      <protection hidden="1"/>
    </xf>
    <xf numFmtId="0" fontId="129" fillId="81" borderId="51" applyNumberFormat="0" applyFont="0" applyAlignment="0" applyProtection="0">
      <protection hidden="1"/>
    </xf>
    <xf numFmtId="0" fontId="108" fillId="0" borderId="0" applyFont="0" applyFill="0" applyBorder="0" applyAlignment="0" applyProtection="0">
      <alignment horizontal="right"/>
    </xf>
    <xf numFmtId="0" fontId="130" fillId="0" borderId="38">
      <alignment horizontal="left"/>
    </xf>
    <xf numFmtId="0" fontId="131" fillId="0" borderId="0">
      <alignment horizontal="right"/>
    </xf>
    <xf numFmtId="37" fontId="98" fillId="0" borderId="0">
      <alignment horizontal="right"/>
    </xf>
    <xf numFmtId="0" fontId="132" fillId="0" borderId="0">
      <alignment horizontal="left"/>
    </xf>
    <xf numFmtId="37" fontId="133" fillId="0" borderId="0">
      <alignment horizontal="right"/>
    </xf>
    <xf numFmtId="0" fontId="134" fillId="0" borderId="0" applyProtection="0">
      <alignment horizontal="right"/>
    </xf>
    <xf numFmtId="0" fontId="135" fillId="0" borderId="52" applyNumberFormat="0" applyAlignment="0" applyProtection="0">
      <alignment horizontal="left" vertical="center"/>
    </xf>
    <xf numFmtId="49" fontId="136" fillId="0" borderId="0">
      <alignment horizontal="left" vertical="top" indent="1"/>
    </xf>
    <xf numFmtId="0" fontId="135" fillId="0" borderId="40">
      <alignment horizontal="left" vertical="center"/>
    </xf>
    <xf numFmtId="49" fontId="99" fillId="0" borderId="0">
      <alignment horizontal="left" vertical="top" indent="1"/>
    </xf>
    <xf numFmtId="49" fontId="72" fillId="0" borderId="0">
      <alignment horizontal="left" vertical="top" indent="1"/>
    </xf>
    <xf numFmtId="0" fontId="137" fillId="0" borderId="38">
      <alignment horizontal="center"/>
    </xf>
    <xf numFmtId="0" fontId="72" fillId="0" borderId="0" applyFill="0" applyBorder="0">
      <alignment vertical="center"/>
    </xf>
    <xf numFmtId="0" fontId="138" fillId="0" borderId="53" applyNumberFormat="0" applyFill="0" applyAlignment="0" applyProtection="0"/>
    <xf numFmtId="0" fontId="139" fillId="0" borderId="54" applyNumberFormat="0" applyFill="0" applyAlignment="0" applyProtection="0"/>
    <xf numFmtId="0" fontId="138" fillId="0" borderId="53" applyNumberFormat="0" applyFill="0" applyAlignment="0" applyProtection="0"/>
    <xf numFmtId="0" fontId="138" fillId="0" borderId="53" applyNumberFormat="0" applyFill="0" applyAlignment="0" applyProtection="0"/>
    <xf numFmtId="0" fontId="139" fillId="0" borderId="54" applyNumberFormat="0" applyFill="0" applyAlignment="0" applyProtection="0"/>
    <xf numFmtId="0" fontId="72" fillId="0" borderId="0" applyFill="0" applyBorder="0">
      <alignment vertical="center"/>
    </xf>
    <xf numFmtId="0" fontId="139" fillId="0" borderId="54" applyNumberFormat="0" applyFill="0" applyAlignment="0" applyProtection="0"/>
    <xf numFmtId="0" fontId="72" fillId="0" borderId="0" applyFill="0" applyBorder="0">
      <alignment vertical="center"/>
    </xf>
    <xf numFmtId="0" fontId="139" fillId="0" borderId="54" applyNumberFormat="0" applyFill="0" applyAlignment="0" applyProtection="0"/>
    <xf numFmtId="0" fontId="139" fillId="0" borderId="54" applyNumberFormat="0" applyFill="0" applyAlignment="0" applyProtection="0"/>
    <xf numFmtId="0" fontId="140" fillId="0" borderId="0" applyFill="0" applyBorder="0">
      <alignment vertical="center"/>
    </xf>
    <xf numFmtId="0" fontId="141" fillId="0" borderId="55" applyNumberFormat="0" applyFill="0" applyAlignment="0" applyProtection="0"/>
    <xf numFmtId="0" fontId="142" fillId="0" borderId="56" applyNumberFormat="0" applyFill="0" applyAlignment="0" applyProtection="0"/>
    <xf numFmtId="0" fontId="141" fillId="0" borderId="55" applyNumberFormat="0" applyFill="0" applyAlignment="0" applyProtection="0"/>
    <xf numFmtId="0" fontId="141" fillId="0" borderId="55" applyNumberFormat="0" applyFill="0" applyAlignment="0" applyProtection="0"/>
    <xf numFmtId="0" fontId="142" fillId="0" borderId="56" applyNumberFormat="0" applyFill="0" applyAlignment="0" applyProtection="0"/>
    <xf numFmtId="0" fontId="140" fillId="0" borderId="0" applyFill="0" applyBorder="0">
      <alignment vertical="center"/>
    </xf>
    <xf numFmtId="0" fontId="142" fillId="0" borderId="56" applyNumberFormat="0" applyFill="0" applyAlignment="0" applyProtection="0"/>
    <xf numFmtId="0" fontId="142" fillId="0" borderId="56" applyNumberFormat="0" applyFill="0" applyAlignment="0" applyProtection="0"/>
    <xf numFmtId="0" fontId="142" fillId="0" borderId="56" applyNumberFormat="0" applyFill="0" applyAlignment="0" applyProtection="0"/>
    <xf numFmtId="0" fontId="45" fillId="0" borderId="0" applyFill="0" applyBorder="0">
      <alignment vertical="center"/>
    </xf>
    <xf numFmtId="0" fontId="143" fillId="0" borderId="57" applyNumberFormat="0" applyFill="0" applyAlignment="0" applyProtection="0"/>
    <xf numFmtId="0" fontId="144" fillId="0" borderId="58"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0" fontId="144" fillId="0" borderId="58" applyNumberFormat="0" applyFill="0" applyAlignment="0" applyProtection="0"/>
    <xf numFmtId="0" fontId="45" fillId="0" borderId="0" applyFill="0" applyBorder="0">
      <alignment vertical="center"/>
    </xf>
    <xf numFmtId="0" fontId="144" fillId="0" borderId="58" applyNumberFormat="0" applyFill="0" applyAlignment="0" applyProtection="0"/>
    <xf numFmtId="0" fontId="45" fillId="0" borderId="0" applyFill="0" applyBorder="0">
      <alignment vertical="center"/>
    </xf>
    <xf numFmtId="0" fontId="144" fillId="0" borderId="58" applyNumberFormat="0" applyFill="0" applyAlignment="0" applyProtection="0"/>
    <xf numFmtId="0" fontId="144" fillId="0" borderId="58" applyNumberFormat="0" applyFill="0" applyAlignment="0" applyProtection="0"/>
    <xf numFmtId="0" fontId="19" fillId="0" borderId="0" applyFill="0" applyBorder="0">
      <alignment vertical="center"/>
    </xf>
    <xf numFmtId="0" fontId="143"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9" fillId="0" borderId="0" applyFill="0" applyBorder="0">
      <alignment vertical="center"/>
    </xf>
    <xf numFmtId="0" fontId="144" fillId="0" borderId="0" applyNumberFormat="0" applyFill="0" applyBorder="0" applyAlignment="0" applyProtection="0"/>
    <xf numFmtId="0" fontId="19" fillId="0" borderId="0" applyFill="0" applyBorder="0">
      <alignment vertical="center"/>
    </xf>
    <xf numFmtId="0" fontId="144" fillId="0" borderId="0" applyNumberFormat="0" applyFill="0" applyBorder="0" applyAlignment="0" applyProtection="0"/>
    <xf numFmtId="0" fontId="144" fillId="0" borderId="0" applyNumberFormat="0" applyFill="0" applyBorder="0" applyAlignment="0" applyProtection="0"/>
    <xf numFmtId="0" fontId="145" fillId="0" borderId="9"/>
    <xf numFmtId="0" fontId="67" fillId="82" borderId="0" applyNumberFormat="0" applyBorder="0" applyProtection="0">
      <alignment horizontal="center" vertical="center" wrapText="1"/>
    </xf>
    <xf numFmtId="234" fontId="27" fillId="0" borderId="0">
      <alignment horizontal="left"/>
    </xf>
    <xf numFmtId="0" fontId="50" fillId="0" borderId="0"/>
    <xf numFmtId="0" fontId="146" fillId="83" borderId="0" applyFont="0" applyAlignment="0">
      <alignment horizontal="left"/>
    </xf>
    <xf numFmtId="0" fontId="117" fillId="1" borderId="0"/>
    <xf numFmtId="0" fontId="117" fillId="1" borderId="0"/>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50" fillId="0" borderId="0" applyFill="0" applyBorder="0">
      <alignment horizontal="center" vertical="center"/>
      <protection locked="0"/>
    </xf>
    <xf numFmtId="0" fontId="150" fillId="0" borderId="0" applyFill="0" applyBorder="0">
      <alignment horizontal="center"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9" fillId="0" borderId="0">
      <alignment horizontal="left"/>
    </xf>
    <xf numFmtId="0" fontId="19" fillId="0" borderId="0">
      <alignment horizontal="left"/>
    </xf>
    <xf numFmtId="0" fontId="19" fillId="0" borderId="0">
      <alignment horizontal="left"/>
    </xf>
    <xf numFmtId="4" fontId="11" fillId="84" borderId="0"/>
    <xf numFmtId="4" fontId="11" fillId="84" borderId="0"/>
    <xf numFmtId="4" fontId="11" fillId="84" borderId="0"/>
    <xf numFmtId="4" fontId="11" fillId="85" borderId="0"/>
    <xf numFmtId="4" fontId="11" fillId="85" borderId="0"/>
    <xf numFmtId="4" fontId="11" fillId="85" borderId="0"/>
    <xf numFmtId="4" fontId="19" fillId="61" borderId="0"/>
    <xf numFmtId="4" fontId="19" fillId="61" borderId="0"/>
    <xf numFmtId="4" fontId="19" fillId="61" borderId="0"/>
    <xf numFmtId="0" fontId="11" fillId="86" borderId="0">
      <alignment horizontal="left"/>
    </xf>
    <xf numFmtId="0" fontId="11" fillId="86" borderId="0">
      <alignment horizontal="left"/>
    </xf>
    <xf numFmtId="0" fontId="11" fillId="86" borderId="0">
      <alignment horizontal="left"/>
    </xf>
    <xf numFmtId="0" fontId="152" fillId="3" borderId="0"/>
    <xf numFmtId="0" fontId="152" fillId="3" borderId="0"/>
    <xf numFmtId="0" fontId="152" fillId="3" borderId="0"/>
    <xf numFmtId="0" fontId="152" fillId="3" borderId="0"/>
    <xf numFmtId="0" fontId="152" fillId="3" borderId="0"/>
    <xf numFmtId="0" fontId="152" fillId="3" borderId="0"/>
    <xf numFmtId="0" fontId="152" fillId="3" borderId="0"/>
    <xf numFmtId="0" fontId="153" fillId="3" borderId="0"/>
    <xf numFmtId="0" fontId="153" fillId="3" borderId="0"/>
    <xf numFmtId="0" fontId="153" fillId="3" borderId="0"/>
    <xf numFmtId="0" fontId="153" fillId="3" borderId="0"/>
    <xf numFmtId="0" fontId="153" fillId="3" borderId="0"/>
    <xf numFmtId="0" fontId="153" fillId="3" borderId="0"/>
    <xf numFmtId="0" fontId="153" fillId="3" borderId="0"/>
    <xf numFmtId="235" fontId="19" fillId="0" borderId="0">
      <alignment horizontal="right"/>
    </xf>
    <xf numFmtId="235" fontId="19" fillId="0" borderId="0">
      <alignment horizontal="right"/>
    </xf>
    <xf numFmtId="235" fontId="19" fillId="0" borderId="0">
      <alignment horizontal="right"/>
    </xf>
    <xf numFmtId="235" fontId="9" fillId="55" borderId="49">
      <alignment horizontal="right"/>
    </xf>
    <xf numFmtId="0" fontId="16" fillId="87" borderId="0">
      <alignment horizontal="left"/>
    </xf>
    <xf numFmtId="0" fontId="16" fillId="87" borderId="0">
      <alignment horizontal="left"/>
    </xf>
    <xf numFmtId="0" fontId="16" fillId="87" borderId="0">
      <alignment horizontal="left"/>
    </xf>
    <xf numFmtId="0" fontId="16" fillId="86" borderId="0">
      <alignment horizontal="left"/>
    </xf>
    <xf numFmtId="0" fontId="16" fillId="86" borderId="0">
      <alignment horizontal="left"/>
    </xf>
    <xf numFmtId="0" fontId="16" fillId="86" borderId="0">
      <alignment horizontal="left"/>
    </xf>
    <xf numFmtId="0" fontId="154" fillId="0" borderId="0">
      <alignment horizontal="left"/>
    </xf>
    <xf numFmtId="0" fontId="154" fillId="0" borderId="0">
      <alignment horizontal="left"/>
    </xf>
    <xf numFmtId="0" fontId="154" fillId="0" borderId="0">
      <alignment horizontal="left"/>
    </xf>
    <xf numFmtId="0" fontId="19" fillId="0" borderId="0">
      <alignment horizontal="left"/>
    </xf>
    <xf numFmtId="0" fontId="19" fillId="0" borderId="0">
      <alignment horizontal="left"/>
    </xf>
    <xf numFmtId="0" fontId="19" fillId="0" borderId="0">
      <alignment horizontal="left"/>
    </xf>
    <xf numFmtId="0" fontId="135" fillId="0" borderId="0"/>
    <xf numFmtId="0" fontId="135" fillId="0" borderId="0"/>
    <xf numFmtId="0" fontId="135" fillId="0" borderId="0"/>
    <xf numFmtId="0" fontId="135" fillId="0" borderId="0"/>
    <xf numFmtId="0" fontId="155" fillId="0" borderId="0">
      <alignment horizontal="left"/>
    </xf>
    <xf numFmtId="0" fontId="155" fillId="0" borderId="0">
      <alignment horizontal="left"/>
    </xf>
    <xf numFmtId="0" fontId="155" fillId="0" borderId="0">
      <alignment horizontal="left"/>
    </xf>
    <xf numFmtId="0" fontId="154" fillId="0" borderId="0"/>
    <xf numFmtId="0" fontId="154" fillId="0" borderId="0"/>
    <xf numFmtId="0" fontId="154" fillId="0" borderId="0"/>
    <xf numFmtId="0" fontId="154" fillId="0" borderId="0"/>
    <xf numFmtId="0" fontId="154" fillId="0" borderId="0"/>
    <xf numFmtId="0" fontId="154" fillId="0" borderId="0"/>
    <xf numFmtId="0" fontId="156" fillId="0" borderId="0" applyNumberFormat="0" applyFill="0" applyBorder="0" applyAlignment="0" applyProtection="0">
      <alignment horizontal="left"/>
    </xf>
    <xf numFmtId="167" fontId="157" fillId="0" borderId="59" applyFill="0" applyBorder="0" applyAlignment="0">
      <alignment horizontal="center"/>
      <protection locked="0"/>
    </xf>
    <xf numFmtId="210" fontId="157" fillId="0" borderId="0" applyFill="0" applyBorder="0" applyAlignment="0">
      <protection locked="0"/>
    </xf>
    <xf numFmtId="3" fontId="74" fillId="56" borderId="0" applyNumberFormat="0" applyFont="0" applyBorder="0" applyAlignment="0">
      <alignment vertical="top"/>
      <protection locked="0"/>
    </xf>
    <xf numFmtId="0" fontId="158" fillId="53" borderId="47" applyNumberFormat="0" applyAlignment="0" applyProtection="0"/>
    <xf numFmtId="0" fontId="3" fillId="61" borderId="2" applyNumberFormat="0" applyAlignment="0" applyProtection="0"/>
    <xf numFmtId="0" fontId="158" fillId="53" borderId="47" applyNumberFormat="0" applyAlignment="0" applyProtection="0"/>
    <xf numFmtId="0" fontId="158" fillId="53" borderId="47" applyNumberFormat="0" applyAlignment="0" applyProtection="0"/>
    <xf numFmtId="0" fontId="3" fillId="61" borderId="2" applyNumberFormat="0" applyAlignment="0" applyProtection="0"/>
    <xf numFmtId="3" fontId="74" fillId="56" borderId="0" applyNumberFormat="0" applyFont="0" applyBorder="0" applyAlignment="0">
      <alignment vertical="top"/>
      <protection locked="0"/>
    </xf>
    <xf numFmtId="0" fontId="158" fillId="61" borderId="47" applyNumberFormat="0" applyAlignment="0" applyProtection="0"/>
    <xf numFmtId="224" fontId="157" fillId="0" borderId="0" applyFill="0" applyBorder="0" applyAlignment="0" applyProtection="0">
      <protection locked="0"/>
    </xf>
    <xf numFmtId="0" fontId="3" fillId="61" borderId="2" applyNumberFormat="0" applyAlignment="0" applyProtection="0"/>
    <xf numFmtId="0" fontId="158" fillId="61" borderId="47" applyNumberFormat="0" applyAlignment="0" applyProtection="0"/>
    <xf numFmtId="0" fontId="158" fillId="53" borderId="47" applyNumberFormat="0" applyAlignment="0" applyProtection="0"/>
    <xf numFmtId="0" fontId="112" fillId="0" borderId="0" applyFill="0" applyBorder="0">
      <alignment vertical="center"/>
    </xf>
    <xf numFmtId="230" fontId="83" fillId="0" borderId="0" applyFill="0" applyBorder="0">
      <alignment horizontal="center" vertical="center"/>
    </xf>
    <xf numFmtId="229" fontId="83" fillId="0" borderId="0" applyFill="0" applyBorder="0">
      <alignment horizontal="right" vertical="center"/>
    </xf>
    <xf numFmtId="231" fontId="83" fillId="0" borderId="0" applyFill="0" applyBorder="0">
      <alignment horizontal="center" vertical="center"/>
    </xf>
    <xf numFmtId="232" fontId="83" fillId="0" borderId="0" applyFill="0" applyBorder="0">
      <alignment horizontal="center" vertical="center"/>
    </xf>
    <xf numFmtId="233" fontId="83" fillId="0" borderId="0" applyFill="0" applyBorder="0">
      <alignment horizontal="center" vertical="center"/>
    </xf>
    <xf numFmtId="203" fontId="83" fillId="0" borderId="0" applyFill="0" applyBorder="0">
      <alignment horizontal="right" vertical="center"/>
    </xf>
    <xf numFmtId="0" fontId="159" fillId="0" borderId="0" applyFill="0" applyBorder="0">
      <alignment vertical="center"/>
    </xf>
    <xf numFmtId="0" fontId="160" fillId="0" borderId="0" applyFill="0" applyBorder="0">
      <alignment vertical="center"/>
    </xf>
    <xf numFmtId="0" fontId="124" fillId="0" borderId="0" applyFill="0" applyBorder="0">
      <alignment vertical="center"/>
    </xf>
    <xf numFmtId="0" fontId="83" fillId="0" borderId="0" applyFill="0" applyBorder="0">
      <alignment vertical="center"/>
    </xf>
    <xf numFmtId="5" fontId="83" fillId="0" borderId="0" applyFill="0" applyBorder="0">
      <alignment horizontal="center" vertical="center"/>
    </xf>
    <xf numFmtId="185" fontId="83" fillId="0" borderId="0" applyFill="0" applyBorder="0">
      <alignment horizontal="center" vertical="center"/>
    </xf>
    <xf numFmtId="186" fontId="83" fillId="0" borderId="0" applyFill="0" applyBorder="0">
      <alignment horizontal="center" vertical="center"/>
    </xf>
    <xf numFmtId="37" fontId="83" fillId="0" borderId="0" applyFill="0" applyBorder="0">
      <alignment horizontal="center" vertical="center"/>
    </xf>
    <xf numFmtId="187" fontId="83" fillId="0" borderId="0" applyFill="0" applyBorder="0">
      <alignment horizontal="center" vertical="center"/>
    </xf>
    <xf numFmtId="0" fontId="83" fillId="0" borderId="0" applyFill="0" applyBorder="0">
      <alignment horizontal="center" vertical="center"/>
    </xf>
    <xf numFmtId="188" fontId="83" fillId="0" borderId="0" applyFill="0" applyBorder="0">
      <alignment horizontal="center" vertical="center"/>
    </xf>
    <xf numFmtId="0" fontId="161" fillId="0" borderId="0" applyFill="0" applyBorder="0">
      <alignment vertical="center"/>
    </xf>
    <xf numFmtId="236" fontId="76" fillId="0" borderId="60" applyBorder="0" applyAlignment="0"/>
    <xf numFmtId="237" fontId="162" fillId="88" borderId="0" applyNumberFormat="0" applyBorder="0" applyAlignment="0"/>
    <xf numFmtId="0" fontId="163" fillId="0" borderId="0"/>
    <xf numFmtId="0" fontId="163" fillId="0" borderId="38"/>
    <xf numFmtId="0" fontId="164" fillId="0" borderId="38">
      <alignment horizontal="centerContinuous"/>
    </xf>
    <xf numFmtId="0" fontId="164" fillId="0" borderId="38">
      <alignment horizontal="right"/>
    </xf>
    <xf numFmtId="217" fontId="165" fillId="5" borderId="0"/>
    <xf numFmtId="217" fontId="165" fillId="5" borderId="38"/>
    <xf numFmtId="217" fontId="163" fillId="0" borderId="38"/>
    <xf numFmtId="217" fontId="163" fillId="0" borderId="0"/>
    <xf numFmtId="0" fontId="164" fillId="0" borderId="38"/>
    <xf numFmtId="0" fontId="166" fillId="0" borderId="0"/>
    <xf numFmtId="44" fontId="100" fillId="0" borderId="0" applyFill="0" applyBorder="0" applyAlignment="0"/>
    <xf numFmtId="210" fontId="100" fillId="0" borderId="0" applyFill="0" applyBorder="0" applyAlignment="0"/>
    <xf numFmtId="44" fontId="100" fillId="0" borderId="0" applyFill="0" applyBorder="0" applyAlignment="0"/>
    <xf numFmtId="217" fontId="100" fillId="0" borderId="0" applyFill="0" applyBorder="0" applyAlignment="0"/>
    <xf numFmtId="210" fontId="100" fillId="0" borderId="0" applyFill="0" applyBorder="0" applyAlignment="0"/>
    <xf numFmtId="0" fontId="167" fillId="0" borderId="61" applyNumberFormat="0" applyFill="0" applyAlignment="0" applyProtection="0"/>
    <xf numFmtId="0" fontId="168" fillId="0" borderId="62" applyNumberFormat="0" applyFill="0" applyAlignment="0" applyProtection="0"/>
    <xf numFmtId="0" fontId="167" fillId="0" borderId="61" applyNumberFormat="0" applyFill="0" applyAlignment="0" applyProtection="0"/>
    <xf numFmtId="0" fontId="168" fillId="0" borderId="62" applyNumberFormat="0" applyFill="0" applyAlignment="0" applyProtection="0"/>
    <xf numFmtId="0" fontId="168" fillId="0" borderId="62" applyNumberFormat="0" applyFill="0" applyAlignment="0" applyProtection="0"/>
    <xf numFmtId="0" fontId="167" fillId="0" borderId="61" applyNumberFormat="0" applyFill="0" applyAlignment="0" applyProtection="0"/>
    <xf numFmtId="0" fontId="167" fillId="0" borderId="61" applyNumberFormat="0" applyFill="0" applyAlignment="0" applyProtection="0"/>
    <xf numFmtId="0" fontId="167" fillId="0" borderId="61" applyNumberFormat="0" applyFill="0" applyAlignment="0" applyProtection="0"/>
    <xf numFmtId="0" fontId="45" fillId="0" borderId="1" applyFill="0">
      <alignment horizontal="center" vertical="center"/>
    </xf>
    <xf numFmtId="0" fontId="45" fillId="0" borderId="1" applyFill="0">
      <alignment horizontal="center" vertical="center"/>
    </xf>
    <xf numFmtId="0" fontId="45" fillId="0" borderId="1" applyFill="0">
      <alignment horizontal="center" vertical="center"/>
    </xf>
    <xf numFmtId="0" fontId="19" fillId="0" borderId="1" applyFill="0">
      <alignment horizontal="center" vertical="center"/>
    </xf>
    <xf numFmtId="0" fontId="19" fillId="0" borderId="1" applyFill="0">
      <alignment horizontal="center" vertical="center"/>
    </xf>
    <xf numFmtId="0" fontId="19" fillId="0" borderId="1" applyFill="0">
      <alignment horizontal="center" vertical="center"/>
    </xf>
    <xf numFmtId="0" fontId="19" fillId="0" borderId="49" applyFill="0">
      <alignment horizontal="center" vertical="center"/>
    </xf>
    <xf numFmtId="0" fontId="19" fillId="0" borderId="1" applyFill="0">
      <alignment horizontal="center" vertical="center"/>
    </xf>
    <xf numFmtId="194" fontId="19" fillId="0" borderId="1" applyFill="0">
      <alignment horizontal="center" vertical="center"/>
    </xf>
    <xf numFmtId="194" fontId="19" fillId="0" borderId="1" applyFill="0">
      <alignment horizontal="center" vertical="center"/>
    </xf>
    <xf numFmtId="194" fontId="19" fillId="0" borderId="1" applyFill="0">
      <alignment horizontal="center" vertical="center"/>
    </xf>
    <xf numFmtId="238" fontId="19" fillId="0" borderId="49" applyFill="0">
      <alignment horizontal="center" vertical="center"/>
    </xf>
    <xf numFmtId="194" fontId="19" fillId="0" borderId="1" applyFill="0">
      <alignment horizontal="center" vertical="center"/>
    </xf>
    <xf numFmtId="0" fontId="83" fillId="0" borderId="49" applyFill="0">
      <alignment horizontal="center" vertical="center"/>
    </xf>
    <xf numFmtId="0" fontId="124" fillId="0" borderId="49" applyFill="0">
      <alignment horizontal="center" vertical="center"/>
    </xf>
    <xf numFmtId="239" fontId="83" fillId="0" borderId="49" applyFill="0">
      <alignment horizontal="center" vertical="center"/>
    </xf>
    <xf numFmtId="37" fontId="9" fillId="0" borderId="49" applyFill="0">
      <alignment horizontal="center" vertical="center"/>
    </xf>
    <xf numFmtId="0" fontId="84" fillId="0" borderId="49">
      <alignment horizontal="center" vertical="center"/>
      <protection locked="0"/>
    </xf>
    <xf numFmtId="0" fontId="88" fillId="0" borderId="0">
      <alignment vertical="center"/>
      <protection locked="0"/>
    </xf>
    <xf numFmtId="0" fontId="87" fillId="0" borderId="49">
      <alignment horizontal="center" vertical="center"/>
      <protection locked="0"/>
    </xf>
    <xf numFmtId="239" fontId="84" fillId="0" borderId="49">
      <alignment horizontal="center" vertical="center"/>
      <protection locked="0"/>
    </xf>
    <xf numFmtId="37" fontId="9" fillId="0" borderId="49">
      <alignment horizontal="center" vertical="center"/>
      <protection locked="0"/>
    </xf>
    <xf numFmtId="0" fontId="87" fillId="0" borderId="0">
      <alignment vertical="center"/>
      <protection locked="0"/>
    </xf>
    <xf numFmtId="0" fontId="89" fillId="0" borderId="0">
      <alignment vertical="center"/>
      <protection locked="0"/>
    </xf>
    <xf numFmtId="0" fontId="169" fillId="0" borderId="0" applyFont="0"/>
    <xf numFmtId="37" fontId="45" fillId="60" borderId="0"/>
    <xf numFmtId="0" fontId="170" fillId="0" borderId="0"/>
    <xf numFmtId="49" fontId="171" fillId="82" borderId="0">
      <alignment horizontal="left"/>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204" fontId="83" fillId="0" borderId="0" applyFill="0" applyBorder="0">
      <alignment horizontal="center" vertical="center"/>
    </xf>
    <xf numFmtId="14" fontId="83" fillId="0" borderId="0" applyFill="0" applyBorder="0">
      <alignment horizontal="center" vertical="center"/>
    </xf>
    <xf numFmtId="205" fontId="83" fillId="0" borderId="0" applyFill="0" applyBorder="0">
      <alignment horizontal="center" vertical="center"/>
    </xf>
    <xf numFmtId="206" fontId="83" fillId="0" borderId="0" applyFill="0" applyBorder="0">
      <alignment horizontal="center" vertical="center"/>
    </xf>
    <xf numFmtId="187" fontId="83" fillId="0" borderId="0" applyFill="0" applyBorder="0">
      <alignment horizontal="center" vertical="center"/>
    </xf>
    <xf numFmtId="0" fontId="83" fillId="0" borderId="0" applyFill="0" applyBorder="0">
      <alignment horizontal="center" vertical="center"/>
    </xf>
    <xf numFmtId="208" fontId="83" fillId="0" borderId="0" applyFill="0" applyBorder="0">
      <alignment horizontal="center" vertical="center"/>
    </xf>
    <xf numFmtId="229" fontId="125" fillId="0" borderId="0" applyFill="0" applyBorder="0">
      <alignment horizontal="right" vertical="center"/>
    </xf>
    <xf numFmtId="0" fontId="135" fillId="0" borderId="0" applyFill="0" applyBorder="0">
      <alignment horizontal="left" vertical="center"/>
    </xf>
    <xf numFmtId="0" fontId="135" fillId="0" borderId="0" applyFill="0" applyBorder="0" applyAlignment="0"/>
    <xf numFmtId="0" fontId="135" fillId="0" borderId="0" applyFill="0" applyBorder="0">
      <alignment horizontal="left" vertical="center"/>
    </xf>
    <xf numFmtId="0" fontId="135" fillId="0" borderId="0" applyFill="0" applyBorder="0">
      <alignment horizontal="left" vertical="center"/>
    </xf>
    <xf numFmtId="240" fontId="116" fillId="0" borderId="0" applyFont="0" applyFill="0" applyBorder="0" applyAlignment="0" applyProtection="0"/>
    <xf numFmtId="241" fontId="172" fillId="0" borderId="0" applyFill="0" applyBorder="0" applyProtection="0"/>
    <xf numFmtId="0" fontId="108" fillId="0" borderId="0" applyFont="0" applyFill="0" applyBorder="0" applyAlignment="0" applyProtection="0">
      <alignment horizontal="right"/>
    </xf>
    <xf numFmtId="210" fontId="172" fillId="0" borderId="0" applyFill="0" applyBorder="0" applyProtection="0"/>
    <xf numFmtId="0" fontId="173" fillId="0" borderId="0"/>
    <xf numFmtId="0" fontId="173" fillId="0" borderId="0"/>
    <xf numFmtId="0" fontId="173" fillId="90" borderId="0"/>
    <xf numFmtId="0" fontId="173" fillId="90" borderId="0"/>
    <xf numFmtId="0" fontId="174" fillId="90" borderId="0"/>
    <xf numFmtId="0" fontId="174" fillId="90" borderId="0"/>
    <xf numFmtId="0" fontId="175" fillId="0" borderId="0"/>
    <xf numFmtId="0" fontId="64" fillId="3" borderId="0" applyNumberFormat="0"/>
    <xf numFmtId="0" fontId="175" fillId="3" borderId="0"/>
    <xf numFmtId="0" fontId="64" fillId="3" borderId="0" applyNumberFormat="0"/>
    <xf numFmtId="0" fontId="175" fillId="0" borderId="0"/>
    <xf numFmtId="0" fontId="175" fillId="3" borderId="0"/>
    <xf numFmtId="0" fontId="176" fillId="0" borderId="0"/>
    <xf numFmtId="0" fontId="70" fillId="0" borderId="0">
      <protection locked="0"/>
    </xf>
    <xf numFmtId="0" fontId="70" fillId="0" borderId="0">
      <protection locked="0"/>
    </xf>
    <xf numFmtId="0" fontId="70" fillId="0" borderId="0">
      <alignment vertical="top" wrapText="1"/>
      <protection locked="0"/>
    </xf>
    <xf numFmtId="0" fontId="70" fillId="0" borderId="0">
      <alignment horizontal="left" vertical="top" wrapText="1"/>
      <protection locked="0"/>
    </xf>
    <xf numFmtId="0" fontId="70" fillId="0" borderId="0">
      <alignment vertical="top" wrapText="1"/>
      <protection locked="0"/>
    </xf>
    <xf numFmtId="0" fontId="68" fillId="0" borderId="38"/>
    <xf numFmtId="0" fontId="66" fillId="5" borderId="41"/>
    <xf numFmtId="0" fontId="68" fillId="0" borderId="41"/>
    <xf numFmtId="0" fontId="68" fillId="19" borderId="41"/>
    <xf numFmtId="0" fontId="68" fillId="5" borderId="41"/>
    <xf numFmtId="0" fontId="66" fillId="0" borderId="41"/>
    <xf numFmtId="0" fontId="68" fillId="0" borderId="9"/>
    <xf numFmtId="0" fontId="71" fillId="0" borderId="0"/>
    <xf numFmtId="0" fontId="68" fillId="0" borderId="9"/>
    <xf numFmtId="0" fontId="68" fillId="0" borderId="0">
      <alignment horizontal="right"/>
    </xf>
    <xf numFmtId="0" fontId="66" fillId="0" borderId="0"/>
    <xf numFmtId="0" fontId="68" fillId="0" borderId="38">
      <alignment horizontal="right"/>
    </xf>
    <xf numFmtId="0" fontId="177" fillId="0" borderId="0"/>
    <xf numFmtId="0" fontId="66" fillId="0" borderId="0"/>
    <xf numFmtId="0" fontId="178" fillId="0" borderId="59"/>
    <xf numFmtId="0" fontId="66" fillId="0" borderId="41"/>
    <xf numFmtId="0" fontId="66" fillId="0" borderId="12"/>
    <xf numFmtId="0" fontId="66" fillId="0" borderId="12"/>
    <xf numFmtId="0" fontId="66" fillId="0" borderId="12"/>
    <xf numFmtId="0" fontId="66" fillId="0" borderId="12"/>
    <xf numFmtId="0" fontId="66" fillId="0" borderId="9"/>
    <xf numFmtId="0" fontId="68" fillId="0" borderId="27">
      <alignment horizontal="center"/>
    </xf>
    <xf numFmtId="0" fontId="68" fillId="0" borderId="27">
      <alignment horizontal="center"/>
    </xf>
    <xf numFmtId="0" fontId="68" fillId="0" borderId="59">
      <alignment horizontal="left" indent="1"/>
    </xf>
    <xf numFmtId="0" fontId="66" fillId="5" borderId="41"/>
    <xf numFmtId="0" fontId="66" fillId="0" borderId="9"/>
    <xf numFmtId="0" fontId="178" fillId="0" borderId="0"/>
    <xf numFmtId="0" fontId="66" fillId="0" borderId="0">
      <alignment horizontal="right"/>
    </xf>
    <xf numFmtId="0" fontId="66" fillId="0" borderId="38">
      <alignment horizontal="right"/>
    </xf>
    <xf numFmtId="0" fontId="66" fillId="0" borderId="38">
      <alignment horizontal="centerContinuous"/>
    </xf>
    <xf numFmtId="0" fontId="66" fillId="0" borderId="38">
      <alignment horizontal="centerContinuous"/>
    </xf>
    <xf numFmtId="0" fontId="66" fillId="0" borderId="38">
      <alignment horizontal="center"/>
    </xf>
    <xf numFmtId="0" fontId="66" fillId="0" borderId="0">
      <alignment horizontal="right"/>
    </xf>
    <xf numFmtId="0" fontId="66" fillId="0" borderId="0">
      <alignment horizontal="right"/>
    </xf>
    <xf numFmtId="15" fontId="66" fillId="0" borderId="0">
      <alignment horizontal="right"/>
    </xf>
    <xf numFmtId="15" fontId="66" fillId="0" borderId="0">
      <alignment horizontal="right"/>
    </xf>
    <xf numFmtId="0" fontId="66" fillId="3" borderId="0">
      <alignment horizontal="right"/>
    </xf>
    <xf numFmtId="0" fontId="66" fillId="0" borderId="38">
      <alignment horizontal="right"/>
    </xf>
    <xf numFmtId="0" fontId="66" fillId="0" borderId="0">
      <alignment horizontal="left"/>
    </xf>
    <xf numFmtId="0" fontId="66" fillId="0" borderId="38">
      <alignment horizontal="left"/>
    </xf>
    <xf numFmtId="0" fontId="66" fillId="5" borderId="0">
      <alignment horizontal="right"/>
    </xf>
    <xf numFmtId="0" fontId="66" fillId="5" borderId="38">
      <alignment horizontal="right"/>
    </xf>
    <xf numFmtId="0" fontId="66" fillId="5" borderId="0">
      <alignment horizontal="right"/>
    </xf>
    <xf numFmtId="0" fontId="66" fillId="5" borderId="38">
      <alignment horizontal="right"/>
    </xf>
    <xf numFmtId="0" fontId="66" fillId="5" borderId="0">
      <alignment horizontal="right"/>
    </xf>
    <xf numFmtId="0" fontId="66" fillId="91" borderId="0">
      <alignment horizontal="centerContinuous"/>
    </xf>
    <xf numFmtId="0" fontId="66" fillId="92" borderId="39">
      <alignment horizontal="center"/>
    </xf>
    <xf numFmtId="0" fontId="66" fillId="92" borderId="39">
      <alignment horizontal="center"/>
    </xf>
    <xf numFmtId="0" fontId="66" fillId="92" borderId="39">
      <alignment horizontal="center"/>
    </xf>
    <xf numFmtId="0" fontId="66" fillId="92" borderId="39">
      <alignment horizontal="center"/>
    </xf>
    <xf numFmtId="0" fontId="66" fillId="92" borderId="38">
      <alignment horizontal="center"/>
    </xf>
    <xf numFmtId="0" fontId="66" fillId="0" borderId="38"/>
    <xf numFmtId="0" fontId="66" fillId="0" borderId="0"/>
    <xf numFmtId="0" fontId="66" fillId="0" borderId="0">
      <alignment horizontal="right"/>
    </xf>
    <xf numFmtId="177" fontId="68" fillId="93" borderId="38">
      <alignment horizontal="right"/>
    </xf>
    <xf numFmtId="242" fontId="67" fillId="5" borderId="0"/>
    <xf numFmtId="41" fontId="67" fillId="5" borderId="0"/>
    <xf numFmtId="41" fontId="67" fillId="5" borderId="38"/>
    <xf numFmtId="181" fontId="67" fillId="5" borderId="38">
      <alignment horizontal="right"/>
    </xf>
    <xf numFmtId="41" fontId="67" fillId="5" borderId="41">
      <alignment horizontal="right"/>
    </xf>
    <xf numFmtId="41" fontId="67" fillId="5" borderId="41"/>
    <xf numFmtId="181" fontId="67" fillId="5" borderId="41">
      <alignment horizontal="right"/>
    </xf>
    <xf numFmtId="181" fontId="67" fillId="5" borderId="0">
      <alignment horizontal="right"/>
    </xf>
    <xf numFmtId="41" fontId="67" fillId="5" borderId="9">
      <alignment horizontal="right"/>
    </xf>
    <xf numFmtId="41" fontId="67" fillId="5" borderId="9">
      <alignment horizontal="right"/>
    </xf>
    <xf numFmtId="41" fontId="67" fillId="5" borderId="9">
      <alignment horizontal="right"/>
    </xf>
    <xf numFmtId="41" fontId="67" fillId="5" borderId="0"/>
    <xf numFmtId="41" fontId="67" fillId="5" borderId="38">
      <alignment vertical="center"/>
    </xf>
    <xf numFmtId="41" fontId="67" fillId="5" borderId="9"/>
    <xf numFmtId="41" fontId="68" fillId="5" borderId="40">
      <alignment horizontal="right"/>
    </xf>
    <xf numFmtId="41" fontId="68" fillId="5" borderId="41">
      <alignment vertical="center"/>
    </xf>
    <xf numFmtId="41" fontId="68" fillId="5" borderId="41"/>
    <xf numFmtId="41" fontId="68" fillId="5" borderId="41">
      <alignment vertical="center"/>
    </xf>
    <xf numFmtId="41" fontId="68" fillId="5" borderId="41"/>
    <xf numFmtId="41" fontId="68" fillId="5" borderId="0"/>
    <xf numFmtId="41" fontId="67" fillId="5" borderId="41">
      <alignment vertical="center"/>
    </xf>
    <xf numFmtId="41" fontId="67" fillId="5" borderId="39" applyBorder="0">
      <alignment vertical="center"/>
    </xf>
    <xf numFmtId="41" fontId="67" fillId="5" borderId="39" applyBorder="0">
      <alignment vertical="center"/>
    </xf>
    <xf numFmtId="41" fontId="67" fillId="5" borderId="39" applyBorder="0">
      <alignment vertical="center"/>
    </xf>
    <xf numFmtId="41" fontId="67" fillId="5" borderId="39" applyBorder="0">
      <alignment vertical="center"/>
    </xf>
    <xf numFmtId="177" fontId="67" fillId="5" borderId="38">
      <alignment horizontal="right"/>
    </xf>
    <xf numFmtId="41" fontId="68" fillId="0" borderId="41">
      <alignment vertical="center"/>
    </xf>
    <xf numFmtId="177" fontId="67" fillId="5" borderId="41">
      <alignment horizontal="right"/>
    </xf>
    <xf numFmtId="177" fontId="67" fillId="19" borderId="41">
      <alignment horizontal="right"/>
    </xf>
    <xf numFmtId="242" fontId="67" fillId="0" borderId="0"/>
    <xf numFmtId="41" fontId="67" fillId="0" borderId="0"/>
    <xf numFmtId="177" fontId="67" fillId="5" borderId="9">
      <alignment horizontal="right"/>
    </xf>
    <xf numFmtId="41" fontId="67" fillId="0" borderId="38"/>
    <xf numFmtId="180" fontId="67" fillId="5" borderId="38">
      <alignment horizontal="right"/>
    </xf>
    <xf numFmtId="243" fontId="67" fillId="5" borderId="0"/>
    <xf numFmtId="180" fontId="67" fillId="5" borderId="41">
      <alignment horizontal="right"/>
    </xf>
    <xf numFmtId="243" fontId="67" fillId="0" borderId="0"/>
    <xf numFmtId="180" fontId="67" fillId="19" borderId="41">
      <alignment horizontal="right"/>
    </xf>
    <xf numFmtId="180" fontId="67" fillId="5" borderId="9">
      <alignment horizontal="right"/>
    </xf>
    <xf numFmtId="243" fontId="67" fillId="5" borderId="0"/>
    <xf numFmtId="242" fontId="67" fillId="0" borderId="0"/>
    <xf numFmtId="242" fontId="67" fillId="0" borderId="0"/>
    <xf numFmtId="171" fontId="67" fillId="5" borderId="0"/>
    <xf numFmtId="180" fontId="68" fillId="5" borderId="0">
      <alignment horizontal="right"/>
    </xf>
    <xf numFmtId="43" fontId="67" fillId="0" borderId="0"/>
    <xf numFmtId="244" fontId="67" fillId="5" borderId="0">
      <alignment horizontal="right"/>
    </xf>
    <xf numFmtId="245" fontId="67" fillId="5" borderId="0">
      <alignment horizontal="right"/>
    </xf>
    <xf numFmtId="245" fontId="67" fillId="5" borderId="38">
      <alignment horizontal="right"/>
    </xf>
    <xf numFmtId="41" fontId="68" fillId="0" borderId="0"/>
    <xf numFmtId="41" fontId="68" fillId="0" borderId="38"/>
    <xf numFmtId="181" fontId="68" fillId="0" borderId="38">
      <alignment horizontal="right"/>
    </xf>
    <xf numFmtId="41" fontId="68" fillId="0" borderId="41">
      <alignment horizontal="right"/>
    </xf>
    <xf numFmtId="41" fontId="68" fillId="5" borderId="41"/>
    <xf numFmtId="181" fontId="68" fillId="0" borderId="41">
      <alignment horizontal="right"/>
    </xf>
    <xf numFmtId="41" fontId="68" fillId="5" borderId="41">
      <alignment horizontal="right"/>
    </xf>
    <xf numFmtId="41" fontId="68" fillId="0" borderId="9">
      <alignment horizontal="right"/>
    </xf>
    <xf numFmtId="41" fontId="68" fillId="0" borderId="9">
      <alignment horizontal="right"/>
    </xf>
    <xf numFmtId="41" fontId="68" fillId="0" borderId="9">
      <alignment horizontal="right"/>
    </xf>
    <xf numFmtId="242" fontId="68" fillId="0" borderId="41"/>
    <xf numFmtId="41" fontId="68" fillId="5" borderId="40"/>
    <xf numFmtId="41" fontId="68" fillId="0" borderId="0"/>
    <xf numFmtId="41" fontId="67" fillId="0" borderId="0">
      <alignment horizontal="right"/>
    </xf>
    <xf numFmtId="41" fontId="68" fillId="5" borderId="0"/>
    <xf numFmtId="41" fontId="68" fillId="5" borderId="0"/>
    <xf numFmtId="41" fontId="68" fillId="0" borderId="0"/>
    <xf numFmtId="41" fontId="67" fillId="0" borderId="38">
      <alignment horizontal="right"/>
    </xf>
    <xf numFmtId="41" fontId="68" fillId="0" borderId="9"/>
    <xf numFmtId="41" fontId="68" fillId="5" borderId="38"/>
    <xf numFmtId="41" fontId="67" fillId="0" borderId="40">
      <alignment horizontal="right"/>
    </xf>
    <xf numFmtId="41" fontId="68" fillId="0" borderId="41"/>
    <xf numFmtId="41" fontId="68" fillId="0" borderId="0"/>
    <xf numFmtId="41" fontId="67" fillId="0" borderId="41"/>
    <xf numFmtId="177" fontId="68" fillId="0" borderId="41">
      <alignment horizontal="right"/>
    </xf>
    <xf numFmtId="41" fontId="68" fillId="5" borderId="0"/>
    <xf numFmtId="177" fontId="68" fillId="0" borderId="9">
      <alignment horizontal="right"/>
    </xf>
    <xf numFmtId="41" fontId="68" fillId="5" borderId="38"/>
    <xf numFmtId="180" fontId="68" fillId="0" borderId="0">
      <alignment horizontal="right"/>
    </xf>
    <xf numFmtId="173" fontId="68" fillId="0" borderId="0"/>
    <xf numFmtId="180" fontId="68" fillId="0" borderId="38">
      <alignment horizontal="right"/>
    </xf>
    <xf numFmtId="180" fontId="68" fillId="0" borderId="41">
      <alignment horizontal="right"/>
    </xf>
    <xf numFmtId="180" fontId="68" fillId="19" borderId="41">
      <alignment horizontal="right"/>
    </xf>
    <xf numFmtId="180" fontId="68" fillId="0" borderId="9">
      <alignment horizontal="right"/>
    </xf>
    <xf numFmtId="244" fontId="68" fillId="0" borderId="0">
      <alignment horizontal="right"/>
    </xf>
    <xf numFmtId="41" fontId="67" fillId="0" borderId="41">
      <alignment horizontal="right"/>
    </xf>
    <xf numFmtId="245" fontId="68" fillId="0" borderId="0">
      <alignment horizontal="right"/>
    </xf>
    <xf numFmtId="245" fontId="68" fillId="0" borderId="38">
      <alignment horizontal="right"/>
    </xf>
    <xf numFmtId="246" fontId="68" fillId="0" borderId="0">
      <alignment horizontal="right"/>
    </xf>
    <xf numFmtId="178" fontId="67" fillId="5" borderId="38">
      <alignment horizontal="right"/>
    </xf>
    <xf numFmtId="246" fontId="68" fillId="0" borderId="38">
      <alignment horizontal="right"/>
    </xf>
    <xf numFmtId="178" fontId="179" fillId="5" borderId="41">
      <alignment horizontal="right"/>
    </xf>
    <xf numFmtId="246" fontId="68" fillId="5" borderId="41">
      <alignment horizontal="right"/>
    </xf>
    <xf numFmtId="178" fontId="67" fillId="19" borderId="41">
      <alignment horizontal="right"/>
    </xf>
    <xf numFmtId="178" fontId="67" fillId="5" borderId="9">
      <alignment horizontal="right"/>
    </xf>
    <xf numFmtId="246" fontId="68" fillId="0" borderId="41">
      <alignment horizontal="right"/>
    </xf>
    <xf numFmtId="242" fontId="68" fillId="0" borderId="0">
      <alignment horizontal="right"/>
    </xf>
    <xf numFmtId="179" fontId="67" fillId="5" borderId="38">
      <alignment horizontal="right"/>
    </xf>
    <xf numFmtId="179" fontId="67" fillId="5" borderId="41">
      <alignment horizontal="right"/>
    </xf>
    <xf numFmtId="179" fontId="67" fillId="19" borderId="41">
      <alignment horizontal="right"/>
    </xf>
    <xf numFmtId="179" fontId="67" fillId="5" borderId="9">
      <alignment horizontal="right"/>
    </xf>
    <xf numFmtId="178" fontId="68" fillId="5" borderId="0">
      <alignment horizontal="right"/>
    </xf>
    <xf numFmtId="179" fontId="68" fillId="5" borderId="0">
      <alignment horizontal="right"/>
    </xf>
    <xf numFmtId="247" fontId="67" fillId="5" borderId="0">
      <alignment horizontal="right"/>
    </xf>
    <xf numFmtId="247" fontId="67" fillId="5" borderId="38">
      <alignment horizontal="right"/>
    </xf>
    <xf numFmtId="10" fontId="67" fillId="5" borderId="0"/>
    <xf numFmtId="167" fontId="67" fillId="5" borderId="0"/>
    <xf numFmtId="178" fontId="68" fillId="0" borderId="38">
      <alignment horizontal="right"/>
    </xf>
    <xf numFmtId="10" fontId="68" fillId="0" borderId="0"/>
    <xf numFmtId="178" fontId="68" fillId="0" borderId="41">
      <alignment horizontal="right"/>
    </xf>
    <xf numFmtId="178" fontId="68" fillId="19" borderId="41">
      <alignment horizontal="right"/>
    </xf>
    <xf numFmtId="178" fontId="68" fillId="5" borderId="41">
      <alignment horizontal="right"/>
    </xf>
    <xf numFmtId="178" fontId="68" fillId="0" borderId="9">
      <alignment horizontal="right"/>
    </xf>
    <xf numFmtId="167" fontId="68" fillId="0" borderId="0"/>
    <xf numFmtId="10" fontId="67" fillId="5" borderId="0" applyFont="0" applyFill="0" applyBorder="0">
      <alignment vertical="center"/>
    </xf>
    <xf numFmtId="179" fontId="68" fillId="0" borderId="38">
      <alignment horizontal="right"/>
    </xf>
    <xf numFmtId="248" fontId="68" fillId="0" borderId="0" applyNumberFormat="0" applyFont="0" applyBorder="0">
      <alignment vertical="center"/>
    </xf>
    <xf numFmtId="179" fontId="68" fillId="0" borderId="41">
      <alignment horizontal="right"/>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79" fontId="68" fillId="19" borderId="41">
      <alignment horizontal="right"/>
    </xf>
    <xf numFmtId="179" fontId="68" fillId="0" borderId="9">
      <alignment horizontal="right"/>
    </xf>
    <xf numFmtId="10" fontId="68" fillId="0" borderId="12" applyBorder="0">
      <alignment vertical="center"/>
    </xf>
    <xf numFmtId="10" fontId="68" fillId="0" borderId="12" applyBorder="0">
      <alignment vertical="center"/>
    </xf>
    <xf numFmtId="10" fontId="68" fillId="0" borderId="12" applyBorder="0">
      <alignment vertical="center"/>
    </xf>
    <xf numFmtId="10" fontId="68" fillId="0" borderId="12" applyBorder="0">
      <alignment vertical="center"/>
    </xf>
    <xf numFmtId="10" fontId="68" fillId="5" borderId="41">
      <alignment horizontal="right"/>
    </xf>
    <xf numFmtId="10" fontId="68" fillId="5" borderId="41">
      <alignment horizontal="right"/>
    </xf>
    <xf numFmtId="10" fontId="67" fillId="5" borderId="41">
      <alignment horizontal="right"/>
    </xf>
    <xf numFmtId="167" fontId="67" fillId="0" borderId="0"/>
    <xf numFmtId="247" fontId="68" fillId="0" borderId="0">
      <alignment horizontal="right"/>
    </xf>
    <xf numFmtId="10" fontId="67" fillId="0" borderId="0"/>
    <xf numFmtId="247" fontId="68" fillId="0" borderId="38">
      <alignment horizontal="right"/>
    </xf>
    <xf numFmtId="177" fontId="68" fillId="93" borderId="0">
      <alignment horizontal="right"/>
    </xf>
    <xf numFmtId="177" fontId="68" fillId="0" borderId="0">
      <alignment horizontal="right"/>
    </xf>
    <xf numFmtId="0" fontId="179" fillId="0" borderId="38">
      <alignment horizontal="center"/>
    </xf>
    <xf numFmtId="0" fontId="66" fillId="0" borderId="41">
      <alignment horizontal="center"/>
    </xf>
    <xf numFmtId="0" fontId="179" fillId="0" borderId="0">
      <alignment horizontal="center"/>
    </xf>
    <xf numFmtId="0" fontId="66" fillId="0" borderId="9">
      <alignment horizontal="center"/>
    </xf>
    <xf numFmtId="0" fontId="68" fillId="0" borderId="9">
      <alignment horizontal="center"/>
    </xf>
    <xf numFmtId="0" fontId="67" fillId="0" borderId="0">
      <alignment horizontal="center"/>
    </xf>
    <xf numFmtId="0" fontId="67" fillId="0" borderId="38">
      <alignment horizontal="center"/>
    </xf>
    <xf numFmtId="0" fontId="67" fillId="0" borderId="41">
      <alignment horizontal="center"/>
    </xf>
    <xf numFmtId="0" fontId="67" fillId="0" borderId="9">
      <alignment horizontal="center"/>
    </xf>
    <xf numFmtId="0" fontId="66" fillId="0" borderId="38"/>
    <xf numFmtId="0" fontId="66" fillId="0" borderId="0"/>
    <xf numFmtId="0" fontId="66" fillId="3" borderId="38"/>
    <xf numFmtId="0" fontId="66" fillId="3" borderId="40"/>
    <xf numFmtId="0" fontId="66" fillId="3" borderId="41">
      <alignment vertical="center"/>
    </xf>
    <xf numFmtId="0" fontId="66" fillId="3" borderId="41">
      <alignment vertical="center"/>
    </xf>
    <xf numFmtId="0" fontId="63" fillId="0" borderId="0"/>
    <xf numFmtId="0" fontId="180" fillId="0" borderId="0"/>
    <xf numFmtId="0" fontId="180" fillId="0" borderId="0"/>
    <xf numFmtId="0" fontId="65" fillId="0" borderId="0"/>
    <xf numFmtId="0" fontId="181" fillId="0" borderId="0"/>
    <xf numFmtId="0" fontId="182" fillId="0" borderId="0"/>
    <xf numFmtId="0" fontId="181" fillId="0" borderId="38"/>
    <xf numFmtId="0" fontId="181" fillId="0" borderId="0"/>
    <xf numFmtId="0" fontId="183" fillId="0" borderId="0"/>
    <xf numFmtId="0" fontId="183" fillId="0" borderId="0"/>
    <xf numFmtId="177" fontId="68" fillId="93" borderId="0">
      <alignment horizontal="right"/>
    </xf>
    <xf numFmtId="177" fontId="68" fillId="0" borderId="41">
      <alignment horizontal="right"/>
    </xf>
    <xf numFmtId="177" fontId="68" fillId="0" borderId="38">
      <alignment horizontal="right"/>
    </xf>
    <xf numFmtId="177" fontId="68" fillId="93" borderId="0">
      <alignment horizontal="right"/>
    </xf>
    <xf numFmtId="0" fontId="184" fillId="61" borderId="0" applyNumberFormat="0" applyBorder="0" applyAlignment="0" applyProtection="0"/>
    <xf numFmtId="0" fontId="185" fillId="61" borderId="0" applyNumberFormat="0" applyBorder="0" applyAlignment="0" applyProtection="0"/>
    <xf numFmtId="0" fontId="186" fillId="11" borderId="0" applyNumberFormat="0" applyBorder="0" applyAlignment="0" applyProtection="0"/>
    <xf numFmtId="0" fontId="185" fillId="61" borderId="0" applyNumberFormat="0" applyBorder="0" applyAlignment="0" applyProtection="0"/>
    <xf numFmtId="0" fontId="185" fillId="61" borderId="0" applyNumberFormat="0" applyBorder="0" applyAlignment="0" applyProtection="0"/>
    <xf numFmtId="0" fontId="186" fillId="11" borderId="0" applyNumberFormat="0" applyBorder="0" applyAlignment="0" applyProtection="0"/>
    <xf numFmtId="0" fontId="185" fillId="55" borderId="0" applyNumberFormat="0" applyBorder="0" applyAlignment="0" applyProtection="0"/>
    <xf numFmtId="0" fontId="184" fillId="61" borderId="0" applyNumberFormat="0" applyBorder="0" applyAlignment="0" applyProtection="0"/>
    <xf numFmtId="0" fontId="186" fillId="11" borderId="0" applyNumberFormat="0" applyBorder="0" applyAlignment="0" applyProtection="0"/>
    <xf numFmtId="37" fontId="82" fillId="0" borderId="0" applyFont="0"/>
    <xf numFmtId="37" fontId="82" fillId="0" borderId="0" applyFont="0"/>
    <xf numFmtId="249" fontId="18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212" fontId="188" fillId="0" borderId="0" applyFill="0" applyBorder="0" applyAlignment="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97" fillId="0" borderId="0"/>
    <xf numFmtId="0" fontId="97" fillId="0" borderId="0"/>
    <xf numFmtId="0" fontId="97"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97" fillId="0" borderId="0"/>
    <xf numFmtId="0" fontId="97" fillId="0" borderId="0"/>
    <xf numFmtId="0" fontId="97" fillId="0" borderId="0"/>
    <xf numFmtId="0" fontId="59"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97" fillId="0" borderId="0"/>
    <xf numFmtId="0" fontId="97" fillId="0" borderId="0"/>
    <xf numFmtId="0" fontId="97"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59" fillId="0" borderId="0"/>
    <xf numFmtId="0" fontId="79" fillId="0" borderId="0"/>
    <xf numFmtId="0" fontId="1" fillId="0" borderId="0"/>
    <xf numFmtId="0" fontId="1" fillId="0" borderId="0"/>
    <xf numFmtId="0" fontId="30" fillId="0" borderId="0"/>
    <xf numFmtId="0" fontId="97" fillId="0" borderId="0"/>
    <xf numFmtId="0" fontId="97" fillId="0" borderId="0"/>
    <xf numFmtId="0" fontId="97" fillId="0" borderId="0"/>
    <xf numFmtId="0" fontId="97" fillId="0" borderId="0"/>
    <xf numFmtId="0" fontId="97"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97" fillId="0" borderId="0"/>
    <xf numFmtId="0" fontId="30" fillId="0" borderId="0"/>
    <xf numFmtId="0" fontId="30" fillId="0" borderId="0"/>
    <xf numFmtId="0" fontId="30" fillId="0" borderId="0"/>
    <xf numFmtId="0" fontId="30" fillId="0" borderId="0"/>
    <xf numFmtId="0" fontId="30" fillId="0" borderId="0"/>
    <xf numFmtId="0" fontId="30" fillId="0" borderId="0"/>
    <xf numFmtId="0" fontId="59" fillId="0" borderId="0" applyProtection="0"/>
    <xf numFmtId="0" fontId="30" fillId="0" borderId="0"/>
    <xf numFmtId="0" fontId="59" fillId="0" borderId="0"/>
    <xf numFmtId="0" fontId="59" fillId="0" borderId="0"/>
    <xf numFmtId="0" fontId="30" fillId="0" borderId="0"/>
    <xf numFmtId="0" fontId="30" fillId="0" borderId="0"/>
    <xf numFmtId="0" fontId="30" fillId="0" borderId="0"/>
    <xf numFmtId="0" fontId="189" fillId="0" borderId="0"/>
    <xf numFmtId="0" fontId="19" fillId="0" borderId="0"/>
    <xf numFmtId="0" fontId="189" fillId="0" borderId="0"/>
    <xf numFmtId="0" fontId="59" fillId="0" borderId="0"/>
    <xf numFmtId="0" fontId="59" fillId="0" borderId="0">
      <alignment vertical="top"/>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220" fontId="109" fillId="0" borderId="0"/>
    <xf numFmtId="0" fontId="30" fillId="0" borderId="0"/>
    <xf numFmtId="0" fontId="59" fillId="0" borderId="0" applyProtection="0"/>
    <xf numFmtId="0" fontId="59" fillId="0" borderId="0"/>
    <xf numFmtId="0" fontId="79" fillId="0" borderId="0"/>
    <xf numFmtId="0" fontId="79" fillId="0" borderId="0"/>
    <xf numFmtId="0" fontId="59"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0" fillId="0" borderId="0"/>
    <xf numFmtId="0" fontId="30" fillId="0" borderId="0"/>
    <xf numFmtId="0" fontId="30" fillId="0" borderId="0"/>
    <xf numFmtId="0" fontId="30" fillId="0" borderId="0"/>
    <xf numFmtId="0" fontId="59" fillId="0" borderId="0" applyProtection="0"/>
    <xf numFmtId="0" fontId="30" fillId="0" borderId="0"/>
    <xf numFmtId="0" fontId="59" fillId="0" borderId="0" applyProtection="0"/>
    <xf numFmtId="0" fontId="30" fillId="0" borderId="0"/>
    <xf numFmtId="0" fontId="79" fillId="0" borderId="0"/>
    <xf numFmtId="0" fontId="59"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59" fillId="0" borderId="0"/>
    <xf numFmtId="0" fontId="59" fillId="0" borderId="0"/>
    <xf numFmtId="0" fontId="79"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1" fillId="0" borderId="0"/>
    <xf numFmtId="0" fontId="30" fillId="0" borderId="0"/>
    <xf numFmtId="0" fontId="30" fillId="0" borderId="0"/>
    <xf numFmtId="0" fontId="30" fillId="0" borderId="0"/>
    <xf numFmtId="0" fontId="3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9" fillId="0" borderId="0"/>
    <xf numFmtId="0" fontId="59" fillId="0" borderId="0"/>
    <xf numFmtId="0" fontId="59" fillId="0" borderId="0"/>
    <xf numFmtId="0" fontId="79" fillId="0" borderId="0"/>
    <xf numFmtId="0" fontId="59" fillId="0" borderId="0"/>
    <xf numFmtId="0" fontId="59" fillId="0" borderId="0"/>
    <xf numFmtId="0" fontId="79" fillId="0" borderId="0"/>
    <xf numFmtId="0" fontId="59" fillId="0" borderId="0"/>
    <xf numFmtId="0" fontId="59" fillId="0" borderId="0"/>
    <xf numFmtId="0" fontId="59" fillId="0" borderId="0"/>
    <xf numFmtId="0" fontId="59" fillId="0" borderId="0" applyProtection="0"/>
    <xf numFmtId="0" fontId="59" fillId="0" borderId="0"/>
    <xf numFmtId="0" fontId="59" fillId="0" borderId="0"/>
    <xf numFmtId="0" fontId="18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8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9" fillId="0" borderId="0"/>
    <xf numFmtId="0" fontId="59" fillId="0" borderId="0"/>
    <xf numFmtId="0" fontId="59" fillId="0" borderId="0" applyProtection="0"/>
    <xf numFmtId="0" fontId="79" fillId="0" borderId="0"/>
    <xf numFmtId="0" fontId="27" fillId="0" borderId="0"/>
    <xf numFmtId="0" fontId="59" fillId="0" borderId="0" applyProtection="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0"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0" fontId="111" fillId="0" borderId="0"/>
    <xf numFmtId="0" fontId="59" fillId="0" borderId="0" applyProtection="0"/>
    <xf numFmtId="0" fontId="59" fillId="0" borderId="0"/>
    <xf numFmtId="0" fontId="59" fillId="0" borderId="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applyProtection="0"/>
    <xf numFmtId="0" fontId="59" fillId="0" borderId="0" applyProtection="0"/>
    <xf numFmtId="37" fontId="59" fillId="0" borderId="0"/>
    <xf numFmtId="37"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0" fontId="59" fillId="0" borderId="0" applyProtection="0"/>
    <xf numFmtId="0" fontId="61" fillId="0" borderId="0"/>
    <xf numFmtId="0" fontId="59"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applyProtection="0"/>
    <xf numFmtId="0" fontId="61" fillId="0" borderId="0"/>
    <xf numFmtId="0" fontId="59" fillId="0" borderId="0" applyProtection="0"/>
    <xf numFmtId="0" fontId="61" fillId="0" borderId="0"/>
    <xf numFmtId="0" fontId="59" fillId="0" borderId="0" applyProtection="0"/>
    <xf numFmtId="0" fontId="61" fillId="0" borderId="0"/>
    <xf numFmtId="0" fontId="59" fillId="0" borderId="0" applyProtection="0"/>
    <xf numFmtId="0" fontId="1" fillId="0" borderId="0"/>
    <xf numFmtId="0" fontId="59" fillId="0" borderId="0" applyProtection="0"/>
    <xf numFmtId="0" fontId="1" fillId="0" borderId="0"/>
    <xf numFmtId="0" fontId="59" fillId="0" borderId="0" applyProtection="0"/>
    <xf numFmtId="0" fontId="1" fillId="0" borderId="0"/>
    <xf numFmtId="0" fontId="59" fillId="0" borderId="0" applyProtection="0"/>
    <xf numFmtId="0" fontId="1" fillId="0" borderId="0"/>
    <xf numFmtId="0" fontId="59" fillId="0" borderId="0" applyProtection="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1">
      <alignment horizontal="center"/>
    </xf>
    <xf numFmtId="0" fontId="190" fillId="6" borderId="46">
      <alignment horizontal="left" vertical="top" wrapText="1"/>
    </xf>
    <xf numFmtId="0" fontId="190" fillId="6" borderId="46">
      <alignment horizontal="left" vertical="top" wrapText="1"/>
      <protection locked="0"/>
    </xf>
    <xf numFmtId="0" fontId="191" fillId="94" borderId="0"/>
    <xf numFmtId="1" fontId="111" fillId="0" borderId="0">
      <alignment horizontal="center"/>
    </xf>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4"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22" borderId="35" applyNumberFormat="0" applyFont="0" applyAlignment="0" applyProtection="0"/>
    <xf numFmtId="0" fontId="192" fillId="61" borderId="63" applyNumberFormat="0" applyFont="0" applyAlignment="0" applyProtection="0"/>
    <xf numFmtId="0" fontId="59" fillId="55" borderId="63"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30" fillId="22" borderId="35"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55" borderId="63" applyNumberFormat="0" applyFont="0" applyAlignment="0" applyProtection="0"/>
    <xf numFmtId="0" fontId="59" fillId="55" borderId="65" applyNumberFormat="0" applyFont="0" applyAlignment="0" applyProtection="0"/>
    <xf numFmtId="0" fontId="30" fillId="55" borderId="63" applyNumberFormat="0" applyFont="0" applyAlignment="0" applyProtection="0"/>
    <xf numFmtId="0" fontId="30" fillId="22" borderId="35" applyNumberFormat="0" applyFont="0" applyAlignment="0" applyProtection="0"/>
    <xf numFmtId="0" fontId="30" fillId="55" borderId="63" applyNumberFormat="0" applyFont="0" applyAlignment="0" applyProtection="0"/>
    <xf numFmtId="0" fontId="30" fillId="55" borderId="63" applyNumberFormat="0" applyFont="0" applyAlignment="0" applyProtection="0"/>
    <xf numFmtId="0" fontId="30" fillId="55" borderId="63" applyNumberFormat="0" applyFont="0" applyAlignment="0" applyProtection="0"/>
    <xf numFmtId="0" fontId="30" fillId="55" borderId="63"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22" borderId="35"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5"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250" fontId="81" fillId="0" borderId="0">
      <alignment horizontal="left"/>
    </xf>
    <xf numFmtId="0" fontId="193" fillId="0" borderId="27"/>
    <xf numFmtId="0" fontId="194" fillId="0" borderId="0">
      <alignment horizontal="center"/>
    </xf>
    <xf numFmtId="251" fontId="195" fillId="0" borderId="0" applyFont="0" applyFill="0" applyBorder="0" applyProtection="0">
      <alignment horizontal="right"/>
    </xf>
    <xf numFmtId="252" fontId="59" fillId="0" borderId="0"/>
    <xf numFmtId="253" fontId="59" fillId="0" borderId="0"/>
    <xf numFmtId="254" fontId="117" fillId="0" borderId="0"/>
    <xf numFmtId="254" fontId="117" fillId="0" borderId="0"/>
    <xf numFmtId="0" fontId="117" fillId="0" borderId="0"/>
    <xf numFmtId="40" fontId="196" fillId="0" borderId="0" applyFont="0" applyFill="0" applyBorder="0" applyAlignment="0" applyProtection="0"/>
    <xf numFmtId="38" fontId="196" fillId="0" borderId="0" applyFont="0" applyFill="0" applyBorder="0" applyAlignment="0" applyProtection="0"/>
    <xf numFmtId="0" fontId="197" fillId="0" borderId="66">
      <alignment horizontal="left" wrapText="1" indent="1"/>
    </xf>
    <xf numFmtId="0" fontId="198" fillId="60" borderId="67" applyNumberFormat="0" applyAlignment="0" applyProtection="0"/>
    <xf numFmtId="0" fontId="198" fillId="60" borderId="67" applyNumberFormat="0" applyAlignment="0" applyProtection="0"/>
    <xf numFmtId="0" fontId="55" fillId="50" borderId="32" applyNumberFormat="0" applyAlignment="0" applyProtection="0"/>
    <xf numFmtId="0" fontId="198" fillId="60" borderId="67" applyNumberFormat="0" applyAlignment="0" applyProtection="0"/>
    <xf numFmtId="0" fontId="198" fillId="60" borderId="67" applyNumberFormat="0" applyAlignment="0" applyProtection="0"/>
    <xf numFmtId="0" fontId="55" fillId="50" borderId="32" applyNumberFormat="0" applyAlignment="0" applyProtection="0"/>
    <xf numFmtId="0" fontId="198" fillId="50" borderId="67" applyNumberFormat="0" applyAlignment="0" applyProtection="0"/>
    <xf numFmtId="0" fontId="198" fillId="50" borderId="67" applyNumberFormat="0" applyAlignment="0" applyProtection="0"/>
    <xf numFmtId="0" fontId="55" fillId="50" borderId="32" applyNumberFormat="0" applyAlignment="0" applyProtection="0"/>
    <xf numFmtId="255" fontId="27" fillId="50" borderId="0">
      <alignment horizontal="right"/>
    </xf>
    <xf numFmtId="49" fontId="199" fillId="95" borderId="0">
      <alignment horizontal="center"/>
    </xf>
    <xf numFmtId="0" fontId="89" fillId="0" borderId="0" applyFill="0" applyBorder="0">
      <alignment vertical="center"/>
    </xf>
    <xf numFmtId="198" fontId="9" fillId="0" borderId="0" applyFill="0" applyBorder="0">
      <alignment horizontal="center" vertical="center"/>
    </xf>
    <xf numFmtId="229" fontId="9" fillId="0" borderId="0" applyFill="0" applyBorder="0">
      <alignment horizontal="right" vertical="center"/>
    </xf>
    <xf numFmtId="200" fontId="9" fillId="0" borderId="0" applyFill="0" applyBorder="0">
      <alignment horizontal="center" vertical="center"/>
    </xf>
    <xf numFmtId="201" fontId="9" fillId="0" borderId="0" applyFill="0" applyBorder="0">
      <alignment horizontal="center" vertical="center"/>
    </xf>
    <xf numFmtId="202" fontId="9" fillId="0" borderId="0" applyFill="0" applyBorder="0">
      <alignment horizontal="center" vertical="center"/>
    </xf>
    <xf numFmtId="0" fontId="15" fillId="0" borderId="0" applyFill="0" applyBorder="0">
      <alignment horizontal="right" vertical="center"/>
    </xf>
    <xf numFmtId="203" fontId="9" fillId="0" borderId="0" applyFill="0" applyBorder="0">
      <alignment horizontal="right" vertical="center"/>
    </xf>
    <xf numFmtId="0" fontId="50" fillId="0" borderId="0" applyFill="0" applyBorder="0">
      <alignment vertical="center"/>
    </xf>
    <xf numFmtId="0" fontId="90" fillId="0" borderId="0" applyFill="0" applyBorder="0">
      <alignment vertical="center"/>
    </xf>
    <xf numFmtId="0" fontId="15" fillId="0" borderId="0" applyFill="0" applyBorder="0">
      <alignment vertical="center"/>
    </xf>
    <xf numFmtId="0" fontId="9" fillId="0" borderId="0" applyFill="0" applyBorder="0">
      <alignment vertical="center"/>
    </xf>
    <xf numFmtId="0" fontId="8" fillId="85" borderId="68"/>
    <xf numFmtId="5" fontId="9" fillId="0" borderId="0" applyFill="0" applyBorder="0">
      <alignment horizontal="center" vertical="center"/>
    </xf>
    <xf numFmtId="185" fontId="9" fillId="0" borderId="0" applyFill="0" applyBorder="0">
      <alignment horizontal="center" vertical="center"/>
    </xf>
    <xf numFmtId="186" fontId="9" fillId="0" borderId="0" applyFill="0" applyBorder="0">
      <alignment horizontal="center" vertical="center"/>
    </xf>
    <xf numFmtId="37" fontId="9" fillId="0" borderId="0" applyFill="0" applyBorder="0">
      <alignment horizontal="center" vertical="center"/>
    </xf>
    <xf numFmtId="187" fontId="9" fillId="0" borderId="0" applyFill="0" applyBorder="0">
      <alignment horizontal="center" vertical="center"/>
    </xf>
    <xf numFmtId="0" fontId="9" fillId="0" borderId="0" applyFill="0" applyBorder="0">
      <alignment horizontal="center" vertical="center"/>
    </xf>
    <xf numFmtId="188" fontId="9" fillId="0" borderId="0" applyFill="0" applyBorder="0">
      <alignment horizontal="center" vertical="center"/>
    </xf>
    <xf numFmtId="0" fontId="200" fillId="50" borderId="0" applyBorder="0">
      <alignment horizontal="centerContinuous"/>
    </xf>
    <xf numFmtId="0" fontId="201" fillId="85" borderId="0" applyBorder="0">
      <alignment horizontal="centerContinuous"/>
    </xf>
    <xf numFmtId="0" fontId="202" fillId="0" borderId="0" applyFill="0" applyBorder="0">
      <alignment vertical="center"/>
    </xf>
    <xf numFmtId="256" fontId="93" fillId="76" borderId="69" applyProtection="0"/>
    <xf numFmtId="1" fontId="203" fillId="0" borderId="0" applyProtection="0">
      <alignment horizontal="right" vertical="center"/>
    </xf>
    <xf numFmtId="217" fontId="120" fillId="0" borderId="70" applyFont="0" applyFill="0" applyBorder="0" applyAlignment="0" applyProtection="0">
      <alignment horizontal="right"/>
    </xf>
    <xf numFmtId="216" fontId="100" fillId="0" borderId="0" applyFont="0" applyFill="0" applyBorder="0" applyAlignment="0" applyProtection="0"/>
    <xf numFmtId="257" fontId="59" fillId="0" borderId="0" applyFont="0" applyFill="0" applyBorder="0" applyAlignment="0" applyProtection="0"/>
    <xf numFmtId="258" fontId="20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7" fillId="0" borderId="0" applyFont="0" applyFill="0" applyBorder="0" applyAlignment="0" applyProtection="0"/>
    <xf numFmtId="9" fontId="109"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9" fontId="109" fillId="0" borderId="0" applyFont="0" applyFill="0" applyBorder="0" applyAlignment="0" applyProtection="0"/>
    <xf numFmtId="259" fontId="204" fillId="0" borderId="0" applyFont="0" applyFill="0" applyBorder="0" applyAlignment="0" applyProtection="0"/>
    <xf numFmtId="9" fontId="109" fillId="0" borderId="0" applyFont="0" applyFill="0" applyBorder="0" applyAlignment="0" applyProtection="0"/>
    <xf numFmtId="259" fontId="20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9" fontId="97" fillId="0" borderId="0" applyFont="0" applyFill="0" applyBorder="0" applyAlignment="0" applyProtection="0"/>
    <xf numFmtId="9" fontId="59" fillId="0" borderId="0" applyFont="0" applyFill="0" applyBorder="0" applyAlignment="0" applyProtection="0"/>
    <xf numFmtId="259" fontId="204" fillId="0" borderId="0" applyFont="0" applyFill="0" applyBorder="0" applyAlignment="0" applyProtection="0"/>
    <xf numFmtId="9" fontId="97" fillId="0" borderId="0" applyFont="0" applyFill="0" applyBorder="0" applyAlignment="0" applyProtection="0"/>
    <xf numFmtId="9" fontId="5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8" fillId="0" borderId="1">
      <alignment horizont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260" fontId="59" fillId="0" borderId="14"/>
    <xf numFmtId="260" fontId="59" fillId="96" borderId="11"/>
    <xf numFmtId="44" fontId="100" fillId="0" borderId="0" applyFill="0" applyBorder="0" applyAlignment="0"/>
    <xf numFmtId="210" fontId="100" fillId="0" borderId="0" applyFill="0" applyBorder="0" applyAlignment="0"/>
    <xf numFmtId="44" fontId="100" fillId="0" borderId="0" applyFill="0" applyBorder="0" applyAlignment="0"/>
    <xf numFmtId="217" fontId="100" fillId="0" borderId="0" applyFill="0" applyBorder="0" applyAlignment="0"/>
    <xf numFmtId="210" fontId="100" fillId="0" borderId="0" applyFill="0" applyBorder="0" applyAlignment="0"/>
    <xf numFmtId="13" fontId="59" fillId="0" borderId="0" applyFont="0" applyFill="0" applyProtection="0"/>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15" fontId="117" fillId="0" borderId="0" applyFont="0" applyFill="0" applyBorder="0" applyAlignment="0" applyProtection="0"/>
    <xf numFmtId="15" fontId="117" fillId="0" borderId="0" applyFont="0" applyFill="0" applyBorder="0" applyAlignment="0" applyProtection="0"/>
    <xf numFmtId="15"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171" fontId="59" fillId="0" borderId="0"/>
    <xf numFmtId="171" fontId="59" fillId="0" borderId="0"/>
    <xf numFmtId="0" fontId="205" fillId="0" borderId="9">
      <alignment horizontal="center"/>
    </xf>
    <xf numFmtId="0" fontId="205" fillId="0" borderId="9">
      <alignment horizontal="center"/>
    </xf>
    <xf numFmtId="0" fontId="205" fillId="0" borderId="9">
      <alignment horizontal="center"/>
    </xf>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261" fontId="117" fillId="0" borderId="0"/>
    <xf numFmtId="261" fontId="117" fillId="0" borderId="0"/>
    <xf numFmtId="0" fontId="117" fillId="0" borderId="0"/>
    <xf numFmtId="0" fontId="45" fillId="0" borderId="0"/>
    <xf numFmtId="189" fontId="19" fillId="0" borderId="0" applyFill="0" applyBorder="0">
      <alignment horizontal="right" vertical="center"/>
    </xf>
    <xf numFmtId="189" fontId="19" fillId="0" borderId="0" applyFill="0" applyBorder="0">
      <alignment horizontal="right" vertical="center"/>
    </xf>
    <xf numFmtId="189" fontId="19" fillId="0" borderId="0" applyFill="0" applyBorder="0">
      <alignment horizontal="right" vertical="center"/>
    </xf>
    <xf numFmtId="190" fontId="19" fillId="0" borderId="0" applyFill="0" applyBorder="0">
      <alignment horizontal="right" vertical="center"/>
    </xf>
    <xf numFmtId="189" fontId="19" fillId="0" borderId="0" applyFill="0" applyBorder="0">
      <alignment horizontal="right" vertical="center"/>
    </xf>
    <xf numFmtId="191" fontId="19" fillId="0" borderId="0" applyFill="0" applyBorder="0">
      <alignment horizontal="right" vertical="center"/>
    </xf>
    <xf numFmtId="209" fontId="19" fillId="0" borderId="0" applyFill="0" applyBorder="0">
      <alignment horizontal="right" vertical="center"/>
    </xf>
    <xf numFmtId="209" fontId="19" fillId="0" borderId="0" applyFill="0" applyBorder="0">
      <alignment horizontal="right" vertical="center"/>
    </xf>
    <xf numFmtId="209" fontId="19" fillId="0" borderId="0" applyFill="0" applyBorder="0">
      <alignment horizontal="right" vertical="center"/>
    </xf>
    <xf numFmtId="209" fontId="19" fillId="0" borderId="0" applyFill="0" applyBorder="0">
      <alignment horizontal="right" vertical="center"/>
    </xf>
    <xf numFmtId="192" fontId="19" fillId="0" borderId="0" applyFill="0" applyBorder="0">
      <alignment horizontal="right" vertical="center"/>
    </xf>
    <xf numFmtId="192" fontId="19" fillId="0" borderId="0" applyFill="0" applyBorder="0">
      <alignment horizontal="right" vertical="center"/>
    </xf>
    <xf numFmtId="192" fontId="19" fillId="0" borderId="0" applyFill="0" applyBorder="0">
      <alignment horizontal="right" vertical="center"/>
    </xf>
    <xf numFmtId="193" fontId="19" fillId="0" borderId="0" applyFill="0" applyBorder="0">
      <alignment horizontal="right" vertical="center"/>
    </xf>
    <xf numFmtId="192" fontId="19" fillId="0" borderId="0" applyFill="0" applyBorder="0">
      <alignment horizontal="right" vertical="center"/>
    </xf>
    <xf numFmtId="194" fontId="19" fillId="0" borderId="0" applyFill="0" applyBorder="0">
      <alignment horizontal="right" vertical="center"/>
    </xf>
    <xf numFmtId="194" fontId="19" fillId="0" borderId="0" applyFill="0" applyBorder="0">
      <alignment horizontal="right" vertical="center"/>
    </xf>
    <xf numFmtId="194" fontId="19" fillId="0" borderId="0" applyFill="0" applyBorder="0">
      <alignment horizontal="right" vertical="center"/>
    </xf>
    <xf numFmtId="195" fontId="19" fillId="0" borderId="0" applyFill="0" applyBorder="0">
      <alignment horizontal="right" vertical="center"/>
    </xf>
    <xf numFmtId="194" fontId="19" fillId="0" borderId="0" applyFill="0" applyBorder="0">
      <alignment horizontal="right" vertical="center"/>
    </xf>
    <xf numFmtId="178" fontId="19" fillId="0" borderId="0" applyFill="0" applyBorder="0">
      <alignment horizontal="right" vertical="center"/>
    </xf>
    <xf numFmtId="178" fontId="19" fillId="0" borderId="0" applyFill="0" applyBorder="0">
      <alignment horizontal="right" vertical="center"/>
    </xf>
    <xf numFmtId="178" fontId="19" fillId="0" borderId="0" applyFill="0" applyBorder="0">
      <alignment horizontal="right" vertical="center"/>
    </xf>
    <xf numFmtId="196" fontId="19" fillId="0" borderId="0" applyFill="0" applyBorder="0">
      <alignment horizontal="right" vertical="center"/>
    </xf>
    <xf numFmtId="178" fontId="19" fillId="0" borderId="0" applyFill="0" applyBorder="0">
      <alignment horizontal="right" vertical="center"/>
    </xf>
    <xf numFmtId="197" fontId="19" fillId="0" borderId="0" applyFill="0" applyBorder="0">
      <alignment horizontal="right" vertical="center"/>
    </xf>
    <xf numFmtId="197" fontId="19" fillId="0" borderId="0" applyFill="0" applyBorder="0">
      <alignment horizontal="right" vertical="center"/>
    </xf>
    <xf numFmtId="197" fontId="19" fillId="0" borderId="0" applyFill="0" applyBorder="0">
      <alignment horizontal="right" vertical="center"/>
    </xf>
    <xf numFmtId="197" fontId="19" fillId="0" borderId="0" applyFill="0" applyBorder="0">
      <alignment horizontal="right" vertical="center"/>
    </xf>
    <xf numFmtId="4" fontId="202" fillId="82" borderId="71" applyNumberFormat="0" applyProtection="0">
      <alignment vertical="center"/>
    </xf>
    <xf numFmtId="4" fontId="202" fillId="82" borderId="71" applyNumberFormat="0" applyProtection="0">
      <alignment vertical="center"/>
    </xf>
    <xf numFmtId="4" fontId="202" fillId="82" borderId="71" applyNumberFormat="0" applyProtection="0">
      <alignment vertical="center"/>
    </xf>
    <xf numFmtId="4" fontId="202" fillId="82" borderId="71" applyNumberFormat="0" applyProtection="0">
      <alignment vertical="center"/>
    </xf>
    <xf numFmtId="4" fontId="206" fillId="82" borderId="71" applyNumberFormat="0" applyProtection="0">
      <alignment vertical="center"/>
    </xf>
    <xf numFmtId="4" fontId="206" fillId="82" borderId="71" applyNumberFormat="0" applyProtection="0">
      <alignment vertical="center"/>
    </xf>
    <xf numFmtId="4" fontId="207" fillId="82" borderId="71" applyNumberFormat="0" applyProtection="0">
      <alignment horizontal="left" vertical="center" indent="1"/>
    </xf>
    <xf numFmtId="4" fontId="207" fillId="82" borderId="71" applyNumberFormat="0" applyProtection="0">
      <alignment horizontal="left" vertical="center" indent="1"/>
    </xf>
    <xf numFmtId="4" fontId="207" fillId="82" borderId="71" applyNumberFormat="0" applyProtection="0">
      <alignment horizontal="left" vertical="center" indent="1"/>
    </xf>
    <xf numFmtId="4" fontId="207" fillId="82" borderId="71"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8" borderId="71" applyNumberFormat="0" applyProtection="0">
      <alignment horizontal="right" vertical="center"/>
    </xf>
    <xf numFmtId="4" fontId="207" fillId="98" borderId="71" applyNumberFormat="0" applyProtection="0">
      <alignment horizontal="right" vertical="center"/>
    </xf>
    <xf numFmtId="4" fontId="207" fillId="98" borderId="71" applyNumberFormat="0" applyProtection="0">
      <alignment horizontal="right" vertical="center"/>
    </xf>
    <xf numFmtId="4" fontId="207" fillId="98" borderId="71" applyNumberFormat="0" applyProtection="0">
      <alignment horizontal="right" vertical="center"/>
    </xf>
    <xf numFmtId="4" fontId="207" fillId="99" borderId="71" applyNumberFormat="0" applyProtection="0">
      <alignment horizontal="right" vertical="center"/>
    </xf>
    <xf numFmtId="4" fontId="207" fillId="99" borderId="71" applyNumberFormat="0" applyProtection="0">
      <alignment horizontal="right" vertical="center"/>
    </xf>
    <xf numFmtId="4" fontId="207" fillId="99" borderId="71" applyNumberFormat="0" applyProtection="0">
      <alignment horizontal="right" vertical="center"/>
    </xf>
    <xf numFmtId="4" fontId="207" fillId="99" borderId="71" applyNumberFormat="0" applyProtection="0">
      <alignment horizontal="right" vertical="center"/>
    </xf>
    <xf numFmtId="4" fontId="207" fillId="100" borderId="71" applyNumberFormat="0" applyProtection="0">
      <alignment horizontal="right" vertical="center"/>
    </xf>
    <xf numFmtId="4" fontId="207" fillId="100" borderId="71" applyNumberFormat="0" applyProtection="0">
      <alignment horizontal="right" vertical="center"/>
    </xf>
    <xf numFmtId="4" fontId="207" fillId="100" borderId="71" applyNumberFormat="0" applyProtection="0">
      <alignment horizontal="right" vertical="center"/>
    </xf>
    <xf numFmtId="4" fontId="207" fillId="100" borderId="71" applyNumberFormat="0" applyProtection="0">
      <alignment horizontal="right" vertical="center"/>
    </xf>
    <xf numFmtId="4" fontId="207" fillId="47" borderId="71" applyNumberFormat="0" applyProtection="0">
      <alignment horizontal="right" vertical="center"/>
    </xf>
    <xf numFmtId="4" fontId="207" fillId="47" borderId="71" applyNumberFormat="0" applyProtection="0">
      <alignment horizontal="right" vertical="center"/>
    </xf>
    <xf numFmtId="4" fontId="207" fillId="47" borderId="71" applyNumberFormat="0" applyProtection="0">
      <alignment horizontal="right" vertical="center"/>
    </xf>
    <xf numFmtId="4" fontId="207" fillId="47" borderId="71" applyNumberFormat="0" applyProtection="0">
      <alignment horizontal="right" vertical="center"/>
    </xf>
    <xf numFmtId="4" fontId="207" fillId="101" borderId="71" applyNumberFormat="0" applyProtection="0">
      <alignment horizontal="right" vertical="center"/>
    </xf>
    <xf numFmtId="4" fontId="207" fillId="101" borderId="71" applyNumberFormat="0" applyProtection="0">
      <alignment horizontal="right" vertical="center"/>
    </xf>
    <xf numFmtId="4" fontId="207" fillId="101" borderId="71" applyNumberFormat="0" applyProtection="0">
      <alignment horizontal="right" vertical="center"/>
    </xf>
    <xf numFmtId="4" fontId="207" fillId="101" borderId="71" applyNumberFormat="0" applyProtection="0">
      <alignment horizontal="right" vertical="center"/>
    </xf>
    <xf numFmtId="4" fontId="207" fillId="102" borderId="71" applyNumberFormat="0" applyProtection="0">
      <alignment horizontal="right" vertical="center"/>
    </xf>
    <xf numFmtId="4" fontId="207" fillId="102" borderId="71" applyNumberFormat="0" applyProtection="0">
      <alignment horizontal="right" vertical="center"/>
    </xf>
    <xf numFmtId="4" fontId="207" fillId="102" borderId="71" applyNumberFormat="0" applyProtection="0">
      <alignment horizontal="right" vertical="center"/>
    </xf>
    <xf numFmtId="4" fontId="207" fillId="102" borderId="71" applyNumberFormat="0" applyProtection="0">
      <alignment horizontal="right" vertical="center"/>
    </xf>
    <xf numFmtId="4" fontId="207" fillId="103" borderId="71" applyNumberFormat="0" applyProtection="0">
      <alignment horizontal="right" vertical="center"/>
    </xf>
    <xf numFmtId="4" fontId="207" fillId="103" borderId="71" applyNumberFormat="0" applyProtection="0">
      <alignment horizontal="right" vertical="center"/>
    </xf>
    <xf numFmtId="4" fontId="207" fillId="103" borderId="71" applyNumberFormat="0" applyProtection="0">
      <alignment horizontal="right" vertical="center"/>
    </xf>
    <xf numFmtId="4" fontId="207" fillId="103" borderId="71" applyNumberFormat="0" applyProtection="0">
      <alignment horizontal="right" vertical="center"/>
    </xf>
    <xf numFmtId="4" fontId="207" fillId="4" borderId="71" applyNumberFormat="0" applyProtection="0">
      <alignment horizontal="right" vertical="center"/>
    </xf>
    <xf numFmtId="4" fontId="207" fillId="4" borderId="71" applyNumberFormat="0" applyProtection="0">
      <alignment horizontal="right" vertical="center"/>
    </xf>
    <xf numFmtId="4" fontId="207" fillId="4" borderId="71" applyNumberFormat="0" applyProtection="0">
      <alignment horizontal="right" vertical="center"/>
    </xf>
    <xf numFmtId="4" fontId="207" fillId="4" borderId="71" applyNumberFormat="0" applyProtection="0">
      <alignment horizontal="right" vertical="center"/>
    </xf>
    <xf numFmtId="4" fontId="207" fillId="94" borderId="71" applyNumberFormat="0" applyProtection="0">
      <alignment horizontal="right" vertical="center"/>
    </xf>
    <xf numFmtId="4" fontId="207" fillId="94" borderId="71" applyNumberFormat="0" applyProtection="0">
      <alignment horizontal="right" vertical="center"/>
    </xf>
    <xf numFmtId="4" fontId="207" fillId="94" borderId="71" applyNumberFormat="0" applyProtection="0">
      <alignment horizontal="right" vertical="center"/>
    </xf>
    <xf numFmtId="4" fontId="207" fillId="94" borderId="71" applyNumberFormat="0" applyProtection="0">
      <alignment horizontal="right" vertical="center"/>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96" borderId="0" applyNumberFormat="0" applyProtection="0">
      <alignment horizontal="left" vertical="center" indent="1"/>
    </xf>
    <xf numFmtId="4" fontId="202" fillId="96" borderId="0" applyNumberFormat="0" applyProtection="0">
      <alignment horizontal="left" vertical="center" indent="1"/>
    </xf>
    <xf numFmtId="4" fontId="202" fillId="96" borderId="0" applyNumberFormat="0" applyProtection="0">
      <alignment horizontal="left" vertical="center" indent="1"/>
    </xf>
    <xf numFmtId="4" fontId="202" fillId="96" borderId="0" applyNumberFormat="0" applyProtection="0">
      <alignment horizontal="left" vertical="center" indent="1"/>
    </xf>
    <xf numFmtId="4" fontId="202" fillId="97" borderId="0" applyNumberFormat="0" applyProtection="0">
      <alignment horizontal="left" vertical="center" indent="1"/>
    </xf>
    <xf numFmtId="4" fontId="202" fillId="97" borderId="0" applyNumberFormat="0" applyProtection="0">
      <alignment horizontal="left" vertical="center" indent="1"/>
    </xf>
    <xf numFmtId="4" fontId="202" fillId="97" borderId="0" applyNumberFormat="0" applyProtection="0">
      <alignment horizontal="left" vertical="center" indent="1"/>
    </xf>
    <xf numFmtId="4" fontId="202" fillId="97" borderId="0" applyNumberFormat="0" applyProtection="0">
      <alignment horizontal="left" vertical="center" indent="1"/>
    </xf>
    <xf numFmtId="4" fontId="207" fillId="96" borderId="71" applyNumberFormat="0" applyProtection="0">
      <alignment horizontal="right" vertical="center"/>
    </xf>
    <xf numFmtId="4" fontId="207" fillId="96" borderId="71" applyNumberFormat="0" applyProtection="0">
      <alignment horizontal="right" vertical="center"/>
    </xf>
    <xf numFmtId="4" fontId="207" fillId="96" borderId="71" applyNumberFormat="0" applyProtection="0">
      <alignment horizontal="right" vertical="center"/>
    </xf>
    <xf numFmtId="4" fontId="207" fillId="96" borderId="71" applyNumberFormat="0" applyProtection="0">
      <alignment horizontal="right" vertical="center"/>
    </xf>
    <xf numFmtId="4" fontId="27" fillId="96" borderId="0" applyNumberFormat="0" applyProtection="0">
      <alignment horizontal="left" vertical="center" indent="1"/>
    </xf>
    <xf numFmtId="4" fontId="27" fillId="96" borderId="0" applyNumberFormat="0" applyProtection="0">
      <alignment horizontal="left" vertical="center" indent="1"/>
    </xf>
    <xf numFmtId="4" fontId="27" fillId="96" borderId="0" applyNumberFormat="0" applyProtection="0">
      <alignment horizontal="left" vertical="center" indent="1"/>
    </xf>
    <xf numFmtId="4" fontId="27" fillId="96" borderId="0" applyNumberFormat="0" applyProtection="0">
      <alignment horizontal="left" vertical="center" indent="1"/>
    </xf>
    <xf numFmtId="4" fontId="27" fillId="97" borderId="0" applyNumberFormat="0" applyProtection="0">
      <alignment horizontal="left" vertical="center" indent="1"/>
    </xf>
    <xf numFmtId="4" fontId="27" fillId="97" borderId="0" applyNumberFormat="0" applyProtection="0">
      <alignment horizontal="left" vertical="center" indent="1"/>
    </xf>
    <xf numFmtId="4" fontId="27" fillId="97" borderId="0" applyNumberFormat="0" applyProtection="0">
      <alignment horizontal="left" vertical="center" indent="1"/>
    </xf>
    <xf numFmtId="4" fontId="27" fillId="97" borderId="0" applyNumberFormat="0" applyProtection="0">
      <alignment horizontal="left" vertical="center" indent="1"/>
    </xf>
    <xf numFmtId="4" fontId="207" fillId="105" borderId="71" applyNumberFormat="0" applyProtection="0">
      <alignment vertical="center"/>
    </xf>
    <xf numFmtId="4" fontId="207" fillId="105" borderId="71" applyNumberFormat="0" applyProtection="0">
      <alignment vertical="center"/>
    </xf>
    <xf numFmtId="4" fontId="207" fillId="105" borderId="71" applyNumberFormat="0" applyProtection="0">
      <alignment vertical="center"/>
    </xf>
    <xf numFmtId="4" fontId="207" fillId="105" borderId="71" applyNumberFormat="0" applyProtection="0">
      <alignment vertical="center"/>
    </xf>
    <xf numFmtId="4" fontId="208" fillId="105" borderId="71" applyNumberFormat="0" applyProtection="0">
      <alignment vertical="center"/>
    </xf>
    <xf numFmtId="4" fontId="208" fillId="105" borderId="71" applyNumberFormat="0" applyProtection="0">
      <alignment vertical="center"/>
    </xf>
    <xf numFmtId="4" fontId="202" fillId="96" borderId="73" applyNumberFormat="0" applyProtection="0">
      <alignment horizontal="left" vertical="center" indent="1"/>
    </xf>
    <xf numFmtId="4" fontId="202" fillId="96" borderId="73" applyNumberFormat="0" applyProtection="0">
      <alignment horizontal="left" vertical="center" indent="1"/>
    </xf>
    <xf numFmtId="4" fontId="202" fillId="96" borderId="73" applyNumberFormat="0" applyProtection="0">
      <alignment horizontal="left" vertical="center" indent="1"/>
    </xf>
    <xf numFmtId="4" fontId="202" fillId="96" borderId="73" applyNumberFormat="0" applyProtection="0">
      <alignment horizontal="left" vertical="center" indent="1"/>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8" fillId="105" borderId="71" applyNumberFormat="0" applyProtection="0">
      <alignment horizontal="right" vertical="center"/>
    </xf>
    <xf numFmtId="4" fontId="208" fillId="105" borderId="71" applyNumberFormat="0" applyProtection="0">
      <alignment horizontal="right" vertical="center"/>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10" fillId="105" borderId="71" applyNumberFormat="0" applyProtection="0">
      <alignment horizontal="right" vertical="center"/>
    </xf>
    <xf numFmtId="4" fontId="210" fillId="105" borderId="71" applyNumberFormat="0" applyProtection="0">
      <alignment horizontal="right" vertical="center"/>
    </xf>
    <xf numFmtId="0" fontId="211" fillId="0" borderId="0" applyFill="0" applyBorder="0">
      <alignment horizontal="left" vertical="center"/>
    </xf>
    <xf numFmtId="0" fontId="211" fillId="0" borderId="0" applyFill="0" applyBorder="0">
      <alignment horizontal="left" vertical="center"/>
    </xf>
    <xf numFmtId="0" fontId="212" fillId="0" borderId="0" applyNumberFormat="0" applyFill="0" applyBorder="0" applyAlignment="0" applyProtection="0">
      <alignment horizontal="left"/>
    </xf>
    <xf numFmtId="0" fontId="213" fillId="0" borderId="0" applyFill="0" applyBorder="0">
      <alignment horizontal="left" vertical="center"/>
    </xf>
    <xf numFmtId="0" fontId="213" fillId="0" borderId="0" applyFill="0" applyBorder="0">
      <alignment horizontal="left" vertical="center"/>
    </xf>
    <xf numFmtId="0" fontId="213" fillId="0" borderId="0" applyFill="0" applyBorder="0">
      <alignment horizontal="left" vertical="center"/>
    </xf>
    <xf numFmtId="206" fontId="59" fillId="0" borderId="0" applyFont="0" applyBorder="0" applyAlignment="0" applyProtection="0"/>
    <xf numFmtId="0" fontId="109" fillId="0" borderId="0"/>
    <xf numFmtId="0" fontId="59"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59" fillId="0" borderId="0" applyNumberFormat="0" applyFill="0" applyBorder="0" applyAlignment="0" applyProtection="0"/>
    <xf numFmtId="0" fontId="27" fillId="0" borderId="0">
      <alignment vertical="top"/>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5" fontId="27" fillId="0" borderId="0"/>
    <xf numFmtId="0" fontId="72" fillId="5" borderId="37" applyFont="0" applyBorder="0"/>
    <xf numFmtId="234" fontId="214" fillId="0" borderId="0"/>
    <xf numFmtId="0" fontId="135" fillId="0" borderId="0"/>
    <xf numFmtId="0" fontId="213" fillId="0" borderId="0"/>
    <xf numFmtId="15" fontId="59" fillId="0" borderId="0"/>
    <xf numFmtId="10" fontId="59" fillId="0" borderId="0"/>
    <xf numFmtId="0" fontId="215" fillId="0" borderId="74">
      <alignment vertical="center" wrapText="1"/>
    </xf>
    <xf numFmtId="0" fontId="215" fillId="0" borderId="74">
      <alignment vertical="center" wrapText="1"/>
    </xf>
    <xf numFmtId="38" fontId="216" fillId="0" borderId="0" applyFill="0" applyBorder="0" applyAlignment="0" applyProtection="0"/>
    <xf numFmtId="258" fontId="217" fillId="0" borderId="0" applyFill="0" applyBorder="0" applyAlignment="0" applyProtection="0"/>
    <xf numFmtId="3" fontId="218" fillId="0" borderId="0"/>
    <xf numFmtId="3" fontId="219" fillId="0" borderId="75"/>
    <xf numFmtId="3" fontId="219" fillId="0" borderId="76"/>
    <xf numFmtId="3" fontId="219" fillId="0" borderId="77"/>
    <xf numFmtId="3" fontId="218" fillId="0" borderId="0"/>
    <xf numFmtId="0" fontId="220" fillId="0" borderId="0" applyBorder="0" applyProtection="0">
      <alignment vertical="center"/>
    </xf>
    <xf numFmtId="0" fontId="220" fillId="0" borderId="38" applyBorder="0" applyProtection="0">
      <alignment horizontal="right" vertical="center"/>
    </xf>
    <xf numFmtId="0" fontId="221" fillId="107" borderId="0" applyBorder="0" applyProtection="0">
      <alignment horizontal="centerContinuous" vertical="center"/>
    </xf>
    <xf numFmtId="0" fontId="221" fillId="83" borderId="38" applyBorder="0" applyProtection="0">
      <alignment horizontal="centerContinuous" vertical="center"/>
    </xf>
    <xf numFmtId="0" fontId="222" fillId="0" borderId="0" applyFill="0" applyBorder="0" applyProtection="0">
      <alignment horizontal="left"/>
    </xf>
    <xf numFmtId="0" fontId="123" fillId="0" borderId="59" applyFill="0" applyBorder="0" applyProtection="0">
      <alignment horizontal="left" vertical="top"/>
    </xf>
    <xf numFmtId="0" fontId="19" fillId="50" borderId="0"/>
    <xf numFmtId="0" fontId="19" fillId="50" borderId="0"/>
    <xf numFmtId="0" fontId="19" fillId="50" borderId="0"/>
    <xf numFmtId="0" fontId="223" fillId="0" borderId="0">
      <alignment horizontal="left"/>
    </xf>
    <xf numFmtId="0" fontId="223" fillId="0" borderId="0">
      <alignment horizontal="left"/>
    </xf>
    <xf numFmtId="49" fontId="27" fillId="0" borderId="0" applyFill="0" applyBorder="0" applyAlignment="0"/>
    <xf numFmtId="49" fontId="27" fillId="0" borderId="0" applyFill="0" applyBorder="0" applyAlignment="0"/>
    <xf numFmtId="262" fontId="100" fillId="0" borderId="0" applyFill="0" applyBorder="0" applyAlignment="0"/>
    <xf numFmtId="263" fontId="100" fillId="0" borderId="0" applyFill="0" applyBorder="0" applyAlignment="0"/>
    <xf numFmtId="0" fontId="224" fillId="0" borderId="0" applyNumberFormat="0" applyFill="0" applyBorder="0" applyAlignment="0" applyProtection="0">
      <alignment horizontal="left"/>
    </xf>
    <xf numFmtId="18" fontId="119" fillId="0" borderId="0" applyFont="0" applyFill="0" applyBorder="0" applyAlignment="0" applyProtection="0">
      <alignment horizontal="left"/>
    </xf>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7" fillId="0" borderId="0" applyFill="0" applyBorder="0">
      <alignment horizontal="left" vertical="center"/>
      <protection locked="0"/>
    </xf>
    <xf numFmtId="0" fontId="227"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19" fillId="0" borderId="39" applyNumberFormat="0" applyFont="0" applyFill="0" applyAlignment="0" applyProtection="0">
      <alignment vertical="top"/>
    </xf>
    <xf numFmtId="0" fontId="26" fillId="0" borderId="78" applyNumberFormat="0" applyFill="0" applyAlignment="0" applyProtection="0"/>
    <xf numFmtId="0" fontId="2" fillId="0" borderId="79" applyNumberFormat="0" applyFill="0" applyAlignment="0" applyProtection="0"/>
    <xf numFmtId="0" fontId="26" fillId="0" borderId="78" applyNumberFormat="0" applyFill="0" applyAlignment="0" applyProtection="0"/>
    <xf numFmtId="0" fontId="26" fillId="0" borderId="78" applyNumberFormat="0" applyFill="0" applyAlignment="0" applyProtection="0"/>
    <xf numFmtId="0" fontId="2" fillId="0" borderId="79" applyNumberFormat="0" applyFill="0" applyAlignment="0" applyProtection="0"/>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26" fillId="0" borderId="79" applyNumberFormat="0" applyFill="0" applyAlignment="0" applyProtection="0"/>
    <xf numFmtId="0" fontId="19" fillId="0" borderId="39" applyNumberFormat="0" applyFont="0" applyFill="0" applyAlignment="0" applyProtection="0">
      <alignment vertical="top"/>
    </xf>
    <xf numFmtId="0" fontId="2" fillId="0" borderId="79" applyNumberFormat="0" applyFill="0" applyAlignment="0" applyProtection="0"/>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26" fillId="0" borderId="79" applyNumberFormat="0" applyFill="0" applyAlignment="0" applyProtection="0"/>
    <xf numFmtId="0" fontId="19" fillId="0" borderId="80" applyNumberFormat="0" applyFont="0" applyFill="0" applyAlignment="0" applyProtection="0">
      <alignment vertical="top"/>
    </xf>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10" fontId="204" fillId="0" borderId="81" applyNumberFormat="0" applyFont="0" applyFill="0" applyAlignment="0" applyProtection="0"/>
    <xf numFmtId="0" fontId="230" fillId="0" borderId="82">
      <alignment horizontal="center"/>
    </xf>
    <xf numFmtId="264" fontId="117" fillId="0" borderId="0"/>
    <xf numFmtId="264" fontId="117" fillId="0" borderId="0"/>
    <xf numFmtId="0" fontId="117" fillId="0" borderId="0"/>
    <xf numFmtId="0" fontId="231" fillId="0" borderId="0"/>
    <xf numFmtId="39" fontId="232" fillId="0" borderId="0" applyFont="0" applyFill="0" applyBorder="0" applyAlignment="0" applyProtection="0"/>
    <xf numFmtId="265" fontId="117" fillId="0" borderId="0" applyFont="0" applyFill="0" applyBorder="0" applyAlignment="0" applyProtection="0"/>
    <xf numFmtId="266" fontId="59"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34"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34" fillId="0" borderId="0" applyNumberFormat="0" applyFill="0" applyBorder="0" applyAlignment="0" applyProtection="0"/>
    <xf numFmtId="0" fontId="167" fillId="0" borderId="0" applyNumberFormat="0" applyFill="0" applyBorder="0" applyAlignment="0" applyProtection="0"/>
    <xf numFmtId="0" fontId="34" fillId="0" borderId="0" applyNumberFormat="0" applyFill="0" applyBorder="0" applyAlignment="0" applyProtection="0"/>
    <xf numFmtId="267" fontId="72" fillId="0" borderId="4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233" fillId="0" borderId="0">
      <alignment vertical="center"/>
    </xf>
    <xf numFmtId="0" fontId="234" fillId="61" borderId="0" applyNumberFormat="0" applyBorder="0" applyAlignment="0" applyProtection="0"/>
    <xf numFmtId="0" fontId="111" fillId="55" borderId="63" applyNumberFormat="0" applyFont="0" applyAlignment="0" applyProtection="0"/>
    <xf numFmtId="0" fontId="111" fillId="55" borderId="63" applyNumberFormat="0" applyFont="0" applyAlignment="0" applyProtection="0"/>
    <xf numFmtId="0" fontId="111" fillId="55" borderId="63" applyNumberFormat="0" applyFont="0" applyAlignment="0" applyProtection="0"/>
    <xf numFmtId="41" fontId="59" fillId="0" borderId="0" applyFont="0" applyFill="0" applyBorder="0" applyAlignment="0" applyProtection="0"/>
    <xf numFmtId="0" fontId="235" fillId="0" borderId="78" applyNumberFormat="0" applyFill="0" applyAlignment="0" applyProtection="0"/>
    <xf numFmtId="0" fontId="236" fillId="52" borderId="0" applyNumberFormat="0" applyBorder="0" applyAlignment="0" applyProtection="0"/>
    <xf numFmtId="0" fontId="237" fillId="56" borderId="0" applyNumberFormat="0" applyBorder="0" applyAlignment="0" applyProtection="0"/>
    <xf numFmtId="43" fontId="59" fillId="0" borderId="0" applyFont="0" applyFill="0" applyBorder="0" applyAlignment="0" applyProtection="0"/>
    <xf numFmtId="0" fontId="238" fillId="0" borderId="0" applyNumberFormat="0" applyFill="0" applyBorder="0" applyAlignment="0" applyProtection="0"/>
    <xf numFmtId="0" fontId="239" fillId="0" borderId="53" applyNumberFormat="0" applyFill="0" applyAlignment="0" applyProtection="0"/>
    <xf numFmtId="0" fontId="240" fillId="0" borderId="55" applyNumberFormat="0" applyFill="0" applyAlignment="0" applyProtection="0"/>
    <xf numFmtId="0" fontId="241" fillId="0" borderId="57" applyNumberFormat="0" applyFill="0" applyAlignment="0" applyProtection="0"/>
    <xf numFmtId="0" fontId="241" fillId="0" borderId="0" applyNumberFormat="0" applyFill="0" applyBorder="0" applyAlignment="0" applyProtection="0"/>
    <xf numFmtId="0" fontId="242" fillId="79" borderId="48" applyNumberFormat="0" applyAlignment="0" applyProtection="0"/>
    <xf numFmtId="0" fontId="243" fillId="60" borderId="47" applyNumberFormat="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42" fontId="59" fillId="0" borderId="0" applyFont="0" applyFill="0" applyBorder="0" applyAlignment="0" applyProtection="0"/>
    <xf numFmtId="44" fontId="59" fillId="0" borderId="0" applyFont="0" applyFill="0" applyBorder="0" applyAlignment="0" applyProtection="0"/>
    <xf numFmtId="0" fontId="80" fillId="70" borderId="0" applyNumberFormat="0" applyBorder="0" applyAlignment="0" applyProtection="0"/>
    <xf numFmtId="0" fontId="80" fillId="71" borderId="0" applyNumberFormat="0" applyBorder="0" applyAlignment="0" applyProtection="0"/>
    <xf numFmtId="0" fontId="80" fillId="73" borderId="0" applyNumberFormat="0" applyBorder="0" applyAlignment="0" applyProtection="0"/>
    <xf numFmtId="0" fontId="80" fillId="67" borderId="0" applyNumberFormat="0" applyBorder="0" applyAlignment="0" applyProtection="0"/>
    <xf numFmtId="0" fontId="80" fillId="65" borderId="0" applyNumberFormat="0" applyBorder="0" applyAlignment="0" applyProtection="0"/>
    <xf numFmtId="0" fontId="80" fillId="66" borderId="0" applyNumberFormat="0" applyBorder="0" applyAlignment="0" applyProtection="0"/>
    <xf numFmtId="0" fontId="246" fillId="53" borderId="47" applyNumberFormat="0" applyAlignment="0" applyProtection="0"/>
    <xf numFmtId="0" fontId="247" fillId="60" borderId="67" applyNumberFormat="0" applyAlignment="0" applyProtection="0"/>
    <xf numFmtId="0" fontId="248" fillId="0" borderId="62" applyNumberFormat="0" applyFill="0" applyAlignment="0" applyProtection="0"/>
    <xf numFmtId="43" fontId="1" fillId="0" borderId="0" applyFont="0" applyFill="0" applyBorder="0" applyAlignment="0" applyProtection="0"/>
    <xf numFmtId="0" fontId="59" fillId="0" borderId="0"/>
    <xf numFmtId="0" fontId="59" fillId="0" borderId="0" applyProtection="0"/>
    <xf numFmtId="43" fontId="59" fillId="0" borderId="0" applyFont="0" applyFill="0" applyBorder="0" applyAlignment="0" applyProtection="0"/>
    <xf numFmtId="0" fontId="66" fillId="0" borderId="9"/>
    <xf numFmtId="41" fontId="67" fillId="5" borderId="9">
      <alignment horizontal="right"/>
    </xf>
    <xf numFmtId="41" fontId="68" fillId="0" borderId="9">
      <alignment horizontal="right"/>
    </xf>
    <xf numFmtId="177" fontId="68" fillId="0" borderId="9">
      <alignment horizontal="right"/>
    </xf>
    <xf numFmtId="0" fontId="68" fillId="0" borderId="9"/>
    <xf numFmtId="177" fontId="67" fillId="5" borderId="9">
      <alignment horizontal="right"/>
    </xf>
    <xf numFmtId="0" fontId="67" fillId="0" borderId="9">
      <alignment horizontal="center"/>
    </xf>
    <xf numFmtId="178" fontId="67" fillId="5" borderId="9">
      <alignment horizontal="right"/>
    </xf>
    <xf numFmtId="178" fontId="68" fillId="0" borderId="9">
      <alignment horizontal="right"/>
    </xf>
    <xf numFmtId="180" fontId="67" fillId="5" borderId="9">
      <alignment horizontal="right"/>
    </xf>
    <xf numFmtId="180" fontId="68" fillId="0" borderId="9">
      <alignment horizontal="right"/>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2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7"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68" fillId="0" borderId="9"/>
    <xf numFmtId="0" fontId="66" fillId="0" borderId="9"/>
    <xf numFmtId="0" fontId="66" fillId="92" borderId="80">
      <alignment horizontal="center"/>
    </xf>
    <xf numFmtId="41" fontId="67" fillId="5" borderId="9"/>
    <xf numFmtId="41" fontId="67" fillId="5" borderId="80" applyBorder="0">
      <alignment vertical="center"/>
    </xf>
    <xf numFmtId="41" fontId="68" fillId="0" borderId="9"/>
    <xf numFmtId="179" fontId="67" fillId="5" borderId="9">
      <alignment horizontal="right"/>
    </xf>
    <xf numFmtId="179" fontId="68" fillId="0" borderId="9">
      <alignment horizontal="right"/>
    </xf>
    <xf numFmtId="0" fontId="66" fillId="0" borderId="9">
      <alignment horizontal="center"/>
    </xf>
    <xf numFmtId="0" fontId="68" fillId="0" borderId="9">
      <alignment horizontal="center"/>
    </xf>
    <xf numFmtId="0" fontId="59" fillId="0" borderId="0" applyProtection="0"/>
    <xf numFmtId="0" fontId="205" fillId="0" borderId="9">
      <alignment horizontal="center"/>
    </xf>
    <xf numFmtId="41" fontId="68" fillId="0" borderId="9">
      <alignment horizontal="right"/>
    </xf>
    <xf numFmtId="0" fontId="79" fillId="65"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94" fillId="57" borderId="0" applyNumberFormat="0" applyBorder="0" applyAlignment="0" applyProtection="0"/>
    <xf numFmtId="0" fontId="95" fillId="57" borderId="0" applyNumberFormat="0" applyBorder="0" applyAlignment="0" applyProtection="0"/>
    <xf numFmtId="0" fontId="94" fillId="57" borderId="0" applyNumberFormat="0" applyBorder="0" applyAlignment="0" applyProtection="0"/>
    <xf numFmtId="0" fontId="101" fillId="60" borderId="47" applyNumberFormat="0" applyAlignment="0" applyProtection="0"/>
    <xf numFmtId="0" fontId="101" fillId="50" borderId="47" applyNumberFormat="0" applyAlignment="0" applyProtection="0"/>
    <xf numFmtId="0" fontId="101" fillId="60" borderId="47" applyNumberFormat="0" applyAlignment="0" applyProtection="0"/>
    <xf numFmtId="0" fontId="105" fillId="78" borderId="48" applyNumberFormat="0" applyAlignment="0" applyProtection="0"/>
    <xf numFmtId="0" fontId="105" fillId="78" borderId="48" applyNumberFormat="0" applyAlignment="0" applyProtection="0"/>
    <xf numFmtId="43" fontId="73" fillId="0" borderId="0" applyFont="0" applyFill="0" applyBorder="0" applyAlignment="0" applyProtection="0"/>
    <xf numFmtId="43" fontId="30"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129" fillId="81" borderId="51" applyNumberFormat="0" applyFont="0" applyAlignment="0" applyProtection="0">
      <protection hidden="1"/>
    </xf>
    <xf numFmtId="0" fontId="72" fillId="0" borderId="0" applyFill="0" applyBorder="0">
      <alignment vertical="center"/>
    </xf>
    <xf numFmtId="0" fontId="139" fillId="0" borderId="54" applyNumberFormat="0" applyFill="0" applyAlignment="0" applyProtection="0"/>
    <xf numFmtId="0" fontId="140" fillId="0" borderId="0" applyFill="0" applyBorder="0">
      <alignment vertical="center"/>
    </xf>
    <xf numFmtId="0" fontId="142" fillId="0" borderId="56" applyNumberFormat="0" applyFill="0" applyAlignment="0" applyProtection="0"/>
    <xf numFmtId="0" fontId="140" fillId="0" borderId="0" applyFill="0" applyBorder="0">
      <alignment vertical="center"/>
    </xf>
    <xf numFmtId="0" fontId="45" fillId="0" borderId="0" applyFill="0" applyBorder="0">
      <alignment vertical="center"/>
    </xf>
    <xf numFmtId="0" fontId="144" fillId="0" borderId="58" applyNumberFormat="0" applyFill="0" applyAlignment="0" applyProtection="0"/>
    <xf numFmtId="0" fontId="19" fillId="0" borderId="0" applyFill="0" applyBorder="0">
      <alignment vertical="center"/>
    </xf>
    <xf numFmtId="0" fontId="144" fillId="0" borderId="0" applyNumberFormat="0" applyFill="0" applyBorder="0" applyAlignment="0" applyProtection="0"/>
    <xf numFmtId="0" fontId="152" fillId="108" borderId="0"/>
    <xf numFmtId="0" fontId="153" fillId="108" borderId="0"/>
    <xf numFmtId="3" fontId="74" fillId="56" borderId="0" applyNumberFormat="0" applyFont="0" applyBorder="0" applyAlignment="0">
      <alignment vertical="top"/>
      <protection locked="0"/>
    </xf>
    <xf numFmtId="0" fontId="158" fillId="61" borderId="47" applyNumberFormat="0" applyAlignment="0" applyProtection="0"/>
    <xf numFmtId="0" fontId="66" fillId="92" borderId="80">
      <alignment horizontal="center"/>
    </xf>
    <xf numFmtId="0" fontId="66" fillId="92" borderId="80">
      <alignment horizontal="center"/>
    </xf>
    <xf numFmtId="41" fontId="67" fillId="5" borderId="80" applyBorder="0">
      <alignment vertical="center"/>
    </xf>
    <xf numFmtId="41" fontId="67" fillId="5" borderId="80" applyBorder="0">
      <alignment vertical="center"/>
    </xf>
    <xf numFmtId="0" fontId="59" fillId="0" borderId="0"/>
    <xf numFmtId="0" fontId="59" fillId="0" borderId="0"/>
    <xf numFmtId="0" fontId="59" fillId="0" borderId="0"/>
    <xf numFmtId="0" fontId="59" fillId="0" borderId="0" applyProtection="0"/>
    <xf numFmtId="0" fontId="59" fillId="0" borderId="0" applyProtection="0"/>
    <xf numFmtId="0" fontId="59" fillId="0" borderId="0"/>
    <xf numFmtId="220" fontId="109" fillId="0" borderId="0"/>
    <xf numFmtId="0" fontId="59" fillId="0" borderId="0" applyProtection="0"/>
    <xf numFmtId="0" fontId="59" fillId="0" borderId="0" applyProtection="0"/>
    <xf numFmtId="0" fontId="59" fillId="0" borderId="0" applyProtection="0"/>
    <xf numFmtId="0" fontId="73" fillId="0" borderId="0"/>
    <xf numFmtId="220" fontId="109" fillId="0" borderId="0"/>
    <xf numFmtId="0" fontId="59" fillId="55" borderId="64" applyNumberFormat="0" applyFont="0" applyAlignment="0" applyProtection="0"/>
    <xf numFmtId="0" fontId="117" fillId="55" borderId="63" applyNumberFormat="0" applyFont="0" applyAlignment="0" applyProtection="0"/>
    <xf numFmtId="0" fontId="198" fillId="50" borderId="67" applyNumberFormat="0" applyAlignment="0" applyProtection="0"/>
    <xf numFmtId="0" fontId="198" fillId="60" borderId="67" applyNumberFormat="0" applyAlignment="0" applyProtection="0"/>
    <xf numFmtId="9" fontId="59" fillId="0" borderId="0" applyFont="0" applyFill="0" applyBorder="0" applyAlignment="0" applyProtection="0"/>
    <xf numFmtId="0" fontId="59" fillId="0" borderId="0" applyFont="0" applyFill="0" applyBorder="0" applyAlignment="0" applyProtection="0"/>
    <xf numFmtId="0" fontId="26" fillId="0" borderId="79" applyNumberFormat="0" applyFill="0" applyAlignment="0" applyProtection="0"/>
    <xf numFmtId="43" fontId="59" fillId="0" borderId="0" applyFont="0" applyFill="0" applyBorder="0" applyAlignment="0" applyProtection="0"/>
    <xf numFmtId="43" fontId="30" fillId="0" borderId="0" applyFont="0" applyFill="0" applyBorder="0" applyAlignment="0" applyProtection="0"/>
    <xf numFmtId="44" fontId="59" fillId="0" borderId="0" applyFont="0" applyFill="0" applyBorder="0" applyAlignment="0" applyProtection="0"/>
    <xf numFmtId="0" fontId="175" fillId="0" borderId="0"/>
    <xf numFmtId="0" fontId="59" fillId="0" borderId="0"/>
    <xf numFmtId="0" fontId="66" fillId="92" borderId="80">
      <alignment horizontal="center"/>
    </xf>
    <xf numFmtId="41" fontId="67" fillId="5" borderId="80" applyBorder="0">
      <alignment vertical="center"/>
    </xf>
    <xf numFmtId="41" fontId="67" fillId="5" borderId="9">
      <alignment horizontal="right"/>
    </xf>
    <xf numFmtId="43" fontId="1" fillId="0" borderId="0" applyFont="0" applyFill="0" applyBorder="0" applyAlignment="0" applyProtection="0"/>
    <xf numFmtId="41" fontId="67" fillId="5" borderId="9">
      <alignment horizontal="right"/>
    </xf>
    <xf numFmtId="41" fontId="68" fillId="0" borderId="9">
      <alignment horizontal="right"/>
    </xf>
    <xf numFmtId="0" fontId="1" fillId="0" borderId="0"/>
    <xf numFmtId="0" fontId="27" fillId="0" borderId="0">
      <alignment vertical="top"/>
    </xf>
    <xf numFmtId="1" fontId="250" fillId="0" borderId="0"/>
    <xf numFmtId="43" fontId="59" fillId="0" borderId="0" applyFont="0" applyFill="0" applyBorder="0" applyAlignment="0" applyProtection="0"/>
    <xf numFmtId="0" fontId="251" fillId="0" borderId="0"/>
    <xf numFmtId="0" fontId="252" fillId="0" borderId="0"/>
    <xf numFmtId="269" fontId="59" fillId="0" borderId="0" applyFont="0" applyFill="0" applyBorder="0" applyAlignment="0" applyProtection="0"/>
    <xf numFmtId="0" fontId="59" fillId="0" borderId="0"/>
    <xf numFmtId="0" fontId="59" fillId="0" borderId="0" applyFont="0" applyFill="0" applyBorder="0" applyAlignment="0" applyProtection="0"/>
    <xf numFmtId="0" fontId="27" fillId="0" borderId="0">
      <alignment vertical="top"/>
    </xf>
    <xf numFmtId="0" fontId="27" fillId="0" borderId="0">
      <alignment vertical="top"/>
    </xf>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59" fillId="0" borderId="0">
      <alignment vertical="top"/>
    </xf>
    <xf numFmtId="0" fontId="59" fillId="0" borderId="0" applyFont="0" applyFill="0" applyBorder="0" applyAlignment="0" applyProtection="0"/>
    <xf numFmtId="0" fontId="59" fillId="0" borderId="0">
      <alignment vertical="top"/>
    </xf>
    <xf numFmtId="0" fontId="59" fillId="0" borderId="0">
      <alignment vertical="top"/>
    </xf>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59" fillId="0" borderId="0">
      <alignment vertical="top"/>
    </xf>
    <xf numFmtId="0" fontId="59" fillId="0" borderId="0">
      <alignment vertical="top"/>
    </xf>
    <xf numFmtId="0" fontId="59" fillId="0" borderId="0" applyFont="0" applyFill="0" applyBorder="0" applyAlignment="0" applyProtection="0"/>
    <xf numFmtId="0" fontId="27" fillId="0" borderId="0">
      <alignment vertical="top"/>
    </xf>
    <xf numFmtId="0" fontId="27" fillId="0" borderId="0">
      <alignment vertical="top"/>
    </xf>
    <xf numFmtId="0" fontId="59"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59" fillId="0" borderId="0" applyFont="0" applyFill="0" applyBorder="0" applyAlignment="0" applyProtection="0"/>
    <xf numFmtId="0" fontId="27" fillId="0" borderId="0">
      <alignment vertical="top"/>
    </xf>
    <xf numFmtId="0" fontId="59"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27" fillId="0" borderId="0">
      <alignment vertical="top"/>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27" fillId="0" borderId="0">
      <alignment vertical="top"/>
    </xf>
    <xf numFmtId="0" fontId="22" fillId="0" borderId="42" applyNumberFormat="0" applyFill="0" applyAlignment="0" applyProtection="0"/>
    <xf numFmtId="0" fontId="22" fillId="0" borderId="42" applyNumberFormat="0" applyFill="0" applyAlignment="0" applyProtection="0"/>
    <xf numFmtId="0" fontId="75" fillId="0" borderId="43" applyNumberFormat="0" applyFill="0" applyProtection="0">
      <alignment horizontal="center"/>
    </xf>
    <xf numFmtId="0" fontId="75" fillId="0" borderId="43" applyNumberFormat="0" applyFill="0" applyProtection="0">
      <alignment horizontal="center"/>
    </xf>
    <xf numFmtId="0" fontId="59" fillId="0" borderId="0" applyFont="0" applyFill="0" applyBorder="0" applyAlignment="0" applyProtection="0"/>
    <xf numFmtId="0" fontId="59" fillId="0" borderId="0" applyFont="0" applyFill="0" applyBorder="0" applyAlignment="0" applyProtection="0"/>
    <xf numFmtId="183" fontId="196" fillId="0" borderId="0" applyFont="0" applyFill="0" applyBorder="0" applyAlignment="0" applyProtection="0"/>
    <xf numFmtId="184" fontId="196"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51" fillId="0" borderId="0"/>
    <xf numFmtId="0" fontId="251" fillId="0" borderId="0"/>
    <xf numFmtId="0" fontId="196" fillId="0" borderId="0"/>
    <xf numFmtId="0" fontId="110" fillId="50" borderId="0" applyNumberFormat="0" applyBorder="0" applyAlignment="0" applyProtection="0"/>
    <xf numFmtId="0" fontId="110" fillId="50" borderId="0" applyNumberFormat="0" applyBorder="0" applyAlignment="0" applyProtection="0"/>
    <xf numFmtId="0" fontId="253" fillId="50" borderId="0" applyNumberFormat="0" applyBorder="0" applyAlignment="0" applyProtection="0"/>
    <xf numFmtId="0" fontId="30" fillId="49"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30" fillId="49" borderId="0" applyNumberFormat="0" applyBorder="0" applyAlignment="0" applyProtection="0"/>
    <xf numFmtId="0" fontId="254" fillId="50" borderId="0" applyNumberFormat="0" applyBorder="0" applyAlignment="0" applyProtection="0"/>
    <xf numFmtId="0" fontId="30" fillId="74"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110" fillId="5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61" fillId="24"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30" fillId="49"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3" borderId="0" applyNumberFormat="0" applyBorder="0" applyAlignment="0" applyProtection="0"/>
    <xf numFmtId="0" fontId="253" fillId="53" borderId="0" applyNumberFormat="0" applyBorder="0" applyAlignment="0" applyProtection="0"/>
    <xf numFmtId="0" fontId="61" fillId="28"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54" fillId="10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110" fillId="53"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30" fillId="52"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253" fillId="71" borderId="0" applyNumberFormat="0" applyBorder="0" applyAlignment="0" applyProtection="0"/>
    <xf numFmtId="0" fontId="61" fillId="32" borderId="0" applyNumberFormat="0" applyBorder="0" applyAlignment="0" applyProtection="0"/>
    <xf numFmtId="0" fontId="30" fillId="56"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254" fillId="71"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5" borderId="0" applyNumberFormat="0" applyBorder="0" applyAlignment="0" applyProtection="0"/>
    <xf numFmtId="0" fontId="110" fillId="71"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30" fillId="56"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110" borderId="0" applyNumberFormat="0" applyBorder="0" applyAlignment="0" applyProtection="0"/>
    <xf numFmtId="0" fontId="253" fillId="110" borderId="0" applyNumberFormat="0" applyBorder="0" applyAlignment="0" applyProtection="0"/>
    <xf numFmtId="0" fontId="30" fillId="57"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254" fillId="60"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3" borderId="0" applyNumberFormat="0" applyBorder="0" applyAlignment="0" applyProtection="0"/>
    <xf numFmtId="0" fontId="110" fillId="110"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61" fillId="36"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253" fillId="50" borderId="0" applyNumberFormat="0" applyBorder="0" applyAlignment="0" applyProtection="0"/>
    <xf numFmtId="0" fontId="61" fillId="4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254" fillId="5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10" fillId="5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30" fillId="5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253" fillId="53" borderId="0" applyNumberFormat="0" applyBorder="0" applyAlignment="0" applyProtection="0"/>
    <xf numFmtId="0" fontId="61" fillId="44"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3" borderId="0" applyNumberFormat="0" applyBorder="0" applyAlignment="0" applyProtection="0"/>
    <xf numFmtId="0" fontId="254"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11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3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4" fontId="59" fillId="0" borderId="0">
      <alignment horizontal="right"/>
    </xf>
    <xf numFmtId="4" fontId="59" fillId="0" borderId="0">
      <alignment horizontal="right"/>
    </xf>
    <xf numFmtId="4" fontId="59" fillId="0" borderId="0">
      <alignment horizontal="right"/>
    </xf>
    <xf numFmtId="0" fontId="110" fillId="50" borderId="0" applyNumberFormat="0" applyBorder="0" applyAlignment="0" applyProtection="0"/>
    <xf numFmtId="0" fontId="110" fillId="50" borderId="0" applyNumberFormat="0" applyBorder="0" applyAlignment="0" applyProtection="0"/>
    <xf numFmtId="0" fontId="61" fillId="25" borderId="0" applyNumberFormat="0" applyBorder="0" applyAlignment="0" applyProtection="0"/>
    <xf numFmtId="0" fontId="30" fillId="48" borderId="0" applyNumberFormat="0" applyBorder="0" applyAlignment="0" applyProtection="0"/>
    <xf numFmtId="0" fontId="30" fillId="58" borderId="0" applyNumberFormat="0" applyBorder="0" applyAlignment="0" applyProtection="0"/>
    <xf numFmtId="0" fontId="30" fillId="60" borderId="0" applyNumberFormat="0" applyBorder="0" applyAlignment="0" applyProtection="0"/>
    <xf numFmtId="0" fontId="30" fillId="48" borderId="0" applyNumberFormat="0" applyBorder="0" applyAlignment="0" applyProtection="0"/>
    <xf numFmtId="0" fontId="254" fillId="5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6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254" fillId="109"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3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253" fillId="71" borderId="0" applyNumberFormat="0" applyBorder="0" applyAlignment="0" applyProtection="0"/>
    <xf numFmtId="0" fontId="30" fillId="62"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2" borderId="0" applyNumberFormat="0" applyBorder="0" applyAlignment="0" applyProtection="0"/>
    <xf numFmtId="0" fontId="254" fillId="71"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1"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1" borderId="0" applyNumberFormat="0" applyBorder="0" applyAlignment="0" applyProtection="0"/>
    <xf numFmtId="0" fontId="110" fillId="71"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30" fillId="62"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253" fillId="110" borderId="0" applyNumberFormat="0" applyBorder="0" applyAlignment="0" applyProtection="0"/>
    <xf numFmtId="0" fontId="30" fillId="57" borderId="0" applyNumberFormat="0" applyBorder="0" applyAlignment="0" applyProtection="0"/>
    <xf numFmtId="0" fontId="30" fillId="52" borderId="0" applyNumberFormat="0" applyBorder="0" applyAlignment="0" applyProtection="0"/>
    <xf numFmtId="0" fontId="30" fillId="57" borderId="0" applyNumberFormat="0" applyBorder="0" applyAlignment="0" applyProtection="0"/>
    <xf numFmtId="0" fontId="254" fillId="79"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61" fillId="37"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30" fillId="57"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253" fillId="50" borderId="0" applyNumberFormat="0" applyBorder="0" applyAlignment="0" applyProtection="0"/>
    <xf numFmtId="0" fontId="61" fillId="41" borderId="0" applyNumberFormat="0" applyBorder="0" applyAlignment="0" applyProtection="0"/>
    <xf numFmtId="0" fontId="30" fillId="48" borderId="0" applyNumberFormat="0" applyBorder="0" applyAlignment="0" applyProtection="0"/>
    <xf numFmtId="0" fontId="30" fillId="58" borderId="0" applyNumberFormat="0" applyBorder="0" applyAlignment="0" applyProtection="0"/>
    <xf numFmtId="0" fontId="30" fillId="48" borderId="0" applyNumberFormat="0" applyBorder="0" applyAlignment="0" applyProtection="0"/>
    <xf numFmtId="0" fontId="254" fillId="5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61" fillId="45" borderId="0" applyNumberFormat="0" applyBorder="0" applyAlignment="0" applyProtection="0"/>
    <xf numFmtId="0" fontId="110" fillId="53" borderId="0" applyNumberFormat="0" applyBorder="0" applyAlignment="0" applyProtection="0"/>
    <xf numFmtId="0" fontId="253" fillId="53" borderId="0" applyNumberFormat="0" applyBorder="0" applyAlignment="0" applyProtection="0"/>
    <xf numFmtId="0" fontId="30" fillId="63" borderId="0" applyNumberFormat="0" applyBorder="0" applyAlignment="0" applyProtection="0"/>
    <xf numFmtId="0" fontId="30" fillId="55" borderId="0" applyNumberFormat="0" applyBorder="0" applyAlignment="0" applyProtection="0"/>
    <xf numFmtId="0" fontId="30" fillId="61" borderId="0" applyNumberFormat="0" applyBorder="0" applyAlignment="0" applyProtection="0"/>
    <xf numFmtId="0" fontId="30" fillId="63" borderId="0" applyNumberFormat="0" applyBorder="0" applyAlignment="0" applyProtection="0"/>
    <xf numFmtId="0" fontId="254" fillId="5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1"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1" borderId="0" applyNumberFormat="0" applyBorder="0" applyAlignment="0" applyProtection="0"/>
    <xf numFmtId="0" fontId="110" fillId="5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30" fillId="6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30" fillId="50" borderId="0" applyNumberFormat="0" applyBorder="0" applyAlignment="0" applyProtection="0"/>
    <xf numFmtId="0" fontId="255" fillId="50" borderId="0" applyNumberFormat="0" applyBorder="0" applyAlignment="0" applyProtection="0"/>
    <xf numFmtId="0" fontId="256" fillId="26" borderId="0" applyNumberFormat="0" applyBorder="0" applyAlignment="0" applyProtection="0"/>
    <xf numFmtId="0" fontId="79" fillId="64" borderId="0" applyNumberFormat="0" applyBorder="0" applyAlignment="0" applyProtection="0"/>
    <xf numFmtId="0" fontId="79" fillId="58" borderId="0" applyNumberFormat="0" applyBorder="0" applyAlignment="0" applyProtection="0"/>
    <xf numFmtId="0" fontId="79" fillId="65" borderId="0" applyNumberFormat="0" applyBorder="0" applyAlignment="0" applyProtection="0"/>
    <xf numFmtId="0" fontId="79" fillId="64" borderId="0" applyNumberFormat="0" applyBorder="0" applyAlignment="0" applyProtection="0"/>
    <xf numFmtId="0" fontId="257" fillId="50"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5" borderId="0" applyNumberFormat="0" applyBorder="0" applyAlignment="0" applyProtection="0"/>
    <xf numFmtId="0" fontId="79" fillId="64" borderId="0" applyNumberFormat="0" applyBorder="0" applyAlignment="0" applyProtection="0"/>
    <xf numFmtId="0" fontId="79" fillId="65" borderId="0" applyNumberFormat="0" applyBorder="0" applyAlignment="0" applyProtection="0"/>
    <xf numFmtId="0" fontId="79" fillId="64" borderId="0" applyNumberFormat="0" applyBorder="0" applyAlignment="0" applyProtection="0"/>
    <xf numFmtId="0" fontId="30" fillId="50"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79" fillId="51" borderId="0" applyNumberFormat="0" applyBorder="0" applyAlignment="0" applyProtection="0"/>
    <xf numFmtId="0" fontId="79" fillId="66" borderId="0" applyNumberFormat="0" applyBorder="0" applyAlignment="0" applyProtection="0"/>
    <xf numFmtId="0" fontId="79" fillId="51" borderId="0" applyNumberFormat="0" applyBorder="0" applyAlignment="0" applyProtection="0"/>
    <xf numFmtId="0" fontId="257" fillId="109" borderId="0" applyNumberFormat="0" applyBorder="0" applyAlignment="0" applyProtection="0"/>
    <xf numFmtId="0" fontId="79" fillId="51" borderId="0" applyNumberFormat="0" applyBorder="0" applyAlignment="0" applyProtection="0"/>
    <xf numFmtId="0" fontId="79" fillId="58" borderId="0" applyNumberFormat="0" applyBorder="0" applyAlignment="0" applyProtection="0"/>
    <xf numFmtId="0" fontId="79" fillId="51" borderId="0" applyNumberFormat="0" applyBorder="0" applyAlignment="0" applyProtection="0"/>
    <xf numFmtId="0" fontId="30" fillId="51" borderId="0" applyNumberFormat="0" applyBorder="0" applyAlignment="0" applyProtection="0"/>
    <xf numFmtId="0" fontId="79" fillId="51" borderId="0" applyNumberFormat="0" applyBorder="0" applyAlignment="0" applyProtection="0"/>
    <xf numFmtId="0" fontId="30" fillId="51" borderId="0" applyNumberFormat="0" applyBorder="0" applyAlignment="0" applyProtection="0"/>
    <xf numFmtId="0" fontId="255" fillId="51" borderId="0" applyNumberFormat="0" applyBorder="0" applyAlignment="0" applyProtection="0"/>
    <xf numFmtId="0" fontId="256" fillId="30" borderId="0" applyNumberFormat="0" applyBorder="0" applyAlignment="0" applyProtection="0"/>
    <xf numFmtId="0" fontId="30" fillId="71" borderId="0" applyNumberFormat="0" applyBorder="0" applyAlignment="0" applyProtection="0"/>
    <xf numFmtId="0" fontId="255" fillId="71" borderId="0" applyNumberFormat="0" applyBorder="0" applyAlignment="0" applyProtection="0"/>
    <xf numFmtId="0" fontId="256" fillId="34" borderId="0" applyNumberFormat="0" applyBorder="0" applyAlignment="0" applyProtection="0"/>
    <xf numFmtId="0" fontId="79" fillId="62" borderId="0" applyNumberFormat="0" applyBorder="0" applyAlignment="0" applyProtection="0"/>
    <xf numFmtId="0" fontId="79" fillId="63" borderId="0" applyNumberFormat="0" applyBorder="0" applyAlignment="0" applyProtection="0"/>
    <xf numFmtId="0" fontId="79" fillId="62" borderId="0" applyNumberFormat="0" applyBorder="0" applyAlignment="0" applyProtection="0"/>
    <xf numFmtId="0" fontId="257" fillId="71"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58" borderId="0" applyNumberFormat="0" applyBorder="0" applyAlignment="0" applyProtection="0"/>
    <xf numFmtId="0" fontId="79" fillId="62" borderId="0" applyNumberFormat="0" applyBorder="0" applyAlignment="0" applyProtection="0"/>
    <xf numFmtId="0" fontId="79" fillId="61" borderId="0" applyNumberFormat="0" applyBorder="0" applyAlignment="0" applyProtection="0"/>
    <xf numFmtId="0" fontId="79" fillId="62" borderId="0" applyNumberFormat="0" applyBorder="0" applyAlignment="0" applyProtection="0"/>
    <xf numFmtId="0" fontId="30" fillId="71"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110" borderId="0" applyNumberFormat="0" applyBorder="0" applyAlignment="0" applyProtection="0"/>
    <xf numFmtId="0" fontId="255" fillId="110" borderId="0" applyNumberFormat="0" applyBorder="0" applyAlignment="0" applyProtection="0"/>
    <xf numFmtId="0" fontId="256" fillId="38" borderId="0" applyNumberFormat="0" applyBorder="0" applyAlignment="0" applyProtection="0"/>
    <xf numFmtId="0" fontId="79" fillId="67" borderId="0" applyNumberFormat="0" applyBorder="0" applyAlignment="0" applyProtection="0"/>
    <xf numFmtId="0" fontId="79" fillId="52" borderId="0" applyNumberFormat="0" applyBorder="0" applyAlignment="0" applyProtection="0"/>
    <xf numFmtId="0" fontId="79" fillId="60" borderId="0" applyNumberFormat="0" applyBorder="0" applyAlignment="0" applyProtection="0"/>
    <xf numFmtId="0" fontId="79" fillId="67" borderId="0" applyNumberFormat="0" applyBorder="0" applyAlignment="0" applyProtection="0"/>
    <xf numFmtId="0" fontId="257" fillId="79"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9" fillId="60" borderId="0" applyNumberFormat="0" applyBorder="0" applyAlignment="0" applyProtection="0"/>
    <xf numFmtId="0" fontId="79" fillId="67" borderId="0" applyNumberFormat="0" applyBorder="0" applyAlignment="0" applyProtection="0"/>
    <xf numFmtId="0" fontId="79" fillId="60" borderId="0" applyNumberFormat="0" applyBorder="0" applyAlignment="0" applyProtection="0"/>
    <xf numFmtId="0" fontId="79" fillId="67" borderId="0" applyNumberFormat="0" applyBorder="0" applyAlignment="0" applyProtection="0"/>
    <xf numFmtId="0" fontId="30" fillId="110"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30" fillId="110" borderId="0" applyNumberFormat="0" applyBorder="0" applyAlignment="0" applyProtection="0"/>
    <xf numFmtId="0" fontId="30" fillId="110" borderId="0" applyNumberFormat="0" applyBorder="0" applyAlignment="0" applyProtection="0"/>
    <xf numFmtId="0" fontId="30" fillId="110" borderId="0" applyNumberFormat="0" applyBorder="0" applyAlignment="0" applyProtection="0"/>
    <xf numFmtId="0" fontId="30" fillId="110" borderId="0" applyNumberFormat="0" applyBorder="0" applyAlignment="0" applyProtection="0"/>
    <xf numFmtId="0" fontId="79" fillId="65" borderId="0" applyNumberFormat="0" applyBorder="0" applyAlignment="0" applyProtection="0"/>
    <xf numFmtId="0" fontId="79" fillId="58" borderId="0" applyNumberFormat="0" applyBorder="0" applyAlignment="0" applyProtection="0"/>
    <xf numFmtId="0" fontId="79" fillId="65" borderId="0" applyNumberFormat="0" applyBorder="0" applyAlignment="0" applyProtection="0"/>
    <xf numFmtId="0" fontId="257" fillId="50"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256" fillId="42" borderId="0" applyNumberFormat="0" applyBorder="0" applyAlignment="0" applyProtection="0"/>
    <xf numFmtId="0" fontId="79" fillId="65" borderId="0" applyNumberFormat="0" applyBorder="0" applyAlignment="0" applyProtection="0"/>
    <xf numFmtId="0" fontId="30" fillId="50" borderId="0" applyNumberFormat="0" applyBorder="0" applyAlignment="0" applyProtection="0"/>
    <xf numFmtId="0" fontId="79" fillId="65" borderId="0" applyNumberFormat="0" applyBorder="0" applyAlignment="0" applyProtection="0"/>
    <xf numFmtId="0" fontId="30" fillId="50" borderId="0" applyNumberFormat="0" applyBorder="0" applyAlignment="0" applyProtection="0"/>
    <xf numFmtId="0" fontId="255" fillId="50" borderId="0" applyNumberFormat="0" applyBorder="0" applyAlignment="0" applyProtection="0"/>
    <xf numFmtId="0" fontId="30" fillId="53" borderId="0" applyNumberFormat="0" applyBorder="0" applyAlignment="0" applyProtection="0"/>
    <xf numFmtId="0" fontId="255" fillId="53" borderId="0" applyNumberFormat="0" applyBorder="0" applyAlignment="0" applyProtection="0"/>
    <xf numFmtId="0" fontId="256" fillId="46" borderId="0" applyNumberFormat="0" applyBorder="0" applyAlignment="0" applyProtection="0"/>
    <xf numFmtId="0" fontId="79" fillId="6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68" borderId="0" applyNumberFormat="0" applyBorder="0" applyAlignment="0" applyProtection="0"/>
    <xf numFmtId="0" fontId="257" fillId="53"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53" borderId="0" applyNumberFormat="0" applyBorder="0" applyAlignment="0" applyProtection="0"/>
    <xf numFmtId="0" fontId="79" fillId="68" borderId="0" applyNumberFormat="0" applyBorder="0" applyAlignment="0" applyProtection="0"/>
    <xf numFmtId="0" fontId="79" fillId="51" borderId="0" applyNumberFormat="0" applyBorder="0" applyAlignment="0" applyProtection="0"/>
    <xf numFmtId="0" fontId="79" fillId="68" borderId="0" applyNumberFormat="0" applyBorder="0" applyAlignment="0" applyProtection="0"/>
    <xf numFmtId="0" fontId="30" fillId="53"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14" fontId="258" fillId="0" borderId="0"/>
    <xf numFmtId="0" fontId="30" fillId="65" borderId="0" applyNumberFormat="0" applyBorder="0" applyAlignment="0" applyProtection="0"/>
    <xf numFmtId="0" fontId="255" fillId="65" borderId="0" applyNumberFormat="0" applyBorder="0" applyAlignment="0" applyProtection="0"/>
    <xf numFmtId="0" fontId="256" fillId="23" borderId="0" applyNumberFormat="0" applyBorder="0" applyAlignment="0" applyProtection="0"/>
    <xf numFmtId="0" fontId="79" fillId="70" borderId="0" applyNumberFormat="0" applyBorder="0" applyAlignment="0" applyProtection="0"/>
    <xf numFmtId="0" fontId="79" fillId="69" borderId="0" applyNumberFormat="0" applyBorder="0" applyAlignment="0" applyProtection="0"/>
    <xf numFmtId="0" fontId="79" fillId="65" borderId="0" applyNumberFormat="0" applyBorder="0" applyAlignment="0" applyProtection="0"/>
    <xf numFmtId="0" fontId="79" fillId="70" borderId="0" applyNumberFormat="0" applyBorder="0" applyAlignment="0" applyProtection="0"/>
    <xf numFmtId="0" fontId="257" fillId="65"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65" borderId="0" applyNumberFormat="0" applyBorder="0" applyAlignment="0" applyProtection="0"/>
    <xf numFmtId="0" fontId="79" fillId="70" borderId="0" applyNumberFormat="0" applyBorder="0" applyAlignment="0" applyProtection="0"/>
    <xf numFmtId="0" fontId="30" fillId="65"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79" fillId="71" borderId="0" applyNumberFormat="0" applyBorder="0" applyAlignment="0" applyProtection="0"/>
    <xf numFmtId="0" fontId="79" fillId="66" borderId="0" applyNumberFormat="0" applyBorder="0" applyAlignment="0" applyProtection="0"/>
    <xf numFmtId="0" fontId="79" fillId="71" borderId="0" applyNumberFormat="0" applyBorder="0" applyAlignment="0" applyProtection="0"/>
    <xf numFmtId="0" fontId="257" fillId="109"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30" fillId="66" borderId="0" applyNumberFormat="0" applyBorder="0" applyAlignment="0" applyProtection="0"/>
    <xf numFmtId="0" fontId="79" fillId="71" borderId="0" applyNumberFormat="0" applyBorder="0" applyAlignment="0" applyProtection="0"/>
    <xf numFmtId="0" fontId="30" fillId="66" borderId="0" applyNumberFormat="0" applyBorder="0" applyAlignment="0" applyProtection="0"/>
    <xf numFmtId="0" fontId="255" fillId="66" borderId="0" applyNumberFormat="0" applyBorder="0" applyAlignment="0" applyProtection="0"/>
    <xf numFmtId="0" fontId="256" fillId="27" borderId="0" applyNumberFormat="0" applyBorder="0" applyAlignment="0" applyProtection="0"/>
    <xf numFmtId="0" fontId="79" fillId="73" borderId="0" applyNumberFormat="0" applyBorder="0" applyAlignment="0" applyProtection="0"/>
    <xf numFmtId="0" fontId="79" fillId="63" borderId="0" applyNumberFormat="0" applyBorder="0" applyAlignment="0" applyProtection="0"/>
    <xf numFmtId="0" fontId="79" fillId="73" borderId="0" applyNumberFormat="0" applyBorder="0" applyAlignment="0" applyProtection="0"/>
    <xf numFmtId="0" fontId="257"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30" fillId="73" borderId="0" applyNumberFormat="0" applyBorder="0" applyAlignment="0" applyProtection="0"/>
    <xf numFmtId="0" fontId="79" fillId="73" borderId="0" applyNumberFormat="0" applyBorder="0" applyAlignment="0" applyProtection="0"/>
    <xf numFmtId="0" fontId="30" fillId="73" borderId="0" applyNumberFormat="0" applyBorder="0" applyAlignment="0" applyProtection="0"/>
    <xf numFmtId="0" fontId="255" fillId="73" borderId="0" applyNumberFormat="0" applyBorder="0" applyAlignment="0" applyProtection="0"/>
    <xf numFmtId="0" fontId="256" fillId="31" borderId="0" applyNumberFormat="0" applyBorder="0" applyAlignment="0" applyProtection="0"/>
    <xf numFmtId="0" fontId="30" fillId="74" borderId="0" applyNumberFormat="0" applyBorder="0" applyAlignment="0" applyProtection="0"/>
    <xf numFmtId="0" fontId="255" fillId="74" borderId="0" applyNumberFormat="0" applyBorder="0" applyAlignment="0" applyProtection="0"/>
    <xf numFmtId="0" fontId="256" fillId="35" borderId="0" applyNumberFormat="0" applyBorder="0" applyAlignment="0" applyProtection="0"/>
    <xf numFmtId="0" fontId="79" fillId="67" borderId="0" applyNumberFormat="0" applyBorder="0" applyAlignment="0" applyProtection="0"/>
    <xf numFmtId="0" fontId="79" fillId="74" borderId="0" applyNumberFormat="0" applyBorder="0" applyAlignment="0" applyProtection="0"/>
    <xf numFmtId="0" fontId="79" fillId="74" borderId="0" applyNumberFormat="0" applyBorder="0" applyAlignment="0" applyProtection="0"/>
    <xf numFmtId="0" fontId="79" fillId="67" borderId="0" applyNumberFormat="0" applyBorder="0" applyAlignment="0" applyProtection="0"/>
    <xf numFmtId="0" fontId="257" fillId="74"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9" fillId="74" borderId="0" applyNumberFormat="0" applyBorder="0" applyAlignment="0" applyProtection="0"/>
    <xf numFmtId="0" fontId="79" fillId="67" borderId="0" applyNumberFormat="0" applyBorder="0" applyAlignment="0" applyProtection="0"/>
    <xf numFmtId="0" fontId="30" fillId="74"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79" fillId="65" borderId="0" applyNumberFormat="0" applyBorder="0" applyAlignment="0" applyProtection="0"/>
    <xf numFmtId="0" fontId="257"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30" fillId="65" borderId="0" applyNumberFormat="0" applyBorder="0" applyAlignment="0" applyProtection="0"/>
    <xf numFmtId="0" fontId="79" fillId="65" borderId="0" applyNumberFormat="0" applyBorder="0" applyAlignment="0" applyProtection="0"/>
    <xf numFmtId="0" fontId="30" fillId="65" borderId="0" applyNumberFormat="0" applyBorder="0" applyAlignment="0" applyProtection="0"/>
    <xf numFmtId="0" fontId="255" fillId="65" borderId="0" applyNumberFormat="0" applyBorder="0" applyAlignment="0" applyProtection="0"/>
    <xf numFmtId="0" fontId="256" fillId="39"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30" fillId="66" borderId="0" applyNumberFormat="0" applyBorder="0" applyAlignment="0" applyProtection="0"/>
    <xf numFmtId="0" fontId="79" fillId="66" borderId="0" applyNumberFormat="0" applyBorder="0" applyAlignment="0" applyProtection="0"/>
    <xf numFmtId="0" fontId="30" fillId="66" borderId="0" applyNumberFormat="0" applyBorder="0" applyAlignment="0" applyProtection="0"/>
    <xf numFmtId="0" fontId="255" fillId="66" borderId="0" applyNumberFormat="0" applyBorder="0" applyAlignment="0" applyProtection="0"/>
    <xf numFmtId="0" fontId="256" fillId="43" borderId="0" applyNumberFormat="0" applyBorder="0" applyAlignment="0" applyProtection="0"/>
    <xf numFmtId="6" fontId="59" fillId="0" borderId="0" applyFont="0" applyFill="0" applyBorder="0" applyAlignment="0" applyProtection="0"/>
    <xf numFmtId="8" fontId="59" fillId="0" borderId="0" applyFont="0" applyFill="0" applyBorder="0" applyAlignment="0" applyProtection="0"/>
    <xf numFmtId="270" fontId="99" fillId="103" borderId="8" applyNumberFormat="0" applyFont="0" applyBorder="0" applyAlignment="0">
      <alignment vertical="top" wrapText="1"/>
    </xf>
    <xf numFmtId="5" fontId="83" fillId="0" borderId="44">
      <alignment horizontal="center" vertical="center"/>
      <protection locked="0"/>
    </xf>
    <xf numFmtId="5" fontId="83" fillId="0" borderId="44">
      <alignment horizontal="center" vertical="center"/>
      <protection locked="0"/>
    </xf>
    <xf numFmtId="5" fontId="83" fillId="0" borderId="44">
      <alignment horizontal="center" vertical="center"/>
      <protection locked="0"/>
    </xf>
    <xf numFmtId="5" fontId="83" fillId="0" borderId="44">
      <alignment horizontal="center" vertical="center"/>
      <protection locked="0"/>
    </xf>
    <xf numFmtId="5" fontId="83" fillId="0" borderId="44">
      <alignment horizontal="center" vertical="center"/>
      <protection locked="0"/>
    </xf>
    <xf numFmtId="185" fontId="83" fillId="0" borderId="44">
      <alignment horizontal="center" vertical="center"/>
      <protection locked="0"/>
    </xf>
    <xf numFmtId="185" fontId="83" fillId="0" borderId="44">
      <alignment horizontal="center" vertical="center"/>
      <protection locked="0"/>
    </xf>
    <xf numFmtId="185" fontId="83" fillId="0" borderId="44">
      <alignment horizontal="center" vertical="center"/>
      <protection locked="0"/>
    </xf>
    <xf numFmtId="185" fontId="83" fillId="0" borderId="44">
      <alignment horizontal="center" vertical="center"/>
      <protection locked="0"/>
    </xf>
    <xf numFmtId="185" fontId="83" fillId="0" borderId="44">
      <alignment horizontal="center" vertical="center"/>
      <protection locked="0"/>
    </xf>
    <xf numFmtId="186" fontId="83" fillId="0" borderId="44">
      <alignment horizontal="center" vertical="center"/>
      <protection locked="0"/>
    </xf>
    <xf numFmtId="186" fontId="83" fillId="0" borderId="44">
      <alignment horizontal="center" vertical="center"/>
      <protection locked="0"/>
    </xf>
    <xf numFmtId="186" fontId="83" fillId="0" borderId="44">
      <alignment horizontal="center" vertical="center"/>
      <protection locked="0"/>
    </xf>
    <xf numFmtId="186" fontId="83" fillId="0" borderId="44">
      <alignment horizontal="center" vertical="center"/>
      <protection locked="0"/>
    </xf>
    <xf numFmtId="186" fontId="83" fillId="0" borderId="44">
      <alignment horizontal="center" vertical="center"/>
      <protection locked="0"/>
    </xf>
    <xf numFmtId="37" fontId="83" fillId="0" borderId="44">
      <alignment horizontal="center" vertical="center"/>
      <protection locked="0"/>
    </xf>
    <xf numFmtId="37" fontId="83" fillId="0" borderId="44">
      <alignment horizontal="center" vertical="center"/>
      <protection locked="0"/>
    </xf>
    <xf numFmtId="37" fontId="83" fillId="0" borderId="44">
      <alignment horizontal="center" vertical="center"/>
      <protection locked="0"/>
    </xf>
    <xf numFmtId="37" fontId="83" fillId="0" borderId="44">
      <alignment horizontal="center" vertical="center"/>
      <protection locked="0"/>
    </xf>
    <xf numFmtId="37" fontId="83" fillId="0" borderId="44">
      <alignment horizontal="center" vertical="center"/>
      <protection locked="0"/>
    </xf>
    <xf numFmtId="187" fontId="83" fillId="0" borderId="44">
      <alignment horizontal="center" vertical="center"/>
      <protection locked="0"/>
    </xf>
    <xf numFmtId="187" fontId="83" fillId="0" borderId="44">
      <alignment horizontal="center" vertical="center"/>
      <protection locked="0"/>
    </xf>
    <xf numFmtId="187" fontId="83" fillId="0" borderId="44">
      <alignment horizontal="center" vertical="center"/>
      <protection locked="0"/>
    </xf>
    <xf numFmtId="187" fontId="83" fillId="0" borderId="44">
      <alignment horizontal="center" vertical="center"/>
      <protection locked="0"/>
    </xf>
    <xf numFmtId="187"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188" fontId="83" fillId="0" borderId="44">
      <alignment horizontal="center" vertical="center"/>
      <protection locked="0"/>
    </xf>
    <xf numFmtId="188" fontId="83" fillId="0" borderId="44">
      <alignment horizontal="center" vertical="center"/>
      <protection locked="0"/>
    </xf>
    <xf numFmtId="188" fontId="83" fillId="0" borderId="44">
      <alignment horizontal="center" vertical="center"/>
      <protection locked="0"/>
    </xf>
    <xf numFmtId="188" fontId="83" fillId="0" borderId="44">
      <alignment horizontal="center" vertical="center"/>
      <protection locked="0"/>
    </xf>
    <xf numFmtId="188" fontId="83" fillId="0" borderId="44">
      <alignment horizontal="center" vertical="center"/>
      <protection locked="0"/>
    </xf>
    <xf numFmtId="190" fontId="19" fillId="0" borderId="44">
      <alignment horizontal="center" vertical="center"/>
      <protection locked="0"/>
    </xf>
    <xf numFmtId="190" fontId="19" fillId="0" borderId="44">
      <alignment horizontal="center" vertical="center"/>
      <protection locked="0"/>
    </xf>
    <xf numFmtId="14" fontId="19" fillId="0" borderId="44">
      <alignment horizontal="center" vertical="center"/>
      <protection locked="0"/>
    </xf>
    <xf numFmtId="14" fontId="19" fillId="0" borderId="44">
      <alignment horizontal="center" vertical="center"/>
      <protection locked="0"/>
    </xf>
    <xf numFmtId="193" fontId="19" fillId="0" borderId="44">
      <alignment horizontal="center" vertical="center"/>
      <protection locked="0"/>
    </xf>
    <xf numFmtId="193" fontId="19" fillId="0" borderId="44">
      <alignment horizontal="center" vertical="center"/>
      <protection locked="0"/>
    </xf>
    <xf numFmtId="195" fontId="19" fillId="0" borderId="44">
      <alignment horizontal="center" vertical="center"/>
      <protection locked="0"/>
    </xf>
    <xf numFmtId="195" fontId="19" fillId="0" borderId="44">
      <alignment horizontal="center" vertical="center"/>
      <protection locked="0"/>
    </xf>
    <xf numFmtId="196" fontId="19" fillId="0" borderId="44">
      <alignment horizontal="center" vertical="center"/>
      <protection locked="0"/>
    </xf>
    <xf numFmtId="196" fontId="19" fillId="0" borderId="44">
      <alignment horizontal="center" vertical="center"/>
      <protection locked="0"/>
    </xf>
    <xf numFmtId="197" fontId="19" fillId="0" borderId="44">
      <alignment horizontal="center" vertical="center"/>
      <protection locked="0"/>
    </xf>
    <xf numFmtId="197" fontId="19" fillId="0" borderId="44">
      <alignment horizontal="center" vertical="center"/>
      <protection locked="0"/>
    </xf>
    <xf numFmtId="198" fontId="83" fillId="0" borderId="44">
      <alignment vertical="center"/>
      <protection locked="0"/>
    </xf>
    <xf numFmtId="198" fontId="83" fillId="0" borderId="44">
      <alignment vertical="center"/>
      <protection locked="0"/>
    </xf>
    <xf numFmtId="198" fontId="83" fillId="0" borderId="44">
      <alignment vertical="center"/>
      <protection locked="0"/>
    </xf>
    <xf numFmtId="198" fontId="83" fillId="0" borderId="44">
      <alignment vertical="center"/>
      <protection locked="0"/>
    </xf>
    <xf numFmtId="198" fontId="83" fillId="0" borderId="44">
      <alignment vertical="center"/>
      <protection locked="0"/>
    </xf>
    <xf numFmtId="199" fontId="83" fillId="0" borderId="44">
      <alignment horizontal="right" vertical="center"/>
      <protection locked="0"/>
    </xf>
    <xf numFmtId="199" fontId="83" fillId="0" borderId="44">
      <alignment horizontal="right" vertical="center"/>
      <protection locked="0"/>
    </xf>
    <xf numFmtId="199" fontId="83" fillId="0" borderId="44">
      <alignment horizontal="right" vertical="center"/>
      <protection locked="0"/>
    </xf>
    <xf numFmtId="199" fontId="83" fillId="0" borderId="44">
      <alignment horizontal="right" vertical="center"/>
      <protection locked="0"/>
    </xf>
    <xf numFmtId="199" fontId="83" fillId="0" borderId="44">
      <alignment horizontal="right" vertical="center"/>
      <protection locked="0"/>
    </xf>
    <xf numFmtId="200" fontId="83" fillId="0" borderId="44">
      <alignment vertical="center"/>
      <protection locked="0"/>
    </xf>
    <xf numFmtId="200" fontId="83" fillId="0" borderId="44">
      <alignment vertical="center"/>
      <protection locked="0"/>
    </xf>
    <xf numFmtId="200" fontId="83" fillId="0" borderId="44">
      <alignment vertical="center"/>
      <protection locked="0"/>
    </xf>
    <xf numFmtId="200" fontId="83" fillId="0" borderId="44">
      <alignment vertical="center"/>
      <protection locked="0"/>
    </xf>
    <xf numFmtId="200" fontId="83" fillId="0" borderId="44">
      <alignment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0" fontId="19" fillId="0" borderId="44" applyAlignment="0">
      <protection locked="0"/>
    </xf>
    <xf numFmtId="0" fontId="19" fillId="0" borderId="44" applyAlignment="0">
      <protection locked="0"/>
    </xf>
    <xf numFmtId="204" fontId="83" fillId="0" borderId="44">
      <alignment horizontal="center" vertical="center"/>
      <protection locked="0"/>
    </xf>
    <xf numFmtId="204" fontId="83" fillId="0" borderId="44">
      <alignment horizontal="center" vertical="center"/>
      <protection locked="0"/>
    </xf>
    <xf numFmtId="204" fontId="83" fillId="0" borderId="44">
      <alignment horizontal="center" vertical="center"/>
      <protection locked="0"/>
    </xf>
    <xf numFmtId="204" fontId="83" fillId="0" borderId="44">
      <alignment horizontal="center" vertical="center"/>
      <protection locked="0"/>
    </xf>
    <xf numFmtId="204" fontId="83" fillId="0" borderId="44">
      <alignment horizontal="center" vertical="center"/>
      <protection locked="0"/>
    </xf>
    <xf numFmtId="14" fontId="83" fillId="0" borderId="44">
      <alignment horizontal="center" vertical="center"/>
      <protection locked="0"/>
    </xf>
    <xf numFmtId="14" fontId="83" fillId="0" borderId="44">
      <alignment horizontal="center" vertical="center"/>
      <protection locked="0"/>
    </xf>
    <xf numFmtId="14" fontId="83" fillId="0" borderId="44">
      <alignment horizontal="center" vertical="center"/>
      <protection locked="0"/>
    </xf>
    <xf numFmtId="14" fontId="83" fillId="0" borderId="44">
      <alignment horizontal="center" vertical="center"/>
      <protection locked="0"/>
    </xf>
    <xf numFmtId="14" fontId="83" fillId="0" borderId="44">
      <alignment horizontal="center" vertical="center"/>
      <protection locked="0"/>
    </xf>
    <xf numFmtId="205" fontId="83" fillId="0" borderId="44">
      <alignment horizontal="center" vertical="center"/>
      <protection locked="0"/>
    </xf>
    <xf numFmtId="205" fontId="83" fillId="0" borderId="44">
      <alignment horizontal="center" vertical="center"/>
      <protection locked="0"/>
    </xf>
    <xf numFmtId="205" fontId="83" fillId="0" borderId="44">
      <alignment horizontal="center" vertical="center"/>
      <protection locked="0"/>
    </xf>
    <xf numFmtId="205" fontId="83" fillId="0" borderId="44">
      <alignment horizontal="center" vertical="center"/>
      <protection locked="0"/>
    </xf>
    <xf numFmtId="205" fontId="83" fillId="0" borderId="44">
      <alignment horizontal="center" vertical="center"/>
      <protection locked="0"/>
    </xf>
    <xf numFmtId="206" fontId="83" fillId="0" borderId="44">
      <alignment horizontal="center" vertical="center"/>
      <protection locked="0"/>
    </xf>
    <xf numFmtId="206" fontId="83" fillId="0" borderId="44">
      <alignment horizontal="center" vertical="center"/>
      <protection locked="0"/>
    </xf>
    <xf numFmtId="206" fontId="83" fillId="0" borderId="44">
      <alignment horizontal="center" vertical="center"/>
      <protection locked="0"/>
    </xf>
    <xf numFmtId="206" fontId="83" fillId="0" borderId="44">
      <alignment horizontal="center" vertical="center"/>
      <protection locked="0"/>
    </xf>
    <xf numFmtId="206" fontId="83" fillId="0" borderId="44">
      <alignment horizontal="center" vertical="center"/>
      <protection locked="0"/>
    </xf>
    <xf numFmtId="207" fontId="83" fillId="0" borderId="44">
      <alignment horizontal="center" vertical="center"/>
      <protection locked="0"/>
    </xf>
    <xf numFmtId="207" fontId="83" fillId="0" borderId="44">
      <alignment horizontal="center" vertical="center"/>
      <protection locked="0"/>
    </xf>
    <xf numFmtId="207" fontId="83" fillId="0" borderId="44">
      <alignment horizontal="center" vertical="center"/>
      <protection locked="0"/>
    </xf>
    <xf numFmtId="207" fontId="83" fillId="0" borderId="44">
      <alignment horizontal="center" vertical="center"/>
      <protection locked="0"/>
    </xf>
    <xf numFmtId="207"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208" fontId="83" fillId="0" borderId="44">
      <alignment horizontal="center" vertical="center"/>
      <protection locked="0"/>
    </xf>
    <xf numFmtId="208" fontId="83" fillId="0" borderId="44">
      <alignment horizontal="center" vertical="center"/>
      <protection locked="0"/>
    </xf>
    <xf numFmtId="208" fontId="83" fillId="0" borderId="44">
      <alignment horizontal="center" vertical="center"/>
      <protection locked="0"/>
    </xf>
    <xf numFmtId="208" fontId="83" fillId="0" borderId="44">
      <alignment horizontal="center" vertical="center"/>
      <protection locked="0"/>
    </xf>
    <xf numFmtId="208" fontId="83" fillId="0" borderId="44">
      <alignment horizontal="center" vertical="center"/>
      <protection locked="0"/>
    </xf>
    <xf numFmtId="190" fontId="19" fillId="0" borderId="44">
      <alignment vertical="center"/>
      <protection locked="0"/>
    </xf>
    <xf numFmtId="190" fontId="19" fillId="0" borderId="44">
      <alignment vertical="center"/>
      <protection locked="0"/>
    </xf>
    <xf numFmtId="209" fontId="19" fillId="0" borderId="44">
      <alignment horizontal="right" vertical="center"/>
      <protection locked="0"/>
    </xf>
    <xf numFmtId="209" fontId="19" fillId="0" borderId="44">
      <alignment horizontal="right" vertical="center"/>
      <protection locked="0"/>
    </xf>
    <xf numFmtId="193" fontId="19" fillId="0" borderId="44">
      <alignment vertical="center"/>
      <protection locked="0"/>
    </xf>
    <xf numFmtId="193" fontId="19" fillId="0" borderId="44">
      <alignment vertical="center"/>
      <protection locked="0"/>
    </xf>
    <xf numFmtId="195" fontId="19" fillId="0" borderId="44">
      <alignment vertical="center"/>
      <protection locked="0"/>
    </xf>
    <xf numFmtId="195" fontId="19" fillId="0" borderId="44">
      <alignment vertical="center"/>
      <protection locked="0"/>
    </xf>
    <xf numFmtId="196" fontId="19" fillId="0" borderId="44">
      <alignment vertical="center"/>
      <protection locked="0"/>
    </xf>
    <xf numFmtId="196" fontId="19" fillId="0" borderId="44">
      <alignment vertical="center"/>
      <protection locked="0"/>
    </xf>
    <xf numFmtId="197" fontId="19" fillId="0" borderId="44">
      <alignment horizontal="right" vertical="center"/>
      <protection locked="0"/>
    </xf>
    <xf numFmtId="197" fontId="19" fillId="0" borderId="44">
      <alignment horizontal="right" vertical="center"/>
      <protection locked="0"/>
    </xf>
    <xf numFmtId="7" fontId="59" fillId="0" borderId="0" applyFont="0" applyFill="0" applyBorder="0" applyAlignment="0" applyProtection="0"/>
    <xf numFmtId="42" fontId="59" fillId="0" borderId="0" applyFont="0" applyFill="0" applyBorder="0" applyAlignment="0" applyProtection="0"/>
    <xf numFmtId="0" fontId="92" fillId="0" borderId="38">
      <alignment horizontal="left" vertical="center" wrapText="1"/>
    </xf>
    <xf numFmtId="0" fontId="92" fillId="0" borderId="38">
      <alignment horizontal="left" wrapText="1" indent="2"/>
    </xf>
    <xf numFmtId="0" fontId="92" fillId="0" borderId="38">
      <alignment horizontal="left" wrapText="1" indent="2"/>
    </xf>
    <xf numFmtId="0" fontId="92" fillId="0" borderId="38">
      <alignment horizontal="left" vertical="center" wrapText="1"/>
    </xf>
    <xf numFmtId="0" fontId="92" fillId="0" borderId="38">
      <alignment horizontal="left" wrapText="1" indent="2"/>
    </xf>
    <xf numFmtId="210" fontId="93" fillId="76" borderId="46" applyProtection="0"/>
    <xf numFmtId="210" fontId="93" fillId="76" borderId="46" applyProtection="0"/>
    <xf numFmtId="0" fontId="258" fillId="5" borderId="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259" fillId="52" borderId="0" applyNumberFormat="0" applyBorder="0" applyAlignment="0" applyProtection="0"/>
    <xf numFmtId="0" fontId="260" fillId="15" borderId="0" applyNumberFormat="0" applyBorder="0" applyAlignment="0" applyProtection="0"/>
    <xf numFmtId="0" fontId="261" fillId="111" borderId="0">
      <alignment vertical="center"/>
    </xf>
    <xf numFmtId="1" fontId="262" fillId="0" borderId="0"/>
    <xf numFmtId="0" fontId="263" fillId="0" borderId="0"/>
    <xf numFmtId="0" fontId="264" fillId="112" borderId="0"/>
    <xf numFmtId="0" fontId="59" fillId="0" borderId="0" applyFill="0" applyBorder="0" applyAlignment="0"/>
    <xf numFmtId="0" fontId="59" fillId="0" borderId="0" applyFill="0" applyBorder="0" applyAlignment="0"/>
    <xf numFmtId="217"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166" fontId="264" fillId="112" borderId="0"/>
    <xf numFmtId="0" fontId="264" fillId="112" borderId="0"/>
    <xf numFmtId="0" fontId="102" fillId="110" borderId="47" applyNumberFormat="0" applyAlignment="0" applyProtection="0"/>
    <xf numFmtId="0" fontId="265" fillId="110" borderId="47" applyNumberFormat="0" applyAlignment="0" applyProtection="0"/>
    <xf numFmtId="0" fontId="266" fillId="20" borderId="2" applyNumberFormat="0" applyAlignment="0" applyProtection="0"/>
    <xf numFmtId="0" fontId="102" fillId="60" borderId="47" applyNumberFormat="0" applyAlignment="0" applyProtection="0"/>
    <xf numFmtId="0" fontId="102" fillId="50" borderId="47" applyNumberFormat="0" applyAlignment="0" applyProtection="0"/>
    <xf numFmtId="0" fontId="102" fillId="60" borderId="47" applyNumberFormat="0" applyAlignment="0" applyProtection="0"/>
    <xf numFmtId="0" fontId="102" fillId="60" borderId="47" applyNumberFormat="0" applyAlignment="0" applyProtection="0"/>
    <xf numFmtId="0" fontId="102" fillId="60" borderId="47" applyNumberFormat="0" applyAlignment="0" applyProtection="0"/>
    <xf numFmtId="0" fontId="102" fillId="50" borderId="47" applyNumberFormat="0" applyAlignment="0" applyProtection="0"/>
    <xf numFmtId="0" fontId="102" fillId="60" borderId="47" applyNumberFormat="0" applyAlignment="0" applyProtection="0"/>
    <xf numFmtId="0" fontId="102" fillId="110" borderId="47" applyNumberFormat="0" applyAlignment="0" applyProtection="0"/>
    <xf numFmtId="0" fontId="102" fillId="60" borderId="47" applyNumberFormat="0" applyAlignment="0" applyProtection="0"/>
    <xf numFmtId="0" fontId="102" fillId="60" borderId="47" applyNumberFormat="0" applyAlignment="0" applyProtection="0"/>
    <xf numFmtId="0" fontId="102" fillId="110" borderId="47" applyNumberFormat="0" applyAlignment="0" applyProtection="0"/>
    <xf numFmtId="0" fontId="102" fillId="110" borderId="47" applyNumberFormat="0" applyAlignment="0" applyProtection="0"/>
    <xf numFmtId="0" fontId="102" fillId="110" borderId="47" applyNumberFormat="0" applyAlignment="0" applyProtection="0"/>
    <xf numFmtId="0" fontId="102" fillId="110" borderId="47" applyNumberFormat="0" applyAlignment="0" applyProtection="0"/>
    <xf numFmtId="0" fontId="59" fillId="0" borderId="0" applyFill="0" applyBorder="0" applyAlignment="0"/>
    <xf numFmtId="3" fontId="59" fillId="0" borderId="0"/>
    <xf numFmtId="3" fontId="59" fillId="0" borderId="0"/>
    <xf numFmtId="3" fontId="59" fillId="0" borderId="0"/>
    <xf numFmtId="3" fontId="59" fillId="0" borderId="0"/>
    <xf numFmtId="0" fontId="19" fillId="0" borderId="0" applyNumberFormat="0" applyFont="0" applyFill="0" applyBorder="0">
      <alignment horizontal="center" vertical="center"/>
      <protection locked="0"/>
    </xf>
    <xf numFmtId="190" fontId="19" fillId="0" borderId="0" applyFill="0" applyBorder="0">
      <alignment horizontal="center" vertical="center"/>
    </xf>
    <xf numFmtId="190" fontId="19" fillId="0" borderId="0" applyFill="0" applyBorder="0">
      <alignment horizontal="center" vertical="center"/>
    </xf>
    <xf numFmtId="190" fontId="19" fillId="0" borderId="0" applyFill="0" applyBorder="0">
      <alignment horizontal="center" vertical="center"/>
    </xf>
    <xf numFmtId="14" fontId="19" fillId="0" borderId="0" applyFill="0" applyBorder="0">
      <alignment horizontal="center" vertical="center"/>
    </xf>
    <xf numFmtId="14" fontId="19" fillId="0" borderId="0" applyFill="0" applyBorder="0">
      <alignment horizontal="center" vertical="center"/>
    </xf>
    <xf numFmtId="193" fontId="19" fillId="0" borderId="0" applyFill="0" applyBorder="0">
      <alignment horizontal="center" vertical="center"/>
    </xf>
    <xf numFmtId="193" fontId="19" fillId="0" borderId="0" applyFill="0" applyBorder="0">
      <alignment horizontal="center" vertical="center"/>
    </xf>
    <xf numFmtId="193" fontId="19" fillId="0" borderId="0" applyFill="0" applyBorder="0">
      <alignment horizontal="center" vertical="center"/>
    </xf>
    <xf numFmtId="195" fontId="19" fillId="0" borderId="0" applyFill="0" applyBorder="0">
      <alignment horizontal="center" vertical="center"/>
    </xf>
    <xf numFmtId="195" fontId="19" fillId="0" borderId="0" applyFill="0" applyBorder="0">
      <alignment horizontal="center" vertical="center"/>
    </xf>
    <xf numFmtId="195" fontId="19" fillId="0" borderId="0" applyFill="0" applyBorder="0">
      <alignment horizontal="center" vertical="center"/>
    </xf>
    <xf numFmtId="196" fontId="19" fillId="0" borderId="0" applyFill="0" applyBorder="0">
      <alignment horizontal="center" vertical="center"/>
    </xf>
    <xf numFmtId="196" fontId="19" fillId="0" borderId="0" applyFill="0" applyBorder="0">
      <alignment horizontal="center" vertical="center"/>
    </xf>
    <xf numFmtId="196" fontId="19" fillId="0" borderId="0" applyFill="0" applyBorder="0">
      <alignment horizontal="center" vertical="center"/>
    </xf>
    <xf numFmtId="197" fontId="19" fillId="0" borderId="0" applyFill="0" applyBorder="0">
      <alignment horizontal="center" vertical="center"/>
    </xf>
    <xf numFmtId="197" fontId="19" fillId="0" borderId="0" applyFill="0" applyBorder="0">
      <alignment horizontal="center" vertical="center"/>
    </xf>
    <xf numFmtId="0" fontId="26" fillId="79" borderId="48" applyNumberFormat="0" applyAlignment="0" applyProtection="0"/>
    <xf numFmtId="0" fontId="267" fillId="79" borderId="48" applyNumberFormat="0" applyAlignment="0" applyProtection="0"/>
    <xf numFmtId="0" fontId="62" fillId="21" borderId="34" applyNumberFormat="0" applyAlignment="0" applyProtection="0"/>
    <xf numFmtId="0" fontId="105" fillId="79" borderId="48" applyNumberFormat="0" applyAlignment="0" applyProtection="0"/>
    <xf numFmtId="0" fontId="105" fillId="79" borderId="48" applyNumberFormat="0" applyAlignment="0" applyProtection="0"/>
    <xf numFmtId="0" fontId="105" fillId="79" borderId="48" applyNumberFormat="0" applyAlignment="0" applyProtection="0"/>
    <xf numFmtId="0" fontId="105" fillId="79" borderId="48" applyNumberFormat="0" applyAlignment="0" applyProtection="0"/>
    <xf numFmtId="0" fontId="105" fillId="79" borderId="48" applyNumberFormat="0" applyAlignment="0" applyProtection="0"/>
    <xf numFmtId="0" fontId="26" fillId="79" borderId="48" applyNumberFormat="0" applyAlignment="0" applyProtection="0"/>
    <xf numFmtId="0" fontId="105" fillId="79" borderId="48" applyNumberFormat="0" applyAlignment="0" applyProtection="0"/>
    <xf numFmtId="0" fontId="105" fillId="79" borderId="48" applyNumberFormat="0" applyAlignment="0" applyProtection="0"/>
    <xf numFmtId="0" fontId="26" fillId="79" borderId="48" applyNumberFormat="0" applyAlignment="0" applyProtection="0"/>
    <xf numFmtId="0" fontId="26" fillId="79" borderId="48" applyNumberFormat="0" applyAlignment="0" applyProtection="0"/>
    <xf numFmtId="0" fontId="26" fillId="79" borderId="48" applyNumberFormat="0" applyAlignment="0" applyProtection="0"/>
    <xf numFmtId="0" fontId="26" fillId="79" borderId="48" applyNumberFormat="0" applyAlignment="0" applyProtection="0"/>
    <xf numFmtId="3" fontId="268" fillId="6" borderId="1" applyFont="0" applyFill="0" applyProtection="0">
      <alignment horizontal="right"/>
    </xf>
    <xf numFmtId="271" fontId="99" fillId="103" borderId="10" applyNumberFormat="0" applyBorder="0" applyAlignment="0">
      <alignment vertical="top"/>
    </xf>
    <xf numFmtId="0" fontId="269" fillId="113" borderId="0">
      <alignment horizontal="left"/>
    </xf>
    <xf numFmtId="0" fontId="270" fillId="113" borderId="0">
      <alignment horizontal="right"/>
    </xf>
    <xf numFmtId="0" fontId="271" fillId="50" borderId="0">
      <alignment horizontal="center"/>
    </xf>
    <xf numFmtId="0" fontId="272" fillId="96" borderId="0" applyNumberFormat="0">
      <alignment horizontal="center"/>
    </xf>
    <xf numFmtId="0" fontId="270" fillId="113" borderId="0">
      <alignment horizontal="right"/>
    </xf>
    <xf numFmtId="0" fontId="271" fillId="50" borderId="0">
      <alignment horizontal="left"/>
    </xf>
    <xf numFmtId="0" fontId="273" fillId="0" borderId="83"/>
    <xf numFmtId="272" fontId="59" fillId="0" borderId="0" applyFont="0" applyFill="0" applyBorder="0" applyProtection="0">
      <alignment horizontal="right"/>
    </xf>
    <xf numFmtId="0"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0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108" fillId="0" borderId="0" applyFont="0" applyFill="0" applyBorder="0" applyAlignment="0" applyProtection="0">
      <alignment horizontal="right"/>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2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4" fillId="0" borderId="0" applyFont="0" applyFill="0" applyBorder="0" applyAlignment="0" applyProtection="0"/>
    <xf numFmtId="43" fontId="27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73" fontId="19" fillId="0" borderId="0" applyFont="0" applyFill="0" applyBorder="0" applyProtection="0">
      <alignment horizontal="right"/>
    </xf>
    <xf numFmtId="273" fontId="19" fillId="0" borderId="0" applyFont="0" applyFill="0" applyBorder="0" applyProtection="0">
      <alignment horizontal="right"/>
    </xf>
    <xf numFmtId="273" fontId="19" fillId="0" borderId="0" applyFont="0" applyFill="0" applyBorder="0" applyProtection="0">
      <alignment horizontal="right"/>
    </xf>
    <xf numFmtId="273" fontId="19" fillId="0" borderId="0" applyFont="0" applyFill="0" applyBorder="0" applyProtection="0">
      <alignment horizontal="right"/>
    </xf>
    <xf numFmtId="235" fontId="19" fillId="0" borderId="0" applyFont="0" applyFill="0" applyBorder="0" applyProtection="0">
      <alignment horizontal="right"/>
    </xf>
    <xf numFmtId="235" fontId="19" fillId="0" borderId="0" applyFont="0" applyFill="0" applyBorder="0" applyProtection="0">
      <alignment horizontal="right"/>
    </xf>
    <xf numFmtId="235" fontId="19" fillId="0" borderId="0" applyFont="0" applyFill="0" applyBorder="0" applyProtection="0">
      <alignment horizontal="right"/>
    </xf>
    <xf numFmtId="235" fontId="19" fillId="0" borderId="0" applyFont="0" applyFill="0" applyBorder="0" applyProtection="0">
      <alignment horizontal="right"/>
    </xf>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0" fontId="59" fillId="114" borderId="0" applyNumberFormat="0" applyBorder="0" applyAlignment="0">
      <protection locked="0"/>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3" fillId="0" borderId="0" applyFill="0" applyBorder="0">
      <alignment vertical="center"/>
    </xf>
    <xf numFmtId="0" fontId="113" fillId="0" borderId="0" applyFill="0" applyBorder="0">
      <alignment vertical="center"/>
    </xf>
    <xf numFmtId="0" fontId="113" fillId="0" borderId="0" applyFill="0" applyBorder="0">
      <alignment vertical="center"/>
    </xf>
    <xf numFmtId="0" fontId="113" fillId="0" borderId="0" applyFill="0" applyBorder="0">
      <alignment vertical="center"/>
    </xf>
    <xf numFmtId="0" fontId="113" fillId="0" borderId="0" applyFill="0" applyBorder="0">
      <alignment vertical="center"/>
    </xf>
    <xf numFmtId="41" fontId="59" fillId="0" borderId="0" applyFont="0" applyFill="0" applyBorder="0" applyAlignment="0" applyProtection="0"/>
    <xf numFmtId="0" fontId="113" fillId="0" borderId="0">
      <alignment vertical="center"/>
      <protection locked="0"/>
    </xf>
    <xf numFmtId="0" fontId="113" fillId="0" borderId="0">
      <alignment vertical="center"/>
      <protection locked="0"/>
    </xf>
    <xf numFmtId="0" fontId="113" fillId="0" borderId="0">
      <alignment vertical="center"/>
      <protection locked="0"/>
    </xf>
    <xf numFmtId="0" fontId="276" fillId="0" borderId="84"/>
    <xf numFmtId="0"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108" fillId="0" borderId="0" applyFont="0" applyFill="0" applyBorder="0" applyAlignment="0" applyProtection="0">
      <alignment horizontal="right"/>
    </xf>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7"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274" fontId="111" fillId="0" borderId="0" applyFont="0" applyFill="0" applyBorder="0" applyAlignment="0" applyProtection="0"/>
    <xf numFmtId="274" fontId="111" fillId="0" borderId="0" applyFont="0" applyFill="0" applyBorder="0" applyAlignment="0" applyProtection="0"/>
    <xf numFmtId="39" fontId="258" fillId="0" borderId="0">
      <alignment horizontal="right"/>
    </xf>
    <xf numFmtId="14" fontId="59" fillId="0" borderId="0"/>
    <xf numFmtId="0" fontId="272" fillId="112" borderId="85">
      <alignment horizontal="left"/>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15" fontId="277" fillId="5" borderId="0">
      <alignment horizontal="right"/>
    </xf>
    <xf numFmtId="0" fontId="278" fillId="115" borderId="0" applyNumberFormat="0" applyBorder="0" applyAlignment="0">
      <alignment horizontal="center"/>
    </xf>
    <xf numFmtId="0" fontId="8" fillId="113" borderId="0" applyNumberFormat="0" applyBorder="0" applyAlignment="0"/>
    <xf numFmtId="0" fontId="279" fillId="113" borderId="0">
      <alignment horizontal="centerContinuous"/>
    </xf>
    <xf numFmtId="0" fontId="280" fillId="116" borderId="86">
      <alignment horizontal="center"/>
      <protection locked="0"/>
    </xf>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5" fontId="59" fillId="0" borderId="0"/>
    <xf numFmtId="17" fontId="59" fillId="0" borderId="0"/>
    <xf numFmtId="17" fontId="59" fillId="0" borderId="0"/>
    <xf numFmtId="17" fontId="59" fillId="0" borderId="0"/>
    <xf numFmtId="17" fontId="59" fillId="0" borderId="0"/>
    <xf numFmtId="15" fontId="82" fillId="0" borderId="0" applyFont="0" applyFill="0" applyBorder="0" applyAlignment="0" applyProtection="0"/>
    <xf numFmtId="17" fontId="59" fillId="0" borderId="0"/>
    <xf numFmtId="17" fontId="59" fillId="0" borderId="0"/>
    <xf numFmtId="15" fontId="59" fillId="0" borderId="0"/>
    <xf numFmtId="275" fontId="97" fillId="0" borderId="0" applyFill="0" applyProtection="0">
      <alignment vertical="center"/>
    </xf>
    <xf numFmtId="17" fontId="59" fillId="6" borderId="0"/>
    <xf numFmtId="17" fontId="59" fillId="6" borderId="0"/>
    <xf numFmtId="17" fontId="59" fillId="6" borderId="0"/>
    <xf numFmtId="0" fontId="59" fillId="117" borderId="0" applyNumberFormat="0" applyFont="0" applyBorder="0" applyAlignment="0"/>
    <xf numFmtId="0" fontId="117" fillId="80" borderId="0">
      <alignment horizontal="center"/>
    </xf>
    <xf numFmtId="225" fontId="117" fillId="80" borderId="0">
      <alignment horizontal="center"/>
    </xf>
    <xf numFmtId="171" fontId="63" fillId="0" borderId="87" applyFill="0" applyBorder="0">
      <protection hidden="1"/>
    </xf>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280" fillId="117" borderId="0" applyNumberFormat="0" applyBorder="0" applyAlignment="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0" fontId="281" fillId="0" borderId="0" applyFont="0" applyFill="0" applyBorder="0" applyAlignment="0" applyProtection="0"/>
    <xf numFmtId="0" fontId="59" fillId="0" borderId="88" applyNumberFormat="0" applyFont="0" applyFill="0" applyBorder="0" applyAlignment="0" applyProtection="0"/>
    <xf numFmtId="0" fontId="59" fillId="0" borderId="88" applyNumberFormat="0" applyFont="0" applyFill="0" applyBorder="0" applyAlignment="0" applyProtection="0"/>
    <xf numFmtId="167" fontId="258" fillId="0" borderId="0" applyBorder="0"/>
    <xf numFmtId="198" fontId="83" fillId="0" borderId="44">
      <alignment horizontal="center" vertical="center"/>
      <protection locked="0"/>
    </xf>
    <xf numFmtId="198" fontId="83" fillId="0" borderId="44">
      <alignment horizontal="center" vertical="center"/>
      <protection locked="0"/>
    </xf>
    <xf numFmtId="198" fontId="83" fillId="0" borderId="44">
      <alignment horizontal="center" vertical="center"/>
      <protection locked="0"/>
    </xf>
    <xf numFmtId="198" fontId="83" fillId="0" borderId="44">
      <alignment horizontal="center" vertical="center"/>
      <protection locked="0"/>
    </xf>
    <xf numFmtId="198" fontId="83" fillId="0" borderId="44">
      <alignment horizontal="center" vertical="center"/>
      <protection locked="0"/>
    </xf>
    <xf numFmtId="229" fontId="83" fillId="0" borderId="44">
      <alignment horizontal="right" vertical="center"/>
      <protection locked="0"/>
    </xf>
    <xf numFmtId="229" fontId="83" fillId="0" borderId="44">
      <alignment horizontal="right" vertical="center"/>
      <protection locked="0"/>
    </xf>
    <xf numFmtId="229" fontId="83" fillId="0" borderId="44">
      <alignment horizontal="right" vertical="center"/>
      <protection locked="0"/>
    </xf>
    <xf numFmtId="229" fontId="83" fillId="0" borderId="44">
      <alignment horizontal="right" vertical="center"/>
      <protection locked="0"/>
    </xf>
    <xf numFmtId="229" fontId="83" fillId="0" borderId="44">
      <alignment horizontal="right" vertical="center"/>
      <protection locked="0"/>
    </xf>
    <xf numFmtId="200" fontId="83" fillId="0" borderId="44">
      <alignment horizontal="center" vertical="center"/>
      <protection locked="0"/>
    </xf>
    <xf numFmtId="200" fontId="83" fillId="0" borderId="44">
      <alignment horizontal="center" vertical="center"/>
      <protection locked="0"/>
    </xf>
    <xf numFmtId="200" fontId="83" fillId="0" borderId="44">
      <alignment horizontal="center" vertical="center"/>
      <protection locked="0"/>
    </xf>
    <xf numFmtId="200" fontId="83" fillId="0" borderId="44">
      <alignment horizontal="center" vertical="center"/>
      <protection locked="0"/>
    </xf>
    <xf numFmtId="200"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 fontId="275" fillId="0" borderId="0" applyFont="0" applyFill="0" applyBorder="0" applyAlignment="0" applyProtection="0"/>
    <xf numFmtId="198" fontId="83" fillId="0" borderId="0" applyFill="0" applyBorder="0">
      <alignment horizontal="right" vertical="center"/>
    </xf>
    <xf numFmtId="198" fontId="83" fillId="0" borderId="0" applyFill="0" applyBorder="0">
      <alignment horizontal="right" vertical="center"/>
    </xf>
    <xf numFmtId="198" fontId="83" fillId="0" borderId="0" applyFill="0" applyBorder="0">
      <alignment horizontal="right" vertical="center"/>
    </xf>
    <xf numFmtId="198" fontId="83" fillId="0" borderId="0" applyFill="0" applyBorder="0">
      <alignment horizontal="right" vertical="center"/>
    </xf>
    <xf numFmtId="198" fontId="83" fillId="0" borderId="0" applyFill="0" applyBorder="0">
      <alignment horizontal="right" vertical="center"/>
    </xf>
    <xf numFmtId="199" fontId="83" fillId="0" borderId="0" applyFill="0" applyBorder="0">
      <alignment horizontal="right" vertical="center"/>
    </xf>
    <xf numFmtId="199" fontId="83" fillId="0" borderId="0" applyFill="0" applyBorder="0">
      <alignment horizontal="right" vertical="center"/>
    </xf>
    <xf numFmtId="199" fontId="83" fillId="0" borderId="0" applyFill="0" applyBorder="0">
      <alignment horizontal="right" vertical="center"/>
    </xf>
    <xf numFmtId="199" fontId="83" fillId="0" borderId="0" applyFill="0" applyBorder="0">
      <alignment horizontal="right" vertical="center"/>
    </xf>
    <xf numFmtId="199" fontId="83" fillId="0" borderId="0" applyFill="0" applyBorder="0">
      <alignment horizontal="right" vertical="center"/>
    </xf>
    <xf numFmtId="200" fontId="83" fillId="0" borderId="0" applyFill="0" applyBorder="0">
      <alignment horizontal="right" vertical="center"/>
    </xf>
    <xf numFmtId="200" fontId="83" fillId="0" borderId="0" applyFill="0" applyBorder="0">
      <alignment horizontal="right" vertical="center"/>
    </xf>
    <xf numFmtId="200" fontId="83" fillId="0" borderId="0" applyFill="0" applyBorder="0">
      <alignment horizontal="right" vertical="center"/>
    </xf>
    <xf numFmtId="200" fontId="83" fillId="0" borderId="0" applyFill="0" applyBorder="0">
      <alignment horizontal="right" vertical="center"/>
    </xf>
    <xf numFmtId="200" fontId="83" fillId="0" borderId="0" applyFill="0" applyBorder="0">
      <alignment horizontal="right" vertical="center"/>
    </xf>
    <xf numFmtId="201" fontId="83" fillId="0" borderId="0" applyFill="0" applyBorder="0">
      <alignment horizontal="center" vertical="center"/>
    </xf>
    <xf numFmtId="201" fontId="83" fillId="0" borderId="0" applyFill="0" applyBorder="0">
      <alignment horizontal="center" vertical="center"/>
    </xf>
    <xf numFmtId="201" fontId="83" fillId="0" borderId="0" applyFill="0" applyBorder="0">
      <alignment horizontal="center" vertical="center"/>
    </xf>
    <xf numFmtId="201" fontId="83" fillId="0" borderId="0" applyFill="0" applyBorder="0">
      <alignment horizontal="center" vertical="center"/>
    </xf>
    <xf numFmtId="201" fontId="83" fillId="0" borderId="0" applyFill="0" applyBorder="0">
      <alignment horizontal="center" vertical="center"/>
    </xf>
    <xf numFmtId="202" fontId="83" fillId="0" borderId="0" applyFill="0" applyBorder="0">
      <alignment horizontal="center" vertical="center"/>
    </xf>
    <xf numFmtId="202" fontId="83" fillId="0" borderId="0" applyFill="0" applyBorder="0">
      <alignment horizontal="center" vertical="center"/>
    </xf>
    <xf numFmtId="202" fontId="83" fillId="0" borderId="0" applyFill="0" applyBorder="0">
      <alignment horizontal="center" vertical="center"/>
    </xf>
    <xf numFmtId="202" fontId="83" fillId="0" borderId="0" applyFill="0" applyBorder="0">
      <alignment horizontal="center" vertical="center"/>
    </xf>
    <xf numFmtId="202" fontId="83" fillId="0" borderId="0" applyFill="0" applyBorder="0">
      <alignment horizontal="center" vertical="center"/>
    </xf>
    <xf numFmtId="0" fontId="124" fillId="0" borderId="0" applyFill="0" applyBorder="0">
      <alignment horizontal="right" vertical="center"/>
    </xf>
    <xf numFmtId="0" fontId="124" fillId="0" borderId="0" applyFill="0" applyBorder="0">
      <alignment horizontal="right" vertical="center"/>
    </xf>
    <xf numFmtId="0" fontId="124" fillId="0" borderId="0" applyFill="0" applyBorder="0">
      <alignment horizontal="right" vertical="center"/>
    </xf>
    <xf numFmtId="0" fontId="124" fillId="0" borderId="0" applyFill="0" applyBorder="0">
      <alignment horizontal="right" vertical="center"/>
    </xf>
    <xf numFmtId="0" fontId="124"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0" fontId="282" fillId="0" borderId="0">
      <alignment horizontal="left"/>
      <protection locked="0"/>
    </xf>
    <xf numFmtId="271" fontId="283" fillId="82" borderId="82" applyNumberFormat="0" applyFont="0" applyBorder="0" applyAlignment="0">
      <alignment vertical="top" wrapText="1"/>
      <protection locked="0"/>
    </xf>
    <xf numFmtId="276" fontId="59" fillId="0" borderId="27" applyFont="0" applyBorder="0" applyAlignment="0">
      <alignment horizontal="right" vertical="top"/>
      <protection hidden="1"/>
    </xf>
    <xf numFmtId="10" fontId="59" fillId="0" borderId="27" applyFont="0" applyBorder="0" applyAlignment="0">
      <alignment horizontal="right" vertical="top"/>
      <protection hidden="1"/>
    </xf>
    <xf numFmtId="0" fontId="214" fillId="117" borderId="0" applyNumberFormat="0" applyFont="0" applyBorder="0" applyAlignment="0"/>
    <xf numFmtId="271" fontId="59" fillId="0" borderId="0" applyFont="0" applyBorder="0" applyAlignment="0">
      <alignment horizontal="right" vertical="top"/>
      <protection hidden="1"/>
    </xf>
    <xf numFmtId="0" fontId="117" fillId="0" borderId="0"/>
    <xf numFmtId="225" fontId="117" fillId="0" borderId="0"/>
    <xf numFmtId="0" fontId="284" fillId="0" borderId="0"/>
    <xf numFmtId="210" fontId="72" fillId="0" borderId="0">
      <alignment horizontal="right"/>
    </xf>
    <xf numFmtId="210" fontId="72" fillId="0" borderId="0">
      <alignment horizontal="right"/>
    </xf>
    <xf numFmtId="210" fontId="72" fillId="0" borderId="0">
      <alignment horizontal="right"/>
    </xf>
    <xf numFmtId="210" fontId="72" fillId="0" borderId="0">
      <alignment horizontal="right"/>
    </xf>
    <xf numFmtId="210" fontId="72" fillId="0" borderId="0">
      <alignment horizontal="right"/>
    </xf>
    <xf numFmtId="0" fontId="285" fillId="0" borderId="0">
      <alignment horizontal="left" indent="2"/>
    </xf>
    <xf numFmtId="0" fontId="129" fillId="81" borderId="51" applyNumberFormat="0" applyFont="0" applyAlignment="0" applyProtection="0">
      <protection hidden="1"/>
    </xf>
    <xf numFmtId="0" fontId="128" fillId="81" borderId="51" applyNumberFormat="0" applyFont="0" applyAlignment="0" applyProtection="0">
      <protection hidden="1"/>
    </xf>
    <xf numFmtId="0" fontId="129" fillId="81" borderId="51" applyNumberFormat="0" applyFont="0" applyAlignment="0" applyProtection="0">
      <protection hidden="1"/>
    </xf>
    <xf numFmtId="0" fontId="128" fillId="81" borderId="51" applyNumberFormat="0" applyFont="0" applyAlignment="0" applyProtection="0">
      <protection hidden="1"/>
    </xf>
    <xf numFmtId="0" fontId="59" fillId="5" borderId="1" applyNumberFormat="0" applyFont="0" applyBorder="0" applyAlignment="0" applyProtection="0">
      <alignment horizontal="center"/>
    </xf>
    <xf numFmtId="0" fontId="286" fillId="0" borderId="0" applyNumberFormat="0" applyFill="0" applyBorder="0" applyAlignment="0" applyProtection="0">
      <alignment horizontal="left"/>
    </xf>
    <xf numFmtId="0" fontId="130" fillId="0" borderId="38">
      <alignment horizontal="left"/>
    </xf>
    <xf numFmtId="0" fontId="287" fillId="0" borderId="0" applyNumberFormat="0" applyFill="0" applyBorder="0" applyAlignment="0" applyProtection="0">
      <alignment horizontal="left"/>
    </xf>
    <xf numFmtId="0" fontId="287" fillId="0" borderId="0" applyNumberFormat="0" applyFill="0" applyBorder="0" applyAlignment="0" applyProtection="0">
      <alignment horizontal="left"/>
    </xf>
    <xf numFmtId="0" fontId="288" fillId="0" borderId="0" applyNumberFormat="0" applyFill="0" applyBorder="0" applyAlignment="0" applyProtection="0">
      <alignment horizontal="left"/>
    </xf>
    <xf numFmtId="0" fontId="288" fillId="0" borderId="0" applyNumberFormat="0" applyFill="0" applyAlignment="0" applyProtection="0">
      <alignment horizontal="left"/>
    </xf>
    <xf numFmtId="0" fontId="288" fillId="0" borderId="0" applyNumberFormat="0" applyFill="0" applyBorder="0" applyAlignment="0" applyProtection="0">
      <alignment horizontal="left"/>
    </xf>
    <xf numFmtId="0" fontId="288" fillId="0" borderId="0" applyNumberFormat="0" applyFill="0" applyBorder="0" applyAlignment="0" applyProtection="0">
      <alignment horizontal="left"/>
    </xf>
    <xf numFmtId="0" fontId="289" fillId="0" borderId="0" applyNumberFormat="0" applyFill="0" applyBorder="0" applyAlignment="0" applyProtection="0">
      <alignment horizontal="left"/>
    </xf>
    <xf numFmtId="0" fontId="289" fillId="0" borderId="0" applyNumberFormat="0" applyFill="0" applyBorder="0" applyAlignment="0" applyProtection="0">
      <alignment horizontal="left"/>
    </xf>
    <xf numFmtId="0" fontId="276" fillId="0" borderId="0"/>
    <xf numFmtId="0" fontId="72" fillId="0" borderId="0" applyFill="0" applyBorder="0">
      <alignment vertical="center"/>
    </xf>
    <xf numFmtId="0" fontId="290" fillId="6" borderId="59" applyNumberFormat="0" applyFill="0" applyBorder="0" applyAlignment="0" applyProtection="0">
      <alignment horizontal="left"/>
    </xf>
    <xf numFmtId="0" fontId="72" fillId="0" borderId="0" applyFill="0" applyBorder="0" applyAlignment="0"/>
    <xf numFmtId="0" fontId="72" fillId="0" borderId="0" applyFill="0" applyBorder="0">
      <alignment vertic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140" fillId="0" borderId="0" applyFill="0" applyBorder="0">
      <alignment vertical="center"/>
    </xf>
    <xf numFmtId="0" fontId="135" fillId="0" borderId="0" applyNumberFormat="0" applyFill="0" applyBorder="0" applyAlignment="0" applyProtection="0"/>
    <xf numFmtId="0" fontId="140" fillId="0" borderId="0" applyFill="0" applyBorder="0" applyAlignment="0"/>
    <xf numFmtId="0" fontId="140" fillId="0" borderId="0" applyFill="0" applyBorder="0">
      <alignment vertic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2" fillId="83" borderId="0"/>
    <xf numFmtId="0" fontId="292" fillId="83" borderId="0"/>
    <xf numFmtId="0" fontId="292" fillId="83" borderId="0"/>
    <xf numFmtId="0" fontId="45" fillId="0" borderId="0" applyFill="0" applyBorder="0">
      <alignment vertical="center"/>
    </xf>
    <xf numFmtId="0" fontId="293" fillId="0" borderId="89" applyNumberFormat="0" applyFill="0" applyAlignment="0" applyProtection="0"/>
    <xf numFmtId="0" fontId="45" fillId="0" borderId="0" applyFill="0" applyBorder="0" applyAlignment="0"/>
    <xf numFmtId="0" fontId="45" fillId="0" borderId="0" applyFill="0" applyBorder="0">
      <alignment vertical="center"/>
    </xf>
    <xf numFmtId="0" fontId="292" fillId="83" borderId="0"/>
    <xf numFmtId="0" fontId="292" fillId="83" borderId="0"/>
    <xf numFmtId="0" fontId="19" fillId="0" borderId="0" applyFill="0" applyBorder="0">
      <alignment vertical="center"/>
    </xf>
    <xf numFmtId="0" fontId="293" fillId="0" borderId="0" applyNumberFormat="0" applyFill="0" applyBorder="0" applyAlignment="0" applyProtection="0"/>
    <xf numFmtId="0" fontId="19" fillId="0" borderId="0" applyFill="0" applyBorder="0" applyAlignment="0"/>
    <xf numFmtId="0" fontId="19" fillId="0" borderId="0" applyFill="0" applyBorder="0">
      <alignment vertical="center"/>
    </xf>
    <xf numFmtId="0" fontId="292" fillId="83" borderId="0"/>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67" fillId="82" borderId="0" applyNumberFormat="0" applyBorder="0" applyProtection="0">
      <alignment horizontal="center" vertical="center" wrapText="1"/>
    </xf>
    <xf numFmtId="234" fontId="27" fillId="0" borderId="0">
      <alignment horizontal="left"/>
    </xf>
    <xf numFmtId="234" fontId="27" fillId="0" borderId="0">
      <alignment horizontal="left"/>
    </xf>
    <xf numFmtId="0" fontId="59" fillId="96" borderId="15" applyNumberFormat="0" applyFont="0" applyBorder="0" applyAlignment="0" applyProtection="0"/>
    <xf numFmtId="0" fontId="276" fillId="0" borderId="0"/>
    <xf numFmtId="3" fontId="59" fillId="102" borderId="1" applyFont="0" applyProtection="0">
      <alignment horizontal="right"/>
    </xf>
    <xf numFmtId="10" fontId="59" fillId="102" borderId="1" applyFont="0" applyProtection="0">
      <alignment horizontal="right"/>
    </xf>
    <xf numFmtId="9" fontId="59" fillId="102" borderId="1" applyFont="0" applyProtection="0">
      <alignment horizontal="right"/>
    </xf>
    <xf numFmtId="0" fontId="59" fillId="102" borderId="37" applyNumberFormat="0" applyFont="0" applyBorder="0" applyAlignment="0" applyProtection="0">
      <alignment horizontal="left"/>
    </xf>
    <xf numFmtId="0" fontId="59"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151" fillId="0" borderId="0" applyFill="0" applyBorder="0" applyAlignment="0">
      <protection locked="0"/>
    </xf>
    <xf numFmtId="0" fontId="151" fillId="0" borderId="0" applyFill="0" applyBorder="0" applyAlignment="0">
      <protection locked="0"/>
    </xf>
    <xf numFmtId="0" fontId="151" fillId="0" borderId="0" applyFill="0" applyBorder="0" applyAlignment="0">
      <protection locked="0"/>
    </xf>
    <xf numFmtId="0" fontId="151" fillId="0" borderId="0" applyFill="0" applyBorder="0" applyAlignment="0">
      <protection locked="0"/>
    </xf>
    <xf numFmtId="0" fontId="151" fillId="0" borderId="0" applyFill="0" applyBorder="0" applyAlignment="0">
      <protection locked="0"/>
    </xf>
    <xf numFmtId="37" fontId="258" fillId="0" borderId="0" applyBorder="0"/>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4" fontId="11" fillId="84" borderId="0"/>
    <xf numFmtId="4" fontId="11" fillId="84" borderId="0"/>
    <xf numFmtId="4" fontId="11" fillId="84" borderId="0"/>
    <xf numFmtId="4" fontId="11" fillId="85" borderId="0"/>
    <xf numFmtId="4" fontId="11" fillId="85" borderId="0"/>
    <xf numFmtId="4" fontId="11" fillId="85" borderId="0"/>
    <xf numFmtId="4" fontId="19" fillId="61" borderId="0"/>
    <xf numFmtId="4" fontId="19" fillId="61" borderId="0"/>
    <xf numFmtId="4" fontId="19" fillId="61" borderId="0"/>
    <xf numFmtId="4" fontId="19" fillId="61" borderId="0"/>
    <xf numFmtId="0" fontId="11" fillId="86" borderId="0">
      <alignment horizontal="left"/>
    </xf>
    <xf numFmtId="0" fontId="11" fillId="86" borderId="0">
      <alignment horizontal="left"/>
    </xf>
    <xf numFmtId="0" fontId="11" fillId="86" borderId="0">
      <alignment horizontal="left"/>
    </xf>
    <xf numFmtId="0" fontId="152" fillId="3" borderId="0"/>
    <xf numFmtId="0" fontId="152" fillId="3" borderId="0"/>
    <xf numFmtId="0" fontId="152" fillId="3" borderId="0"/>
    <xf numFmtId="0" fontId="153" fillId="3" borderId="0"/>
    <xf numFmtId="0" fontId="153" fillId="3" borderId="0"/>
    <xf numFmtId="0" fontId="153" fillId="3" borderId="0"/>
    <xf numFmtId="235" fontId="19" fillId="0" borderId="0">
      <alignment horizontal="right"/>
    </xf>
    <xf numFmtId="235" fontId="19" fillId="0" borderId="0">
      <alignment horizontal="right"/>
    </xf>
    <xf numFmtId="235" fontId="19" fillId="0" borderId="0">
      <alignment horizontal="right"/>
    </xf>
    <xf numFmtId="235" fontId="19" fillId="0" borderId="0">
      <alignment horizontal="right"/>
    </xf>
    <xf numFmtId="235" fontId="9" fillId="55" borderId="49">
      <alignment horizontal="right"/>
    </xf>
    <xf numFmtId="235" fontId="9" fillId="55" borderId="49">
      <alignment horizontal="right"/>
    </xf>
    <xf numFmtId="0" fontId="16" fillId="87" borderId="0">
      <alignment horizontal="left"/>
    </xf>
    <xf numFmtId="0" fontId="16" fillId="87" borderId="0">
      <alignment horizontal="left"/>
    </xf>
    <xf numFmtId="0" fontId="16" fillId="87" borderId="0">
      <alignment horizontal="left"/>
    </xf>
    <xf numFmtId="0" fontId="16" fillId="86" borderId="0">
      <alignment horizontal="left"/>
    </xf>
    <xf numFmtId="0" fontId="16" fillId="86" borderId="0">
      <alignment horizontal="left"/>
    </xf>
    <xf numFmtId="0" fontId="16" fillId="86" borderId="0">
      <alignment horizontal="left"/>
    </xf>
    <xf numFmtId="0" fontId="154" fillId="0" borderId="0">
      <alignment horizontal="left"/>
    </xf>
    <xf numFmtId="0" fontId="154" fillId="0" borderId="0">
      <alignment horizontal="left"/>
    </xf>
    <xf numFmtId="0" fontId="154"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35" fillId="0" borderId="0"/>
    <xf numFmtId="0" fontId="135" fillId="0" borderId="0"/>
    <xf numFmtId="0" fontId="155" fillId="0" borderId="0">
      <alignment horizontal="left"/>
    </xf>
    <xf numFmtId="0" fontId="155" fillId="0" borderId="0">
      <alignment horizontal="left"/>
    </xf>
    <xf numFmtId="0" fontId="155" fillId="0" borderId="0">
      <alignment horizontal="left"/>
    </xf>
    <xf numFmtId="0" fontId="154" fillId="0" borderId="0"/>
    <xf numFmtId="0" fontId="154" fillId="0" borderId="0"/>
    <xf numFmtId="0" fontId="154" fillId="0" borderId="0"/>
    <xf numFmtId="0" fontId="154" fillId="0" borderId="0"/>
    <xf numFmtId="0" fontId="154" fillId="0" borderId="0"/>
    <xf numFmtId="0" fontId="154" fillId="0" borderId="0"/>
    <xf numFmtId="10" fontId="19" fillId="77" borderId="1" applyNumberFormat="0" applyBorder="0" applyAlignment="0" applyProtection="0"/>
    <xf numFmtId="0" fontId="295" fillId="61" borderId="47" applyNumberFormat="0" applyAlignment="0" applyProtection="0"/>
    <xf numFmtId="0" fontId="295" fillId="61" borderId="47" applyNumberFormat="0" applyAlignment="0" applyProtection="0"/>
    <xf numFmtId="0" fontId="295" fillId="61" borderId="47" applyNumberFormat="0" applyAlignment="0" applyProtection="0"/>
    <xf numFmtId="224" fontId="157" fillId="0" borderId="0" applyFill="0" applyBorder="0" applyAlignment="0" applyProtection="0">
      <protection locked="0"/>
    </xf>
    <xf numFmtId="3" fontId="74" fillId="56" borderId="0" applyNumberFormat="0" applyFont="0" applyBorder="0" applyAlignment="0">
      <alignment vertical="top"/>
      <protection locked="0"/>
    </xf>
    <xf numFmtId="0" fontId="295" fillId="61" borderId="47" applyNumberFormat="0" applyAlignment="0" applyProtection="0"/>
    <xf numFmtId="0" fontId="295" fillId="61" borderId="47" applyNumberFormat="0" applyAlignment="0" applyProtection="0"/>
    <xf numFmtId="0" fontId="295" fillId="61" borderId="47" applyNumberFormat="0" applyAlignment="0" applyProtection="0"/>
    <xf numFmtId="0" fontId="295" fillId="61" borderId="47" applyNumberFormat="0" applyAlignment="0" applyProtection="0"/>
    <xf numFmtId="0" fontId="295" fillId="61" borderId="47" applyNumberFormat="0" applyAlignment="0" applyProtection="0"/>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230" fontId="83" fillId="0" borderId="0" applyFill="0" applyBorder="0">
      <alignment horizontal="center" vertical="center"/>
    </xf>
    <xf numFmtId="230" fontId="83" fillId="0" borderId="0" applyFill="0" applyBorder="0">
      <alignment horizontal="center" vertical="center"/>
    </xf>
    <xf numFmtId="230" fontId="83" fillId="0" borderId="0" applyFill="0" applyBorder="0">
      <alignment horizontal="center" vertical="center"/>
    </xf>
    <xf numFmtId="230" fontId="83" fillId="0" borderId="0" applyFill="0" applyBorder="0">
      <alignment horizontal="center" vertical="center"/>
    </xf>
    <xf numFmtId="230" fontId="83" fillId="0" borderId="0" applyFill="0" applyBorder="0">
      <alignment horizontal="center" vertical="center"/>
    </xf>
    <xf numFmtId="229" fontId="83" fillId="0" borderId="0" applyFill="0" applyBorder="0">
      <alignment horizontal="right" vertical="center"/>
    </xf>
    <xf numFmtId="229" fontId="83" fillId="0" borderId="0" applyFill="0" applyBorder="0">
      <alignment horizontal="right" vertical="center"/>
    </xf>
    <xf numFmtId="229" fontId="83" fillId="0" borderId="0" applyFill="0" applyBorder="0">
      <alignment horizontal="right" vertical="center"/>
    </xf>
    <xf numFmtId="229" fontId="83" fillId="0" borderId="0" applyFill="0" applyBorder="0">
      <alignment horizontal="right" vertical="center"/>
    </xf>
    <xf numFmtId="229" fontId="83" fillId="0" borderId="0" applyFill="0" applyBorder="0">
      <alignment horizontal="right" vertical="center"/>
    </xf>
    <xf numFmtId="231" fontId="83" fillId="0" borderId="0" applyFill="0" applyBorder="0">
      <alignment horizontal="center" vertical="center"/>
    </xf>
    <xf numFmtId="231" fontId="83" fillId="0" borderId="0" applyFill="0" applyBorder="0">
      <alignment horizontal="center" vertical="center"/>
    </xf>
    <xf numFmtId="231" fontId="83" fillId="0" borderId="0" applyFill="0" applyBorder="0">
      <alignment horizontal="center" vertical="center"/>
    </xf>
    <xf numFmtId="231" fontId="83" fillId="0" borderId="0" applyFill="0" applyBorder="0">
      <alignment horizontal="center" vertical="center"/>
    </xf>
    <xf numFmtId="231" fontId="83" fillId="0" borderId="0" applyFill="0" applyBorder="0">
      <alignment horizontal="center" vertical="center"/>
    </xf>
    <xf numFmtId="232" fontId="83" fillId="0" borderId="0" applyFill="0" applyBorder="0">
      <alignment horizontal="center" vertical="center"/>
    </xf>
    <xf numFmtId="232" fontId="83" fillId="0" borderId="0" applyFill="0" applyBorder="0">
      <alignment horizontal="center" vertical="center"/>
    </xf>
    <xf numFmtId="232" fontId="83" fillId="0" borderId="0" applyFill="0" applyBorder="0">
      <alignment horizontal="center" vertical="center"/>
    </xf>
    <xf numFmtId="232" fontId="83" fillId="0" borderId="0" applyFill="0" applyBorder="0">
      <alignment horizontal="center" vertical="center"/>
    </xf>
    <xf numFmtId="232" fontId="83" fillId="0" borderId="0" applyFill="0" applyBorder="0">
      <alignment horizontal="center" vertical="center"/>
    </xf>
    <xf numFmtId="233" fontId="83" fillId="0" borderId="0" applyFill="0" applyBorder="0">
      <alignment horizontal="center" vertical="center"/>
    </xf>
    <xf numFmtId="233" fontId="83" fillId="0" borderId="0" applyFill="0" applyBorder="0">
      <alignment horizontal="center" vertical="center"/>
    </xf>
    <xf numFmtId="233" fontId="83" fillId="0" borderId="0" applyFill="0" applyBorder="0">
      <alignment horizontal="center" vertical="center"/>
    </xf>
    <xf numFmtId="233" fontId="83" fillId="0" borderId="0" applyFill="0" applyBorder="0">
      <alignment horizontal="center" vertical="center"/>
    </xf>
    <xf numFmtId="233" fontId="83" fillId="0" borderId="0" applyFill="0" applyBorder="0">
      <alignment horizontal="center"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5" fontId="83" fillId="0" borderId="0" applyFill="0" applyBorder="0">
      <alignment horizontal="center" vertical="center"/>
    </xf>
    <xf numFmtId="5" fontId="83" fillId="0" borderId="0" applyFill="0" applyBorder="0">
      <alignment horizontal="center" vertical="center"/>
    </xf>
    <xf numFmtId="5" fontId="83" fillId="0" borderId="0" applyFill="0" applyBorder="0">
      <alignment horizontal="center" vertical="center"/>
    </xf>
    <xf numFmtId="5" fontId="83" fillId="0" borderId="0" applyFill="0" applyBorder="0">
      <alignment horizontal="center" vertical="center"/>
    </xf>
    <xf numFmtId="5" fontId="83" fillId="0" borderId="0" applyFill="0" applyBorder="0">
      <alignment horizontal="center" vertical="center"/>
    </xf>
    <xf numFmtId="185" fontId="83" fillId="0" borderId="0" applyFill="0" applyBorder="0">
      <alignment horizontal="center" vertical="center"/>
    </xf>
    <xf numFmtId="185" fontId="83" fillId="0" borderId="0" applyFill="0" applyBorder="0">
      <alignment horizontal="center" vertical="center"/>
    </xf>
    <xf numFmtId="185" fontId="83" fillId="0" borderId="0" applyFill="0" applyBorder="0">
      <alignment horizontal="center" vertical="center"/>
    </xf>
    <xf numFmtId="185" fontId="83" fillId="0" borderId="0" applyFill="0" applyBorder="0">
      <alignment horizontal="center" vertical="center"/>
    </xf>
    <xf numFmtId="185" fontId="83" fillId="0" borderId="0" applyFill="0" applyBorder="0">
      <alignment horizontal="center" vertical="center"/>
    </xf>
    <xf numFmtId="186" fontId="83" fillId="0" borderId="0" applyFill="0" applyBorder="0">
      <alignment horizontal="center" vertical="center"/>
    </xf>
    <xf numFmtId="186" fontId="83" fillId="0" borderId="0" applyFill="0" applyBorder="0">
      <alignment horizontal="center" vertical="center"/>
    </xf>
    <xf numFmtId="186" fontId="83" fillId="0" borderId="0" applyFill="0" applyBorder="0">
      <alignment horizontal="center" vertical="center"/>
    </xf>
    <xf numFmtId="186" fontId="83" fillId="0" borderId="0" applyFill="0" applyBorder="0">
      <alignment horizontal="center" vertical="center"/>
    </xf>
    <xf numFmtId="186" fontId="83" fillId="0" borderId="0" applyFill="0" applyBorder="0">
      <alignment horizontal="center" vertical="center"/>
    </xf>
    <xf numFmtId="37" fontId="83" fillId="0" borderId="0" applyFill="0" applyBorder="0">
      <alignment horizontal="center" vertical="center"/>
    </xf>
    <xf numFmtId="37" fontId="83" fillId="0" borderId="0" applyFill="0" applyBorder="0">
      <alignment horizontal="center" vertical="center"/>
    </xf>
    <xf numFmtId="37" fontId="83" fillId="0" borderId="0" applyFill="0" applyBorder="0">
      <alignment horizontal="center" vertical="center"/>
    </xf>
    <xf numFmtId="37" fontId="83" fillId="0" borderId="0" applyFill="0" applyBorder="0">
      <alignment horizontal="center" vertical="center"/>
    </xf>
    <xf numFmtId="3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188" fontId="83" fillId="0" borderId="0" applyFill="0" applyBorder="0">
      <alignment horizontal="center" vertical="center"/>
    </xf>
    <xf numFmtId="188" fontId="83" fillId="0" borderId="0" applyFill="0" applyBorder="0">
      <alignment horizontal="center" vertical="center"/>
    </xf>
    <xf numFmtId="188" fontId="83" fillId="0" borderId="0" applyFill="0" applyBorder="0">
      <alignment horizontal="center" vertical="center"/>
    </xf>
    <xf numFmtId="188" fontId="83" fillId="0" borderId="0" applyFill="0" applyBorder="0">
      <alignment horizontal="center" vertical="center"/>
    </xf>
    <xf numFmtId="188" fontId="83" fillId="0" borderId="0" applyFill="0" applyBorder="0">
      <alignment horizontal="center" vertical="center"/>
    </xf>
    <xf numFmtId="0" fontId="161" fillId="0" borderId="0" applyFill="0" applyBorder="0">
      <alignment vertical="center"/>
    </xf>
    <xf numFmtId="0" fontId="161" fillId="0" borderId="0" applyFill="0" applyBorder="0">
      <alignment vertical="center"/>
    </xf>
    <xf numFmtId="0" fontId="161" fillId="0" borderId="0" applyFill="0" applyBorder="0">
      <alignment vertical="center"/>
    </xf>
    <xf numFmtId="0" fontId="161" fillId="0" borderId="0" applyFill="0" applyBorder="0">
      <alignment vertical="center"/>
    </xf>
    <xf numFmtId="0" fontId="161" fillId="0" borderId="0" applyFill="0" applyBorder="0">
      <alignment vertical="center"/>
    </xf>
    <xf numFmtId="277" fontId="59" fillId="95" borderId="1" applyFont="0" applyAlignment="0">
      <protection locked="0"/>
    </xf>
    <xf numFmtId="3" fontId="59" fillId="95" borderId="1" applyFont="0">
      <alignment horizontal="right"/>
      <protection locked="0"/>
    </xf>
    <xf numFmtId="173" fontId="59" fillId="95" borderId="1" applyFont="0">
      <alignment horizontal="right"/>
      <protection locked="0"/>
    </xf>
    <xf numFmtId="10" fontId="59" fillId="95" borderId="1" applyFont="0">
      <alignment horizontal="right"/>
      <protection locked="0"/>
    </xf>
    <xf numFmtId="9" fontId="59" fillId="95" borderId="26" applyFont="0">
      <alignment horizontal="right"/>
      <protection locked="0"/>
    </xf>
    <xf numFmtId="0" fontId="59" fillId="95" borderId="1" applyFont="0">
      <alignment horizontal="center" wrapText="1"/>
      <protection locked="0"/>
    </xf>
    <xf numFmtId="49" fontId="59" fillId="95" borderId="1" applyFont="0" applyAlignment="0">
      <protection locked="0"/>
    </xf>
    <xf numFmtId="0" fontId="249" fillId="0" borderId="0"/>
    <xf numFmtId="0" fontId="296" fillId="5" borderId="0"/>
    <xf numFmtId="0" fontId="163" fillId="0" borderId="38"/>
    <xf numFmtId="0" fontId="164" fillId="0" borderId="38">
      <alignment horizontal="centerContinuous"/>
    </xf>
    <xf numFmtId="0" fontId="164" fillId="0" borderId="38">
      <alignment horizontal="right"/>
    </xf>
    <xf numFmtId="217" fontId="165" fillId="5" borderId="38"/>
    <xf numFmtId="217" fontId="163" fillId="0" borderId="38"/>
    <xf numFmtId="0" fontId="164" fillId="0" borderId="38"/>
    <xf numFmtId="0" fontId="269" fillId="113" borderId="0">
      <alignment horizontal="left"/>
    </xf>
    <xf numFmtId="0" fontId="297" fillId="50" borderId="0">
      <alignment horizontal="left"/>
    </xf>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45" fillId="0" borderId="49" applyFill="0">
      <alignment horizontal="center" vertical="center"/>
    </xf>
    <xf numFmtId="0" fontId="45" fillId="0" borderId="49" applyFill="0">
      <alignment horizontal="center" vertical="center"/>
    </xf>
    <xf numFmtId="0" fontId="45" fillId="0" borderId="49" applyFill="0">
      <alignment horizontal="center" vertical="center"/>
    </xf>
    <xf numFmtId="0" fontId="19" fillId="0" borderId="49" applyFill="0">
      <alignment horizontal="center" vertical="center"/>
    </xf>
    <xf numFmtId="0" fontId="19" fillId="0" borderId="49" applyFill="0">
      <alignment horizontal="center" vertical="center"/>
    </xf>
    <xf numFmtId="0" fontId="19" fillId="0" borderId="49" applyFill="0">
      <alignment horizontal="center" vertical="center"/>
    </xf>
    <xf numFmtId="238" fontId="19" fillId="0" borderId="49" applyFill="0">
      <alignment horizontal="center" vertical="center"/>
    </xf>
    <xf numFmtId="238" fontId="19" fillId="0" borderId="49" applyFill="0">
      <alignment horizontal="center" vertical="center"/>
    </xf>
    <xf numFmtId="238" fontId="19" fillId="0" borderId="49" applyFill="0">
      <alignment horizontal="center" vertical="center"/>
    </xf>
    <xf numFmtId="0" fontId="83" fillId="0" borderId="49" applyFill="0">
      <alignment horizontal="center" vertical="center"/>
    </xf>
    <xf numFmtId="0" fontId="83" fillId="0" borderId="49" applyFill="0">
      <alignment horizontal="center" vertical="center"/>
    </xf>
    <xf numFmtId="0" fontId="83" fillId="0" borderId="49" applyFill="0">
      <alignment horizontal="center" vertical="center"/>
    </xf>
    <xf numFmtId="0" fontId="83" fillId="0" borderId="49" applyFill="0">
      <alignment horizontal="center" vertical="center"/>
    </xf>
    <xf numFmtId="0" fontId="83" fillId="0" borderId="49" applyFill="0">
      <alignment horizontal="center" vertical="center"/>
    </xf>
    <xf numFmtId="0" fontId="124" fillId="0" borderId="49" applyFill="0">
      <alignment horizontal="center" vertical="center"/>
    </xf>
    <xf numFmtId="0" fontId="124" fillId="0" borderId="49" applyFill="0">
      <alignment horizontal="center" vertical="center"/>
    </xf>
    <xf numFmtId="0" fontId="124" fillId="0" borderId="49" applyFill="0">
      <alignment horizontal="center" vertical="center"/>
    </xf>
    <xf numFmtId="0" fontId="124" fillId="0" borderId="49" applyFill="0">
      <alignment horizontal="center" vertical="center"/>
    </xf>
    <xf numFmtId="0" fontId="124" fillId="0" borderId="49" applyFill="0">
      <alignment horizontal="center" vertical="center"/>
    </xf>
    <xf numFmtId="239" fontId="83" fillId="0" borderId="49" applyFill="0">
      <alignment horizontal="center" vertical="center"/>
    </xf>
    <xf numFmtId="239" fontId="83" fillId="0" borderId="49" applyFill="0">
      <alignment horizontal="center" vertical="center"/>
    </xf>
    <xf numFmtId="239" fontId="83" fillId="0" borderId="49" applyFill="0">
      <alignment horizontal="center" vertical="center"/>
    </xf>
    <xf numFmtId="239" fontId="83" fillId="0" borderId="49" applyFill="0">
      <alignment horizontal="center" vertical="center"/>
    </xf>
    <xf numFmtId="239" fontId="83"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0" fontId="298" fillId="102" borderId="65">
      <protection locked="0"/>
    </xf>
    <xf numFmtId="38" fontId="111" fillId="0" borderId="0"/>
    <xf numFmtId="38" fontId="299" fillId="1" borderId="38"/>
    <xf numFmtId="38" fontId="299" fillId="1" borderId="38"/>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204" fontId="83" fillId="0" borderId="0" applyFill="0" applyBorder="0">
      <alignment horizontal="center" vertical="center"/>
    </xf>
    <xf numFmtId="204" fontId="83" fillId="0" borderId="0" applyFill="0" applyBorder="0">
      <alignment horizontal="center" vertical="center"/>
    </xf>
    <xf numFmtId="204" fontId="83" fillId="0" borderId="0" applyFill="0" applyBorder="0">
      <alignment horizontal="center" vertical="center"/>
    </xf>
    <xf numFmtId="204" fontId="83" fillId="0" borderId="0" applyFill="0" applyBorder="0">
      <alignment horizontal="center" vertical="center"/>
    </xf>
    <xf numFmtId="204" fontId="83" fillId="0" borderId="0" applyFill="0" applyBorder="0">
      <alignment horizontal="center" vertical="center"/>
    </xf>
    <xf numFmtId="14" fontId="83" fillId="0" borderId="0" applyFill="0" applyBorder="0">
      <alignment horizontal="center" vertical="center"/>
    </xf>
    <xf numFmtId="14" fontId="83" fillId="0" borderId="0" applyFill="0" applyBorder="0">
      <alignment horizontal="center" vertical="center"/>
    </xf>
    <xf numFmtId="14" fontId="83" fillId="0" borderId="0" applyFill="0" applyBorder="0">
      <alignment horizontal="center" vertical="center"/>
    </xf>
    <xf numFmtId="14" fontId="83" fillId="0" borderId="0" applyFill="0" applyBorder="0">
      <alignment horizontal="center" vertical="center"/>
    </xf>
    <xf numFmtId="14" fontId="83" fillId="0" borderId="0" applyFill="0" applyBorder="0">
      <alignment horizontal="center" vertical="center"/>
    </xf>
    <xf numFmtId="205" fontId="83" fillId="0" borderId="0" applyFill="0" applyBorder="0">
      <alignment horizontal="center" vertical="center"/>
    </xf>
    <xf numFmtId="205" fontId="83" fillId="0" borderId="0" applyFill="0" applyBorder="0">
      <alignment horizontal="center" vertical="center"/>
    </xf>
    <xf numFmtId="205" fontId="83" fillId="0" borderId="0" applyFill="0" applyBorder="0">
      <alignment horizontal="center" vertical="center"/>
    </xf>
    <xf numFmtId="205" fontId="83" fillId="0" borderId="0" applyFill="0" applyBorder="0">
      <alignment horizontal="center" vertical="center"/>
    </xf>
    <xf numFmtId="205" fontId="83" fillId="0" borderId="0" applyFill="0" applyBorder="0">
      <alignment horizontal="center" vertical="center"/>
    </xf>
    <xf numFmtId="206" fontId="83" fillId="0" borderId="0" applyFill="0" applyBorder="0">
      <alignment horizontal="center" vertical="center"/>
    </xf>
    <xf numFmtId="206" fontId="83" fillId="0" borderId="0" applyFill="0" applyBorder="0">
      <alignment horizontal="center" vertical="center"/>
    </xf>
    <xf numFmtId="206" fontId="83" fillId="0" borderId="0" applyFill="0" applyBorder="0">
      <alignment horizontal="center" vertical="center"/>
    </xf>
    <xf numFmtId="206" fontId="83" fillId="0" borderId="0" applyFill="0" applyBorder="0">
      <alignment horizontal="center" vertical="center"/>
    </xf>
    <xf numFmtId="206"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208" fontId="83" fillId="0" borderId="0" applyFill="0" applyBorder="0">
      <alignment horizontal="center" vertical="center"/>
    </xf>
    <xf numFmtId="208" fontId="83" fillId="0" borderId="0" applyFill="0" applyBorder="0">
      <alignment horizontal="center" vertical="center"/>
    </xf>
    <xf numFmtId="208" fontId="83" fillId="0" borderId="0" applyFill="0" applyBorder="0">
      <alignment horizontal="center" vertical="center"/>
    </xf>
    <xf numFmtId="208" fontId="83" fillId="0" borderId="0" applyFill="0" applyBorder="0">
      <alignment horizontal="center" vertical="center"/>
    </xf>
    <xf numFmtId="208" fontId="83" fillId="0" borderId="0" applyFill="0" applyBorder="0">
      <alignment horizontal="center" vertical="center"/>
    </xf>
    <xf numFmtId="278" fontId="59" fillId="0" borderId="0" applyFont="0" applyFill="0" applyBorder="0" applyAlignment="0" applyProtection="0"/>
    <xf numFmtId="279" fontId="59" fillId="0" borderId="0" applyFont="0" applyFill="0" applyBorder="0" applyAlignment="0" applyProtection="0"/>
    <xf numFmtId="229" fontId="125" fillId="0" borderId="0" applyFill="0" applyBorder="0">
      <alignment horizontal="right" vertical="center"/>
    </xf>
    <xf numFmtId="229" fontId="125" fillId="0" borderId="0" applyFill="0" applyBorder="0">
      <alignment horizontal="right" vertical="center"/>
    </xf>
    <xf numFmtId="229" fontId="125" fillId="0" borderId="0" applyFill="0" applyBorder="0">
      <alignment horizontal="right" vertical="center"/>
    </xf>
    <xf numFmtId="229" fontId="125" fillId="0" borderId="0" applyFill="0" applyBorder="0">
      <alignment horizontal="right" vertical="center"/>
    </xf>
    <xf numFmtId="229" fontId="125" fillId="0" borderId="0" applyFill="0" applyBorder="0">
      <alignment horizontal="right" vertical="center"/>
    </xf>
    <xf numFmtId="229" fontId="125" fillId="0" borderId="0" applyFill="0" applyBorder="0">
      <alignment horizontal="right" vertical="center"/>
    </xf>
    <xf numFmtId="0" fontId="135" fillId="0" borderId="0" applyFill="0" applyBorder="0" applyAlignment="0"/>
    <xf numFmtId="0" fontId="135" fillId="0" borderId="0" applyFill="0" applyBorder="0" applyAlignment="0"/>
    <xf numFmtId="0" fontId="135" fillId="0" borderId="0" applyFill="0" applyBorder="0" applyAlignment="0"/>
    <xf numFmtId="10" fontId="117" fillId="118" borderId="90" applyBorder="0">
      <alignment horizontal="center"/>
      <protection locked="0"/>
    </xf>
    <xf numFmtId="280" fontId="59" fillId="0" borderId="0" applyFont="0" applyFill="0" applyBorder="0" applyAlignment="0" applyProtection="0"/>
    <xf numFmtId="281" fontId="59" fillId="0" borderId="0" applyFon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241" fontId="172" fillId="0" borderId="0" applyFill="0" applyBorder="0" applyProtection="0"/>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241" fontId="172" fillId="0" borderId="0" applyFill="0" applyBorder="0" applyProtection="0"/>
    <xf numFmtId="241" fontId="172" fillId="0" borderId="0" applyFill="0" applyBorder="0" applyProtection="0"/>
    <xf numFmtId="241" fontId="172" fillId="0" borderId="0" applyFill="0" applyBorder="0" applyProtection="0"/>
    <xf numFmtId="241" fontId="172" fillId="0" borderId="0" applyFill="0" applyBorder="0" applyProtection="0"/>
    <xf numFmtId="241" fontId="172" fillId="0" borderId="0" applyFill="0" applyBorder="0" applyProtection="0"/>
    <xf numFmtId="241" fontId="172" fillId="0" borderId="0" applyFill="0" applyBorder="0" applyProtection="0"/>
    <xf numFmtId="241" fontId="172" fillId="0" borderId="0" applyFill="0" applyBorder="0" applyProtection="0"/>
    <xf numFmtId="0" fontId="108" fillId="0" borderId="0" applyFont="0" applyFill="0" applyBorder="0" applyAlignment="0" applyProtection="0">
      <alignment horizontal="right"/>
    </xf>
    <xf numFmtId="0" fontId="173" fillId="0" borderId="0"/>
    <xf numFmtId="0" fontId="173" fillId="90" borderId="0"/>
    <xf numFmtId="0" fontId="173" fillId="90" borderId="0"/>
    <xf numFmtId="0" fontId="173" fillId="90" borderId="0"/>
    <xf numFmtId="0" fontId="173" fillId="90" borderId="0"/>
    <xf numFmtId="0" fontId="173" fillId="90" borderId="0"/>
    <xf numFmtId="0" fontId="173" fillId="90" borderId="0"/>
    <xf numFmtId="0" fontId="174" fillId="90" borderId="0"/>
    <xf numFmtId="0" fontId="174" fillId="90" borderId="0"/>
    <xf numFmtId="0" fontId="174" fillId="90" borderId="0"/>
    <xf numFmtId="0" fontId="174" fillId="90" borderId="0"/>
    <xf numFmtId="0" fontId="174" fillId="90" borderId="0"/>
    <xf numFmtId="0" fontId="174" fillId="90" borderId="0"/>
    <xf numFmtId="0" fontId="175" fillId="3" borderId="0"/>
    <xf numFmtId="0" fontId="175" fillId="3" borderId="0"/>
    <xf numFmtId="0" fontId="64" fillId="3" borderId="0" applyNumberFormat="0"/>
    <xf numFmtId="0" fontId="175" fillId="0" borderId="0"/>
    <xf numFmtId="0" fontId="175" fillId="3" borderId="0"/>
    <xf numFmtId="0" fontId="68" fillId="0" borderId="38"/>
    <xf numFmtId="0" fontId="68" fillId="0" borderId="38"/>
    <xf numFmtId="0" fontId="68" fillId="0" borderId="38">
      <alignment horizontal="right"/>
    </xf>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8" fillId="0" borderId="59"/>
    <xf numFmtId="0" fontId="66" fillId="0" borderId="38"/>
    <xf numFmtId="0" fontId="66" fillId="0" borderId="38">
      <alignment horizontal="right"/>
    </xf>
    <xf numFmtId="0" fontId="66" fillId="0" borderId="38">
      <alignment horizontal="center"/>
    </xf>
    <xf numFmtId="0" fontId="66" fillId="0" borderId="38">
      <alignment horizontal="right"/>
    </xf>
    <xf numFmtId="0" fontId="66" fillId="0" borderId="38">
      <alignment horizontal="right"/>
    </xf>
    <xf numFmtId="0" fontId="66" fillId="0" borderId="38">
      <alignment horizontal="left"/>
    </xf>
    <xf numFmtId="0" fontId="66" fillId="0" borderId="38">
      <alignment horizontal="left"/>
    </xf>
    <xf numFmtId="0" fontId="66" fillId="5" borderId="38">
      <alignment horizontal="right"/>
    </xf>
    <xf numFmtId="0" fontId="66" fillId="5" borderId="38">
      <alignment horizontal="right"/>
    </xf>
    <xf numFmtId="0" fontId="66" fillId="92" borderId="38">
      <alignment horizontal="center"/>
    </xf>
    <xf numFmtId="0" fontId="66" fillId="0" borderId="38"/>
    <xf numFmtId="177" fontId="68" fillId="93" borderId="38">
      <alignment horizontal="right"/>
    </xf>
    <xf numFmtId="0" fontId="67" fillId="5" borderId="0"/>
    <xf numFmtId="41" fontId="67" fillId="5" borderId="38">
      <alignment horizontal="right"/>
    </xf>
    <xf numFmtId="41" fontId="67" fillId="5" borderId="38"/>
    <xf numFmtId="181" fontId="67" fillId="5" borderId="38">
      <alignment horizontal="right"/>
    </xf>
    <xf numFmtId="41" fontId="67" fillId="5" borderId="38">
      <alignment vertical="center"/>
    </xf>
    <xf numFmtId="41" fontId="68" fillId="5" borderId="38">
      <alignment horizontal="right"/>
    </xf>
    <xf numFmtId="41" fontId="68" fillId="5" borderId="41">
      <alignment vertical="center"/>
    </xf>
    <xf numFmtId="41" fontId="68" fillId="5" borderId="41">
      <alignment vertical="center"/>
    </xf>
    <xf numFmtId="177" fontId="67" fillId="5" borderId="38">
      <alignment horizontal="right"/>
    </xf>
    <xf numFmtId="41" fontId="67" fillId="0" borderId="38"/>
    <xf numFmtId="180" fontId="67" fillId="5" borderId="38">
      <alignment horizontal="right"/>
    </xf>
    <xf numFmtId="245" fontId="67" fillId="5" borderId="38">
      <alignment horizontal="right"/>
    </xf>
    <xf numFmtId="41" fontId="68" fillId="0" borderId="38">
      <alignment horizontal="right"/>
    </xf>
    <xf numFmtId="41" fontId="68" fillId="0" borderId="38"/>
    <xf numFmtId="181" fontId="68" fillId="0" borderId="38">
      <alignment horizontal="right"/>
    </xf>
    <xf numFmtId="0" fontId="68" fillId="0" borderId="41"/>
    <xf numFmtId="0" fontId="68" fillId="0" borderId="41"/>
    <xf numFmtId="0" fontId="68" fillId="0" borderId="41"/>
    <xf numFmtId="0" fontId="68" fillId="0" borderId="41"/>
    <xf numFmtId="0" fontId="68" fillId="0" borderId="41"/>
    <xf numFmtId="0" fontId="68" fillId="0" borderId="41"/>
    <xf numFmtId="0" fontId="68" fillId="0" borderId="41"/>
    <xf numFmtId="0" fontId="68" fillId="0" borderId="41"/>
    <xf numFmtId="242" fontId="68" fillId="0" borderId="41"/>
    <xf numFmtId="41" fontId="67" fillId="0" borderId="38">
      <alignment horizontal="right"/>
    </xf>
    <xf numFmtId="41" fontId="68" fillId="5" borderId="38"/>
    <xf numFmtId="177" fontId="68" fillId="0" borderId="38">
      <alignment horizontal="right"/>
    </xf>
    <xf numFmtId="41" fontId="68" fillId="5" borderId="38"/>
    <xf numFmtId="180" fontId="68" fillId="0" borderId="38">
      <alignment horizontal="right"/>
    </xf>
    <xf numFmtId="245" fontId="68" fillId="0" borderId="38">
      <alignment horizontal="right"/>
    </xf>
    <xf numFmtId="0" fontId="68" fillId="0" borderId="0">
      <alignment horizontal="right"/>
    </xf>
    <xf numFmtId="178" fontId="67" fillId="5" borderId="38">
      <alignment horizontal="right"/>
    </xf>
    <xf numFmtId="0" fontId="68" fillId="0" borderId="38">
      <alignment horizontal="right"/>
    </xf>
    <xf numFmtId="0" fontId="68" fillId="0" borderId="38">
      <alignment horizontal="right"/>
    </xf>
    <xf numFmtId="246" fontId="68" fillId="0" borderId="38">
      <alignment horizontal="right"/>
    </xf>
    <xf numFmtId="246" fontId="68" fillId="0" borderId="38">
      <alignment horizontal="right"/>
    </xf>
    <xf numFmtId="0" fontId="68" fillId="0" borderId="41">
      <alignment horizontal="right"/>
    </xf>
    <xf numFmtId="246" fontId="68" fillId="0" borderId="41">
      <alignment horizontal="right"/>
    </xf>
    <xf numFmtId="179" fontId="67" fillId="5" borderId="38">
      <alignment horizontal="right"/>
    </xf>
    <xf numFmtId="247" fontId="67" fillId="5" borderId="38">
      <alignment horizontal="right"/>
    </xf>
    <xf numFmtId="178" fontId="68" fillId="0" borderId="38">
      <alignment horizontal="right"/>
    </xf>
    <xf numFmtId="179" fontId="68" fillId="0" borderId="38">
      <alignment horizontal="right"/>
    </xf>
    <xf numFmtId="10" fontId="68" fillId="5" borderId="41">
      <alignment horizontal="right"/>
    </xf>
    <xf numFmtId="247" fontId="68" fillId="0" borderId="38">
      <alignment horizontal="right"/>
    </xf>
    <xf numFmtId="0" fontId="179" fillId="0" borderId="38">
      <alignment horizontal="center"/>
    </xf>
    <xf numFmtId="0" fontId="66" fillId="0" borderId="38">
      <alignment horizontal="center"/>
    </xf>
    <xf numFmtId="0" fontId="68" fillId="0" borderId="38">
      <alignment horizontal="center"/>
    </xf>
    <xf numFmtId="0" fontId="67" fillId="0" borderId="38">
      <alignment horizontal="center"/>
    </xf>
    <xf numFmtId="0" fontId="66" fillId="0" borderId="38"/>
    <xf numFmtId="0" fontId="66" fillId="3" borderId="38"/>
    <xf numFmtId="0" fontId="180" fillId="0" borderId="0"/>
    <xf numFmtId="0" fontId="181" fillId="0" borderId="38"/>
    <xf numFmtId="177" fontId="68" fillId="0" borderId="38">
      <alignment horizontal="right"/>
    </xf>
    <xf numFmtId="0" fontId="296" fillId="5" borderId="0"/>
    <xf numFmtId="37" fontId="82" fillId="0" borderId="0" applyFont="0"/>
    <xf numFmtId="37" fontId="82" fillId="0" borderId="0" applyFont="0"/>
    <xf numFmtId="37" fontId="82" fillId="0" borderId="0" applyFont="0"/>
    <xf numFmtId="37" fontId="82" fillId="0" borderId="0" applyFont="0"/>
    <xf numFmtId="37" fontId="82" fillId="0" borderId="0" applyFont="0"/>
    <xf numFmtId="37" fontId="82" fillId="0" borderId="0" applyFont="0"/>
    <xf numFmtId="1" fontId="59" fillId="0" borderId="0"/>
    <xf numFmtId="1" fontId="59" fillId="0" borderId="0"/>
    <xf numFmtId="1" fontId="59" fillId="0" borderId="0"/>
    <xf numFmtId="282" fontId="59" fillId="0" borderId="0"/>
    <xf numFmtId="0" fontId="59" fillId="0" borderId="0"/>
    <xf numFmtId="0" fontId="59" fillId="0" borderId="0"/>
    <xf numFmtId="0" fontId="1" fillId="0" borderId="0"/>
    <xf numFmtId="0" fontId="1" fillId="0" borderId="0"/>
    <xf numFmtId="0" fontId="300" fillId="0" borderId="0"/>
    <xf numFmtId="0" fontId="59" fillId="0" borderId="0"/>
    <xf numFmtId="0" fontId="59" fillId="0" borderId="0"/>
    <xf numFmtId="212" fontId="188" fillId="0" borderId="0" applyFill="0" applyBorder="0" applyAlignment="0"/>
    <xf numFmtId="0" fontId="59" fillId="0" borderId="0"/>
    <xf numFmtId="0" fontId="59" fillId="0" borderId="0"/>
    <xf numFmtId="220" fontId="109" fillId="0" borderId="0"/>
    <xf numFmtId="0" fontId="59" fillId="0" borderId="0"/>
    <xf numFmtId="0" fontId="59" fillId="0" borderId="0"/>
    <xf numFmtId="0" fontId="59" fillId="0" borderId="0"/>
    <xf numFmtId="0" fontId="59" fillId="0" borderId="0"/>
    <xf numFmtId="0" fontId="5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9" fillId="0" borderId="0" applyProtection="0"/>
    <xf numFmtId="0" fontId="59" fillId="0" borderId="0"/>
    <xf numFmtId="0" fontId="59" fillId="0" borderId="0" applyProtection="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applyProtection="0"/>
    <xf numFmtId="220" fontId="10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61" fillId="0" borderId="0"/>
    <xf numFmtId="0" fontId="61" fillId="0" borderId="0"/>
    <xf numFmtId="0" fontId="61" fillId="0" borderId="0"/>
    <xf numFmtId="0" fontId="1" fillId="0" borderId="0"/>
    <xf numFmtId="0" fontId="1" fillId="0" borderId="0"/>
    <xf numFmtId="0" fontId="1" fillId="0" borderId="0"/>
    <xf numFmtId="0" fontId="6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0" fontId="1" fillId="0" borderId="0"/>
    <xf numFmtId="0" fontId="1" fillId="0" borderId="0"/>
    <xf numFmtId="0" fontId="1" fillId="0" borderId="0"/>
    <xf numFmtId="0" fontId="59"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1" fillId="1" borderId="0"/>
    <xf numFmtId="0" fontId="59" fillId="0" borderId="0"/>
    <xf numFmtId="0" fontId="302" fillId="0" borderId="0"/>
    <xf numFmtId="0" fontId="59" fillId="55" borderId="64" applyNumberFormat="0" applyFont="0" applyAlignment="0" applyProtection="0"/>
    <xf numFmtId="0" fontId="193" fillId="0" borderId="27"/>
    <xf numFmtId="0" fontId="117" fillId="0" borderId="0"/>
    <xf numFmtId="254" fontId="117" fillId="0" borderId="0"/>
    <xf numFmtId="0" fontId="59" fillId="0" borderId="88" applyNumberFormat="0" applyFont="0" applyFill="0" applyBorder="0" applyAlignment="0" applyProtection="0"/>
    <xf numFmtId="0" fontId="59" fillId="0" borderId="88" applyNumberFormat="0" applyFont="0" applyFill="0" applyBorder="0" applyAlignment="0" applyProtection="0"/>
    <xf numFmtId="3" fontId="59" fillId="47" borderId="1">
      <alignment horizontal="right"/>
      <protection locked="0"/>
    </xf>
    <xf numFmtId="173" fontId="59" fillId="47" borderId="1">
      <alignment horizontal="right"/>
      <protection locked="0"/>
    </xf>
    <xf numFmtId="10" fontId="59" fillId="47" borderId="1" applyFont="0">
      <alignment horizontal="right"/>
      <protection locked="0"/>
    </xf>
    <xf numFmtId="9" fontId="59" fillId="47" borderId="1">
      <alignment horizontal="right"/>
      <protection locked="0"/>
    </xf>
    <xf numFmtId="0" fontId="59" fillId="47" borderId="1">
      <alignment horizontal="center" wrapText="1"/>
    </xf>
    <xf numFmtId="0" fontId="59" fillId="47" borderId="1" applyNumberFormat="0" applyFont="0">
      <alignment horizontal="center" wrapText="1"/>
      <protection locked="0"/>
    </xf>
    <xf numFmtId="255" fontId="303" fillId="50" borderId="0">
      <alignment horizontal="right"/>
    </xf>
    <xf numFmtId="0" fontId="304" fillId="119" borderId="0">
      <alignment horizontal="center"/>
    </xf>
    <xf numFmtId="0" fontId="89" fillId="0" borderId="0" applyFill="0" applyBorder="0">
      <alignment vertical="center"/>
    </xf>
    <xf numFmtId="0" fontId="89" fillId="0" borderId="0" applyFill="0" applyBorder="0">
      <alignment vertical="center"/>
    </xf>
    <xf numFmtId="0" fontId="89" fillId="0" borderId="0" applyFill="0" applyBorder="0">
      <alignment vertical="center"/>
    </xf>
    <xf numFmtId="0" fontId="89" fillId="0" borderId="0" applyFill="0" applyBorder="0">
      <alignment vertical="center"/>
    </xf>
    <xf numFmtId="0" fontId="89" fillId="0" borderId="0" applyFill="0" applyBorder="0">
      <alignment vertical="center"/>
    </xf>
    <xf numFmtId="0" fontId="89" fillId="0" borderId="0" applyFill="0" applyBorder="0">
      <alignment vertical="center"/>
    </xf>
    <xf numFmtId="198" fontId="9" fillId="0" borderId="0" applyFill="0" applyBorder="0">
      <alignment horizontal="center" vertical="center"/>
    </xf>
    <xf numFmtId="198" fontId="9" fillId="0" borderId="0" applyFill="0" applyBorder="0">
      <alignment horizontal="center" vertical="center"/>
    </xf>
    <xf numFmtId="198" fontId="9" fillId="0" borderId="0" applyFill="0" applyBorder="0">
      <alignment horizontal="center" vertical="center"/>
    </xf>
    <xf numFmtId="198" fontId="9" fillId="0" borderId="0" applyFill="0" applyBorder="0">
      <alignment horizontal="center" vertical="center"/>
    </xf>
    <xf numFmtId="198" fontId="9" fillId="0" borderId="0" applyFill="0" applyBorder="0">
      <alignment horizontal="center" vertical="center"/>
    </xf>
    <xf numFmtId="198" fontId="9" fillId="0" borderId="0" applyFill="0" applyBorder="0">
      <alignment horizontal="center" vertical="center"/>
    </xf>
    <xf numFmtId="229" fontId="9" fillId="0" borderId="0" applyFill="0" applyBorder="0">
      <alignment horizontal="right" vertical="center"/>
    </xf>
    <xf numFmtId="229" fontId="9" fillId="0" borderId="0" applyFill="0" applyBorder="0">
      <alignment horizontal="right" vertical="center"/>
    </xf>
    <xf numFmtId="229" fontId="9" fillId="0" borderId="0" applyFill="0" applyBorder="0">
      <alignment horizontal="right" vertical="center"/>
    </xf>
    <xf numFmtId="229" fontId="9" fillId="0" borderId="0" applyFill="0" applyBorder="0">
      <alignment horizontal="right" vertical="center"/>
    </xf>
    <xf numFmtId="229" fontId="9" fillId="0" borderId="0" applyFill="0" applyBorder="0">
      <alignment horizontal="right" vertical="center"/>
    </xf>
    <xf numFmtId="229" fontId="9" fillId="0" borderId="0" applyFill="0" applyBorder="0">
      <alignment horizontal="right" vertical="center"/>
    </xf>
    <xf numFmtId="200" fontId="9" fillId="0" borderId="0" applyFill="0" applyBorder="0">
      <alignment horizontal="center" vertical="center"/>
    </xf>
    <xf numFmtId="200" fontId="9" fillId="0" borderId="0" applyFill="0" applyBorder="0">
      <alignment horizontal="center" vertical="center"/>
    </xf>
    <xf numFmtId="200" fontId="9" fillId="0" borderId="0" applyFill="0" applyBorder="0">
      <alignment horizontal="center" vertical="center"/>
    </xf>
    <xf numFmtId="200" fontId="9" fillId="0" borderId="0" applyFill="0" applyBorder="0">
      <alignment horizontal="center" vertical="center"/>
    </xf>
    <xf numFmtId="200" fontId="9" fillId="0" borderId="0" applyFill="0" applyBorder="0">
      <alignment horizontal="center" vertical="center"/>
    </xf>
    <xf numFmtId="200"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0" fontId="15" fillId="0" borderId="0" applyFill="0" applyBorder="0">
      <alignment horizontal="right" vertical="center"/>
    </xf>
    <xf numFmtId="0" fontId="15" fillId="0" borderId="0" applyFill="0" applyBorder="0">
      <alignment horizontal="right" vertical="center"/>
    </xf>
    <xf numFmtId="0" fontId="15" fillId="0" borderId="0" applyFill="0" applyBorder="0">
      <alignment horizontal="right" vertical="center"/>
    </xf>
    <xf numFmtId="0" fontId="15" fillId="0" borderId="0" applyFill="0" applyBorder="0">
      <alignment horizontal="right" vertical="center"/>
    </xf>
    <xf numFmtId="0" fontId="15" fillId="0" borderId="0" applyFill="0" applyBorder="0">
      <alignment horizontal="right" vertical="center"/>
    </xf>
    <xf numFmtId="0" fontId="15"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90" fillId="0" borderId="0" applyFill="0" applyBorder="0">
      <alignment vertical="center"/>
    </xf>
    <xf numFmtId="0" fontId="90" fillId="0" borderId="0" applyFill="0" applyBorder="0">
      <alignment vertical="center"/>
    </xf>
    <xf numFmtId="0" fontId="90" fillId="0" borderId="0" applyFill="0" applyBorder="0">
      <alignment vertical="center"/>
    </xf>
    <xf numFmtId="0" fontId="90" fillId="0" borderId="0" applyFill="0" applyBorder="0">
      <alignment vertical="center"/>
    </xf>
    <xf numFmtId="0" fontId="90" fillId="0" borderId="0" applyFill="0" applyBorder="0">
      <alignment vertical="center"/>
    </xf>
    <xf numFmtId="0" fontId="90" fillId="0" borderId="0" applyFill="0" applyBorder="0">
      <alignment vertical="center"/>
    </xf>
    <xf numFmtId="0" fontId="15" fillId="0" borderId="0" applyFill="0" applyBorder="0">
      <alignment vertical="center"/>
    </xf>
    <xf numFmtId="0" fontId="15" fillId="0" borderId="0" applyFill="0" applyBorder="0">
      <alignment vertical="center"/>
    </xf>
    <xf numFmtId="0" fontId="15" fillId="0" borderId="0" applyFill="0" applyBorder="0">
      <alignment vertical="center"/>
    </xf>
    <xf numFmtId="0" fontId="15" fillId="0" borderId="0" applyFill="0" applyBorder="0">
      <alignment vertical="center"/>
    </xf>
    <xf numFmtId="0" fontId="15" fillId="0" borderId="0" applyFill="0" applyBorder="0">
      <alignment vertical="center"/>
    </xf>
    <xf numFmtId="0" fontId="15" fillId="0" borderId="0" applyFill="0" applyBorder="0">
      <alignment vertical="center"/>
    </xf>
    <xf numFmtId="0" fontId="9" fillId="0" borderId="0" applyFill="0" applyBorder="0">
      <alignment vertical="center"/>
    </xf>
    <xf numFmtId="0" fontId="9" fillId="0" borderId="0" applyFill="0" applyBorder="0">
      <alignment vertical="center"/>
    </xf>
    <xf numFmtId="0" fontId="9" fillId="0" borderId="0" applyFill="0" applyBorder="0">
      <alignment vertical="center"/>
    </xf>
    <xf numFmtId="0" fontId="9" fillId="0" borderId="0" applyFill="0" applyBorder="0">
      <alignment vertical="center"/>
    </xf>
    <xf numFmtId="0" fontId="9" fillId="0" borderId="0" applyFill="0" applyBorder="0">
      <alignment vertical="center"/>
    </xf>
    <xf numFmtId="0" fontId="9" fillId="0" borderId="0" applyFill="0" applyBorder="0">
      <alignment vertical="center"/>
    </xf>
    <xf numFmtId="0" fontId="305" fillId="85" borderId="0"/>
    <xf numFmtId="5" fontId="9" fillId="0" borderId="0" applyFill="0" applyBorder="0">
      <alignment horizontal="center" vertical="center"/>
    </xf>
    <xf numFmtId="5" fontId="9" fillId="0" borderId="0" applyFill="0" applyBorder="0">
      <alignment horizontal="center" vertical="center"/>
    </xf>
    <xf numFmtId="5" fontId="9" fillId="0" borderId="0" applyFill="0" applyBorder="0">
      <alignment horizontal="center" vertical="center"/>
    </xf>
    <xf numFmtId="5" fontId="9" fillId="0" borderId="0" applyFill="0" applyBorder="0">
      <alignment horizontal="center" vertical="center"/>
    </xf>
    <xf numFmtId="5" fontId="9" fillId="0" borderId="0" applyFill="0" applyBorder="0">
      <alignment horizontal="center" vertical="center"/>
    </xf>
    <xf numFmtId="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0" fontId="306" fillId="50" borderId="0" applyBorder="0">
      <alignment horizontal="centerContinuous"/>
    </xf>
    <xf numFmtId="0" fontId="307" fillId="85" borderId="0" applyBorder="0">
      <alignment horizontal="centerContinuous"/>
    </xf>
    <xf numFmtId="0" fontId="202" fillId="0" borderId="0" applyFill="0" applyBorder="0">
      <alignment vertical="center"/>
    </xf>
    <xf numFmtId="0" fontId="202" fillId="0" borderId="0" applyFill="0" applyBorder="0">
      <alignment vertical="center"/>
    </xf>
    <xf numFmtId="0" fontId="202" fillId="0" borderId="0" applyFill="0" applyBorder="0">
      <alignment vertical="center"/>
    </xf>
    <xf numFmtId="0" fontId="202" fillId="0" borderId="0" applyFill="0" applyBorder="0">
      <alignment vertical="center"/>
    </xf>
    <xf numFmtId="0" fontId="202" fillId="0" borderId="0" applyFill="0" applyBorder="0">
      <alignment vertical="center"/>
    </xf>
    <xf numFmtId="0" fontId="202" fillId="0" borderId="0" applyFill="0" applyBorder="0">
      <alignment vertical="center"/>
    </xf>
    <xf numFmtId="0" fontId="59" fillId="0" borderId="91" applyNumberFormat="0" applyFont="0" applyFill="0" applyBorder="0" applyAlignment="0" applyProtection="0"/>
    <xf numFmtId="0" fontId="59" fillId="0" borderId="91" applyNumberFormat="0" applyFont="0" applyFill="0" applyBorder="0" applyAlignment="0" applyProtection="0"/>
    <xf numFmtId="0" fontId="59" fillId="0" borderId="92" applyNumberFormat="0" applyFont="0" applyFill="0" applyAlignment="0" applyProtection="0"/>
    <xf numFmtId="256" fontId="93" fillId="76" borderId="69" applyProtection="0"/>
    <xf numFmtId="0" fontId="59" fillId="6" borderId="0">
      <alignment vertical="top"/>
    </xf>
    <xf numFmtId="283" fontId="258" fillId="0" borderId="9" applyBorder="0"/>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56" fontId="93" fillId="76" borderId="69" applyProtection="0"/>
    <xf numFmtId="283" fontId="258" fillId="0" borderId="9" applyBorder="0"/>
    <xf numFmtId="256" fontId="93" fillId="76" borderId="69" applyProtection="0"/>
    <xf numFmtId="256" fontId="93" fillId="76" borderId="69" applyProtection="0"/>
    <xf numFmtId="283" fontId="258" fillId="0" borderId="9" applyBorder="0"/>
    <xf numFmtId="0" fontId="308" fillId="120" borderId="0" applyNumberFormat="0" applyBorder="0" applyAlignment="0"/>
    <xf numFmtId="167" fontId="59" fillId="0" borderId="0">
      <alignment horizontal="center"/>
    </xf>
    <xf numFmtId="0" fontId="59" fillId="0" borderId="0" applyFont="0" applyFill="0" applyBorder="0" applyAlignment="0" applyProtection="0"/>
    <xf numFmtId="10"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45" fillId="0" borderId="0" applyFill="0" applyBorder="0">
      <alignment horizontal="right" vertical="center"/>
    </xf>
    <xf numFmtId="0" fontId="45" fillId="0" borderId="0" applyFill="0" applyBorder="0">
      <alignment horizontal="right" vertical="center"/>
    </xf>
    <xf numFmtId="0" fontId="45" fillId="0" borderId="0" applyFill="0" applyBorder="0">
      <alignment horizontal="right" vertical="center"/>
    </xf>
    <xf numFmtId="260" fontId="59" fillId="0" borderId="14"/>
    <xf numFmtId="260" fontId="59" fillId="0" borderId="14"/>
    <xf numFmtId="260" fontId="59" fillId="96" borderId="11"/>
    <xf numFmtId="260" fontId="59" fillId="96" borderId="11"/>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284" fontId="309" fillId="0" borderId="0" applyFill="0" applyBorder="0">
      <alignment horizontal="right" vertical="center"/>
    </xf>
    <xf numFmtId="285" fontId="309" fillId="0" borderId="0" applyFill="0" applyBorder="0">
      <alignment horizontal="right" vertical="center"/>
    </xf>
    <xf numFmtId="0" fontId="285" fillId="0" borderId="0" applyFill="0" applyBorder="0">
      <alignment vertical="center"/>
    </xf>
    <xf numFmtId="0" fontId="272" fillId="0" borderId="0" applyFill="0" applyBorder="0">
      <alignment vertical="center"/>
    </xf>
    <xf numFmtId="0" fontId="310" fillId="0" borderId="0" applyFill="0" applyBorder="0">
      <alignment vertical="center"/>
    </xf>
    <xf numFmtId="0" fontId="309" fillId="0" borderId="0" applyFill="0" applyBorder="0">
      <alignment vertical="center"/>
    </xf>
    <xf numFmtId="0" fontId="150" fillId="0" borderId="0" applyFill="0" applyBorder="0">
      <alignment horizontal="center" vertical="center"/>
      <protection locked="0"/>
    </xf>
    <xf numFmtId="0" fontId="150" fillId="0" borderId="0" applyFill="0" applyBorder="0">
      <alignment horizontal="center" vertical="center"/>
      <protection locked="0"/>
    </xf>
    <xf numFmtId="0" fontId="311" fillId="0" borderId="0" applyFill="0" applyBorder="0">
      <alignment horizontal="left" vertical="center"/>
      <protection locked="0"/>
    </xf>
    <xf numFmtId="0" fontId="312" fillId="0" borderId="0" applyFill="0" applyBorder="0">
      <alignment horizontal="left" vertical="center"/>
    </xf>
    <xf numFmtId="192" fontId="309" fillId="0" borderId="0" applyFill="0" applyBorder="0">
      <alignment horizontal="right" vertical="center"/>
    </xf>
    <xf numFmtId="0" fontId="309" fillId="0" borderId="0" applyFill="0" applyBorder="0">
      <alignment vertical="center"/>
    </xf>
    <xf numFmtId="268" fontId="309" fillId="0" borderId="0" applyFill="0" applyBorder="0">
      <alignment horizontal="right" vertical="center"/>
    </xf>
    <xf numFmtId="178" fontId="309" fillId="0" borderId="0" applyFill="0" applyBorder="0">
      <alignment horizontal="right" vertical="center"/>
    </xf>
    <xf numFmtId="0" fontId="310" fillId="0" borderId="0" applyFill="0" applyBorder="0">
      <alignment vertical="center"/>
    </xf>
    <xf numFmtId="268" fontId="313" fillId="0" borderId="0" applyFill="0" applyBorder="0">
      <alignment horizontal="left" vertical="center"/>
    </xf>
    <xf numFmtId="0" fontId="314" fillId="0" borderId="0" applyFill="0" applyBorder="0">
      <alignment horizontal="left" vertical="center"/>
    </xf>
    <xf numFmtId="197" fontId="309" fillId="0" borderId="0" applyFill="0" applyBorder="0">
      <alignment horizontal="right" vertical="center"/>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15" fontId="117" fillId="0" borderId="0" applyFont="0" applyFill="0" applyBorder="0" applyAlignment="0" applyProtection="0"/>
    <xf numFmtId="15" fontId="117" fillId="0" borderId="0" applyFont="0" applyFill="0" applyBorder="0" applyAlignment="0" applyProtection="0"/>
    <xf numFmtId="15" fontId="117" fillId="0" borderId="0" applyFont="0" applyFill="0" applyBorder="0" applyAlignment="0" applyProtection="0"/>
    <xf numFmtId="15"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0" fontId="117" fillId="0" borderId="0"/>
    <xf numFmtId="261" fontId="117" fillId="0" borderId="0"/>
    <xf numFmtId="0" fontId="272" fillId="5" borderId="0"/>
    <xf numFmtId="0" fontId="272" fillId="112" borderId="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286" fontId="59" fillId="0" borderId="0" applyFont="0" applyFill="0" applyBorder="0" applyAlignment="0"/>
    <xf numFmtId="0" fontId="297" fillId="61" borderId="0">
      <alignment horizontal="center"/>
    </xf>
    <xf numFmtId="49" fontId="315" fillId="50" borderId="0">
      <alignment horizontal="center"/>
    </xf>
    <xf numFmtId="0" fontId="264" fillId="47" borderId="0"/>
    <xf numFmtId="190" fontId="19" fillId="0" borderId="0" applyFill="0" applyBorder="0">
      <alignment horizontal="right" vertical="center"/>
    </xf>
    <xf numFmtId="190" fontId="19" fillId="0" borderId="0" applyFill="0" applyBorder="0">
      <alignment horizontal="right" vertical="center"/>
    </xf>
    <xf numFmtId="190" fontId="19" fillId="0" borderId="0" applyFill="0" applyBorder="0">
      <alignment horizontal="right" vertical="center"/>
    </xf>
    <xf numFmtId="209" fontId="19" fillId="0" borderId="0" applyFill="0" applyBorder="0">
      <alignment horizontal="right" vertical="center"/>
    </xf>
    <xf numFmtId="209" fontId="19" fillId="0" borderId="0" applyFill="0" applyBorder="0">
      <alignment horizontal="right" vertical="center"/>
    </xf>
    <xf numFmtId="193" fontId="19" fillId="0" borderId="0" applyFill="0" applyBorder="0">
      <alignment horizontal="right" vertical="center"/>
    </xf>
    <xf numFmtId="193" fontId="19" fillId="0" borderId="0" applyFill="0" applyBorder="0">
      <alignment horizontal="right" vertical="center"/>
    </xf>
    <xf numFmtId="193" fontId="19" fillId="0" borderId="0" applyFill="0" applyBorder="0">
      <alignment horizontal="right" vertical="center"/>
    </xf>
    <xf numFmtId="195" fontId="19" fillId="0" borderId="0" applyFill="0" applyBorder="0">
      <alignment horizontal="right" vertical="center"/>
    </xf>
    <xf numFmtId="194" fontId="19" fillId="0" borderId="0" applyFill="0" applyBorder="0">
      <alignment horizontal="right" vertical="center"/>
    </xf>
    <xf numFmtId="195" fontId="19" fillId="0" borderId="0" applyFill="0" applyBorder="0">
      <alignment horizontal="right" vertical="center"/>
    </xf>
    <xf numFmtId="196" fontId="19" fillId="0" borderId="0" applyFill="0" applyBorder="0">
      <alignment horizontal="right" vertical="center"/>
    </xf>
    <xf numFmtId="196" fontId="19" fillId="0" borderId="0" applyFill="0" applyBorder="0">
      <alignment horizontal="right" vertical="center"/>
    </xf>
    <xf numFmtId="196" fontId="19" fillId="0" borderId="0" applyFill="0" applyBorder="0">
      <alignment horizontal="right" vertical="center"/>
    </xf>
    <xf numFmtId="197" fontId="19" fillId="0" borderId="0" applyFill="0" applyBorder="0">
      <alignment horizontal="right" vertical="center"/>
    </xf>
    <xf numFmtId="197" fontId="19" fillId="0" borderId="0" applyFill="0" applyBorder="0">
      <alignment horizontal="right" vertical="center"/>
    </xf>
    <xf numFmtId="0" fontId="316" fillId="120" borderId="0" applyNumberFormat="0" applyBorder="0" applyAlignment="0"/>
    <xf numFmtId="0" fontId="270" fillId="113" borderId="0">
      <alignment horizontal="center"/>
    </xf>
    <xf numFmtId="0" fontId="270" fillId="113" borderId="0">
      <alignment horizontal="centerContinuous"/>
    </xf>
    <xf numFmtId="0" fontId="317" fillId="50" borderId="0">
      <alignment horizontal="left"/>
    </xf>
    <xf numFmtId="49" fontId="317" fillId="50" borderId="0">
      <alignment horizontal="center"/>
    </xf>
    <xf numFmtId="0" fontId="269" fillId="113" borderId="0">
      <alignment horizontal="left"/>
    </xf>
    <xf numFmtId="49" fontId="317" fillId="50" borderId="0">
      <alignment horizontal="left"/>
    </xf>
    <xf numFmtId="0" fontId="269" fillId="113" borderId="0">
      <alignment horizontal="centerContinuous"/>
    </xf>
    <xf numFmtId="0" fontId="269" fillId="113" borderId="0">
      <alignment horizontal="right"/>
    </xf>
    <xf numFmtId="49" fontId="297" fillId="50" borderId="0">
      <alignment horizontal="left"/>
    </xf>
    <xf numFmtId="0" fontId="270" fillId="113" borderId="0">
      <alignment horizontal="right"/>
    </xf>
    <xf numFmtId="0" fontId="272" fillId="112" borderId="0"/>
    <xf numFmtId="0" fontId="317" fillId="53" borderId="0">
      <alignment horizontal="center"/>
    </xf>
    <xf numFmtId="0" fontId="318" fillId="53" borderId="0">
      <alignment horizontal="center"/>
    </xf>
    <xf numFmtId="4" fontId="202" fillId="82" borderId="71" applyNumberFormat="0" applyProtection="0">
      <alignment vertical="center"/>
    </xf>
    <xf numFmtId="4" fontId="202" fillId="82" borderId="71" applyNumberFormat="0" applyProtection="0">
      <alignment vertical="center"/>
    </xf>
    <xf numFmtId="4" fontId="206" fillId="82" borderId="71" applyNumberFormat="0" applyProtection="0">
      <alignment vertical="center"/>
    </xf>
    <xf numFmtId="4" fontId="206" fillId="82" borderId="71" applyNumberFormat="0" applyProtection="0">
      <alignment vertical="center"/>
    </xf>
    <xf numFmtId="4" fontId="206" fillId="82" borderId="71" applyNumberFormat="0" applyProtection="0">
      <alignment vertical="center"/>
    </xf>
    <xf numFmtId="4" fontId="206" fillId="82" borderId="71" applyNumberFormat="0" applyProtection="0">
      <alignment vertical="center"/>
    </xf>
    <xf numFmtId="4" fontId="207" fillId="82" borderId="71" applyNumberFormat="0" applyProtection="0">
      <alignment horizontal="left" vertical="center"/>
    </xf>
    <xf numFmtId="4" fontId="207" fillId="82" borderId="71" applyNumberFormat="0" applyProtection="0">
      <alignment horizontal="left" vertical="center" indent="1"/>
    </xf>
    <xf numFmtId="4" fontId="207" fillId="82" borderId="71" applyNumberFormat="0" applyProtection="0">
      <alignment horizontal="left" vertical="center"/>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8" borderId="71" applyNumberFormat="0" applyProtection="0">
      <alignment horizontal="right" vertical="center"/>
    </xf>
    <xf numFmtId="4" fontId="207" fillId="98" borderId="71" applyNumberFormat="0" applyProtection="0">
      <alignment horizontal="right" vertical="center"/>
    </xf>
    <xf numFmtId="4" fontId="207" fillId="99" borderId="71" applyNumberFormat="0" applyProtection="0">
      <alignment horizontal="right" vertical="center"/>
    </xf>
    <xf numFmtId="4" fontId="207" fillId="99" borderId="71" applyNumberFormat="0" applyProtection="0">
      <alignment horizontal="right" vertical="center"/>
    </xf>
    <xf numFmtId="4" fontId="207" fillId="100" borderId="71" applyNumberFormat="0" applyProtection="0">
      <alignment horizontal="right" vertical="center"/>
    </xf>
    <xf numFmtId="4" fontId="207" fillId="100" borderId="71" applyNumberFormat="0" applyProtection="0">
      <alignment horizontal="right" vertical="center"/>
    </xf>
    <xf numFmtId="4" fontId="207" fillId="47" borderId="71" applyNumberFormat="0" applyProtection="0">
      <alignment horizontal="right" vertical="center"/>
    </xf>
    <xf numFmtId="4" fontId="207" fillId="47" borderId="71" applyNumberFormat="0" applyProtection="0">
      <alignment horizontal="right" vertical="center"/>
    </xf>
    <xf numFmtId="4" fontId="207" fillId="101" borderId="71" applyNumberFormat="0" applyProtection="0">
      <alignment horizontal="right" vertical="center"/>
    </xf>
    <xf numFmtId="4" fontId="207" fillId="101" borderId="71" applyNumberFormat="0" applyProtection="0">
      <alignment horizontal="right" vertical="center"/>
    </xf>
    <xf numFmtId="4" fontId="207" fillId="102" borderId="71" applyNumberFormat="0" applyProtection="0">
      <alignment horizontal="right" vertical="center"/>
    </xf>
    <xf numFmtId="4" fontId="207" fillId="102" borderId="71" applyNumberFormat="0" applyProtection="0">
      <alignment horizontal="right" vertical="center"/>
    </xf>
    <xf numFmtId="4" fontId="207" fillId="103" borderId="71" applyNumberFormat="0" applyProtection="0">
      <alignment horizontal="right" vertical="center"/>
    </xf>
    <xf numFmtId="4" fontId="207" fillId="103" borderId="71" applyNumberFormat="0" applyProtection="0">
      <alignment horizontal="right" vertical="center"/>
    </xf>
    <xf numFmtId="4" fontId="207" fillId="4" borderId="71" applyNumberFormat="0" applyProtection="0">
      <alignment horizontal="right" vertical="center"/>
    </xf>
    <xf numFmtId="4" fontId="207" fillId="4" borderId="71" applyNumberFormat="0" applyProtection="0">
      <alignment horizontal="right" vertical="center"/>
    </xf>
    <xf numFmtId="4" fontId="207" fillId="94" borderId="71" applyNumberFormat="0" applyProtection="0">
      <alignment horizontal="right" vertical="center"/>
    </xf>
    <xf numFmtId="4" fontId="207" fillId="94" borderId="71" applyNumberFormat="0" applyProtection="0">
      <alignment horizontal="right" vertical="center"/>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96" borderId="0" applyNumberFormat="0" applyProtection="0">
      <alignment horizontal="left" vertical="center"/>
    </xf>
    <xf numFmtId="4" fontId="202" fillId="96" borderId="0" applyNumberFormat="0" applyProtection="0">
      <alignment horizontal="left" vertical="center" indent="1"/>
    </xf>
    <xf numFmtId="4" fontId="202" fillId="96" borderId="0" applyNumberFormat="0" applyProtection="0">
      <alignment horizontal="left" vertical="center"/>
    </xf>
    <xf numFmtId="4" fontId="202" fillId="97" borderId="0" applyNumberFormat="0" applyProtection="0">
      <alignment horizontal="left" vertical="center"/>
    </xf>
    <xf numFmtId="4" fontId="202" fillId="97" borderId="0" applyNumberFormat="0" applyProtection="0">
      <alignment horizontal="left" vertical="center" indent="1"/>
    </xf>
    <xf numFmtId="4" fontId="202" fillId="97" borderId="0" applyNumberFormat="0" applyProtection="0">
      <alignment horizontal="left" vertical="center"/>
    </xf>
    <xf numFmtId="4" fontId="207" fillId="96" borderId="71" applyNumberFormat="0" applyProtection="0">
      <alignment horizontal="right" vertical="center"/>
    </xf>
    <xf numFmtId="4" fontId="207" fillId="96" borderId="71" applyNumberFormat="0" applyProtection="0">
      <alignment horizontal="right" vertical="center"/>
    </xf>
    <xf numFmtId="4" fontId="27" fillId="96" borderId="0" applyNumberFormat="0" applyProtection="0">
      <alignment horizontal="left" vertical="center"/>
    </xf>
    <xf numFmtId="4" fontId="27" fillId="96" borderId="0" applyNumberFormat="0" applyProtection="0">
      <alignment horizontal="left" vertical="center" indent="1"/>
    </xf>
    <xf numFmtId="4" fontId="27" fillId="96" borderId="0" applyNumberFormat="0" applyProtection="0">
      <alignment horizontal="left" vertical="center"/>
    </xf>
    <xf numFmtId="4" fontId="27" fillId="97" borderId="0" applyNumberFormat="0" applyProtection="0">
      <alignment horizontal="left" vertical="center"/>
    </xf>
    <xf numFmtId="4" fontId="27" fillId="97" borderId="0" applyNumberFormat="0" applyProtection="0">
      <alignment horizontal="left" vertical="center" indent="1"/>
    </xf>
    <xf numFmtId="4" fontId="27" fillId="97" borderId="0" applyNumberFormat="0" applyProtection="0">
      <alignment horizontal="left" vertical="center"/>
    </xf>
    <xf numFmtId="4" fontId="207" fillId="105" borderId="71" applyNumberFormat="0" applyProtection="0">
      <alignment vertical="center"/>
    </xf>
    <xf numFmtId="4" fontId="207" fillId="105" borderId="71" applyNumberFormat="0" applyProtection="0">
      <alignment vertical="center"/>
    </xf>
    <xf numFmtId="4" fontId="208" fillId="105" borderId="71" applyNumberFormat="0" applyProtection="0">
      <alignment vertical="center"/>
    </xf>
    <xf numFmtId="4" fontId="208" fillId="105" borderId="71" applyNumberFormat="0" applyProtection="0">
      <alignment vertical="center"/>
    </xf>
    <xf numFmtId="4" fontId="208" fillId="105" borderId="71" applyNumberFormat="0" applyProtection="0">
      <alignment vertical="center"/>
    </xf>
    <xf numFmtId="4" fontId="208" fillId="105" borderId="71" applyNumberFormat="0" applyProtection="0">
      <alignment vertical="center"/>
    </xf>
    <xf numFmtId="4" fontId="202" fillId="96" borderId="73" applyNumberFormat="0" applyProtection="0">
      <alignment horizontal="left" vertical="center"/>
    </xf>
    <xf numFmtId="4" fontId="202" fillId="96" borderId="73" applyNumberFormat="0" applyProtection="0">
      <alignment horizontal="left" vertical="center" indent="1"/>
    </xf>
    <xf numFmtId="4" fontId="202" fillId="96" borderId="73" applyNumberFormat="0" applyProtection="0">
      <alignment horizontal="lef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8" fillId="105" borderId="71" applyNumberFormat="0" applyProtection="0">
      <alignment horizontal="right" vertical="center"/>
    </xf>
    <xf numFmtId="4" fontId="208" fillId="105" borderId="71" applyNumberFormat="0" applyProtection="0">
      <alignment horizontal="right" vertical="center"/>
    </xf>
    <xf numFmtId="4" fontId="208" fillId="105" borderId="71" applyNumberFormat="0" applyProtection="0">
      <alignment horizontal="right" vertical="center"/>
    </xf>
    <xf numFmtId="4" fontId="208" fillId="105" borderId="71" applyNumberFormat="0" applyProtection="0">
      <alignment horizontal="right" vertical="center"/>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10" fillId="105" borderId="71" applyNumberFormat="0" applyProtection="0">
      <alignment horizontal="right" vertical="center"/>
    </xf>
    <xf numFmtId="4" fontId="210" fillId="105" borderId="71" applyNumberFormat="0" applyProtection="0">
      <alignment horizontal="right" vertical="center"/>
    </xf>
    <xf numFmtId="4" fontId="210" fillId="105" borderId="71" applyNumberFormat="0" applyProtection="0">
      <alignment horizontal="right" vertical="center"/>
    </xf>
    <xf numFmtId="4" fontId="210" fillId="105" borderId="71" applyNumberFormat="0" applyProtection="0">
      <alignment horizontal="right" vertical="center"/>
    </xf>
    <xf numFmtId="0" fontId="319" fillId="0" borderId="0" applyFill="0" applyBorder="0" applyAlignment="0"/>
    <xf numFmtId="0" fontId="319" fillId="0" borderId="0" applyFill="0" applyBorder="0" applyAlignment="0"/>
    <xf numFmtId="0" fontId="319" fillId="0" borderId="0" applyFill="0" applyBorder="0" applyAlignment="0"/>
    <xf numFmtId="0" fontId="319" fillId="0" borderId="0" applyFill="0" applyBorder="0" applyAlignment="0"/>
    <xf numFmtId="0" fontId="319" fillId="0" borderId="0" applyFill="0" applyBorder="0" applyAlignment="0"/>
    <xf numFmtId="0" fontId="213" fillId="0" borderId="0" applyFill="0" applyBorder="0" applyAlignment="0"/>
    <xf numFmtId="0" fontId="213" fillId="0" borderId="0" applyFill="0" applyBorder="0" applyAlignment="0"/>
    <xf numFmtId="0" fontId="213" fillId="0" borderId="0" applyFill="0" applyBorder="0" applyAlignment="0"/>
    <xf numFmtId="0" fontId="213" fillId="0" borderId="0" applyFill="0" applyBorder="0" applyAlignment="0"/>
    <xf numFmtId="0" fontId="213" fillId="0" borderId="0" applyFill="0" applyBorder="0" applyAlignment="0"/>
    <xf numFmtId="287" fontId="59" fillId="6" borderId="1">
      <alignment horizontal="center"/>
    </xf>
    <xf numFmtId="3" fontId="59" fillId="6" borderId="1" applyFont="0">
      <alignment horizontal="right"/>
    </xf>
    <xf numFmtId="169" fontId="59" fillId="6" borderId="1" applyFont="0">
      <alignment horizontal="right"/>
    </xf>
    <xf numFmtId="173" fontId="59" fillId="6" borderId="1" applyFont="0">
      <alignment horizontal="right"/>
    </xf>
    <xf numFmtId="10" fontId="59" fillId="6" borderId="1" applyFont="0">
      <alignment horizontal="right"/>
    </xf>
    <xf numFmtId="9" fontId="59" fillId="6" borderId="1" applyFont="0">
      <alignment horizontal="right"/>
    </xf>
    <xf numFmtId="288" fontId="59" fillId="6" borderId="1" applyFont="0">
      <alignment horizontal="center" wrapText="1"/>
    </xf>
    <xf numFmtId="0" fontId="59" fillId="96" borderId="0" applyNumberFormat="0" applyBorder="0" applyProtection="0">
      <alignment horizontal="center"/>
    </xf>
    <xf numFmtId="0" fontId="258" fillId="112" borderId="0"/>
    <xf numFmtId="0" fontId="59" fillId="0" borderId="0">
      <alignment horizontal="left" wrapText="1"/>
    </xf>
    <xf numFmtId="0" fontId="27" fillId="0" borderId="0">
      <alignment vertical="top"/>
    </xf>
    <xf numFmtId="0" fontId="27" fillId="0" borderId="0">
      <alignment vertical="top"/>
    </xf>
    <xf numFmtId="165" fontId="27" fillId="0" borderId="0"/>
    <xf numFmtId="0" fontId="72" fillId="5" borderId="37" applyFont="0" applyBorder="0"/>
    <xf numFmtId="0" fontId="72" fillId="5" borderId="37" applyFont="0" applyBorder="0"/>
    <xf numFmtId="0" fontId="72" fillId="5" borderId="37" applyFont="0" applyBorder="0"/>
    <xf numFmtId="0" fontId="72" fillId="5" borderId="37" applyFont="0" applyBorder="0"/>
    <xf numFmtId="0" fontId="72" fillId="5" borderId="37" applyFont="0" applyBorder="0"/>
    <xf numFmtId="0" fontId="213" fillId="0" borderId="0"/>
    <xf numFmtId="15" fontId="59" fillId="0" borderId="0"/>
    <xf numFmtId="15" fontId="59" fillId="0" borderId="0"/>
    <xf numFmtId="15" fontId="59" fillId="0" borderId="0"/>
    <xf numFmtId="15" fontId="59" fillId="0" borderId="0"/>
    <xf numFmtId="15" fontId="59" fillId="0" borderId="0"/>
    <xf numFmtId="15" fontId="59" fillId="0" borderId="0"/>
    <xf numFmtId="15" fontId="59" fillId="0" borderId="0"/>
    <xf numFmtId="10" fontId="59" fillId="0" borderId="0"/>
    <xf numFmtId="10" fontId="59" fillId="0" borderId="0"/>
    <xf numFmtId="10" fontId="59" fillId="0" borderId="0"/>
    <xf numFmtId="10" fontId="59" fillId="0" borderId="0"/>
    <xf numFmtId="10" fontId="59" fillId="0" borderId="0"/>
    <xf numFmtId="10" fontId="59" fillId="0" borderId="0"/>
    <xf numFmtId="10" fontId="59" fillId="0" borderId="0"/>
    <xf numFmtId="0" fontId="320" fillId="0" borderId="0">
      <alignment horizontal="left"/>
    </xf>
    <xf numFmtId="0" fontId="272" fillId="0" borderId="0">
      <alignment horizontal="left" indent="1"/>
    </xf>
    <xf numFmtId="1" fontId="59" fillId="121" borderId="1" applyFont="0">
      <alignment horizontal="right"/>
    </xf>
    <xf numFmtId="172" fontId="59" fillId="121" borderId="1" applyFont="0"/>
    <xf numFmtId="9" fontId="59" fillId="121" borderId="1" applyFont="0">
      <alignment horizontal="right"/>
    </xf>
    <xf numFmtId="289" fontId="59" fillId="121" borderId="1" applyFont="0">
      <alignment horizontal="right"/>
    </xf>
    <xf numFmtId="10" fontId="59" fillId="121" borderId="1" applyFont="0">
      <alignment horizontal="right"/>
    </xf>
    <xf numFmtId="0" fontId="59" fillId="121" borderId="1" applyFont="0">
      <alignment horizontal="center" wrapText="1"/>
    </xf>
    <xf numFmtId="49" fontId="59" fillId="121" borderId="1" applyFont="0"/>
    <xf numFmtId="172" fontId="59" fillId="122" borderId="1" applyFont="0"/>
    <xf numFmtId="9" fontId="59" fillId="122" borderId="1" applyFont="0">
      <alignment horizontal="right"/>
    </xf>
    <xf numFmtId="172" fontId="59" fillId="99" borderId="1" applyFont="0">
      <alignment horizontal="right"/>
    </xf>
    <xf numFmtId="1" fontId="59" fillId="99" borderId="1" applyFont="0">
      <alignment horizontal="right"/>
    </xf>
    <xf numFmtId="172" fontId="59" fillId="99" borderId="1" applyFont="0"/>
    <xf numFmtId="173" fontId="59" fillId="99" borderId="1" applyFont="0"/>
    <xf numFmtId="10" fontId="59" fillId="99" borderId="1" applyFont="0">
      <alignment horizontal="right"/>
    </xf>
    <xf numFmtId="9" fontId="59" fillId="99" borderId="1" applyFont="0">
      <alignment horizontal="right"/>
    </xf>
    <xf numFmtId="289" fontId="59" fillId="99" borderId="1" applyFont="0">
      <alignment horizontal="right"/>
    </xf>
    <xf numFmtId="10" fontId="59" fillId="99" borderId="93" applyFont="0">
      <alignment horizontal="right"/>
    </xf>
    <xf numFmtId="0" fontId="59" fillId="99" borderId="1" applyFont="0">
      <alignment horizontal="center" wrapText="1"/>
      <protection locked="0"/>
    </xf>
    <xf numFmtId="49" fontId="59" fillId="99" borderId="1" applyFont="0"/>
    <xf numFmtId="0" fontId="321" fillId="117" borderId="0" applyNumberFormat="0" applyBorder="0" applyAlignment="0"/>
    <xf numFmtId="49" fontId="258" fillId="0" borderId="0"/>
    <xf numFmtId="0" fontId="220" fillId="0" borderId="38" applyBorder="0" applyProtection="0">
      <alignment horizontal="right" vertical="center"/>
    </xf>
    <xf numFmtId="0" fontId="221" fillId="83" borderId="38" applyBorder="0" applyProtection="0">
      <alignment horizontal="centerContinuous" vertical="center"/>
    </xf>
    <xf numFmtId="0" fontId="45" fillId="0" borderId="0" applyBorder="0" applyProtection="0">
      <alignment horizontal="left"/>
    </xf>
    <xf numFmtId="0" fontId="27" fillId="0" borderId="0" applyFill="0" applyBorder="0" applyAlignment="0"/>
    <xf numFmtId="290" fontId="59" fillId="0" borderId="0" applyFill="0" applyBorder="0" applyAlignment="0"/>
    <xf numFmtId="0" fontId="223" fillId="0" borderId="0">
      <alignment horizontal="left"/>
    </xf>
    <xf numFmtId="291" fontId="263" fillId="0" borderId="0"/>
    <xf numFmtId="0" fontId="322" fillId="0" borderId="0">
      <alignment horizontal="center"/>
    </xf>
    <xf numFmtId="0" fontId="285" fillId="0" borderId="0">
      <alignment horizontal="center"/>
    </xf>
    <xf numFmtId="0" fontId="323" fillId="123" borderId="0">
      <alignment horizontal="centerContinuous"/>
    </xf>
    <xf numFmtId="0" fontId="324" fillId="60" borderId="0" applyNumberFormat="0" applyBorder="0" applyAlignment="0">
      <alignment horizontal="center"/>
    </xf>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16" fillId="90" borderId="0" applyBorder="0"/>
    <xf numFmtId="0" fontId="276" fillId="0" borderId="0"/>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325" fillId="0" borderId="0" applyNumberFormat="0" applyFill="0" applyBorder="0" applyAlignment="0" applyProtection="0">
      <alignment horizontal="left"/>
    </xf>
    <xf numFmtId="0" fontId="326" fillId="0" borderId="0" applyNumberFormat="0" applyFill="0" applyBorder="0" applyAlignment="0" applyProtection="0">
      <alignment horizontal="left"/>
    </xf>
    <xf numFmtId="0" fontId="327" fillId="0" borderId="0" applyNumberFormat="0" applyFill="0" applyBorder="0" applyAlignment="0" applyProtection="0">
      <alignment horizontal="left"/>
    </xf>
    <xf numFmtId="0" fontId="328" fillId="0" borderId="0" applyNumberFormat="0" applyFill="0" applyBorder="0" applyAlignment="0" applyProtection="0">
      <alignment horizontal="left"/>
    </xf>
    <xf numFmtId="0" fontId="329" fillId="0" borderId="0" applyNumberFormat="0" applyFill="0" applyBorder="0" applyAlignment="0" applyProtection="0">
      <alignment horizontal="left"/>
    </xf>
    <xf numFmtId="0" fontId="328" fillId="0" borderId="80" applyNumberFormat="0" applyFill="0" applyBorder="0" applyAlignment="0" applyProtection="0">
      <alignment horizontal="left"/>
    </xf>
    <xf numFmtId="0" fontId="329" fillId="0" borderId="80" applyNumberFormat="0" applyFill="0" applyBorder="0" applyAlignment="0" applyProtection="0">
      <alignment horizontal="left"/>
    </xf>
    <xf numFmtId="0" fontId="330" fillId="0" borderId="0">
      <alignment horizontal="left"/>
    </xf>
    <xf numFmtId="0" fontId="258" fillId="0" borderId="0" applyNumberFormat="0" applyFill="0" applyBorder="0" applyAlignment="0" applyProtection="0">
      <alignment horizontal="left"/>
    </xf>
    <xf numFmtId="0" fontId="331" fillId="5" borderId="0" applyNumberFormat="0" applyFont="0" applyBorder="0" applyAlignment="0" applyProtection="0">
      <alignment horizontal="left"/>
    </xf>
    <xf numFmtId="0" fontId="59" fillId="96" borderId="0" applyNumberFormat="0" applyFont="0" applyBorder="0" applyAlignment="0" applyProtection="0"/>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0" fontId="59" fillId="0" borderId="9" applyNumberFormat="0" applyFont="0" applyFill="0" applyAlignment="0" applyProtection="0"/>
    <xf numFmtId="0" fontId="230" fillId="0" borderId="82">
      <alignment horizontal="center"/>
    </xf>
    <xf numFmtId="0" fontId="332" fillId="0" borderId="82">
      <alignment horizontal="center"/>
    </xf>
    <xf numFmtId="0" fontId="332" fillId="0" borderId="82">
      <alignment horizontal="center"/>
    </xf>
    <xf numFmtId="0" fontId="333" fillId="50" borderId="0">
      <alignment horizontal="center"/>
    </xf>
    <xf numFmtId="0" fontId="117" fillId="0" borderId="0"/>
    <xf numFmtId="264" fontId="117" fillId="0" borderId="0"/>
    <xf numFmtId="39" fontId="232" fillId="0" borderId="0" applyFont="0" applyFill="0" applyBorder="0" applyAlignment="0" applyProtection="0"/>
    <xf numFmtId="0" fontId="59" fillId="124" borderId="0" applyNumberFormat="0" applyBorder="0" applyAlignment="0"/>
    <xf numFmtId="0" fontId="72" fillId="5" borderId="0">
      <alignment horizontal="center"/>
    </xf>
    <xf numFmtId="1" fontId="299" fillId="0" borderId="0" applyFill="0" applyBorder="0" applyAlignment="0" applyProtection="0"/>
    <xf numFmtId="1" fontId="299" fillId="0" borderId="0" applyFill="0" applyBorder="0" applyAlignment="0" applyProtection="0"/>
    <xf numFmtId="1" fontId="299" fillId="0" borderId="0" applyFill="0" applyBorder="0" applyAlignment="0" applyProtection="0"/>
    <xf numFmtId="43" fontId="59" fillId="0" borderId="0" applyFont="0" applyFill="0" applyBorder="0" applyAlignment="0" applyProtection="0"/>
    <xf numFmtId="0" fontId="334" fillId="0" borderId="0"/>
    <xf numFmtId="269" fontId="59" fillId="0" borderId="0" applyFont="0" applyFill="0" applyBorder="0" applyAlignment="0" applyProtection="0"/>
    <xf numFmtId="0" fontId="335" fillId="0" borderId="0"/>
    <xf numFmtId="0" fontId="59" fillId="0" borderId="0"/>
    <xf numFmtId="0" fontId="66" fillId="0" borderId="12"/>
    <xf numFmtId="10" fontId="67" fillId="5" borderId="12" applyBorder="0">
      <alignment vertical="center"/>
    </xf>
    <xf numFmtId="10" fontId="67" fillId="5" borderId="12" applyBorder="0">
      <alignment vertical="center"/>
    </xf>
    <xf numFmtId="10" fontId="68" fillId="0" borderId="12" applyBorder="0">
      <alignment vertical="center"/>
    </xf>
    <xf numFmtId="0" fontId="66" fillId="0" borderId="12"/>
    <xf numFmtId="10" fontId="67" fillId="5" borderId="12" applyBorder="0">
      <alignment vertical="center"/>
    </xf>
    <xf numFmtId="10" fontId="67" fillId="5" borderId="12" applyBorder="0">
      <alignment vertical="center"/>
    </xf>
    <xf numFmtId="10" fontId="68" fillId="0" borderId="12" applyBorder="0">
      <alignment vertical="center"/>
    </xf>
    <xf numFmtId="0" fontId="66" fillId="0" borderId="12"/>
    <xf numFmtId="10" fontId="67" fillId="5" borderId="12" applyBorder="0">
      <alignment vertical="center"/>
    </xf>
    <xf numFmtId="10" fontId="67" fillId="5" borderId="12" applyBorder="0">
      <alignment vertical="center"/>
    </xf>
    <xf numFmtId="10" fontId="68" fillId="0" borderId="12" applyBorder="0">
      <alignment vertical="center"/>
    </xf>
    <xf numFmtId="0" fontId="66" fillId="0" borderId="12"/>
    <xf numFmtId="10" fontId="67" fillId="5" borderId="12" applyBorder="0">
      <alignment vertical="center"/>
    </xf>
    <xf numFmtId="10" fontId="67" fillId="5" borderId="12" applyBorder="0">
      <alignment vertical="center"/>
    </xf>
    <xf numFmtId="10" fontId="68" fillId="0" borderId="12" applyBorder="0">
      <alignment vertical="center"/>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59" fillId="0" borderId="0" applyProtection="0"/>
    <xf numFmtId="43" fontId="109" fillId="0" borderId="0" applyFont="0" applyFill="0" applyBorder="0" applyAlignment="0" applyProtection="0"/>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43" fontId="1" fillId="0" borderId="0" applyFont="0" applyFill="0" applyBorder="0" applyAlignment="0" applyProtection="0"/>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328" fillId="0" borderId="39" applyNumberFormat="0" applyFill="0" applyBorder="0" applyAlignment="0" applyProtection="0">
      <alignment horizontal="left"/>
    </xf>
    <xf numFmtId="0" fontId="329" fillId="0" borderId="39" applyNumberFormat="0" applyFill="0" applyBorder="0" applyAlignment="0" applyProtection="0">
      <alignment horizontal="left"/>
    </xf>
    <xf numFmtId="0" fontId="59" fillId="0" borderId="9" applyNumberFormat="0" applyFont="0" applyFill="0" applyAlignment="0" applyProtection="0"/>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59" fillId="0" borderId="9" applyNumberFormat="0" applyFont="0" applyFill="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5" fillId="0" borderId="43" applyNumberFormat="0" applyFill="0" applyProtection="0">
      <alignment horizontal="center"/>
    </xf>
    <xf numFmtId="43" fontId="109" fillId="0" borderId="0" applyFont="0" applyFill="0" applyBorder="0" applyAlignment="0" applyProtection="0"/>
    <xf numFmtId="0" fontId="143" fillId="0" borderId="57" applyNumberFormat="0" applyFill="0" applyAlignment="0" applyProtection="0"/>
    <xf numFmtId="0" fontId="144" fillId="0" borderId="58"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0" fontId="144" fillId="0" borderId="58" applyNumberFormat="0" applyFill="0" applyAlignment="0" applyProtection="0"/>
    <xf numFmtId="0" fontId="144" fillId="0" borderId="58" applyNumberFormat="0" applyFill="0" applyAlignment="0" applyProtection="0"/>
    <xf numFmtId="0" fontId="144" fillId="0" borderId="58" applyNumberFormat="0" applyFill="0" applyAlignment="0" applyProtection="0"/>
    <xf numFmtId="0" fontId="144" fillId="0" borderId="58" applyNumberFormat="0" applyFill="0" applyAlignment="0" applyProtection="0"/>
    <xf numFmtId="0" fontId="145" fillId="0" borderId="9"/>
    <xf numFmtId="0" fontId="68" fillId="0" borderId="9"/>
    <xf numFmtId="0" fontId="68" fillId="0" borderId="9"/>
    <xf numFmtId="0" fontId="66" fillId="0" borderId="9"/>
    <xf numFmtId="0" fontId="66" fillId="0" borderId="9"/>
    <xf numFmtId="41" fontId="67" fillId="5" borderId="9">
      <alignment horizontal="right"/>
    </xf>
    <xf numFmtId="41" fontId="67" fillId="5" borderId="9">
      <alignment horizontal="right"/>
    </xf>
    <xf numFmtId="41" fontId="67" fillId="5" borderId="9">
      <alignment horizontal="right"/>
    </xf>
    <xf numFmtId="41" fontId="67" fillId="5" borderId="9"/>
    <xf numFmtId="177" fontId="67" fillId="5" borderId="9">
      <alignment horizontal="right"/>
    </xf>
    <xf numFmtId="180" fontId="67" fillId="5" borderId="9">
      <alignment horizontal="right"/>
    </xf>
    <xf numFmtId="41" fontId="68" fillId="0" borderId="9">
      <alignment horizontal="right"/>
    </xf>
    <xf numFmtId="41" fontId="68" fillId="0" borderId="9">
      <alignment horizontal="right"/>
    </xf>
    <xf numFmtId="41" fontId="68" fillId="0" borderId="9">
      <alignment horizontal="right"/>
    </xf>
    <xf numFmtId="41" fontId="68" fillId="0" borderId="9"/>
    <xf numFmtId="177" fontId="68" fillId="0" borderId="9">
      <alignment horizontal="right"/>
    </xf>
    <xf numFmtId="180" fontId="68" fillId="0" borderId="9">
      <alignment horizontal="right"/>
    </xf>
    <xf numFmtId="178" fontId="67" fillId="5" borderId="9">
      <alignment horizontal="right"/>
    </xf>
    <xf numFmtId="179" fontId="67" fillId="5" borderId="9">
      <alignment horizontal="right"/>
    </xf>
    <xf numFmtId="178" fontId="68" fillId="0" borderId="9">
      <alignment horizontal="right"/>
    </xf>
    <xf numFmtId="179" fontId="68" fillId="0" borderId="9">
      <alignment horizontal="right"/>
    </xf>
    <xf numFmtId="0" fontId="66" fillId="0" borderId="9">
      <alignment horizontal="center"/>
    </xf>
    <xf numFmtId="0" fontId="68" fillId="0" borderId="9">
      <alignment horizontal="center"/>
    </xf>
    <xf numFmtId="0" fontId="67" fillId="0" borderId="9">
      <alignment horizontal="center"/>
    </xf>
    <xf numFmtId="0" fontId="145" fillId="0" borderId="9"/>
    <xf numFmtId="0" fontId="197" fillId="0" borderId="66">
      <alignment horizontal="left" wrapText="1" indent="1"/>
    </xf>
    <xf numFmtId="0" fontId="205" fillId="0" borderId="9">
      <alignment horizontal="center"/>
    </xf>
    <xf numFmtId="0" fontId="205" fillId="0" borderId="9">
      <alignment horizontal="center"/>
    </xf>
    <xf numFmtId="0" fontId="205" fillId="0" borderId="9">
      <alignment horizontal="center"/>
    </xf>
    <xf numFmtId="0" fontId="241" fillId="0" borderId="57" applyNumberFormat="0" applyFill="0" applyAlignment="0" applyProtection="0"/>
    <xf numFmtId="43" fontId="1" fillId="0" borderId="0" applyFont="0" applyFill="0" applyBorder="0" applyAlignment="0" applyProtection="0"/>
    <xf numFmtId="0" fontId="66" fillId="0" borderId="95"/>
    <xf numFmtId="41" fontId="67" fillId="5" borderId="95">
      <alignment horizontal="right"/>
    </xf>
    <xf numFmtId="41" fontId="68" fillId="0" borderId="95">
      <alignment horizontal="right"/>
    </xf>
    <xf numFmtId="177" fontId="68" fillId="0" borderId="95">
      <alignment horizontal="right"/>
    </xf>
    <xf numFmtId="0" fontId="68" fillId="0" borderId="95"/>
    <xf numFmtId="177" fontId="67" fillId="5" borderId="95">
      <alignment horizontal="right"/>
    </xf>
    <xf numFmtId="0" fontId="67" fillId="0" borderId="95">
      <alignment horizontal="center"/>
    </xf>
    <xf numFmtId="178" fontId="67" fillId="5" borderId="95">
      <alignment horizontal="right"/>
    </xf>
    <xf numFmtId="178" fontId="68" fillId="0" borderId="95">
      <alignment horizontal="right"/>
    </xf>
    <xf numFmtId="180" fontId="67" fillId="5" borderId="95">
      <alignment horizontal="right"/>
    </xf>
    <xf numFmtId="180" fontId="68" fillId="0" borderId="95">
      <alignment horizontal="right"/>
    </xf>
    <xf numFmtId="0" fontId="68" fillId="0" borderId="95"/>
    <xf numFmtId="0" fontId="66" fillId="0" borderId="95"/>
    <xf numFmtId="41" fontId="67" fillId="5" borderId="95"/>
    <xf numFmtId="41" fontId="68" fillId="0" borderId="95"/>
    <xf numFmtId="179" fontId="67" fillId="5" borderId="95">
      <alignment horizontal="right"/>
    </xf>
    <xf numFmtId="179" fontId="68" fillId="0" borderId="95">
      <alignment horizontal="right"/>
    </xf>
    <xf numFmtId="0" fontId="66" fillId="0" borderId="95">
      <alignment horizontal="center"/>
    </xf>
    <xf numFmtId="0" fontId="68" fillId="0" borderId="95">
      <alignment horizontal="center"/>
    </xf>
    <xf numFmtId="0" fontId="205" fillId="0" borderId="95">
      <alignment horizontal="center"/>
    </xf>
    <xf numFmtId="41" fontId="68" fillId="0" borderId="95">
      <alignment horizontal="right"/>
    </xf>
    <xf numFmtId="0" fontId="144" fillId="0" borderId="58" applyNumberFormat="0" applyFill="0" applyAlignment="0" applyProtection="0"/>
    <xf numFmtId="41" fontId="67" fillId="5" borderId="95">
      <alignment horizontal="right"/>
    </xf>
    <xf numFmtId="41" fontId="67" fillId="5" borderId="95">
      <alignment horizontal="right"/>
    </xf>
    <xf numFmtId="41" fontId="68" fillId="0" borderId="95">
      <alignment horizontal="right"/>
    </xf>
    <xf numFmtId="0" fontId="75" fillId="0" borderId="43" applyNumberFormat="0" applyFill="0" applyProtection="0">
      <alignment horizontal="center"/>
    </xf>
    <xf numFmtId="0" fontId="75" fillId="0" borderId="43" applyNumberFormat="0" applyFill="0" applyProtection="0">
      <alignment horizontal="center"/>
    </xf>
    <xf numFmtId="271" fontId="99" fillId="103" borderId="10" applyNumberFormat="0" applyBorder="0" applyAlignment="0">
      <alignment vertical="top"/>
    </xf>
    <xf numFmtId="0" fontId="273" fillId="0" borderId="83"/>
    <xf numFmtId="0" fontId="293" fillId="0" borderId="89" applyNumberFormat="0" applyFill="0" applyAlignment="0" applyProtection="0"/>
    <xf numFmtId="43" fontId="1" fillId="0" borderId="0" applyFont="0" applyFill="0" applyBorder="0" applyAlignment="0" applyProtection="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43" fontId="109" fillId="0" borderId="0" applyFont="0" applyFill="0" applyBorder="0" applyAlignment="0" applyProtection="0"/>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59" fillId="0" borderId="95" applyNumberFormat="0" applyFont="0" applyFill="0" applyAlignment="0" applyProtection="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59" fillId="0" borderId="9" applyNumberFormat="0" applyFont="0" applyFill="0" applyAlignment="0" applyProtection="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59" fillId="0" borderId="95" applyNumberFormat="0" applyFont="0" applyFill="0" applyAlignment="0" applyProtection="0"/>
    <xf numFmtId="0" fontId="145" fillId="0" borderId="95"/>
    <xf numFmtId="0" fontId="66" fillId="0" borderId="96"/>
    <xf numFmtId="10" fontId="67" fillId="5" borderId="96" applyBorder="0">
      <alignment vertical="center"/>
    </xf>
    <xf numFmtId="10" fontId="67" fillId="5" borderId="96" applyBorder="0">
      <alignment vertical="center"/>
    </xf>
    <xf numFmtId="10" fontId="68" fillId="0" borderId="96" applyBorder="0">
      <alignment vertical="center"/>
    </xf>
    <xf numFmtId="0" fontId="66" fillId="0" borderId="96"/>
    <xf numFmtId="10" fontId="67" fillId="5" borderId="96" applyBorder="0">
      <alignment vertical="center"/>
    </xf>
    <xf numFmtId="10" fontId="67" fillId="5" borderId="96" applyBorder="0">
      <alignment vertical="center"/>
    </xf>
    <xf numFmtId="10" fontId="68" fillId="0" borderId="96" applyBorder="0">
      <alignment vertical="center"/>
    </xf>
    <xf numFmtId="0" fontId="66" fillId="0" borderId="96"/>
    <xf numFmtId="10" fontId="67" fillId="5" borderId="96" applyBorder="0">
      <alignment vertical="center"/>
    </xf>
    <xf numFmtId="10" fontId="67" fillId="5" borderId="96" applyBorder="0">
      <alignment vertical="center"/>
    </xf>
    <xf numFmtId="10" fontId="68" fillId="0" borderId="96" applyBorder="0">
      <alignment vertical="center"/>
    </xf>
    <xf numFmtId="0" fontId="66" fillId="0" borderId="96"/>
    <xf numFmtId="10" fontId="67" fillId="5" borderId="96" applyBorder="0">
      <alignment vertical="center"/>
    </xf>
    <xf numFmtId="10" fontId="67" fillId="5" borderId="96" applyBorder="0">
      <alignment vertical="center"/>
    </xf>
    <xf numFmtId="10" fontId="68" fillId="0" borderId="96" applyBorder="0">
      <alignment vertical="center"/>
    </xf>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59" fillId="0" borderId="95" applyNumberFormat="0" applyFont="0" applyFill="0" applyAlignment="0" applyProtection="0"/>
    <xf numFmtId="0" fontId="145" fillId="0" borderId="95"/>
    <xf numFmtId="0" fontId="68" fillId="0" borderId="95"/>
    <xf numFmtId="0" fontId="68" fillId="0" borderId="95"/>
    <xf numFmtId="0" fontId="66" fillId="0" borderId="95"/>
    <xf numFmtId="0" fontId="66" fillId="0" borderId="95"/>
    <xf numFmtId="41" fontId="67" fillId="5" borderId="95">
      <alignment horizontal="right"/>
    </xf>
    <xf numFmtId="41" fontId="67" fillId="5" borderId="95">
      <alignment horizontal="right"/>
    </xf>
    <xf numFmtId="41" fontId="67" fillId="5" borderId="95">
      <alignment horizontal="right"/>
    </xf>
    <xf numFmtId="41" fontId="67" fillId="5" borderId="95"/>
    <xf numFmtId="177" fontId="67" fillId="5" borderId="95">
      <alignment horizontal="right"/>
    </xf>
    <xf numFmtId="180" fontId="67" fillId="5" borderId="95">
      <alignment horizontal="right"/>
    </xf>
    <xf numFmtId="41" fontId="68" fillId="0" borderId="95">
      <alignment horizontal="right"/>
    </xf>
    <xf numFmtId="41" fontId="68" fillId="0" borderId="95">
      <alignment horizontal="right"/>
    </xf>
    <xf numFmtId="41" fontId="68" fillId="0" borderId="95">
      <alignment horizontal="right"/>
    </xf>
    <xf numFmtId="41" fontId="68" fillId="0" borderId="95"/>
    <xf numFmtId="177" fontId="68" fillId="0" borderId="95">
      <alignment horizontal="right"/>
    </xf>
    <xf numFmtId="180" fontId="68" fillId="0" borderId="95">
      <alignment horizontal="right"/>
    </xf>
    <xf numFmtId="178" fontId="67" fillId="5" borderId="95">
      <alignment horizontal="right"/>
    </xf>
    <xf numFmtId="179" fontId="67" fillId="5" borderId="95">
      <alignment horizontal="right"/>
    </xf>
    <xf numFmtId="178" fontId="68" fillId="0" borderId="95">
      <alignment horizontal="right"/>
    </xf>
    <xf numFmtId="179" fontId="68" fillId="0" borderId="95">
      <alignment horizontal="right"/>
    </xf>
    <xf numFmtId="0" fontId="66" fillId="0" borderId="95">
      <alignment horizontal="center"/>
    </xf>
    <xf numFmtId="0" fontId="68" fillId="0" borderId="95">
      <alignment horizontal="center"/>
    </xf>
    <xf numFmtId="0" fontId="67" fillId="0" borderId="95">
      <alignment horizontal="center"/>
    </xf>
    <xf numFmtId="0" fontId="145" fillId="0" borderId="95"/>
    <xf numFmtId="0" fontId="205" fillId="0" borderId="95">
      <alignment horizontal="center"/>
    </xf>
    <xf numFmtId="0" fontId="205" fillId="0" borderId="95">
      <alignment horizontal="center"/>
    </xf>
    <xf numFmtId="0" fontId="205" fillId="0" borderId="95">
      <alignment horizontal="center"/>
    </xf>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59" fillId="0" borderId="95" applyNumberFormat="0" applyFont="0" applyFill="0" applyAlignment="0" applyProtection="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6" fillId="11" borderId="0" applyNumberFormat="0" applyBorder="0" applyAlignment="0" applyProtection="0"/>
    <xf numFmtId="44" fontId="1" fillId="0" borderId="0" applyFont="0" applyFill="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6" borderId="0" applyNumberFormat="0" applyBorder="0" applyAlignment="0" applyProtection="0"/>
    <xf numFmtId="0" fontId="357" fillId="0" borderId="0"/>
    <xf numFmtId="0" fontId="357" fillId="0" borderId="0"/>
    <xf numFmtId="0" fontId="389" fillId="0" borderId="0" applyNumberFormat="0" applyFill="0" applyBorder="0" applyAlignment="0" applyProtection="0"/>
    <xf numFmtId="0" fontId="390" fillId="0" borderId="0" applyNumberFormat="0" applyFill="0" applyBorder="0" applyAlignment="0" applyProtection="0">
      <alignment vertical="top"/>
      <protection locked="0"/>
    </xf>
  </cellStyleXfs>
  <cellXfs count="2047">
    <xf numFmtId="0" fontId="0" fillId="0" borderId="0" xfId="0"/>
    <xf numFmtId="0" fontId="0" fillId="0" borderId="0" xfId="0" quotePrefix="1"/>
    <xf numFmtId="0" fontId="2" fillId="0" borderId="1" xfId="0" applyFont="1" applyBorder="1"/>
    <xf numFmtId="9" fontId="0" fillId="0" borderId="0" xfId="1" applyFont="1"/>
    <xf numFmtId="0" fontId="0" fillId="0" borderId="0" xfId="0" applyAlignment="1">
      <alignment horizontal="left"/>
    </xf>
    <xf numFmtId="164" fontId="0" fillId="0" borderId="0" xfId="2" applyFont="1"/>
    <xf numFmtId="164" fontId="0" fillId="0" borderId="0" xfId="2" quotePrefix="1" applyFont="1" applyAlignment="1"/>
    <xf numFmtId="164" fontId="0" fillId="0" borderId="0" xfId="2" applyFont="1" applyAlignment="1"/>
    <xf numFmtId="165" fontId="0" fillId="0" borderId="0" xfId="2" applyNumberFormat="1" applyFont="1"/>
    <xf numFmtId="0" fontId="0" fillId="8" borderId="0" xfId="0" applyFill="1"/>
    <xf numFmtId="0" fontId="32" fillId="0" borderId="0" xfId="0" applyFont="1"/>
    <xf numFmtId="175" fontId="0" fillId="0" borderId="0" xfId="0" applyNumberFormat="1"/>
    <xf numFmtId="0" fontId="0" fillId="0" borderId="11" xfId="0" applyBorder="1"/>
    <xf numFmtId="0" fontId="0" fillId="0" borderId="13" xfId="0" applyBorder="1"/>
    <xf numFmtId="0" fontId="0" fillId="0" borderId="14" xfId="0" applyBorder="1"/>
    <xf numFmtId="0" fontId="0" fillId="0" borderId="10" xfId="0" applyBorder="1"/>
    <xf numFmtId="164" fontId="0" fillId="0" borderId="8" xfId="2" applyFont="1" applyBorder="1"/>
    <xf numFmtId="0" fontId="0" fillId="0" borderId="0" xfId="0" applyAlignment="1">
      <alignment horizontal="left" indent="1"/>
    </xf>
    <xf numFmtId="0" fontId="32" fillId="0" borderId="0" xfId="0" applyFont="1" applyAlignment="1">
      <alignment wrapText="1"/>
    </xf>
    <xf numFmtId="0" fontId="29" fillId="0" borderId="0" xfId="0" applyFont="1"/>
    <xf numFmtId="165" fontId="29" fillId="0" borderId="0" xfId="2" applyNumberFormat="1" applyFont="1" applyAlignment="1"/>
    <xf numFmtId="176" fontId="0" fillId="0" borderId="0" xfId="2" applyNumberFormat="1" applyFont="1"/>
    <xf numFmtId="4" fontId="0" fillId="0" borderId="0" xfId="2" quotePrefix="1" applyNumberFormat="1" applyFont="1" applyAlignment="1"/>
    <xf numFmtId="0" fontId="34" fillId="0" borderId="0" xfId="0" applyFont="1"/>
    <xf numFmtId="0" fontId="34" fillId="0" borderId="0" xfId="0" quotePrefix="1" applyFont="1"/>
    <xf numFmtId="0" fontId="2" fillId="0" borderId="0" xfId="0" applyFont="1"/>
    <xf numFmtId="4" fontId="0" fillId="0" borderId="0" xfId="0" quotePrefix="1" applyNumberFormat="1"/>
    <xf numFmtId="0" fontId="34" fillId="0" borderId="14" xfId="0" applyFont="1" applyBorder="1"/>
    <xf numFmtId="164" fontId="33" fillId="11" borderId="0" xfId="8" applyNumberFormat="1" applyBorder="1"/>
    <xf numFmtId="164" fontId="33" fillId="11" borderId="15" xfId="8" applyNumberFormat="1" applyBorder="1"/>
    <xf numFmtId="176" fontId="33" fillId="11" borderId="0" xfId="8" applyNumberFormat="1" applyBorder="1"/>
    <xf numFmtId="0" fontId="0" fillId="13" borderId="16" xfId="0" applyFill="1" applyBorder="1"/>
    <xf numFmtId="0" fontId="0" fillId="0" borderId="16" xfId="0" applyBorder="1"/>
    <xf numFmtId="0" fontId="0" fillId="14" borderId="0" xfId="0" applyFill="1"/>
    <xf numFmtId="0" fontId="35" fillId="12" borderId="17" xfId="0" applyFont="1" applyFill="1" applyBorder="1"/>
    <xf numFmtId="0" fontId="35" fillId="12" borderId="18" xfId="0" applyFont="1" applyFill="1" applyBorder="1"/>
    <xf numFmtId="0" fontId="35" fillId="12" borderId="16" xfId="0" applyFont="1" applyFill="1" applyBorder="1"/>
    <xf numFmtId="0" fontId="35" fillId="12" borderId="18" xfId="0" quotePrefix="1" applyFont="1" applyFill="1" applyBorder="1"/>
    <xf numFmtId="164" fontId="2" fillId="0" borderId="0" xfId="2" applyFont="1"/>
    <xf numFmtId="164" fontId="2" fillId="0" borderId="0" xfId="0" applyNumberFormat="1" applyFont="1"/>
    <xf numFmtId="0" fontId="32" fillId="0" borderId="14" xfId="0" applyFont="1" applyBorder="1"/>
    <xf numFmtId="164" fontId="32" fillId="0" borderId="15" xfId="2" applyFont="1" applyBorder="1"/>
    <xf numFmtId="0" fontId="32" fillId="0" borderId="10" xfId="0" applyFont="1" applyBorder="1"/>
    <xf numFmtId="164" fontId="32" fillId="0" borderId="8" xfId="2" applyFont="1" applyBorder="1"/>
    <xf numFmtId="0" fontId="32" fillId="10" borderId="11" xfId="0" applyFont="1" applyFill="1" applyBorder="1"/>
    <xf numFmtId="0" fontId="32" fillId="10" borderId="13" xfId="0" applyFont="1" applyFill="1" applyBorder="1"/>
    <xf numFmtId="0" fontId="2" fillId="0" borderId="19" xfId="0" applyFont="1" applyBorder="1"/>
    <xf numFmtId="0" fontId="0" fillId="13" borderId="18" xfId="0" quotePrefix="1" applyFill="1" applyBorder="1"/>
    <xf numFmtId="0" fontId="0" fillId="0" borderId="18" xfId="0" quotePrefix="1" applyBorder="1"/>
    <xf numFmtId="0" fontId="0" fillId="0" borderId="18" xfId="0" applyBorder="1"/>
    <xf numFmtId="0" fontId="0" fillId="13" borderId="17" xfId="0" applyFill="1" applyBorder="1"/>
    <xf numFmtId="0" fontId="0" fillId="13" borderId="18" xfId="0" applyFill="1" applyBorder="1"/>
    <xf numFmtId="0" fontId="0" fillId="0" borderId="17" xfId="0" applyBorder="1"/>
    <xf numFmtId="0" fontId="32" fillId="10" borderId="22" xfId="0" applyFont="1" applyFill="1" applyBorder="1"/>
    <xf numFmtId="0" fontId="32" fillId="0" borderId="23" xfId="0" applyFont="1" applyBorder="1"/>
    <xf numFmtId="0" fontId="0" fillId="0" borderId="0" xfId="0" applyAlignment="1">
      <alignment horizontal="center"/>
    </xf>
    <xf numFmtId="0" fontId="0" fillId="0" borderId="0" xfId="0" applyAlignment="1">
      <alignment wrapText="1"/>
    </xf>
    <xf numFmtId="0" fontId="37" fillId="16" borderId="20" xfId="0" applyFont="1" applyFill="1" applyBorder="1" applyAlignment="1">
      <alignment wrapText="1"/>
    </xf>
    <xf numFmtId="0" fontId="37" fillId="16" borderId="20" xfId="0" applyFont="1" applyFill="1" applyBorder="1"/>
    <xf numFmtId="0" fontId="37" fillId="16" borderId="0" xfId="0" applyFont="1" applyFill="1" applyAlignment="1">
      <alignment wrapText="1"/>
    </xf>
    <xf numFmtId="165" fontId="31" fillId="8" borderId="0" xfId="7" applyNumberFormat="1" applyFill="1"/>
    <xf numFmtId="165" fontId="31" fillId="8" borderId="0" xfId="7" applyNumberFormat="1" applyFill="1" applyAlignment="1">
      <alignment wrapText="1"/>
    </xf>
    <xf numFmtId="0" fontId="33" fillId="11" borderId="0" xfId="8"/>
    <xf numFmtId="0" fontId="36" fillId="15" borderId="0" xfId="9"/>
    <xf numFmtId="164" fontId="0" fillId="0" borderId="0" xfId="0" applyNumberFormat="1" applyAlignment="1">
      <alignment wrapText="1"/>
    </xf>
    <xf numFmtId="0" fontId="0" fillId="0" borderId="21" xfId="0" applyBorder="1"/>
    <xf numFmtId="164" fontId="0" fillId="8" borderId="0" xfId="0" applyNumberFormat="1" applyFill="1" applyAlignment="1">
      <alignment wrapText="1"/>
    </xf>
    <xf numFmtId="173" fontId="0" fillId="0" borderId="0" xfId="0" applyNumberFormat="1"/>
    <xf numFmtId="164" fontId="0" fillId="0" borderId="7" xfId="2" applyFont="1" applyBorder="1" applyAlignment="1"/>
    <xf numFmtId="0" fontId="0" fillId="17" borderId="0" xfId="0" applyFill="1"/>
    <xf numFmtId="0" fontId="0" fillId="0" borderId="7" xfId="2" applyNumberFormat="1" applyFont="1" applyBorder="1" applyAlignment="1"/>
    <xf numFmtId="0" fontId="35" fillId="12" borderId="17" xfId="0" quotePrefix="1" applyFont="1" applyFill="1" applyBorder="1"/>
    <xf numFmtId="164" fontId="0" fillId="13" borderId="17" xfId="0" applyNumberFormat="1" applyFill="1" applyBorder="1"/>
    <xf numFmtId="164" fontId="0" fillId="0" borderId="18" xfId="2" applyFont="1" applyBorder="1" applyAlignment="1"/>
    <xf numFmtId="164" fontId="32" fillId="0" borderId="0" xfId="2" applyFont="1" applyBorder="1"/>
    <xf numFmtId="9" fontId="32" fillId="0" borderId="14" xfId="1" applyFont="1" applyBorder="1"/>
    <xf numFmtId="4" fontId="38" fillId="0" borderId="0" xfId="0" quotePrefix="1" applyNumberFormat="1" applyFont="1"/>
    <xf numFmtId="0" fontId="38" fillId="0" borderId="0" xfId="0" quotePrefix="1" applyFont="1"/>
    <xf numFmtId="0" fontId="33" fillId="11" borderId="7" xfId="8" applyBorder="1"/>
    <xf numFmtId="0" fontId="33" fillId="11" borderId="0" xfId="8" applyNumberFormat="1" applyAlignment="1"/>
    <xf numFmtId="0" fontId="31" fillId="9" borderId="0" xfId="7"/>
    <xf numFmtId="164" fontId="31" fillId="9" borderId="0" xfId="7" applyNumberFormat="1"/>
    <xf numFmtId="168" fontId="9" fillId="5" borderId="0" xfId="10" applyNumberFormat="1" applyFont="1" applyFill="1" applyAlignment="1">
      <alignment horizontal="right" vertical="center" wrapText="1"/>
    </xf>
    <xf numFmtId="3" fontId="9" fillId="5" borderId="0" xfId="0" applyNumberFormat="1" applyFont="1" applyFill="1" applyAlignment="1">
      <alignment horizontal="right" vertical="center" wrapText="1"/>
    </xf>
    <xf numFmtId="168" fontId="9" fillId="5" borderId="27" xfId="10" applyNumberFormat="1" applyFont="1" applyFill="1" applyBorder="1" applyAlignment="1">
      <alignment horizontal="right" vertical="center" wrapText="1"/>
    </xf>
    <xf numFmtId="168" fontId="18" fillId="5" borderId="0" xfId="10" applyNumberFormat="1" applyFont="1" applyFill="1" applyAlignment="1">
      <alignment horizontal="right" vertical="center" wrapText="1"/>
    </xf>
    <xf numFmtId="171" fontId="9" fillId="5" borderId="0" xfId="10" applyNumberFormat="1" applyFont="1" applyFill="1" applyAlignment="1">
      <alignment horizontal="right" vertical="center" wrapText="1"/>
    </xf>
    <xf numFmtId="3" fontId="9" fillId="3" borderId="0" xfId="0" applyNumberFormat="1" applyFont="1" applyFill="1" applyAlignment="1">
      <alignment horizontal="right" vertical="center" wrapText="1"/>
    </xf>
    <xf numFmtId="3" fontId="9" fillId="3" borderId="27" xfId="0" applyNumberFormat="1" applyFont="1" applyFill="1" applyBorder="1" applyAlignment="1">
      <alignment horizontal="right" vertical="center" wrapText="1"/>
    </xf>
    <xf numFmtId="168" fontId="9" fillId="0" borderId="0" xfId="10" applyNumberFormat="1" applyFont="1" applyAlignment="1">
      <alignment horizontal="right" vertical="center" wrapText="1"/>
    </xf>
    <xf numFmtId="3" fontId="9" fillId="0" borderId="0" xfId="0" applyNumberFormat="1" applyFont="1" applyAlignment="1">
      <alignment horizontal="right" vertical="center" wrapText="1"/>
    </xf>
    <xf numFmtId="3" fontId="18" fillId="5" borderId="0" xfId="0" applyNumberFormat="1" applyFont="1" applyFill="1" applyAlignment="1">
      <alignment horizontal="right" vertical="center" wrapText="1"/>
    </xf>
    <xf numFmtId="171" fontId="18" fillId="5" borderId="0" xfId="10" applyNumberFormat="1" applyFont="1" applyFill="1" applyAlignment="1">
      <alignment horizontal="right" vertical="center" wrapText="1"/>
    </xf>
    <xf numFmtId="173" fontId="18" fillId="5" borderId="0" xfId="0" applyNumberFormat="1" applyFont="1" applyFill="1" applyAlignment="1">
      <alignment horizontal="right" vertical="center" wrapText="1"/>
    </xf>
    <xf numFmtId="0" fontId="18" fillId="5" borderId="0" xfId="0" applyFont="1" applyFill="1" applyAlignment="1">
      <alignment horizontal="right" vertical="center" wrapText="1"/>
    </xf>
    <xf numFmtId="173" fontId="9" fillId="5" borderId="0" xfId="0" applyNumberFormat="1" applyFont="1" applyFill="1" applyAlignment="1">
      <alignment horizontal="right" vertical="center" wrapText="1"/>
    </xf>
    <xf numFmtId="171" fontId="9" fillId="0" borderId="0" xfId="10" applyNumberFormat="1" applyFont="1" applyAlignment="1">
      <alignment horizontal="right" vertical="center" wrapText="1"/>
    </xf>
    <xf numFmtId="171" fontId="9" fillId="0" borderId="0" xfId="0" applyNumberFormat="1" applyFont="1" applyAlignment="1">
      <alignment horizontal="right" vertical="center" wrapText="1"/>
    </xf>
    <xf numFmtId="171" fontId="9" fillId="5" borderId="0" xfId="0" applyNumberFormat="1" applyFont="1" applyFill="1" applyAlignment="1">
      <alignment horizontal="right" vertical="center" wrapText="1"/>
    </xf>
    <xf numFmtId="14" fontId="0" fillId="0" borderId="0" xfId="0" applyNumberFormat="1"/>
    <xf numFmtId="3" fontId="0" fillId="0" borderId="0" xfId="0" applyNumberFormat="1"/>
    <xf numFmtId="0" fontId="37" fillId="125" borderId="0" xfId="0" applyFont="1" applyFill="1" applyAlignment="1">
      <alignment horizontal="center" wrapText="1"/>
    </xf>
    <xf numFmtId="0" fontId="37" fillId="125" borderId="0" xfId="0" applyFont="1" applyFill="1" applyAlignment="1">
      <alignment horizontal="center"/>
    </xf>
    <xf numFmtId="168" fontId="336" fillId="0" borderId="97" xfId="10" applyNumberFormat="1" applyFont="1" applyBorder="1"/>
    <xf numFmtId="0" fontId="28" fillId="126" borderId="97" xfId="0" applyFont="1" applyFill="1" applyBorder="1" applyAlignment="1">
      <alignment horizontal="center"/>
    </xf>
    <xf numFmtId="168" fontId="37" fillId="125" borderId="0" xfId="10" applyNumberFormat="1" applyFont="1" applyFill="1" applyAlignment="1">
      <alignment horizontal="center"/>
    </xf>
    <xf numFmtId="168" fontId="337" fillId="0" borderId="97" xfId="0" applyNumberFormat="1" applyFont="1" applyBorder="1"/>
    <xf numFmtId="168" fontId="37" fillId="125" borderId="0" xfId="10" applyNumberFormat="1" applyFont="1" applyFill="1" applyAlignment="1">
      <alignment horizontal="right"/>
    </xf>
    <xf numFmtId="0" fontId="336" fillId="127" borderId="97" xfId="0" applyFont="1" applyFill="1" applyBorder="1" applyAlignment="1">
      <alignment horizontal="center"/>
    </xf>
    <xf numFmtId="9" fontId="336" fillId="127" borderId="97" xfId="1" applyFont="1" applyFill="1" applyBorder="1" applyAlignment="1">
      <alignment horizontal="center"/>
    </xf>
    <xf numFmtId="0" fontId="338" fillId="125" borderId="0" xfId="0" applyFont="1" applyFill="1" applyAlignment="1">
      <alignment horizontal="center"/>
    </xf>
    <xf numFmtId="0" fontId="0" fillId="0" borderId="98" xfId="0" applyBorder="1" applyAlignment="1">
      <alignment horizontal="center" vertical="center"/>
    </xf>
    <xf numFmtId="0" fontId="339" fillId="0" borderId="0" xfId="0" applyFont="1" applyAlignment="1">
      <alignment horizontal="right"/>
    </xf>
    <xf numFmtId="16" fontId="0" fillId="0" borderId="0" xfId="0" applyNumberFormat="1"/>
    <xf numFmtId="165" fontId="2" fillId="0" borderId="1" xfId="2" applyNumberFormat="1" applyFont="1" applyBorder="1"/>
    <xf numFmtId="0" fontId="0" fillId="128" borderId="99" xfId="0" applyFill="1" applyBorder="1"/>
    <xf numFmtId="0" fontId="0" fillId="0" borderId="99" xfId="0" applyBorder="1"/>
    <xf numFmtId="0" fontId="0" fillId="13" borderId="7" xfId="2" applyNumberFormat="1" applyFont="1" applyFill="1" applyBorder="1" applyAlignment="1"/>
    <xf numFmtId="0" fontId="35" fillId="12" borderId="101" xfId="0" applyFont="1" applyFill="1" applyBorder="1"/>
    <xf numFmtId="0" fontId="35" fillId="12" borderId="102" xfId="0" quotePrefix="1" applyFont="1" applyFill="1" applyBorder="1"/>
    <xf numFmtId="0" fontId="35" fillId="12" borderId="101" xfId="0" quotePrefix="1" applyFont="1" applyFill="1" applyBorder="1"/>
    <xf numFmtId="0" fontId="2" fillId="129" borderId="19" xfId="0" applyFont="1" applyFill="1" applyBorder="1"/>
    <xf numFmtId="0" fontId="34" fillId="128" borderId="99" xfId="0" applyFont="1" applyFill="1" applyBorder="1"/>
    <xf numFmtId="0" fontId="34" fillId="0" borderId="99" xfId="0" applyFont="1" applyBorder="1"/>
    <xf numFmtId="0" fontId="2" fillId="129" borderId="0" xfId="0" applyFont="1" applyFill="1"/>
    <xf numFmtId="0" fontId="0" fillId="128" borderId="20" xfId="0" applyFill="1" applyBorder="1"/>
    <xf numFmtId="0" fontId="35" fillId="12" borderId="105" xfId="0" applyFont="1" applyFill="1" applyBorder="1"/>
    <xf numFmtId="0" fontId="340" fillId="12" borderId="101" xfId="0" applyFont="1" applyFill="1" applyBorder="1"/>
    <xf numFmtId="165" fontId="340" fillId="12" borderId="101" xfId="2" applyNumberFormat="1" applyFont="1" applyFill="1" applyBorder="1" applyAlignment="1"/>
    <xf numFmtId="0" fontId="340" fillId="12" borderId="102" xfId="0" applyFont="1" applyFill="1" applyBorder="1"/>
    <xf numFmtId="174" fontId="0" fillId="0" borderId="0" xfId="0" applyNumberFormat="1"/>
    <xf numFmtId="0" fontId="343" fillId="0" borderId="5" xfId="0" applyFont="1" applyBorder="1" applyAlignment="1">
      <alignment horizontal="right"/>
    </xf>
    <xf numFmtId="0" fontId="0" fillId="3" borderId="5" xfId="0" applyFill="1" applyBorder="1"/>
    <xf numFmtId="0" fontId="7" fillId="3" borderId="4" xfId="0" applyFont="1" applyFill="1" applyBorder="1" applyAlignment="1">
      <alignment vertical="center"/>
    </xf>
    <xf numFmtId="0" fontId="43" fillId="19" borderId="5" xfId="0" applyFont="1" applyFill="1" applyBorder="1" applyAlignment="1">
      <alignment horizontal="right" vertical="center" wrapText="1"/>
    </xf>
    <xf numFmtId="0" fontId="9" fillId="3" borderId="4" xfId="0" applyFont="1" applyFill="1" applyBorder="1" applyAlignment="1">
      <alignment vertical="center" wrapText="1"/>
    </xf>
    <xf numFmtId="0" fontId="9" fillId="5" borderId="4" xfId="0" applyFont="1" applyFill="1" applyBorder="1" applyAlignment="1">
      <alignment vertical="center" wrapText="1"/>
    </xf>
    <xf numFmtId="3" fontId="9" fillId="5" borderId="4" xfId="0" applyNumberFormat="1" applyFont="1" applyFill="1" applyBorder="1" applyAlignment="1">
      <alignment horizontal="right" vertical="center" wrapText="1"/>
    </xf>
    <xf numFmtId="9" fontId="9" fillId="5" borderId="6" xfId="1" applyFont="1" applyFill="1" applyBorder="1" applyAlignment="1">
      <alignment horizontal="right" vertical="center" wrapText="1"/>
    </xf>
    <xf numFmtId="9" fontId="9" fillId="3" borderId="5" xfId="1" applyFont="1" applyFill="1" applyBorder="1" applyAlignment="1">
      <alignment horizontal="right" vertical="center" wrapText="1"/>
    </xf>
    <xf numFmtId="0" fontId="347" fillId="3" borderId="5" xfId="0" applyFont="1" applyFill="1" applyBorder="1"/>
    <xf numFmtId="167" fontId="0" fillId="0" borderId="0" xfId="1" applyNumberFormat="1" applyFont="1"/>
    <xf numFmtId="169" fontId="0" fillId="3" borderId="0" xfId="0" applyNumberFormat="1" applyFill="1"/>
    <xf numFmtId="167" fontId="0" fillId="0" borderId="0" xfId="0" applyNumberFormat="1"/>
    <xf numFmtId="9" fontId="0" fillId="3" borderId="0" xfId="1" applyFont="1" applyFill="1"/>
    <xf numFmtId="170" fontId="0" fillId="3" borderId="0" xfId="0" applyNumberFormat="1" applyFill="1"/>
    <xf numFmtId="0" fontId="9" fillId="3" borderId="4" xfId="0" applyFont="1" applyFill="1" applyBorder="1" applyAlignment="1">
      <alignment vertical="center"/>
    </xf>
    <xf numFmtId="0" fontId="12" fillId="3" borderId="5" xfId="0" applyFont="1" applyFill="1" applyBorder="1"/>
    <xf numFmtId="0" fontId="14" fillId="3" borderId="4" xfId="0" applyFont="1" applyFill="1" applyBorder="1" applyAlignment="1">
      <alignment vertical="center" wrapText="1"/>
    </xf>
    <xf numFmtId="0" fontId="15" fillId="6" borderId="4" xfId="0" applyFont="1" applyFill="1" applyBorder="1" applyAlignment="1">
      <alignment vertical="center" wrapText="1"/>
    </xf>
    <xf numFmtId="9" fontId="17" fillId="6" borderId="5" xfId="1" applyFont="1" applyFill="1" applyBorder="1" applyAlignment="1">
      <alignment horizontal="right" vertical="center" wrapText="1"/>
    </xf>
    <xf numFmtId="0" fontId="18" fillId="6" borderId="4" xfId="0" applyFont="1" applyFill="1" applyBorder="1" applyAlignment="1">
      <alignment vertical="center" wrapText="1"/>
    </xf>
    <xf numFmtId="0" fontId="9" fillId="5" borderId="4" xfId="0" applyFont="1" applyFill="1" applyBorder="1" applyAlignment="1">
      <alignment horizontal="left" vertical="center" wrapText="1" indent="2"/>
    </xf>
    <xf numFmtId="172" fontId="0" fillId="3" borderId="0" xfId="0" applyNumberFormat="1" applyFill="1"/>
    <xf numFmtId="170" fontId="0" fillId="0" borderId="0" xfId="0" applyNumberFormat="1"/>
    <xf numFmtId="0" fontId="22" fillId="3" borderId="4" xfId="0" applyFont="1" applyFill="1" applyBorder="1" applyAlignment="1">
      <alignment vertical="center"/>
    </xf>
    <xf numFmtId="0" fontId="341" fillId="3" borderId="4" xfId="0" applyFont="1" applyFill="1" applyBorder="1" applyAlignment="1">
      <alignment vertical="center"/>
    </xf>
    <xf numFmtId="0" fontId="16" fillId="19" borderId="4" xfId="0" applyFont="1" applyFill="1" applyBorder="1" applyAlignment="1">
      <alignment vertical="center"/>
    </xf>
    <xf numFmtId="0" fontId="9" fillId="0" borderId="4" xfId="0" applyFont="1" applyBorder="1" applyAlignment="1">
      <alignment vertical="center"/>
    </xf>
    <xf numFmtId="0" fontId="9" fillId="5" borderId="4" xfId="0" applyFont="1" applyFill="1" applyBorder="1" applyAlignment="1">
      <alignment vertical="center"/>
    </xf>
    <xf numFmtId="0" fontId="344" fillId="3" borderId="4" xfId="0" applyFont="1" applyFill="1" applyBorder="1" applyAlignment="1">
      <alignment vertical="center"/>
    </xf>
    <xf numFmtId="0" fontId="7" fillId="3" borderId="4" xfId="0" applyFont="1" applyFill="1" applyBorder="1" applyAlignment="1">
      <alignment vertical="center" wrapText="1"/>
    </xf>
    <xf numFmtId="0" fontId="9" fillId="131" borderId="4" xfId="0" applyFont="1" applyFill="1" applyBorder="1" applyAlignment="1">
      <alignment vertical="center"/>
    </xf>
    <xf numFmtId="167" fontId="23" fillId="3" borderId="5" xfId="1" applyNumberFormat="1" applyFont="1" applyFill="1" applyBorder="1"/>
    <xf numFmtId="0" fontId="9" fillId="6" borderId="4" xfId="6" applyFont="1" applyFill="1" applyBorder="1" applyAlignment="1">
      <alignment vertical="center"/>
    </xf>
    <xf numFmtId="0" fontId="24" fillId="3" borderId="4" xfId="0" applyFont="1" applyFill="1" applyBorder="1" applyAlignment="1">
      <alignment vertical="center" wrapText="1"/>
    </xf>
    <xf numFmtId="0" fontId="25" fillId="3" borderId="4" xfId="0" applyFont="1" applyFill="1" applyBorder="1" applyAlignment="1">
      <alignment vertical="center" wrapText="1"/>
    </xf>
    <xf numFmtId="0" fontId="0" fillId="3" borderId="4" xfId="0" applyFill="1" applyBorder="1"/>
    <xf numFmtId="0" fontId="0" fillId="3" borderId="4" xfId="0" applyFill="1" applyBorder="1" applyAlignment="1">
      <alignment vertical="center" wrapText="1"/>
    </xf>
    <xf numFmtId="0" fontId="26" fillId="0" borderId="0" xfId="0" applyFont="1"/>
    <xf numFmtId="0" fontId="9" fillId="5" borderId="4" xfId="0" applyFont="1" applyFill="1" applyBorder="1" applyAlignment="1">
      <alignment horizontal="left" vertical="center" wrapText="1" indent="1"/>
    </xf>
    <xf numFmtId="0" fontId="19" fillId="5" borderId="4" xfId="0" applyFont="1" applyFill="1" applyBorder="1" applyAlignment="1">
      <alignment horizontal="left" vertical="center" wrapText="1" indent="1"/>
    </xf>
    <xf numFmtId="0" fontId="19" fillId="5" borderId="4" xfId="0" applyFont="1" applyFill="1" applyBorder="1" applyAlignment="1">
      <alignment horizontal="left" vertical="center" indent="1"/>
    </xf>
    <xf numFmtId="0" fontId="27" fillId="3" borderId="4" xfId="0" applyFont="1" applyFill="1" applyBorder="1" applyAlignment="1">
      <alignment vertical="center" wrapText="1"/>
    </xf>
    <xf numFmtId="0" fontId="27" fillId="3" borderId="5" xfId="0" applyFont="1" applyFill="1" applyBorder="1" applyAlignment="1">
      <alignment vertical="center" wrapText="1"/>
    </xf>
    <xf numFmtId="0" fontId="48" fillId="3" borderId="5" xfId="0" applyFont="1" applyFill="1" applyBorder="1" applyAlignment="1">
      <alignment wrapText="1"/>
    </xf>
    <xf numFmtId="0" fontId="27" fillId="0" borderId="0" xfId="0" applyFont="1"/>
    <xf numFmtId="10" fontId="27" fillId="3" borderId="5" xfId="0" applyNumberFormat="1" applyFont="1" applyFill="1" applyBorder="1" applyAlignment="1">
      <alignment horizontal="right" vertical="center" wrapText="1"/>
    </xf>
    <xf numFmtId="0" fontId="0" fillId="7" borderId="0" xfId="0" applyFill="1"/>
    <xf numFmtId="0" fontId="343" fillId="3" borderId="109" xfId="0" applyFont="1" applyFill="1" applyBorder="1" applyAlignment="1">
      <alignment horizontal="right"/>
    </xf>
    <xf numFmtId="3" fontId="350" fillId="134" borderId="110" xfId="0" applyNumberFormat="1" applyFont="1" applyFill="1" applyBorder="1" applyAlignment="1">
      <alignment horizontal="right" vertical="center" wrapText="1"/>
    </xf>
    <xf numFmtId="0" fontId="0" fillId="0" borderId="5" xfId="0" applyBorder="1"/>
    <xf numFmtId="0" fontId="9" fillId="0" borderId="4" xfId="0" applyFont="1" applyBorder="1"/>
    <xf numFmtId="10" fontId="27" fillId="0" borderId="5" xfId="0" applyNumberFormat="1" applyFont="1" applyBorder="1" applyAlignment="1">
      <alignment horizontal="right" vertical="center" wrapText="1"/>
    </xf>
    <xf numFmtId="0" fontId="43" fillId="0" borderId="5" xfId="0" applyFont="1" applyBorder="1" applyAlignment="1">
      <alignment horizontal="right" vertical="center" wrapText="1"/>
    </xf>
    <xf numFmtId="0" fontId="0" fillId="0" borderId="4" xfId="0" applyBorder="1" applyAlignment="1">
      <alignment vertical="center" wrapText="1"/>
    </xf>
    <xf numFmtId="43" fontId="9" fillId="5" borderId="0" xfId="4" applyNumberFormat="1" applyFont="1" applyFill="1" applyAlignment="1">
      <alignment horizontal="right" vertical="center" wrapText="1"/>
    </xf>
    <xf numFmtId="171" fontId="9" fillId="5" borderId="0" xfId="4" applyNumberFormat="1" applyFont="1" applyFill="1" applyAlignment="1">
      <alignment horizontal="right" vertical="center" wrapText="1"/>
    </xf>
    <xf numFmtId="171" fontId="9" fillId="0" borderId="0" xfId="4" applyNumberFormat="1" applyFont="1" applyAlignment="1">
      <alignment horizontal="right" vertical="center" wrapText="1"/>
    </xf>
    <xf numFmtId="1" fontId="9" fillId="5" borderId="0" xfId="4" applyNumberFormat="1" applyFont="1" applyFill="1" applyAlignment="1">
      <alignment horizontal="right" vertical="center" wrapText="1"/>
    </xf>
    <xf numFmtId="168" fontId="9" fillId="5" borderId="0" xfId="4" applyNumberFormat="1" applyFont="1" applyFill="1" applyAlignment="1">
      <alignment horizontal="right" vertical="center" wrapText="1"/>
    </xf>
    <xf numFmtId="168" fontId="9" fillId="0" borderId="0" xfId="4" applyNumberFormat="1" applyFont="1" applyAlignment="1">
      <alignment horizontal="right" vertical="center" wrapText="1"/>
    </xf>
    <xf numFmtId="0" fontId="341" fillId="0" borderId="4" xfId="0" applyFont="1" applyBorder="1" applyAlignment="1">
      <alignment vertical="center"/>
    </xf>
    <xf numFmtId="0" fontId="33" fillId="11" borderId="99" xfId="8" applyBorder="1"/>
    <xf numFmtId="165" fontId="0" fillId="0" borderId="7" xfId="2" applyNumberFormat="1" applyFont="1" applyBorder="1" applyAlignment="1"/>
    <xf numFmtId="0" fontId="33" fillId="135" borderId="111" xfId="8" applyFill="1" applyBorder="1"/>
    <xf numFmtId="165" fontId="0" fillId="0" borderId="112" xfId="2" applyNumberFormat="1" applyFont="1" applyBorder="1" applyAlignment="1"/>
    <xf numFmtId="0" fontId="33" fillId="11" borderId="0" xfId="8" applyBorder="1"/>
    <xf numFmtId="174" fontId="0" fillId="0" borderId="0" xfId="2" applyNumberFormat="1" applyFont="1"/>
    <xf numFmtId="164" fontId="35" fillId="12" borderId="18" xfId="2" quotePrefix="1" applyFont="1" applyFill="1" applyBorder="1" applyAlignment="1"/>
    <xf numFmtId="165" fontId="33" fillId="11" borderId="7" xfId="2" applyNumberFormat="1" applyFont="1" applyFill="1" applyBorder="1"/>
    <xf numFmtId="165" fontId="33" fillId="11" borderId="0" xfId="2" applyNumberFormat="1" applyFont="1" applyFill="1" applyBorder="1"/>
    <xf numFmtId="174" fontId="35" fillId="12" borderId="17" xfId="2" quotePrefix="1" applyNumberFormat="1" applyFont="1" applyFill="1" applyBorder="1" applyAlignment="1"/>
    <xf numFmtId="174" fontId="35" fillId="12" borderId="18" xfId="2" quotePrefix="1" applyNumberFormat="1" applyFont="1" applyFill="1" applyBorder="1" applyAlignment="1"/>
    <xf numFmtId="165" fontId="35" fillId="12" borderId="17" xfId="2" quotePrefix="1" applyNumberFormat="1" applyFont="1" applyFill="1" applyBorder="1" applyAlignment="1"/>
    <xf numFmtId="165" fontId="2" fillId="0" borderId="0" xfId="2" applyNumberFormat="1" applyFont="1"/>
    <xf numFmtId="165" fontId="0" fillId="13" borderId="7" xfId="2" applyNumberFormat="1" applyFont="1" applyFill="1" applyBorder="1" applyAlignment="1"/>
    <xf numFmtId="164" fontId="0" fillId="13" borderId="7" xfId="2" applyFont="1" applyFill="1" applyBorder="1" applyAlignment="1"/>
    <xf numFmtId="165" fontId="0" fillId="13" borderId="100" xfId="2" applyNumberFormat="1" applyFont="1" applyFill="1" applyBorder="1" applyAlignment="1"/>
    <xf numFmtId="165" fontId="0" fillId="13" borderId="16" xfId="2" applyNumberFormat="1" applyFont="1" applyFill="1" applyBorder="1" applyAlignment="1"/>
    <xf numFmtId="0" fontId="30" fillId="49" borderId="0" xfId="3804"/>
    <xf numFmtId="164" fontId="0" fillId="13" borderId="17" xfId="2" applyFont="1" applyFill="1" applyBorder="1" applyAlignment="1"/>
    <xf numFmtId="0" fontId="2" fillId="0" borderId="1" xfId="0" applyFont="1" applyBorder="1" applyAlignment="1">
      <alignment wrapText="1"/>
    </xf>
    <xf numFmtId="0" fontId="0" fillId="0" borderId="1" xfId="0" applyBorder="1"/>
    <xf numFmtId="168" fontId="0" fillId="0" borderId="1" xfId="10" applyNumberFormat="1" applyFont="1" applyBorder="1"/>
    <xf numFmtId="9" fontId="0" fillId="0" borderId="1" xfId="1" applyFont="1" applyBorder="1"/>
    <xf numFmtId="0" fontId="351" fillId="0" borderId="0" xfId="0" applyFont="1"/>
    <xf numFmtId="0" fontId="2" fillId="0" borderId="1" xfId="0" applyFont="1" applyBorder="1" applyAlignment="1">
      <alignment horizontal="left" wrapText="1"/>
    </xf>
    <xf numFmtId="168" fontId="2" fillId="0" borderId="1" xfId="10" applyNumberFormat="1" applyFont="1" applyBorder="1" applyAlignment="1">
      <alignment horizontal="left" wrapText="1"/>
    </xf>
    <xf numFmtId="0" fontId="0" fillId="0" borderId="1" xfId="0" applyBorder="1" applyAlignment="1">
      <alignment wrapText="1"/>
    </xf>
    <xf numFmtId="168" fontId="0" fillId="0" borderId="1" xfId="10" applyNumberFormat="1" applyFont="1" applyBorder="1" applyAlignment="1">
      <alignment horizontal="left"/>
    </xf>
    <xf numFmtId="165" fontId="35" fillId="12" borderId="101" xfId="2" quotePrefix="1" applyNumberFormat="1" applyFont="1" applyFill="1" applyBorder="1" applyAlignment="1"/>
    <xf numFmtId="164" fontId="33" fillId="11" borderId="0" xfId="2" applyFont="1" applyFill="1"/>
    <xf numFmtId="164" fontId="35" fillId="12" borderId="17" xfId="2" applyFont="1" applyFill="1" applyBorder="1" applyAlignment="1"/>
    <xf numFmtId="0" fontId="0" fillId="137" borderId="0" xfId="0" applyFill="1"/>
    <xf numFmtId="0" fontId="0" fillId="138" borderId="0" xfId="0" applyFill="1"/>
    <xf numFmtId="0" fontId="0" fillId="139" borderId="0" xfId="0" applyFill="1"/>
    <xf numFmtId="0" fontId="29" fillId="7" borderId="1" xfId="0" applyFont="1" applyFill="1" applyBorder="1" applyAlignment="1">
      <alignment horizontal="left" vertical="center"/>
    </xf>
    <xf numFmtId="0" fontId="29" fillId="7" borderId="1" xfId="0" applyFont="1" applyFill="1" applyBorder="1" applyAlignment="1">
      <alignment horizontal="left" vertical="center" wrapText="1"/>
    </xf>
    <xf numFmtId="0" fontId="352" fillId="136" borderId="1" xfId="0" applyFont="1" applyFill="1" applyBorder="1" applyAlignment="1">
      <alignment horizontal="left" vertical="top" wrapText="1"/>
    </xf>
    <xf numFmtId="16" fontId="29" fillId="7" borderId="1" xfId="0" applyNumberFormat="1" applyFont="1" applyFill="1" applyBorder="1" applyAlignment="1">
      <alignment horizontal="left" vertical="center"/>
    </xf>
    <xf numFmtId="168" fontId="9" fillId="140" borderId="0" xfId="10" applyNumberFormat="1" applyFont="1" applyFill="1" applyAlignment="1">
      <alignment horizontal="right" vertical="center" wrapText="1"/>
    </xf>
    <xf numFmtId="37" fontId="9" fillId="140" borderId="0" xfId="10" applyNumberFormat="1" applyFont="1" applyFill="1" applyAlignment="1">
      <alignment horizontal="right" vertical="center" wrapText="1"/>
    </xf>
    <xf numFmtId="0" fontId="19" fillId="0" borderId="4" xfId="0" applyFont="1" applyBorder="1" applyAlignment="1">
      <alignment wrapText="1"/>
    </xf>
    <xf numFmtId="0" fontId="9" fillId="6" borderId="113" xfId="6" applyFont="1" applyFill="1" applyBorder="1" applyAlignment="1">
      <alignment vertical="center"/>
    </xf>
    <xf numFmtId="9" fontId="9" fillId="3" borderId="5" xfId="3073" applyFont="1" applyFill="1" applyBorder="1" applyAlignment="1">
      <alignment horizontal="right" vertical="center" wrapText="1"/>
    </xf>
    <xf numFmtId="168" fontId="9" fillId="5" borderId="104" xfId="4971" applyNumberFormat="1" applyFont="1" applyFill="1" applyBorder="1" applyAlignment="1">
      <alignment horizontal="right" vertical="center" wrapText="1"/>
    </xf>
    <xf numFmtId="168" fontId="9" fillId="5" borderId="103" xfId="4971" applyNumberFormat="1" applyFont="1" applyFill="1" applyBorder="1" applyAlignment="1">
      <alignment horizontal="right" vertical="center" wrapText="1"/>
    </xf>
    <xf numFmtId="9" fontId="9" fillId="5" borderId="6" xfId="3073" applyFont="1" applyFill="1" applyBorder="1" applyAlignment="1">
      <alignment horizontal="right" vertical="center" wrapText="1"/>
    </xf>
    <xf numFmtId="0" fontId="0" fillId="0" borderId="0" xfId="0" pivotButton="1"/>
    <xf numFmtId="165" fontId="0" fillId="0" borderId="0" xfId="0" applyNumberFormat="1"/>
    <xf numFmtId="164" fontId="0" fillId="0" borderId="0" xfId="0" applyNumberFormat="1"/>
    <xf numFmtId="0" fontId="0" fillId="3" borderId="0" xfId="0" applyFill="1"/>
    <xf numFmtId="168" fontId="0" fillId="0" borderId="0" xfId="0" applyNumberFormat="1"/>
    <xf numFmtId="43" fontId="0" fillId="0" borderId="0" xfId="0" applyNumberFormat="1"/>
    <xf numFmtId="0" fontId="0" fillId="141" borderId="0" xfId="0" applyFill="1"/>
    <xf numFmtId="165" fontId="0" fillId="141" borderId="0" xfId="2" applyNumberFormat="1" applyFont="1" applyFill="1"/>
    <xf numFmtId="168" fontId="0" fillId="141" borderId="0" xfId="0" applyNumberFormat="1" applyFill="1"/>
    <xf numFmtId="168" fontId="0" fillId="141" borderId="0" xfId="2" applyNumberFormat="1" applyFont="1" applyFill="1"/>
    <xf numFmtId="167" fontId="2" fillId="0" borderId="0" xfId="1" applyNumberFormat="1" applyFont="1"/>
    <xf numFmtId="9" fontId="9" fillId="5" borderId="5" xfId="3073" applyFont="1" applyFill="1" applyBorder="1" applyAlignment="1">
      <alignment horizontal="right" vertical="center" wrapText="1"/>
    </xf>
    <xf numFmtId="9" fontId="17" fillId="6" borderId="5" xfId="3073" applyFont="1" applyFill="1" applyBorder="1" applyAlignment="1">
      <alignment horizontal="right" vertical="center" wrapText="1"/>
    </xf>
    <xf numFmtId="168" fontId="19" fillId="6" borderId="103" xfId="4971" applyNumberFormat="1" applyFont="1" applyFill="1" applyBorder="1" applyAlignment="1">
      <alignment horizontal="right" vertical="center" wrapText="1"/>
    </xf>
    <xf numFmtId="168" fontId="19" fillId="6" borderId="0" xfId="4971" applyNumberFormat="1" applyFont="1" applyFill="1" applyAlignment="1">
      <alignment horizontal="right" vertical="center" wrapText="1"/>
    </xf>
    <xf numFmtId="9" fontId="19" fillId="6" borderId="5" xfId="3073" applyFont="1" applyFill="1" applyBorder="1" applyAlignment="1">
      <alignment horizontal="right" vertical="center" wrapText="1"/>
    </xf>
    <xf numFmtId="168" fontId="9" fillId="5" borderId="0" xfId="4971" applyNumberFormat="1" applyFont="1" applyFill="1" applyAlignment="1">
      <alignment horizontal="right" vertical="center" wrapText="1"/>
    </xf>
    <xf numFmtId="171" fontId="9" fillId="5" borderId="103" xfId="4971" applyNumberFormat="1" applyFont="1" applyFill="1" applyBorder="1" applyAlignment="1">
      <alignment horizontal="right" vertical="center" wrapText="1"/>
    </xf>
    <xf numFmtId="171" fontId="9" fillId="5" borderId="0" xfId="4971" applyNumberFormat="1" applyFont="1" applyFill="1" applyAlignment="1">
      <alignment horizontal="right" vertical="center" wrapText="1"/>
    </xf>
    <xf numFmtId="9" fontId="20" fillId="6" borderId="5" xfId="3073" applyFont="1" applyFill="1" applyBorder="1" applyAlignment="1">
      <alignment horizontal="right" vertical="center" wrapText="1"/>
    </xf>
    <xf numFmtId="168" fontId="9" fillId="0" borderId="0" xfId="4971" applyNumberFormat="1" applyFont="1"/>
    <xf numFmtId="168" fontId="9" fillId="5" borderId="0" xfId="4971" applyNumberFormat="1" applyFont="1" applyFill="1"/>
    <xf numFmtId="37" fontId="9" fillId="5" borderId="103" xfId="4971" applyNumberFormat="1" applyFont="1" applyFill="1" applyBorder="1" applyAlignment="1">
      <alignment horizontal="right" vertical="center" wrapText="1"/>
    </xf>
    <xf numFmtId="168" fontId="9" fillId="3" borderId="103" xfId="4971" applyNumberFormat="1" applyFont="1" applyFill="1" applyBorder="1" applyAlignment="1">
      <alignment horizontal="right" vertical="center" wrapText="1"/>
    </xf>
    <xf numFmtId="168" fontId="9" fillId="6" borderId="103" xfId="4971" applyNumberFormat="1" applyFont="1" applyFill="1" applyBorder="1" applyAlignment="1">
      <alignment horizontal="right" vertical="center" wrapText="1"/>
    </xf>
    <xf numFmtId="168" fontId="9" fillId="131" borderId="103" xfId="4971" applyNumberFormat="1" applyFont="1" applyFill="1" applyBorder="1" applyAlignment="1">
      <alignment horizontal="right" vertical="center" wrapText="1"/>
    </xf>
    <xf numFmtId="168" fontId="9" fillId="131" borderId="104" xfId="4971" applyNumberFormat="1" applyFont="1" applyFill="1" applyBorder="1" applyAlignment="1">
      <alignment horizontal="right" vertical="center" wrapText="1"/>
    </xf>
    <xf numFmtId="167" fontId="23" fillId="3" borderId="5" xfId="3073" applyNumberFormat="1" applyFont="1" applyFill="1" applyBorder="1"/>
    <xf numFmtId="168" fontId="9" fillId="0" borderId="103" xfId="4" applyNumberFormat="1" applyFont="1" applyBorder="1" applyAlignment="1">
      <alignment horizontal="right" vertical="center" wrapText="1"/>
    </xf>
    <xf numFmtId="9" fontId="9" fillId="0" borderId="5" xfId="3073" applyFont="1" applyBorder="1" applyAlignment="1">
      <alignment horizontal="right" vertical="center" wrapText="1"/>
    </xf>
    <xf numFmtId="168" fontId="9" fillId="5" borderId="103" xfId="4" applyNumberFormat="1" applyFont="1" applyFill="1" applyBorder="1" applyAlignment="1">
      <alignment horizontal="right" vertical="center" wrapText="1"/>
    </xf>
    <xf numFmtId="1" fontId="9" fillId="5" borderId="103" xfId="4" applyNumberFormat="1" applyFont="1" applyFill="1" applyBorder="1" applyAlignment="1">
      <alignment horizontal="right" vertical="center" wrapText="1"/>
    </xf>
    <xf numFmtId="171" fontId="9" fillId="0" borderId="103" xfId="4" applyNumberFormat="1" applyFont="1" applyBorder="1" applyAlignment="1">
      <alignment horizontal="right" vertical="center" wrapText="1"/>
    </xf>
    <xf numFmtId="171" fontId="9" fillId="5" borderId="103" xfId="4" applyNumberFormat="1" applyFont="1" applyFill="1" applyBorder="1" applyAlignment="1">
      <alignment horizontal="right" vertical="center" wrapText="1"/>
    </xf>
    <xf numFmtId="43" fontId="9" fillId="5" borderId="104" xfId="4" applyNumberFormat="1" applyFont="1" applyFill="1" applyBorder="1" applyAlignment="1">
      <alignment horizontal="right" vertical="center" wrapText="1"/>
    </xf>
    <xf numFmtId="9" fontId="9" fillId="0" borderId="0" xfId="3073" applyFont="1" applyAlignment="1">
      <alignment vertical="center"/>
    </xf>
    <xf numFmtId="0" fontId="30" fillId="0" borderId="0" xfId="1809"/>
    <xf numFmtId="0" fontId="30" fillId="3" borderId="0" xfId="1809" applyFill="1"/>
    <xf numFmtId="0" fontId="343" fillId="3" borderId="109" xfId="1809" applyFont="1" applyFill="1" applyBorder="1" applyAlignment="1">
      <alignment horizontal="right"/>
    </xf>
    <xf numFmtId="0" fontId="343" fillId="3" borderId="114" xfId="1809" applyFont="1" applyFill="1" applyBorder="1" applyAlignment="1">
      <alignment horizontal="right"/>
    </xf>
    <xf numFmtId="0" fontId="30" fillId="3" borderId="114" xfId="1809" applyFill="1" applyBorder="1"/>
    <xf numFmtId="0" fontId="30" fillId="3" borderId="113" xfId="1809" applyFill="1" applyBorder="1"/>
    <xf numFmtId="0" fontId="30" fillId="3" borderId="5" xfId="1809" applyFill="1" applyBorder="1"/>
    <xf numFmtId="0" fontId="30" fillId="3" borderId="4" xfId="1809" applyFill="1" applyBorder="1"/>
    <xf numFmtId="0" fontId="30" fillId="7" borderId="0" xfId="1809" applyFill="1"/>
    <xf numFmtId="0" fontId="30" fillId="0" borderId="5" xfId="1809" applyBorder="1"/>
    <xf numFmtId="0" fontId="22" fillId="0" borderId="0" xfId="1809" applyFont="1" applyAlignment="1">
      <alignment vertical="center"/>
    </xf>
    <xf numFmtId="0" fontId="9" fillId="0" borderId="0" xfId="1809" applyFont="1" applyAlignment="1">
      <alignment vertical="center"/>
    </xf>
    <xf numFmtId="0" fontId="9" fillId="0" borderId="4" xfId="1809" applyFont="1" applyBorder="1"/>
    <xf numFmtId="10" fontId="27" fillId="0" borderId="5" xfId="1809" applyNumberFormat="1" applyFont="1" applyBorder="1" applyAlignment="1">
      <alignment horizontal="right" vertical="center" wrapText="1"/>
    </xf>
    <xf numFmtId="3" fontId="27" fillId="0" borderId="0" xfId="1809" applyNumberFormat="1" applyFont="1" applyAlignment="1">
      <alignment horizontal="right" vertical="center" wrapText="1"/>
    </xf>
    <xf numFmtId="0" fontId="27" fillId="0" borderId="0" xfId="1809" applyFont="1" applyAlignment="1">
      <alignment vertical="center" wrapText="1"/>
    </xf>
    <xf numFmtId="0" fontId="9" fillId="0" borderId="4" xfId="1809" applyFont="1" applyBorder="1" applyAlignment="1">
      <alignment vertical="center"/>
    </xf>
    <xf numFmtId="10" fontId="27" fillId="3" borderId="5" xfId="1809" applyNumberFormat="1" applyFont="1" applyFill="1" applyBorder="1" applyAlignment="1">
      <alignment horizontal="right" vertical="center" wrapText="1"/>
    </xf>
    <xf numFmtId="3" fontId="27" fillId="3" borderId="0" xfId="1809" applyNumberFormat="1" applyFont="1" applyFill="1" applyAlignment="1">
      <alignment horizontal="right" vertical="center" wrapText="1"/>
    </xf>
    <xf numFmtId="0" fontId="27" fillId="3" borderId="0" xfId="1809" applyFont="1" applyFill="1" applyAlignment="1">
      <alignment vertical="center" wrapText="1"/>
    </xf>
    <xf numFmtId="0" fontId="27" fillId="3" borderId="4" xfId="1809" applyFont="1" applyFill="1" applyBorder="1" applyAlignment="1">
      <alignment vertical="center" wrapText="1"/>
    </xf>
    <xf numFmtId="3" fontId="9" fillId="5" borderId="0" xfId="1809" applyNumberFormat="1" applyFont="1" applyFill="1" applyAlignment="1">
      <alignment horizontal="right" vertical="center" wrapText="1"/>
    </xf>
    <xf numFmtId="3" fontId="9" fillId="5" borderId="104" xfId="1809" applyNumberFormat="1" applyFont="1" applyFill="1" applyBorder="1" applyAlignment="1">
      <alignment horizontal="right" vertical="center" wrapText="1"/>
    </xf>
    <xf numFmtId="0" fontId="9" fillId="5" borderId="0" xfId="1809" applyFont="1" applyFill="1" applyAlignment="1">
      <alignment vertical="center" wrapText="1"/>
    </xf>
    <xf numFmtId="0" fontId="9" fillId="5" borderId="4" xfId="1809" applyFont="1" applyFill="1" applyBorder="1" applyAlignment="1">
      <alignment vertical="center" wrapText="1"/>
    </xf>
    <xf numFmtId="0" fontId="9" fillId="5" borderId="0" xfId="1809" applyFont="1" applyFill="1" applyAlignment="1">
      <alignment horizontal="right" vertical="center" wrapText="1"/>
    </xf>
    <xf numFmtId="3" fontId="9" fillId="5" borderId="103" xfId="1809" applyNumberFormat="1" applyFont="1" applyFill="1" applyBorder="1" applyAlignment="1">
      <alignment vertical="center" wrapText="1"/>
    </xf>
    <xf numFmtId="0" fontId="43" fillId="0" borderId="5" xfId="1809" applyFont="1" applyBorder="1" applyAlignment="1">
      <alignment horizontal="right" vertical="center" wrapText="1"/>
    </xf>
    <xf numFmtId="0" fontId="8" fillId="0" borderId="0" xfId="1809" applyFont="1" applyAlignment="1">
      <alignment horizontal="right" vertical="center" wrapText="1"/>
    </xf>
    <xf numFmtId="0" fontId="8" fillId="0" borderId="103" xfId="1809" applyFont="1" applyBorder="1" applyAlignment="1">
      <alignment horizontal="right" vertical="center" wrapText="1"/>
    </xf>
    <xf numFmtId="0" fontId="30" fillId="0" borderId="0" xfId="1809" applyAlignment="1">
      <alignment vertical="center" wrapText="1"/>
    </xf>
    <xf numFmtId="0" fontId="30" fillId="0" borderId="4" xfId="1809" applyBorder="1" applyAlignment="1">
      <alignment vertical="center" wrapText="1"/>
    </xf>
    <xf numFmtId="0" fontId="43" fillId="19" borderId="5" xfId="1809" applyFont="1" applyFill="1" applyBorder="1" applyAlignment="1">
      <alignment horizontal="right" vertical="center" wrapText="1"/>
    </xf>
    <xf numFmtId="0" fontId="8" fillId="19" borderId="0" xfId="1809" applyFont="1" applyFill="1" applyAlignment="1">
      <alignment horizontal="right" vertical="center" wrapText="1"/>
    </xf>
    <xf numFmtId="0" fontId="8" fillId="130" borderId="25" xfId="1809" applyFont="1" applyFill="1" applyBorder="1" applyAlignment="1">
      <alignment horizontal="right" vertical="center" wrapText="1"/>
    </xf>
    <xf numFmtId="0" fontId="30" fillId="3" borderId="0" xfId="1809" applyFill="1" applyAlignment="1">
      <alignment vertical="center" wrapText="1"/>
    </xf>
    <xf numFmtId="0" fontId="30" fillId="3" borderId="4" xfId="1809" applyFill="1" applyBorder="1" applyAlignment="1">
      <alignment vertical="center" wrapText="1"/>
    </xf>
    <xf numFmtId="0" fontId="7" fillId="3" borderId="0" xfId="1809" applyFont="1" applyFill="1" applyAlignment="1">
      <alignment vertical="center"/>
    </xf>
    <xf numFmtId="0" fontId="41" fillId="3" borderId="0" xfId="1809" applyFont="1" applyFill="1" applyAlignment="1">
      <alignment vertical="center"/>
    </xf>
    <xf numFmtId="0" fontId="344" fillId="3" borderId="4" xfId="1809" applyFont="1" applyFill="1" applyBorder="1" applyAlignment="1">
      <alignment vertical="center"/>
    </xf>
    <xf numFmtId="0" fontId="343" fillId="0" borderId="5" xfId="1809" applyFont="1" applyBorder="1" applyAlignment="1">
      <alignment horizontal="right"/>
    </xf>
    <xf numFmtId="0" fontId="5" fillId="3" borderId="0" xfId="1809" applyFont="1" applyFill="1" applyAlignment="1">
      <alignment vertical="center"/>
    </xf>
    <xf numFmtId="0" fontId="40" fillId="3" borderId="0" xfId="1809" applyFont="1" applyFill="1" applyAlignment="1">
      <alignment vertical="center"/>
    </xf>
    <xf numFmtId="0" fontId="341" fillId="3" borderId="4" xfId="1809" applyFont="1" applyFill="1" applyBorder="1" applyAlignment="1">
      <alignment vertical="center"/>
    </xf>
    <xf numFmtId="0" fontId="9" fillId="5" borderId="0" xfId="1809" applyFont="1" applyFill="1" applyAlignment="1">
      <alignment horizontal="left" vertical="center" wrapText="1" indent="2"/>
    </xf>
    <xf numFmtId="0" fontId="9" fillId="5" borderId="4" xfId="1809" applyFont="1" applyFill="1" applyBorder="1" applyAlignment="1">
      <alignment horizontal="left" vertical="center" wrapText="1" indent="2"/>
    </xf>
    <xf numFmtId="0" fontId="27" fillId="0" borderId="0" xfId="1809" applyFont="1"/>
    <xf numFmtId="1" fontId="9" fillId="5" borderId="0" xfId="1809" applyNumberFormat="1" applyFont="1" applyFill="1" applyAlignment="1">
      <alignment horizontal="right" vertical="center" wrapText="1"/>
    </xf>
    <xf numFmtId="3" fontId="9" fillId="3" borderId="0" xfId="1809" applyNumberFormat="1" applyFont="1" applyFill="1" applyAlignment="1">
      <alignment horizontal="right" vertical="center" wrapText="1"/>
    </xf>
    <xf numFmtId="0" fontId="9" fillId="3" borderId="0" xfId="1809" applyFont="1" applyFill="1" applyAlignment="1">
      <alignment vertical="center" wrapText="1"/>
    </xf>
    <xf numFmtId="0" fontId="9" fillId="3" borderId="4" xfId="1809" applyFont="1" applyFill="1" applyBorder="1" applyAlignment="1">
      <alignment vertical="center" wrapText="1"/>
    </xf>
    <xf numFmtId="0" fontId="8" fillId="130" borderId="0" xfId="1809" applyFont="1" applyFill="1" applyAlignment="1">
      <alignment horizontal="right" vertical="center" wrapText="1"/>
    </xf>
    <xf numFmtId="0" fontId="6" fillId="3" borderId="0" xfId="1809" applyFont="1" applyFill="1" applyAlignment="1">
      <alignment vertical="center"/>
    </xf>
    <xf numFmtId="0" fontId="48" fillId="3" borderId="5" xfId="1809" applyFont="1" applyFill="1" applyBorder="1" applyAlignment="1">
      <alignment wrapText="1"/>
    </xf>
    <xf numFmtId="0" fontId="4" fillId="3" borderId="0" xfId="1809" applyFont="1" applyFill="1" applyAlignment="1">
      <alignment vertical="center"/>
    </xf>
    <xf numFmtId="0" fontId="9" fillId="0" borderId="0" xfId="1809" applyFont="1"/>
    <xf numFmtId="0" fontId="27" fillId="3" borderId="5" xfId="1809" applyFont="1" applyFill="1" applyBorder="1" applyAlignment="1">
      <alignment vertical="center" wrapText="1"/>
    </xf>
    <xf numFmtId="168" fontId="27" fillId="3" borderId="0" xfId="1809" applyNumberFormat="1" applyFont="1" applyFill="1" applyAlignment="1">
      <alignment vertical="center" wrapText="1"/>
    </xf>
    <xf numFmtId="171" fontId="9" fillId="5" borderId="0" xfId="1809" applyNumberFormat="1" applyFont="1" applyFill="1" applyAlignment="1">
      <alignment horizontal="right" vertical="center" wrapText="1"/>
    </xf>
    <xf numFmtId="43" fontId="9" fillId="5" borderId="0" xfId="1809" applyNumberFormat="1" applyFont="1" applyFill="1" applyAlignment="1">
      <alignment horizontal="right" vertical="center" wrapText="1"/>
    </xf>
    <xf numFmtId="0" fontId="19" fillId="5" borderId="4" xfId="1809" applyFont="1" applyFill="1" applyBorder="1" applyAlignment="1">
      <alignment horizontal="left" vertical="center" wrapText="1" indent="1"/>
    </xf>
    <xf numFmtId="0" fontId="19" fillId="5" borderId="4" xfId="1809" applyFont="1" applyFill="1" applyBorder="1" applyAlignment="1">
      <alignment horizontal="left" vertical="center" indent="1"/>
    </xf>
    <xf numFmtId="171" fontId="9" fillId="0" borderId="0" xfId="1809" applyNumberFormat="1" applyFont="1" applyAlignment="1">
      <alignment horizontal="right" vertical="center" wrapText="1"/>
    </xf>
    <xf numFmtId="0" fontId="9" fillId="0" borderId="4" xfId="1809" applyFont="1" applyBorder="1" applyAlignment="1">
      <alignment vertical="center" wrapText="1"/>
    </xf>
    <xf numFmtId="0" fontId="26" fillId="0" borderId="0" xfId="1809" applyFont="1"/>
    <xf numFmtId="0" fontId="9" fillId="5" borderId="4" xfId="1809" applyFont="1" applyFill="1" applyBorder="1" applyAlignment="1">
      <alignment horizontal="left" vertical="center" wrapText="1" indent="1"/>
    </xf>
    <xf numFmtId="3" fontId="9" fillId="0" borderId="0" xfId="1809" applyNumberFormat="1" applyFont="1" applyAlignment="1">
      <alignment horizontal="right" vertical="center" wrapText="1"/>
    </xf>
    <xf numFmtId="0" fontId="9" fillId="5" borderId="4" xfId="1809" applyFont="1" applyFill="1" applyBorder="1" applyAlignment="1">
      <alignment horizontal="left" vertical="center" wrapText="1" indent="3"/>
    </xf>
    <xf numFmtId="0" fontId="26" fillId="3" borderId="0" xfId="1809" applyFont="1" applyFill="1"/>
    <xf numFmtId="3" fontId="9" fillId="3" borderId="103" xfId="1809" applyNumberFormat="1" applyFont="1" applyFill="1" applyBorder="1" applyAlignment="1">
      <alignment horizontal="right" vertical="center" wrapText="1"/>
    </xf>
    <xf numFmtId="0" fontId="41" fillId="3" borderId="0" xfId="1809" applyFont="1" applyFill="1" applyAlignment="1">
      <alignment vertical="center" wrapText="1"/>
    </xf>
    <xf numFmtId="0" fontId="25" fillId="3" borderId="0" xfId="1809" applyFont="1" applyFill="1" applyAlignment="1">
      <alignment vertical="center" wrapText="1"/>
    </xf>
    <xf numFmtId="0" fontId="25" fillId="3" borderId="4" xfId="1809" applyFont="1" applyFill="1" applyBorder="1" applyAlignment="1">
      <alignment vertical="center" wrapText="1"/>
    </xf>
    <xf numFmtId="0" fontId="24" fillId="3" borderId="0" xfId="1809" applyFont="1" applyFill="1" applyAlignment="1">
      <alignment vertical="center" wrapText="1"/>
    </xf>
    <xf numFmtId="0" fontId="24" fillId="3" borderId="4" xfId="1809" applyFont="1" applyFill="1" applyBorder="1" applyAlignment="1">
      <alignment vertical="center" wrapText="1"/>
    </xf>
    <xf numFmtId="0" fontId="6" fillId="0" borderId="0" xfId="1809" applyFont="1" applyAlignment="1">
      <alignment vertical="center"/>
    </xf>
    <xf numFmtId="0" fontId="7" fillId="0" borderId="0" xfId="1809" applyFont="1" applyAlignment="1">
      <alignment vertical="center"/>
    </xf>
    <xf numFmtId="0" fontId="22" fillId="3" borderId="0" xfId="1809" applyFont="1" applyFill="1" applyAlignment="1">
      <alignment vertical="center"/>
    </xf>
    <xf numFmtId="0" fontId="22" fillId="3" borderId="4" xfId="1809" applyFont="1" applyFill="1" applyBorder="1" applyAlignment="1">
      <alignment vertical="center"/>
    </xf>
    <xf numFmtId="0" fontId="12" fillId="3" borderId="5" xfId="1809" applyFont="1" applyFill="1" applyBorder="1"/>
    <xf numFmtId="0" fontId="12" fillId="3" borderId="0" xfId="1809" applyFont="1" applyFill="1"/>
    <xf numFmtId="0" fontId="9" fillId="3" borderId="0" xfId="1809" applyFont="1" applyFill="1" applyAlignment="1">
      <alignment vertical="center"/>
    </xf>
    <xf numFmtId="0" fontId="9" fillId="3" borderId="4" xfId="1809" applyFont="1" applyFill="1" applyBorder="1" applyAlignment="1">
      <alignment vertical="center"/>
    </xf>
    <xf numFmtId="0" fontId="9" fillId="3" borderId="0" xfId="1809" applyFont="1" applyFill="1" applyAlignment="1">
      <alignment horizontal="right" vertical="center" wrapText="1"/>
    </xf>
    <xf numFmtId="0" fontId="9" fillId="131" borderId="0" xfId="1809" applyFont="1" applyFill="1" applyAlignment="1">
      <alignment vertical="center" wrapText="1"/>
    </xf>
    <xf numFmtId="0" fontId="9" fillId="131" borderId="4" xfId="1809" applyFont="1" applyFill="1" applyBorder="1" applyAlignment="1">
      <alignment vertical="center"/>
    </xf>
    <xf numFmtId="0" fontId="9" fillId="131" borderId="0" xfId="1809" applyFont="1" applyFill="1" applyAlignment="1">
      <alignment horizontal="left" vertical="center" wrapText="1" indent="2"/>
    </xf>
    <xf numFmtId="37" fontId="9" fillId="5" borderId="0" xfId="1809" applyNumberFormat="1" applyFont="1" applyFill="1" applyAlignment="1">
      <alignment horizontal="right" vertical="center" wrapText="1"/>
    </xf>
    <xf numFmtId="0" fontId="7" fillId="3" borderId="4" xfId="1809" applyFont="1" applyFill="1" applyBorder="1" applyAlignment="1">
      <alignment vertical="center" wrapText="1"/>
    </xf>
    <xf numFmtId="0" fontId="21" fillId="3" borderId="0" xfId="1809" applyFont="1" applyFill="1" applyAlignment="1">
      <alignment vertical="center"/>
    </xf>
    <xf numFmtId="0" fontId="21" fillId="3" borderId="4" xfId="1809" applyFont="1" applyFill="1" applyBorder="1" applyAlignment="1">
      <alignment vertical="center"/>
    </xf>
    <xf numFmtId="0" fontId="9" fillId="5" borderId="0" xfId="1809" applyFont="1" applyFill="1" applyAlignment="1">
      <alignment vertical="center"/>
    </xf>
    <xf numFmtId="0" fontId="9" fillId="5" borderId="4" xfId="1809" applyFont="1" applyFill="1" applyBorder="1" applyAlignment="1">
      <alignment vertical="center"/>
    </xf>
    <xf numFmtId="0" fontId="9" fillId="0" borderId="0" xfId="1809" applyFont="1" applyAlignment="1">
      <alignment vertical="center" wrapText="1"/>
    </xf>
    <xf numFmtId="0" fontId="16" fillId="19" borderId="0" xfId="1809" applyFont="1" applyFill="1"/>
    <xf numFmtId="0" fontId="16" fillId="19" borderId="0" xfId="1809" applyFont="1" applyFill="1" applyAlignment="1">
      <alignment vertical="center"/>
    </xf>
    <xf numFmtId="0" fontId="16" fillId="19" borderId="4" xfId="1809" applyFont="1" applyFill="1" applyBorder="1" applyAlignment="1">
      <alignment vertical="center"/>
    </xf>
    <xf numFmtId="0" fontId="20" fillId="6" borderId="5" xfId="1809" applyFont="1" applyFill="1" applyBorder="1" applyAlignment="1">
      <alignment horizontal="right" vertical="center" wrapText="1"/>
    </xf>
    <xf numFmtId="0" fontId="20" fillId="6" borderId="0" xfId="1809" applyFont="1" applyFill="1" applyAlignment="1">
      <alignment horizontal="right" vertical="center" wrapText="1"/>
    </xf>
    <xf numFmtId="3" fontId="19" fillId="6" borderId="0" xfId="1809" applyNumberFormat="1" applyFont="1" applyFill="1" applyAlignment="1">
      <alignment horizontal="right" vertical="center" wrapText="1"/>
    </xf>
    <xf numFmtId="168" fontId="20" fillId="6" borderId="103" xfId="1809" applyNumberFormat="1" applyFont="1" applyFill="1" applyBorder="1" applyAlignment="1">
      <alignment horizontal="right" vertical="center" wrapText="1"/>
    </xf>
    <xf numFmtId="0" fontId="15" fillId="6" borderId="0" xfId="1809" applyFont="1" applyFill="1" applyAlignment="1">
      <alignment vertical="center" wrapText="1"/>
    </xf>
    <xf numFmtId="0" fontId="15" fillId="6" borderId="4" xfId="1809" applyFont="1" applyFill="1" applyBorder="1" applyAlignment="1">
      <alignment vertical="center" wrapText="1"/>
    </xf>
    <xf numFmtId="170" fontId="30" fillId="0" borderId="0" xfId="1809" applyNumberFormat="1"/>
    <xf numFmtId="43" fontId="30" fillId="0" borderId="0" xfId="1809" applyNumberFormat="1"/>
    <xf numFmtId="172" fontId="30" fillId="3" borderId="0" xfId="1809" applyNumberFormat="1" applyFill="1"/>
    <xf numFmtId="0" fontId="20" fillId="6" borderId="103" xfId="1809" applyFont="1" applyFill="1" applyBorder="1" applyAlignment="1">
      <alignment horizontal="right" vertical="center" wrapText="1"/>
    </xf>
    <xf numFmtId="0" fontId="18" fillId="6" borderId="0" xfId="1809" applyFont="1" applyFill="1" applyAlignment="1">
      <alignment vertical="center" wrapText="1"/>
    </xf>
    <xf numFmtId="0" fontId="18" fillId="6" borderId="4" xfId="1809" applyFont="1" applyFill="1" applyBorder="1" applyAlignment="1">
      <alignment vertical="center" wrapText="1"/>
    </xf>
    <xf numFmtId="0" fontId="17" fillId="6" borderId="0" xfId="1809" applyFont="1" applyFill="1" applyAlignment="1">
      <alignment horizontal="right" vertical="center" wrapText="1"/>
    </xf>
    <xf numFmtId="0" fontId="11" fillId="6" borderId="103" xfId="1809" applyFont="1" applyFill="1" applyBorder="1" applyAlignment="1">
      <alignment horizontal="right" vertical="center" wrapText="1"/>
    </xf>
    <xf numFmtId="168" fontId="30" fillId="0" borderId="0" xfId="1809" applyNumberFormat="1"/>
    <xf numFmtId="167" fontId="0" fillId="3" borderId="0" xfId="3073" applyNumberFormat="1" applyFont="1" applyFill="1"/>
    <xf numFmtId="167" fontId="0" fillId="0" borderId="0" xfId="3073" applyNumberFormat="1" applyFont="1"/>
    <xf numFmtId="0" fontId="16" fillId="6" borderId="103" xfId="1809" applyFont="1" applyFill="1" applyBorder="1" applyAlignment="1">
      <alignment horizontal="right" vertical="center" wrapText="1"/>
    </xf>
    <xf numFmtId="0" fontId="43" fillId="19" borderId="0" xfId="1809" applyFont="1" applyFill="1" applyAlignment="1">
      <alignment horizontal="right" vertical="center" wrapText="1"/>
    </xf>
    <xf numFmtId="0" fontId="14" fillId="3" borderId="0" xfId="1809" applyFont="1" applyFill="1" applyAlignment="1">
      <alignment vertical="center" wrapText="1"/>
    </xf>
    <xf numFmtId="0" fontId="14" fillId="3" borderId="4" xfId="1809" applyFont="1" applyFill="1" applyBorder="1" applyAlignment="1">
      <alignment vertical="center" wrapText="1"/>
    </xf>
    <xf numFmtId="0" fontId="343" fillId="0" borderId="0" xfId="1809" applyFont="1" applyAlignment="1">
      <alignment wrapText="1"/>
    </xf>
    <xf numFmtId="0" fontId="4" fillId="0" borderId="0" xfId="1809" applyFont="1" applyAlignment="1">
      <alignment vertical="center"/>
    </xf>
    <xf numFmtId="0" fontId="5" fillId="0" borderId="0" xfId="1809" applyFont="1" applyAlignment="1">
      <alignment vertical="center"/>
    </xf>
    <xf numFmtId="0" fontId="40" fillId="0" borderId="0" xfId="1809" applyFont="1" applyAlignment="1">
      <alignment vertical="center"/>
    </xf>
    <xf numFmtId="0" fontId="341" fillId="0" borderId="4" xfId="1809" applyFont="1" applyBorder="1" applyAlignment="1">
      <alignment vertical="center"/>
    </xf>
    <xf numFmtId="0" fontId="347" fillId="0" borderId="5" xfId="1809" applyFont="1" applyBorder="1"/>
    <xf numFmtId="0" fontId="347" fillId="0" borderId="0" xfId="1809" applyFont="1"/>
    <xf numFmtId="0" fontId="347" fillId="0" borderId="4" xfId="1809" applyFont="1" applyBorder="1"/>
    <xf numFmtId="0" fontId="19" fillId="0" borderId="4" xfId="1809" applyFont="1" applyBorder="1"/>
    <xf numFmtId="3" fontId="9" fillId="5" borderId="4" xfId="1809" applyNumberFormat="1" applyFont="1" applyFill="1" applyBorder="1" applyAlignment="1">
      <alignment horizontal="right" vertical="center" wrapText="1"/>
    </xf>
    <xf numFmtId="0" fontId="9" fillId="5" borderId="103" xfId="1809" applyFont="1" applyFill="1" applyBorder="1" applyAlignment="1">
      <alignment horizontal="right" vertical="center" wrapText="1"/>
    </xf>
    <xf numFmtId="167" fontId="30" fillId="0" borderId="0" xfId="1809" applyNumberFormat="1"/>
    <xf numFmtId="170" fontId="30" fillId="3" borderId="0" xfId="1809" applyNumberFormat="1" applyFill="1"/>
    <xf numFmtId="9" fontId="0" fillId="3" borderId="0" xfId="3073" applyFont="1" applyFill="1"/>
    <xf numFmtId="169" fontId="30" fillId="3" borderId="0" xfId="1809" applyNumberFormat="1" applyFill="1"/>
    <xf numFmtId="0" fontId="62" fillId="130" borderId="0" xfId="1809" applyFont="1" applyFill="1" applyAlignment="1">
      <alignment horizontal="right" vertical="center" wrapText="1"/>
    </xf>
    <xf numFmtId="0" fontId="7" fillId="3" borderId="4" xfId="1809" applyFont="1" applyFill="1" applyBorder="1" applyAlignment="1">
      <alignment vertical="center"/>
    </xf>
    <xf numFmtId="0" fontId="42" fillId="3" borderId="0" xfId="1809" applyFont="1" applyFill="1" applyAlignment="1">
      <alignment vertical="center" wrapText="1"/>
    </xf>
    <xf numFmtId="0" fontId="22" fillId="0" borderId="0" xfId="1809" applyFont="1"/>
    <xf numFmtId="0" fontId="347" fillId="3" borderId="5" xfId="1809" applyFont="1" applyFill="1" applyBorder="1"/>
    <xf numFmtId="0" fontId="347" fillId="3" borderId="0" xfId="1809" applyFont="1" applyFill="1"/>
    <xf numFmtId="0" fontId="347" fillId="3" borderId="4" xfId="1809" applyFont="1" applyFill="1" applyBorder="1"/>
    <xf numFmtId="0" fontId="89" fillId="3" borderId="0" xfId="1809" applyFont="1" applyFill="1"/>
    <xf numFmtId="0" fontId="89" fillId="3" borderId="4" xfId="1809" applyFont="1" applyFill="1" applyBorder="1"/>
    <xf numFmtId="0" fontId="341" fillId="7" borderId="4" xfId="0" applyFont="1" applyFill="1" applyBorder="1" applyAlignment="1">
      <alignment vertical="center"/>
    </xf>
    <xf numFmtId="0" fontId="9" fillId="5" borderId="0" xfId="1809" applyFont="1" applyFill="1" applyAlignment="1">
      <alignment horizontal="left" vertical="center" wrapText="1"/>
    </xf>
    <xf numFmtId="0" fontId="62" fillId="137" borderId="0" xfId="1809" applyFont="1" applyFill="1" applyAlignment="1">
      <alignment horizontal="right" vertical="center" wrapText="1"/>
    </xf>
    <xf numFmtId="3" fontId="9" fillId="140" borderId="103" xfId="1809" applyNumberFormat="1" applyFont="1" applyFill="1" applyBorder="1" applyAlignment="1">
      <alignment horizontal="right" vertical="center" wrapText="1"/>
    </xf>
    <xf numFmtId="168" fontId="9" fillId="140" borderId="103" xfId="4971" applyNumberFormat="1" applyFont="1" applyFill="1" applyBorder="1" applyAlignment="1">
      <alignment horizontal="right" vertical="center" wrapText="1"/>
    </xf>
    <xf numFmtId="9" fontId="62" fillId="137" borderId="0" xfId="1" applyFont="1" applyFill="1" applyAlignment="1">
      <alignment horizontal="right" vertical="center" wrapText="1"/>
    </xf>
    <xf numFmtId="9" fontId="9" fillId="5" borderId="103" xfId="1" applyFont="1" applyFill="1" applyBorder="1" applyAlignment="1">
      <alignment horizontal="right" vertical="center" wrapText="1"/>
    </xf>
    <xf numFmtId="9" fontId="9" fillId="3" borderId="103" xfId="1" applyFont="1" applyFill="1" applyBorder="1" applyAlignment="1">
      <alignment horizontal="right" vertical="center" wrapText="1"/>
    </xf>
    <xf numFmtId="9" fontId="20" fillId="6" borderId="103" xfId="1" applyFont="1" applyFill="1" applyBorder="1" applyAlignment="1">
      <alignment horizontal="right" vertical="center" wrapText="1"/>
    </xf>
    <xf numFmtId="9" fontId="9" fillId="5" borderId="104" xfId="1" applyFont="1" applyFill="1" applyBorder="1" applyAlignment="1">
      <alignment horizontal="right" vertical="center" wrapText="1"/>
    </xf>
    <xf numFmtId="167" fontId="9" fillId="140" borderId="103" xfId="1" applyNumberFormat="1" applyFont="1" applyFill="1" applyBorder="1" applyAlignment="1">
      <alignment horizontal="right" vertical="center" wrapText="1"/>
    </xf>
    <xf numFmtId="0" fontId="28" fillId="0" borderId="0" xfId="0" applyFont="1"/>
    <xf numFmtId="165" fontId="0" fillId="140" borderId="0" xfId="2" applyNumberFormat="1" applyFont="1" applyFill="1"/>
    <xf numFmtId="165" fontId="0" fillId="0" borderId="0" xfId="2" quotePrefix="1" applyNumberFormat="1" applyFont="1" applyAlignment="1"/>
    <xf numFmtId="165" fontId="0" fillId="0" borderId="0" xfId="2" applyNumberFormat="1" applyFont="1" applyAlignment="1"/>
    <xf numFmtId="165" fontId="2" fillId="0" borderId="0" xfId="0" applyNumberFormat="1" applyFont="1"/>
    <xf numFmtId="165" fontId="0" fillId="8" borderId="0" xfId="2" applyNumberFormat="1" applyFont="1" applyFill="1"/>
    <xf numFmtId="0" fontId="0" fillId="8" borderId="0" xfId="0" applyFill="1" applyAlignment="1">
      <alignment horizontal="left"/>
    </xf>
    <xf numFmtId="164" fontId="0" fillId="8" borderId="0" xfId="0" applyNumberFormat="1" applyFill="1"/>
    <xf numFmtId="0" fontId="9" fillId="3" borderId="14" xfId="0" applyFont="1" applyFill="1" applyBorder="1" applyAlignment="1">
      <alignment vertical="center" wrapText="1"/>
    </xf>
    <xf numFmtId="9" fontId="9" fillId="3" borderId="15" xfId="1" applyFont="1" applyFill="1" applyBorder="1" applyAlignment="1">
      <alignment horizontal="right" vertical="center" wrapText="1"/>
    </xf>
    <xf numFmtId="174" fontId="0" fillId="7" borderId="0" xfId="0" applyNumberFormat="1" applyFill="1"/>
    <xf numFmtId="174" fontId="0" fillId="7" borderId="15" xfId="0" applyNumberFormat="1" applyFill="1" applyBorder="1"/>
    <xf numFmtId="0" fontId="9" fillId="0" borderId="14" xfId="0" applyFont="1" applyBorder="1" applyAlignment="1">
      <alignment vertical="center" wrapText="1"/>
    </xf>
    <xf numFmtId="9" fontId="9" fillId="0" borderId="15" xfId="1" applyFont="1" applyBorder="1" applyAlignment="1">
      <alignment horizontal="right" vertical="center" wrapText="1"/>
    </xf>
    <xf numFmtId="0" fontId="9" fillId="5" borderId="14" xfId="0" applyFont="1" applyFill="1" applyBorder="1" applyAlignment="1">
      <alignment horizontal="left" vertical="center" wrapText="1" indent="1"/>
    </xf>
    <xf numFmtId="9" fontId="9" fillId="5" borderId="15" xfId="1" applyFont="1" applyFill="1" applyBorder="1" applyAlignment="1">
      <alignment horizontal="right" vertical="center" wrapText="1"/>
    </xf>
    <xf numFmtId="0" fontId="18" fillId="5" borderId="14" xfId="0" applyFont="1" applyFill="1" applyBorder="1" applyAlignment="1">
      <alignment horizontal="left" vertical="center" wrapText="1" indent="1"/>
    </xf>
    <xf numFmtId="9" fontId="18" fillId="5" borderId="15" xfId="1" applyFont="1" applyFill="1" applyBorder="1" applyAlignment="1">
      <alignment horizontal="right" vertical="center" wrapText="1"/>
    </xf>
    <xf numFmtId="0" fontId="18" fillId="5" borderId="14" xfId="0" applyFont="1" applyFill="1" applyBorder="1" applyAlignment="1">
      <alignment horizontal="left" vertical="center" wrapText="1" indent="3"/>
    </xf>
    <xf numFmtId="0" fontId="9" fillId="5" borderId="14" xfId="0" applyFont="1" applyFill="1" applyBorder="1" applyAlignment="1">
      <alignment vertical="center" wrapText="1"/>
    </xf>
    <xf numFmtId="0" fontId="9" fillId="5" borderId="14" xfId="0" applyFont="1" applyFill="1" applyBorder="1" applyAlignment="1">
      <alignment horizontal="left" vertical="center" wrapText="1" indent="2"/>
    </xf>
    <xf numFmtId="174" fontId="0" fillId="7" borderId="0" xfId="2" applyNumberFormat="1" applyFont="1" applyFill="1"/>
    <xf numFmtId="0" fontId="19" fillId="5" borderId="14" xfId="0" applyFont="1" applyFill="1" applyBorder="1" applyAlignment="1">
      <alignment horizontal="left" vertical="center" wrapText="1" indent="1"/>
    </xf>
    <xf numFmtId="0" fontId="19" fillId="5" borderId="10" xfId="0" applyFont="1" applyFill="1" applyBorder="1" applyAlignment="1">
      <alignment horizontal="left" vertical="center" wrapText="1" indent="1"/>
    </xf>
    <xf numFmtId="9" fontId="9" fillId="5" borderId="8" xfId="1" applyFont="1" applyFill="1" applyBorder="1" applyAlignment="1">
      <alignment horizontal="right" vertical="center" wrapText="1"/>
    </xf>
    <xf numFmtId="0" fontId="0" fillId="7" borderId="0" xfId="0" pivotButton="1" applyFill="1"/>
    <xf numFmtId="0" fontId="8" fillId="19" borderId="52" xfId="0" pivotButton="1" applyFont="1" applyFill="1" applyBorder="1" applyAlignment="1">
      <alignment horizontal="right" vertical="center" wrapText="1"/>
    </xf>
    <xf numFmtId="9" fontId="8" fillId="19" borderId="116" xfId="1" pivotButton="1" applyFont="1" applyFill="1" applyBorder="1" applyAlignment="1">
      <alignment horizontal="right" vertical="center" wrapText="1"/>
    </xf>
    <xf numFmtId="0" fontId="358" fillId="142" borderId="117" xfId="0" applyFont="1" applyFill="1" applyBorder="1"/>
    <xf numFmtId="0" fontId="358" fillId="142" borderId="118" xfId="0" applyFont="1" applyFill="1" applyBorder="1"/>
    <xf numFmtId="0" fontId="0" fillId="0" borderId="7" xfId="0" applyBorder="1" applyAlignment="1">
      <alignment horizontal="left"/>
    </xf>
    <xf numFmtId="3" fontId="0" fillId="0" borderId="7" xfId="0" applyNumberFormat="1" applyBorder="1"/>
    <xf numFmtId="0" fontId="358" fillId="142" borderId="0" xfId="0" applyFont="1" applyFill="1"/>
    <xf numFmtId="165" fontId="358" fillId="142" borderId="117" xfId="2" applyNumberFormat="1" applyFont="1" applyFill="1" applyBorder="1"/>
    <xf numFmtId="0" fontId="358" fillId="142" borderId="118" xfId="0" applyFont="1" applyFill="1" applyBorder="1" applyAlignment="1">
      <alignment wrapText="1"/>
    </xf>
    <xf numFmtId="0" fontId="0" fillId="0" borderId="20" xfId="0" applyBorder="1"/>
    <xf numFmtId="0" fontId="358" fillId="142" borderId="0" xfId="0" applyFont="1" applyFill="1" applyAlignment="1">
      <alignment wrapText="1"/>
    </xf>
    <xf numFmtId="0" fontId="0" fillId="0" borderId="82" xfId="0" applyBorder="1" applyAlignment="1">
      <alignment horizontal="left"/>
    </xf>
    <xf numFmtId="174" fontId="0" fillId="0" borderId="82" xfId="0" applyNumberFormat="1" applyBorder="1"/>
    <xf numFmtId="174" fontId="2" fillId="7" borderId="52" xfId="0" applyNumberFormat="1" applyFont="1" applyFill="1" applyBorder="1"/>
    <xf numFmtId="174" fontId="2" fillId="7" borderId="116" xfId="0" applyNumberFormat="1" applyFont="1" applyFill="1" applyBorder="1"/>
    <xf numFmtId="0" fontId="0" fillId="0" borderId="82" xfId="0" applyBorder="1" applyAlignment="1">
      <alignment horizontal="left" indent="1"/>
    </xf>
    <xf numFmtId="174" fontId="0" fillId="0" borderId="23" xfId="0" applyNumberFormat="1" applyBorder="1"/>
    <xf numFmtId="174" fontId="2" fillId="7" borderId="115" xfId="0" applyNumberFormat="1" applyFont="1" applyFill="1" applyBorder="1"/>
    <xf numFmtId="0" fontId="0" fillId="0" borderId="22" xfId="0" applyBorder="1" applyAlignment="1">
      <alignment horizontal="left" indent="1"/>
    </xf>
    <xf numFmtId="0" fontId="0" fillId="0" borderId="23" xfId="0" applyBorder="1" applyAlignment="1">
      <alignment horizontal="left" indent="1"/>
    </xf>
    <xf numFmtId="0" fontId="0" fillId="0" borderId="66" xfId="0" applyBorder="1" applyAlignment="1">
      <alignment horizontal="left" indent="1"/>
    </xf>
    <xf numFmtId="174" fontId="2" fillId="129" borderId="52" xfId="0" applyNumberFormat="1" applyFont="1" applyFill="1" applyBorder="1"/>
    <xf numFmtId="174" fontId="2" fillId="129" borderId="116" xfId="0" applyNumberFormat="1" applyFont="1" applyFill="1" applyBorder="1"/>
    <xf numFmtId="0" fontId="0" fillId="0" borderId="82" xfId="0" pivotButton="1" applyBorder="1"/>
    <xf numFmtId="174" fontId="2" fillId="129" borderId="13" xfId="0" pivotButton="1" applyNumberFormat="1" applyFont="1" applyFill="1" applyBorder="1"/>
    <xf numFmtId="165" fontId="358" fillId="142" borderId="118" xfId="2" applyNumberFormat="1" applyFont="1" applyFill="1" applyBorder="1"/>
    <xf numFmtId="174" fontId="2" fillId="0" borderId="1" xfId="2" applyNumberFormat="1" applyFont="1" applyBorder="1"/>
    <xf numFmtId="165" fontId="359" fillId="0" borderId="0" xfId="2" applyNumberFormat="1" applyFont="1"/>
    <xf numFmtId="0" fontId="2" fillId="0" borderId="0" xfId="0" applyFont="1" applyAlignment="1">
      <alignment wrapText="1"/>
    </xf>
    <xf numFmtId="9" fontId="0" fillId="0" borderId="0" xfId="1" applyFont="1" applyBorder="1"/>
    <xf numFmtId="0" fontId="0" fillId="143" borderId="0" xfId="0" applyFill="1"/>
    <xf numFmtId="1" fontId="0" fillId="0" borderId="0" xfId="0" applyNumberFormat="1"/>
    <xf numFmtId="165" fontId="30" fillId="56" borderId="0" xfId="161" applyNumberFormat="1"/>
    <xf numFmtId="165" fontId="30" fillId="56" borderId="117" xfId="161" applyNumberFormat="1" applyBorder="1"/>
    <xf numFmtId="165" fontId="110" fillId="53" borderId="0" xfId="3858" applyNumberFormat="1"/>
    <xf numFmtId="0" fontId="343" fillId="7" borderId="5" xfId="0" applyFont="1" applyFill="1" applyBorder="1" applyAlignment="1">
      <alignment horizontal="right"/>
    </xf>
    <xf numFmtId="0" fontId="12" fillId="0" borderId="5" xfId="0" applyFont="1" applyBorder="1"/>
    <xf numFmtId="0" fontId="12" fillId="0" borderId="0" xfId="1809" applyFont="1"/>
    <xf numFmtId="0" fontId="12" fillId="0" borderId="5" xfId="1809" applyFont="1" applyBorder="1"/>
    <xf numFmtId="0" fontId="0" fillId="0" borderId="96" xfId="0" applyBorder="1"/>
    <xf numFmtId="0" fontId="32" fillId="10" borderId="96" xfId="0" applyFont="1" applyFill="1" applyBorder="1"/>
    <xf numFmtId="0" fontId="16" fillId="19" borderId="90" xfId="0" applyFont="1" applyFill="1" applyBorder="1" applyAlignment="1">
      <alignment vertical="center" wrapText="1"/>
    </xf>
    <xf numFmtId="0" fontId="16" fillId="19" borderId="120" xfId="0" applyFont="1" applyFill="1" applyBorder="1" applyAlignment="1">
      <alignment vertical="center" wrapText="1"/>
    </xf>
    <xf numFmtId="165" fontId="9" fillId="0" borderId="59" xfId="2" applyNumberFormat="1" applyFont="1" applyBorder="1" applyAlignment="1">
      <alignment vertical="center"/>
    </xf>
    <xf numFmtId="9" fontId="9" fillId="0" borderId="68" xfId="1" applyFont="1" applyBorder="1" applyAlignment="1">
      <alignment vertical="center"/>
    </xf>
    <xf numFmtId="165" fontId="9" fillId="5" borderId="59" xfId="2" applyNumberFormat="1" applyFont="1" applyFill="1" applyBorder="1" applyAlignment="1">
      <alignment vertical="center"/>
    </xf>
    <xf numFmtId="9" fontId="9" fillId="5" borderId="68" xfId="1" applyFont="1" applyFill="1" applyBorder="1" applyAlignment="1">
      <alignment vertical="center"/>
    </xf>
    <xf numFmtId="165" fontId="9" fillId="5" borderId="60" xfId="2" applyNumberFormat="1" applyFont="1" applyFill="1" applyBorder="1" applyAlignment="1">
      <alignment vertical="center"/>
    </xf>
    <xf numFmtId="9" fontId="9" fillId="5" borderId="70" xfId="1" applyFont="1" applyFill="1" applyBorder="1" applyAlignment="1">
      <alignment vertical="center"/>
    </xf>
    <xf numFmtId="165" fontId="9" fillId="0" borderId="0" xfId="2" applyNumberFormat="1" applyFont="1" applyFill="1" applyBorder="1" applyAlignment="1">
      <alignment vertical="center"/>
    </xf>
    <xf numFmtId="9" fontId="9" fillId="0" borderId="0" xfId="1" applyFont="1" applyFill="1" applyBorder="1" applyAlignment="1">
      <alignment vertical="center"/>
    </xf>
    <xf numFmtId="9" fontId="12" fillId="0" borderId="5" xfId="1" applyFont="1" applyBorder="1"/>
    <xf numFmtId="168" fontId="9" fillId="5" borderId="28" xfId="10" applyNumberFormat="1" applyFont="1" applyFill="1" applyBorder="1" applyAlignment="1">
      <alignment horizontal="right" vertical="center" wrapText="1"/>
    </xf>
    <xf numFmtId="168" fontId="9" fillId="0" borderId="27" xfId="4" applyNumberFormat="1" applyFont="1" applyBorder="1" applyAlignment="1">
      <alignment horizontal="right" vertical="center" wrapText="1"/>
    </xf>
    <xf numFmtId="168" fontId="9" fillId="5" borderId="27" xfId="4" applyNumberFormat="1" applyFont="1" applyFill="1" applyBorder="1" applyAlignment="1">
      <alignment horizontal="right" vertical="center" wrapText="1"/>
    </xf>
    <xf numFmtId="171" fontId="9" fillId="5" borderId="27" xfId="4" applyNumberFormat="1" applyFont="1" applyFill="1" applyBorder="1" applyAlignment="1">
      <alignment horizontal="right" vertical="center" wrapText="1"/>
    </xf>
    <xf numFmtId="43" fontId="9" fillId="5" borderId="28" xfId="4" applyNumberFormat="1" applyFont="1" applyFill="1" applyBorder="1" applyAlignment="1">
      <alignment horizontal="right" vertical="center" wrapText="1"/>
    </xf>
    <xf numFmtId="0" fontId="9" fillId="0" borderId="4" xfId="0" applyFont="1" applyBorder="1" applyAlignment="1">
      <alignment horizontal="left" vertical="center" wrapText="1" indent="1"/>
    </xf>
    <xf numFmtId="0" fontId="16" fillId="19" borderId="27" xfId="0" applyFont="1" applyFill="1" applyBorder="1" applyAlignment="1">
      <alignment vertical="center" wrapText="1"/>
    </xf>
    <xf numFmtId="0" fontId="347" fillId="3" borderId="0" xfId="0" applyFont="1" applyFill="1"/>
    <xf numFmtId="0" fontId="347" fillId="0" borderId="0" xfId="0" applyFont="1"/>
    <xf numFmtId="0" fontId="4" fillId="3" borderId="0" xfId="0" applyFont="1" applyFill="1" applyAlignment="1">
      <alignment vertical="center"/>
    </xf>
    <xf numFmtId="0" fontId="40" fillId="0" borderId="0" xfId="0" applyFont="1" applyAlignment="1">
      <alignment vertical="center"/>
    </xf>
    <xf numFmtId="0" fontId="5" fillId="3" borderId="0" xfId="0" applyFont="1" applyFill="1" applyAlignment="1">
      <alignment vertical="center"/>
    </xf>
    <xf numFmtId="0" fontId="6" fillId="3" borderId="0" xfId="0" applyFont="1" applyFill="1" applyAlignment="1">
      <alignment vertical="center"/>
    </xf>
    <xf numFmtId="0" fontId="22" fillId="0" borderId="0" xfId="0" applyFont="1"/>
    <xf numFmtId="0" fontId="41" fillId="3" borderId="0" xfId="0" applyFont="1" applyFill="1" applyAlignment="1">
      <alignment vertical="center" wrapText="1"/>
    </xf>
    <xf numFmtId="3" fontId="42" fillId="3" borderId="0" xfId="0" applyNumberFormat="1" applyFont="1" applyFill="1" applyAlignment="1">
      <alignment vertical="center" wrapText="1"/>
    </xf>
    <xf numFmtId="0" fontId="7" fillId="3" borderId="0" xfId="0" applyFont="1" applyFill="1" applyAlignment="1">
      <alignment vertical="center"/>
    </xf>
    <xf numFmtId="0" fontId="8" fillId="19" borderId="0" xfId="0" applyFont="1" applyFill="1" applyAlignment="1">
      <alignment horizontal="right" vertical="center" wrapText="1"/>
    </xf>
    <xf numFmtId="0" fontId="9" fillId="3" borderId="0" xfId="0" applyFont="1" applyFill="1" applyAlignment="1">
      <alignment vertical="center" wrapText="1"/>
    </xf>
    <xf numFmtId="0" fontId="9" fillId="5" borderId="0" xfId="0" applyFont="1" applyFill="1" applyAlignment="1">
      <alignment vertical="center" wrapText="1"/>
    </xf>
    <xf numFmtId="0" fontId="9" fillId="0" borderId="0" xfId="0" applyFont="1" applyAlignment="1">
      <alignment vertical="center"/>
    </xf>
    <xf numFmtId="10" fontId="9" fillId="0" borderId="0" xfId="0" applyNumberFormat="1" applyFont="1" applyAlignment="1">
      <alignment vertical="center"/>
    </xf>
    <xf numFmtId="0" fontId="12" fillId="0" borderId="0" xfId="0" applyFont="1"/>
    <xf numFmtId="0" fontId="45" fillId="0" borderId="0" xfId="0" applyFont="1" applyAlignment="1">
      <alignment vertical="center"/>
    </xf>
    <xf numFmtId="0" fontId="4" fillId="7" borderId="0" xfId="0" applyFont="1" applyFill="1" applyAlignment="1">
      <alignment vertical="center"/>
    </xf>
    <xf numFmtId="0" fontId="343" fillId="7" borderId="0" xfId="0" applyFont="1" applyFill="1" applyAlignment="1">
      <alignment wrapText="1"/>
    </xf>
    <xf numFmtId="0" fontId="14" fillId="3" borderId="0" xfId="0" applyFont="1" applyFill="1" applyAlignment="1">
      <alignment vertical="center" wrapText="1"/>
    </xf>
    <xf numFmtId="0" fontId="43" fillId="19" borderId="0" xfId="0" applyFont="1" applyFill="1" applyAlignment="1">
      <alignment horizontal="right" vertical="center" wrapText="1"/>
    </xf>
    <xf numFmtId="0" fontId="15" fillId="6" borderId="0" xfId="0" applyFont="1" applyFill="1" applyAlignment="1">
      <alignment vertical="center" wrapText="1"/>
    </xf>
    <xf numFmtId="0" fontId="17" fillId="6" borderId="0" xfId="0" applyFont="1" applyFill="1" applyAlignment="1">
      <alignment horizontal="right" vertical="center" wrapText="1"/>
    </xf>
    <xf numFmtId="0" fontId="18" fillId="6" borderId="0" xfId="0" applyFont="1" applyFill="1" applyAlignment="1">
      <alignment vertical="center" wrapText="1"/>
    </xf>
    <xf numFmtId="168" fontId="19" fillId="6" borderId="0" xfId="10" applyNumberFormat="1" applyFont="1" applyFill="1" applyBorder="1" applyAlignment="1">
      <alignment horizontal="right" vertical="center" wrapText="1"/>
    </xf>
    <xf numFmtId="0" fontId="9" fillId="5" borderId="0" xfId="0" applyFont="1" applyFill="1" applyAlignment="1">
      <alignment horizontal="left" vertical="center" wrapText="1" indent="2"/>
    </xf>
    <xf numFmtId="168" fontId="9" fillId="5" borderId="0" xfId="10" applyNumberFormat="1" applyFont="1" applyFill="1" applyBorder="1" applyAlignment="1">
      <alignment horizontal="right" vertical="center" wrapText="1"/>
    </xf>
    <xf numFmtId="0" fontId="9" fillId="5" borderId="0" xfId="0" applyFont="1" applyFill="1" applyAlignment="1">
      <alignment horizontal="right" vertical="center" wrapText="1"/>
    </xf>
    <xf numFmtId="171" fontId="9" fillId="5" borderId="0" xfId="10" applyNumberFormat="1" applyFont="1" applyFill="1" applyBorder="1" applyAlignment="1">
      <alignment horizontal="right" vertical="center" wrapText="1"/>
    </xf>
    <xf numFmtId="0" fontId="20" fillId="6" borderId="0" xfId="0" applyFont="1" applyFill="1" applyAlignment="1">
      <alignment horizontal="right" vertical="center" wrapText="1"/>
    </xf>
    <xf numFmtId="0" fontId="9" fillId="3" borderId="0" xfId="0" applyFont="1" applyFill="1" applyAlignment="1">
      <alignment vertical="center"/>
    </xf>
    <xf numFmtId="0" fontId="12" fillId="3" borderId="0" xfId="0" applyFont="1" applyFill="1"/>
    <xf numFmtId="0" fontId="40" fillId="3" borderId="0" xfId="0" applyFont="1" applyFill="1" applyAlignment="1">
      <alignment vertical="center"/>
    </xf>
    <xf numFmtId="0" fontId="41" fillId="3" borderId="0" xfId="0" applyFont="1" applyFill="1" applyAlignment="1">
      <alignment vertical="center"/>
    </xf>
    <xf numFmtId="1" fontId="9" fillId="5" borderId="0" xfId="0" applyNumberFormat="1" applyFont="1" applyFill="1" applyAlignment="1">
      <alignment horizontal="right" vertical="center" wrapText="1"/>
    </xf>
    <xf numFmtId="37" fontId="9" fillId="5" borderId="0" xfId="0" applyNumberFormat="1" applyFont="1" applyFill="1" applyAlignment="1">
      <alignment horizontal="right" vertical="center" wrapText="1"/>
    </xf>
    <xf numFmtId="168" fontId="9" fillId="3" borderId="0" xfId="10" applyNumberFormat="1" applyFont="1" applyFill="1" applyBorder="1" applyAlignment="1">
      <alignment horizontal="right" vertical="center" wrapText="1"/>
    </xf>
    <xf numFmtId="0" fontId="9" fillId="131" borderId="0" xfId="0" applyFont="1" applyFill="1" applyAlignment="1">
      <alignment horizontal="left" vertical="center" wrapText="1" indent="2"/>
    </xf>
    <xf numFmtId="168" fontId="9" fillId="6" borderId="0" xfId="10" applyNumberFormat="1" applyFont="1" applyFill="1" applyBorder="1" applyAlignment="1">
      <alignment horizontal="right" vertical="center" wrapText="1"/>
    </xf>
    <xf numFmtId="0" fontId="9" fillId="131" borderId="0" xfId="0" applyFont="1" applyFill="1" applyAlignment="1">
      <alignment vertical="center" wrapText="1"/>
    </xf>
    <xf numFmtId="168" fontId="9" fillId="131" borderId="0" xfId="10" applyNumberFormat="1" applyFont="1" applyFill="1" applyBorder="1" applyAlignment="1">
      <alignment horizontal="right" vertical="center" wrapText="1"/>
    </xf>
    <xf numFmtId="0" fontId="22" fillId="3" borderId="0" xfId="0" applyFont="1" applyFill="1" applyAlignment="1">
      <alignment vertical="center"/>
    </xf>
    <xf numFmtId="0" fontId="9" fillId="0" borderId="0" xfId="0" applyFont="1"/>
    <xf numFmtId="0" fontId="21" fillId="0" borderId="0" xfId="0" applyFont="1" applyAlignment="1">
      <alignment vertical="center"/>
    </xf>
    <xf numFmtId="0" fontId="346" fillId="0" borderId="0" xfId="0" applyFont="1"/>
    <xf numFmtId="0" fontId="16" fillId="19" borderId="0" xfId="0" applyFont="1" applyFill="1" applyAlignment="1">
      <alignment vertical="center"/>
    </xf>
    <xf numFmtId="0" fontId="9" fillId="5" borderId="0" xfId="0" applyFont="1" applyFill="1" applyAlignment="1">
      <alignment vertical="center"/>
    </xf>
    <xf numFmtId="0" fontId="9" fillId="7" borderId="0" xfId="0" applyFont="1" applyFill="1" applyAlignment="1">
      <alignment wrapText="1"/>
    </xf>
    <xf numFmtId="0" fontId="348" fillId="133" borderId="0" xfId="0" applyFont="1" applyFill="1" applyAlignment="1">
      <alignment horizontal="right" vertical="center" wrapText="1"/>
    </xf>
    <xf numFmtId="1" fontId="350" fillId="132" borderId="0" xfId="0" applyNumberFormat="1" applyFont="1" applyFill="1" applyAlignment="1">
      <alignment horizontal="right" vertical="center" wrapText="1"/>
    </xf>
    <xf numFmtId="0" fontId="350" fillId="132" borderId="0" xfId="0" applyFont="1" applyFill="1" applyAlignment="1">
      <alignment horizontal="right" vertical="center" wrapText="1"/>
    </xf>
    <xf numFmtId="0" fontId="350" fillId="134" borderId="0" xfId="0" applyFont="1" applyFill="1" applyAlignment="1">
      <alignment vertical="center" wrapText="1"/>
    </xf>
    <xf numFmtId="3" fontId="350" fillId="134" borderId="0" xfId="0" applyNumberFormat="1" applyFont="1" applyFill="1" applyAlignment="1">
      <alignment horizontal="right" vertical="center" wrapText="1"/>
    </xf>
    <xf numFmtId="43" fontId="9" fillId="0" borderId="0" xfId="0" applyNumberFormat="1" applyFont="1" applyAlignment="1">
      <alignment wrapText="1"/>
    </xf>
    <xf numFmtId="164" fontId="9" fillId="0" borderId="0" xfId="0" applyNumberFormat="1" applyFont="1" applyAlignment="1">
      <alignment wrapText="1"/>
    </xf>
    <xf numFmtId="0" fontId="15" fillId="0" borderId="0" xfId="0" applyFont="1" applyAlignment="1">
      <alignment vertical="center" wrapText="1"/>
    </xf>
    <xf numFmtId="168" fontId="20" fillId="0" borderId="0" xfId="0" applyNumberFormat="1" applyFont="1" applyAlignment="1">
      <alignment horizontal="right" vertical="center" wrapText="1"/>
    </xf>
    <xf numFmtId="3" fontId="19" fillId="0" borderId="0" xfId="0" applyNumberFormat="1" applyFont="1" applyAlignment="1">
      <alignment horizontal="right" vertical="center" wrapText="1"/>
    </xf>
    <xf numFmtId="3" fontId="19" fillId="6" borderId="0" xfId="0" applyNumberFormat="1" applyFont="1" applyFill="1" applyAlignment="1">
      <alignment horizontal="right" vertical="center" wrapText="1"/>
    </xf>
    <xf numFmtId="0" fontId="7" fillId="0" borderId="0" xfId="0" applyFont="1" applyAlignment="1">
      <alignment vertical="center"/>
    </xf>
    <xf numFmtId="0" fontId="6" fillId="0" borderId="0" xfId="0" applyFont="1" applyAlignment="1">
      <alignment vertical="center"/>
    </xf>
    <xf numFmtId="0" fontId="24" fillId="3" borderId="0" xfId="0" applyFont="1" applyFill="1" applyAlignment="1">
      <alignment vertical="center" wrapText="1"/>
    </xf>
    <xf numFmtId="0" fontId="25" fillId="3" borderId="0" xfId="0" applyFont="1" applyFill="1" applyAlignment="1">
      <alignment vertical="center" wrapText="1"/>
    </xf>
    <xf numFmtId="0" fontId="0" fillId="3" borderId="0" xfId="0" applyFill="1" applyAlignment="1">
      <alignment vertical="center" wrapText="1"/>
    </xf>
    <xf numFmtId="168" fontId="9" fillId="0" borderId="0" xfId="4" applyNumberFormat="1" applyFont="1" applyBorder="1" applyAlignment="1">
      <alignment horizontal="right" vertical="center" wrapText="1"/>
    </xf>
    <xf numFmtId="168" fontId="9" fillId="5" borderId="0" xfId="4" applyNumberFormat="1" applyFont="1" applyFill="1" applyBorder="1" applyAlignment="1">
      <alignment horizontal="right" vertical="center" wrapText="1"/>
    </xf>
    <xf numFmtId="171" fontId="9" fillId="5" borderId="0" xfId="4" applyNumberFormat="1" applyFont="1" applyFill="1" applyBorder="1" applyAlignment="1">
      <alignment horizontal="right" vertical="center" wrapText="1"/>
    </xf>
    <xf numFmtId="1" fontId="9" fillId="5" borderId="0" xfId="4" applyNumberFormat="1" applyFont="1" applyFill="1" applyBorder="1" applyAlignment="1">
      <alignment horizontal="right" vertical="center" wrapText="1"/>
    </xf>
    <xf numFmtId="171" fontId="9" fillId="0" borderId="0" xfId="4" applyNumberFormat="1" applyFont="1" applyBorder="1" applyAlignment="1">
      <alignment horizontal="right" vertical="center" wrapText="1"/>
    </xf>
    <xf numFmtId="43" fontId="9" fillId="5" borderId="0" xfId="4" applyNumberFormat="1" applyFont="1" applyFill="1" applyBorder="1" applyAlignment="1">
      <alignment horizontal="right" vertical="center" wrapText="1"/>
    </xf>
    <xf numFmtId="43" fontId="9" fillId="5" borderId="0" xfId="0" applyNumberFormat="1" applyFont="1" applyFill="1" applyAlignment="1">
      <alignment horizontal="right" vertical="center" wrapText="1"/>
    </xf>
    <xf numFmtId="0" fontId="27" fillId="3" borderId="0" xfId="0" applyFont="1" applyFill="1" applyAlignment="1">
      <alignment vertical="center" wrapText="1"/>
    </xf>
    <xf numFmtId="168" fontId="27" fillId="3" borderId="0" xfId="0" applyNumberFormat="1" applyFont="1" applyFill="1" applyAlignment="1">
      <alignment vertical="center" wrapText="1"/>
    </xf>
    <xf numFmtId="9" fontId="9" fillId="0" borderId="0" xfId="1" applyFont="1" applyBorder="1" applyAlignment="1">
      <alignment vertical="center"/>
    </xf>
    <xf numFmtId="0" fontId="0" fillId="0" borderId="0" xfId="0" applyAlignment="1">
      <alignment vertical="center" wrapText="1"/>
    </xf>
    <xf numFmtId="0" fontId="8" fillId="0" borderId="0" xfId="0" applyFont="1" applyAlignment="1">
      <alignment horizontal="right" vertical="center" wrapText="1"/>
    </xf>
    <xf numFmtId="3" fontId="9" fillId="5" borderId="0" xfId="0" applyNumberFormat="1" applyFont="1" applyFill="1" applyAlignment="1">
      <alignment vertical="center" wrapText="1"/>
    </xf>
    <xf numFmtId="3" fontId="27" fillId="3" borderId="0" xfId="0" applyNumberFormat="1" applyFont="1" applyFill="1" applyAlignment="1">
      <alignment horizontal="right" vertical="center" wrapText="1"/>
    </xf>
    <xf numFmtId="0" fontId="27" fillId="0" borderId="0" xfId="0" applyFont="1" applyAlignment="1">
      <alignment vertical="center" wrapText="1"/>
    </xf>
    <xf numFmtId="3" fontId="27" fillId="0" borderId="0" xfId="0" applyNumberFormat="1" applyFont="1" applyAlignment="1">
      <alignment horizontal="right" vertical="center" wrapText="1"/>
    </xf>
    <xf numFmtId="0" fontId="22" fillId="0" borderId="0" xfId="0" applyFont="1" applyAlignment="1">
      <alignment vertical="center"/>
    </xf>
    <xf numFmtId="0" fontId="39" fillId="0" borderId="4" xfId="0" applyFont="1" applyBorder="1" applyAlignment="1">
      <alignment vertical="center"/>
    </xf>
    <xf numFmtId="9" fontId="9" fillId="5" borderId="5" xfId="1" applyFont="1" applyFill="1" applyBorder="1" applyAlignment="1">
      <alignment horizontal="right" vertical="center" wrapText="1"/>
    </xf>
    <xf numFmtId="9" fontId="19" fillId="6" borderId="5" xfId="1" applyFont="1" applyFill="1" applyBorder="1" applyAlignment="1">
      <alignment horizontal="right" vertical="center" wrapText="1"/>
    </xf>
    <xf numFmtId="0" fontId="349" fillId="133" borderId="5" xfId="0" applyFont="1" applyFill="1" applyBorder="1" applyAlignment="1">
      <alignment horizontal="right" vertical="center" wrapText="1"/>
    </xf>
    <xf numFmtId="0" fontId="350" fillId="134" borderId="4" xfId="0" applyFont="1" applyFill="1" applyBorder="1" applyAlignment="1">
      <alignment vertical="center" wrapText="1"/>
    </xf>
    <xf numFmtId="9" fontId="350" fillId="134" borderId="5" xfId="1" applyFont="1" applyFill="1" applyBorder="1" applyAlignment="1">
      <alignment horizontal="right" vertical="center" wrapText="1"/>
    </xf>
    <xf numFmtId="0" fontId="350" fillId="134" borderId="4" xfId="0" applyFont="1" applyFill="1" applyBorder="1" applyAlignment="1">
      <alignment horizontal="left" vertical="center" wrapText="1" indent="1"/>
    </xf>
    <xf numFmtId="0" fontId="350" fillId="134" borderId="4" xfId="0" applyFont="1" applyFill="1" applyBorder="1" applyAlignment="1">
      <alignment horizontal="left" vertical="center" indent="2"/>
    </xf>
    <xf numFmtId="9" fontId="9" fillId="0" borderId="5" xfId="1" applyFont="1" applyBorder="1" applyAlignment="1">
      <alignment horizontal="right" vertical="center" wrapText="1"/>
    </xf>
    <xf numFmtId="0" fontId="343" fillId="3" borderId="114" xfId="0" applyFont="1" applyFill="1" applyBorder="1" applyAlignment="1">
      <alignment horizontal="right"/>
    </xf>
    <xf numFmtId="0" fontId="0" fillId="3" borderId="114" xfId="0" applyFill="1" applyBorder="1"/>
    <xf numFmtId="165" fontId="2" fillId="144" borderId="0" xfId="2" applyNumberFormat="1" applyFont="1" applyFill="1"/>
    <xf numFmtId="0" fontId="360" fillId="8" borderId="82" xfId="0" applyFont="1" applyFill="1" applyBorder="1" applyAlignment="1">
      <alignment vertical="center" wrapText="1"/>
    </xf>
    <xf numFmtId="16" fontId="360" fillId="145" borderId="116" xfId="0" applyNumberFormat="1" applyFont="1" applyFill="1" applyBorder="1" applyAlignment="1">
      <alignment horizontal="right" vertical="center"/>
    </xf>
    <xf numFmtId="16" fontId="360" fillId="145" borderId="52" xfId="0" applyNumberFormat="1" applyFont="1" applyFill="1" applyBorder="1" applyAlignment="1">
      <alignment horizontal="right" vertical="center"/>
    </xf>
    <xf numFmtId="16" fontId="360" fillId="145" borderId="82" xfId="0" applyNumberFormat="1" applyFont="1" applyFill="1" applyBorder="1" applyAlignment="1">
      <alignment horizontal="right" vertical="center"/>
    </xf>
    <xf numFmtId="0" fontId="360" fillId="0" borderId="116" xfId="0" applyFont="1" applyBorder="1" applyAlignment="1">
      <alignment vertical="center"/>
    </xf>
    <xf numFmtId="0" fontId="360" fillId="145" borderId="66" xfId="0" applyFont="1" applyFill="1" applyBorder="1" applyAlignment="1">
      <alignment vertical="center" wrapText="1"/>
    </xf>
    <xf numFmtId="3" fontId="361" fillId="146" borderId="8" xfId="0" applyNumberFormat="1" applyFont="1" applyFill="1" applyBorder="1" applyAlignment="1">
      <alignment horizontal="right" vertical="center"/>
    </xf>
    <xf numFmtId="3" fontId="362" fillId="0" borderId="8" xfId="0" applyNumberFormat="1" applyFont="1" applyBorder="1" applyAlignment="1">
      <alignment horizontal="right" vertical="center"/>
    </xf>
    <xf numFmtId="3" fontId="362" fillId="0" borderId="15" xfId="0" applyNumberFormat="1" applyFont="1" applyBorder="1" applyAlignment="1">
      <alignment horizontal="right" vertical="center"/>
    </xf>
    <xf numFmtId="0" fontId="360" fillId="145" borderId="66" xfId="0" applyFont="1" applyFill="1" applyBorder="1" applyAlignment="1">
      <alignment vertical="center"/>
    </xf>
    <xf numFmtId="3" fontId="360" fillId="145" borderId="8" xfId="0" applyNumberFormat="1" applyFont="1" applyFill="1" applyBorder="1" applyAlignment="1">
      <alignment horizontal="right" vertical="center"/>
    </xf>
    <xf numFmtId="3" fontId="360" fillId="0" borderId="116" xfId="0" applyNumberFormat="1" applyFont="1" applyBorder="1" applyAlignment="1">
      <alignment horizontal="right" vertical="center"/>
    </xf>
    <xf numFmtId="0" fontId="0" fillId="3" borderId="115" xfId="0" applyFill="1" applyBorder="1" applyAlignment="1">
      <alignment vertical="center" wrapText="1"/>
    </xf>
    <xf numFmtId="174" fontId="0" fillId="0" borderId="82" xfId="0" pivotButton="1" applyNumberFormat="1" applyBorder="1"/>
    <xf numFmtId="164" fontId="0" fillId="7" borderId="0" xfId="2" applyFont="1" applyFill="1"/>
    <xf numFmtId="0" fontId="50" fillId="7" borderId="0" xfId="0" applyFont="1" applyFill="1" applyAlignment="1">
      <alignment vertical="center" wrapText="1"/>
    </xf>
    <xf numFmtId="167" fontId="27" fillId="7" borderId="0" xfId="0" applyNumberFormat="1" applyFont="1" applyFill="1" applyAlignment="1">
      <alignment vertical="center" wrapText="1"/>
    </xf>
    <xf numFmtId="9" fontId="27" fillId="7" borderId="0" xfId="1" applyFont="1" applyFill="1" applyAlignment="1">
      <alignment vertical="center" wrapText="1"/>
    </xf>
    <xf numFmtId="9" fontId="0" fillId="7" borderId="0" xfId="1" applyFont="1" applyFill="1"/>
    <xf numFmtId="165" fontId="0" fillId="13" borderId="17" xfId="2" applyNumberFormat="1" applyFont="1" applyFill="1" applyBorder="1" applyAlignment="1"/>
    <xf numFmtId="165" fontId="0" fillId="0" borderId="17" xfId="2" applyNumberFormat="1" applyFont="1" applyBorder="1" applyAlignment="1"/>
    <xf numFmtId="173" fontId="9" fillId="5" borderId="0" xfId="4" applyNumberFormat="1" applyFont="1" applyFill="1" applyBorder="1" applyAlignment="1">
      <alignment horizontal="right" vertical="center" wrapText="1"/>
    </xf>
    <xf numFmtId="167" fontId="9" fillId="0" borderId="0" xfId="1" applyNumberFormat="1" applyFont="1" applyFill="1" applyBorder="1" applyAlignment="1">
      <alignment horizontal="right" vertical="center" wrapText="1"/>
    </xf>
    <xf numFmtId="9" fontId="22" fillId="3" borderId="0" xfId="1" applyFont="1" applyFill="1" applyBorder="1" applyAlignment="1">
      <alignment vertical="center"/>
    </xf>
    <xf numFmtId="0" fontId="29" fillId="7" borderId="0" xfId="0" applyFont="1" applyFill="1" applyAlignment="1">
      <alignment horizontal="left" vertical="center"/>
    </xf>
    <xf numFmtId="16" fontId="29" fillId="7" borderId="0" xfId="0" applyNumberFormat="1" applyFont="1" applyFill="1" applyAlignment="1">
      <alignment horizontal="left" vertical="center"/>
    </xf>
    <xf numFmtId="16" fontId="0" fillId="8" borderId="0" xfId="0" applyNumberFormat="1" applyFill="1"/>
    <xf numFmtId="165" fontId="0" fillId="8" borderId="7" xfId="2" applyNumberFormat="1" applyFont="1" applyFill="1" applyBorder="1"/>
    <xf numFmtId="0" fontId="341" fillId="7" borderId="121" xfId="0" applyFont="1" applyFill="1" applyBorder="1" applyAlignment="1">
      <alignment vertical="center"/>
    </xf>
    <xf numFmtId="49" fontId="9" fillId="5" borderId="27" xfId="10" applyNumberFormat="1" applyFont="1" applyFill="1" applyBorder="1" applyAlignment="1">
      <alignment horizontal="right" vertical="center" wrapText="1"/>
    </xf>
    <xf numFmtId="0" fontId="350" fillId="147" borderId="4" xfId="0" applyFont="1" applyFill="1" applyBorder="1" applyAlignment="1">
      <alignment vertical="center" wrapText="1"/>
    </xf>
    <xf numFmtId="168" fontId="9" fillId="7" borderId="27" xfId="10" applyNumberFormat="1" applyFont="1" applyFill="1" applyBorder="1" applyAlignment="1">
      <alignment horizontal="right" vertical="center" wrapText="1"/>
    </xf>
    <xf numFmtId="49" fontId="9" fillId="7" borderId="27" xfId="10" applyNumberFormat="1" applyFont="1" applyFill="1" applyBorder="1" applyAlignment="1">
      <alignment horizontal="right" vertical="center" wrapText="1"/>
    </xf>
    <xf numFmtId="168" fontId="9" fillId="5" borderId="27" xfId="10" applyNumberFormat="1" applyFont="1" applyFill="1" applyBorder="1" applyAlignment="1">
      <alignment horizontal="center" vertical="center" wrapText="1"/>
    </xf>
    <xf numFmtId="168" fontId="9" fillId="7" borderId="27" xfId="10" applyNumberFormat="1" applyFont="1" applyFill="1" applyBorder="1" applyAlignment="1">
      <alignment horizontal="center" vertical="center" wrapText="1"/>
    </xf>
    <xf numFmtId="0" fontId="16" fillId="19" borderId="4" xfId="0" applyFont="1" applyFill="1" applyBorder="1" applyAlignment="1">
      <alignment vertical="center" wrapText="1"/>
    </xf>
    <xf numFmtId="0" fontId="9" fillId="0" borderId="0" xfId="0" applyFont="1" applyAlignment="1">
      <alignment horizontal="left" vertical="center" wrapText="1" indent="1"/>
    </xf>
    <xf numFmtId="0" fontId="364" fillId="130" borderId="1" xfId="0" applyFont="1" applyFill="1" applyBorder="1" applyAlignment="1">
      <alignment horizontal="right" vertical="center" wrapText="1"/>
    </xf>
    <xf numFmtId="174" fontId="2" fillId="129" borderId="96" xfId="0" pivotButton="1" applyNumberFormat="1" applyFont="1" applyFill="1" applyBorder="1"/>
    <xf numFmtId="174" fontId="2" fillId="129" borderId="96" xfId="0" pivotButton="1" applyNumberFormat="1" applyFont="1" applyFill="1" applyBorder="1" applyAlignment="1">
      <alignment wrapText="1"/>
    </xf>
    <xf numFmtId="0" fontId="0" fillId="13" borderId="17" xfId="0" quotePrefix="1" applyFill="1" applyBorder="1"/>
    <xf numFmtId="0" fontId="0" fillId="144" borderId="0" xfId="0" applyFill="1"/>
    <xf numFmtId="0" fontId="0" fillId="148" borderId="0" xfId="0" applyFill="1"/>
    <xf numFmtId="2" fontId="0" fillId="144" borderId="0" xfId="0" applyNumberFormat="1" applyFill="1"/>
    <xf numFmtId="0" fontId="366" fillId="0" borderId="0" xfId="0" applyFont="1"/>
    <xf numFmtId="164" fontId="38" fillId="0" borderId="0" xfId="2" applyFont="1"/>
    <xf numFmtId="0" fontId="2" fillId="8" borderId="0" xfId="0" applyFont="1" applyFill="1"/>
    <xf numFmtId="0" fontId="2" fillId="14" borderId="0" xfId="0" applyFont="1" applyFill="1"/>
    <xf numFmtId="14" fontId="0" fillId="14" borderId="0" xfId="0" applyNumberFormat="1" applyFill="1"/>
    <xf numFmtId="164" fontId="366" fillId="0" borderId="0" xfId="2" applyFont="1" applyAlignment="1"/>
    <xf numFmtId="0" fontId="38" fillId="0" borderId="0" xfId="0" applyFont="1"/>
    <xf numFmtId="0" fontId="33" fillId="14" borderId="0" xfId="8" applyFill="1"/>
    <xf numFmtId="0" fontId="369" fillId="8" borderId="0" xfId="8" applyFont="1" applyFill="1"/>
    <xf numFmtId="0" fontId="29" fillId="14" borderId="0" xfId="0" applyFont="1" applyFill="1"/>
    <xf numFmtId="14" fontId="29" fillId="14" borderId="0" xfId="0" applyNumberFormat="1" applyFont="1" applyFill="1"/>
    <xf numFmtId="0" fontId="29" fillId="8" borderId="0" xfId="0" applyFont="1" applyFill="1"/>
    <xf numFmtId="0" fontId="36" fillId="14" borderId="0" xfId="9" applyFill="1"/>
    <xf numFmtId="9" fontId="0" fillId="7" borderId="0" xfId="1" pivotButton="1" applyFont="1" applyFill="1"/>
    <xf numFmtId="164" fontId="0" fillId="8" borderId="0" xfId="2" applyFont="1" applyFill="1"/>
    <xf numFmtId="0" fontId="362" fillId="0" borderId="82" xfId="0" applyFont="1" applyBorder="1" applyAlignment="1">
      <alignment horizontal="center" vertical="center"/>
    </xf>
    <xf numFmtId="0" fontId="362" fillId="0" borderId="116" xfId="0" applyFont="1" applyBorder="1" applyAlignment="1">
      <alignment horizontal="center" vertical="center"/>
    </xf>
    <xf numFmtId="17" fontId="362" fillId="0" borderId="66" xfId="0" applyNumberFormat="1" applyFont="1" applyBorder="1" applyAlignment="1">
      <alignment horizontal="center" vertical="center"/>
    </xf>
    <xf numFmtId="3" fontId="362" fillId="0" borderId="8" xfId="0" applyNumberFormat="1" applyFont="1" applyBorder="1" applyAlignment="1">
      <alignment horizontal="center" vertical="center"/>
    </xf>
    <xf numFmtId="292" fontId="360" fillId="145" borderId="116" xfId="0" applyNumberFormat="1" applyFont="1" applyFill="1" applyBorder="1" applyAlignment="1">
      <alignment horizontal="right" vertical="center"/>
    </xf>
    <xf numFmtId="292" fontId="360" fillId="145" borderId="52" xfId="0" applyNumberFormat="1" applyFont="1" applyFill="1" applyBorder="1" applyAlignment="1">
      <alignment horizontal="right" vertical="center"/>
    </xf>
    <xf numFmtId="292" fontId="360" fillId="145" borderId="82" xfId="0" applyNumberFormat="1" applyFont="1" applyFill="1" applyBorder="1" applyAlignment="1">
      <alignment horizontal="right" vertical="center"/>
    </xf>
    <xf numFmtId="165" fontId="0" fillId="144" borderId="7" xfId="2" applyNumberFormat="1" applyFont="1" applyFill="1" applyBorder="1"/>
    <xf numFmtId="165" fontId="0" fillId="144" borderId="0" xfId="2" applyNumberFormat="1" applyFont="1" applyFill="1"/>
    <xf numFmtId="174" fontId="2" fillId="129" borderId="122" xfId="0" applyNumberFormat="1" applyFont="1" applyFill="1" applyBorder="1"/>
    <xf numFmtId="0" fontId="16" fillId="19" borderId="59" xfId="0" applyFont="1" applyFill="1" applyBorder="1" applyAlignment="1">
      <alignment vertical="center" wrapText="1"/>
    </xf>
    <xf numFmtId="168" fontId="9" fillId="5" borderId="59" xfId="10" applyNumberFormat="1" applyFont="1" applyFill="1" applyBorder="1" applyAlignment="1">
      <alignment horizontal="right" vertical="center" wrapText="1"/>
    </xf>
    <xf numFmtId="168" fontId="9" fillId="7" borderId="59" xfId="10" applyNumberFormat="1" applyFont="1" applyFill="1" applyBorder="1" applyAlignment="1">
      <alignment horizontal="right" vertical="center" wrapText="1"/>
    </xf>
    <xf numFmtId="0" fontId="0" fillId="0" borderId="123" xfId="0" applyBorder="1"/>
    <xf numFmtId="0" fontId="9" fillId="0" borderId="123" xfId="0" applyFont="1" applyBorder="1" applyAlignment="1">
      <alignment vertical="center" wrapText="1"/>
    </xf>
    <xf numFmtId="0" fontId="0" fillId="0" borderId="124" xfId="0" applyBorder="1"/>
    <xf numFmtId="0" fontId="12" fillId="0" borderId="124" xfId="0" applyFont="1" applyBorder="1" applyAlignment="1">
      <alignment vertical="center"/>
    </xf>
    <xf numFmtId="0" fontId="0" fillId="3" borderId="123" xfId="0" applyFill="1" applyBorder="1"/>
    <xf numFmtId="0" fontId="16" fillId="6" borderId="0" xfId="0" applyFont="1" applyFill="1" applyAlignment="1">
      <alignment horizontal="right" vertical="center" wrapText="1"/>
    </xf>
    <xf numFmtId="165" fontId="9" fillId="5" borderId="0" xfId="2" applyNumberFormat="1" applyFont="1" applyFill="1" applyBorder="1" applyAlignment="1">
      <alignment horizontal="right" vertical="center" wrapText="1"/>
    </xf>
    <xf numFmtId="0" fontId="11" fillId="6" borderId="0" xfId="0" applyFont="1" applyFill="1" applyAlignment="1">
      <alignment horizontal="right" vertical="center" wrapText="1"/>
    </xf>
    <xf numFmtId="37" fontId="9" fillId="5" borderId="0" xfId="10" applyNumberFormat="1" applyFont="1" applyFill="1" applyBorder="1" applyAlignment="1">
      <alignment horizontal="right" vertical="center" wrapText="1"/>
    </xf>
    <xf numFmtId="174" fontId="9" fillId="131" borderId="0" xfId="2" applyNumberFormat="1" applyFont="1" applyFill="1" applyBorder="1" applyAlignment="1">
      <alignment horizontal="right" vertical="center" wrapText="1"/>
    </xf>
    <xf numFmtId="3" fontId="371" fillId="134" borderId="27" xfId="0" applyNumberFormat="1" applyFont="1" applyFill="1" applyBorder="1" applyAlignment="1">
      <alignment horizontal="right" vertical="center" wrapText="1"/>
    </xf>
    <xf numFmtId="165" fontId="350" fillId="134" borderId="27" xfId="0" applyNumberFormat="1" applyFont="1" applyFill="1" applyBorder="1" applyAlignment="1">
      <alignment vertical="center" wrapText="1"/>
    </xf>
    <xf numFmtId="165" fontId="9" fillId="5" borderId="0" xfId="0" applyNumberFormat="1" applyFont="1" applyFill="1" applyAlignment="1">
      <alignment horizontal="right" vertical="center" wrapText="1"/>
    </xf>
    <xf numFmtId="0" fontId="8" fillId="18" borderId="125" xfId="0" applyFont="1" applyFill="1" applyBorder="1" applyAlignment="1">
      <alignment horizontal="right" vertical="center" wrapText="1"/>
    </xf>
    <xf numFmtId="293" fontId="9" fillId="0" borderId="27" xfId="0" applyNumberFormat="1" applyFont="1" applyBorder="1" applyAlignment="1">
      <alignment vertical="center" wrapText="1"/>
    </xf>
    <xf numFmtId="293" fontId="9" fillId="5" borderId="27" xfId="0" applyNumberFormat="1" applyFont="1" applyFill="1" applyBorder="1" applyAlignment="1">
      <alignment horizontal="left" vertical="center" wrapText="1" indent="1"/>
    </xf>
    <xf numFmtId="174" fontId="18" fillId="5" borderId="27" xfId="0" applyNumberFormat="1" applyFont="1" applyFill="1" applyBorder="1" applyAlignment="1">
      <alignment horizontal="left" vertical="center" wrapText="1" indent="1"/>
    </xf>
    <xf numFmtId="174" fontId="18" fillId="5" borderId="27" xfId="0" applyNumberFormat="1" applyFont="1" applyFill="1" applyBorder="1" applyAlignment="1">
      <alignment horizontal="left" vertical="center" wrapText="1" indent="3"/>
    </xf>
    <xf numFmtId="174" fontId="9" fillId="5" borderId="27" xfId="0" applyNumberFormat="1" applyFont="1" applyFill="1" applyBorder="1" applyAlignment="1">
      <alignment vertical="center" wrapText="1"/>
    </xf>
    <xf numFmtId="293" fontId="9" fillId="5" borderId="27" xfId="0" applyNumberFormat="1" applyFont="1" applyFill="1" applyBorder="1" applyAlignment="1">
      <alignment horizontal="left" vertical="center" wrapText="1" indent="2"/>
    </xf>
    <xf numFmtId="0" fontId="9" fillId="5" borderId="27" xfId="0" applyFont="1" applyFill="1" applyBorder="1" applyAlignment="1">
      <alignment vertical="center" wrapText="1"/>
    </xf>
    <xf numFmtId="168" fontId="9" fillId="0" borderId="0" xfId="10" applyNumberFormat="1" applyFont="1" applyBorder="1" applyAlignment="1">
      <alignment horizontal="right" vertical="center" wrapText="1"/>
    </xf>
    <xf numFmtId="168" fontId="18" fillId="5" borderId="0" xfId="10" applyNumberFormat="1" applyFont="1" applyFill="1" applyBorder="1" applyAlignment="1">
      <alignment horizontal="right" vertical="center" wrapText="1"/>
    </xf>
    <xf numFmtId="171" fontId="18" fillId="5" borderId="0" xfId="10" applyNumberFormat="1" applyFont="1" applyFill="1" applyBorder="1" applyAlignment="1">
      <alignment horizontal="right" vertical="center" wrapText="1"/>
    </xf>
    <xf numFmtId="165" fontId="9" fillId="0" borderId="0" xfId="2" applyNumberFormat="1" applyFont="1" applyBorder="1" applyAlignment="1">
      <alignment horizontal="right" vertical="center" wrapText="1"/>
    </xf>
    <xf numFmtId="171" fontId="9" fillId="0" borderId="0" xfId="11590" applyNumberFormat="1" applyFont="1" applyBorder="1" applyAlignment="1">
      <alignment horizontal="right" vertical="center" wrapText="1"/>
    </xf>
    <xf numFmtId="171" fontId="9" fillId="5" borderId="0" xfId="11590" applyNumberFormat="1" applyFont="1" applyFill="1" applyBorder="1" applyAlignment="1">
      <alignment horizontal="right" vertical="center" wrapText="1"/>
    </xf>
    <xf numFmtId="164" fontId="9" fillId="5" borderId="0" xfId="2" applyFont="1" applyFill="1" applyBorder="1" applyAlignment="1">
      <alignment horizontal="right" vertical="center" wrapText="1"/>
    </xf>
    <xf numFmtId="0" fontId="8" fillId="19" borderId="40" xfId="0" pivotButton="1" applyFont="1" applyFill="1" applyBorder="1" applyAlignment="1">
      <alignment horizontal="right" vertical="center" wrapText="1"/>
    </xf>
    <xf numFmtId="0" fontId="0" fillId="7" borderId="1" xfId="0" applyFill="1" applyBorder="1"/>
    <xf numFmtId="164" fontId="0" fillId="7" borderId="1" xfId="2" applyFont="1" applyFill="1" applyBorder="1"/>
    <xf numFmtId="0" fontId="2" fillId="7" borderId="1" xfId="0" applyFont="1" applyFill="1" applyBorder="1"/>
    <xf numFmtId="164" fontId="2" fillId="7" borderId="1" xfId="2" applyFont="1" applyFill="1" applyBorder="1"/>
    <xf numFmtId="0" fontId="2" fillId="7" borderId="1" xfId="0" pivotButton="1" applyFont="1" applyFill="1" applyBorder="1"/>
    <xf numFmtId="164" fontId="18" fillId="5" borderId="27" xfId="0" applyNumberFormat="1" applyFont="1" applyFill="1" applyBorder="1" applyAlignment="1">
      <alignment horizontal="left" vertical="center" wrapText="1" indent="1"/>
    </xf>
    <xf numFmtId="164" fontId="9" fillId="5" borderId="27" xfId="0" applyNumberFormat="1" applyFont="1" applyFill="1" applyBorder="1" applyAlignment="1">
      <alignment vertical="center" wrapText="1"/>
    </xf>
    <xf numFmtId="164" fontId="9" fillId="5" borderId="27" xfId="0" applyNumberFormat="1" applyFont="1" applyFill="1" applyBorder="1" applyAlignment="1">
      <alignment horizontal="left" vertical="center" wrapText="1" indent="1"/>
    </xf>
    <xf numFmtId="43" fontId="9" fillId="3" borderId="27" xfId="0" applyNumberFormat="1" applyFont="1" applyFill="1" applyBorder="1" applyAlignment="1">
      <alignment vertical="center" wrapText="1"/>
    </xf>
    <xf numFmtId="164" fontId="9" fillId="0" borderId="27" xfId="0" applyNumberFormat="1" applyFont="1" applyBorder="1" applyAlignment="1">
      <alignment vertical="center" wrapText="1"/>
    </xf>
    <xf numFmtId="167" fontId="9" fillId="0" borderId="27" xfId="1" applyNumberFormat="1" applyFont="1" applyBorder="1" applyAlignment="1">
      <alignment vertical="center" wrapText="1"/>
    </xf>
    <xf numFmtId="174" fontId="19" fillId="5" borderId="27" xfId="2" applyNumberFormat="1" applyFont="1" applyFill="1" applyBorder="1" applyAlignment="1">
      <alignment horizontal="left" vertical="center" wrapText="1" indent="1"/>
    </xf>
    <xf numFmtId="2" fontId="19" fillId="5" borderId="27" xfId="0" applyNumberFormat="1" applyFont="1" applyFill="1" applyBorder="1" applyAlignment="1">
      <alignment horizontal="left" vertical="center" wrapText="1" indent="1"/>
    </xf>
    <xf numFmtId="173" fontId="19" fillId="5" borderId="28" xfId="0" applyNumberFormat="1" applyFont="1" applyFill="1" applyBorder="1" applyAlignment="1">
      <alignment horizontal="left" vertical="center" wrapText="1" indent="1"/>
    </xf>
    <xf numFmtId="165" fontId="9" fillId="3" borderId="27" xfId="2" applyNumberFormat="1" applyFont="1" applyFill="1" applyBorder="1" applyAlignment="1">
      <alignment vertical="center" wrapText="1"/>
    </xf>
    <xf numFmtId="1" fontId="9" fillId="5" borderId="27" xfId="0" applyNumberFormat="1" applyFont="1" applyFill="1" applyBorder="1" applyAlignment="1">
      <alignment horizontal="left" vertical="center" wrapText="1" indent="2"/>
    </xf>
    <xf numFmtId="1" fontId="9" fillId="5" borderId="28" xfId="0" applyNumberFormat="1" applyFont="1" applyFill="1" applyBorder="1" applyAlignment="1">
      <alignment horizontal="left" vertical="center" wrapText="1" indent="2"/>
    </xf>
    <xf numFmtId="0" fontId="0" fillId="0" borderId="27" xfId="0" applyBorder="1" applyAlignment="1">
      <alignment vertical="center" wrapText="1"/>
    </xf>
    <xf numFmtId="1" fontId="9" fillId="5" borderId="28" xfId="0" applyNumberFormat="1" applyFont="1" applyFill="1" applyBorder="1" applyAlignment="1">
      <alignment vertical="center" wrapText="1"/>
    </xf>
    <xf numFmtId="174" fontId="9" fillId="0" borderId="27" xfId="2" applyNumberFormat="1" applyFont="1" applyBorder="1" applyAlignment="1">
      <alignment horizontal="right" vertical="center" wrapText="1"/>
    </xf>
    <xf numFmtId="0" fontId="0" fillId="8" borderId="98" xfId="0" applyFill="1" applyBorder="1" applyAlignment="1">
      <alignment horizontal="center" vertical="center"/>
    </xf>
    <xf numFmtId="164" fontId="0" fillId="13" borderId="18" xfId="2" quotePrefix="1" applyFont="1" applyFill="1" applyBorder="1" applyAlignment="1"/>
    <xf numFmtId="164" fontId="0" fillId="0" borderId="18" xfId="2" quotePrefix="1" applyFont="1" applyBorder="1" applyAlignment="1"/>
    <xf numFmtId="165" fontId="29" fillId="0" borderId="0" xfId="0" applyNumberFormat="1" applyFont="1"/>
    <xf numFmtId="9" fontId="29" fillId="0" borderId="0" xfId="1" applyFont="1"/>
    <xf numFmtId="0" fontId="62" fillId="130" borderId="26" xfId="0" applyFont="1" applyFill="1" applyBorder="1" applyAlignment="1">
      <alignment horizontal="right" vertical="center" wrapText="1"/>
    </xf>
    <xf numFmtId="0" fontId="8" fillId="130" borderId="1" xfId="0" applyFont="1" applyFill="1" applyBorder="1" applyAlignment="1">
      <alignment horizontal="right" vertical="center" wrapText="1"/>
    </xf>
    <xf numFmtId="0" fontId="8" fillId="130" borderId="26" xfId="0" applyFont="1" applyFill="1" applyBorder="1" applyAlignment="1">
      <alignment horizontal="right" vertical="center" wrapText="1"/>
    </xf>
    <xf numFmtId="0" fontId="62" fillId="130" borderId="1" xfId="0" applyFont="1" applyFill="1" applyBorder="1" applyAlignment="1">
      <alignment horizontal="right" vertical="center" wrapText="1"/>
    </xf>
    <xf numFmtId="3" fontId="9" fillId="5" borderId="28" xfId="0" applyNumberFormat="1" applyFont="1" applyFill="1" applyBorder="1" applyAlignment="1">
      <alignment horizontal="right" vertical="center" wrapText="1"/>
    </xf>
    <xf numFmtId="0" fontId="372" fillId="151" borderId="127" xfId="0" applyFont="1" applyFill="1" applyBorder="1" applyAlignment="1">
      <alignment horizontal="center" vertical="center"/>
    </xf>
    <xf numFmtId="0" fontId="373" fillId="0" borderId="0" xfId="0" applyFont="1"/>
    <xf numFmtId="0" fontId="372" fillId="150" borderId="127" xfId="0" applyFont="1" applyFill="1" applyBorder="1" applyAlignment="1">
      <alignment horizontal="center" vertical="center"/>
    </xf>
    <xf numFmtId="0" fontId="372" fillId="150" borderId="128" xfId="0" applyFont="1" applyFill="1" applyBorder="1" applyAlignment="1">
      <alignment horizontal="center" vertical="center"/>
    </xf>
    <xf numFmtId="0" fontId="372" fillId="150" borderId="128" xfId="0" applyFont="1" applyFill="1" applyBorder="1" applyAlignment="1">
      <alignment horizontal="center" vertical="center" wrapText="1"/>
    </xf>
    <xf numFmtId="0" fontId="372" fillId="150" borderId="129" xfId="0" applyFont="1" applyFill="1" applyBorder="1" applyAlignment="1">
      <alignment horizontal="center" vertical="center" wrapText="1"/>
    </xf>
    <xf numFmtId="0" fontId="361" fillId="152" borderId="130" xfId="0" applyFont="1" applyFill="1" applyBorder="1" applyAlignment="1">
      <alignment vertical="center"/>
    </xf>
    <xf numFmtId="43" fontId="374" fillId="0" borderId="131" xfId="2" applyNumberFormat="1" applyFont="1" applyFill="1" applyBorder="1" applyAlignment="1">
      <alignment horizontal="center" vertical="center"/>
    </xf>
    <xf numFmtId="43" fontId="374" fillId="0" borderId="131" xfId="2" applyNumberFormat="1" applyFont="1" applyFill="1" applyBorder="1" applyAlignment="1">
      <alignment horizontal="center" vertical="center" wrapText="1"/>
    </xf>
    <xf numFmtId="10" fontId="374" fillId="0" borderId="131" xfId="1" applyNumberFormat="1" applyFont="1" applyFill="1" applyBorder="1" applyAlignment="1">
      <alignment horizontal="center" vertical="center" wrapText="1"/>
    </xf>
    <xf numFmtId="43" fontId="374" fillId="0" borderId="132" xfId="2" applyNumberFormat="1" applyFont="1" applyFill="1" applyBorder="1" applyAlignment="1">
      <alignment horizontal="center" vertical="center" wrapText="1"/>
    </xf>
    <xf numFmtId="0" fontId="361" fillId="152" borderId="133" xfId="0" applyFont="1" applyFill="1" applyBorder="1" applyAlignment="1">
      <alignment vertical="center"/>
    </xf>
    <xf numFmtId="43" fontId="374" fillId="0" borderId="0" xfId="2" applyNumberFormat="1" applyFont="1" applyFill="1" applyBorder="1" applyAlignment="1">
      <alignment horizontal="center" vertical="center"/>
    </xf>
    <xf numFmtId="43" fontId="374" fillId="0" borderId="134" xfId="2" applyNumberFormat="1" applyFont="1" applyFill="1" applyBorder="1" applyAlignment="1">
      <alignment horizontal="center" vertical="center" wrapText="1"/>
    </xf>
    <xf numFmtId="0" fontId="375" fillId="152" borderId="135" xfId="0" applyFont="1" applyFill="1" applyBorder="1" applyAlignment="1">
      <alignment vertical="center"/>
    </xf>
    <xf numFmtId="43" fontId="374" fillId="0" borderId="136" xfId="2" applyNumberFormat="1" applyFont="1" applyFill="1" applyBorder="1" applyAlignment="1">
      <alignment horizontal="center" vertical="center"/>
    </xf>
    <xf numFmtId="43" fontId="374" fillId="0" borderId="137" xfId="2" applyNumberFormat="1" applyFont="1" applyFill="1" applyBorder="1" applyAlignment="1">
      <alignment horizontal="center" vertical="center" wrapText="1"/>
    </xf>
    <xf numFmtId="0" fontId="30" fillId="0" borderId="0" xfId="3804" applyFill="1"/>
    <xf numFmtId="0" fontId="376" fillId="129" borderId="138" xfId="0" applyFont="1" applyFill="1" applyBorder="1"/>
    <xf numFmtId="0" fontId="376" fillId="129" borderId="139" xfId="0" applyFont="1" applyFill="1" applyBorder="1"/>
    <xf numFmtId="0" fontId="376" fillId="129" borderId="140" xfId="0" applyFont="1" applyFill="1" applyBorder="1"/>
    <xf numFmtId="164" fontId="29" fillId="0" borderId="14" xfId="2" applyFont="1" applyBorder="1"/>
    <xf numFmtId="164" fontId="29" fillId="0" borderId="0" xfId="2" applyFont="1" applyBorder="1"/>
    <xf numFmtId="164" fontId="29" fillId="0" borderId="15" xfId="2" applyFont="1" applyBorder="1"/>
    <xf numFmtId="164" fontId="376" fillId="129" borderId="141" xfId="2" applyFont="1" applyFill="1" applyBorder="1"/>
    <xf numFmtId="164" fontId="376" fillId="129" borderId="142" xfId="2" applyFont="1" applyFill="1" applyBorder="1"/>
    <xf numFmtId="164" fontId="376" fillId="129" borderId="143" xfId="2" applyFont="1" applyFill="1" applyBorder="1"/>
    <xf numFmtId="0" fontId="376" fillId="129" borderId="144" xfId="0" applyFont="1" applyFill="1" applyBorder="1"/>
    <xf numFmtId="0" fontId="29" fillId="0" borderId="23" xfId="0" applyFont="1" applyBorder="1" applyAlignment="1">
      <alignment horizontal="left"/>
    </xf>
    <xf numFmtId="0" fontId="376" fillId="129" borderId="145" xfId="0" applyFont="1" applyFill="1" applyBorder="1" applyAlignment="1">
      <alignment horizontal="left"/>
    </xf>
    <xf numFmtId="0" fontId="29" fillId="0" borderId="14" xfId="0" applyFont="1" applyBorder="1" applyAlignment="1">
      <alignment horizontal="left"/>
    </xf>
    <xf numFmtId="0" fontId="29" fillId="0" borderId="15" xfId="0" applyFont="1" applyBorder="1" applyAlignment="1">
      <alignment horizontal="left"/>
    </xf>
    <xf numFmtId="0" fontId="376" fillId="129" borderId="141" xfId="0" applyFont="1" applyFill="1" applyBorder="1" applyAlignment="1">
      <alignment horizontal="left"/>
    </xf>
    <xf numFmtId="0" fontId="376" fillId="129" borderId="143" xfId="0" applyFont="1" applyFill="1" applyBorder="1" applyAlignment="1">
      <alignment horizontal="left"/>
    </xf>
    <xf numFmtId="164" fontId="359" fillId="0" borderId="0" xfId="2" applyFont="1"/>
    <xf numFmtId="9" fontId="2" fillId="0" borderId="0" xfId="1" applyFont="1"/>
    <xf numFmtId="0" fontId="0" fillId="0" borderId="148" xfId="0" applyBorder="1"/>
    <xf numFmtId="0" fontId="0" fillId="0" borderId="149" xfId="0" applyBorder="1"/>
    <xf numFmtId="0" fontId="0" fillId="0" borderId="150" xfId="0" applyBorder="1"/>
    <xf numFmtId="0" fontId="0" fillId="0" borderId="151" xfId="0" applyBorder="1"/>
    <xf numFmtId="164" fontId="0" fillId="0" borderId="146" xfId="2" applyFont="1" applyBorder="1"/>
    <xf numFmtId="164" fontId="0" fillId="0" borderId="147" xfId="2" applyFont="1" applyBorder="1"/>
    <xf numFmtId="168" fontId="374" fillId="0" borderId="132" xfId="2" applyNumberFormat="1" applyFont="1" applyFill="1" applyBorder="1" applyAlignment="1">
      <alignment horizontal="center" vertical="center" wrapText="1"/>
    </xf>
    <xf numFmtId="168" fontId="374" fillId="0" borderId="134" xfId="2" applyNumberFormat="1" applyFont="1" applyFill="1" applyBorder="1" applyAlignment="1">
      <alignment horizontal="center" vertical="center" wrapText="1"/>
    </xf>
    <xf numFmtId="0" fontId="377" fillId="0" borderId="0" xfId="0" applyFont="1" applyAlignment="1">
      <alignment horizontal="right"/>
    </xf>
    <xf numFmtId="0" fontId="373" fillId="0" borderId="152" xfId="0" applyFont="1" applyBorder="1" applyAlignment="1">
      <alignment horizontal="center" vertical="center"/>
    </xf>
    <xf numFmtId="0" fontId="378" fillId="150" borderId="0" xfId="0" applyFont="1" applyFill="1" applyAlignment="1">
      <alignment horizontal="center"/>
    </xf>
    <xf numFmtId="0" fontId="378" fillId="150" borderId="0" xfId="0" applyFont="1" applyFill="1" applyAlignment="1">
      <alignment horizontal="center" wrapText="1"/>
    </xf>
    <xf numFmtId="0" fontId="379" fillId="153" borderId="97" xfId="0" applyFont="1" applyFill="1" applyBorder="1" applyAlignment="1">
      <alignment horizontal="center"/>
    </xf>
    <xf numFmtId="168" fontId="380" fillId="0" borderId="97" xfId="2" applyNumberFormat="1" applyFont="1" applyFill="1" applyBorder="1"/>
    <xf numFmtId="168" fontId="381" fillId="0" borderId="97" xfId="0" applyNumberFormat="1" applyFont="1" applyBorder="1"/>
    <xf numFmtId="9" fontId="380" fillId="154" borderId="97" xfId="1" applyFont="1" applyFill="1" applyBorder="1" applyAlignment="1">
      <alignment horizontal="center"/>
    </xf>
    <xf numFmtId="0" fontId="380" fillId="154" borderId="97" xfId="0" applyFont="1" applyFill="1" applyBorder="1" applyAlignment="1">
      <alignment horizontal="center"/>
    </xf>
    <xf numFmtId="168" fontId="378" fillId="150" borderId="0" xfId="2" applyNumberFormat="1" applyFont="1" applyFill="1" applyBorder="1" applyAlignment="1">
      <alignment horizontal="center"/>
    </xf>
    <xf numFmtId="168" fontId="378" fillId="150" borderId="0" xfId="2" applyNumberFormat="1" applyFont="1" applyFill="1" applyBorder="1" applyAlignment="1">
      <alignment horizontal="right"/>
    </xf>
    <xf numFmtId="43" fontId="29" fillId="0" borderId="14" xfId="10" applyFont="1" applyBorder="1"/>
    <xf numFmtId="43" fontId="29" fillId="0" borderId="0" xfId="10" applyFont="1" applyBorder="1"/>
    <xf numFmtId="43" fontId="29" fillId="0" borderId="15" xfId="10" applyFont="1" applyBorder="1"/>
    <xf numFmtId="43" fontId="376" fillId="129" borderId="141" xfId="10" applyFont="1" applyFill="1" applyBorder="1"/>
    <xf numFmtId="43" fontId="376" fillId="129" borderId="142" xfId="10" applyFont="1" applyFill="1" applyBorder="1"/>
    <xf numFmtId="43" fontId="376" fillId="129" borderId="143" xfId="10" applyFont="1" applyFill="1" applyBorder="1"/>
    <xf numFmtId="168" fontId="19" fillId="6" borderId="0" xfId="10" applyNumberFormat="1" applyFont="1" applyFill="1" applyAlignment="1">
      <alignment horizontal="right" vertical="center" wrapText="1"/>
    </xf>
    <xf numFmtId="0" fontId="0" fillId="0" borderId="7" xfId="2" applyNumberFormat="1" applyFont="1" applyFill="1" applyBorder="1" applyAlignment="1"/>
    <xf numFmtId="164" fontId="0" fillId="129" borderId="7" xfId="2" applyFont="1" applyFill="1" applyBorder="1" applyAlignment="1"/>
    <xf numFmtId="164" fontId="0" fillId="0" borderId="153" xfId="2" applyFont="1" applyBorder="1" applyAlignment="1"/>
    <xf numFmtId="164" fontId="0" fillId="129" borderId="153" xfId="2" applyFont="1" applyFill="1" applyBorder="1" applyAlignment="1"/>
    <xf numFmtId="43" fontId="0" fillId="129" borderId="7" xfId="2" applyNumberFormat="1" applyFont="1" applyFill="1" applyBorder="1" applyAlignment="1"/>
    <xf numFmtId="9" fontId="0" fillId="7" borderId="1" xfId="1" applyFont="1" applyFill="1" applyBorder="1"/>
    <xf numFmtId="0" fontId="2" fillId="7" borderId="0" xfId="0" applyFont="1" applyFill="1"/>
    <xf numFmtId="0" fontId="2" fillId="8" borderId="1" xfId="0" applyFont="1" applyFill="1" applyBorder="1"/>
    <xf numFmtId="0" fontId="0" fillId="8" borderId="1" xfId="0" applyFill="1" applyBorder="1"/>
    <xf numFmtId="4" fontId="0" fillId="0" borderId="0" xfId="2" applyNumberFormat="1" applyFont="1" applyAlignment="1"/>
    <xf numFmtId="4" fontId="0" fillId="0" borderId="0" xfId="0" applyNumberFormat="1"/>
    <xf numFmtId="0" fontId="0" fillId="155" borderId="0" xfId="0" applyFill="1"/>
    <xf numFmtId="164" fontId="0" fillId="156" borderId="0" xfId="2" applyFont="1" applyFill="1"/>
    <xf numFmtId="0" fontId="29" fillId="144" borderId="0" xfId="0" applyFont="1" applyFill="1"/>
    <xf numFmtId="0" fontId="2" fillId="144" borderId="0" xfId="0" applyFont="1" applyFill="1"/>
    <xf numFmtId="14" fontId="0" fillId="144" borderId="0" xfId="0" applyNumberFormat="1" applyFill="1"/>
    <xf numFmtId="164" fontId="373" fillId="0" borderId="0" xfId="0" applyNumberFormat="1" applyFont="1"/>
    <xf numFmtId="0" fontId="34" fillId="8" borderId="0" xfId="0" applyFont="1" applyFill="1"/>
    <xf numFmtId="0" fontId="370" fillId="144" borderId="0" xfId="9" applyFont="1" applyFill="1"/>
    <xf numFmtId="0" fontId="32" fillId="144" borderId="0" xfId="0" applyFont="1" applyFill="1"/>
    <xf numFmtId="0" fontId="360" fillId="0" borderId="0" xfId="0" applyFont="1"/>
    <xf numFmtId="0" fontId="360" fillId="0" borderId="154" xfId="0" applyFont="1" applyBorder="1"/>
    <xf numFmtId="0" fontId="360" fillId="157" borderId="155" xfId="0" applyFont="1" applyFill="1" applyBorder="1"/>
    <xf numFmtId="0" fontId="32" fillId="0" borderId="66" xfId="0" applyFont="1" applyBorder="1"/>
    <xf numFmtId="0" fontId="32" fillId="0" borderId="95" xfId="0" applyFont="1" applyBorder="1"/>
    <xf numFmtId="164" fontId="32" fillId="0" borderId="95" xfId="2" applyFont="1" applyBorder="1"/>
    <xf numFmtId="2" fontId="32" fillId="0" borderId="95" xfId="0" applyNumberFormat="1" applyFont="1" applyBorder="1"/>
    <xf numFmtId="1" fontId="2" fillId="129" borderId="19" xfId="0" applyNumberFormat="1" applyFont="1" applyFill="1" applyBorder="1" applyAlignment="1">
      <alignment vertical="center"/>
    </xf>
    <xf numFmtId="0" fontId="2" fillId="129" borderId="19" xfId="0" applyFont="1" applyFill="1" applyBorder="1" applyAlignment="1">
      <alignment vertical="center"/>
    </xf>
    <xf numFmtId="165" fontId="38" fillId="0" borderId="0" xfId="2" applyNumberFormat="1" applyFont="1"/>
    <xf numFmtId="0" fontId="0" fillId="0" borderId="7" xfId="0" applyBorder="1"/>
    <xf numFmtId="0" fontId="34" fillId="144" borderId="0" xfId="0" applyFont="1" applyFill="1"/>
    <xf numFmtId="0" fontId="2" fillId="0" borderId="150" xfId="0" applyFont="1" applyBorder="1"/>
    <xf numFmtId="0" fontId="2" fillId="0" borderId="148" xfId="0" applyFont="1" applyBorder="1"/>
    <xf numFmtId="0" fontId="2" fillId="0" borderId="146" xfId="0" applyFont="1" applyBorder="1"/>
    <xf numFmtId="0" fontId="2" fillId="0" borderId="151" xfId="0" applyFont="1" applyBorder="1"/>
    <xf numFmtId="0" fontId="2" fillId="0" borderId="149" xfId="0" applyFont="1" applyBorder="1"/>
    <xf numFmtId="0" fontId="2" fillId="0" borderId="147" xfId="0" applyFont="1" applyBorder="1"/>
    <xf numFmtId="176" fontId="2" fillId="0" borderId="0" xfId="0" applyNumberFormat="1" applyFont="1"/>
    <xf numFmtId="164" fontId="2" fillId="144" borderId="0" xfId="2" applyFont="1" applyFill="1"/>
    <xf numFmtId="167" fontId="2" fillId="8" borderId="0" xfId="1" applyNumberFormat="1" applyFont="1" applyFill="1"/>
    <xf numFmtId="9" fontId="9" fillId="149" borderId="5" xfId="1" applyFont="1" applyFill="1" applyBorder="1" applyAlignment="1">
      <alignment horizontal="right" vertical="center" wrapText="1"/>
    </xf>
    <xf numFmtId="9" fontId="0" fillId="0" borderId="0" xfId="1" applyFont="1" applyAlignment="1"/>
    <xf numFmtId="0" fontId="0" fillId="158" borderId="0" xfId="0" applyFill="1"/>
    <xf numFmtId="165" fontId="0" fillId="158" borderId="0" xfId="2" applyNumberFormat="1" applyFont="1" applyFill="1"/>
    <xf numFmtId="294" fontId="0" fillId="0" borderId="0" xfId="0" applyNumberFormat="1"/>
    <xf numFmtId="0" fontId="19" fillId="5" borderId="1" xfId="0" applyFont="1" applyFill="1" applyBorder="1" applyAlignment="1">
      <alignment horizontal="left" vertical="center" wrapText="1" indent="1"/>
    </xf>
    <xf numFmtId="0" fontId="383" fillId="152" borderId="0" xfId="0" applyFont="1" applyFill="1"/>
    <xf numFmtId="164" fontId="29" fillId="0" borderId="0" xfId="2" applyFont="1" applyAlignment="1"/>
    <xf numFmtId="16" fontId="0" fillId="144" borderId="0" xfId="0" applyNumberFormat="1" applyFill="1"/>
    <xf numFmtId="0" fontId="369" fillId="144" borderId="0" xfId="8" applyFont="1" applyFill="1"/>
    <xf numFmtId="0" fontId="33" fillId="144" borderId="0" xfId="8" applyFill="1"/>
    <xf numFmtId="0" fontId="2" fillId="129" borderId="122" xfId="0" applyFont="1" applyFill="1" applyBorder="1"/>
    <xf numFmtId="0" fontId="2" fillId="0" borderId="19" xfId="0" applyFont="1" applyBorder="1" applyAlignment="1">
      <alignment horizontal="left"/>
    </xf>
    <xf numFmtId="0" fontId="2" fillId="129" borderId="122" xfId="0" applyFont="1" applyFill="1" applyBorder="1" applyAlignment="1">
      <alignment horizontal="left"/>
    </xf>
    <xf numFmtId="164" fontId="38" fillId="7" borderId="1" xfId="2" applyFont="1" applyFill="1" applyBorder="1"/>
    <xf numFmtId="9" fontId="38" fillId="7" borderId="1" xfId="1" applyFont="1" applyFill="1" applyBorder="1"/>
    <xf numFmtId="0" fontId="38" fillId="0" borderId="1" xfId="0" applyFont="1" applyBorder="1"/>
    <xf numFmtId="14" fontId="29" fillId="144" borderId="0" xfId="0" applyNumberFormat="1" applyFont="1" applyFill="1"/>
    <xf numFmtId="165" fontId="0" fillId="144" borderId="1" xfId="2" applyNumberFormat="1" applyFont="1" applyFill="1" applyBorder="1"/>
    <xf numFmtId="0" fontId="38" fillId="7" borderId="1" xfId="0" applyFont="1" applyFill="1" applyBorder="1"/>
    <xf numFmtId="0" fontId="9" fillId="0" borderId="0" xfId="0" applyFont="1" applyAlignment="1">
      <alignment horizontal="left" vertical="center" indent="2"/>
    </xf>
    <xf numFmtId="0" fontId="386" fillId="0" borderId="1" xfId="0" applyFont="1" applyBorder="1" applyAlignment="1">
      <alignment vertical="center" wrapText="1"/>
    </xf>
    <xf numFmtId="0" fontId="387" fillId="0" borderId="1" xfId="0" applyFont="1" applyBorder="1" applyAlignment="1">
      <alignment vertical="center" wrapText="1"/>
    </xf>
    <xf numFmtId="3" fontId="386" fillId="0" borderId="1" xfId="0" applyNumberFormat="1" applyFont="1" applyBorder="1" applyAlignment="1">
      <alignment vertical="center" wrapText="1"/>
    </xf>
    <xf numFmtId="3" fontId="385" fillId="0" borderId="1" xfId="0" applyNumberFormat="1" applyFont="1" applyBorder="1" applyAlignment="1">
      <alignment vertical="center" wrapText="1"/>
    </xf>
    <xf numFmtId="9" fontId="9" fillId="7" borderId="5" xfId="1" applyFont="1" applyFill="1" applyBorder="1" applyAlignment="1">
      <alignment horizontal="right" vertical="center" wrapText="1"/>
    </xf>
    <xf numFmtId="0" fontId="16" fillId="6" borderId="27" xfId="0" applyFont="1" applyFill="1" applyBorder="1" applyAlignment="1">
      <alignment horizontal="right" vertical="center" wrapText="1"/>
    </xf>
    <xf numFmtId="165" fontId="19" fillId="6" borderId="27" xfId="2" applyNumberFormat="1" applyFont="1" applyFill="1" applyBorder="1" applyAlignment="1">
      <alignment horizontal="right" vertical="center" wrapText="1"/>
    </xf>
    <xf numFmtId="165" fontId="9" fillId="5" borderId="27" xfId="2" applyNumberFormat="1" applyFont="1" applyFill="1" applyBorder="1" applyAlignment="1">
      <alignment horizontal="right" vertical="center" wrapText="1"/>
    </xf>
    <xf numFmtId="171" fontId="9" fillId="5" borderId="27" xfId="10" applyNumberFormat="1" applyFont="1" applyFill="1" applyBorder="1" applyAlignment="1">
      <alignment horizontal="right" vertical="center" wrapText="1"/>
    </xf>
    <xf numFmtId="0" fontId="11" fillId="6" borderId="27" xfId="0" applyFont="1" applyFill="1" applyBorder="1" applyAlignment="1">
      <alignment horizontal="right" vertical="center" wrapText="1"/>
    </xf>
    <xf numFmtId="0" fontId="20" fillId="6" borderId="27" xfId="0" applyFont="1" applyFill="1" applyBorder="1" applyAlignment="1">
      <alignment horizontal="right" vertical="center" wrapText="1"/>
    </xf>
    <xf numFmtId="37" fontId="9" fillId="5" borderId="27" xfId="10" applyNumberFormat="1" applyFont="1" applyFill="1" applyBorder="1" applyAlignment="1">
      <alignment horizontal="right" vertical="center" wrapText="1"/>
    </xf>
    <xf numFmtId="168" fontId="9" fillId="3" borderId="27" xfId="10" applyNumberFormat="1" applyFont="1" applyFill="1" applyBorder="1" applyAlignment="1">
      <alignment horizontal="right" vertical="center" wrapText="1"/>
    </xf>
    <xf numFmtId="0" fontId="9" fillId="3" borderId="27" xfId="0" applyFont="1" applyFill="1" applyBorder="1" applyAlignment="1">
      <alignment vertical="center"/>
    </xf>
    <xf numFmtId="168" fontId="9" fillId="6" borderId="27" xfId="10" applyNumberFormat="1" applyFont="1" applyFill="1" applyBorder="1" applyAlignment="1">
      <alignment horizontal="right" vertical="center" wrapText="1"/>
    </xf>
    <xf numFmtId="0" fontId="9" fillId="131" borderId="27" xfId="0" applyFont="1" applyFill="1" applyBorder="1" applyAlignment="1">
      <alignment vertical="center" wrapText="1"/>
    </xf>
    <xf numFmtId="0" fontId="9" fillId="131" borderId="28" xfId="0" applyFont="1" applyFill="1" applyBorder="1" applyAlignment="1">
      <alignment vertical="center" wrapText="1"/>
    </xf>
    <xf numFmtId="165" fontId="9" fillId="5" borderId="28" xfId="2" applyNumberFormat="1" applyFont="1" applyFill="1" applyBorder="1" applyAlignment="1">
      <alignment horizontal="right" vertical="center" wrapText="1"/>
    </xf>
    <xf numFmtId="0" fontId="0" fillId="0" borderId="95" xfId="0" applyBorder="1"/>
    <xf numFmtId="164" fontId="0" fillId="0" borderId="95" xfId="2" applyFont="1" applyBorder="1"/>
    <xf numFmtId="164" fontId="32" fillId="0" borderId="95" xfId="0" applyNumberFormat="1" applyFont="1" applyBorder="1"/>
    <xf numFmtId="0" fontId="8" fillId="19" borderId="37" xfId="0" applyFont="1" applyFill="1" applyBorder="1" applyAlignment="1">
      <alignment horizontal="right" vertical="center" wrapText="1"/>
    </xf>
    <xf numFmtId="43" fontId="9" fillId="5" borderId="27" xfId="0" applyNumberFormat="1" applyFont="1" applyFill="1" applyBorder="1" applyAlignment="1">
      <alignment horizontal="left" vertical="center" wrapText="1" indent="2"/>
    </xf>
    <xf numFmtId="171" fontId="9" fillId="5" borderId="95" xfId="10" applyNumberFormat="1" applyFont="1" applyFill="1" applyBorder="1" applyAlignment="1">
      <alignment horizontal="right" vertical="center" wrapText="1"/>
    </xf>
    <xf numFmtId="171" fontId="9" fillId="5" borderId="95" xfId="0" applyNumberFormat="1" applyFont="1" applyFill="1" applyBorder="1" applyAlignment="1">
      <alignment horizontal="right" vertical="center" wrapText="1"/>
    </xf>
    <xf numFmtId="43" fontId="0" fillId="0" borderId="0" xfId="2" applyNumberFormat="1" applyFont="1"/>
    <xf numFmtId="295" fontId="0" fillId="0" borderId="0" xfId="0" applyNumberFormat="1"/>
    <xf numFmtId="164" fontId="32" fillId="0" borderId="0" xfId="0" applyNumberFormat="1" applyFont="1"/>
    <xf numFmtId="16" fontId="29" fillId="7" borderId="1" xfId="0" applyNumberFormat="1" applyFont="1" applyFill="1" applyBorder="1" applyAlignment="1">
      <alignment horizontal="left" vertical="center" wrapText="1"/>
    </xf>
    <xf numFmtId="168" fontId="38" fillId="0" borderId="0" xfId="0" applyNumberFormat="1" applyFont="1"/>
    <xf numFmtId="0" fontId="89" fillId="3" borderId="4" xfId="0" applyFont="1" applyFill="1" applyBorder="1"/>
    <xf numFmtId="0" fontId="89" fillId="3" borderId="0" xfId="0" applyFont="1" applyFill="1"/>
    <xf numFmtId="0" fontId="16" fillId="19" borderId="0" xfId="0" applyFont="1" applyFill="1" applyAlignment="1">
      <alignment horizontal="left" vertical="center"/>
    </xf>
    <xf numFmtId="0" fontId="9" fillId="0" borderId="4" xfId="0" applyFont="1" applyBorder="1" applyAlignment="1">
      <alignment horizontal="left" vertical="center" wrapText="1"/>
    </xf>
    <xf numFmtId="0" fontId="9" fillId="0" borderId="0" xfId="0" applyFont="1" applyAlignment="1">
      <alignment horizontal="left" vertical="center" wrapText="1"/>
    </xf>
    <xf numFmtId="0" fontId="7" fillId="3" borderId="0" xfId="0" applyFont="1" applyFill="1" applyAlignment="1">
      <alignment vertical="center" wrapText="1"/>
    </xf>
    <xf numFmtId="0" fontId="344" fillId="3" borderId="4" xfId="0" applyFont="1" applyFill="1" applyBorder="1" applyAlignment="1">
      <alignment vertical="center" wrapText="1"/>
    </xf>
    <xf numFmtId="0" fontId="346" fillId="0" borderId="0" xfId="0" applyFont="1" applyAlignment="1">
      <alignment vertical="center" wrapText="1"/>
    </xf>
    <xf numFmtId="0" fontId="9" fillId="0" borderId="4" xfId="0" applyFont="1" applyBorder="1" applyAlignment="1">
      <alignment wrapText="1"/>
    </xf>
    <xf numFmtId="0" fontId="9" fillId="0" borderId="0" xfId="0" applyFont="1" applyAlignment="1">
      <alignment wrapText="1"/>
    </xf>
    <xf numFmtId="0" fontId="344" fillId="3" borderId="0" xfId="0" applyFont="1" applyFill="1" applyAlignment="1">
      <alignment vertical="center" wrapText="1"/>
    </xf>
    <xf numFmtId="0" fontId="9" fillId="0" borderId="4" xfId="0" applyFont="1" applyBorder="1" applyAlignment="1">
      <alignment vertical="center" wrapText="1"/>
    </xf>
    <xf numFmtId="0" fontId="9" fillId="0" borderId="0" xfId="0" applyFont="1" applyAlignment="1">
      <alignment vertical="center" wrapText="1"/>
    </xf>
    <xf numFmtId="0" fontId="12" fillId="0" borderId="0" xfId="0" applyFont="1" applyAlignment="1">
      <alignment vertical="center"/>
    </xf>
    <xf numFmtId="0" fontId="9" fillId="0" borderId="5" xfId="0" applyFont="1" applyBorder="1" applyAlignment="1">
      <alignment vertical="center" wrapText="1"/>
    </xf>
    <xf numFmtId="0" fontId="0" fillId="0" borderId="1" xfId="0" applyBorder="1" applyAlignment="1">
      <alignment horizontal="left" wrapText="1"/>
    </xf>
    <xf numFmtId="0" fontId="344" fillId="3" borderId="4" xfId="1809" applyFont="1" applyFill="1" applyBorder="1" applyAlignment="1">
      <alignment vertical="center" wrapText="1"/>
    </xf>
    <xf numFmtId="0" fontId="7" fillId="3" borderId="0" xfId="1809" applyFont="1" applyFill="1" applyAlignment="1">
      <alignment vertical="center" wrapText="1"/>
    </xf>
    <xf numFmtId="0" fontId="9" fillId="5" borderId="4" xfId="1809" applyFont="1" applyFill="1" applyBorder="1" applyAlignment="1">
      <alignment horizontal="left" vertical="center" wrapText="1"/>
    </xf>
    <xf numFmtId="0" fontId="385" fillId="0" borderId="1" xfId="0" applyFont="1" applyBorder="1" applyAlignment="1">
      <alignment vertical="center" wrapText="1"/>
    </xf>
    <xf numFmtId="0" fontId="398" fillId="3" borderId="0" xfId="6" applyFont="1" applyFill="1" applyProtection="1">
      <protection locked="0"/>
    </xf>
    <xf numFmtId="0" fontId="398" fillId="7" borderId="0" xfId="6" applyFont="1" applyFill="1" applyProtection="1">
      <protection locked="0"/>
    </xf>
    <xf numFmtId="0" fontId="398" fillId="0" borderId="4" xfId="6" applyFont="1" applyBorder="1" applyProtection="1">
      <protection locked="0"/>
    </xf>
    <xf numFmtId="0" fontId="398" fillId="0" borderId="0" xfId="6" applyFont="1" applyProtection="1">
      <protection locked="0"/>
    </xf>
    <xf numFmtId="0" fontId="398" fillId="0" borderId="5" xfId="6" applyFont="1" applyBorder="1" applyProtection="1">
      <protection locked="0"/>
    </xf>
    <xf numFmtId="0" fontId="475" fillId="3" borderId="0" xfId="6" applyFont="1" applyFill="1" applyProtection="1">
      <protection locked="0"/>
    </xf>
    <xf numFmtId="0" fontId="398" fillId="3" borderId="5" xfId="6" applyFont="1" applyFill="1" applyBorder="1" applyProtection="1">
      <protection locked="0"/>
    </xf>
    <xf numFmtId="0" fontId="452" fillId="3" borderId="4" xfId="6" applyFont="1" applyFill="1" applyBorder="1" applyAlignment="1" applyProtection="1">
      <alignment vertical="center"/>
      <protection locked="0"/>
    </xf>
    <xf numFmtId="0" fontId="448" fillId="3" borderId="0" xfId="6" applyFont="1" applyFill="1" applyAlignment="1" applyProtection="1">
      <alignment vertical="center"/>
      <protection locked="0"/>
    </xf>
    <xf numFmtId="0" fontId="453" fillId="3" borderId="5" xfId="6" applyFont="1" applyFill="1" applyBorder="1" applyAlignment="1" applyProtection="1">
      <alignment horizontal="right"/>
      <protection locked="0"/>
    </xf>
    <xf numFmtId="0" fontId="355" fillId="165" borderId="0" xfId="6" applyFont="1" applyFill="1" applyAlignment="1" applyProtection="1">
      <alignment horizontal="left" indent="3"/>
      <protection locked="0"/>
    </xf>
    <xf numFmtId="0" fontId="355" fillId="6" borderId="0" xfId="6" applyFont="1" applyFill="1" applyAlignment="1" applyProtection="1">
      <alignment horizontal="left" indent="3"/>
      <protection locked="0"/>
    </xf>
    <xf numFmtId="0" fontId="355" fillId="165" borderId="0" xfId="6" applyFont="1" applyFill="1" applyAlignment="1" applyProtection="1">
      <alignment horizontal="left" vertical="top" indent="3"/>
      <protection locked="0"/>
    </xf>
    <xf numFmtId="0" fontId="355" fillId="0" borderId="0" xfId="6" applyFont="1" applyAlignment="1" applyProtection="1">
      <alignment horizontal="left" indent="3"/>
      <protection locked="0"/>
    </xf>
    <xf numFmtId="0" fontId="355" fillId="6" borderId="0" xfId="6" applyFont="1" applyFill="1" applyAlignment="1" applyProtection="1">
      <alignment horizontal="left" vertical="top" indent="3"/>
      <protection locked="0"/>
    </xf>
    <xf numFmtId="0" fontId="355" fillId="3" borderId="0" xfId="6" applyFont="1" applyFill="1" applyAlignment="1" applyProtection="1">
      <alignment horizontal="left" indent="3"/>
      <protection locked="0"/>
    </xf>
    <xf numFmtId="0" fontId="413" fillId="3" borderId="0" xfId="6" applyFont="1" applyFill="1" applyAlignment="1" applyProtection="1">
      <alignment horizontal="left" indent="3"/>
      <protection locked="0"/>
    </xf>
    <xf numFmtId="0" fontId="452" fillId="3" borderId="0" xfId="6" applyFont="1" applyFill="1" applyAlignment="1" applyProtection="1">
      <alignment vertical="center"/>
      <protection locked="0"/>
    </xf>
    <xf numFmtId="0" fontId="451" fillId="172" borderId="0" xfId="11603" applyFont="1" applyFill="1" applyAlignment="1" applyProtection="1">
      <alignment horizontal="left" indent="3"/>
      <protection locked="0"/>
    </xf>
    <xf numFmtId="0" fontId="38" fillId="6" borderId="0" xfId="11604" applyFont="1" applyFill="1" applyAlignment="1" applyProtection="1">
      <alignment horizontal="left" indent="3"/>
      <protection locked="0"/>
    </xf>
    <xf numFmtId="0" fontId="451" fillId="0" borderId="0" xfId="11603" applyFont="1" applyAlignment="1" applyProtection="1">
      <alignment horizontal="left" indent="3"/>
      <protection locked="0"/>
    </xf>
    <xf numFmtId="0" fontId="398" fillId="3" borderId="4" xfId="6" applyFont="1" applyFill="1" applyBorder="1" applyProtection="1">
      <protection locked="0"/>
    </xf>
    <xf numFmtId="0" fontId="398" fillId="3" borderId="113" xfId="6" applyFont="1" applyFill="1" applyBorder="1" applyProtection="1">
      <protection locked="0"/>
    </xf>
    <xf numFmtId="0" fontId="398" fillId="3" borderId="114" xfId="6" applyFont="1" applyFill="1" applyBorder="1" applyProtection="1">
      <protection locked="0"/>
    </xf>
    <xf numFmtId="0" fontId="454" fillId="3" borderId="109" xfId="0" applyFont="1" applyFill="1" applyBorder="1" applyAlignment="1" applyProtection="1">
      <alignment horizontal="right"/>
      <protection locked="0"/>
    </xf>
    <xf numFmtId="0" fontId="0" fillId="7" borderId="0" xfId="0" applyFill="1" applyProtection="1">
      <protection locked="0"/>
    </xf>
    <xf numFmtId="0" fontId="0" fillId="7" borderId="160"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159" xfId="0" applyFill="1" applyBorder="1" applyAlignment="1" applyProtection="1">
      <alignment horizontal="center"/>
      <protection locked="0"/>
    </xf>
    <xf numFmtId="0" fontId="0" fillId="7" borderId="160" xfId="0" applyFill="1" applyBorder="1" applyProtection="1">
      <protection locked="0"/>
    </xf>
    <xf numFmtId="0" fontId="0" fillId="7" borderId="159" xfId="0" applyFill="1" applyBorder="1" applyProtection="1">
      <protection locked="0"/>
    </xf>
    <xf numFmtId="0" fontId="398" fillId="0" borderId="160" xfId="0" applyFont="1" applyBorder="1" applyProtection="1">
      <protection locked="0"/>
    </xf>
    <xf numFmtId="0" fontId="389" fillId="0" borderId="160" xfId="11603" applyBorder="1" applyAlignment="1" applyProtection="1">
      <alignment horizontal="left" indent="1"/>
      <protection locked="0"/>
    </xf>
    <xf numFmtId="0" fontId="0" fillId="0" borderId="0" xfId="0" applyProtection="1">
      <protection locked="0"/>
    </xf>
    <xf numFmtId="0" fontId="0" fillId="0" borderId="159" xfId="0" applyBorder="1" applyProtection="1">
      <protection locked="0"/>
    </xf>
    <xf numFmtId="0" fontId="399" fillId="165" borderId="160" xfId="0" applyFont="1" applyFill="1" applyBorder="1" applyProtection="1">
      <protection locked="0"/>
    </xf>
    <xf numFmtId="0" fontId="38" fillId="0" borderId="0" xfId="0" applyFont="1" applyProtection="1">
      <protection locked="0"/>
    </xf>
    <xf numFmtId="0" fontId="400" fillId="0" borderId="0" xfId="0" applyFont="1" applyProtection="1">
      <protection locked="0"/>
    </xf>
    <xf numFmtId="0" fontId="400" fillId="0" borderId="159" xfId="0" applyFont="1" applyBorder="1" applyAlignment="1" applyProtection="1">
      <alignment horizontal="right"/>
      <protection locked="0"/>
    </xf>
    <xf numFmtId="0" fontId="401" fillId="152" borderId="160" xfId="0" applyFont="1" applyFill="1" applyBorder="1" applyProtection="1">
      <protection locked="0"/>
    </xf>
    <xf numFmtId="0" fontId="403" fillId="152" borderId="0" xfId="0" applyFont="1" applyFill="1" applyAlignment="1" applyProtection="1">
      <alignment horizontal="center"/>
      <protection locked="0"/>
    </xf>
    <xf numFmtId="0" fontId="403" fillId="152" borderId="0" xfId="0" applyFont="1" applyFill="1" applyProtection="1">
      <protection locked="0"/>
    </xf>
    <xf numFmtId="0" fontId="404" fillId="152" borderId="0" xfId="0" applyFont="1" applyFill="1" applyProtection="1">
      <protection locked="0"/>
    </xf>
    <xf numFmtId="0" fontId="405" fillId="152" borderId="160" xfId="0" applyFont="1" applyFill="1" applyBorder="1" applyProtection="1">
      <protection locked="0"/>
    </xf>
    <xf numFmtId="0" fontId="405" fillId="152" borderId="0" xfId="0" applyFont="1" applyFill="1" applyAlignment="1" applyProtection="1">
      <alignment horizontal="center" vertical="center"/>
      <protection locked="0"/>
    </xf>
    <xf numFmtId="0" fontId="405" fillId="152" borderId="0" xfId="0" applyFont="1" applyFill="1" applyAlignment="1" applyProtection="1">
      <alignment vertical="center"/>
      <protection locked="0"/>
    </xf>
    <xf numFmtId="0" fontId="404" fillId="152" borderId="0" xfId="0" applyFont="1" applyFill="1" applyAlignment="1" applyProtection="1">
      <alignment vertical="center"/>
      <protection locked="0"/>
    </xf>
    <xf numFmtId="0" fontId="28" fillId="0" borderId="0" xfId="0" applyFont="1" applyAlignment="1" applyProtection="1">
      <alignment vertical="center"/>
      <protection locked="0"/>
    </xf>
    <xf numFmtId="0" fontId="28" fillId="0" borderId="0" xfId="0" applyFont="1" applyProtection="1">
      <protection locked="0"/>
    </xf>
    <xf numFmtId="0" fontId="406" fillId="152" borderId="160" xfId="0" applyFont="1" applyFill="1" applyBorder="1" applyAlignment="1" applyProtection="1">
      <alignment wrapText="1"/>
      <protection locked="0"/>
    </xf>
    <xf numFmtId="0" fontId="352" fillId="164" borderId="165" xfId="0" applyFont="1" applyFill="1" applyBorder="1" applyAlignment="1" applyProtection="1">
      <alignment horizontal="right" vertical="center" wrapText="1"/>
      <protection locked="0"/>
    </xf>
    <xf numFmtId="0" fontId="352" fillId="133" borderId="0" xfId="0" applyFont="1" applyFill="1" applyAlignment="1" applyProtection="1">
      <alignment horizontal="right" vertical="center" wrapText="1"/>
      <protection locked="0"/>
    </xf>
    <xf numFmtId="0" fontId="407" fillId="133" borderId="0" xfId="0" applyFont="1" applyFill="1" applyAlignment="1" applyProtection="1">
      <alignment horizontal="right" vertical="center" wrapText="1"/>
      <protection locked="0"/>
    </xf>
    <xf numFmtId="0" fontId="408" fillId="0" borderId="0" xfId="0" applyFont="1" applyAlignment="1" applyProtection="1">
      <alignment horizontal="center" wrapText="1"/>
      <protection locked="0"/>
    </xf>
    <xf numFmtId="0" fontId="409" fillId="134" borderId="160" xfId="0" applyFont="1" applyFill="1" applyBorder="1" applyAlignment="1" applyProtection="1">
      <alignment wrapText="1"/>
      <protection locked="0"/>
    </xf>
    <xf numFmtId="3" fontId="371" fillId="134" borderId="163" xfId="0" applyNumberFormat="1" applyFont="1" applyFill="1" applyBorder="1" applyAlignment="1" applyProtection="1">
      <alignment horizontal="right" wrapText="1"/>
      <protection locked="0"/>
    </xf>
    <xf numFmtId="3" fontId="371" fillId="134" borderId="0" xfId="0" applyNumberFormat="1" applyFont="1" applyFill="1" applyAlignment="1" applyProtection="1">
      <alignment horizontal="right" wrapText="1"/>
      <protection locked="0"/>
    </xf>
    <xf numFmtId="9" fontId="371" fillId="134" borderId="0" xfId="0" applyNumberFormat="1" applyFont="1" applyFill="1" applyAlignment="1" applyProtection="1">
      <alignment horizontal="right" wrapText="1"/>
      <protection locked="0"/>
    </xf>
    <xf numFmtId="4" fontId="371" fillId="0" borderId="0" xfId="0" applyNumberFormat="1" applyFont="1" applyAlignment="1" applyProtection="1">
      <alignment horizontal="right" wrapText="1"/>
      <protection locked="0"/>
    </xf>
    <xf numFmtId="3" fontId="371" fillId="0" borderId="0" xfId="0" applyNumberFormat="1" applyFont="1" applyAlignment="1" applyProtection="1">
      <alignment horizontal="right" wrapText="1"/>
      <protection locked="0"/>
    </xf>
    <xf numFmtId="3" fontId="0" fillId="0" borderId="0" xfId="0" applyNumberFormat="1" applyProtection="1">
      <protection locked="0"/>
    </xf>
    <xf numFmtId="0" fontId="409" fillId="152" borderId="160" xfId="0" applyFont="1" applyFill="1" applyBorder="1" applyAlignment="1" applyProtection="1">
      <alignment wrapText="1"/>
      <protection locked="0"/>
    </xf>
    <xf numFmtId="3" fontId="371" fillId="152" borderId="163" xfId="0" applyNumberFormat="1" applyFont="1" applyFill="1" applyBorder="1" applyAlignment="1" applyProtection="1">
      <alignment horizontal="right" wrapText="1"/>
      <protection locked="0"/>
    </xf>
    <xf numFmtId="3" fontId="371" fillId="152" borderId="0" xfId="0" applyNumberFormat="1" applyFont="1" applyFill="1" applyAlignment="1" applyProtection="1">
      <alignment horizontal="right" wrapText="1"/>
      <protection locked="0"/>
    </xf>
    <xf numFmtId="9" fontId="371" fillId="147" borderId="0" xfId="0" applyNumberFormat="1" applyFont="1" applyFill="1" applyAlignment="1" applyProtection="1">
      <alignment horizontal="right" wrapText="1"/>
      <protection locked="0"/>
    </xf>
    <xf numFmtId="0" fontId="412" fillId="0" borderId="0" xfId="0" applyFont="1" applyAlignment="1" applyProtection="1">
      <alignment vertical="center" wrapText="1"/>
      <protection locked="0"/>
    </xf>
    <xf numFmtId="0" fontId="0" fillId="7" borderId="0" xfId="0" applyFill="1" applyAlignment="1" applyProtection="1">
      <alignment wrapText="1"/>
      <protection locked="0"/>
    </xf>
    <xf numFmtId="3" fontId="371" fillId="134" borderId="161" xfId="0" applyNumberFormat="1" applyFont="1" applyFill="1" applyBorder="1" applyAlignment="1" applyProtection="1">
      <alignment horizontal="right" wrapText="1"/>
      <protection locked="0"/>
    </xf>
    <xf numFmtId="0" fontId="413" fillId="152" borderId="160" xfId="0" applyFont="1" applyFill="1" applyBorder="1" applyProtection="1">
      <protection locked="0"/>
    </xf>
    <xf numFmtId="3" fontId="413" fillId="152" borderId="0" xfId="0" applyNumberFormat="1" applyFont="1" applyFill="1" applyAlignment="1" applyProtection="1">
      <alignment horizontal="center"/>
      <protection locked="0"/>
    </xf>
    <xf numFmtId="0" fontId="413" fillId="152" borderId="0" xfId="0" applyFont="1" applyFill="1" applyAlignment="1" applyProtection="1">
      <alignment horizontal="center"/>
      <protection locked="0"/>
    </xf>
    <xf numFmtId="0" fontId="413" fillId="152" borderId="0" xfId="0" applyFont="1" applyFill="1" applyProtection="1">
      <protection locked="0"/>
    </xf>
    <xf numFmtId="0" fontId="394" fillId="152" borderId="160" xfId="0" applyFont="1" applyFill="1" applyBorder="1" applyProtection="1">
      <protection locked="0"/>
    </xf>
    <xf numFmtId="0" fontId="414" fillId="152" borderId="0" xfId="0" applyFont="1" applyFill="1" applyAlignment="1" applyProtection="1">
      <alignment horizontal="center"/>
      <protection locked="0"/>
    </xf>
    <xf numFmtId="0" fontId="414" fillId="152" borderId="0" xfId="0" applyFont="1" applyFill="1" applyProtection="1">
      <protection locked="0"/>
    </xf>
    <xf numFmtId="0" fontId="394" fillId="152" borderId="160" xfId="0" applyFont="1" applyFill="1" applyBorder="1" applyAlignment="1" applyProtection="1">
      <alignment horizontal="left"/>
      <protection locked="0"/>
    </xf>
    <xf numFmtId="0" fontId="394" fillId="152" borderId="0" xfId="0" applyFont="1" applyFill="1" applyAlignment="1" applyProtection="1">
      <alignment horizontal="left"/>
      <protection locked="0"/>
    </xf>
    <xf numFmtId="0" fontId="394" fillId="152" borderId="0" xfId="0" applyFont="1" applyFill="1" applyAlignment="1" applyProtection="1">
      <alignment horizontal="left" vertical="top" wrapText="1"/>
      <protection locked="0"/>
    </xf>
    <xf numFmtId="0" fontId="394" fillId="152" borderId="0" xfId="0" applyFont="1" applyFill="1" applyAlignment="1" applyProtection="1">
      <alignment horizontal="left" wrapText="1"/>
      <protection locked="0"/>
    </xf>
    <xf numFmtId="0" fontId="415" fillId="152" borderId="160" xfId="0" applyFont="1" applyFill="1" applyBorder="1" applyProtection="1">
      <protection locked="0"/>
    </xf>
    <xf numFmtId="0" fontId="415" fillId="152" borderId="0" xfId="0" applyFont="1" applyFill="1" applyAlignment="1" applyProtection="1">
      <alignment horizontal="center"/>
      <protection locked="0"/>
    </xf>
    <xf numFmtId="0" fontId="415" fillId="152" borderId="0" xfId="0" applyFont="1" applyFill="1" applyProtection="1">
      <protection locked="0"/>
    </xf>
    <xf numFmtId="0" fontId="416" fillId="152" borderId="160" xfId="0" applyFont="1" applyFill="1" applyBorder="1" applyProtection="1">
      <protection locked="0"/>
    </xf>
    <xf numFmtId="0" fontId="417" fillId="152" borderId="0" xfId="0" applyFont="1" applyFill="1" applyAlignment="1" applyProtection="1">
      <alignment horizontal="center"/>
      <protection locked="0"/>
    </xf>
    <xf numFmtId="0" fontId="417" fillId="152" borderId="0" xfId="0" applyFont="1" applyFill="1" applyProtection="1">
      <protection locked="0"/>
    </xf>
    <xf numFmtId="0" fontId="418" fillId="152" borderId="0" xfId="0" applyFont="1" applyFill="1" applyProtection="1">
      <protection locked="0"/>
    </xf>
    <xf numFmtId="0" fontId="340" fillId="133" borderId="0" xfId="0" applyFont="1" applyFill="1" applyAlignment="1" applyProtection="1">
      <alignment horizontal="right" vertical="center" wrapText="1"/>
      <protection locked="0"/>
    </xf>
    <xf numFmtId="0" fontId="340" fillId="0" borderId="0" xfId="0" applyFont="1" applyAlignment="1" applyProtection="1">
      <alignment horizontal="right" wrapText="1"/>
      <protection locked="0"/>
    </xf>
    <xf numFmtId="0" fontId="371" fillId="152" borderId="160" xfId="0" applyFont="1" applyFill="1" applyBorder="1" applyProtection="1">
      <protection locked="0"/>
    </xf>
    <xf numFmtId="173" fontId="371" fillId="152" borderId="163" xfId="0" applyNumberFormat="1" applyFont="1" applyFill="1" applyBorder="1" applyAlignment="1" applyProtection="1">
      <alignment horizontal="right"/>
      <protection locked="0"/>
    </xf>
    <xf numFmtId="173" fontId="371" fillId="152" borderId="0" xfId="0" applyNumberFormat="1" applyFont="1" applyFill="1" applyAlignment="1" applyProtection="1">
      <alignment horizontal="right"/>
      <protection locked="0"/>
    </xf>
    <xf numFmtId="0" fontId="371" fillId="152" borderId="0" xfId="0" applyFont="1" applyFill="1" applyAlignment="1" applyProtection="1">
      <alignment horizontal="right"/>
      <protection locked="0"/>
    </xf>
    <xf numFmtId="0" fontId="371" fillId="0" borderId="0" xfId="0" applyFont="1" applyAlignment="1" applyProtection="1">
      <alignment horizontal="right" wrapText="1"/>
      <protection locked="0"/>
    </xf>
    <xf numFmtId="0" fontId="371" fillId="152" borderId="163" xfId="0" applyFont="1" applyFill="1" applyBorder="1" applyAlignment="1" applyProtection="1">
      <alignment horizontal="right"/>
      <protection locked="0"/>
    </xf>
    <xf numFmtId="0" fontId="371" fillId="134" borderId="160" xfId="0" applyFont="1" applyFill="1" applyBorder="1" applyProtection="1">
      <protection locked="0"/>
    </xf>
    <xf numFmtId="0" fontId="371" fillId="134" borderId="163" xfId="0" applyFont="1" applyFill="1" applyBorder="1" applyAlignment="1" applyProtection="1">
      <alignment horizontal="right"/>
      <protection locked="0"/>
    </xf>
    <xf numFmtId="0" fontId="371" fillId="134" borderId="0" xfId="0" applyFont="1" applyFill="1" applyAlignment="1" applyProtection="1">
      <alignment horizontal="right"/>
      <protection locked="0"/>
    </xf>
    <xf numFmtId="0" fontId="371" fillId="161" borderId="161" xfId="0" applyFont="1" applyFill="1" applyBorder="1" applyAlignment="1" applyProtection="1">
      <alignment horizontal="right"/>
      <protection locked="0"/>
    </xf>
    <xf numFmtId="0" fontId="413" fillId="152" borderId="160" xfId="0" applyFont="1" applyFill="1" applyBorder="1" applyAlignment="1" applyProtection="1">
      <alignment wrapText="1"/>
      <protection locked="0"/>
    </xf>
    <xf numFmtId="173" fontId="413" fillId="152" borderId="0" xfId="0" applyNumberFormat="1" applyFont="1" applyFill="1" applyAlignment="1" applyProtection="1">
      <alignment horizontal="center" wrapText="1"/>
      <protection locked="0"/>
    </xf>
    <xf numFmtId="297" fontId="413" fillId="152" borderId="0" xfId="0" applyNumberFormat="1" applyFont="1" applyFill="1" applyAlignment="1" applyProtection="1">
      <alignment horizontal="center" wrapText="1"/>
      <protection locked="0"/>
    </xf>
    <xf numFmtId="297" fontId="413" fillId="152" borderId="0" xfId="0" applyNumberFormat="1" applyFont="1" applyFill="1" applyAlignment="1" applyProtection="1">
      <alignment wrapText="1"/>
      <protection locked="0"/>
    </xf>
    <xf numFmtId="0" fontId="413" fillId="152" borderId="0" xfId="0" applyFont="1" applyFill="1" applyAlignment="1" applyProtection="1">
      <alignment wrapText="1"/>
      <protection locked="0"/>
    </xf>
    <xf numFmtId="0" fontId="413" fillId="152" borderId="0" xfId="0" applyFont="1" applyFill="1" applyAlignment="1" applyProtection="1">
      <alignment horizontal="right" vertical="top" wrapText="1"/>
      <protection locked="0"/>
    </xf>
    <xf numFmtId="0" fontId="413" fillId="152" borderId="0" xfId="0" applyFont="1" applyFill="1" applyAlignment="1" applyProtection="1">
      <alignment horizontal="right" wrapText="1"/>
      <protection locked="0"/>
    </xf>
    <xf numFmtId="0" fontId="394" fillId="152" borderId="0" xfId="0" applyFont="1" applyFill="1" applyAlignment="1" applyProtection="1">
      <alignment horizontal="center"/>
      <protection locked="0"/>
    </xf>
    <xf numFmtId="0" fontId="394" fillId="152" borderId="0" xfId="0" applyFont="1" applyFill="1" applyProtection="1">
      <protection locked="0"/>
    </xf>
    <xf numFmtId="0" fontId="394" fillId="152" borderId="0" xfId="0" applyFont="1" applyFill="1" applyAlignment="1" applyProtection="1">
      <alignment horizontal="right" vertical="top" wrapText="1"/>
      <protection locked="0"/>
    </xf>
    <xf numFmtId="0" fontId="394" fillId="152" borderId="0" xfId="0" applyFont="1" applyFill="1" applyAlignment="1" applyProtection="1">
      <alignment horizontal="right" wrapText="1"/>
      <protection locked="0"/>
    </xf>
    <xf numFmtId="0" fontId="0" fillId="0" borderId="0" xfId="0" applyAlignment="1" applyProtection="1">
      <alignment vertical="top"/>
      <protection locked="0"/>
    </xf>
    <xf numFmtId="0" fontId="394" fillId="0" borderId="160" xfId="0" applyFont="1" applyBorder="1" applyProtection="1">
      <protection locked="0"/>
    </xf>
    <xf numFmtId="0" fontId="394" fillId="0" borderId="0" xfId="0" applyFont="1" applyAlignment="1" applyProtection="1">
      <alignment horizontal="center" vertical="top"/>
      <protection locked="0"/>
    </xf>
    <xf numFmtId="0" fontId="394" fillId="0" borderId="0" xfId="0" applyFont="1" applyAlignment="1" applyProtection="1">
      <alignment vertical="top"/>
      <protection locked="0"/>
    </xf>
    <xf numFmtId="0" fontId="404" fillId="0" borderId="0" xfId="0" applyFont="1" applyAlignment="1" applyProtection="1">
      <alignment vertical="top"/>
      <protection locked="0"/>
    </xf>
    <xf numFmtId="0" fontId="0" fillId="0" borderId="159" xfId="0" applyBorder="1" applyAlignment="1" applyProtection="1">
      <alignment vertical="top"/>
      <protection locked="0"/>
    </xf>
    <xf numFmtId="0" fontId="419" fillId="152" borderId="160" xfId="0" applyFont="1" applyFill="1" applyBorder="1" applyProtection="1">
      <protection locked="0"/>
    </xf>
    <xf numFmtId="0" fontId="419" fillId="152" borderId="0" xfId="0" applyFont="1" applyFill="1" applyAlignment="1" applyProtection="1">
      <alignment horizontal="center"/>
      <protection locked="0"/>
    </xf>
    <xf numFmtId="0" fontId="419" fillId="152" borderId="0" xfId="0" applyFont="1" applyFill="1" applyProtection="1">
      <protection locked="0"/>
    </xf>
    <xf numFmtId="0" fontId="371" fillId="159" borderId="160" xfId="0" applyFont="1" applyFill="1" applyBorder="1" applyAlignment="1" applyProtection="1">
      <alignment wrapText="1"/>
      <protection locked="0"/>
    </xf>
    <xf numFmtId="173" fontId="371" fillId="134" borderId="163" xfId="0" applyNumberFormat="1" applyFont="1" applyFill="1" applyBorder="1" applyAlignment="1" applyProtection="1">
      <alignment horizontal="right" wrapText="1"/>
      <protection locked="0"/>
    </xf>
    <xf numFmtId="173" fontId="371" fillId="134" borderId="0" xfId="1" applyNumberFormat="1" applyFont="1" applyFill="1" applyBorder="1" applyAlignment="1" applyProtection="1">
      <alignment horizontal="right" wrapText="1"/>
      <protection locked="0"/>
    </xf>
    <xf numFmtId="0" fontId="371" fillId="134" borderId="0" xfId="0" applyFont="1" applyFill="1" applyAlignment="1" applyProtection="1">
      <alignment horizontal="right" wrapText="1"/>
      <protection locked="0"/>
    </xf>
    <xf numFmtId="2" fontId="371" fillId="134" borderId="0" xfId="0" applyNumberFormat="1" applyFont="1" applyFill="1" applyAlignment="1" applyProtection="1">
      <alignment horizontal="right" wrapText="1"/>
      <protection locked="0"/>
    </xf>
    <xf numFmtId="0" fontId="371" fillId="152" borderId="160" xfId="0" applyFont="1" applyFill="1" applyBorder="1" applyAlignment="1" applyProtection="1">
      <alignment wrapText="1"/>
      <protection locked="0"/>
    </xf>
    <xf numFmtId="173" fontId="371" fillId="152" borderId="163" xfId="0" applyNumberFormat="1" applyFont="1" applyFill="1" applyBorder="1" applyAlignment="1" applyProtection="1">
      <alignment horizontal="right" wrapText="1"/>
      <protection locked="0"/>
    </xf>
    <xf numFmtId="173" fontId="371" fillId="152" borderId="0" xfId="1" applyNumberFormat="1" applyFont="1" applyFill="1" applyBorder="1" applyAlignment="1" applyProtection="1">
      <alignment horizontal="right" wrapText="1"/>
      <protection locked="0"/>
    </xf>
    <xf numFmtId="0" fontId="371" fillId="152" borderId="0" xfId="0" applyFont="1" applyFill="1" applyAlignment="1" applyProtection="1">
      <alignment horizontal="right" wrapText="1"/>
      <protection locked="0"/>
    </xf>
    <xf numFmtId="0" fontId="371" fillId="134" borderId="160" xfId="0" applyFont="1" applyFill="1" applyBorder="1" applyAlignment="1" applyProtection="1">
      <alignment wrapText="1"/>
      <protection locked="0"/>
    </xf>
    <xf numFmtId="173" fontId="371" fillId="134" borderId="161" xfId="0" applyNumberFormat="1" applyFont="1" applyFill="1" applyBorder="1" applyAlignment="1" applyProtection="1">
      <alignment horizontal="right" wrapText="1"/>
      <protection locked="0"/>
    </xf>
    <xf numFmtId="0" fontId="420" fillId="152" borderId="160" xfId="0" applyFont="1" applyFill="1" applyBorder="1" applyProtection="1">
      <protection locked="0"/>
    </xf>
    <xf numFmtId="173" fontId="420" fillId="152" borderId="0" xfId="0" applyNumberFormat="1" applyFont="1" applyFill="1" applyAlignment="1" applyProtection="1">
      <alignment horizontal="center"/>
      <protection locked="0"/>
    </xf>
    <xf numFmtId="0" fontId="420" fillId="152" borderId="0" xfId="0" applyFont="1" applyFill="1" applyAlignment="1" applyProtection="1">
      <alignment horizontal="center"/>
      <protection locked="0"/>
    </xf>
    <xf numFmtId="0" fontId="420" fillId="152" borderId="0" xfId="0" applyFont="1" applyFill="1" applyProtection="1">
      <protection locked="0"/>
    </xf>
    <xf numFmtId="0" fontId="371" fillId="152" borderId="0" xfId="0" applyFont="1" applyFill="1" applyAlignment="1" applyProtection="1">
      <alignment horizontal="center"/>
      <protection locked="0"/>
    </xf>
    <xf numFmtId="0" fontId="394" fillId="7" borderId="160" xfId="0" applyFont="1" applyFill="1" applyBorder="1" applyProtection="1">
      <protection locked="0"/>
    </xf>
    <xf numFmtId="0" fontId="414" fillId="7" borderId="0" xfId="0" applyFont="1" applyFill="1" applyAlignment="1" applyProtection="1">
      <alignment wrapText="1"/>
      <protection locked="0"/>
    </xf>
    <xf numFmtId="0" fontId="371" fillId="152" borderId="0" xfId="0" applyFont="1" applyFill="1" applyAlignment="1" applyProtection="1">
      <alignment vertical="top"/>
      <protection locked="0"/>
    </xf>
    <xf numFmtId="0" fontId="371" fillId="152" borderId="0" xfId="0" applyFont="1" applyFill="1" applyAlignment="1" applyProtection="1">
      <alignment horizontal="left" vertical="top" wrapText="1"/>
      <protection locked="0"/>
    </xf>
    <xf numFmtId="173" fontId="371" fillId="134" borderId="163" xfId="0" applyNumberFormat="1" applyFont="1" applyFill="1" applyBorder="1" applyAlignment="1" applyProtection="1">
      <alignment horizontal="right"/>
      <protection locked="0"/>
    </xf>
    <xf numFmtId="173" fontId="371" fillId="134" borderId="0" xfId="0" applyNumberFormat="1" applyFont="1" applyFill="1" applyAlignment="1" applyProtection="1">
      <alignment horizontal="right"/>
      <protection locked="0"/>
    </xf>
    <xf numFmtId="0" fontId="353" fillId="134" borderId="160" xfId="0" applyFont="1" applyFill="1" applyBorder="1" applyProtection="1">
      <protection locked="0"/>
    </xf>
    <xf numFmtId="0" fontId="353" fillId="152" borderId="160" xfId="0" applyFont="1" applyFill="1" applyBorder="1" applyProtection="1">
      <protection locked="0"/>
    </xf>
    <xf numFmtId="173" fontId="371" fillId="0" borderId="163" xfId="1" applyNumberFormat="1" applyFont="1" applyFill="1" applyBorder="1" applyAlignment="1" applyProtection="1">
      <alignment horizontal="right"/>
      <protection locked="0"/>
    </xf>
    <xf numFmtId="173" fontId="371" fillId="0" borderId="0" xfId="1" applyNumberFormat="1" applyFont="1" applyFill="1" applyBorder="1" applyAlignment="1" applyProtection="1">
      <alignment horizontal="right"/>
      <protection locked="0"/>
    </xf>
    <xf numFmtId="173" fontId="371" fillId="0" borderId="0" xfId="1" applyNumberFormat="1" applyFont="1" applyFill="1" applyBorder="1" applyAlignment="1" applyProtection="1">
      <protection locked="0"/>
    </xf>
    <xf numFmtId="173" fontId="353" fillId="0" borderId="0" xfId="0" applyNumberFormat="1" applyFont="1" applyAlignment="1" applyProtection="1">
      <alignment horizontal="right"/>
      <protection locked="0"/>
    </xf>
    <xf numFmtId="173" fontId="371" fillId="0" borderId="161" xfId="1" applyNumberFormat="1" applyFont="1" applyFill="1" applyBorder="1" applyAlignment="1" applyProtection="1">
      <alignment horizontal="right"/>
      <protection locked="0"/>
    </xf>
    <xf numFmtId="0" fontId="413" fillId="152" borderId="0" xfId="0" applyFont="1" applyFill="1" applyAlignment="1" applyProtection="1">
      <alignment horizontal="center" wrapText="1"/>
      <protection locked="0"/>
    </xf>
    <xf numFmtId="0" fontId="371" fillId="152" borderId="160" xfId="0" applyFont="1" applyFill="1" applyBorder="1" applyAlignment="1" applyProtection="1">
      <alignment horizontal="left" vertical="top"/>
      <protection locked="0"/>
    </xf>
    <xf numFmtId="0" fontId="401" fillId="0" borderId="160" xfId="0" applyFont="1" applyBorder="1" applyProtection="1">
      <protection locked="0"/>
    </xf>
    <xf numFmtId="1" fontId="371" fillId="152" borderId="163" xfId="0" applyNumberFormat="1" applyFont="1" applyFill="1" applyBorder="1" applyAlignment="1" applyProtection="1">
      <alignment horizontal="right" wrapText="1"/>
      <protection locked="0"/>
    </xf>
    <xf numFmtId="1" fontId="371" fillId="152" borderId="0" xfId="0" applyNumberFormat="1" applyFont="1" applyFill="1" applyAlignment="1" applyProtection="1">
      <alignment horizontal="right" wrapText="1"/>
      <protection locked="0"/>
    </xf>
    <xf numFmtId="1" fontId="371" fillId="134" borderId="161" xfId="0" applyNumberFormat="1" applyFont="1" applyFill="1" applyBorder="1" applyAlignment="1" applyProtection="1">
      <alignment horizontal="right" wrapText="1"/>
      <protection locked="0"/>
    </xf>
    <xf numFmtId="1" fontId="371" fillId="134" borderId="0" xfId="0" applyNumberFormat="1" applyFont="1" applyFill="1" applyAlignment="1" applyProtection="1">
      <alignment horizontal="right" wrapText="1"/>
      <protection locked="0"/>
    </xf>
    <xf numFmtId="0" fontId="394" fillId="152" borderId="160" xfId="0" applyFont="1" applyFill="1" applyBorder="1" applyAlignment="1" applyProtection="1">
      <alignment wrapText="1"/>
      <protection locked="0"/>
    </xf>
    <xf numFmtId="0" fontId="414" fillId="152" borderId="0" xfId="0" applyFont="1" applyFill="1" applyAlignment="1" applyProtection="1">
      <alignment wrapText="1"/>
      <protection locked="0"/>
    </xf>
    <xf numFmtId="0" fontId="414" fillId="0" borderId="0" xfId="0" applyFont="1" applyAlignment="1" applyProtection="1">
      <alignment wrapText="1"/>
      <protection locked="0"/>
    </xf>
    <xf numFmtId="0" fontId="336" fillId="0" borderId="0" xfId="0" applyFont="1" applyProtection="1">
      <protection locked="0"/>
    </xf>
    <xf numFmtId="0" fontId="394" fillId="152" borderId="160" xfId="0" applyFont="1" applyFill="1" applyBorder="1" applyAlignment="1" applyProtection="1">
      <alignment vertical="top"/>
      <protection locked="0"/>
    </xf>
    <xf numFmtId="0" fontId="414" fillId="0" borderId="0" xfId="0" applyFont="1" applyProtection="1">
      <protection locked="0"/>
    </xf>
    <xf numFmtId="0" fontId="0" fillId="0" borderId="0" xfId="0" applyAlignment="1" applyProtection="1">
      <alignment horizontal="center"/>
      <protection locked="0"/>
    </xf>
    <xf numFmtId="0" fontId="0" fillId="0" borderId="160" xfId="0" applyBorder="1" applyProtection="1">
      <protection locked="0"/>
    </xf>
    <xf numFmtId="0" fontId="403" fillId="152" borderId="160" xfId="0" applyFont="1" applyFill="1" applyBorder="1" applyProtection="1">
      <protection locked="0"/>
    </xf>
    <xf numFmtId="0" fontId="28" fillId="147" borderId="0" xfId="0" applyFont="1" applyFill="1" applyProtection="1">
      <protection locked="0"/>
    </xf>
    <xf numFmtId="168" fontId="371" fillId="0" borderId="163" xfId="10" applyNumberFormat="1" applyFont="1" applyFill="1" applyBorder="1" applyAlignment="1" applyProtection="1">
      <alignment wrapText="1"/>
      <protection locked="0"/>
    </xf>
    <xf numFmtId="168" fontId="371" fillId="0" borderId="0" xfId="10" applyNumberFormat="1" applyFont="1" applyFill="1" applyBorder="1" applyAlignment="1" applyProtection="1">
      <alignment wrapText="1"/>
      <protection locked="0"/>
    </xf>
    <xf numFmtId="3" fontId="353" fillId="0" borderId="0" xfId="0" applyNumberFormat="1" applyFont="1" applyAlignment="1" applyProtection="1">
      <alignment horizontal="right" wrapText="1"/>
      <protection locked="0"/>
    </xf>
    <xf numFmtId="167" fontId="371" fillId="134" borderId="161" xfId="1" applyNumberFormat="1" applyFont="1" applyFill="1" applyBorder="1" applyAlignment="1" applyProtection="1">
      <alignment wrapText="1"/>
      <protection locked="0"/>
    </xf>
    <xf numFmtId="167" fontId="371" fillId="134" borderId="0" xfId="1" applyNumberFormat="1" applyFont="1" applyFill="1" applyBorder="1" applyAlignment="1" applyProtection="1">
      <alignment wrapText="1"/>
      <protection locked="0"/>
    </xf>
    <xf numFmtId="167" fontId="353" fillId="134" borderId="0" xfId="1" applyNumberFormat="1" applyFont="1" applyFill="1" applyBorder="1" applyAlignment="1" applyProtection="1">
      <alignment horizontal="right" wrapText="1"/>
      <protection locked="0"/>
    </xf>
    <xf numFmtId="0" fontId="371" fillId="152" borderId="0" xfId="0" applyFont="1" applyFill="1" applyAlignment="1" applyProtection="1">
      <alignment vertical="center"/>
      <protection locked="0"/>
    </xf>
    <xf numFmtId="0" fontId="371" fillId="152" borderId="159" xfId="0" applyFont="1" applyFill="1" applyBorder="1" applyAlignment="1" applyProtection="1">
      <alignment vertical="center"/>
      <protection locked="0"/>
    </xf>
    <xf numFmtId="0" fontId="404" fillId="152" borderId="159" xfId="0" applyFont="1" applyFill="1" applyBorder="1" applyProtection="1">
      <protection locked="0"/>
    </xf>
    <xf numFmtId="0" fontId="421" fillId="7" borderId="160" xfId="0" applyFont="1" applyFill="1" applyBorder="1" applyProtection="1">
      <protection locked="0"/>
    </xf>
    <xf numFmtId="0" fontId="401" fillId="152" borderId="160" xfId="0" applyFont="1" applyFill="1" applyBorder="1" applyAlignment="1" applyProtection="1">
      <alignment horizontal="left"/>
      <protection locked="0"/>
    </xf>
    <xf numFmtId="0" fontId="403" fillId="152" borderId="0" xfId="0" applyFont="1" applyFill="1" applyAlignment="1" applyProtection="1">
      <alignment horizontal="left"/>
      <protection locked="0"/>
    </xf>
    <xf numFmtId="0" fontId="420" fillId="152" borderId="160" xfId="0" applyFont="1" applyFill="1" applyBorder="1" applyAlignment="1" applyProtection="1">
      <alignment wrapText="1"/>
      <protection locked="0"/>
    </xf>
    <xf numFmtId="168" fontId="371" fillId="134" borderId="163" xfId="10" applyNumberFormat="1" applyFont="1" applyFill="1" applyBorder="1" applyAlignment="1" applyProtection="1">
      <protection locked="0"/>
    </xf>
    <xf numFmtId="168" fontId="371" fillId="134" borderId="0" xfId="10" applyNumberFormat="1" applyFont="1" applyFill="1" applyBorder="1" applyAlignment="1" applyProtection="1">
      <protection locked="0"/>
    </xf>
    <xf numFmtId="3" fontId="353" fillId="134" borderId="0" xfId="0" applyNumberFormat="1" applyFont="1" applyFill="1" applyAlignment="1" applyProtection="1">
      <alignment horizontal="right"/>
      <protection locked="0"/>
    </xf>
    <xf numFmtId="167" fontId="371" fillId="134" borderId="0" xfId="0" applyNumberFormat="1" applyFont="1" applyFill="1" applyAlignment="1" applyProtection="1">
      <alignment horizontal="right"/>
      <protection locked="0"/>
    </xf>
    <xf numFmtId="0" fontId="371" fillId="0" borderId="159" xfId="0" applyFont="1" applyBorder="1" applyAlignment="1" applyProtection="1">
      <alignment horizontal="right" wrapText="1"/>
      <protection locked="0"/>
    </xf>
    <xf numFmtId="168" fontId="371" fillId="0" borderId="163" xfId="10" applyNumberFormat="1" applyFont="1" applyFill="1" applyBorder="1" applyAlignment="1" applyProtection="1">
      <protection locked="0"/>
    </xf>
    <xf numFmtId="168" fontId="371" fillId="0" borderId="0" xfId="10" applyNumberFormat="1" applyFont="1" applyFill="1" applyBorder="1" applyAlignment="1" applyProtection="1">
      <protection locked="0"/>
    </xf>
    <xf numFmtId="3" fontId="353" fillId="0" borderId="0" xfId="0" applyNumberFormat="1" applyFont="1" applyAlignment="1" applyProtection="1">
      <alignment horizontal="right"/>
      <protection locked="0"/>
    </xf>
    <xf numFmtId="167" fontId="371" fillId="147" borderId="0" xfId="0" applyNumberFormat="1" applyFont="1" applyFill="1" applyAlignment="1" applyProtection="1">
      <alignment horizontal="right"/>
      <protection locked="0"/>
    </xf>
    <xf numFmtId="0" fontId="371" fillId="0" borderId="159" xfId="0" applyFont="1" applyBorder="1" applyAlignment="1" applyProtection="1">
      <alignment horizontal="right" vertical="top" wrapText="1"/>
      <protection locked="0"/>
    </xf>
    <xf numFmtId="0" fontId="353" fillId="170" borderId="160" xfId="0" applyFont="1" applyFill="1" applyBorder="1" applyProtection="1">
      <protection locked="0"/>
    </xf>
    <xf numFmtId="0" fontId="393" fillId="170" borderId="163" xfId="0" applyFont="1" applyFill="1" applyBorder="1" applyProtection="1">
      <protection locked="0"/>
    </xf>
    <xf numFmtId="0" fontId="393" fillId="170" borderId="0" xfId="0" applyFont="1" applyFill="1" applyProtection="1">
      <protection locked="0"/>
    </xf>
    <xf numFmtId="0" fontId="353" fillId="170" borderId="0" xfId="0" applyFont="1" applyFill="1" applyAlignment="1" applyProtection="1">
      <alignment horizontal="right"/>
      <protection locked="0"/>
    </xf>
    <xf numFmtId="167" fontId="393" fillId="170" borderId="0" xfId="0" applyNumberFormat="1" applyFont="1" applyFill="1" applyProtection="1">
      <protection locked="0"/>
    </xf>
    <xf numFmtId="0" fontId="393" fillId="0" borderId="4" xfId="0" applyFont="1" applyBorder="1" applyAlignment="1" applyProtection="1">
      <alignment wrapText="1"/>
      <protection locked="0"/>
    </xf>
    <xf numFmtId="167" fontId="371" fillId="134" borderId="0" xfId="1" applyNumberFormat="1" applyFont="1" applyFill="1" applyBorder="1" applyAlignment="1" applyProtection="1">
      <alignment horizontal="right"/>
      <protection locked="0"/>
    </xf>
    <xf numFmtId="167" fontId="371" fillId="134" borderId="177" xfId="1" applyNumberFormat="1" applyFont="1" applyFill="1" applyBorder="1" applyAlignment="1" applyProtection="1">
      <alignment horizontal="right"/>
      <protection locked="0"/>
    </xf>
    <xf numFmtId="167" fontId="371" fillId="7" borderId="0" xfId="1" applyNumberFormat="1" applyFont="1" applyFill="1" applyBorder="1" applyAlignment="1" applyProtection="1">
      <alignment horizontal="right"/>
      <protection locked="0"/>
    </xf>
    <xf numFmtId="0" fontId="353" fillId="134" borderId="158" xfId="0" applyFont="1" applyFill="1" applyBorder="1" applyProtection="1">
      <protection locked="0"/>
    </xf>
    <xf numFmtId="168" fontId="371" fillId="134" borderId="172" xfId="10" applyNumberFormat="1" applyFont="1" applyFill="1" applyBorder="1" applyAlignment="1" applyProtection="1">
      <protection locked="0"/>
    </xf>
    <xf numFmtId="168" fontId="371" fillId="134" borderId="157" xfId="10" applyNumberFormat="1" applyFont="1" applyFill="1" applyBorder="1" applyAlignment="1" applyProtection="1">
      <protection locked="0"/>
    </xf>
    <xf numFmtId="3" fontId="353" fillId="134" borderId="157" xfId="0" applyNumberFormat="1" applyFont="1" applyFill="1" applyBorder="1" applyAlignment="1" applyProtection="1">
      <alignment horizontal="right"/>
      <protection locked="0"/>
    </xf>
    <xf numFmtId="167" fontId="371" fillId="134" borderId="157" xfId="1" applyNumberFormat="1" applyFont="1" applyFill="1" applyBorder="1" applyAlignment="1" applyProtection="1">
      <alignment horizontal="right"/>
      <protection locked="0"/>
    </xf>
    <xf numFmtId="0" fontId="353" fillId="0" borderId="159" xfId="0" applyFont="1" applyBorder="1" applyAlignment="1" applyProtection="1">
      <alignment horizontal="right" wrapText="1"/>
      <protection locked="0"/>
    </xf>
    <xf numFmtId="167" fontId="371" fillId="147" borderId="0" xfId="1" applyNumberFormat="1" applyFont="1" applyFill="1" applyBorder="1" applyAlignment="1" applyProtection="1">
      <alignment horizontal="right"/>
      <protection locked="0"/>
    </xf>
    <xf numFmtId="2" fontId="371" fillId="134" borderId="0" xfId="1" applyNumberFormat="1" applyFont="1" applyFill="1" applyBorder="1" applyAlignment="1" applyProtection="1">
      <alignment horizontal="right"/>
      <protection locked="0"/>
    </xf>
    <xf numFmtId="0" fontId="353" fillId="170" borderId="163" xfId="0" applyFont="1" applyFill="1" applyBorder="1" applyProtection="1">
      <protection locked="0"/>
    </xf>
    <xf numFmtId="0" fontId="353" fillId="170" borderId="0" xfId="0" applyFont="1" applyFill="1" applyProtection="1">
      <protection locked="0"/>
    </xf>
    <xf numFmtId="0" fontId="353" fillId="170" borderId="176" xfId="0" applyFont="1" applyFill="1" applyBorder="1" applyProtection="1">
      <protection locked="0"/>
    </xf>
    <xf numFmtId="0" fontId="353" fillId="0" borderId="0" xfId="0" applyFont="1" applyAlignment="1" applyProtection="1">
      <alignment wrapText="1"/>
      <protection locked="0"/>
    </xf>
    <xf numFmtId="0" fontId="353" fillId="0" borderId="159" xfId="0" applyFont="1" applyBorder="1" applyAlignment="1" applyProtection="1">
      <alignment wrapText="1"/>
      <protection locked="0"/>
    </xf>
    <xf numFmtId="168" fontId="353" fillId="0" borderId="163" xfId="10" applyNumberFormat="1" applyFont="1" applyFill="1" applyBorder="1" applyAlignment="1" applyProtection="1">
      <protection locked="0"/>
    </xf>
    <xf numFmtId="168" fontId="353" fillId="0" borderId="0" xfId="10" applyNumberFormat="1" applyFont="1" applyFill="1" applyBorder="1" applyAlignment="1" applyProtection="1">
      <protection locked="0"/>
    </xf>
    <xf numFmtId="1" fontId="353" fillId="0" borderId="0" xfId="0" applyNumberFormat="1" applyFont="1" applyAlignment="1" applyProtection="1">
      <alignment horizontal="right"/>
      <protection locked="0"/>
    </xf>
    <xf numFmtId="10" fontId="371" fillId="147" borderId="0" xfId="0" applyNumberFormat="1" applyFont="1" applyFill="1" applyAlignment="1" applyProtection="1">
      <alignment horizontal="right"/>
      <protection locked="0"/>
    </xf>
    <xf numFmtId="0" fontId="422" fillId="0" borderId="0" xfId="0" applyFont="1" applyAlignment="1" applyProtection="1">
      <alignment horizontal="right" wrapText="1"/>
      <protection locked="0"/>
    </xf>
    <xf numFmtId="0" fontId="404" fillId="0" borderId="159" xfId="0" applyFont="1" applyBorder="1" applyProtection="1">
      <protection locked="0"/>
    </xf>
    <xf numFmtId="0" fontId="353" fillId="152" borderId="158" xfId="0" applyFont="1" applyFill="1" applyBorder="1" applyProtection="1">
      <protection locked="0"/>
    </xf>
    <xf numFmtId="168" fontId="353" fillId="0" borderId="172" xfId="10" applyNumberFormat="1" applyFont="1" applyFill="1" applyBorder="1" applyAlignment="1" applyProtection="1">
      <protection locked="0"/>
    </xf>
    <xf numFmtId="168" fontId="353" fillId="0" borderId="157" xfId="10" applyNumberFormat="1" applyFont="1" applyFill="1" applyBorder="1" applyAlignment="1" applyProtection="1">
      <protection locked="0"/>
    </xf>
    <xf numFmtId="1" fontId="353" fillId="0" borderId="157" xfId="0" applyNumberFormat="1" applyFont="1" applyBorder="1" applyAlignment="1" applyProtection="1">
      <alignment horizontal="right"/>
      <protection locked="0"/>
    </xf>
    <xf numFmtId="0" fontId="353" fillId="134" borderId="175" xfId="0" applyFont="1" applyFill="1" applyBorder="1" applyProtection="1">
      <protection locked="0"/>
    </xf>
    <xf numFmtId="168" fontId="353" fillId="134" borderId="174" xfId="10" applyNumberFormat="1" applyFont="1" applyFill="1" applyBorder="1" applyAlignment="1" applyProtection="1">
      <protection locked="0"/>
    </xf>
    <xf numFmtId="168" fontId="353" fillId="134" borderId="173" xfId="10" applyNumberFormat="1" applyFont="1" applyFill="1" applyBorder="1" applyAlignment="1" applyProtection="1">
      <protection locked="0"/>
    </xf>
    <xf numFmtId="1" fontId="353" fillId="134" borderId="173" xfId="0" applyNumberFormat="1" applyFont="1" applyFill="1" applyBorder="1" applyAlignment="1" applyProtection="1">
      <alignment horizontal="right"/>
      <protection locked="0"/>
    </xf>
    <xf numFmtId="10" fontId="371" fillId="134" borderId="0" xfId="0" applyNumberFormat="1" applyFont="1" applyFill="1" applyAlignment="1" applyProtection="1">
      <alignment horizontal="right"/>
      <protection locked="0"/>
    </xf>
    <xf numFmtId="0" fontId="412" fillId="0" borderId="0" xfId="0" applyFont="1" applyAlignment="1" applyProtection="1">
      <alignment vertical="center"/>
      <protection locked="0"/>
    </xf>
    <xf numFmtId="168" fontId="353" fillId="0" borderId="0" xfId="10" applyNumberFormat="1" applyFont="1" applyFill="1" applyBorder="1" applyAlignment="1" applyProtection="1">
      <alignment horizontal="center"/>
      <protection locked="0"/>
    </xf>
    <xf numFmtId="168" fontId="353" fillId="161" borderId="161" xfId="10" applyNumberFormat="1" applyFont="1" applyFill="1" applyBorder="1" applyAlignment="1" applyProtection="1">
      <protection locked="0"/>
    </xf>
    <xf numFmtId="168" fontId="353" fillId="134" borderId="0" xfId="10" applyNumberFormat="1" applyFont="1" applyFill="1" applyBorder="1" applyAlignment="1" applyProtection="1">
      <protection locked="0"/>
    </xf>
    <xf numFmtId="1" fontId="353" fillId="134" borderId="0" xfId="0" applyNumberFormat="1" applyFont="1" applyFill="1" applyAlignment="1" applyProtection="1">
      <alignment horizontal="right"/>
      <protection locked="0"/>
    </xf>
    <xf numFmtId="0" fontId="422" fillId="152" borderId="160" xfId="0" applyFont="1" applyFill="1" applyBorder="1" applyAlignment="1" applyProtection="1">
      <alignment wrapText="1"/>
      <protection locked="0"/>
    </xf>
    <xf numFmtId="0" fontId="422" fillId="152" borderId="0" xfId="0" applyFont="1" applyFill="1" applyAlignment="1" applyProtection="1">
      <alignment wrapText="1"/>
      <protection locked="0"/>
    </xf>
    <xf numFmtId="0" fontId="422" fillId="152" borderId="0" xfId="0" applyFont="1" applyFill="1" applyAlignment="1" applyProtection="1">
      <alignment horizontal="right" wrapText="1"/>
      <protection locked="0"/>
    </xf>
    <xf numFmtId="0" fontId="422" fillId="152" borderId="159" xfId="0" applyFont="1" applyFill="1" applyBorder="1" applyAlignment="1" applyProtection="1">
      <alignment horizontal="right" wrapText="1"/>
      <protection locked="0"/>
    </xf>
    <xf numFmtId="0" fontId="371" fillId="152" borderId="0" xfId="0" applyFont="1" applyFill="1" applyProtection="1">
      <protection locked="0"/>
    </xf>
    <xf numFmtId="0" fontId="371" fillId="0" borderId="0" xfId="0" applyFont="1" applyAlignment="1" applyProtection="1">
      <alignment vertical="top"/>
      <protection locked="0"/>
    </xf>
    <xf numFmtId="168" fontId="353" fillId="0" borderId="0" xfId="10" applyNumberFormat="1" applyFont="1" applyFill="1" applyBorder="1" applyAlignment="1" applyProtection="1">
      <alignment wrapText="1"/>
      <protection locked="0"/>
    </xf>
    <xf numFmtId="1" fontId="424" fillId="0" borderId="0" xfId="0" applyNumberFormat="1" applyFont="1" applyAlignment="1" applyProtection="1">
      <alignment horizontal="right" vertical="top" wrapText="1"/>
      <protection locked="0"/>
    </xf>
    <xf numFmtId="0" fontId="418" fillId="147" borderId="0" xfId="0" applyFont="1" applyFill="1" applyProtection="1">
      <protection locked="0"/>
    </xf>
    <xf numFmtId="0" fontId="420" fillId="152" borderId="159" xfId="0" applyFont="1" applyFill="1" applyBorder="1" applyProtection="1">
      <protection locked="0"/>
    </xf>
    <xf numFmtId="297" fontId="353" fillId="134" borderId="0" xfId="0" applyNumberFormat="1" applyFont="1" applyFill="1" applyAlignment="1" applyProtection="1">
      <alignment horizontal="right" wrapText="1"/>
      <protection locked="0"/>
    </xf>
    <xf numFmtId="0" fontId="406" fillId="152" borderId="160" xfId="0" applyFont="1" applyFill="1" applyBorder="1" applyProtection="1">
      <protection locked="0"/>
    </xf>
    <xf numFmtId="0" fontId="352" fillId="164" borderId="165" xfId="0" applyFont="1" applyFill="1" applyBorder="1" applyAlignment="1" applyProtection="1">
      <alignment horizontal="right" vertical="center"/>
      <protection locked="0"/>
    </xf>
    <xf numFmtId="0" fontId="340" fillId="133" borderId="0" xfId="0" applyFont="1" applyFill="1" applyAlignment="1" applyProtection="1">
      <alignment horizontal="right" vertical="center"/>
      <protection locked="0"/>
    </xf>
    <xf numFmtId="3" fontId="371" fillId="134" borderId="172" xfId="10" applyNumberFormat="1" applyFont="1" applyFill="1" applyBorder="1" applyAlignment="1" applyProtection="1">
      <protection locked="0"/>
    </xf>
    <xf numFmtId="3" fontId="371" fillId="134" borderId="157" xfId="10" applyNumberFormat="1" applyFont="1" applyFill="1" applyBorder="1" applyAlignment="1" applyProtection="1">
      <protection locked="0"/>
    </xf>
    <xf numFmtId="3" fontId="371" fillId="0" borderId="163" xfId="10" applyNumberFormat="1" applyFont="1" applyFill="1" applyBorder="1" applyAlignment="1" applyProtection="1">
      <protection locked="0"/>
    </xf>
    <xf numFmtId="3" fontId="371" fillId="0" borderId="0" xfId="10" applyNumberFormat="1" applyFont="1" applyFill="1" applyBorder="1" applyAlignment="1" applyProtection="1">
      <protection locked="0"/>
    </xf>
    <xf numFmtId="3" fontId="393" fillId="170" borderId="163" xfId="0" applyNumberFormat="1" applyFont="1" applyFill="1" applyBorder="1" applyProtection="1">
      <protection locked="0"/>
    </xf>
    <xf numFmtId="3" fontId="393" fillId="170" borderId="0" xfId="0" applyNumberFormat="1" applyFont="1" applyFill="1" applyProtection="1">
      <protection locked="0"/>
    </xf>
    <xf numFmtId="3" fontId="353" fillId="170" borderId="0" xfId="0" applyNumberFormat="1" applyFont="1" applyFill="1" applyAlignment="1" applyProtection="1">
      <alignment horizontal="right"/>
      <protection locked="0"/>
    </xf>
    <xf numFmtId="0" fontId="393" fillId="0" borderId="0" xfId="0" applyFont="1" applyAlignment="1" applyProtection="1">
      <alignment wrapText="1"/>
      <protection locked="0"/>
    </xf>
    <xf numFmtId="3" fontId="371" fillId="134" borderId="163" xfId="10" applyNumberFormat="1" applyFont="1" applyFill="1" applyBorder="1" applyAlignment="1" applyProtection="1">
      <protection locked="0"/>
    </xf>
    <xf numFmtId="3" fontId="371" fillId="134" borderId="0" xfId="10" applyNumberFormat="1" applyFont="1" applyFill="1" applyBorder="1" applyAlignment="1" applyProtection="1">
      <protection locked="0"/>
    </xf>
    <xf numFmtId="3" fontId="371" fillId="0" borderId="172" xfId="10" applyNumberFormat="1" applyFont="1" applyFill="1" applyBorder="1" applyAlignment="1" applyProtection="1">
      <protection locked="0"/>
    </xf>
    <xf numFmtId="3" fontId="371" fillId="0" borderId="157" xfId="10" applyNumberFormat="1" applyFont="1" applyFill="1" applyBorder="1" applyAlignment="1" applyProtection="1">
      <protection locked="0"/>
    </xf>
    <xf numFmtId="3" fontId="353" fillId="0" borderId="157" xfId="0" applyNumberFormat="1" applyFont="1" applyBorder="1" applyAlignment="1" applyProtection="1">
      <alignment horizontal="right"/>
      <protection locked="0"/>
    </xf>
    <xf numFmtId="0" fontId="353" fillId="170" borderId="158" xfId="0" applyFont="1" applyFill="1" applyBorder="1" applyProtection="1">
      <protection locked="0"/>
    </xf>
    <xf numFmtId="3" fontId="393" fillId="170" borderId="172" xfId="0" applyNumberFormat="1" applyFont="1" applyFill="1" applyBorder="1" applyProtection="1">
      <protection locked="0"/>
    </xf>
    <xf numFmtId="3" fontId="393" fillId="170" borderId="157" xfId="0" applyNumberFormat="1" applyFont="1" applyFill="1" applyBorder="1" applyProtection="1">
      <protection locked="0"/>
    </xf>
    <xf numFmtId="3" fontId="353" fillId="170" borderId="157" xfId="0" applyNumberFormat="1" applyFont="1" applyFill="1" applyBorder="1" applyAlignment="1" applyProtection="1">
      <alignment horizontal="right"/>
      <protection locked="0"/>
    </xf>
    <xf numFmtId="3" fontId="353" fillId="0" borderId="163" xfId="0" applyNumberFormat="1" applyFont="1" applyBorder="1" applyProtection="1">
      <protection locked="0"/>
    </xf>
    <xf numFmtId="3" fontId="353" fillId="0" borderId="0" xfId="0" applyNumberFormat="1" applyFont="1" applyProtection="1">
      <protection locked="0"/>
    </xf>
    <xf numFmtId="3" fontId="353" fillId="134" borderId="172" xfId="0" applyNumberFormat="1" applyFont="1" applyFill="1" applyBorder="1" applyProtection="1">
      <protection locked="0"/>
    </xf>
    <xf numFmtId="3" fontId="353" fillId="134" borderId="157" xfId="0" applyNumberFormat="1" applyFont="1" applyFill="1" applyBorder="1" applyProtection="1">
      <protection locked="0"/>
    </xf>
    <xf numFmtId="3" fontId="353" fillId="161" borderId="161" xfId="0" applyNumberFormat="1" applyFont="1" applyFill="1" applyBorder="1" applyProtection="1">
      <protection locked="0"/>
    </xf>
    <xf numFmtId="3" fontId="353" fillId="134" borderId="0" xfId="0" applyNumberFormat="1" applyFont="1" applyFill="1" applyProtection="1">
      <protection locked="0"/>
    </xf>
    <xf numFmtId="0" fontId="422" fillId="147" borderId="160" xfId="0" applyFont="1" applyFill="1" applyBorder="1" applyAlignment="1" applyProtection="1">
      <alignment wrapText="1"/>
      <protection locked="0"/>
    </xf>
    <xf numFmtId="0" fontId="353" fillId="147" borderId="0" xfId="0" applyFont="1" applyFill="1" applyAlignment="1" applyProtection="1">
      <alignment wrapText="1"/>
      <protection locked="0"/>
    </xf>
    <xf numFmtId="1" fontId="424" fillId="147" borderId="0" xfId="0" applyNumberFormat="1" applyFont="1" applyFill="1" applyAlignment="1" applyProtection="1">
      <alignment horizontal="right" vertical="top" wrapText="1"/>
      <protection locked="0"/>
    </xf>
    <xf numFmtId="0" fontId="422" fillId="147" borderId="0" xfId="0" applyFont="1" applyFill="1" applyAlignment="1" applyProtection="1">
      <alignment horizontal="right" wrapText="1"/>
      <protection locked="0"/>
    </xf>
    <xf numFmtId="0" fontId="404" fillId="147" borderId="159" xfId="0" applyFont="1" applyFill="1" applyBorder="1" applyProtection="1">
      <protection locked="0"/>
    </xf>
    <xf numFmtId="0" fontId="414" fillId="147" borderId="0" xfId="0" applyFont="1" applyFill="1" applyAlignment="1" applyProtection="1">
      <alignment wrapText="1"/>
      <protection locked="0"/>
    </xf>
    <xf numFmtId="1" fontId="414" fillId="147" borderId="0" xfId="0" applyNumberFormat="1" applyFont="1" applyFill="1" applyAlignment="1" applyProtection="1">
      <alignment horizontal="right" vertical="top" wrapText="1"/>
      <protection locked="0"/>
    </xf>
    <xf numFmtId="0" fontId="414" fillId="147" borderId="0" xfId="0" applyFont="1" applyFill="1" applyAlignment="1" applyProtection="1">
      <alignment horizontal="right" wrapText="1"/>
      <protection locked="0"/>
    </xf>
    <xf numFmtId="0" fontId="336" fillId="147" borderId="159" xfId="0" applyFont="1" applyFill="1" applyBorder="1" applyProtection="1">
      <protection locked="0"/>
    </xf>
    <xf numFmtId="0" fontId="414" fillId="152" borderId="0" xfId="0" applyFont="1" applyFill="1" applyAlignment="1" applyProtection="1">
      <alignment horizontal="left" vertical="center" wrapText="1"/>
      <protection locked="0"/>
    </xf>
    <xf numFmtId="0" fontId="414" fillId="152" borderId="159" xfId="0" applyFont="1" applyFill="1" applyBorder="1" applyAlignment="1" applyProtection="1">
      <alignment horizontal="left" vertical="center" wrapText="1"/>
      <protection locked="0"/>
    </xf>
    <xf numFmtId="0" fontId="425" fillId="152" borderId="0" xfId="0" applyFont="1" applyFill="1" applyAlignment="1" applyProtection="1">
      <alignment wrapText="1"/>
      <protection locked="0"/>
    </xf>
    <xf numFmtId="0" fontId="336" fillId="152" borderId="0" xfId="0" applyFont="1" applyFill="1" applyAlignment="1" applyProtection="1">
      <alignment wrapText="1"/>
      <protection locked="0"/>
    </xf>
    <xf numFmtId="0" fontId="336" fillId="152" borderId="159" xfId="0" applyFont="1" applyFill="1" applyBorder="1" applyAlignment="1" applyProtection="1">
      <alignment wrapText="1"/>
      <protection locked="0"/>
    </xf>
    <xf numFmtId="0" fontId="414" fillId="152" borderId="0" xfId="0" applyFont="1" applyFill="1" applyAlignment="1" applyProtection="1">
      <alignment vertical="top"/>
      <protection locked="0"/>
    </xf>
    <xf numFmtId="0" fontId="425" fillId="152" borderId="0" xfId="0" applyFont="1" applyFill="1" applyProtection="1">
      <protection locked="0"/>
    </xf>
    <xf numFmtId="0" fontId="336" fillId="152" borderId="0" xfId="0" applyFont="1" applyFill="1" applyProtection="1">
      <protection locked="0"/>
    </xf>
    <xf numFmtId="0" fontId="336" fillId="152" borderId="159" xfId="0" applyFont="1" applyFill="1" applyBorder="1" applyProtection="1">
      <protection locked="0"/>
    </xf>
    <xf numFmtId="0" fontId="414" fillId="0" borderId="0" xfId="0" applyFont="1" applyAlignment="1" applyProtection="1">
      <alignment vertical="top"/>
      <protection locked="0"/>
    </xf>
    <xf numFmtId="0" fontId="425" fillId="0" borderId="0" xfId="0" applyFont="1" applyProtection="1">
      <protection locked="0"/>
    </xf>
    <xf numFmtId="0" fontId="336" fillId="0" borderId="159" xfId="0" applyFont="1" applyBorder="1" applyProtection="1">
      <protection locked="0"/>
    </xf>
    <xf numFmtId="0" fontId="426" fillId="152" borderId="160" xfId="0" applyFont="1" applyFill="1" applyBorder="1" applyProtection="1">
      <protection locked="0"/>
    </xf>
    <xf numFmtId="0" fontId="420" fillId="152" borderId="0" xfId="0" applyFont="1" applyFill="1" applyAlignment="1" applyProtection="1">
      <alignment wrapText="1"/>
      <protection locked="0"/>
    </xf>
    <xf numFmtId="0" fontId="404" fillId="152" borderId="0" xfId="0" applyFont="1" applyFill="1" applyAlignment="1" applyProtection="1">
      <alignment wrapText="1"/>
      <protection locked="0"/>
    </xf>
    <xf numFmtId="0" fontId="404" fillId="152" borderId="159" xfId="0" applyFont="1" applyFill="1" applyBorder="1" applyAlignment="1" applyProtection="1">
      <alignment wrapText="1"/>
      <protection locked="0"/>
    </xf>
    <xf numFmtId="0" fontId="404" fillId="152" borderId="160" xfId="0" applyFont="1" applyFill="1" applyBorder="1" applyProtection="1">
      <protection locked="0"/>
    </xf>
    <xf numFmtId="0" fontId="371" fillId="0" borderId="160" xfId="0" applyFont="1" applyBorder="1" applyAlignment="1" applyProtection="1">
      <alignment wrapText="1"/>
      <protection locked="0"/>
    </xf>
    <xf numFmtId="167" fontId="371" fillId="0" borderId="161" xfId="1" applyNumberFormat="1" applyFont="1" applyFill="1" applyBorder="1" applyAlignment="1" applyProtection="1">
      <alignment wrapText="1"/>
      <protection locked="0"/>
    </xf>
    <xf numFmtId="167" fontId="371" fillId="0" borderId="0" xfId="1" applyNumberFormat="1" applyFont="1" applyFill="1" applyBorder="1" applyAlignment="1" applyProtection="1">
      <alignment wrapText="1"/>
      <protection locked="0"/>
    </xf>
    <xf numFmtId="167" fontId="353" fillId="0" borderId="0" xfId="0" applyNumberFormat="1" applyFont="1" applyAlignment="1" applyProtection="1">
      <alignment horizontal="right" wrapText="1"/>
      <protection locked="0"/>
    </xf>
    <xf numFmtId="0" fontId="404" fillId="0" borderId="0" xfId="0" applyFont="1" applyProtection="1">
      <protection locked="0"/>
    </xf>
    <xf numFmtId="10" fontId="371" fillId="0" borderId="0" xfId="0" applyNumberFormat="1" applyFont="1" applyAlignment="1" applyProtection="1">
      <alignment horizontal="right" vertical="top" wrapText="1"/>
      <protection locked="0"/>
    </xf>
    <xf numFmtId="10" fontId="413" fillId="152" borderId="0" xfId="0" applyNumberFormat="1" applyFont="1" applyFill="1" applyAlignment="1" applyProtection="1">
      <alignment horizontal="right" vertical="top" wrapText="1"/>
      <protection locked="0"/>
    </xf>
    <xf numFmtId="0" fontId="414" fillId="152" borderId="0" xfId="0" applyFont="1" applyFill="1" applyAlignment="1" applyProtection="1">
      <alignment horizontal="left" wrapText="1"/>
      <protection locked="0"/>
    </xf>
    <xf numFmtId="0" fontId="414" fillId="152" borderId="159" xfId="0" applyFont="1" applyFill="1" applyBorder="1" applyAlignment="1" applyProtection="1">
      <alignment horizontal="left" wrapText="1"/>
      <protection locked="0"/>
    </xf>
    <xf numFmtId="0" fontId="414" fillId="152" borderId="159" xfId="0" applyFont="1" applyFill="1" applyBorder="1" applyAlignment="1" applyProtection="1">
      <alignment wrapText="1"/>
      <protection locked="0"/>
    </xf>
    <xf numFmtId="0" fontId="371" fillId="152" borderId="159" xfId="0" applyFont="1" applyFill="1" applyBorder="1" applyProtection="1">
      <protection locked="0"/>
    </xf>
    <xf numFmtId="0" fontId="427" fillId="152" borderId="0" xfId="0" applyFont="1" applyFill="1" applyProtection="1">
      <protection locked="0"/>
    </xf>
    <xf numFmtId="0" fontId="397" fillId="7" borderId="0" xfId="0" applyFont="1" applyFill="1" applyProtection="1">
      <protection locked="0"/>
    </xf>
    <xf numFmtId="0" fontId="397" fillId="7" borderId="159" xfId="0" applyFont="1" applyFill="1" applyBorder="1" applyProtection="1">
      <protection locked="0"/>
    </xf>
    <xf numFmtId="0" fontId="428" fillId="7" borderId="160" xfId="0" applyFont="1" applyFill="1" applyBorder="1" applyProtection="1">
      <protection locked="0"/>
    </xf>
    <xf numFmtId="0" fontId="429" fillId="7" borderId="0" xfId="0" applyFont="1" applyFill="1" applyProtection="1">
      <protection locked="0"/>
    </xf>
    <xf numFmtId="0" fontId="353" fillId="0" borderId="158" xfId="0" applyFont="1" applyBorder="1" applyAlignment="1" applyProtection="1">
      <alignment wrapText="1"/>
      <protection locked="0"/>
    </xf>
    <xf numFmtId="0" fontId="371" fillId="0" borderId="172" xfId="0" applyFont="1" applyBorder="1" applyAlignment="1" applyProtection="1">
      <alignment wrapText="1"/>
      <protection locked="0"/>
    </xf>
    <xf numFmtId="0" fontId="371" fillId="0" borderId="157" xfId="0" applyFont="1" applyBorder="1" applyAlignment="1" applyProtection="1">
      <alignment wrapText="1"/>
      <protection locked="0"/>
    </xf>
    <xf numFmtId="3" fontId="353" fillId="0" borderId="157" xfId="0" applyNumberFormat="1" applyFont="1" applyBorder="1" applyAlignment="1" applyProtection="1">
      <alignment horizontal="right" wrapText="1"/>
      <protection locked="0"/>
    </xf>
    <xf numFmtId="0" fontId="353" fillId="134" borderId="160" xfId="0" applyFont="1" applyFill="1" applyBorder="1" applyAlignment="1" applyProtection="1">
      <alignment wrapText="1"/>
      <protection locked="0"/>
    </xf>
    <xf numFmtId="0" fontId="371" fillId="161" borderId="161" xfId="0" applyFont="1" applyFill="1" applyBorder="1" applyAlignment="1" applyProtection="1">
      <alignment wrapText="1"/>
      <protection locked="0"/>
    </xf>
    <xf numFmtId="0" fontId="371" fillId="161" borderId="0" xfId="0" applyFont="1" applyFill="1" applyAlignment="1" applyProtection="1">
      <alignment wrapText="1"/>
      <protection locked="0"/>
    </xf>
    <xf numFmtId="3" fontId="353" fillId="161" borderId="0" xfId="0" applyNumberFormat="1" applyFont="1" applyFill="1" applyAlignment="1" applyProtection="1">
      <alignment horizontal="right" wrapText="1"/>
      <protection locked="0"/>
    </xf>
    <xf numFmtId="0" fontId="397" fillId="7" borderId="160" xfId="0" applyFont="1" applyFill="1" applyBorder="1" applyProtection="1">
      <protection locked="0"/>
    </xf>
    <xf numFmtId="0" fontId="414" fillId="152" borderId="160" xfId="0" applyFont="1" applyFill="1" applyBorder="1" applyProtection="1">
      <protection locked="0"/>
    </xf>
    <xf numFmtId="0" fontId="414" fillId="7" borderId="0" xfId="0" applyFont="1" applyFill="1" applyProtection="1">
      <protection locked="0"/>
    </xf>
    <xf numFmtId="0" fontId="414" fillId="7" borderId="159" xfId="0" applyFont="1" applyFill="1" applyBorder="1" applyProtection="1">
      <protection locked="0"/>
    </xf>
    <xf numFmtId="0" fontId="414" fillId="152" borderId="159" xfId="0" applyFont="1" applyFill="1" applyBorder="1" applyAlignment="1" applyProtection="1">
      <alignment vertical="top"/>
      <protection locked="0"/>
    </xf>
    <xf numFmtId="0" fontId="394" fillId="7" borderId="0" xfId="0" applyFont="1" applyFill="1" applyAlignment="1" applyProtection="1">
      <alignment vertical="top"/>
      <protection locked="0"/>
    </xf>
    <xf numFmtId="0" fontId="414" fillId="7" borderId="159" xfId="0" applyFont="1" applyFill="1" applyBorder="1" applyAlignment="1" applyProtection="1">
      <alignment vertical="top"/>
      <protection locked="0"/>
    </xf>
    <xf numFmtId="0" fontId="427" fillId="7" borderId="0" xfId="0" applyFont="1" applyFill="1" applyProtection="1">
      <protection locked="0"/>
    </xf>
    <xf numFmtId="0" fontId="428" fillId="7" borderId="160" xfId="0" applyFont="1" applyFill="1" applyBorder="1" applyAlignment="1" applyProtection="1">
      <alignment vertical="top" wrapText="1"/>
      <protection locked="0"/>
    </xf>
    <xf numFmtId="0" fontId="429" fillId="7" borderId="0" xfId="0" applyFont="1" applyFill="1" applyAlignment="1" applyProtection="1">
      <alignment vertical="top" wrapText="1"/>
      <protection locked="0"/>
    </xf>
    <xf numFmtId="0" fontId="397" fillId="7" borderId="0" xfId="0" applyFont="1" applyFill="1" applyAlignment="1" applyProtection="1">
      <alignment vertical="top" wrapText="1"/>
      <protection locked="0"/>
    </xf>
    <xf numFmtId="0" fontId="394" fillId="152" borderId="160" xfId="0" applyFont="1" applyFill="1" applyBorder="1" applyAlignment="1" applyProtection="1">
      <alignment horizontal="left" wrapText="1"/>
      <protection locked="0"/>
    </xf>
    <xf numFmtId="0" fontId="414" fillId="152" borderId="0" xfId="0" applyFont="1" applyFill="1" applyAlignment="1" applyProtection="1">
      <alignment horizontal="left"/>
      <protection locked="0"/>
    </xf>
    <xf numFmtId="0" fontId="426" fillId="152" borderId="159" xfId="0" applyFont="1" applyFill="1" applyBorder="1" applyProtection="1">
      <protection locked="0"/>
    </xf>
    <xf numFmtId="0" fontId="426" fillId="147" borderId="160" xfId="0" applyFont="1" applyFill="1" applyBorder="1" applyProtection="1">
      <protection locked="0"/>
    </xf>
    <xf numFmtId="0" fontId="426" fillId="147" borderId="0" xfId="0" applyFont="1" applyFill="1" applyProtection="1">
      <protection locked="0"/>
    </xf>
    <xf numFmtId="0" fontId="426" fillId="147" borderId="159" xfId="0" applyFont="1" applyFill="1" applyBorder="1" applyProtection="1">
      <protection locked="0"/>
    </xf>
    <xf numFmtId="0" fontId="429" fillId="7" borderId="160" xfId="0" applyFont="1" applyFill="1" applyBorder="1" applyProtection="1">
      <protection locked="0"/>
    </xf>
    <xf numFmtId="167" fontId="371" fillId="134" borderId="163" xfId="1" applyNumberFormat="1" applyFont="1" applyFill="1" applyBorder="1" applyAlignment="1" applyProtection="1">
      <alignment wrapText="1"/>
      <protection locked="0"/>
    </xf>
    <xf numFmtId="167" fontId="353" fillId="134" borderId="0" xfId="0" applyNumberFormat="1" applyFont="1" applyFill="1" applyAlignment="1" applyProtection="1">
      <alignment horizontal="right" wrapText="1"/>
      <protection locked="0"/>
    </xf>
    <xf numFmtId="0" fontId="353" fillId="152" borderId="160" xfId="0" applyFont="1" applyFill="1" applyBorder="1" applyAlignment="1" applyProtection="1">
      <alignment wrapText="1"/>
      <protection locked="0"/>
    </xf>
    <xf numFmtId="167" fontId="371" fillId="0" borderId="163" xfId="1" applyNumberFormat="1" applyFont="1" applyFill="1" applyBorder="1" applyAlignment="1" applyProtection="1">
      <alignment wrapText="1"/>
      <protection locked="0"/>
    </xf>
    <xf numFmtId="0" fontId="371" fillId="161" borderId="160" xfId="0" applyFont="1" applyFill="1" applyBorder="1" applyProtection="1">
      <protection locked="0"/>
    </xf>
    <xf numFmtId="167" fontId="371" fillId="161" borderId="161" xfId="1" applyNumberFormat="1" applyFont="1" applyFill="1" applyBorder="1" applyProtection="1">
      <protection locked="0"/>
    </xf>
    <xf numFmtId="167" fontId="371" fillId="161" borderId="0" xfId="1" applyNumberFormat="1" applyFont="1" applyFill="1" applyBorder="1" applyProtection="1">
      <protection locked="0"/>
    </xf>
    <xf numFmtId="167" fontId="371" fillId="161" borderId="0" xfId="0" applyNumberFormat="1" applyFont="1" applyFill="1" applyAlignment="1" applyProtection="1">
      <alignment horizontal="right" wrapText="1"/>
      <protection locked="0"/>
    </xf>
    <xf numFmtId="167" fontId="397" fillId="7" borderId="0" xfId="0" applyNumberFormat="1" applyFont="1" applyFill="1" applyProtection="1">
      <protection locked="0"/>
    </xf>
    <xf numFmtId="0" fontId="414" fillId="152" borderId="159" xfId="0" applyFont="1" applyFill="1" applyBorder="1" applyProtection="1">
      <protection locked="0"/>
    </xf>
    <xf numFmtId="0" fontId="401" fillId="152" borderId="0" xfId="0" applyFont="1" applyFill="1" applyAlignment="1" applyProtection="1">
      <alignment horizontal="left"/>
      <protection locked="0"/>
    </xf>
    <xf numFmtId="0" fontId="38" fillId="0" borderId="0" xfId="0" applyFont="1" applyAlignment="1" applyProtection="1">
      <alignment wrapText="1"/>
      <protection locked="0"/>
    </xf>
    <xf numFmtId="0" fontId="400" fillId="0" borderId="0" xfId="0" applyFont="1" applyAlignment="1" applyProtection="1">
      <alignment wrapText="1"/>
      <protection locked="0"/>
    </xf>
    <xf numFmtId="0" fontId="416" fillId="152" borderId="160" xfId="0" applyFont="1" applyFill="1" applyBorder="1" applyAlignment="1" applyProtection="1">
      <alignment wrapText="1"/>
      <protection locked="0"/>
    </xf>
    <xf numFmtId="0" fontId="417" fillId="152" borderId="0" xfId="0" applyFont="1" applyFill="1" applyAlignment="1" applyProtection="1">
      <alignment wrapText="1"/>
      <protection locked="0"/>
    </xf>
    <xf numFmtId="0" fontId="418" fillId="0" borderId="0" xfId="0" applyFont="1" applyAlignment="1" applyProtection="1">
      <alignment wrapText="1"/>
      <protection locked="0"/>
    </xf>
    <xf numFmtId="0" fontId="340" fillId="164" borderId="165" xfId="0" applyFont="1" applyFill="1" applyBorder="1" applyAlignment="1" applyProtection="1">
      <alignment horizontal="right" vertical="center" wrapText="1"/>
      <protection locked="0"/>
    </xf>
    <xf numFmtId="0" fontId="340" fillId="0" borderId="0" xfId="0" applyFont="1" applyAlignment="1" applyProtection="1">
      <alignment wrapText="1"/>
      <protection locked="0"/>
    </xf>
    <xf numFmtId="0" fontId="371" fillId="169" borderId="160" xfId="0" applyFont="1" applyFill="1" applyBorder="1" applyAlignment="1" applyProtection="1">
      <alignment wrapText="1"/>
      <protection locked="0"/>
    </xf>
    <xf numFmtId="2" fontId="409" fillId="134" borderId="163" xfId="0" applyNumberFormat="1" applyFont="1" applyFill="1" applyBorder="1" applyAlignment="1" applyProtection="1">
      <alignment horizontal="center" vertical="center" wrapText="1"/>
      <protection locked="0"/>
    </xf>
    <xf numFmtId="2" fontId="409" fillId="134" borderId="0" xfId="0" applyNumberFormat="1" applyFont="1" applyFill="1" applyAlignment="1" applyProtection="1">
      <alignment horizontal="center" vertical="center" wrapText="1"/>
      <protection locked="0"/>
    </xf>
    <xf numFmtId="0" fontId="371" fillId="0" borderId="0" xfId="0" applyFont="1" applyAlignment="1" applyProtection="1">
      <alignment wrapText="1"/>
      <protection locked="0"/>
    </xf>
    <xf numFmtId="2" fontId="371" fillId="134" borderId="163" xfId="0" applyNumberFormat="1" applyFont="1" applyFill="1" applyBorder="1" applyAlignment="1" applyProtection="1">
      <alignment horizontal="center" vertical="center" wrapText="1"/>
      <protection locked="0"/>
    </xf>
    <xf numFmtId="2" fontId="371" fillId="134" borderId="0" xfId="0" applyNumberFormat="1" applyFont="1" applyFill="1" applyAlignment="1" applyProtection="1">
      <alignment horizontal="center" vertical="center" wrapText="1"/>
      <protection locked="0"/>
    </xf>
    <xf numFmtId="0" fontId="353" fillId="134" borderId="170" xfId="0" applyFont="1" applyFill="1" applyBorder="1" applyAlignment="1" applyProtection="1">
      <alignment wrapText="1"/>
      <protection locked="0"/>
    </xf>
    <xf numFmtId="2" fontId="371" fillId="134" borderId="169" xfId="0" applyNumberFormat="1" applyFont="1" applyFill="1" applyBorder="1" applyAlignment="1" applyProtection="1">
      <alignment horizontal="center" vertical="center" wrapText="1"/>
      <protection locked="0"/>
    </xf>
    <xf numFmtId="2" fontId="409" fillId="152" borderId="163" xfId="0" applyNumberFormat="1" applyFont="1" applyFill="1" applyBorder="1" applyAlignment="1" applyProtection="1">
      <alignment horizontal="center" vertical="center" wrapText="1"/>
      <protection locked="0"/>
    </xf>
    <xf numFmtId="2" fontId="409" fillId="152" borderId="0" xfId="0" applyNumberFormat="1" applyFont="1" applyFill="1" applyAlignment="1" applyProtection="1">
      <alignment horizontal="center" vertical="center" wrapText="1"/>
      <protection locked="0"/>
    </xf>
    <xf numFmtId="2" fontId="371" fillId="152" borderId="163" xfId="0" applyNumberFormat="1" applyFont="1" applyFill="1" applyBorder="1" applyAlignment="1" applyProtection="1">
      <alignment horizontal="center" vertical="center" wrapText="1"/>
      <protection locked="0"/>
    </xf>
    <xf numFmtId="2" fontId="371" fillId="152" borderId="0" xfId="0" applyNumberFormat="1" applyFont="1" applyFill="1" applyAlignment="1" applyProtection="1">
      <alignment horizontal="center" vertical="center" wrapText="1"/>
      <protection locked="0"/>
    </xf>
    <xf numFmtId="0" fontId="430" fillId="152" borderId="160" xfId="0" applyFont="1" applyFill="1" applyBorder="1" applyAlignment="1" applyProtection="1">
      <alignment wrapText="1"/>
      <protection locked="0"/>
    </xf>
    <xf numFmtId="2" fontId="409" fillId="152" borderId="161" xfId="0" applyNumberFormat="1" applyFont="1" applyFill="1" applyBorder="1" applyAlignment="1" applyProtection="1">
      <alignment horizontal="center" vertical="center" wrapText="1"/>
      <protection locked="0"/>
    </xf>
    <xf numFmtId="173" fontId="430" fillId="152" borderId="0" xfId="0" applyNumberFormat="1" applyFont="1" applyFill="1" applyAlignment="1" applyProtection="1">
      <alignment horizontal="center" vertical="center" wrapText="1"/>
      <protection locked="0"/>
    </xf>
    <xf numFmtId="0" fontId="394" fillId="152" borderId="0" xfId="0" applyFont="1" applyFill="1" applyAlignment="1" applyProtection="1">
      <alignment wrapText="1"/>
      <protection locked="0"/>
    </xf>
    <xf numFmtId="0" fontId="395" fillId="152" borderId="0" xfId="0" applyFont="1" applyFill="1" applyProtection="1">
      <protection locked="0"/>
    </xf>
    <xf numFmtId="0" fontId="432" fillId="152" borderId="0" xfId="0" applyFont="1" applyFill="1" applyProtection="1">
      <protection locked="0"/>
    </xf>
    <xf numFmtId="0" fontId="433" fillId="168" borderId="0" xfId="0" applyFont="1" applyFill="1" applyAlignment="1" applyProtection="1">
      <alignment horizontal="center" wrapText="1"/>
      <protection locked="0"/>
    </xf>
    <xf numFmtId="0" fontId="433" fillId="167" borderId="0" xfId="0" applyFont="1" applyFill="1" applyAlignment="1" applyProtection="1">
      <alignment horizontal="center" wrapText="1"/>
      <protection locked="0"/>
    </xf>
    <xf numFmtId="0" fontId="433" fillId="167" borderId="159" xfId="0" applyFont="1" applyFill="1" applyBorder="1" applyAlignment="1" applyProtection="1">
      <alignment horizontal="center" wrapText="1"/>
      <protection locked="0"/>
    </xf>
    <xf numFmtId="0" fontId="371" fillId="161" borderId="169" xfId="0" applyFont="1" applyFill="1" applyBorder="1" applyAlignment="1" applyProtection="1">
      <alignment wrapText="1"/>
      <protection locked="0"/>
    </xf>
    <xf numFmtId="167" fontId="371" fillId="161" borderId="168" xfId="1" applyNumberFormat="1" applyFont="1" applyFill="1" applyBorder="1" applyAlignment="1" applyProtection="1">
      <alignment wrapText="1"/>
      <protection locked="0"/>
    </xf>
    <xf numFmtId="167" fontId="371" fillId="161" borderId="0" xfId="1" applyNumberFormat="1" applyFont="1" applyFill="1" applyAlignment="1" applyProtection="1">
      <alignment wrapText="1"/>
      <protection locked="0"/>
    </xf>
    <xf numFmtId="9" fontId="371" fillId="161" borderId="0" xfId="1" applyFont="1" applyFill="1" applyAlignment="1" applyProtection="1">
      <alignment wrapText="1"/>
      <protection locked="0"/>
    </xf>
    <xf numFmtId="9" fontId="353" fillId="161" borderId="159" xfId="1" applyFont="1" applyFill="1" applyBorder="1" applyAlignment="1" applyProtection="1">
      <alignment horizontal="right" wrapText="1"/>
      <protection locked="0"/>
    </xf>
    <xf numFmtId="0" fontId="34" fillId="0" borderId="0" xfId="0" applyFont="1" applyAlignment="1" applyProtection="1">
      <alignment wrapText="1"/>
      <protection locked="0"/>
    </xf>
    <xf numFmtId="0" fontId="371" fillId="147" borderId="160" xfId="0" applyFont="1" applyFill="1" applyBorder="1" applyAlignment="1" applyProtection="1">
      <alignment wrapText="1"/>
      <protection locked="0"/>
    </xf>
    <xf numFmtId="0" fontId="371" fillId="147" borderId="169" xfId="0" applyFont="1" applyFill="1" applyBorder="1" applyAlignment="1" applyProtection="1">
      <alignment wrapText="1"/>
      <protection locked="0"/>
    </xf>
    <xf numFmtId="167" fontId="371" fillId="147" borderId="168" xfId="1" applyNumberFormat="1" applyFont="1" applyFill="1" applyBorder="1" applyAlignment="1" applyProtection="1">
      <alignment wrapText="1"/>
      <protection locked="0"/>
    </xf>
    <xf numFmtId="0" fontId="371" fillId="147" borderId="0" xfId="0" applyFont="1" applyFill="1" applyAlignment="1" applyProtection="1">
      <alignment wrapText="1"/>
      <protection locked="0"/>
    </xf>
    <xf numFmtId="167" fontId="371" fillId="147" borderId="0" xfId="1" applyNumberFormat="1" applyFont="1" applyFill="1" applyAlignment="1" applyProtection="1">
      <alignment wrapText="1"/>
      <protection locked="0"/>
    </xf>
    <xf numFmtId="9" fontId="371" fillId="147" borderId="0" xfId="1" applyFont="1" applyFill="1" applyAlignment="1" applyProtection="1">
      <alignment wrapText="1"/>
      <protection locked="0"/>
    </xf>
    <xf numFmtId="3" fontId="353" fillId="147" borderId="0" xfId="0" applyNumberFormat="1" applyFont="1" applyFill="1" applyAlignment="1" applyProtection="1">
      <alignment horizontal="right" wrapText="1"/>
      <protection locked="0"/>
    </xf>
    <xf numFmtId="9" fontId="353" fillId="147" borderId="159" xfId="1" applyFont="1" applyFill="1" applyBorder="1" applyAlignment="1" applyProtection="1">
      <alignment horizontal="right" wrapText="1"/>
      <protection locked="0"/>
    </xf>
    <xf numFmtId="168" fontId="371" fillId="161" borderId="169" xfId="10" applyNumberFormat="1" applyFont="1" applyFill="1" applyBorder="1" applyAlignment="1" applyProtection="1">
      <alignment wrapText="1"/>
      <protection locked="0"/>
    </xf>
    <xf numFmtId="168" fontId="371" fillId="161" borderId="0" xfId="10" applyNumberFormat="1" applyFont="1" applyFill="1" applyBorder="1" applyAlignment="1" applyProtection="1">
      <alignment wrapText="1"/>
      <protection locked="0"/>
    </xf>
    <xf numFmtId="168" fontId="371" fillId="147" borderId="169" xfId="10" applyNumberFormat="1" applyFont="1" applyFill="1" applyBorder="1" applyAlignment="1" applyProtection="1">
      <alignment wrapText="1"/>
      <protection locked="0"/>
    </xf>
    <xf numFmtId="168" fontId="371" fillId="147" borderId="0" xfId="10" applyNumberFormat="1" applyFont="1" applyFill="1" applyBorder="1" applyAlignment="1" applyProtection="1">
      <alignment wrapText="1"/>
      <protection locked="0"/>
    </xf>
    <xf numFmtId="0" fontId="371" fillId="149" borderId="160" xfId="0" applyFont="1" applyFill="1" applyBorder="1" applyProtection="1">
      <protection locked="0"/>
    </xf>
    <xf numFmtId="168" fontId="371" fillId="161" borderId="169" xfId="10" applyNumberFormat="1" applyFont="1" applyFill="1" applyBorder="1" applyAlignment="1" applyProtection="1">
      <protection locked="0"/>
    </xf>
    <xf numFmtId="167" fontId="371" fillId="161" borderId="168" xfId="1" applyNumberFormat="1" applyFont="1" applyFill="1" applyBorder="1" applyAlignment="1" applyProtection="1">
      <protection locked="0"/>
    </xf>
    <xf numFmtId="168" fontId="371" fillId="161" borderId="0" xfId="10" applyNumberFormat="1" applyFont="1" applyFill="1" applyBorder="1" applyAlignment="1" applyProtection="1">
      <protection locked="0"/>
    </xf>
    <xf numFmtId="167" fontId="371" fillId="161" borderId="0" xfId="1" applyNumberFormat="1" applyFont="1" applyFill="1" applyAlignment="1" applyProtection="1">
      <protection locked="0"/>
    </xf>
    <xf numFmtId="9" fontId="371" fillId="161" borderId="0" xfId="1" applyFont="1" applyFill="1" applyAlignment="1" applyProtection="1">
      <protection locked="0"/>
    </xf>
    <xf numFmtId="3" fontId="371" fillId="161" borderId="0" xfId="0" applyNumberFormat="1" applyFont="1" applyFill="1" applyAlignment="1" applyProtection="1">
      <alignment horizontal="right" wrapText="1"/>
      <protection locked="0"/>
    </xf>
    <xf numFmtId="9" fontId="371" fillId="161" borderId="159" xfId="1" applyFont="1" applyFill="1" applyBorder="1" applyAlignment="1" applyProtection="1">
      <alignment horizontal="right" wrapText="1"/>
      <protection locked="0"/>
    </xf>
    <xf numFmtId="0" fontId="371" fillId="7" borderId="160" xfId="0" applyFont="1" applyFill="1" applyBorder="1" applyProtection="1">
      <protection locked="0"/>
    </xf>
    <xf numFmtId="168" fontId="371" fillId="147" borderId="167" xfId="10" applyNumberFormat="1" applyFont="1" applyFill="1" applyBorder="1" applyAlignment="1" applyProtection="1">
      <protection locked="0"/>
    </xf>
    <xf numFmtId="167" fontId="371" fillId="147" borderId="166" xfId="1" applyNumberFormat="1" applyFont="1" applyFill="1" applyBorder="1" applyAlignment="1" applyProtection="1">
      <protection locked="0"/>
    </xf>
    <xf numFmtId="168" fontId="371" fillId="147" borderId="0" xfId="10" applyNumberFormat="1" applyFont="1" applyFill="1" applyBorder="1" applyAlignment="1" applyProtection="1">
      <protection locked="0"/>
    </xf>
    <xf numFmtId="167" fontId="371" fillId="147" borderId="0" xfId="1" applyNumberFormat="1" applyFont="1" applyFill="1" applyAlignment="1" applyProtection="1">
      <protection locked="0"/>
    </xf>
    <xf numFmtId="9" fontId="371" fillId="147" borderId="0" xfId="1" applyFont="1" applyFill="1" applyAlignment="1" applyProtection="1">
      <protection locked="0"/>
    </xf>
    <xf numFmtId="3" fontId="371" fillId="147" borderId="0" xfId="0" applyNumberFormat="1" applyFont="1" applyFill="1" applyAlignment="1" applyProtection="1">
      <alignment horizontal="right" wrapText="1"/>
      <protection locked="0"/>
    </xf>
    <xf numFmtId="9" fontId="371" fillId="147" borderId="159" xfId="1" applyFont="1" applyFill="1" applyBorder="1" applyAlignment="1" applyProtection="1">
      <alignment horizontal="right" wrapText="1"/>
      <protection locked="0"/>
    </xf>
    <xf numFmtId="0" fontId="353" fillId="0" borderId="0" xfId="0" applyFont="1" applyProtection="1">
      <protection locked="0"/>
    </xf>
    <xf numFmtId="0" fontId="353" fillId="0" borderId="159" xfId="0" applyFont="1" applyBorder="1" applyProtection="1">
      <protection locked="0"/>
    </xf>
    <xf numFmtId="0" fontId="394" fillId="0" borderId="160" xfId="0" applyFont="1" applyBorder="1" applyAlignment="1" applyProtection="1">
      <alignment horizontal="left"/>
      <protection locked="0"/>
    </xf>
    <xf numFmtId="0" fontId="353" fillId="0" borderId="0" xfId="0" applyFont="1" applyAlignment="1" applyProtection="1">
      <alignment horizontal="left"/>
      <protection locked="0"/>
    </xf>
    <xf numFmtId="0" fontId="353" fillId="0" borderId="159" xfId="0" applyFont="1" applyBorder="1" applyAlignment="1" applyProtection="1">
      <alignment horizontal="left"/>
      <protection locked="0"/>
    </xf>
    <xf numFmtId="0" fontId="353" fillId="0" borderId="0" xfId="0" applyFont="1" applyAlignment="1" applyProtection="1">
      <alignment horizontal="left" vertical="center"/>
      <protection locked="0"/>
    </xf>
    <xf numFmtId="0" fontId="353" fillId="0" borderId="159" xfId="0" applyFont="1" applyBorder="1" applyAlignment="1" applyProtection="1">
      <alignment horizontal="left" vertical="center"/>
      <protection locked="0"/>
    </xf>
    <xf numFmtId="0" fontId="426" fillId="7" borderId="160" xfId="0" applyFont="1" applyFill="1" applyBorder="1" applyProtection="1">
      <protection locked="0"/>
    </xf>
    <xf numFmtId="0" fontId="397" fillId="7" borderId="0" xfId="0" applyFont="1" applyFill="1" applyAlignment="1" applyProtection="1">
      <alignment vertical="top"/>
      <protection locked="0"/>
    </xf>
    <xf numFmtId="0" fontId="395" fillId="0" borderId="0" xfId="0" applyFont="1" applyProtection="1">
      <protection locked="0"/>
    </xf>
    <xf numFmtId="0" fontId="397" fillId="0" borderId="0" xfId="0" applyFont="1" applyAlignment="1" applyProtection="1">
      <alignment horizontal="left" vertical="top" wrapText="1"/>
      <protection locked="0"/>
    </xf>
    <xf numFmtId="0" fontId="397" fillId="7" borderId="0" xfId="0" applyFont="1" applyFill="1" applyAlignment="1" applyProtection="1">
      <alignment horizontal="left" vertical="top" wrapText="1"/>
      <protection locked="0"/>
    </xf>
    <xf numFmtId="0" fontId="417" fillId="152" borderId="160" xfId="0" applyFont="1" applyFill="1" applyBorder="1" applyProtection="1">
      <protection locked="0"/>
    </xf>
    <xf numFmtId="0" fontId="397" fillId="7" borderId="160" xfId="0" applyFont="1" applyFill="1" applyBorder="1" applyAlignment="1" applyProtection="1">
      <alignment horizontal="left" vertical="top" wrapText="1"/>
      <protection locked="0"/>
    </xf>
    <xf numFmtId="0" fontId="436" fillId="166" borderId="160" xfId="1712" applyFont="1" applyFill="1" applyBorder="1" applyAlignment="1" applyProtection="1">
      <alignment vertical="top"/>
      <protection locked="0"/>
    </xf>
    <xf numFmtId="0" fontId="437" fillId="166" borderId="204" xfId="1712" applyFont="1" applyFill="1" applyBorder="1" applyAlignment="1" applyProtection="1">
      <alignment vertical="top"/>
      <protection locked="0"/>
    </xf>
    <xf numFmtId="0" fontId="437" fillId="166" borderId="205" xfId="1712" applyFont="1" applyFill="1" applyBorder="1" applyAlignment="1" applyProtection="1">
      <alignment vertical="top"/>
      <protection locked="0"/>
    </xf>
    <xf numFmtId="0" fontId="437" fillId="166" borderId="0" xfId="1712" applyFont="1" applyFill="1" applyAlignment="1" applyProtection="1">
      <alignment vertical="top"/>
      <protection locked="0"/>
    </xf>
    <xf numFmtId="0" fontId="438" fillId="7" borderId="160" xfId="0" applyFont="1" applyFill="1" applyBorder="1" applyAlignment="1" applyProtection="1">
      <alignment horizontal="left" wrapText="1"/>
      <protection locked="0"/>
    </xf>
    <xf numFmtId="0" fontId="353" fillId="152" borderId="206" xfId="0" applyFont="1" applyFill="1" applyBorder="1" applyAlignment="1" applyProtection="1">
      <alignment horizontal="right"/>
      <protection locked="0"/>
    </xf>
    <xf numFmtId="167" fontId="353" fillId="152" borderId="207" xfId="0" applyNumberFormat="1" applyFont="1" applyFill="1" applyBorder="1" applyProtection="1">
      <protection locked="0"/>
    </xf>
    <xf numFmtId="0" fontId="353" fillId="152" borderId="0" xfId="0" applyFont="1" applyFill="1" applyProtection="1">
      <protection locked="0"/>
    </xf>
    <xf numFmtId="167" fontId="353" fillId="152" borderId="0" xfId="0" applyNumberFormat="1" applyFont="1" applyFill="1" applyProtection="1">
      <protection locked="0"/>
    </xf>
    <xf numFmtId="167" fontId="397" fillId="7" borderId="159" xfId="1" applyNumberFormat="1" applyFont="1" applyFill="1" applyBorder="1" applyProtection="1">
      <protection locked="0"/>
    </xf>
    <xf numFmtId="3" fontId="353" fillId="152" borderId="206" xfId="0" applyNumberFormat="1" applyFont="1" applyFill="1" applyBorder="1" applyAlignment="1" applyProtection="1">
      <alignment horizontal="right"/>
      <protection locked="0"/>
    </xf>
    <xf numFmtId="3" fontId="353" fillId="152" borderId="0" xfId="0" applyNumberFormat="1" applyFont="1" applyFill="1" applyProtection="1">
      <protection locked="0"/>
    </xf>
    <xf numFmtId="0" fontId="439" fillId="7" borderId="160" xfId="0" applyFont="1" applyFill="1" applyBorder="1" applyAlignment="1" applyProtection="1">
      <alignment horizontal="left" wrapText="1"/>
      <protection locked="0"/>
    </xf>
    <xf numFmtId="0" fontId="436" fillId="166" borderId="160" xfId="1712" applyFont="1" applyFill="1" applyBorder="1" applyAlignment="1" applyProtection="1">
      <alignment horizontal="left"/>
      <protection locked="0"/>
    </xf>
    <xf numFmtId="3" fontId="440" fillId="166" borderId="208" xfId="1712" applyNumberFormat="1" applyFont="1" applyFill="1" applyBorder="1" applyAlignment="1" applyProtection="1">
      <alignment horizontal="right"/>
      <protection locked="0"/>
    </xf>
    <xf numFmtId="167" fontId="479" fillId="174" borderId="209" xfId="0" applyNumberFormat="1" applyFont="1" applyFill="1" applyBorder="1" applyAlignment="1" applyProtection="1">
      <alignment horizontal="right"/>
      <protection locked="0"/>
    </xf>
    <xf numFmtId="3" fontId="479" fillId="174" borderId="0" xfId="0" applyNumberFormat="1" applyFont="1" applyFill="1" applyAlignment="1" applyProtection="1">
      <alignment horizontal="right"/>
      <protection locked="0"/>
    </xf>
    <xf numFmtId="167" fontId="479" fillId="174" borderId="0" xfId="0" applyNumberFormat="1" applyFont="1" applyFill="1" applyAlignment="1" applyProtection="1">
      <alignment horizontal="right"/>
      <protection locked="0"/>
    </xf>
    <xf numFmtId="0" fontId="418" fillId="0" borderId="0" xfId="0" applyFont="1" applyProtection="1">
      <protection locked="0"/>
    </xf>
    <xf numFmtId="0" fontId="340" fillId="147" borderId="0" xfId="0" applyFont="1" applyFill="1" applyAlignment="1" applyProtection="1">
      <alignment horizontal="right" wrapText="1"/>
      <protection locked="0"/>
    </xf>
    <xf numFmtId="9" fontId="353" fillId="161" borderId="163" xfId="1" applyFont="1" applyFill="1" applyBorder="1" applyAlignment="1" applyProtection="1">
      <alignment horizontal="right" vertical="top" wrapText="1"/>
      <protection locked="0"/>
    </xf>
    <xf numFmtId="9" fontId="353" fillId="161" borderId="0" xfId="1" applyFont="1" applyFill="1" applyBorder="1" applyAlignment="1" applyProtection="1">
      <alignment horizontal="right" vertical="top" wrapText="1"/>
      <protection locked="0"/>
    </xf>
    <xf numFmtId="9" fontId="441" fillId="161" borderId="0" xfId="1" applyFont="1" applyFill="1" applyBorder="1" applyAlignment="1" applyProtection="1">
      <alignment horizontal="right" vertical="top" wrapText="1"/>
      <protection locked="0"/>
    </xf>
    <xf numFmtId="0" fontId="371" fillId="147" borderId="0" xfId="0" applyFont="1" applyFill="1" applyAlignment="1" applyProtection="1">
      <alignment horizontal="right" wrapText="1"/>
      <protection locked="0"/>
    </xf>
    <xf numFmtId="2" fontId="353" fillId="161" borderId="163" xfId="1" applyNumberFormat="1" applyFont="1" applyFill="1" applyBorder="1" applyAlignment="1" applyProtection="1">
      <alignment horizontal="right" vertical="top" wrapText="1"/>
      <protection locked="0"/>
    </xf>
    <xf numFmtId="2" fontId="353" fillId="161" borderId="0" xfId="1" applyNumberFormat="1" applyFont="1" applyFill="1" applyBorder="1" applyAlignment="1" applyProtection="1">
      <alignment horizontal="right" vertical="top" wrapText="1"/>
      <protection locked="0"/>
    </xf>
    <xf numFmtId="296" fontId="353" fillId="161" borderId="0" xfId="1" applyNumberFormat="1" applyFont="1" applyFill="1" applyBorder="1" applyAlignment="1" applyProtection="1">
      <alignment horizontal="right" vertical="top" wrapText="1"/>
      <protection locked="0"/>
    </xf>
    <xf numFmtId="2" fontId="353" fillId="147" borderId="163" xfId="1" applyNumberFormat="1" applyFont="1" applyFill="1" applyBorder="1" applyAlignment="1" applyProtection="1">
      <alignment horizontal="right" vertical="top" wrapText="1"/>
      <protection locked="0"/>
    </xf>
    <xf numFmtId="2" fontId="353" fillId="147" borderId="0" xfId="1" applyNumberFormat="1" applyFont="1" applyFill="1" applyBorder="1" applyAlignment="1" applyProtection="1">
      <alignment horizontal="right" vertical="top" wrapText="1"/>
      <protection locked="0"/>
    </xf>
    <xf numFmtId="2" fontId="371" fillId="152" borderId="0" xfId="0" applyNumberFormat="1" applyFont="1" applyFill="1" applyAlignment="1" applyProtection="1">
      <alignment horizontal="right" wrapText="1"/>
      <protection locked="0"/>
    </xf>
    <xf numFmtId="296" fontId="353" fillId="147" borderId="161" xfId="1" applyNumberFormat="1" applyFont="1" applyFill="1" applyBorder="1" applyAlignment="1" applyProtection="1">
      <alignment horizontal="right" vertical="top" wrapText="1"/>
      <protection locked="0"/>
    </xf>
    <xf numFmtId="296" fontId="353" fillId="147" borderId="0" xfId="1" applyNumberFormat="1" applyFont="1" applyFill="1" applyBorder="1" applyAlignment="1" applyProtection="1">
      <alignment horizontal="right" vertical="top" wrapText="1"/>
      <protection locked="0"/>
    </xf>
    <xf numFmtId="296" fontId="371" fillId="147" borderId="0" xfId="0" applyNumberFormat="1" applyFont="1" applyFill="1" applyAlignment="1" applyProtection="1">
      <alignment horizontal="right" wrapText="1"/>
      <protection locked="0"/>
    </xf>
    <xf numFmtId="0" fontId="413" fillId="0" borderId="0" xfId="0" applyFont="1" applyAlignment="1" applyProtection="1">
      <alignment horizontal="right" wrapText="1"/>
      <protection locked="0"/>
    </xf>
    <xf numFmtId="0" fontId="336" fillId="7" borderId="159" xfId="0" applyFont="1" applyFill="1" applyBorder="1" applyProtection="1">
      <protection locked="0"/>
    </xf>
    <xf numFmtId="0" fontId="336" fillId="0" borderId="159" xfId="0" applyFont="1" applyBorder="1" applyAlignment="1" applyProtection="1">
      <alignment wrapText="1"/>
      <protection locked="0"/>
    </xf>
    <xf numFmtId="0" fontId="394" fillId="7" borderId="0" xfId="0" applyFont="1" applyFill="1" applyProtection="1">
      <protection locked="0"/>
    </xf>
    <xf numFmtId="0" fontId="426" fillId="7" borderId="160" xfId="0" applyFont="1" applyFill="1" applyBorder="1" applyAlignment="1" applyProtection="1">
      <alignment vertical="top" wrapText="1"/>
      <protection locked="0"/>
    </xf>
    <xf numFmtId="173" fontId="353" fillId="161" borderId="163" xfId="0" applyNumberFormat="1" applyFont="1" applyFill="1" applyBorder="1" applyAlignment="1" applyProtection="1">
      <alignment horizontal="right" vertical="top" wrapText="1"/>
      <protection locked="0"/>
    </xf>
    <xf numFmtId="173" fontId="353" fillId="161" borderId="0" xfId="0" applyNumberFormat="1" applyFont="1" applyFill="1" applyAlignment="1" applyProtection="1">
      <alignment horizontal="right" vertical="top" wrapText="1"/>
      <protection locked="0"/>
    </xf>
    <xf numFmtId="173" fontId="353" fillId="147" borderId="163" xfId="0" applyNumberFormat="1" applyFont="1" applyFill="1" applyBorder="1" applyAlignment="1" applyProtection="1">
      <alignment horizontal="right" vertical="top" wrapText="1"/>
      <protection locked="0"/>
    </xf>
    <xf numFmtId="173" fontId="353" fillId="147" borderId="0" xfId="0" applyNumberFormat="1" applyFont="1" applyFill="1" applyAlignment="1" applyProtection="1">
      <alignment horizontal="right" vertical="top" wrapText="1"/>
      <protection locked="0"/>
    </xf>
    <xf numFmtId="173" fontId="353" fillId="161" borderId="161" xfId="0" applyNumberFormat="1" applyFont="1" applyFill="1" applyBorder="1" applyAlignment="1" applyProtection="1">
      <alignment horizontal="right" vertical="top" wrapText="1"/>
      <protection locked="0"/>
    </xf>
    <xf numFmtId="0" fontId="353" fillId="134" borderId="160" xfId="0" applyFont="1" applyFill="1" applyBorder="1" applyAlignment="1" applyProtection="1">
      <alignment horizontal="left" vertical="top" wrapText="1"/>
      <protection locked="0"/>
    </xf>
    <xf numFmtId="0" fontId="34" fillId="0" borderId="0" xfId="0" applyFont="1" applyProtection="1">
      <protection locked="0"/>
    </xf>
    <xf numFmtId="0" fontId="353" fillId="134" borderId="160" xfId="0" applyFont="1" applyFill="1" applyBorder="1" applyAlignment="1" applyProtection="1">
      <alignment horizontal="left" wrapText="1"/>
      <protection locked="0"/>
    </xf>
    <xf numFmtId="167" fontId="353" fillId="161" borderId="161" xfId="1" applyNumberFormat="1" applyFont="1" applyFill="1" applyBorder="1" applyAlignment="1" applyProtection="1">
      <alignment horizontal="right" vertical="top" wrapText="1"/>
      <protection locked="0"/>
    </xf>
    <xf numFmtId="167" fontId="353" fillId="161" borderId="0" xfId="1" applyNumberFormat="1" applyFont="1" applyFill="1" applyBorder="1" applyAlignment="1" applyProtection="1">
      <alignment horizontal="right" vertical="top" wrapText="1"/>
      <protection locked="0"/>
    </xf>
    <xf numFmtId="0" fontId="353" fillId="0" borderId="160" xfId="0" applyFont="1" applyBorder="1" applyProtection="1">
      <protection locked="0"/>
    </xf>
    <xf numFmtId="0" fontId="29" fillId="7" borderId="0" xfId="0" applyFont="1" applyFill="1" applyProtection="1">
      <protection locked="0"/>
    </xf>
    <xf numFmtId="0" fontId="442" fillId="152" borderId="0" xfId="0" applyFont="1" applyFill="1" applyAlignment="1" applyProtection="1">
      <alignment horizontal="right" vertical="top" wrapText="1"/>
      <protection locked="0"/>
    </xf>
    <xf numFmtId="0" fontId="442" fillId="152" borderId="0" xfId="0" applyFont="1" applyFill="1" applyAlignment="1" applyProtection="1">
      <alignment horizontal="right" wrapText="1"/>
      <protection locked="0"/>
    </xf>
    <xf numFmtId="0" fontId="399" fillId="0" borderId="160" xfId="0" applyFont="1" applyBorder="1" applyProtection="1">
      <protection locked="0"/>
    </xf>
    <xf numFmtId="0" fontId="340" fillId="0" borderId="0" xfId="0" applyFont="1" applyAlignment="1" applyProtection="1">
      <alignment horizontal="left"/>
      <protection locked="0"/>
    </xf>
    <xf numFmtId="1" fontId="353" fillId="161" borderId="163" xfId="0" applyNumberFormat="1" applyFont="1" applyFill="1" applyBorder="1" applyAlignment="1" applyProtection="1">
      <alignment horizontal="right" vertical="top" wrapText="1"/>
      <protection locked="0"/>
    </xf>
    <xf numFmtId="1" fontId="353" fillId="161" borderId="0" xfId="0" applyNumberFormat="1" applyFont="1" applyFill="1" applyAlignment="1" applyProtection="1">
      <alignment horizontal="right" vertical="top" wrapText="1"/>
      <protection locked="0"/>
    </xf>
    <xf numFmtId="167" fontId="371" fillId="134" borderId="0" xfId="1" applyNumberFormat="1" applyFont="1" applyFill="1" applyAlignment="1" applyProtection="1">
      <alignment horizontal="right" wrapText="1"/>
      <protection locked="0"/>
    </xf>
    <xf numFmtId="2" fontId="371" fillId="0" borderId="0" xfId="0" applyNumberFormat="1" applyFont="1" applyAlignment="1" applyProtection="1">
      <alignment horizontal="right" wrapText="1"/>
      <protection locked="0"/>
    </xf>
    <xf numFmtId="167" fontId="371" fillId="134" borderId="0" xfId="0" applyNumberFormat="1" applyFont="1" applyFill="1" applyAlignment="1" applyProtection="1">
      <alignment horizontal="right" wrapText="1"/>
      <protection locked="0"/>
    </xf>
    <xf numFmtId="1" fontId="353" fillId="147" borderId="163" xfId="0" applyNumberFormat="1" applyFont="1" applyFill="1" applyBorder="1" applyAlignment="1" applyProtection="1">
      <alignment horizontal="right" vertical="top" wrapText="1"/>
      <protection locked="0"/>
    </xf>
    <xf numFmtId="1" fontId="353" fillId="147" borderId="0" xfId="0" applyNumberFormat="1" applyFont="1" applyFill="1" applyAlignment="1" applyProtection="1">
      <alignment horizontal="right" vertical="top" wrapText="1"/>
      <protection locked="0"/>
    </xf>
    <xf numFmtId="167" fontId="371" fillId="147" borderId="0" xfId="1" applyNumberFormat="1" applyFont="1" applyFill="1" applyAlignment="1" applyProtection="1">
      <alignment horizontal="right" wrapText="1"/>
      <protection locked="0"/>
    </xf>
    <xf numFmtId="167" fontId="371" fillId="152" borderId="0" xfId="0" applyNumberFormat="1" applyFont="1" applyFill="1" applyAlignment="1" applyProtection="1">
      <alignment horizontal="right" wrapText="1"/>
      <protection locked="0"/>
    </xf>
    <xf numFmtId="173" fontId="443" fillId="161" borderId="161" xfId="0" applyNumberFormat="1" applyFont="1" applyFill="1" applyBorder="1" applyAlignment="1" applyProtection="1">
      <alignment horizontal="right" vertical="top" wrapText="1"/>
      <protection locked="0"/>
    </xf>
    <xf numFmtId="173" fontId="443" fillId="161" borderId="0" xfId="0" applyNumberFormat="1" applyFont="1" applyFill="1" applyAlignment="1" applyProtection="1">
      <alignment horizontal="right" vertical="top" wrapText="1"/>
      <protection locked="0"/>
    </xf>
    <xf numFmtId="0" fontId="352" fillId="164" borderId="0" xfId="0" applyFont="1" applyFill="1" applyAlignment="1" applyProtection="1">
      <alignment horizontal="right" vertical="center" wrapText="1"/>
      <protection locked="0"/>
    </xf>
    <xf numFmtId="173" fontId="353" fillId="134" borderId="163" xfId="0" applyNumberFormat="1" applyFont="1" applyFill="1" applyBorder="1" applyAlignment="1" applyProtection="1">
      <alignment horizontal="right" vertical="top" wrapText="1"/>
      <protection locked="0"/>
    </xf>
    <xf numFmtId="9" fontId="371" fillId="0" borderId="0" xfId="1" applyFont="1" applyFill="1" applyBorder="1" applyAlignment="1" applyProtection="1">
      <alignment horizontal="right" wrapText="1"/>
      <protection locked="0"/>
    </xf>
    <xf numFmtId="0" fontId="404" fillId="147" borderId="0" xfId="0" applyFont="1" applyFill="1" applyProtection="1">
      <protection locked="0"/>
    </xf>
    <xf numFmtId="0" fontId="414" fillId="7" borderId="0" xfId="0" applyFont="1" applyFill="1" applyAlignment="1" applyProtection="1">
      <alignment vertical="top"/>
      <protection locked="0"/>
    </xf>
    <xf numFmtId="0" fontId="336" fillId="7" borderId="0" xfId="0" applyFont="1" applyFill="1" applyProtection="1">
      <protection locked="0"/>
    </xf>
    <xf numFmtId="0" fontId="397" fillId="7" borderId="160" xfId="0" applyFont="1" applyFill="1" applyBorder="1" applyAlignment="1" applyProtection="1">
      <alignment horizontal="left" vertical="top"/>
      <protection locked="0"/>
    </xf>
    <xf numFmtId="0" fontId="408" fillId="7" borderId="0" xfId="0" applyFont="1" applyFill="1" applyAlignment="1" applyProtection="1">
      <alignment horizontal="left"/>
      <protection locked="0"/>
    </xf>
    <xf numFmtId="0" fontId="340" fillId="7" borderId="0" xfId="0" applyFont="1" applyFill="1" applyAlignment="1" applyProtection="1">
      <alignment horizontal="left"/>
      <protection locked="0"/>
    </xf>
    <xf numFmtId="0" fontId="340" fillId="7" borderId="0" xfId="0" applyFont="1" applyFill="1" applyAlignment="1" applyProtection="1">
      <alignment horizontal="right" wrapText="1"/>
      <protection locked="0"/>
    </xf>
    <xf numFmtId="173" fontId="353" fillId="134" borderId="0" xfId="0" applyNumberFormat="1" applyFont="1" applyFill="1" applyAlignment="1" applyProtection="1">
      <alignment horizontal="right" vertical="top" wrapText="1"/>
      <protection locked="0"/>
    </xf>
    <xf numFmtId="1" fontId="353" fillId="134" borderId="0" xfId="0" applyNumberFormat="1" applyFont="1" applyFill="1" applyAlignment="1" applyProtection="1">
      <alignment horizontal="right" vertical="top" wrapText="1"/>
      <protection locked="0"/>
    </xf>
    <xf numFmtId="173" fontId="443" fillId="0" borderId="0" xfId="0" applyNumberFormat="1" applyFont="1" applyAlignment="1" applyProtection="1">
      <alignment horizontal="right" vertical="top" wrapText="1"/>
      <protection locked="0"/>
    </xf>
    <xf numFmtId="1" fontId="443" fillId="147" borderId="0" xfId="0" applyNumberFormat="1" applyFont="1" applyFill="1" applyAlignment="1" applyProtection="1">
      <alignment horizontal="right" vertical="top" wrapText="1"/>
      <protection locked="0"/>
    </xf>
    <xf numFmtId="0" fontId="414" fillId="7" borderId="160" xfId="0" applyFont="1" applyFill="1" applyBorder="1" applyProtection="1">
      <protection locked="0"/>
    </xf>
    <xf numFmtId="0" fontId="444" fillId="152" borderId="160" xfId="0" applyFont="1" applyFill="1" applyBorder="1" applyProtection="1">
      <protection locked="0"/>
    </xf>
    <xf numFmtId="0" fontId="340" fillId="147" borderId="0" xfId="0" applyFont="1" applyFill="1" applyAlignment="1" applyProtection="1">
      <alignment horizontal="left"/>
      <protection locked="0"/>
    </xf>
    <xf numFmtId="1" fontId="353" fillId="134" borderId="163" xfId="0" applyNumberFormat="1" applyFont="1" applyFill="1" applyBorder="1" applyAlignment="1" applyProtection="1">
      <alignment horizontal="right" vertical="top" wrapText="1"/>
      <protection locked="0"/>
    </xf>
    <xf numFmtId="173" fontId="441" fillId="147" borderId="0" xfId="0" applyNumberFormat="1" applyFont="1" applyFill="1" applyAlignment="1" applyProtection="1">
      <alignment horizontal="right" vertical="top" wrapText="1"/>
      <protection locked="0"/>
    </xf>
    <xf numFmtId="173" fontId="371" fillId="147" borderId="0" xfId="0" applyNumberFormat="1" applyFont="1" applyFill="1" applyAlignment="1" applyProtection="1">
      <alignment horizontal="right" wrapText="1"/>
      <protection locked="0"/>
    </xf>
    <xf numFmtId="9" fontId="371" fillId="147" borderId="0" xfId="1" applyFont="1" applyFill="1" applyBorder="1" applyAlignment="1" applyProtection="1">
      <alignment horizontal="right" wrapText="1"/>
      <protection locked="0"/>
    </xf>
    <xf numFmtId="1" fontId="441" fillId="147" borderId="0" xfId="0" applyNumberFormat="1" applyFont="1" applyFill="1" applyAlignment="1" applyProtection="1">
      <alignment horizontal="right" vertical="top" wrapText="1"/>
      <protection locked="0"/>
    </xf>
    <xf numFmtId="1" fontId="353" fillId="134" borderId="161" xfId="0" applyNumberFormat="1" applyFont="1" applyFill="1" applyBorder="1" applyAlignment="1" applyProtection="1">
      <alignment horizontal="right" vertical="top" wrapText="1"/>
      <protection locked="0"/>
    </xf>
    <xf numFmtId="0" fontId="414" fillId="7" borderId="160" xfId="0" applyFont="1" applyFill="1" applyBorder="1" applyAlignment="1" applyProtection="1">
      <alignment vertical="top"/>
      <protection locked="0"/>
    </xf>
    <xf numFmtId="0" fontId="445" fillId="3" borderId="0" xfId="0" applyFont="1" applyFill="1" applyAlignment="1" applyProtection="1">
      <alignment horizontal="left"/>
      <protection locked="0"/>
    </xf>
    <xf numFmtId="0" fontId="444" fillId="160" borderId="160" xfId="0" applyFont="1" applyFill="1" applyBorder="1" applyProtection="1">
      <protection locked="0"/>
    </xf>
    <xf numFmtId="0" fontId="29" fillId="160" borderId="0" xfId="0" applyFont="1" applyFill="1" applyProtection="1">
      <protection locked="0"/>
    </xf>
    <xf numFmtId="0" fontId="29" fillId="160" borderId="160" xfId="0" applyFont="1" applyFill="1" applyBorder="1" applyProtection="1">
      <protection locked="0"/>
    </xf>
    <xf numFmtId="0" fontId="340" fillId="163" borderId="164" xfId="0" applyFont="1" applyFill="1" applyBorder="1" applyAlignment="1" applyProtection="1">
      <alignment horizontal="right" vertical="center" wrapText="1"/>
      <protection locked="0"/>
    </xf>
    <xf numFmtId="0" fontId="340" fillId="162" borderId="0" xfId="0" applyFont="1" applyFill="1" applyAlignment="1" applyProtection="1">
      <alignment horizontal="right" vertical="center" wrapText="1"/>
      <protection locked="0"/>
    </xf>
    <xf numFmtId="0" fontId="371" fillId="161" borderId="163" xfId="0" applyFont="1" applyFill="1" applyBorder="1" applyProtection="1">
      <protection locked="0"/>
    </xf>
    <xf numFmtId="0" fontId="371" fillId="161" borderId="0" xfId="0" applyFont="1" applyFill="1" applyProtection="1">
      <protection locked="0"/>
    </xf>
    <xf numFmtId="0" fontId="371" fillId="160" borderId="160" xfId="0" applyFont="1" applyFill="1" applyBorder="1" applyProtection="1">
      <protection locked="0"/>
    </xf>
    <xf numFmtId="0" fontId="371" fillId="160" borderId="163" xfId="0" applyFont="1" applyFill="1" applyBorder="1" applyProtection="1">
      <protection locked="0"/>
    </xf>
    <xf numFmtId="0" fontId="371" fillId="160" borderId="0" xfId="0" applyFont="1" applyFill="1" applyProtection="1">
      <protection locked="0"/>
    </xf>
    <xf numFmtId="0" fontId="371" fillId="161" borderId="161" xfId="0" applyFont="1" applyFill="1" applyBorder="1" applyProtection="1">
      <protection locked="0"/>
    </xf>
    <xf numFmtId="0" fontId="0" fillId="0" borderId="162" xfId="0" applyBorder="1" applyProtection="1">
      <protection locked="0"/>
    </xf>
    <xf numFmtId="0" fontId="394" fillId="160" borderId="160" xfId="0" applyFont="1" applyFill="1" applyBorder="1" applyProtection="1">
      <protection locked="0"/>
    </xf>
    <xf numFmtId="0" fontId="0" fillId="160" borderId="158" xfId="0" applyFill="1" applyBorder="1" applyProtection="1">
      <protection locked="0"/>
    </xf>
    <xf numFmtId="0" fontId="0" fillId="160" borderId="157" xfId="0" applyFill="1" applyBorder="1" applyAlignment="1" applyProtection="1">
      <alignment horizontal="center"/>
      <protection locked="0"/>
    </xf>
    <xf numFmtId="0" fontId="0" fillId="160" borderId="157" xfId="0" applyFill="1" applyBorder="1" applyProtection="1">
      <protection locked="0"/>
    </xf>
    <xf numFmtId="0" fontId="0" fillId="0" borderId="157" xfId="0" applyBorder="1" applyProtection="1">
      <protection locked="0"/>
    </xf>
    <xf numFmtId="0" fontId="445" fillId="3" borderId="156" xfId="0" applyFont="1" applyFill="1" applyBorder="1" applyAlignment="1" applyProtection="1">
      <alignment horizontal="right"/>
      <protection locked="0"/>
    </xf>
    <xf numFmtId="0" fontId="456" fillId="3" borderId="0" xfId="0" applyFont="1" applyFill="1" applyProtection="1">
      <protection locked="0"/>
    </xf>
    <xf numFmtId="0" fontId="463" fillId="3" borderId="107" xfId="0" applyFont="1" applyFill="1" applyBorder="1" applyAlignment="1" applyProtection="1">
      <alignment vertical="center"/>
      <protection locked="0"/>
    </xf>
    <xf numFmtId="0" fontId="463" fillId="3" borderId="3" xfId="0" applyFont="1" applyFill="1" applyBorder="1" applyAlignment="1" applyProtection="1">
      <alignment vertical="center"/>
      <protection locked="0"/>
    </xf>
    <xf numFmtId="0" fontId="456" fillId="3" borderId="3" xfId="0" applyFont="1" applyFill="1" applyBorder="1" applyProtection="1">
      <protection locked="0"/>
    </xf>
    <xf numFmtId="0" fontId="456" fillId="3" borderId="108" xfId="0" applyFont="1" applyFill="1" applyBorder="1" applyProtection="1">
      <protection locked="0"/>
    </xf>
    <xf numFmtId="0" fontId="456" fillId="7" borderId="0" xfId="0" applyFont="1" applyFill="1" applyProtection="1">
      <protection locked="0"/>
    </xf>
    <xf numFmtId="0" fontId="456" fillId="0" borderId="0" xfId="0" applyFont="1" applyProtection="1">
      <protection locked="0"/>
    </xf>
    <xf numFmtId="0" fontId="456" fillId="3" borderId="4" xfId="0" applyFont="1" applyFill="1" applyBorder="1" applyProtection="1">
      <protection locked="0"/>
    </xf>
    <xf numFmtId="0" fontId="456" fillId="3" borderId="5" xfId="0" applyFont="1" applyFill="1" applyBorder="1" applyProtection="1">
      <protection locked="0"/>
    </xf>
    <xf numFmtId="0" fontId="463" fillId="3" borderId="4" xfId="0" applyFont="1" applyFill="1" applyBorder="1" applyAlignment="1" applyProtection="1">
      <alignment vertical="center"/>
      <protection locked="0"/>
    </xf>
    <xf numFmtId="0" fontId="463" fillId="3" borderId="0" xfId="0" applyFont="1" applyFill="1" applyAlignment="1" applyProtection="1">
      <alignment vertical="center"/>
      <protection locked="0"/>
    </xf>
    <xf numFmtId="0" fontId="464" fillId="3" borderId="4" xfId="0" applyFont="1" applyFill="1" applyBorder="1" applyAlignment="1" applyProtection="1">
      <alignment vertical="center"/>
      <protection locked="0"/>
    </xf>
    <xf numFmtId="0" fontId="466" fillId="3" borderId="0" xfId="0" applyFont="1" applyFill="1" applyAlignment="1" applyProtection="1">
      <alignment vertical="center"/>
      <protection locked="0"/>
    </xf>
    <xf numFmtId="0" fontId="467" fillId="3" borderId="5" xfId="0" applyFont="1" applyFill="1" applyBorder="1" applyAlignment="1" applyProtection="1">
      <alignment horizontal="right"/>
      <protection locked="0"/>
    </xf>
    <xf numFmtId="0" fontId="468" fillId="0" borderId="4" xfId="0" applyFont="1" applyBorder="1" applyAlignment="1" applyProtection="1">
      <alignment vertical="center"/>
      <protection locked="0"/>
    </xf>
    <xf numFmtId="0" fontId="8" fillId="19" borderId="4" xfId="0" applyFont="1" applyFill="1" applyBorder="1" applyAlignment="1" applyProtection="1">
      <alignment vertical="center" wrapText="1"/>
      <protection locked="0"/>
    </xf>
    <xf numFmtId="0" fontId="8" fillId="19" borderId="0" xfId="0" applyFont="1" applyFill="1" applyAlignment="1" applyProtection="1">
      <alignment vertical="center" wrapText="1"/>
      <protection locked="0"/>
    </xf>
    <xf numFmtId="0" fontId="8" fillId="171" borderId="187" xfId="0" applyFont="1" applyFill="1" applyBorder="1" applyAlignment="1" applyProtection="1">
      <alignment horizontal="right" vertical="center" wrapText="1"/>
      <protection locked="0"/>
    </xf>
    <xf numFmtId="0" fontId="456" fillId="7" borderId="5" xfId="0" applyFont="1" applyFill="1" applyBorder="1" applyProtection="1">
      <protection locked="0"/>
    </xf>
    <xf numFmtId="0" fontId="456" fillId="7" borderId="4" xfId="0" applyFont="1" applyFill="1" applyBorder="1" applyProtection="1">
      <protection locked="0"/>
    </xf>
    <xf numFmtId="0" fontId="15" fillId="3" borderId="4" xfId="0" applyFont="1" applyFill="1" applyBorder="1" applyAlignment="1" applyProtection="1">
      <alignment wrapText="1"/>
      <protection locked="0"/>
    </xf>
    <xf numFmtId="297" fontId="9" fillId="0" borderId="191" xfId="0" applyNumberFormat="1" applyFont="1" applyBorder="1" applyAlignment="1" applyProtection="1">
      <alignment wrapText="1"/>
      <protection locked="0"/>
    </xf>
    <xf numFmtId="9" fontId="9" fillId="0" borderId="187" xfId="1" applyFont="1" applyBorder="1" applyAlignment="1" applyProtection="1">
      <alignment horizontal="right" wrapText="1"/>
      <protection locked="0"/>
    </xf>
    <xf numFmtId="0" fontId="456" fillId="0" borderId="4" xfId="0" applyFont="1" applyBorder="1" applyProtection="1">
      <protection locked="0"/>
    </xf>
    <xf numFmtId="0" fontId="9" fillId="3" borderId="0" xfId="0" applyFont="1" applyFill="1" applyAlignment="1" applyProtection="1">
      <alignment wrapText="1"/>
      <protection locked="0"/>
    </xf>
    <xf numFmtId="297" fontId="9" fillId="3" borderId="191" xfId="0" applyNumberFormat="1" applyFont="1" applyFill="1" applyBorder="1" applyAlignment="1" applyProtection="1">
      <alignment wrapText="1"/>
      <protection locked="0"/>
    </xf>
    <xf numFmtId="9" fontId="9" fillId="3" borderId="189" xfId="1" applyFont="1" applyFill="1" applyBorder="1" applyAlignment="1" applyProtection="1">
      <alignment horizontal="right" wrapText="1"/>
      <protection locked="0"/>
    </xf>
    <xf numFmtId="0" fontId="9" fillId="3" borderId="0" xfId="0" applyFont="1" applyFill="1" applyAlignment="1" applyProtection="1">
      <alignment horizontal="left"/>
      <protection locked="0"/>
    </xf>
    <xf numFmtId="0" fontId="15" fillId="5" borderId="4" xfId="0" applyFont="1" applyFill="1" applyBorder="1" applyAlignment="1" applyProtection="1">
      <alignment vertical="center" wrapText="1"/>
      <protection locked="0"/>
    </xf>
    <xf numFmtId="173" fontId="9" fillId="5" borderId="191" xfId="0" applyNumberFormat="1" applyFont="1" applyFill="1" applyBorder="1" applyAlignment="1" applyProtection="1">
      <alignment vertical="center" wrapText="1"/>
      <protection locked="0"/>
    </xf>
    <xf numFmtId="9" fontId="9" fillId="5" borderId="189" xfId="1" applyFont="1" applyFill="1" applyBorder="1" applyAlignment="1" applyProtection="1">
      <alignment horizontal="right" vertical="center" wrapText="1"/>
      <protection locked="0"/>
    </xf>
    <xf numFmtId="0" fontId="15" fillId="3" borderId="4" xfId="0" applyFont="1" applyFill="1" applyBorder="1" applyAlignment="1" applyProtection="1">
      <alignment vertical="center" wrapText="1"/>
      <protection locked="0"/>
    </xf>
    <xf numFmtId="0" fontId="9" fillId="3" borderId="191" xfId="0" applyFont="1" applyFill="1" applyBorder="1" applyAlignment="1" applyProtection="1">
      <alignment vertical="center" wrapText="1"/>
      <protection locked="0"/>
    </xf>
    <xf numFmtId="9" fontId="9" fillId="3" borderId="189" xfId="1" applyFont="1" applyFill="1" applyBorder="1" applyAlignment="1" applyProtection="1">
      <alignment horizontal="right" vertical="center" wrapText="1"/>
      <protection locked="0"/>
    </xf>
    <xf numFmtId="0" fontId="15" fillId="3" borderId="0" xfId="0" applyFont="1" applyFill="1" applyAlignment="1" applyProtection="1">
      <alignment wrapText="1"/>
      <protection locked="0"/>
    </xf>
    <xf numFmtId="297" fontId="19" fillId="0" borderId="190" xfId="0" applyNumberFormat="1" applyFont="1" applyBorder="1" applyAlignment="1" applyProtection="1">
      <alignment horizontal="right" wrapText="1"/>
      <protection locked="0"/>
    </xf>
    <xf numFmtId="9" fontId="9" fillId="3" borderId="188" xfId="1" applyFont="1" applyFill="1" applyBorder="1" applyAlignment="1" applyProtection="1">
      <alignment horizontal="right" wrapText="1"/>
      <protection locked="0"/>
    </xf>
    <xf numFmtId="0" fontId="27" fillId="3" borderId="4" xfId="0" applyFont="1" applyFill="1" applyBorder="1" applyAlignment="1" applyProtection="1">
      <alignment wrapText="1"/>
      <protection locked="0"/>
    </xf>
    <xf numFmtId="0" fontId="27" fillId="3" borderId="0" xfId="0" applyFont="1" applyFill="1" applyAlignment="1" applyProtection="1">
      <alignment wrapText="1"/>
      <protection locked="0"/>
    </xf>
    <xf numFmtId="0" fontId="27" fillId="3" borderId="0" xfId="0" applyFont="1" applyFill="1" applyAlignment="1" applyProtection="1">
      <alignment horizontal="right" wrapText="1"/>
      <protection locked="0"/>
    </xf>
    <xf numFmtId="0" fontId="388" fillId="3" borderId="4" xfId="0" applyFont="1" applyFill="1" applyBorder="1" applyProtection="1">
      <protection locked="0"/>
    </xf>
    <xf numFmtId="0" fontId="9" fillId="3" borderId="0" xfId="0" applyFont="1" applyFill="1" applyProtection="1">
      <protection locked="0"/>
    </xf>
    <xf numFmtId="0" fontId="388" fillId="0" borderId="4" xfId="0" applyFont="1" applyBorder="1" applyProtection="1">
      <protection locked="0"/>
    </xf>
    <xf numFmtId="0" fontId="9" fillId="0" borderId="0" xfId="0" applyFont="1" applyProtection="1">
      <protection locked="0"/>
    </xf>
    <xf numFmtId="0" fontId="460" fillId="7" borderId="0" xfId="0" applyFont="1" applyFill="1" applyProtection="1">
      <protection locked="0"/>
    </xf>
    <xf numFmtId="0" fontId="469" fillId="3" borderId="5" xfId="0" applyFont="1" applyFill="1" applyBorder="1" applyAlignment="1" applyProtection="1">
      <alignment horizontal="right"/>
      <protection locked="0"/>
    </xf>
    <xf numFmtId="0" fontId="468" fillId="0" borderId="0" xfId="0" applyFont="1" applyAlignment="1" applyProtection="1">
      <alignment vertical="center"/>
      <protection locked="0"/>
    </xf>
    <xf numFmtId="0" fontId="456" fillId="3" borderId="0" xfId="0" applyFont="1" applyFill="1" applyAlignment="1" applyProtection="1">
      <alignment horizontal="right"/>
      <protection locked="0"/>
    </xf>
    <xf numFmtId="0" fontId="470" fillId="3" borderId="4" xfId="0" applyFont="1" applyFill="1" applyBorder="1" applyAlignment="1" applyProtection="1">
      <alignment horizontal="right" vertical="center" wrapText="1"/>
      <protection locked="0"/>
    </xf>
    <xf numFmtId="0" fontId="8" fillId="162" borderId="187" xfId="0" applyFont="1" applyFill="1" applyBorder="1" applyAlignment="1" applyProtection="1">
      <alignment horizontal="right" vertical="center" wrapText="1"/>
      <protection locked="0"/>
    </xf>
    <xf numFmtId="0" fontId="8" fillId="19" borderId="0" xfId="0" applyFont="1" applyFill="1" applyAlignment="1" applyProtection="1">
      <alignment horizontal="right" vertical="center" wrapText="1"/>
      <protection locked="0"/>
    </xf>
    <xf numFmtId="0" fontId="456" fillId="7" borderId="5" xfId="0" applyFont="1" applyFill="1" applyBorder="1" applyAlignment="1" applyProtection="1">
      <alignment horizontal="right"/>
      <protection locked="0"/>
    </xf>
    <xf numFmtId="0" fontId="456" fillId="7" borderId="0" xfId="0" applyFont="1" applyFill="1" applyAlignment="1" applyProtection="1">
      <alignment horizontal="right"/>
      <protection locked="0"/>
    </xf>
    <xf numFmtId="0" fontId="456" fillId="0" borderId="0" xfId="0" applyFont="1" applyAlignment="1" applyProtection="1">
      <alignment horizontal="right"/>
      <protection locked="0"/>
    </xf>
    <xf numFmtId="171" fontId="9" fillId="3" borderId="189" xfId="10" applyNumberFormat="1" applyFont="1" applyFill="1" applyBorder="1" applyAlignment="1" applyProtection="1">
      <alignment horizontal="right" wrapText="1"/>
      <protection locked="0"/>
    </xf>
    <xf numFmtId="171" fontId="9" fillId="3" borderId="0" xfId="10" applyNumberFormat="1" applyFont="1" applyFill="1" applyBorder="1" applyAlignment="1" applyProtection="1">
      <alignment horizontal="right" wrapText="1"/>
      <protection locked="0"/>
    </xf>
    <xf numFmtId="0" fontId="9" fillId="3" borderId="4" xfId="0" applyFont="1" applyFill="1" applyBorder="1" applyAlignment="1" applyProtection="1">
      <alignment wrapText="1"/>
      <protection locked="0"/>
    </xf>
    <xf numFmtId="171" fontId="9" fillId="3" borderId="189" xfId="10" applyNumberFormat="1" applyFont="1" applyFill="1" applyBorder="1" applyAlignment="1" applyProtection="1">
      <alignment horizontal="right" vertical="center" wrapText="1"/>
      <protection locked="0"/>
    </xf>
    <xf numFmtId="171" fontId="9" fillId="3" borderId="0" xfId="10" applyNumberFormat="1" applyFont="1" applyFill="1" applyBorder="1" applyAlignment="1" applyProtection="1">
      <alignment horizontal="right" vertical="center" wrapText="1"/>
      <protection locked="0"/>
    </xf>
    <xf numFmtId="0" fontId="15" fillId="5" borderId="4" xfId="0" applyFont="1" applyFill="1" applyBorder="1" applyAlignment="1" applyProtection="1">
      <alignment wrapText="1"/>
      <protection locked="0"/>
    </xf>
    <xf numFmtId="171" fontId="9" fillId="5" borderId="189" xfId="10" applyNumberFormat="1" applyFont="1" applyFill="1" applyBorder="1" applyAlignment="1" applyProtection="1">
      <alignment horizontal="right" wrapText="1"/>
      <protection locked="0"/>
    </xf>
    <xf numFmtId="171" fontId="9" fillId="5" borderId="0" xfId="10" applyNumberFormat="1" applyFont="1" applyFill="1" applyBorder="1" applyAlignment="1" applyProtection="1">
      <alignment horizontal="right" wrapText="1"/>
      <protection locked="0"/>
    </xf>
    <xf numFmtId="171" fontId="9" fillId="5" borderId="189" xfId="10" applyNumberFormat="1" applyFont="1" applyFill="1" applyBorder="1" applyAlignment="1" applyProtection="1">
      <alignment horizontal="right" vertical="center" wrapText="1"/>
      <protection locked="0"/>
    </xf>
    <xf numFmtId="171" fontId="9" fillId="5" borderId="0" xfId="10" applyNumberFormat="1" applyFont="1" applyFill="1" applyBorder="1" applyAlignment="1" applyProtection="1">
      <alignment horizontal="right" vertical="center" wrapText="1"/>
      <protection locked="0"/>
    </xf>
    <xf numFmtId="0" fontId="9" fillId="5" borderId="4" xfId="0" applyFont="1" applyFill="1" applyBorder="1" applyAlignment="1" applyProtection="1">
      <alignment wrapText="1"/>
      <protection locked="0"/>
    </xf>
    <xf numFmtId="171" fontId="9" fillId="0" borderId="189" xfId="10" applyNumberFormat="1" applyFont="1" applyBorder="1" applyAlignment="1" applyProtection="1">
      <alignment horizontal="right" vertical="center" wrapText="1"/>
      <protection locked="0"/>
    </xf>
    <xf numFmtId="171" fontId="9" fillId="3" borderId="5" xfId="10" applyNumberFormat="1" applyFont="1" applyFill="1" applyBorder="1" applyAlignment="1" applyProtection="1">
      <alignment horizontal="right" vertical="center" wrapText="1"/>
      <protection locked="0"/>
    </xf>
    <xf numFmtId="0" fontId="9" fillId="3" borderId="4" xfId="0" applyFont="1" applyFill="1" applyBorder="1" applyAlignment="1" applyProtection="1">
      <alignment vertical="center" wrapText="1"/>
      <protection locked="0"/>
    </xf>
    <xf numFmtId="171" fontId="9" fillId="0" borderId="188" xfId="10" applyNumberFormat="1" applyFont="1" applyBorder="1" applyAlignment="1" applyProtection="1">
      <alignment horizontal="right" vertical="center" wrapText="1"/>
      <protection locked="0"/>
    </xf>
    <xf numFmtId="0" fontId="463" fillId="3" borderId="4" xfId="0" applyFont="1" applyFill="1" applyBorder="1" applyAlignment="1" applyProtection="1">
      <alignment horizontal="center" vertical="center"/>
      <protection locked="0"/>
    </xf>
    <xf numFmtId="0" fontId="9" fillId="3" borderId="4" xfId="0" applyFont="1" applyFill="1" applyBorder="1" applyAlignment="1" applyProtection="1">
      <alignment vertical="center"/>
      <protection locked="0"/>
    </xf>
    <xf numFmtId="0" fontId="9" fillId="3" borderId="0" xfId="0" applyFont="1" applyFill="1" applyAlignment="1" applyProtection="1">
      <alignment vertical="center"/>
      <protection locked="0"/>
    </xf>
    <xf numFmtId="0" fontId="471" fillId="3" borderId="4" xfId="0" applyFont="1" applyFill="1" applyBorder="1" applyAlignment="1" applyProtection="1">
      <alignment vertical="center"/>
      <protection locked="0"/>
    </xf>
    <xf numFmtId="0" fontId="8" fillId="162" borderId="186" xfId="0" applyFont="1" applyFill="1" applyBorder="1" applyAlignment="1" applyProtection="1">
      <alignment horizontal="right" vertical="center" wrapText="1"/>
      <protection locked="0"/>
    </xf>
    <xf numFmtId="0" fontId="8" fillId="162" borderId="185" xfId="0" applyFont="1" applyFill="1" applyBorder="1" applyAlignment="1" applyProtection="1">
      <alignment horizontal="right" vertical="center" wrapText="1"/>
      <protection locked="0"/>
    </xf>
    <xf numFmtId="168" fontId="9" fillId="160" borderId="184" xfId="10" applyNumberFormat="1" applyFont="1" applyFill="1" applyBorder="1" applyAlignment="1" applyProtection="1">
      <alignment horizontal="right" wrapText="1"/>
      <protection locked="0"/>
    </xf>
    <xf numFmtId="168" fontId="9" fillId="0" borderId="184" xfId="10" applyNumberFormat="1" applyFont="1" applyBorder="1" applyAlignment="1" applyProtection="1">
      <alignment horizontal="right" wrapText="1"/>
      <protection locked="0"/>
    </xf>
    <xf numFmtId="168" fontId="9" fillId="0" borderId="183" xfId="10" applyNumberFormat="1" applyFont="1" applyBorder="1" applyAlignment="1" applyProtection="1">
      <alignment horizontal="right" wrapText="1"/>
      <protection locked="0"/>
    </xf>
    <xf numFmtId="168" fontId="15" fillId="0" borderId="182" xfId="10" applyNumberFormat="1" applyFont="1" applyBorder="1" applyAlignment="1" applyProtection="1">
      <alignment horizontal="right" wrapText="1"/>
      <protection locked="0"/>
    </xf>
    <xf numFmtId="168" fontId="15" fillId="0" borderId="181" xfId="10" applyNumberFormat="1" applyFont="1" applyBorder="1" applyAlignment="1" applyProtection="1">
      <alignment horizontal="right" wrapText="1"/>
      <protection locked="0"/>
    </xf>
    <xf numFmtId="0" fontId="477" fillId="3" borderId="4" xfId="0" applyFont="1" applyFill="1" applyBorder="1" applyAlignment="1" applyProtection="1">
      <alignment vertical="center"/>
      <protection locked="0"/>
    </xf>
    <xf numFmtId="0" fontId="478" fillId="3" borderId="0" xfId="0" applyFont="1" applyFill="1" applyProtection="1">
      <protection locked="0"/>
    </xf>
    <xf numFmtId="0" fontId="350" fillId="0" borderId="5" xfId="0" applyFont="1" applyBorder="1" applyAlignment="1" applyProtection="1">
      <alignment vertical="center" wrapText="1"/>
      <protection locked="0"/>
    </xf>
    <xf numFmtId="0" fontId="460" fillId="0" borderId="0" xfId="0" applyFont="1" applyProtection="1">
      <protection locked="0"/>
    </xf>
    <xf numFmtId="0" fontId="477" fillId="160" borderId="4" xfId="11603" applyFont="1" applyFill="1" applyBorder="1" applyAlignment="1" applyProtection="1">
      <alignment vertical="center"/>
      <protection locked="0"/>
    </xf>
    <xf numFmtId="0" fontId="477" fillId="160" borderId="0" xfId="0" applyFont="1" applyFill="1" applyAlignment="1" applyProtection="1">
      <alignment vertical="center" wrapText="1"/>
      <protection locked="0"/>
    </xf>
    <xf numFmtId="0" fontId="350" fillId="160" borderId="5" xfId="0" applyFont="1" applyFill="1" applyBorder="1" applyAlignment="1" applyProtection="1">
      <alignment vertical="center" wrapText="1"/>
      <protection locked="0"/>
    </xf>
    <xf numFmtId="0" fontId="473" fillId="3" borderId="5" xfId="0" applyFont="1" applyFill="1" applyBorder="1" applyAlignment="1" applyProtection="1">
      <alignment horizontal="right"/>
      <protection locked="0"/>
    </xf>
    <xf numFmtId="0" fontId="8" fillId="171" borderId="1" xfId="0" applyFont="1" applyFill="1" applyBorder="1" applyAlignment="1" applyProtection="1">
      <alignment horizontal="right" vertical="center" wrapText="1"/>
      <protection locked="0"/>
    </xf>
    <xf numFmtId="0" fontId="8" fillId="7" borderId="0" xfId="0" applyFont="1" applyFill="1" applyAlignment="1" applyProtection="1">
      <alignment horizontal="right" vertical="center" wrapText="1"/>
      <protection locked="0"/>
    </xf>
    <xf numFmtId="168" fontId="9" fillId="0" borderId="1" xfId="10" applyNumberFormat="1" applyFont="1" applyFill="1" applyBorder="1" applyAlignment="1" applyProtection="1">
      <alignment horizontal="right" wrapText="1"/>
      <protection locked="0"/>
    </xf>
    <xf numFmtId="168" fontId="9" fillId="7" borderId="0" xfId="10" applyNumberFormat="1" applyFont="1" applyFill="1" applyBorder="1" applyAlignment="1" applyProtection="1">
      <alignment horizontal="right" vertical="center" wrapText="1"/>
      <protection locked="0"/>
    </xf>
    <xf numFmtId="0" fontId="15" fillId="7" borderId="0" xfId="0" applyFont="1" applyFill="1" applyAlignment="1" applyProtection="1">
      <alignment wrapText="1"/>
      <protection locked="0"/>
    </xf>
    <xf numFmtId="0" fontId="388" fillId="3" borderId="4" xfId="0" applyFont="1" applyFill="1" applyBorder="1" applyAlignment="1" applyProtection="1">
      <alignment vertical="center"/>
      <protection locked="0"/>
    </xf>
    <xf numFmtId="0" fontId="459" fillId="3" borderId="0" xfId="0" applyFont="1" applyFill="1" applyProtection="1">
      <protection locked="0"/>
    </xf>
    <xf numFmtId="0" fontId="459" fillId="7" borderId="0" xfId="0" applyFont="1" applyFill="1" applyProtection="1">
      <protection locked="0"/>
    </xf>
    <xf numFmtId="0" fontId="9" fillId="0" borderId="5" xfId="0" applyFont="1" applyBorder="1" applyAlignment="1" applyProtection="1">
      <alignment horizontal="left" vertical="center" wrapText="1"/>
      <protection locked="0"/>
    </xf>
    <xf numFmtId="0" fontId="456" fillId="3" borderId="113" xfId="0" applyFont="1" applyFill="1" applyBorder="1" applyProtection="1">
      <protection locked="0"/>
    </xf>
    <xf numFmtId="0" fontId="456" fillId="3" borderId="114" xfId="0" applyFont="1" applyFill="1" applyBorder="1" applyProtection="1">
      <protection locked="0"/>
    </xf>
    <xf numFmtId="0" fontId="474" fillId="3" borderId="114" xfId="0" applyFont="1" applyFill="1" applyBorder="1" applyAlignment="1" applyProtection="1">
      <alignment horizontal="left"/>
      <protection locked="0"/>
    </xf>
    <xf numFmtId="0" fontId="474" fillId="3" borderId="109" xfId="0" applyFont="1" applyFill="1" applyBorder="1" applyAlignment="1" applyProtection="1">
      <alignment horizontal="right"/>
      <protection locked="0"/>
    </xf>
    <xf numFmtId="0" fontId="73" fillId="7" borderId="0" xfId="0" applyFont="1" applyFill="1" applyProtection="1">
      <protection locked="0"/>
    </xf>
    <xf numFmtId="0" fontId="461" fillId="3" borderId="4" xfId="0" applyFont="1" applyFill="1" applyBorder="1" applyProtection="1">
      <protection locked="0"/>
    </xf>
    <xf numFmtId="0" fontId="456" fillId="0" borderId="5" xfId="0" applyFont="1" applyBorder="1" applyProtection="1">
      <protection locked="0"/>
    </xf>
    <xf numFmtId="0" fontId="461" fillId="3" borderId="0" xfId="0" applyFont="1" applyFill="1" applyProtection="1">
      <protection locked="0"/>
    </xf>
    <xf numFmtId="0" fontId="347" fillId="3" borderId="0" xfId="0" applyFont="1" applyFill="1" applyProtection="1">
      <protection locked="0"/>
    </xf>
    <xf numFmtId="0" fontId="347" fillId="0" borderId="0" xfId="0" applyFont="1" applyProtection="1">
      <protection locked="0"/>
    </xf>
    <xf numFmtId="0" fontId="347" fillId="3" borderId="5" xfId="0" applyFont="1" applyFill="1" applyBorder="1" applyProtection="1">
      <protection locked="0"/>
    </xf>
    <xf numFmtId="0" fontId="450" fillId="0" borderId="4" xfId="0" applyFont="1" applyBorder="1" applyAlignment="1" applyProtection="1">
      <alignment vertical="center"/>
      <protection locked="0"/>
    </xf>
    <xf numFmtId="0" fontId="4" fillId="3" borderId="0" xfId="0" applyFont="1" applyFill="1" applyAlignment="1" applyProtection="1">
      <alignment vertical="center"/>
      <protection locked="0"/>
    </xf>
    <xf numFmtId="0" fontId="446" fillId="0" borderId="4" xfId="0" applyFont="1" applyBorder="1" applyAlignment="1" applyProtection="1">
      <alignment vertical="center"/>
      <protection locked="0"/>
    </xf>
    <xf numFmtId="0" fontId="7" fillId="3" borderId="0" xfId="0" applyFont="1" applyFill="1" applyAlignment="1" applyProtection="1">
      <alignment vertical="center" wrapText="1"/>
      <protection locked="0"/>
    </xf>
    <xf numFmtId="0" fontId="341" fillId="0" borderId="4" xfId="0" applyFont="1" applyBorder="1" applyProtection="1">
      <protection locked="0"/>
    </xf>
    <xf numFmtId="0" fontId="40" fillId="0" borderId="0" xfId="0" applyFont="1" applyAlignment="1" applyProtection="1">
      <alignment vertical="center"/>
      <protection locked="0"/>
    </xf>
    <xf numFmtId="9" fontId="40" fillId="0" borderId="0" xfId="1" applyFont="1" applyAlignment="1" applyProtection="1">
      <alignment vertical="center"/>
      <protection locked="0"/>
    </xf>
    <xf numFmtId="9" fontId="5" fillId="3" borderId="0" xfId="1" applyFont="1" applyFill="1" applyAlignment="1" applyProtection="1">
      <alignment vertical="center"/>
      <protection locked="0"/>
    </xf>
    <xf numFmtId="0" fontId="6" fillId="3" borderId="0" xfId="0" applyFont="1" applyFill="1" applyAlignment="1" applyProtection="1">
      <alignment vertical="center"/>
      <protection locked="0"/>
    </xf>
    <xf numFmtId="0" fontId="22" fillId="0" borderId="0" xfId="0" applyFont="1" applyProtection="1">
      <protection locked="0"/>
    </xf>
    <xf numFmtId="0" fontId="343" fillId="0" borderId="5" xfId="0" applyFont="1" applyBorder="1" applyAlignment="1" applyProtection="1">
      <alignment horizontal="right"/>
      <protection locked="0"/>
    </xf>
    <xf numFmtId="3" fontId="42" fillId="3" borderId="0" xfId="0" applyNumberFormat="1" applyFont="1" applyFill="1" applyAlignment="1" applyProtection="1">
      <alignment vertical="center" wrapText="1"/>
      <protection locked="0"/>
    </xf>
    <xf numFmtId="0" fontId="7" fillId="3" borderId="4" xfId="0" applyFont="1" applyFill="1" applyBorder="1" applyAlignment="1" applyProtection="1">
      <alignment vertical="center"/>
      <protection locked="0"/>
    </xf>
    <xf numFmtId="0" fontId="7" fillId="3" borderId="0" xfId="0" applyFont="1" applyFill="1" applyAlignment="1" applyProtection="1">
      <alignment vertical="center"/>
      <protection locked="0"/>
    </xf>
    <xf numFmtId="0" fontId="62" fillId="130" borderId="26" xfId="0" applyFont="1" applyFill="1" applyBorder="1" applyAlignment="1" applyProtection="1">
      <alignment horizontal="right" vertical="center" wrapText="1"/>
      <protection locked="0"/>
    </xf>
    <xf numFmtId="0" fontId="8" fillId="173" borderId="0" xfId="0" applyFont="1" applyFill="1" applyAlignment="1" applyProtection="1">
      <alignment horizontal="right" vertical="center" wrapText="1"/>
      <protection locked="0"/>
    </xf>
    <xf numFmtId="0" fontId="43" fillId="19" borderId="0" xfId="0" applyFont="1" applyFill="1" applyAlignment="1" applyProtection="1">
      <alignment horizontal="right" vertical="center" wrapText="1"/>
      <protection locked="0"/>
    </xf>
    <xf numFmtId="0" fontId="43" fillId="19" borderId="5" xfId="0" applyFont="1" applyFill="1" applyBorder="1" applyAlignment="1" applyProtection="1">
      <alignment horizontal="right" vertical="center" wrapText="1"/>
      <protection locked="0"/>
    </xf>
    <xf numFmtId="0" fontId="9" fillId="173" borderId="4" xfId="0" applyFont="1" applyFill="1" applyBorder="1" applyAlignment="1" applyProtection="1">
      <alignment wrapText="1"/>
      <protection locked="0"/>
    </xf>
    <xf numFmtId="0" fontId="9" fillId="5" borderId="0" xfId="0" applyFont="1" applyFill="1" applyAlignment="1" applyProtection="1">
      <alignment wrapText="1"/>
      <protection locked="0"/>
    </xf>
    <xf numFmtId="168" fontId="9" fillId="5" borderId="103" xfId="10" applyNumberFormat="1" applyFont="1" applyFill="1" applyBorder="1" applyAlignment="1" applyProtection="1">
      <alignment horizontal="right" wrapText="1"/>
      <protection locked="0"/>
    </xf>
    <xf numFmtId="3" fontId="9" fillId="5" borderId="0" xfId="0" applyNumberFormat="1" applyFont="1" applyFill="1" applyAlignment="1" applyProtection="1">
      <alignment horizontal="right" wrapText="1"/>
      <protection locked="0"/>
    </xf>
    <xf numFmtId="9" fontId="9" fillId="5" borderId="4" xfId="1" applyFont="1" applyFill="1" applyBorder="1" applyAlignment="1" applyProtection="1">
      <alignment horizontal="right" wrapText="1"/>
      <protection locked="0"/>
    </xf>
    <xf numFmtId="9" fontId="9" fillId="5" borderId="5" xfId="1" applyFont="1" applyFill="1" applyBorder="1" applyAlignment="1" applyProtection="1">
      <alignment horizontal="right" wrapText="1"/>
      <protection locked="0"/>
    </xf>
    <xf numFmtId="169" fontId="456" fillId="3" borderId="0" xfId="0" applyNumberFormat="1" applyFont="1" applyFill="1" applyProtection="1">
      <protection locked="0"/>
    </xf>
    <xf numFmtId="167" fontId="456" fillId="0" borderId="0" xfId="0" applyNumberFormat="1" applyFont="1" applyProtection="1">
      <protection locked="0"/>
    </xf>
    <xf numFmtId="3" fontId="9" fillId="3" borderId="103" xfId="0" applyNumberFormat="1" applyFont="1" applyFill="1" applyBorder="1" applyAlignment="1" applyProtection="1">
      <alignment horizontal="right" wrapText="1"/>
      <protection locked="0"/>
    </xf>
    <xf numFmtId="3" fontId="9" fillId="0" borderId="0" xfId="0" applyNumberFormat="1" applyFont="1" applyAlignment="1" applyProtection="1">
      <alignment horizontal="right" wrapText="1"/>
      <protection locked="0"/>
    </xf>
    <xf numFmtId="3" fontId="9" fillId="3" borderId="0" xfId="0" applyNumberFormat="1" applyFont="1" applyFill="1" applyAlignment="1" applyProtection="1">
      <alignment horizontal="right" wrapText="1"/>
      <protection locked="0"/>
    </xf>
    <xf numFmtId="9" fontId="9" fillId="0" borderId="4" xfId="1" applyFont="1" applyFill="1" applyBorder="1" applyAlignment="1" applyProtection="1">
      <alignment horizontal="right" wrapText="1"/>
      <protection locked="0"/>
    </xf>
    <xf numFmtId="9" fontId="9" fillId="0" borderId="5" xfId="1" applyFont="1" applyFill="1" applyBorder="1" applyAlignment="1" applyProtection="1">
      <alignment horizontal="right" wrapText="1"/>
      <protection locked="0"/>
    </xf>
    <xf numFmtId="167" fontId="456" fillId="0" borderId="0" xfId="1" applyNumberFormat="1" applyFont="1" applyProtection="1">
      <protection locked="0"/>
    </xf>
    <xf numFmtId="9" fontId="456" fillId="3" borderId="0" xfId="1" applyFont="1" applyFill="1" applyProtection="1">
      <protection locked="0"/>
    </xf>
    <xf numFmtId="3" fontId="9" fillId="3" borderId="104" xfId="0" applyNumberFormat="1" applyFont="1" applyFill="1" applyBorder="1" applyAlignment="1" applyProtection="1">
      <alignment horizontal="right" wrapText="1"/>
      <protection locked="0"/>
    </xf>
    <xf numFmtId="0" fontId="9" fillId="0" borderId="4"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168" fontId="9" fillId="0" borderId="0" xfId="0" applyNumberFormat="1" applyFont="1" applyAlignment="1" applyProtection="1">
      <alignment horizontal="left" vertical="center" wrapText="1"/>
      <protection locked="0"/>
    </xf>
    <xf numFmtId="167" fontId="9" fillId="0" borderId="0" xfId="1" applyNumberFormat="1" applyFont="1" applyFill="1" applyBorder="1" applyAlignment="1" applyProtection="1">
      <alignment horizontal="right" vertical="center" wrapText="1"/>
      <protection locked="0"/>
    </xf>
    <xf numFmtId="3" fontId="9" fillId="0" borderId="0" xfId="0" applyNumberFormat="1" applyFont="1" applyAlignment="1" applyProtection="1">
      <alignment horizontal="right" vertical="center" wrapText="1"/>
      <protection locked="0"/>
    </xf>
    <xf numFmtId="9" fontId="9" fillId="3" borderId="5" xfId="1" applyFont="1" applyFill="1" applyBorder="1" applyAlignment="1" applyProtection="1">
      <alignment horizontal="right" vertical="center" wrapText="1"/>
      <protection locked="0"/>
    </xf>
    <xf numFmtId="0" fontId="388" fillId="0" borderId="0" xfId="0" applyFont="1" applyProtection="1">
      <protection locked="0"/>
    </xf>
    <xf numFmtId="10" fontId="388" fillId="0" borderId="0" xfId="0" applyNumberFormat="1" applyFont="1" applyProtection="1">
      <protection locked="0"/>
    </xf>
    <xf numFmtId="0" fontId="388" fillId="0" borderId="4" xfId="6" applyFont="1" applyBorder="1" applyProtection="1">
      <protection locked="0"/>
    </xf>
    <xf numFmtId="0" fontId="388" fillId="0" borderId="0" xfId="6" applyFont="1" applyProtection="1">
      <protection locked="0"/>
    </xf>
    <xf numFmtId="0" fontId="388" fillId="0" borderId="0" xfId="6" applyFont="1" applyAlignment="1" applyProtection="1">
      <alignment wrapText="1"/>
      <protection locked="0"/>
    </xf>
    <xf numFmtId="0" fontId="45" fillId="0" borderId="0" xfId="0" applyFont="1" applyAlignment="1" applyProtection="1">
      <alignment vertical="center"/>
      <protection locked="0"/>
    </xf>
    <xf numFmtId="0" fontId="4" fillId="7" borderId="0" xfId="0" applyFont="1" applyFill="1" applyAlignment="1" applyProtection="1">
      <alignment vertical="center"/>
      <protection locked="0"/>
    </xf>
    <xf numFmtId="0" fontId="343" fillId="7" borderId="0" xfId="0" applyFont="1" applyFill="1" applyAlignment="1" applyProtection="1">
      <alignment wrapText="1"/>
      <protection locked="0"/>
    </xf>
    <xf numFmtId="0" fontId="343" fillId="7" borderId="5" xfId="0" applyFont="1" applyFill="1" applyBorder="1" applyAlignment="1" applyProtection="1">
      <alignment horizontal="right"/>
      <protection locked="0"/>
    </xf>
    <xf numFmtId="0" fontId="9" fillId="0" borderId="4" xfId="0" applyFont="1" applyBorder="1" applyAlignment="1" applyProtection="1">
      <alignment vertical="center" wrapText="1"/>
      <protection locked="0"/>
    </xf>
    <xf numFmtId="0" fontId="22" fillId="3" borderId="0" xfId="0" applyFont="1" applyFill="1" applyAlignment="1" applyProtection="1">
      <alignment vertical="center" wrapText="1"/>
      <protection locked="0"/>
    </xf>
    <xf numFmtId="0" fontId="8" fillId="130" borderId="26" xfId="0" applyFont="1" applyFill="1" applyBorder="1" applyAlignment="1" applyProtection="1">
      <alignment horizontal="right" vertical="center" wrapText="1"/>
      <protection locked="0"/>
    </xf>
    <xf numFmtId="0" fontId="364" fillId="19" borderId="0" xfId="0" applyFont="1" applyFill="1" applyAlignment="1" applyProtection="1">
      <alignment horizontal="right" vertical="center" wrapText="1"/>
      <protection locked="0"/>
    </xf>
    <xf numFmtId="0" fontId="15" fillId="6" borderId="4" xfId="0" applyFont="1" applyFill="1" applyBorder="1" applyAlignment="1" applyProtection="1">
      <alignment wrapText="1"/>
      <protection locked="0"/>
    </xf>
    <xf numFmtId="0" fontId="15" fillId="6" borderId="0" xfId="0" applyFont="1" applyFill="1" applyAlignment="1" applyProtection="1">
      <alignment vertical="center" wrapText="1"/>
      <protection locked="0"/>
    </xf>
    <xf numFmtId="0" fontId="16" fillId="6" borderId="103" xfId="0" applyFont="1" applyFill="1" applyBorder="1" applyAlignment="1" applyProtection="1">
      <alignment horizontal="right" vertical="center" wrapText="1"/>
      <protection locked="0"/>
    </xf>
    <xf numFmtId="0" fontId="45" fillId="6" borderId="0" xfId="0" applyFont="1" applyFill="1" applyAlignment="1" applyProtection="1">
      <alignment horizontal="right" vertical="center" wrapText="1"/>
      <protection locked="0"/>
    </xf>
    <xf numFmtId="0" fontId="17" fillId="6" borderId="0" xfId="0" applyFont="1" applyFill="1" applyAlignment="1" applyProtection="1">
      <alignment horizontal="right" vertical="center" wrapText="1"/>
      <protection locked="0"/>
    </xf>
    <xf numFmtId="9" fontId="17" fillId="6" borderId="5" xfId="1" applyFont="1" applyFill="1" applyBorder="1" applyAlignment="1" applyProtection="1">
      <alignment horizontal="right" vertical="center" wrapText="1"/>
      <protection locked="0"/>
    </xf>
    <xf numFmtId="0" fontId="9" fillId="6" borderId="4" xfId="0" applyFont="1" applyFill="1" applyBorder="1" applyAlignment="1" applyProtection="1">
      <alignment wrapText="1"/>
      <protection locked="0"/>
    </xf>
    <xf numFmtId="0" fontId="18" fillId="6" borderId="0" xfId="0" applyFont="1" applyFill="1" applyAlignment="1" applyProtection="1">
      <alignment vertical="center" wrapText="1"/>
      <protection locked="0"/>
    </xf>
    <xf numFmtId="165" fontId="19" fillId="6" borderId="103" xfId="10" applyNumberFormat="1" applyFont="1" applyFill="1" applyBorder="1" applyAlignment="1" applyProtection="1">
      <alignment horizontal="right" wrapText="1"/>
      <protection locked="0"/>
    </xf>
    <xf numFmtId="168" fontId="19" fillId="6" borderId="0" xfId="10" applyNumberFormat="1" applyFont="1" applyFill="1" applyAlignment="1" applyProtection="1">
      <alignment horizontal="right" wrapText="1"/>
      <protection locked="0"/>
    </xf>
    <xf numFmtId="168" fontId="19" fillId="6" borderId="0" xfId="10" applyNumberFormat="1" applyFont="1" applyFill="1" applyBorder="1" applyAlignment="1" applyProtection="1">
      <alignment horizontal="right" wrapText="1"/>
      <protection locked="0"/>
    </xf>
    <xf numFmtId="9" fontId="19" fillId="6" borderId="5" xfId="1" applyFont="1" applyFill="1" applyBorder="1" applyAlignment="1" applyProtection="1">
      <alignment horizontal="right" wrapText="1"/>
      <protection locked="0"/>
    </xf>
    <xf numFmtId="168" fontId="456" fillId="0" borderId="0" xfId="0" applyNumberFormat="1" applyFont="1" applyProtection="1">
      <protection locked="0"/>
    </xf>
    <xf numFmtId="0" fontId="9" fillId="5" borderId="4" xfId="0" applyFont="1" applyFill="1" applyBorder="1" applyAlignment="1" applyProtection="1">
      <alignment horizontal="left" wrapText="1" indent="2"/>
      <protection locked="0"/>
    </xf>
    <xf numFmtId="0" fontId="9" fillId="5" borderId="0" xfId="0" applyFont="1" applyFill="1" applyAlignment="1" applyProtection="1">
      <alignment horizontal="left" vertical="center" wrapText="1" indent="2"/>
      <protection locked="0"/>
    </xf>
    <xf numFmtId="165" fontId="9" fillId="149" borderId="103" xfId="2" applyNumberFormat="1" applyFont="1" applyFill="1" applyBorder="1" applyAlignment="1" applyProtection="1">
      <alignment horizontal="right" wrapText="1"/>
      <protection locked="0"/>
    </xf>
    <xf numFmtId="168" fontId="19" fillId="149" borderId="0" xfId="10" applyNumberFormat="1" applyFont="1" applyFill="1" applyAlignment="1" applyProtection="1">
      <alignment horizontal="right" wrapText="1"/>
      <protection locked="0"/>
    </xf>
    <xf numFmtId="168" fontId="19" fillId="149" borderId="0" xfId="10" applyNumberFormat="1" applyFont="1" applyFill="1" applyBorder="1" applyAlignment="1" applyProtection="1">
      <alignment horizontal="right" wrapText="1"/>
      <protection locked="0"/>
    </xf>
    <xf numFmtId="168" fontId="9" fillId="5" borderId="0" xfId="10" applyNumberFormat="1" applyFont="1" applyFill="1" applyBorder="1" applyAlignment="1" applyProtection="1">
      <alignment horizontal="right" wrapText="1"/>
      <protection locked="0"/>
    </xf>
    <xf numFmtId="168" fontId="9" fillId="149" borderId="103" xfId="10" applyNumberFormat="1" applyFont="1" applyFill="1" applyBorder="1" applyAlignment="1" applyProtection="1">
      <alignment horizontal="right" wrapText="1"/>
      <protection locked="0"/>
    </xf>
    <xf numFmtId="168" fontId="19" fillId="5" borderId="0" xfId="10" applyNumberFormat="1" applyFont="1" applyFill="1" applyAlignment="1" applyProtection="1">
      <alignment horizontal="right" wrapText="1"/>
      <protection locked="0"/>
    </xf>
    <xf numFmtId="168" fontId="19" fillId="5" borderId="0" xfId="10" applyNumberFormat="1" applyFont="1" applyFill="1" applyBorder="1" applyAlignment="1" applyProtection="1">
      <alignment horizontal="right" wrapText="1"/>
      <protection locked="0"/>
    </xf>
    <xf numFmtId="171" fontId="9" fillId="5" borderId="103" xfId="10" applyNumberFormat="1" applyFont="1" applyFill="1" applyBorder="1" applyAlignment="1" applyProtection="1">
      <alignment horizontal="right" wrapText="1"/>
      <protection locked="0"/>
    </xf>
    <xf numFmtId="0" fontId="19" fillId="5" borderId="0" xfId="0" applyFont="1" applyFill="1" applyAlignment="1" applyProtection="1">
      <alignment horizontal="right" wrapText="1"/>
      <protection locked="0"/>
    </xf>
    <xf numFmtId="0" fontId="9" fillId="5" borderId="0" xfId="0" applyFont="1" applyFill="1" applyAlignment="1" applyProtection="1">
      <alignment horizontal="right" wrapText="1"/>
      <protection locked="0"/>
    </xf>
    <xf numFmtId="0" fontId="9" fillId="6" borderId="4" xfId="0" applyFont="1" applyFill="1" applyBorder="1" applyAlignment="1" applyProtection="1">
      <alignment vertical="center" wrapText="1"/>
      <protection locked="0"/>
    </xf>
    <xf numFmtId="168" fontId="19" fillId="6" borderId="103" xfId="10" applyNumberFormat="1" applyFont="1" applyFill="1" applyBorder="1" applyAlignment="1" applyProtection="1">
      <alignment horizontal="right" wrapText="1"/>
      <protection locked="0"/>
    </xf>
    <xf numFmtId="0" fontId="9" fillId="5" borderId="4" xfId="0" applyFont="1" applyFill="1" applyBorder="1" applyAlignment="1" applyProtection="1">
      <alignment horizontal="left" vertical="center" wrapText="1" indent="2"/>
      <protection locked="0"/>
    </xf>
    <xf numFmtId="3" fontId="19" fillId="5" borderId="0" xfId="0" applyNumberFormat="1" applyFont="1" applyFill="1" applyAlignment="1" applyProtection="1">
      <alignment horizontal="right" wrapText="1"/>
      <protection locked="0"/>
    </xf>
    <xf numFmtId="171" fontId="19" fillId="5" borderId="0" xfId="10" applyNumberFormat="1" applyFont="1" applyFill="1" applyAlignment="1" applyProtection="1">
      <alignment horizontal="right" wrapText="1"/>
      <protection locked="0"/>
    </xf>
    <xf numFmtId="171" fontId="19" fillId="5" borderId="0" xfId="10" applyNumberFormat="1" applyFont="1" applyFill="1" applyBorder="1" applyAlignment="1" applyProtection="1">
      <alignment horizontal="right" wrapText="1"/>
      <protection locked="0"/>
    </xf>
    <xf numFmtId="0" fontId="15" fillId="6" borderId="4" xfId="0" applyFont="1" applyFill="1" applyBorder="1" applyAlignment="1" applyProtection="1">
      <alignment vertical="center" wrapText="1"/>
      <protection locked="0"/>
    </xf>
    <xf numFmtId="0" fontId="11" fillId="6" borderId="103" xfId="0" applyFont="1" applyFill="1" applyBorder="1" applyAlignment="1" applyProtection="1">
      <alignment horizontal="right" wrapText="1"/>
      <protection locked="0"/>
    </xf>
    <xf numFmtId="0" fontId="45" fillId="6" borderId="0" xfId="0" applyFont="1" applyFill="1" applyAlignment="1" applyProtection="1">
      <alignment horizontal="right" wrapText="1"/>
      <protection locked="0"/>
    </xf>
    <xf numFmtId="0" fontId="17" fillId="6" borderId="0" xfId="0" applyFont="1" applyFill="1" applyAlignment="1" applyProtection="1">
      <alignment horizontal="right" wrapText="1"/>
      <protection locked="0"/>
    </xf>
    <xf numFmtId="9" fontId="17" fillId="6" borderId="5" xfId="1" applyFont="1" applyFill="1" applyBorder="1" applyAlignment="1" applyProtection="1">
      <alignment horizontal="right" wrapText="1"/>
      <protection locked="0"/>
    </xf>
    <xf numFmtId="0" fontId="20" fillId="6" borderId="103" xfId="0" applyFont="1" applyFill="1" applyBorder="1" applyAlignment="1" applyProtection="1">
      <alignment horizontal="right" wrapText="1"/>
      <protection locked="0"/>
    </xf>
    <xf numFmtId="0" fontId="19" fillId="6" borderId="0" xfId="0" applyFont="1" applyFill="1" applyAlignment="1" applyProtection="1">
      <alignment horizontal="right" wrapText="1"/>
      <protection locked="0"/>
    </xf>
    <xf numFmtId="0" fontId="20" fillId="6" borderId="0" xfId="0" applyFont="1" applyFill="1" applyAlignment="1" applyProtection="1">
      <alignment horizontal="right" wrapText="1"/>
      <protection locked="0"/>
    </xf>
    <xf numFmtId="9" fontId="20" fillId="6" borderId="5" xfId="1" applyFont="1" applyFill="1" applyBorder="1" applyAlignment="1" applyProtection="1">
      <alignment horizontal="right" wrapText="1"/>
      <protection locked="0"/>
    </xf>
    <xf numFmtId="168" fontId="9" fillId="149" borderId="104" xfId="10" applyNumberFormat="1" applyFont="1" applyFill="1" applyBorder="1" applyAlignment="1" applyProtection="1">
      <alignment horizontal="right" wrapText="1"/>
      <protection locked="0"/>
    </xf>
    <xf numFmtId="3" fontId="19" fillId="149" borderId="0" xfId="0" applyNumberFormat="1" applyFont="1" applyFill="1" applyAlignment="1" applyProtection="1">
      <alignment horizontal="right" wrapText="1"/>
      <protection locked="0"/>
    </xf>
    <xf numFmtId="172" fontId="456" fillId="3" borderId="0" xfId="0" applyNumberFormat="1" applyFont="1" applyFill="1" applyProtection="1">
      <protection locked="0"/>
    </xf>
    <xf numFmtId="43" fontId="456" fillId="0" borderId="0" xfId="0" applyNumberFormat="1" applyFont="1" applyProtection="1">
      <protection locked="0"/>
    </xf>
    <xf numFmtId="170" fontId="456" fillId="0" borderId="0" xfId="0" applyNumberFormat="1" applyFont="1" applyProtection="1">
      <protection locked="0"/>
    </xf>
    <xf numFmtId="0" fontId="7" fillId="3" borderId="4" xfId="0" applyFont="1" applyFill="1" applyBorder="1" applyAlignment="1" applyProtection="1">
      <alignment vertical="center" wrapText="1"/>
      <protection locked="0"/>
    </xf>
    <xf numFmtId="0" fontId="9" fillId="3" borderId="5" xfId="0" applyFont="1" applyFill="1" applyBorder="1" applyProtection="1">
      <protection locked="0"/>
    </xf>
    <xf numFmtId="0" fontId="9" fillId="0" borderId="0" xfId="0" applyFont="1" applyAlignment="1" applyProtection="1">
      <alignment wrapText="1"/>
      <protection locked="0"/>
    </xf>
    <xf numFmtId="0" fontId="9" fillId="0" borderId="5" xfId="0" applyFont="1" applyBorder="1" applyAlignment="1" applyProtection="1">
      <alignment wrapText="1"/>
      <protection locked="0"/>
    </xf>
    <xf numFmtId="0" fontId="9" fillId="0" borderId="5" xfId="0" applyFont="1" applyBorder="1" applyProtection="1">
      <protection locked="0"/>
    </xf>
    <xf numFmtId="0" fontId="9" fillId="0" borderId="0" xfId="0" applyFont="1" applyAlignment="1" applyProtection="1">
      <alignment vertical="center" wrapText="1"/>
      <protection locked="0"/>
    </xf>
    <xf numFmtId="0" fontId="9" fillId="0" borderId="5" xfId="0" applyFont="1" applyBorder="1" applyAlignment="1" applyProtection="1">
      <alignment vertical="center" wrapText="1"/>
      <protection locked="0"/>
    </xf>
    <xf numFmtId="0" fontId="341" fillId="3" borderId="4" xfId="0" applyFont="1" applyFill="1" applyBorder="1" applyProtection="1">
      <protection locked="0"/>
    </xf>
    <xf numFmtId="0" fontId="40" fillId="3" borderId="0" xfId="0" applyFont="1" applyFill="1" applyProtection="1">
      <protection locked="0"/>
    </xf>
    <xf numFmtId="0" fontId="5" fillId="3" borderId="0" xfId="0" applyFont="1" applyFill="1" applyProtection="1">
      <protection locked="0"/>
    </xf>
    <xf numFmtId="0" fontId="344" fillId="3" borderId="4" xfId="0" applyFont="1" applyFill="1" applyBorder="1" applyProtection="1">
      <protection locked="0"/>
    </xf>
    <xf numFmtId="0" fontId="41" fillId="3" borderId="0" xfId="0" applyFont="1" applyFill="1" applyProtection="1">
      <protection locked="0"/>
    </xf>
    <xf numFmtId="0" fontId="7" fillId="3" borderId="0" xfId="0" applyFont="1" applyFill="1" applyProtection="1">
      <protection locked="0"/>
    </xf>
    <xf numFmtId="0" fontId="8" fillId="130" borderId="195" xfId="0" applyFont="1" applyFill="1" applyBorder="1" applyAlignment="1" applyProtection="1">
      <alignment horizontal="right" vertical="center" wrapText="1"/>
      <protection locked="0"/>
    </xf>
    <xf numFmtId="0" fontId="62" fillId="19" borderId="0" xfId="0" applyFont="1" applyFill="1" applyAlignment="1" applyProtection="1">
      <alignment horizontal="right" vertical="center" wrapText="1"/>
      <protection locked="0"/>
    </xf>
    <xf numFmtId="0" fontId="8" fillId="19" borderId="5" xfId="0" applyFont="1" applyFill="1" applyBorder="1" applyAlignment="1" applyProtection="1">
      <alignment horizontal="right" vertical="center" wrapText="1"/>
      <protection locked="0"/>
    </xf>
    <xf numFmtId="0" fontId="9" fillId="3" borderId="0" xfId="0" applyFont="1" applyFill="1" applyAlignment="1" applyProtection="1">
      <alignment vertical="center" wrapText="1"/>
      <protection locked="0"/>
    </xf>
    <xf numFmtId="3" fontId="19" fillId="3" borderId="0" xfId="0" applyNumberFormat="1" applyFont="1" applyFill="1" applyAlignment="1" applyProtection="1">
      <alignment horizontal="right" wrapText="1"/>
      <protection locked="0"/>
    </xf>
    <xf numFmtId="9" fontId="9" fillId="3" borderId="0" xfId="1" applyFont="1" applyFill="1" applyBorder="1" applyAlignment="1" applyProtection="1">
      <alignment horizontal="right" wrapText="1"/>
      <protection locked="0"/>
    </xf>
    <xf numFmtId="9" fontId="9" fillId="3" borderId="5" xfId="1" applyFont="1" applyFill="1" applyBorder="1" applyAlignment="1" applyProtection="1">
      <alignment horizontal="right" wrapText="1"/>
      <protection locked="0"/>
    </xf>
    <xf numFmtId="0" fontId="9" fillId="149" borderId="4" xfId="0" applyFont="1" applyFill="1" applyBorder="1" applyAlignment="1" applyProtection="1">
      <alignment horizontal="left" wrapText="1" indent="2"/>
      <protection locked="0"/>
    </xf>
    <xf numFmtId="1" fontId="19" fillId="149" borderId="0" xfId="0" applyNumberFormat="1" applyFont="1" applyFill="1" applyAlignment="1" applyProtection="1">
      <alignment horizontal="right" wrapText="1"/>
      <protection locked="0"/>
    </xf>
    <xf numFmtId="1" fontId="9" fillId="5" borderId="0" xfId="0" applyNumberFormat="1" applyFont="1" applyFill="1" applyAlignment="1" applyProtection="1">
      <alignment horizontal="right" wrapText="1"/>
      <protection locked="0"/>
    </xf>
    <xf numFmtId="37" fontId="9" fillId="5" borderId="103" xfId="10" applyNumberFormat="1" applyFont="1" applyFill="1" applyBorder="1" applyAlignment="1" applyProtection="1">
      <alignment horizontal="right" wrapText="1"/>
      <protection locked="0"/>
    </xf>
    <xf numFmtId="37" fontId="19" fillId="5" borderId="0" xfId="0" applyNumberFormat="1" applyFont="1" applyFill="1" applyAlignment="1" applyProtection="1">
      <alignment horizontal="right" wrapText="1"/>
      <protection locked="0"/>
    </xf>
    <xf numFmtId="37" fontId="9" fillId="5" borderId="0" xfId="0" applyNumberFormat="1" applyFont="1" applyFill="1" applyAlignment="1" applyProtection="1">
      <alignment horizontal="right" wrapText="1"/>
      <protection locked="0"/>
    </xf>
    <xf numFmtId="168" fontId="9" fillId="3" borderId="103" xfId="10" applyNumberFormat="1" applyFont="1" applyFill="1" applyBorder="1" applyAlignment="1" applyProtection="1">
      <alignment horizontal="right" wrapText="1"/>
      <protection locked="0"/>
    </xf>
    <xf numFmtId="168" fontId="19" fillId="3" borderId="0" xfId="10" applyNumberFormat="1" applyFont="1" applyFill="1" applyBorder="1" applyAlignment="1" applyProtection="1">
      <alignment horizontal="right" wrapText="1"/>
      <protection locked="0"/>
    </xf>
    <xf numFmtId="0" fontId="9" fillId="131" borderId="0" xfId="0" applyFont="1" applyFill="1" applyAlignment="1" applyProtection="1">
      <alignment horizontal="left" vertical="center" wrapText="1" indent="2"/>
      <protection locked="0"/>
    </xf>
    <xf numFmtId="0" fontId="9" fillId="0" borderId="4" xfId="0" applyFont="1" applyBorder="1" applyProtection="1">
      <protection locked="0"/>
    </xf>
    <xf numFmtId="0" fontId="9" fillId="0" borderId="103" xfId="0" applyFont="1" applyBorder="1" applyAlignment="1" applyProtection="1">
      <alignment wrapText="1"/>
      <protection locked="0"/>
    </xf>
    <xf numFmtId="171" fontId="9" fillId="0" borderId="0" xfId="10" applyNumberFormat="1" applyFont="1" applyFill="1" applyBorder="1" applyAlignment="1" applyProtection="1">
      <alignment horizontal="right" wrapText="1"/>
      <protection locked="0"/>
    </xf>
    <xf numFmtId="173" fontId="9" fillId="0" borderId="104" xfId="0" applyNumberFormat="1" applyFont="1" applyBorder="1" applyAlignment="1" applyProtection="1">
      <alignment wrapText="1"/>
      <protection locked="0"/>
    </xf>
    <xf numFmtId="0" fontId="22" fillId="3" borderId="0" xfId="0" applyFont="1" applyFill="1" applyAlignment="1" applyProtection="1">
      <alignment vertical="center"/>
      <protection locked="0"/>
    </xf>
    <xf numFmtId="9" fontId="22" fillId="3" borderId="0" xfId="1" applyFont="1" applyFill="1" applyBorder="1" applyAlignment="1" applyProtection="1">
      <alignment vertical="center"/>
      <protection locked="0"/>
    </xf>
    <xf numFmtId="3" fontId="9" fillId="3" borderId="0" xfId="0" applyNumberFormat="1" applyFont="1" applyFill="1" applyAlignment="1" applyProtection="1">
      <alignment horizontal="right" vertical="center" wrapText="1"/>
      <protection locked="0"/>
    </xf>
    <xf numFmtId="167" fontId="9" fillId="3" borderId="5" xfId="1" applyNumberFormat="1" applyFont="1" applyFill="1" applyBorder="1" applyProtection="1">
      <protection locked="0"/>
    </xf>
    <xf numFmtId="0" fontId="9" fillId="6" borderId="4" xfId="6" applyFont="1" applyFill="1" applyBorder="1" applyAlignment="1" applyProtection="1">
      <alignment vertical="center"/>
      <protection locked="0"/>
    </xf>
    <xf numFmtId="0" fontId="21" fillId="0" borderId="0" xfId="0" applyFont="1" applyAlignment="1" applyProtection="1">
      <alignment vertical="center"/>
      <protection locked="0"/>
    </xf>
    <xf numFmtId="0" fontId="344" fillId="3" borderId="0" xfId="0" applyFont="1" applyFill="1" applyProtection="1">
      <protection locked="0"/>
    </xf>
    <xf numFmtId="0" fontId="344" fillId="3" borderId="4" xfId="0" applyFont="1" applyFill="1" applyBorder="1" applyAlignment="1" applyProtection="1">
      <alignment vertical="center" wrapText="1"/>
      <protection locked="0"/>
    </xf>
    <xf numFmtId="0" fontId="344" fillId="3" borderId="0" xfId="0" applyFont="1" applyFill="1" applyAlignment="1" applyProtection="1">
      <alignment vertical="center" wrapText="1"/>
      <protection locked="0"/>
    </xf>
    <xf numFmtId="0" fontId="457" fillId="0" borderId="0" xfId="0" applyFont="1" applyProtection="1">
      <protection locked="0"/>
    </xf>
    <xf numFmtId="0" fontId="16" fillId="19" borderId="4" xfId="0" applyFont="1" applyFill="1" applyBorder="1" applyAlignment="1" applyProtection="1">
      <alignment vertical="center"/>
      <protection locked="0"/>
    </xf>
    <xf numFmtId="0" fontId="16" fillId="19" borderId="0" xfId="0" applyFont="1" applyFill="1" applyAlignment="1" applyProtection="1">
      <alignment vertical="center"/>
      <protection locked="0"/>
    </xf>
    <xf numFmtId="0" fontId="16" fillId="19" borderId="192" xfId="0" applyFont="1" applyFill="1" applyBorder="1" applyAlignment="1" applyProtection="1">
      <alignment horizontal="center" vertical="center" wrapText="1"/>
      <protection locked="0"/>
    </xf>
    <xf numFmtId="0" fontId="16" fillId="19" borderId="106" xfId="0" applyFont="1" applyFill="1" applyBorder="1" applyAlignment="1" applyProtection="1">
      <alignment horizontal="center" vertical="center" wrapText="1"/>
      <protection locked="0"/>
    </xf>
    <xf numFmtId="0" fontId="16" fillId="19" borderId="0" xfId="0" applyFont="1" applyFill="1" applyAlignment="1" applyProtection="1">
      <alignment horizontal="center" vertical="center" wrapText="1"/>
      <protection locked="0"/>
    </xf>
    <xf numFmtId="0" fontId="16" fillId="19" borderId="0" xfId="0" applyFont="1" applyFill="1" applyAlignment="1" applyProtection="1">
      <alignment vertical="center" wrapText="1"/>
      <protection locked="0"/>
    </xf>
    <xf numFmtId="0" fontId="9" fillId="0" borderId="0" xfId="0" applyFont="1" applyAlignment="1" applyProtection="1">
      <alignment vertical="center"/>
      <protection locked="0"/>
    </xf>
    <xf numFmtId="165" fontId="9" fillId="0" borderId="192" xfId="2" applyNumberFormat="1" applyFont="1" applyBorder="1" applyAlignment="1" applyProtection="1">
      <alignment vertical="center"/>
      <protection locked="0"/>
    </xf>
    <xf numFmtId="9" fontId="9" fillId="0" borderId="106" xfId="1" applyFont="1" applyBorder="1" applyAlignment="1" applyProtection="1">
      <alignment vertical="center"/>
      <protection locked="0"/>
    </xf>
    <xf numFmtId="165" fontId="9" fillId="0" borderId="0" xfId="2" applyNumberFormat="1" applyFont="1" applyBorder="1" applyAlignment="1" applyProtection="1">
      <alignment vertical="center"/>
      <protection locked="0"/>
    </xf>
    <xf numFmtId="9" fontId="9" fillId="0" borderId="0" xfId="1" applyFont="1" applyBorder="1" applyAlignment="1" applyProtection="1">
      <alignment vertical="center"/>
      <protection locked="0"/>
    </xf>
    <xf numFmtId="0" fontId="9" fillId="5" borderId="4" xfId="0" applyFont="1" applyFill="1" applyBorder="1" applyAlignment="1" applyProtection="1">
      <alignment vertical="center"/>
      <protection locked="0"/>
    </xf>
    <xf numFmtId="0" fontId="9" fillId="5" borderId="0" xfId="0" applyFont="1" applyFill="1" applyAlignment="1" applyProtection="1">
      <alignment vertical="center"/>
      <protection locked="0"/>
    </xf>
    <xf numFmtId="165" fontId="9" fillId="5" borderId="192" xfId="2" applyNumberFormat="1" applyFont="1" applyFill="1" applyBorder="1" applyAlignment="1" applyProtection="1">
      <alignment vertical="center"/>
      <protection locked="0"/>
    </xf>
    <xf numFmtId="9" fontId="9" fillId="5" borderId="106" xfId="1" applyFont="1" applyFill="1" applyBorder="1" applyAlignment="1" applyProtection="1">
      <alignment vertical="center"/>
      <protection locked="0"/>
    </xf>
    <xf numFmtId="165" fontId="9" fillId="5" borderId="0" xfId="2" applyNumberFormat="1" applyFont="1" applyFill="1" applyBorder="1" applyAlignment="1" applyProtection="1">
      <alignment vertical="center"/>
      <protection locked="0"/>
    </xf>
    <xf numFmtId="9" fontId="9" fillId="5" borderId="0" xfId="1" applyFont="1" applyFill="1" applyBorder="1" applyAlignment="1" applyProtection="1">
      <alignment vertical="center"/>
      <protection locked="0"/>
    </xf>
    <xf numFmtId="0" fontId="9" fillId="0" borderId="4" xfId="0" applyFont="1" applyBorder="1" applyAlignment="1" applyProtection="1">
      <alignment vertical="center"/>
      <protection locked="0"/>
    </xf>
    <xf numFmtId="165" fontId="9" fillId="5" borderId="193" xfId="2" applyNumberFormat="1" applyFont="1" applyFill="1" applyBorder="1" applyAlignment="1" applyProtection="1">
      <alignment vertical="center"/>
      <protection locked="0"/>
    </xf>
    <xf numFmtId="9" fontId="9" fillId="5" borderId="194" xfId="1" applyFont="1" applyFill="1" applyBorder="1" applyAlignment="1" applyProtection="1">
      <alignment vertical="center"/>
      <protection locked="0"/>
    </xf>
    <xf numFmtId="165" fontId="9" fillId="0" borderId="0" xfId="2" applyNumberFormat="1" applyFont="1" applyFill="1" applyBorder="1" applyAlignment="1" applyProtection="1">
      <alignment vertical="center"/>
      <protection locked="0"/>
    </xf>
    <xf numFmtId="9" fontId="9" fillId="0" borderId="0" xfId="1" applyFont="1" applyFill="1" applyBorder="1" applyAlignment="1" applyProtection="1">
      <alignment vertical="center"/>
      <protection locked="0"/>
    </xf>
    <xf numFmtId="165" fontId="9" fillId="0" borderId="0" xfId="2" applyNumberFormat="1" applyFont="1" applyFill="1" applyBorder="1" applyAlignment="1" applyProtection="1">
      <protection locked="0"/>
    </xf>
    <xf numFmtId="9" fontId="9" fillId="0" borderId="0" xfId="1" applyFont="1" applyFill="1" applyBorder="1" applyAlignment="1" applyProtection="1">
      <protection locked="0"/>
    </xf>
    <xf numFmtId="0" fontId="341" fillId="7" borderId="4" xfId="0" applyFont="1" applyFill="1" applyBorder="1" applyProtection="1">
      <protection locked="0"/>
    </xf>
    <xf numFmtId="0" fontId="9" fillId="7" borderId="0" xfId="0" applyFont="1" applyFill="1" applyAlignment="1" applyProtection="1">
      <alignment wrapText="1"/>
      <protection locked="0"/>
    </xf>
    <xf numFmtId="0" fontId="457" fillId="0" borderId="0" xfId="0" applyFont="1" applyAlignment="1" applyProtection="1">
      <alignment vertical="center" wrapText="1"/>
      <protection locked="0"/>
    </xf>
    <xf numFmtId="0" fontId="9" fillId="0" borderId="4" xfId="0" applyFont="1" applyBorder="1" applyAlignment="1" applyProtection="1">
      <alignment wrapText="1"/>
      <protection locked="0"/>
    </xf>
    <xf numFmtId="0" fontId="348" fillId="133" borderId="0" xfId="0" applyFont="1" applyFill="1" applyAlignment="1" applyProtection="1">
      <alignment horizontal="right" vertical="center" wrapText="1"/>
      <protection locked="0"/>
    </xf>
    <xf numFmtId="0" fontId="8" fillId="133" borderId="0" xfId="0" applyFont="1" applyFill="1" applyAlignment="1" applyProtection="1">
      <alignment horizontal="right" vertical="center" wrapText="1"/>
      <protection locked="0"/>
    </xf>
    <xf numFmtId="3" fontId="9" fillId="3" borderId="103" xfId="0" applyNumberFormat="1" applyFont="1" applyFill="1" applyBorder="1" applyAlignment="1" applyProtection="1">
      <alignment horizontal="right" vertical="center" wrapText="1"/>
      <protection locked="0"/>
    </xf>
    <xf numFmtId="1" fontId="350" fillId="132" borderId="0" xfId="0" applyNumberFormat="1" applyFont="1" applyFill="1" applyAlignment="1" applyProtection="1">
      <alignment horizontal="right" vertical="center" wrapText="1"/>
      <protection locked="0"/>
    </xf>
    <xf numFmtId="0" fontId="350" fillId="132" borderId="0" xfId="0" applyFont="1" applyFill="1" applyAlignment="1" applyProtection="1">
      <alignment horizontal="right" vertical="center" wrapText="1"/>
      <protection locked="0"/>
    </xf>
    <xf numFmtId="0" fontId="350" fillId="132" borderId="0" xfId="0" applyFont="1" applyFill="1" applyAlignment="1" applyProtection="1">
      <alignment horizontal="right" vertical="center"/>
      <protection locked="0"/>
    </xf>
    <xf numFmtId="9" fontId="9" fillId="0" borderId="5" xfId="1" applyFont="1" applyBorder="1" applyProtection="1">
      <protection locked="0"/>
    </xf>
    <xf numFmtId="0" fontId="350" fillId="134" borderId="4" xfId="0" applyFont="1" applyFill="1" applyBorder="1" applyAlignment="1" applyProtection="1">
      <alignment vertical="center"/>
      <protection locked="0"/>
    </xf>
    <xf numFmtId="0" fontId="350" fillId="134" borderId="0" xfId="0" applyFont="1" applyFill="1" applyAlignment="1" applyProtection="1">
      <alignment vertical="center" wrapText="1"/>
      <protection locked="0"/>
    </xf>
    <xf numFmtId="3" fontId="350" fillId="134" borderId="103" xfId="0" applyNumberFormat="1" applyFont="1" applyFill="1" applyBorder="1" applyAlignment="1" applyProtection="1">
      <alignment horizontal="right" vertical="center"/>
      <protection locked="0"/>
    </xf>
    <xf numFmtId="3" fontId="350" fillId="134" borderId="0" xfId="0" applyNumberFormat="1" applyFont="1" applyFill="1" applyAlignment="1" applyProtection="1">
      <alignment horizontal="right" vertical="center"/>
      <protection locked="0"/>
    </xf>
    <xf numFmtId="3" fontId="350" fillId="159" borderId="0" xfId="0" applyNumberFormat="1" applyFont="1" applyFill="1" applyAlignment="1" applyProtection="1">
      <alignment horizontal="right" vertical="center"/>
      <protection locked="0"/>
    </xf>
    <xf numFmtId="9" fontId="350" fillId="134" borderId="5" xfId="1" applyFont="1" applyFill="1" applyBorder="1" applyAlignment="1" applyProtection="1">
      <alignment horizontal="right" vertical="center"/>
      <protection locked="0"/>
    </xf>
    <xf numFmtId="0" fontId="350" fillId="134" borderId="4" xfId="0" applyFont="1" applyFill="1" applyBorder="1" applyAlignment="1" applyProtection="1">
      <alignment vertical="center" wrapText="1"/>
      <protection locked="0"/>
    </xf>
    <xf numFmtId="165" fontId="9" fillId="5" borderId="104" xfId="2" applyNumberFormat="1" applyFont="1" applyFill="1" applyBorder="1" applyAlignment="1" applyProtection="1">
      <alignment horizontal="right" vertical="center"/>
      <protection locked="0"/>
    </xf>
    <xf numFmtId="43" fontId="9" fillId="0" borderId="0" xfId="0" applyNumberFormat="1" applyFont="1" applyAlignment="1" applyProtection="1">
      <alignment wrapText="1"/>
      <protection locked="0"/>
    </xf>
    <xf numFmtId="164" fontId="9" fillId="0" borderId="0" xfId="0" applyNumberFormat="1" applyFont="1" applyAlignment="1" applyProtection="1">
      <alignment wrapText="1"/>
      <protection locked="0"/>
    </xf>
    <xf numFmtId="0" fontId="388" fillId="0" borderId="0" xfId="0" applyFont="1" applyAlignment="1" applyProtection="1">
      <alignment wrapText="1"/>
      <protection locked="0"/>
    </xf>
    <xf numFmtId="0" fontId="388" fillId="0" borderId="5" xfId="0" applyFont="1" applyBorder="1" applyProtection="1">
      <protection locked="0"/>
    </xf>
    <xf numFmtId="0" fontId="388" fillId="3" borderId="0" xfId="0" applyFont="1" applyFill="1" applyAlignment="1" applyProtection="1">
      <alignment horizontal="left" vertical="center" wrapText="1"/>
      <protection locked="0"/>
    </xf>
    <xf numFmtId="0" fontId="388" fillId="3" borderId="5" xfId="0" applyFont="1" applyFill="1" applyBorder="1" applyAlignment="1" applyProtection="1">
      <alignment horizontal="left" vertical="center" wrapText="1"/>
      <protection locked="0"/>
    </xf>
    <xf numFmtId="0" fontId="341" fillId="7" borderId="4" xfId="0" applyFont="1" applyFill="1" applyBorder="1" applyAlignment="1" applyProtection="1">
      <alignment vertical="center"/>
      <protection locked="0"/>
    </xf>
    <xf numFmtId="0" fontId="62" fillId="130" borderId="126" xfId="0" applyFont="1" applyFill="1" applyBorder="1" applyAlignment="1" applyProtection="1">
      <alignment horizontal="right" vertical="center" wrapText="1"/>
      <protection locked="0"/>
    </xf>
    <xf numFmtId="168" fontId="9" fillId="131" borderId="103" xfId="10" applyNumberFormat="1" applyFont="1" applyFill="1" applyBorder="1" applyAlignment="1" applyProtection="1">
      <alignment horizontal="right" vertical="center" wrapText="1"/>
      <protection locked="0"/>
    </xf>
    <xf numFmtId="3" fontId="9" fillId="5" borderId="0" xfId="0" applyNumberFormat="1" applyFont="1" applyFill="1" applyAlignment="1" applyProtection="1">
      <alignment horizontal="right" vertical="center" wrapText="1"/>
      <protection locked="0"/>
    </xf>
    <xf numFmtId="9" fontId="9" fillId="5" borderId="6" xfId="1" applyFont="1" applyFill="1" applyBorder="1" applyAlignment="1" applyProtection="1">
      <alignment horizontal="right" vertical="center" wrapText="1"/>
      <protection locked="0"/>
    </xf>
    <xf numFmtId="168" fontId="9" fillId="5" borderId="104" xfId="10" applyNumberFormat="1" applyFont="1" applyFill="1" applyBorder="1" applyAlignment="1" applyProtection="1">
      <alignment horizontal="right" vertical="center" wrapText="1"/>
      <protection locked="0"/>
    </xf>
    <xf numFmtId="9" fontId="9" fillId="5" borderId="5" xfId="1" applyFont="1" applyFill="1" applyBorder="1" applyAlignment="1" applyProtection="1">
      <alignment horizontal="right" vertical="center" wrapText="1"/>
      <protection locked="0"/>
    </xf>
    <xf numFmtId="0" fontId="459" fillId="0" borderId="0" xfId="0" applyFont="1" applyProtection="1">
      <protection locked="0"/>
    </xf>
    <xf numFmtId="0" fontId="22" fillId="0" borderId="0" xfId="0" applyFont="1" applyAlignment="1" applyProtection="1">
      <alignment horizontal="center" vertical="center" wrapText="1"/>
      <protection locked="0"/>
    </xf>
    <xf numFmtId="9" fontId="9" fillId="0" borderId="0" xfId="1" applyFont="1" applyBorder="1" applyAlignment="1" applyProtection="1">
      <alignment vertical="center" wrapText="1"/>
      <protection locked="0"/>
    </xf>
    <xf numFmtId="9" fontId="9" fillId="0" borderId="4" xfId="1" applyFont="1" applyBorder="1" applyAlignment="1" applyProtection="1">
      <alignment vertical="center" wrapText="1"/>
      <protection locked="0"/>
    </xf>
    <xf numFmtId="0" fontId="341" fillId="0" borderId="4" xfId="0" applyFont="1" applyBorder="1" applyAlignment="1" applyProtection="1">
      <alignment vertical="center"/>
      <protection locked="0"/>
    </xf>
    <xf numFmtId="0" fontId="15" fillId="0" borderId="0" xfId="0" applyFont="1" applyAlignment="1" applyProtection="1">
      <alignment vertical="center" wrapText="1"/>
      <protection locked="0"/>
    </xf>
    <xf numFmtId="168" fontId="20" fillId="0" borderId="0" xfId="0" applyNumberFormat="1" applyFont="1" applyAlignment="1" applyProtection="1">
      <alignment horizontal="right" vertical="center" wrapText="1"/>
      <protection locked="0"/>
    </xf>
    <xf numFmtId="3" fontId="19" fillId="0" borderId="0" xfId="0" applyNumberFormat="1" applyFont="1" applyAlignment="1" applyProtection="1">
      <alignment horizontal="right" vertical="center" wrapText="1"/>
      <protection locked="0"/>
    </xf>
    <xf numFmtId="3" fontId="19" fillId="6" borderId="0" xfId="0" applyNumberFormat="1" applyFont="1" applyFill="1" applyAlignment="1" applyProtection="1">
      <alignment horizontal="right" vertical="center" wrapText="1"/>
      <protection locked="0"/>
    </xf>
    <xf numFmtId="0" fontId="20" fillId="6" borderId="0" xfId="0" applyFont="1" applyFill="1" applyAlignment="1" applyProtection="1">
      <alignment horizontal="right" vertical="center" wrapText="1"/>
      <protection locked="0"/>
    </xf>
    <xf numFmtId="0" fontId="344" fillId="3" borderId="4" xfId="0" applyFont="1" applyFill="1" applyBorder="1" applyAlignment="1" applyProtection="1">
      <alignment vertical="center"/>
      <protection locked="0"/>
    </xf>
    <xf numFmtId="0" fontId="344" fillId="3" borderId="0" xfId="0" applyFont="1" applyFill="1" applyAlignment="1" applyProtection="1">
      <alignment vertical="center"/>
      <protection locked="0"/>
    </xf>
    <xf numFmtId="0" fontId="16" fillId="0" borderId="0" xfId="0" applyFont="1" applyAlignment="1" applyProtection="1">
      <alignment horizontal="left" vertical="center"/>
      <protection locked="0"/>
    </xf>
    <xf numFmtId="0" fontId="8" fillId="19" borderId="59" xfId="0" applyFont="1" applyFill="1" applyBorder="1" applyAlignment="1" applyProtection="1">
      <alignment horizontal="right" vertical="center" wrapText="1"/>
      <protection locked="0"/>
    </xf>
    <xf numFmtId="168" fontId="20" fillId="6" borderId="0" xfId="0" applyNumberFormat="1" applyFont="1" applyFill="1" applyAlignment="1" applyProtection="1">
      <alignment horizontal="right" vertical="center" wrapText="1"/>
      <protection locked="0"/>
    </xf>
    <xf numFmtId="0" fontId="350" fillId="134" borderId="4" xfId="0" applyFont="1" applyFill="1" applyBorder="1" applyAlignment="1" applyProtection="1">
      <alignment horizontal="left" indent="2"/>
      <protection locked="0"/>
    </xf>
    <xf numFmtId="9" fontId="9" fillId="5" borderId="6" xfId="1" applyFont="1" applyFill="1" applyBorder="1" applyAlignment="1" applyProtection="1">
      <alignment horizontal="right" wrapText="1"/>
      <protection locked="0"/>
    </xf>
    <xf numFmtId="168" fontId="456" fillId="3" borderId="0" xfId="0" applyNumberFormat="1" applyFont="1" applyFill="1" applyProtection="1">
      <protection locked="0"/>
    </xf>
    <xf numFmtId="0" fontId="19" fillId="0" borderId="0" xfId="0" applyFont="1" applyProtection="1">
      <protection locked="0"/>
    </xf>
    <xf numFmtId="0" fontId="19" fillId="0" borderId="5" xfId="0" applyFont="1" applyBorder="1" applyProtection="1">
      <protection locked="0"/>
    </xf>
    <xf numFmtId="0" fontId="19" fillId="0" borderId="0" xfId="0" applyFont="1" applyAlignment="1" applyProtection="1">
      <alignment vertical="center"/>
      <protection locked="0"/>
    </xf>
    <xf numFmtId="0" fontId="19" fillId="0" borderId="5" xfId="0" applyFont="1" applyBorder="1" applyAlignment="1" applyProtection="1">
      <alignment vertical="center"/>
      <protection locked="0"/>
    </xf>
    <xf numFmtId="0" fontId="388" fillId="6" borderId="4" xfId="6" applyFont="1" applyFill="1" applyBorder="1" applyProtection="1">
      <protection locked="0"/>
    </xf>
    <xf numFmtId="0" fontId="9" fillId="6" borderId="0" xfId="6" applyFont="1" applyFill="1" applyProtection="1">
      <protection locked="0"/>
    </xf>
    <xf numFmtId="0" fontId="9" fillId="6" borderId="5" xfId="6" applyFont="1" applyFill="1" applyBorder="1" applyProtection="1">
      <protection locked="0"/>
    </xf>
    <xf numFmtId="0" fontId="22" fillId="3" borderId="4" xfId="0" applyFont="1" applyFill="1" applyBorder="1" applyAlignment="1" applyProtection="1">
      <alignment vertical="center"/>
      <protection locked="0"/>
    </xf>
    <xf numFmtId="0" fontId="341" fillId="3" borderId="4" xfId="0" applyFont="1" applyFill="1" applyBorder="1" applyAlignment="1" applyProtection="1">
      <alignment vertical="center"/>
      <protection locked="0"/>
    </xf>
    <xf numFmtId="0" fontId="40" fillId="3"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41" fillId="3" borderId="0" xfId="0" applyFont="1" applyFill="1" applyAlignment="1" applyProtection="1">
      <alignment vertical="center" wrapText="1"/>
      <protection locked="0"/>
    </xf>
    <xf numFmtId="0" fontId="7" fillId="0" borderId="0" xfId="0" applyFont="1" applyAlignment="1" applyProtection="1">
      <alignment vertical="center"/>
      <protection locked="0"/>
    </xf>
    <xf numFmtId="0" fontId="6" fillId="0" borderId="0" xfId="0" applyFont="1" applyAlignment="1" applyProtection="1">
      <alignment vertical="center"/>
      <protection locked="0"/>
    </xf>
    <xf numFmtId="0" fontId="24" fillId="3" borderId="4" xfId="0" applyFont="1" applyFill="1" applyBorder="1" applyAlignment="1" applyProtection="1">
      <alignment vertical="center" wrapText="1"/>
      <protection locked="0"/>
    </xf>
    <xf numFmtId="0" fontId="24" fillId="3" borderId="0" xfId="0" applyFont="1" applyFill="1" applyAlignment="1" applyProtection="1">
      <alignment vertical="center" wrapText="1"/>
      <protection locked="0"/>
    </xf>
    <xf numFmtId="0" fontId="9" fillId="149" borderId="4" xfId="0" applyFont="1" applyFill="1" applyBorder="1" applyAlignment="1" applyProtection="1">
      <alignment horizontal="left" wrapText="1"/>
      <protection locked="0"/>
    </xf>
    <xf numFmtId="0" fontId="9" fillId="149" borderId="0" xfId="0" applyFont="1" applyFill="1" applyAlignment="1" applyProtection="1">
      <alignment wrapText="1"/>
      <protection locked="0"/>
    </xf>
    <xf numFmtId="3" fontId="9" fillId="5" borderId="104" xfId="0" applyNumberFormat="1" applyFont="1" applyFill="1" applyBorder="1" applyAlignment="1" applyProtection="1">
      <alignment horizontal="right" wrapText="1"/>
      <protection locked="0"/>
    </xf>
    <xf numFmtId="0" fontId="27" fillId="3" borderId="4" xfId="0" applyFont="1" applyFill="1" applyBorder="1" applyAlignment="1" applyProtection="1">
      <alignment vertical="center" wrapText="1"/>
      <protection locked="0"/>
    </xf>
    <xf numFmtId="0" fontId="27" fillId="3" borderId="0" xfId="0" applyFont="1" applyFill="1" applyAlignment="1" applyProtection="1">
      <alignment vertical="center" wrapText="1"/>
      <protection locked="0"/>
    </xf>
    <xf numFmtId="0" fontId="447" fillId="0" borderId="4" xfId="0" applyFont="1" applyBorder="1" applyAlignment="1" applyProtection="1">
      <alignment vertical="center"/>
      <protection locked="0"/>
    </xf>
    <xf numFmtId="0" fontId="456" fillId="3" borderId="4" xfId="0" applyFont="1" applyFill="1" applyBorder="1" applyAlignment="1" applyProtection="1">
      <alignment vertical="center" wrapText="1"/>
      <protection locked="0"/>
    </xf>
    <xf numFmtId="0" fontId="456" fillId="3" borderId="0" xfId="0" applyFont="1" applyFill="1" applyAlignment="1" applyProtection="1">
      <alignment vertical="center" wrapText="1"/>
      <protection locked="0"/>
    </xf>
    <xf numFmtId="3" fontId="15" fillId="3" borderId="103" xfId="0" applyNumberFormat="1" applyFont="1" applyFill="1" applyBorder="1" applyAlignment="1" applyProtection="1">
      <alignment horizontal="right"/>
      <protection locked="0"/>
    </xf>
    <xf numFmtId="3" fontId="15" fillId="3" borderId="0" xfId="0" applyNumberFormat="1" applyFont="1" applyFill="1" applyAlignment="1" applyProtection="1">
      <alignment horizontal="right"/>
      <protection locked="0"/>
    </xf>
    <xf numFmtId="9" fontId="9" fillId="3" borderId="0" xfId="1" applyFont="1" applyFill="1" applyBorder="1" applyAlignment="1" applyProtection="1">
      <alignment horizontal="right"/>
      <protection locked="0"/>
    </xf>
    <xf numFmtId="3" fontId="9" fillId="0" borderId="103" xfId="4" applyNumberFormat="1" applyFont="1" applyBorder="1" applyAlignment="1" applyProtection="1">
      <alignment horizontal="right"/>
      <protection locked="0"/>
    </xf>
    <xf numFmtId="3" fontId="9" fillId="0" borderId="0" xfId="4" applyNumberFormat="1" applyFont="1" applyBorder="1" applyAlignment="1" applyProtection="1">
      <alignment horizontal="right"/>
      <protection locked="0"/>
    </xf>
    <xf numFmtId="9" fontId="9" fillId="0" borderId="5" xfId="1" applyFont="1" applyBorder="1" applyAlignment="1" applyProtection="1">
      <alignment horizontal="right"/>
      <protection locked="0"/>
    </xf>
    <xf numFmtId="9" fontId="9" fillId="0" borderId="0" xfId="1" applyFont="1" applyBorder="1" applyAlignment="1" applyProtection="1">
      <alignment horizontal="right"/>
      <protection locked="0"/>
    </xf>
    <xf numFmtId="0" fontId="461" fillId="0" borderId="0" xfId="0" applyFont="1" applyProtection="1">
      <protection locked="0"/>
    </xf>
    <xf numFmtId="0" fontId="9" fillId="5" borderId="4" xfId="0" applyFont="1" applyFill="1" applyBorder="1" applyAlignment="1" applyProtection="1">
      <alignment horizontal="left" wrapText="1" indent="1"/>
      <protection locked="0"/>
    </xf>
    <xf numFmtId="168" fontId="9" fillId="5" borderId="0" xfId="4" applyNumberFormat="1" applyFont="1" applyFill="1" applyBorder="1" applyAlignment="1" applyProtection="1">
      <alignment horizontal="right" vertical="center" wrapText="1"/>
      <protection locked="0"/>
    </xf>
    <xf numFmtId="3" fontId="15" fillId="5" borderId="103" xfId="4" applyNumberFormat="1" applyFont="1" applyFill="1" applyBorder="1" applyAlignment="1" applyProtection="1">
      <alignment horizontal="right"/>
      <protection locked="0"/>
    </xf>
    <xf numFmtId="3" fontId="15" fillId="5" borderId="0" xfId="4" applyNumberFormat="1" applyFont="1" applyFill="1" applyBorder="1" applyAlignment="1" applyProtection="1">
      <alignment horizontal="right"/>
      <protection locked="0"/>
    </xf>
    <xf numFmtId="9" fontId="9" fillId="5" borderId="5" xfId="1" applyFont="1" applyFill="1" applyBorder="1" applyAlignment="1" applyProtection="1">
      <alignment horizontal="right"/>
      <protection locked="0"/>
    </xf>
    <xf numFmtId="9" fontId="9" fillId="5" borderId="0" xfId="1" applyFont="1" applyFill="1" applyBorder="1" applyAlignment="1" applyProtection="1">
      <alignment horizontal="right"/>
      <protection locked="0"/>
    </xf>
    <xf numFmtId="3" fontId="9" fillId="5" borderId="103" xfId="4" applyNumberFormat="1" applyFont="1" applyFill="1" applyBorder="1" applyAlignment="1" applyProtection="1">
      <alignment horizontal="right"/>
      <protection locked="0"/>
    </xf>
    <xf numFmtId="3" fontId="9" fillId="5" borderId="0" xfId="4" applyNumberFormat="1" applyFont="1" applyFill="1" applyBorder="1" applyAlignment="1" applyProtection="1">
      <alignment horizontal="right"/>
      <protection locked="0"/>
    </xf>
    <xf numFmtId="171" fontId="9" fillId="5" borderId="0" xfId="4" applyNumberFormat="1" applyFont="1" applyFill="1" applyBorder="1" applyAlignment="1" applyProtection="1">
      <alignment horizontal="right" vertical="center" wrapText="1"/>
      <protection locked="0"/>
    </xf>
    <xf numFmtId="9" fontId="9" fillId="5" borderId="0" xfId="4" applyNumberFormat="1" applyFont="1" applyFill="1" applyBorder="1" applyAlignment="1" applyProtection="1">
      <alignment horizontal="right"/>
      <protection locked="0"/>
    </xf>
    <xf numFmtId="168" fontId="9" fillId="0" borderId="0" xfId="4" applyNumberFormat="1" applyFont="1" applyBorder="1" applyAlignment="1" applyProtection="1">
      <alignment horizontal="right" vertical="center" wrapText="1"/>
      <protection locked="0"/>
    </xf>
    <xf numFmtId="9" fontId="9" fillId="5" borderId="0" xfId="4" applyNumberFormat="1" applyFont="1" applyFill="1" applyAlignment="1" applyProtection="1">
      <alignment horizontal="right"/>
      <protection locked="0"/>
    </xf>
    <xf numFmtId="3" fontId="45" fillId="5" borderId="103" xfId="4" applyNumberFormat="1" applyFont="1" applyFill="1" applyBorder="1" applyAlignment="1" applyProtection="1">
      <alignment horizontal="right"/>
      <protection locked="0"/>
    </xf>
    <xf numFmtId="9" fontId="9" fillId="149" borderId="5" xfId="1" applyFont="1" applyFill="1" applyBorder="1" applyAlignment="1" applyProtection="1">
      <alignment horizontal="right"/>
      <protection locked="0"/>
    </xf>
    <xf numFmtId="9" fontId="9" fillId="149" borderId="0" xfId="1" applyFont="1" applyFill="1" applyBorder="1" applyAlignment="1" applyProtection="1">
      <alignment horizontal="right"/>
      <protection locked="0"/>
    </xf>
    <xf numFmtId="171" fontId="9" fillId="0" borderId="0" xfId="4" applyNumberFormat="1" applyFont="1" applyBorder="1" applyAlignment="1" applyProtection="1">
      <alignment horizontal="right" vertical="center" wrapText="1"/>
      <protection locked="0"/>
    </xf>
    <xf numFmtId="9" fontId="9" fillId="0" borderId="103" xfId="1" applyFont="1" applyBorder="1" applyAlignment="1" applyProtection="1">
      <alignment horizontal="right"/>
      <protection locked="0"/>
    </xf>
    <xf numFmtId="0" fontId="19" fillId="5" borderId="4" xfId="0" applyFont="1" applyFill="1" applyBorder="1" applyAlignment="1" applyProtection="1">
      <alignment horizontal="left" wrapText="1" indent="1"/>
      <protection locked="0"/>
    </xf>
    <xf numFmtId="9" fontId="9" fillId="5" borderId="103" xfId="1" applyFont="1" applyFill="1" applyBorder="1" applyAlignment="1" applyProtection="1">
      <alignment horizontal="right"/>
      <protection locked="0"/>
    </xf>
    <xf numFmtId="9" fontId="456" fillId="0" borderId="0" xfId="0" applyNumberFormat="1" applyFont="1" applyProtection="1">
      <protection locked="0"/>
    </xf>
    <xf numFmtId="0" fontId="19" fillId="5" borderId="4" xfId="0" applyFont="1" applyFill="1" applyBorder="1" applyAlignment="1" applyProtection="1">
      <alignment horizontal="left" indent="1"/>
      <protection locked="0"/>
    </xf>
    <xf numFmtId="43" fontId="9" fillId="5" borderId="0" xfId="4" applyNumberFormat="1" applyFont="1" applyFill="1" applyBorder="1" applyAlignment="1" applyProtection="1">
      <alignment horizontal="right" vertical="center" wrapText="1"/>
      <protection locked="0"/>
    </xf>
    <xf numFmtId="168" fontId="9" fillId="5" borderId="0" xfId="4" applyNumberFormat="1" applyFont="1" applyFill="1" applyBorder="1" applyAlignment="1" applyProtection="1">
      <alignment horizontal="right"/>
      <protection locked="0"/>
    </xf>
    <xf numFmtId="168" fontId="27" fillId="3" borderId="0" xfId="0" applyNumberFormat="1" applyFont="1" applyFill="1" applyAlignment="1" applyProtection="1">
      <alignment vertical="center" wrapText="1"/>
      <protection locked="0"/>
    </xf>
    <xf numFmtId="3" fontId="350" fillId="5" borderId="103" xfId="4" applyNumberFormat="1" applyFont="1" applyFill="1" applyBorder="1" applyAlignment="1" applyProtection="1">
      <alignment horizontal="right"/>
      <protection locked="0"/>
    </xf>
    <xf numFmtId="9" fontId="27" fillId="3" borderId="0" xfId="1" applyFont="1" applyFill="1" applyAlignment="1" applyProtection="1">
      <alignment vertical="center" wrapText="1"/>
      <protection locked="0"/>
    </xf>
    <xf numFmtId="3" fontId="350" fillId="5" borderId="104" xfId="4" applyNumberFormat="1" applyFont="1" applyFill="1" applyBorder="1" applyAlignment="1" applyProtection="1">
      <alignment horizontal="right"/>
      <protection locked="0"/>
    </xf>
    <xf numFmtId="0" fontId="19" fillId="0" borderId="4" xfId="0" applyFont="1" applyBorder="1" applyAlignment="1" applyProtection="1">
      <alignment horizontal="left" vertical="center" indent="1"/>
      <protection locked="0"/>
    </xf>
    <xf numFmtId="0" fontId="462" fillId="3" borderId="5" xfId="0" applyFont="1" applyFill="1" applyBorder="1" applyAlignment="1" applyProtection="1">
      <alignment wrapText="1"/>
      <protection locked="0"/>
    </xf>
    <xf numFmtId="0" fontId="41" fillId="3" borderId="0" xfId="0" applyFont="1" applyFill="1" applyAlignment="1" applyProtection="1">
      <alignment vertical="center"/>
      <protection locked="0"/>
    </xf>
    <xf numFmtId="168" fontId="9" fillId="3" borderId="0" xfId="10" applyNumberFormat="1" applyFont="1" applyFill="1" applyBorder="1" applyAlignment="1" applyProtection="1">
      <alignment horizontal="right" wrapText="1"/>
      <protection locked="0"/>
    </xf>
    <xf numFmtId="9" fontId="9" fillId="5" borderId="0" xfId="1" applyFont="1" applyFill="1" applyBorder="1" applyAlignment="1" applyProtection="1">
      <alignment horizontal="right" wrapText="1"/>
      <protection locked="0"/>
    </xf>
    <xf numFmtId="0" fontId="27" fillId="0" borderId="0" xfId="0" applyFont="1" applyProtection="1">
      <protection locked="0"/>
    </xf>
    <xf numFmtId="168" fontId="9" fillId="5" borderId="104" xfId="10" applyNumberFormat="1" applyFont="1" applyFill="1" applyBorder="1" applyAlignment="1" applyProtection="1">
      <alignment horizontal="right" wrapText="1"/>
      <protection locked="0"/>
    </xf>
    <xf numFmtId="0" fontId="19" fillId="0" borderId="4" xfId="0" applyFont="1" applyBorder="1" applyAlignment="1" applyProtection="1">
      <alignment horizontal="left" vertical="center" wrapText="1" indent="1"/>
      <protection locked="0"/>
    </xf>
    <xf numFmtId="0" fontId="9" fillId="0" borderId="0" xfId="0" applyFont="1" applyAlignment="1" applyProtection="1">
      <alignment horizontal="left" vertical="center" wrapText="1" indent="2"/>
      <protection locked="0"/>
    </xf>
    <xf numFmtId="168" fontId="9" fillId="0" borderId="0" xfId="10" applyNumberFormat="1" applyFont="1" applyFill="1" applyBorder="1" applyAlignment="1" applyProtection="1">
      <alignment horizontal="right" vertical="center" wrapText="1"/>
      <protection locked="0"/>
    </xf>
    <xf numFmtId="9" fontId="9" fillId="0" borderId="0" xfId="1" applyFont="1" applyFill="1" applyBorder="1" applyAlignment="1" applyProtection="1">
      <alignment horizontal="right" vertical="center" wrapText="1"/>
      <protection locked="0"/>
    </xf>
    <xf numFmtId="9" fontId="9" fillId="0" borderId="5" xfId="1" applyFont="1" applyFill="1" applyBorder="1" applyAlignment="1" applyProtection="1">
      <alignment horizontal="right" vertical="center" wrapText="1"/>
      <protection locked="0"/>
    </xf>
    <xf numFmtId="0" fontId="19" fillId="5" borderId="4" xfId="0" applyFont="1" applyFill="1" applyBorder="1" applyAlignment="1" applyProtection="1">
      <alignment horizontal="left" vertical="center" indent="1"/>
      <protection locked="0"/>
    </xf>
    <xf numFmtId="0" fontId="9" fillId="5" borderId="0" xfId="0" applyFont="1" applyFill="1" applyAlignment="1" applyProtection="1">
      <alignment vertical="center" wrapText="1"/>
      <protection locked="0"/>
    </xf>
    <xf numFmtId="165" fontId="9" fillId="149" borderId="103" xfId="2" applyNumberFormat="1" applyFont="1" applyFill="1" applyBorder="1" applyAlignment="1" applyProtection="1">
      <alignment vertical="center" wrapText="1"/>
      <protection locked="0"/>
    </xf>
    <xf numFmtId="168" fontId="9" fillId="5" borderId="0" xfId="10" applyNumberFormat="1" applyFont="1" applyFill="1" applyBorder="1" applyAlignment="1" applyProtection="1">
      <alignment horizontal="right" vertical="center" wrapText="1"/>
      <protection locked="0"/>
    </xf>
    <xf numFmtId="3" fontId="9" fillId="5" borderId="0" xfId="0" applyNumberFormat="1" applyFont="1" applyFill="1" applyAlignment="1" applyProtection="1">
      <alignment vertical="center" wrapText="1"/>
      <protection locked="0"/>
    </xf>
    <xf numFmtId="165" fontId="19" fillId="149" borderId="104" xfId="2" applyNumberFormat="1" applyFont="1" applyFill="1" applyBorder="1" applyAlignment="1" applyProtection="1">
      <alignment vertical="center" wrapText="1"/>
      <protection locked="0"/>
    </xf>
    <xf numFmtId="3" fontId="27" fillId="3" borderId="0" xfId="0" applyNumberFormat="1" applyFont="1" applyFill="1" applyAlignment="1" applyProtection="1">
      <alignment horizontal="right" vertical="center" wrapText="1"/>
      <protection locked="0"/>
    </xf>
    <xf numFmtId="10" fontId="27" fillId="3" borderId="5" xfId="0" applyNumberFormat="1" applyFont="1" applyFill="1" applyBorder="1" applyAlignment="1" applyProtection="1">
      <alignment horizontal="right" vertical="center" wrapText="1"/>
      <protection locked="0"/>
    </xf>
    <xf numFmtId="0" fontId="27" fillId="0" borderId="0" xfId="0" applyFont="1" applyAlignment="1" applyProtection="1">
      <alignment vertical="center" wrapText="1"/>
      <protection locked="0"/>
    </xf>
    <xf numFmtId="3" fontId="27" fillId="0" borderId="0" xfId="0" applyNumberFormat="1" applyFont="1" applyAlignment="1" applyProtection="1">
      <alignment horizontal="right" vertical="center" wrapText="1"/>
      <protection locked="0"/>
    </xf>
    <xf numFmtId="10" fontId="27" fillId="0" borderId="5" xfId="0" applyNumberFormat="1" applyFont="1" applyBorder="1" applyAlignment="1" applyProtection="1">
      <alignment horizontal="right" vertical="center" wrapText="1"/>
      <protection locked="0"/>
    </xf>
    <xf numFmtId="0" fontId="22" fillId="0" borderId="0" xfId="0" applyFont="1" applyAlignment="1" applyProtection="1">
      <alignment vertical="center"/>
      <protection locked="0"/>
    </xf>
    <xf numFmtId="0" fontId="449" fillId="0" borderId="0" xfId="0" applyFont="1" applyAlignment="1" applyProtection="1">
      <alignment vertical="center"/>
      <protection locked="0"/>
    </xf>
    <xf numFmtId="0" fontId="341" fillId="7" borderId="121" xfId="0" applyFont="1" applyFill="1" applyBorder="1" applyAlignment="1" applyProtection="1">
      <alignment vertical="center"/>
      <protection locked="0"/>
    </xf>
    <xf numFmtId="0" fontId="16" fillId="19" borderId="198" xfId="0" applyFont="1" applyFill="1" applyBorder="1" applyAlignment="1" applyProtection="1">
      <alignment horizontal="left" vertical="center" wrapText="1" indent="1"/>
      <protection locked="0"/>
    </xf>
    <xf numFmtId="0" fontId="16" fillId="19" borderId="196" xfId="0" applyFont="1" applyFill="1" applyBorder="1" applyAlignment="1" applyProtection="1">
      <alignment horizontal="left" vertical="center" wrapText="1" indent="1"/>
      <protection locked="0"/>
    </xf>
    <xf numFmtId="0" fontId="350" fillId="134" borderId="198" xfId="0" applyFont="1" applyFill="1" applyBorder="1" applyAlignment="1" applyProtection="1">
      <alignment horizontal="left" vertical="center" wrapText="1" indent="1"/>
      <protection locked="0"/>
    </xf>
    <xf numFmtId="168" fontId="9" fillId="5" borderId="199" xfId="10" applyNumberFormat="1" applyFont="1" applyFill="1" applyBorder="1" applyAlignment="1" applyProtection="1">
      <alignment horizontal="left" vertical="center" wrapText="1" indent="1"/>
      <protection locked="0"/>
    </xf>
    <xf numFmtId="168" fontId="9" fillId="5" borderId="199" xfId="10" applyNumberFormat="1" applyFont="1" applyFill="1" applyBorder="1" applyAlignment="1" applyProtection="1">
      <alignment horizontal="right" vertical="center" wrapText="1" indent="1"/>
      <protection locked="0"/>
    </xf>
    <xf numFmtId="0" fontId="350" fillId="147" borderId="198" xfId="0" applyFont="1" applyFill="1" applyBorder="1" applyAlignment="1" applyProtection="1">
      <alignment horizontal="left" vertical="center" wrapText="1" indent="1"/>
      <protection locked="0"/>
    </xf>
    <xf numFmtId="168" fontId="9" fillId="7" borderId="196" xfId="10" applyNumberFormat="1" applyFont="1" applyFill="1" applyBorder="1" applyAlignment="1" applyProtection="1">
      <alignment horizontal="left" vertical="center" wrapText="1" indent="1"/>
      <protection locked="0"/>
    </xf>
    <xf numFmtId="168" fontId="9" fillId="7" borderId="196" xfId="10" applyNumberFormat="1" applyFont="1" applyFill="1" applyBorder="1" applyAlignment="1" applyProtection="1">
      <alignment horizontal="right" vertical="center" wrapText="1" indent="1"/>
      <protection locked="0"/>
    </xf>
    <xf numFmtId="0" fontId="350" fillId="134" borderId="198" xfId="0" applyFont="1" applyFill="1" applyBorder="1" applyAlignment="1" applyProtection="1">
      <alignment vertical="center" wrapText="1"/>
      <protection locked="0"/>
    </xf>
    <xf numFmtId="168" fontId="9" fillId="5" borderId="199" xfId="10" applyNumberFormat="1" applyFont="1" applyFill="1" applyBorder="1" applyAlignment="1" applyProtection="1">
      <alignment horizontal="right" vertical="center" wrapText="1"/>
      <protection locked="0"/>
    </xf>
    <xf numFmtId="168" fontId="9" fillId="7" borderId="0" xfId="10" applyNumberFormat="1" applyFont="1" applyFill="1" applyBorder="1" applyAlignment="1" applyProtection="1">
      <alignment horizontal="right" vertical="center" wrapText="1" indent="1"/>
      <protection locked="0"/>
    </xf>
    <xf numFmtId="168" fontId="9" fillId="5" borderId="200" xfId="10" applyNumberFormat="1" applyFont="1" applyFill="1" applyBorder="1" applyAlignment="1" applyProtection="1">
      <alignment horizontal="left" vertical="center" wrapText="1" indent="1"/>
      <protection locked="0"/>
    </xf>
    <xf numFmtId="168" fontId="9" fillId="5" borderId="201" xfId="10" applyNumberFormat="1" applyFont="1" applyFill="1" applyBorder="1" applyAlignment="1" applyProtection="1">
      <alignment horizontal="left" vertical="center" wrapText="1" indent="1"/>
      <protection locked="0"/>
    </xf>
    <xf numFmtId="168" fontId="9" fillId="7" borderId="198" xfId="10" applyNumberFormat="1" applyFont="1" applyFill="1" applyBorder="1" applyAlignment="1" applyProtection="1">
      <alignment horizontal="left" vertical="center" wrapText="1" indent="1"/>
      <protection locked="0"/>
    </xf>
    <xf numFmtId="49" fontId="9" fillId="7" borderId="196" xfId="10" applyNumberFormat="1" applyFont="1" applyFill="1" applyBorder="1" applyAlignment="1" applyProtection="1">
      <alignment horizontal="left" vertical="center" wrapText="1" indent="1"/>
      <protection locked="0"/>
    </xf>
    <xf numFmtId="49" fontId="9" fillId="5" borderId="199" xfId="10" applyNumberFormat="1" applyFont="1" applyFill="1" applyBorder="1" applyAlignment="1" applyProtection="1">
      <alignment horizontal="left" vertical="center" wrapText="1" indent="1"/>
      <protection locked="0"/>
    </xf>
    <xf numFmtId="168" fontId="9" fillId="5" borderId="0" xfId="10" applyNumberFormat="1" applyFont="1" applyFill="1" applyBorder="1" applyAlignment="1" applyProtection="1">
      <alignment horizontal="right" vertical="center" wrapText="1" indent="1"/>
      <protection locked="0"/>
    </xf>
    <xf numFmtId="0" fontId="9" fillId="6" borderId="113" xfId="6" applyFont="1" applyFill="1" applyBorder="1" applyAlignment="1" applyProtection="1">
      <alignment vertical="center"/>
      <protection locked="0"/>
    </xf>
    <xf numFmtId="0" fontId="343" fillId="3" borderId="114" xfId="0" applyFont="1" applyFill="1" applyBorder="1" applyAlignment="1" applyProtection="1">
      <alignment horizontal="right"/>
      <protection locked="0"/>
    </xf>
    <xf numFmtId="0" fontId="343" fillId="3" borderId="109" xfId="0" applyFont="1" applyFill="1" applyBorder="1" applyAlignment="1" applyProtection="1">
      <alignment horizontal="right"/>
      <protection locked="0"/>
    </xf>
    <xf numFmtId="0" fontId="9" fillId="0" borderId="4" xfId="0" applyFont="1" applyBorder="1" applyAlignment="1">
      <alignment vertical="center" wrapText="1"/>
    </xf>
    <xf numFmtId="0" fontId="9" fillId="0" borderId="0" xfId="0" applyFont="1" applyAlignment="1">
      <alignment vertical="center" wrapText="1"/>
    </xf>
    <xf numFmtId="0" fontId="12" fillId="0" borderId="0" xfId="0" applyFont="1" applyAlignment="1">
      <alignment vertical="center"/>
    </xf>
    <xf numFmtId="0" fontId="12" fillId="0" borderId="5" xfId="0" applyFont="1" applyBorder="1" applyAlignment="1">
      <alignment vertical="center"/>
    </xf>
    <xf numFmtId="0" fontId="19" fillId="0" borderId="4" xfId="0" applyFont="1" applyBorder="1" applyAlignment="1">
      <alignment horizontal="left" vertical="center" wrapText="1"/>
    </xf>
    <xf numFmtId="0" fontId="19" fillId="0" borderId="0" xfId="0" applyFont="1" applyAlignment="1">
      <alignment horizontal="left" vertical="center" wrapText="1"/>
    </xf>
    <xf numFmtId="0" fontId="19" fillId="0" borderId="5" xfId="0" applyFont="1" applyBorder="1" applyAlignment="1">
      <alignment horizontal="left" vertical="center" wrapText="1"/>
    </xf>
    <xf numFmtId="0" fontId="9" fillId="0" borderId="4" xfId="0" applyFont="1" applyBorder="1" applyAlignment="1">
      <alignment horizontal="left" vertical="center"/>
    </xf>
    <xf numFmtId="0" fontId="9" fillId="0" borderId="0" xfId="0" applyFont="1" applyAlignment="1">
      <alignment horizontal="left" vertical="center"/>
    </xf>
    <xf numFmtId="0" fontId="9" fillId="0" borderId="5" xfId="0" applyFont="1" applyBorder="1" applyAlignment="1">
      <alignment horizontal="left" vertical="center"/>
    </xf>
    <xf numFmtId="0" fontId="9" fillId="0" borderId="5" xfId="0" applyFont="1" applyBorder="1" applyAlignment="1">
      <alignment vertical="center" wrapText="1"/>
    </xf>
    <xf numFmtId="0" fontId="9" fillId="5" borderId="4" xfId="0" applyFont="1" applyFill="1" applyBorder="1" applyAlignment="1">
      <alignment horizontal="left" vertical="center" wrapText="1"/>
    </xf>
    <xf numFmtId="0" fontId="9" fillId="5" borderId="0" xfId="0" applyFont="1" applyFill="1" applyAlignment="1">
      <alignment horizontal="left" vertical="center" wrapText="1"/>
    </xf>
    <xf numFmtId="0" fontId="344" fillId="3" borderId="4" xfId="0" applyFont="1" applyFill="1" applyBorder="1" applyAlignment="1">
      <alignment vertical="center" wrapText="1"/>
    </xf>
    <xf numFmtId="0" fontId="344" fillId="3" borderId="0" xfId="0" applyFont="1" applyFill="1" applyAlignment="1">
      <alignment vertical="center" wrapText="1"/>
    </xf>
    <xf numFmtId="0" fontId="346" fillId="0" borderId="0" xfId="0" applyFont="1" applyAlignment="1"/>
    <xf numFmtId="0" fontId="9" fillId="6" borderId="4" xfId="6" applyFont="1" applyFill="1" applyBorder="1" applyAlignment="1">
      <alignment horizontal="left" vertical="center" wrapText="1"/>
    </xf>
    <xf numFmtId="0" fontId="9" fillId="6" borderId="0" xfId="6" applyFont="1" applyFill="1" applyAlignment="1">
      <alignment horizontal="left" vertical="center" wrapText="1"/>
    </xf>
    <xf numFmtId="0" fontId="9" fillId="6" borderId="5" xfId="6" applyFont="1" applyFill="1" applyBorder="1" applyAlignment="1">
      <alignment horizontal="left" vertical="center" wrapText="1"/>
    </xf>
    <xf numFmtId="0" fontId="346" fillId="0" borderId="0" xfId="0" applyFont="1" applyAlignment="1">
      <alignment vertical="center" wrapText="1"/>
    </xf>
    <xf numFmtId="0" fontId="89" fillId="3" borderId="107" xfId="0" applyFont="1" applyFill="1" applyBorder="1" applyAlignment="1"/>
    <xf numFmtId="0" fontId="0" fillId="0" borderId="3" xfId="0" applyBorder="1" applyAlignment="1"/>
    <xf numFmtId="0" fontId="0" fillId="0" borderId="108" xfId="0" applyBorder="1" applyAlignment="1"/>
    <xf numFmtId="0" fontId="7" fillId="3" borderId="0" xfId="0" applyFont="1" applyFill="1" applyAlignment="1">
      <alignment vertical="center" wrapText="1"/>
    </xf>
    <xf numFmtId="0" fontId="9" fillId="0" borderId="4"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8" fillId="130" borderId="90" xfId="0" applyFont="1" applyFill="1" applyBorder="1" applyAlignment="1">
      <alignment horizontal="center" vertical="center" wrapText="1"/>
    </xf>
    <xf numFmtId="0" fontId="8" fillId="130" borderId="119" xfId="0" applyFont="1" applyFill="1" applyBorder="1" applyAlignment="1">
      <alignment horizontal="center" vertical="center" wrapText="1"/>
    </xf>
    <xf numFmtId="0" fontId="9" fillId="0" borderId="4" xfId="0" applyFont="1" applyBorder="1" applyAlignment="1">
      <alignment horizontal="left" vertical="center" wrapText="1"/>
    </xf>
    <xf numFmtId="0" fontId="19" fillId="0" borderId="4" xfId="0" applyFont="1" applyBorder="1" applyAlignment="1">
      <alignment horizontal="left" wrapText="1"/>
    </xf>
    <xf numFmtId="0" fontId="19" fillId="0" borderId="0" xfId="0" applyFont="1" applyAlignment="1">
      <alignment horizontal="left" wrapText="1"/>
    </xf>
    <xf numFmtId="0" fontId="19" fillId="0" borderId="5" xfId="0" applyFont="1" applyBorder="1" applyAlignment="1">
      <alignment horizontal="left" wrapText="1"/>
    </xf>
    <xf numFmtId="0" fontId="9" fillId="3" borderId="4" xfId="0" applyFont="1" applyFill="1" applyBorder="1" applyAlignment="1">
      <alignment horizontal="left" vertical="center" wrapText="1"/>
    </xf>
    <xf numFmtId="0" fontId="9" fillId="3" borderId="0" xfId="0" applyFont="1" applyFill="1" applyAlignment="1">
      <alignment horizontal="left" vertical="center" wrapText="1"/>
    </xf>
    <xf numFmtId="0" fontId="9" fillId="3" borderId="5" xfId="0" applyFont="1" applyFill="1" applyBorder="1" applyAlignment="1">
      <alignment horizontal="left" vertical="center" wrapText="1"/>
    </xf>
    <xf numFmtId="0" fontId="9" fillId="0" borderId="4" xfId="0" applyFont="1" applyBorder="1" applyAlignment="1">
      <alignment horizontal="left" vertical="top" wrapText="1"/>
    </xf>
    <xf numFmtId="0" fontId="9" fillId="0" borderId="0" xfId="0" applyFont="1" applyAlignment="1">
      <alignment horizontal="left" vertical="top" wrapText="1"/>
    </xf>
    <xf numFmtId="0" fontId="9" fillId="0" borderId="5" xfId="0" applyFont="1" applyBorder="1" applyAlignment="1">
      <alignment horizontal="left" vertical="top" wrapText="1"/>
    </xf>
    <xf numFmtId="0" fontId="9" fillId="6" borderId="4" xfId="6" applyFont="1" applyFill="1" applyBorder="1" applyAlignment="1">
      <alignment horizontal="left" vertical="center"/>
    </xf>
    <xf numFmtId="0" fontId="9" fillId="6" borderId="0" xfId="6" applyFont="1" applyFill="1" applyAlignment="1">
      <alignment horizontal="left" vertical="center"/>
    </xf>
    <xf numFmtId="0" fontId="9" fillId="6" borderId="5" xfId="6" applyFont="1" applyFill="1" applyBorder="1" applyAlignment="1">
      <alignment horizontal="left" vertical="center"/>
    </xf>
    <xf numFmtId="0" fontId="16" fillId="19" borderId="4" xfId="0" applyFont="1" applyFill="1" applyBorder="1" applyAlignment="1">
      <alignment horizontal="left" vertical="center"/>
    </xf>
    <xf numFmtId="0" fontId="16" fillId="19" borderId="0" xfId="0" applyFont="1" applyFill="1" applyAlignment="1">
      <alignment horizontal="left" vertical="center"/>
    </xf>
    <xf numFmtId="0" fontId="9" fillId="3" borderId="4" xfId="0" applyFont="1" applyFill="1" applyBorder="1" applyAlignment="1">
      <alignment horizontal="left" vertical="center"/>
    </xf>
    <xf numFmtId="0" fontId="9" fillId="3" borderId="0" xfId="0" applyFont="1" applyFill="1" applyAlignment="1">
      <alignment horizontal="left" vertical="center"/>
    </xf>
    <xf numFmtId="0" fontId="9" fillId="3" borderId="5" xfId="0" applyFont="1" applyFill="1" applyBorder="1" applyAlignment="1">
      <alignment horizontal="left" vertical="center"/>
    </xf>
    <xf numFmtId="0" fontId="9" fillId="0" borderId="0" xfId="0" applyFont="1" applyAlignment="1">
      <alignment horizontal="left" vertical="center" wrapText="1"/>
    </xf>
    <xf numFmtId="0" fontId="9" fillId="0" borderId="5" xfId="0" applyFont="1" applyBorder="1" applyAlignment="1">
      <alignment horizontal="left" vertical="center" wrapText="1"/>
    </xf>
    <xf numFmtId="0" fontId="16" fillId="19" borderId="59" xfId="0" applyFont="1" applyFill="1" applyBorder="1" applyAlignment="1">
      <alignment horizontal="left" vertical="center" wrapText="1"/>
    </xf>
    <xf numFmtId="0" fontId="16" fillId="19" borderId="0" xfId="0" applyFont="1" applyFill="1" applyAlignment="1">
      <alignment horizontal="left" vertical="center" wrapText="1"/>
    </xf>
    <xf numFmtId="49" fontId="9" fillId="5" borderId="59" xfId="10" applyNumberFormat="1" applyFont="1" applyFill="1" applyBorder="1" applyAlignment="1">
      <alignment horizontal="left" vertical="center" wrapText="1"/>
    </xf>
    <xf numFmtId="49" fontId="9" fillId="5" borderId="0" xfId="10" applyNumberFormat="1" applyFont="1" applyFill="1" applyBorder="1" applyAlignment="1">
      <alignment horizontal="left" vertical="center" wrapText="1"/>
    </xf>
    <xf numFmtId="49" fontId="9" fillId="7" borderId="59" xfId="10" applyNumberFormat="1" applyFont="1" applyFill="1" applyBorder="1" applyAlignment="1">
      <alignment horizontal="left" vertical="center" wrapText="1"/>
    </xf>
    <xf numFmtId="49" fontId="9" fillId="7" borderId="0" xfId="10" applyNumberFormat="1" applyFont="1" applyFill="1" applyBorder="1" applyAlignment="1">
      <alignment horizontal="left" vertical="center" wrapText="1"/>
    </xf>
    <xf numFmtId="168" fontId="9" fillId="5" borderId="59" xfId="10" applyNumberFormat="1" applyFont="1" applyFill="1" applyBorder="1" applyAlignment="1">
      <alignment horizontal="left" vertical="center" wrapText="1"/>
    </xf>
    <xf numFmtId="168" fontId="9" fillId="5" borderId="5" xfId="10" applyNumberFormat="1" applyFont="1" applyFill="1" applyBorder="1" applyAlignment="1">
      <alignment horizontal="left" vertical="center" wrapText="1"/>
    </xf>
    <xf numFmtId="0" fontId="16" fillId="19" borderId="5" xfId="0" applyFont="1" applyFill="1" applyBorder="1" applyAlignment="1">
      <alignment horizontal="left" vertical="center" wrapText="1"/>
    </xf>
    <xf numFmtId="168" fontId="9" fillId="7" borderId="59" xfId="10" applyNumberFormat="1" applyFont="1" applyFill="1" applyBorder="1" applyAlignment="1">
      <alignment horizontal="left" vertical="center" wrapText="1"/>
    </xf>
    <xf numFmtId="168" fontId="9" fillId="7" borderId="5" xfId="10" applyNumberFormat="1" applyFont="1" applyFill="1" applyBorder="1" applyAlignment="1">
      <alignment horizontal="left" vertical="center" wrapText="1"/>
    </xf>
    <xf numFmtId="49" fontId="9" fillId="7" borderId="5" xfId="10" applyNumberFormat="1" applyFont="1" applyFill="1" applyBorder="1" applyAlignment="1">
      <alignment horizontal="left" vertical="center" wrapText="1"/>
    </xf>
    <xf numFmtId="0" fontId="398" fillId="0" borderId="4" xfId="6" applyFont="1" applyBorder="1" applyAlignment="1" applyProtection="1">
      <protection locked="0"/>
    </xf>
    <xf numFmtId="0" fontId="398" fillId="0" borderId="0" xfId="6" applyFont="1" applyAlignment="1" applyProtection="1">
      <protection locked="0"/>
    </xf>
    <xf numFmtId="0" fontId="398" fillId="0" borderId="5" xfId="6" applyFont="1" applyBorder="1" applyAlignment="1" applyProtection="1">
      <protection locked="0"/>
    </xf>
    <xf numFmtId="0" fontId="398" fillId="0" borderId="4" xfId="6" applyFont="1" applyBorder="1" applyAlignment="1" applyProtection="1">
      <alignment vertical="center"/>
      <protection locked="0"/>
    </xf>
    <xf numFmtId="0" fontId="398" fillId="0" borderId="0" xfId="6" applyFont="1" applyAlignment="1" applyProtection="1">
      <alignment vertical="center"/>
      <protection locked="0"/>
    </xf>
    <xf numFmtId="0" fontId="0" fillId="0" borderId="0" xfId="0" applyAlignment="1" applyProtection="1">
      <alignment horizontal="center"/>
      <protection locked="0"/>
    </xf>
    <xf numFmtId="0" fontId="392" fillId="168" borderId="0" xfId="0" applyFont="1" applyFill="1" applyAlignment="1" applyProtection="1">
      <alignment horizontal="center" wrapText="1"/>
      <protection locked="0"/>
    </xf>
    <xf numFmtId="0" fontId="0" fillId="0" borderId="0" xfId="0" applyAlignment="1" applyProtection="1">
      <alignment horizontal="center" wrapText="1"/>
      <protection locked="0"/>
    </xf>
    <xf numFmtId="0" fontId="392" fillId="167" borderId="0" xfId="0" applyFont="1" applyFill="1" applyAlignment="1" applyProtection="1">
      <alignment horizontal="center" wrapText="1"/>
      <protection locked="0"/>
    </xf>
    <xf numFmtId="0" fontId="394" fillId="147" borderId="160" xfId="0" applyFont="1" applyFill="1" applyBorder="1" applyAlignment="1" applyProtection="1">
      <alignment horizontal="left" wrapText="1"/>
      <protection locked="0"/>
    </xf>
    <xf numFmtId="0" fontId="394" fillId="147" borderId="0" xfId="0" applyFont="1" applyFill="1" applyAlignment="1" applyProtection="1">
      <alignment horizontal="left" wrapText="1"/>
      <protection locked="0"/>
    </xf>
    <xf numFmtId="0" fontId="400" fillId="7" borderId="171" xfId="0" applyFont="1" applyFill="1" applyBorder="1" applyAlignment="1" applyProtection="1">
      <alignment horizontal="left" wrapText="1"/>
      <protection locked="0"/>
    </xf>
    <xf numFmtId="0" fontId="400" fillId="7" borderId="159" xfId="0" applyFont="1" applyFill="1" applyBorder="1" applyAlignment="1" applyProtection="1">
      <alignment horizontal="left" wrapText="1"/>
      <protection locked="0"/>
    </xf>
    <xf numFmtId="0" fontId="394" fillId="147" borderId="160" xfId="0" applyFont="1" applyFill="1" applyBorder="1" applyAlignment="1" applyProtection="1">
      <alignment horizontal="left" vertical="top" wrapText="1"/>
      <protection locked="0"/>
    </xf>
    <xf numFmtId="0" fontId="394" fillId="147" borderId="0" xfId="0" applyFont="1" applyFill="1" applyAlignment="1" applyProtection="1">
      <alignment horizontal="left" vertical="top" wrapText="1"/>
      <protection locked="0"/>
    </xf>
    <xf numFmtId="0" fontId="394" fillId="147" borderId="160" xfId="0" applyFont="1" applyFill="1" applyBorder="1" applyAlignment="1" applyProtection="1">
      <alignment wrapText="1"/>
      <protection locked="0"/>
    </xf>
    <xf numFmtId="0" fontId="394" fillId="147" borderId="0" xfId="0" applyFont="1" applyFill="1" applyAlignment="1" applyProtection="1">
      <alignment wrapText="1"/>
      <protection locked="0"/>
    </xf>
    <xf numFmtId="0" fontId="394" fillId="7" borderId="160" xfId="0" applyFont="1" applyFill="1" applyBorder="1" applyAlignment="1" applyProtection="1">
      <alignment wrapText="1"/>
      <protection locked="0"/>
    </xf>
    <xf numFmtId="0" fontId="394" fillId="7" borderId="0" xfId="0" applyFont="1" applyFill="1" applyAlignment="1" applyProtection="1">
      <alignment wrapText="1"/>
      <protection locked="0"/>
    </xf>
    <xf numFmtId="0" fontId="394" fillId="152" borderId="160" xfId="0" applyFont="1" applyFill="1" applyBorder="1" applyAlignment="1" applyProtection="1">
      <alignment wrapText="1"/>
      <protection locked="0"/>
    </xf>
    <xf numFmtId="0" fontId="394" fillId="152" borderId="0" xfId="0" applyFont="1" applyFill="1" applyAlignment="1" applyProtection="1">
      <alignment wrapText="1"/>
      <protection locked="0"/>
    </xf>
    <xf numFmtId="0" fontId="0" fillId="7" borderId="180" xfId="0" applyFill="1" applyBorder="1" applyAlignment="1" applyProtection="1">
      <alignment horizontal="center"/>
      <protection locked="0"/>
    </xf>
    <xf numFmtId="0" fontId="0" fillId="7" borderId="179" xfId="0" applyFill="1" applyBorder="1" applyAlignment="1" applyProtection="1">
      <alignment horizontal="center"/>
      <protection locked="0"/>
    </xf>
    <xf numFmtId="0" fontId="0" fillId="7" borderId="178" xfId="0" applyFill="1" applyBorder="1" applyAlignment="1" applyProtection="1">
      <alignment horizontal="center"/>
      <protection locked="0"/>
    </xf>
    <xf numFmtId="0" fontId="392" fillId="167" borderId="159" xfId="0" applyFont="1" applyFill="1" applyBorder="1" applyAlignment="1" applyProtection="1">
      <alignment horizontal="center" wrapText="1"/>
      <protection locked="0"/>
    </xf>
    <xf numFmtId="0" fontId="394" fillId="7" borderId="160" xfId="0" applyFont="1" applyFill="1" applyBorder="1" applyAlignment="1" applyProtection="1">
      <alignment horizontal="left"/>
      <protection locked="0"/>
    </xf>
    <xf numFmtId="0" fontId="394" fillId="7" borderId="0" xfId="0" applyFont="1" applyFill="1" applyAlignment="1" applyProtection="1">
      <alignment horizontal="left"/>
      <protection locked="0"/>
    </xf>
    <xf numFmtId="0" fontId="394" fillId="7" borderId="160" xfId="0" applyFont="1" applyFill="1" applyBorder="1" applyAlignment="1" applyProtection="1">
      <alignment horizontal="left" wrapText="1"/>
      <protection locked="0"/>
    </xf>
    <xf numFmtId="0" fontId="394" fillId="7" borderId="0" xfId="0" applyFont="1" applyFill="1" applyAlignment="1" applyProtection="1">
      <alignment horizontal="left" wrapText="1"/>
      <protection locked="0"/>
    </xf>
    <xf numFmtId="0" fontId="388" fillId="0" borderId="4" xfId="0" applyFont="1" applyBorder="1" applyAlignment="1" applyProtection="1">
      <alignment horizontal="left" vertical="center" wrapText="1"/>
      <protection locked="0"/>
    </xf>
    <xf numFmtId="0" fontId="388" fillId="0" borderId="0" xfId="0" applyFont="1" applyAlignment="1" applyProtection="1">
      <alignment horizontal="left" vertical="center" wrapText="1"/>
      <protection locked="0"/>
    </xf>
    <xf numFmtId="0" fontId="9" fillId="3" borderId="0" xfId="0" applyFont="1" applyFill="1" applyAlignment="1" applyProtection="1">
      <alignment horizontal="left" wrapText="1"/>
      <protection locked="0"/>
    </xf>
    <xf numFmtId="0" fontId="9" fillId="5" borderId="0" xfId="0" applyFont="1" applyFill="1" applyAlignment="1" applyProtection="1">
      <alignment horizontal="left" wrapText="1"/>
      <protection locked="0"/>
    </xf>
    <xf numFmtId="0" fontId="9" fillId="5" borderId="68" xfId="0" applyFont="1" applyFill="1" applyBorder="1" applyAlignment="1" applyProtection="1">
      <alignment horizontal="left" wrapText="1"/>
      <protection locked="0"/>
    </xf>
    <xf numFmtId="0" fontId="477" fillId="0" borderId="4" xfId="0" applyFont="1" applyBorder="1" applyAlignment="1" applyProtection="1">
      <alignment vertical="center" wrapText="1"/>
      <protection locked="0"/>
    </xf>
    <xf numFmtId="0" fontId="477" fillId="0" borderId="0" xfId="0" applyFont="1" applyAlignment="1" applyProtection="1">
      <alignment vertical="center" wrapText="1"/>
      <protection locked="0"/>
    </xf>
    <xf numFmtId="0" fontId="89" fillId="3" borderId="4" xfId="0" applyFont="1" applyFill="1" applyBorder="1" applyAlignment="1" applyProtection="1">
      <protection locked="0"/>
    </xf>
    <xf numFmtId="0" fontId="89" fillId="3" borderId="0" xfId="0" applyFont="1" applyFill="1" applyAlignment="1" applyProtection="1">
      <protection locked="0"/>
    </xf>
    <xf numFmtId="0" fontId="89" fillId="3" borderId="5" xfId="0" applyFont="1" applyFill="1" applyBorder="1" applyAlignment="1" applyProtection="1">
      <protection locked="0"/>
    </xf>
    <xf numFmtId="0" fontId="344" fillId="3" borderId="4" xfId="0" applyFont="1" applyFill="1" applyBorder="1" applyAlignment="1" applyProtection="1">
      <alignment wrapText="1"/>
      <protection locked="0"/>
    </xf>
    <xf numFmtId="0" fontId="9" fillId="5" borderId="4" xfId="0" applyFont="1" applyFill="1" applyBorder="1" applyAlignment="1" applyProtection="1">
      <alignment horizontal="left" vertical="center" wrapText="1"/>
      <protection locked="0"/>
    </xf>
    <xf numFmtId="0" fontId="8" fillId="130" borderId="202" xfId="0" applyFont="1" applyFill="1" applyBorder="1" applyAlignment="1" applyProtection="1">
      <alignment horizontal="center" vertical="center" wrapText="1"/>
      <protection locked="0"/>
    </xf>
    <xf numFmtId="0" fontId="8" fillId="130" borderId="203" xfId="0" applyFont="1" applyFill="1" applyBorder="1" applyAlignment="1" applyProtection="1">
      <alignment horizontal="center" vertical="center" wrapText="1"/>
      <protection locked="0"/>
    </xf>
    <xf numFmtId="0" fontId="62" fillId="19" borderId="0" xfId="0" applyFont="1" applyFill="1" applyAlignment="1" applyProtection="1">
      <alignment horizontal="center" vertical="center" wrapText="1"/>
      <protection locked="0"/>
    </xf>
    <xf numFmtId="0" fontId="7" fillId="3" borderId="0" xfId="0" applyFont="1" applyFill="1" applyAlignment="1" applyProtection="1">
      <alignment vertical="center" wrapText="1"/>
      <protection locked="0"/>
    </xf>
    <xf numFmtId="0" fontId="9" fillId="7" borderId="4" xfId="0" applyFont="1" applyFill="1" applyBorder="1" applyAlignment="1" applyProtection="1">
      <alignment horizontal="center" vertical="center" wrapText="1"/>
      <protection locked="0"/>
    </xf>
    <xf numFmtId="0" fontId="9" fillId="7" borderId="0" xfId="0" applyFont="1" applyFill="1" applyAlignment="1" applyProtection="1">
      <alignment horizontal="center" vertical="center" wrapText="1"/>
      <protection locked="0"/>
    </xf>
    <xf numFmtId="0" fontId="9" fillId="7" borderId="5" xfId="0" applyFont="1" applyFill="1" applyBorder="1" applyAlignment="1" applyProtection="1">
      <alignment horizontal="center" vertical="center" wrapText="1"/>
      <protection locked="0"/>
    </xf>
    <xf numFmtId="0" fontId="388" fillId="0" borderId="4" xfId="0" applyFont="1" applyBorder="1" applyAlignment="1" applyProtection="1">
      <alignment horizontal="left" wrapText="1"/>
      <protection locked="0"/>
    </xf>
    <xf numFmtId="0" fontId="388" fillId="0" borderId="0" xfId="0" applyFont="1" applyAlignment="1" applyProtection="1">
      <alignment horizontal="left" wrapText="1"/>
      <protection locked="0"/>
    </xf>
    <xf numFmtId="0" fontId="476"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9" fillId="0" borderId="4" xfId="0" applyFont="1" applyBorder="1" applyAlignment="1" applyProtection="1">
      <alignment horizontal="left" wrapText="1"/>
      <protection locked="0"/>
    </xf>
    <xf numFmtId="0" fontId="19" fillId="0" borderId="0" xfId="0" applyFont="1" applyAlignment="1" applyProtection="1">
      <alignment horizontal="left" wrapText="1"/>
      <protection locked="0"/>
    </xf>
    <xf numFmtId="0" fontId="19" fillId="0" borderId="5" xfId="0" applyFont="1" applyBorder="1" applyAlignment="1" applyProtection="1">
      <alignment horizontal="left" wrapText="1"/>
      <protection locked="0"/>
    </xf>
    <xf numFmtId="0" fontId="350" fillId="0" borderId="4" xfId="0" applyFont="1" applyBorder="1" applyAlignment="1" applyProtection="1">
      <alignment horizontal="left" vertical="center" indent="2"/>
      <protection locked="0"/>
    </xf>
    <xf numFmtId="0" fontId="350" fillId="0" borderId="0" xfId="0" applyFont="1" applyAlignment="1" applyProtection="1">
      <alignment horizontal="left" vertical="center" indent="2"/>
      <protection locked="0"/>
    </xf>
    <xf numFmtId="0" fontId="388" fillId="0" borderId="4" xfId="0" applyFont="1" applyBorder="1" applyAlignment="1" applyProtection="1">
      <alignment horizontal="left"/>
      <protection locked="0"/>
    </xf>
    <xf numFmtId="0" fontId="388" fillId="0" borderId="0" xfId="0" applyFont="1" applyAlignment="1" applyProtection="1">
      <alignment horizontal="left"/>
      <protection locked="0"/>
    </xf>
    <xf numFmtId="0" fontId="16" fillId="19" borderId="0" xfId="0" applyFont="1" applyFill="1" applyAlignment="1" applyProtection="1">
      <alignment horizontal="left" vertical="center" wrapText="1" indent="1"/>
      <protection locked="0"/>
    </xf>
    <xf numFmtId="0" fontId="16" fillId="19" borderId="5" xfId="0" applyFont="1" applyFill="1" applyBorder="1" applyAlignment="1" applyProtection="1">
      <alignment horizontal="left" vertical="center" wrapText="1" indent="1"/>
      <protection locked="0"/>
    </xf>
    <xf numFmtId="0" fontId="9" fillId="0" borderId="4" xfId="0" applyFont="1" applyBorder="1" applyAlignment="1" applyProtection="1">
      <alignment horizontal="left" wrapText="1"/>
      <protection locked="0"/>
    </xf>
    <xf numFmtId="0" fontId="9" fillId="0" borderId="0" xfId="0" applyFont="1" applyAlignment="1" applyProtection="1">
      <alignment horizontal="left" wrapText="1"/>
      <protection locked="0"/>
    </xf>
    <xf numFmtId="0" fontId="388" fillId="3" borderId="4" xfId="0" applyFont="1" applyFill="1" applyBorder="1" applyAlignment="1" applyProtection="1">
      <alignment horizontal="left"/>
      <protection locked="0"/>
    </xf>
    <xf numFmtId="0" fontId="388" fillId="3" borderId="0" xfId="0" applyFont="1" applyFill="1" applyAlignment="1" applyProtection="1">
      <alignment horizontal="left"/>
      <protection locked="0"/>
    </xf>
    <xf numFmtId="0" fontId="388" fillId="3" borderId="5" xfId="0" applyFont="1" applyFill="1" applyBorder="1" applyAlignment="1" applyProtection="1">
      <alignment horizontal="left"/>
      <protection locked="0"/>
    </xf>
    <xf numFmtId="0" fontId="9" fillId="0" borderId="4" xfId="0" applyFont="1" applyBorder="1" applyAlignment="1" applyProtection="1">
      <alignment horizontal="left" vertical="center" wrapText="1"/>
      <protection locked="0"/>
    </xf>
    <xf numFmtId="0" fontId="388" fillId="3" borderId="4" xfId="0" applyFont="1" applyFill="1" applyBorder="1" applyAlignment="1" applyProtection="1">
      <alignment wrapText="1"/>
      <protection locked="0"/>
    </xf>
    <xf numFmtId="0" fontId="388" fillId="3" borderId="0" xfId="0" applyFont="1" applyFill="1" applyAlignment="1" applyProtection="1">
      <alignment wrapText="1"/>
      <protection locked="0"/>
    </xf>
    <xf numFmtId="0" fontId="458" fillId="0" borderId="5" xfId="0" applyFont="1" applyBorder="1" applyAlignment="1" applyProtection="1">
      <alignment horizontal="center" vertical="top" wrapText="1"/>
      <protection locked="0"/>
    </xf>
    <xf numFmtId="9" fontId="388" fillId="0" borderId="4" xfId="1" applyFont="1" applyBorder="1" applyAlignment="1" applyProtection="1">
      <alignment horizontal="left" vertical="center" wrapText="1"/>
      <protection locked="0"/>
    </xf>
    <xf numFmtId="9" fontId="388" fillId="0" borderId="0" xfId="1" applyFont="1" applyBorder="1" applyAlignment="1" applyProtection="1">
      <alignment horizontal="left" vertical="center" wrapText="1"/>
      <protection locked="0"/>
    </xf>
    <xf numFmtId="168" fontId="9" fillId="5" borderId="0" xfId="10" applyNumberFormat="1" applyFont="1" applyFill="1" applyBorder="1" applyAlignment="1" applyProtection="1">
      <alignment horizontal="left" vertical="center" wrapText="1" indent="1"/>
      <protection locked="0"/>
    </xf>
    <xf numFmtId="168" fontId="9" fillId="5" borderId="5" xfId="10" applyNumberFormat="1" applyFont="1" applyFill="1" applyBorder="1" applyAlignment="1" applyProtection="1">
      <alignment horizontal="left" vertical="center" wrapText="1" indent="1"/>
      <protection locked="0"/>
    </xf>
    <xf numFmtId="0" fontId="16" fillId="19" borderId="198" xfId="0" applyFont="1" applyFill="1" applyBorder="1" applyAlignment="1" applyProtection="1">
      <alignment horizontal="left" vertical="center" wrapText="1" indent="1"/>
      <protection locked="0"/>
    </xf>
    <xf numFmtId="0" fontId="16" fillId="19" borderId="197" xfId="0" applyFont="1" applyFill="1" applyBorder="1" applyAlignment="1" applyProtection="1">
      <alignment horizontal="left" vertical="center" wrapText="1" indent="1"/>
      <protection locked="0"/>
    </xf>
    <xf numFmtId="49" fontId="9" fillId="5" borderId="200" xfId="10" applyNumberFormat="1" applyFont="1" applyFill="1" applyBorder="1" applyAlignment="1" applyProtection="1">
      <alignment horizontal="left" vertical="center" wrapText="1" indent="1"/>
      <protection locked="0"/>
    </xf>
    <xf numFmtId="49" fontId="9" fillId="5" borderId="0" xfId="10" applyNumberFormat="1" applyFont="1" applyFill="1" applyBorder="1" applyAlignment="1" applyProtection="1">
      <alignment horizontal="left" vertical="center" wrapText="1" indent="1"/>
      <protection locked="0"/>
    </xf>
    <xf numFmtId="49" fontId="9" fillId="5" borderId="201" xfId="10" applyNumberFormat="1" applyFont="1" applyFill="1" applyBorder="1" applyAlignment="1" applyProtection="1">
      <alignment horizontal="left" vertical="center" wrapText="1" indent="1"/>
      <protection locked="0"/>
    </xf>
    <xf numFmtId="49" fontId="9" fillId="7" borderId="198" xfId="10" applyNumberFormat="1" applyFont="1" applyFill="1" applyBorder="1" applyAlignment="1" applyProtection="1">
      <alignment horizontal="left" vertical="center" wrapText="1" indent="1"/>
      <protection locked="0"/>
    </xf>
    <xf numFmtId="49" fontId="9" fillId="7" borderId="0" xfId="10" applyNumberFormat="1" applyFont="1" applyFill="1" applyBorder="1" applyAlignment="1" applyProtection="1">
      <alignment horizontal="left" vertical="center" wrapText="1" indent="1"/>
      <protection locked="0"/>
    </xf>
    <xf numFmtId="49" fontId="9" fillId="7" borderId="197" xfId="10" applyNumberFormat="1" applyFont="1" applyFill="1" applyBorder="1" applyAlignment="1" applyProtection="1">
      <alignment horizontal="left" vertical="center" wrapText="1" indent="1"/>
      <protection locked="0"/>
    </xf>
    <xf numFmtId="168" fontId="9" fillId="7" borderId="0" xfId="10" applyNumberFormat="1" applyFont="1" applyFill="1" applyBorder="1" applyAlignment="1" applyProtection="1">
      <alignment horizontal="left" vertical="center" wrapText="1" indent="1"/>
      <protection locked="0"/>
    </xf>
    <xf numFmtId="168" fontId="9" fillId="7" borderId="5" xfId="10" applyNumberFormat="1" applyFont="1" applyFill="1" applyBorder="1" applyAlignment="1" applyProtection="1">
      <alignment horizontal="left" vertical="center" wrapText="1" indent="1"/>
      <protection locked="0"/>
    </xf>
    <xf numFmtId="49" fontId="9" fillId="5" borderId="200" xfId="10" applyNumberFormat="1" applyFont="1" applyFill="1" applyBorder="1" applyAlignment="1" applyProtection="1">
      <alignment horizontal="left" vertical="center" wrapText="1"/>
      <protection locked="0"/>
    </xf>
    <xf numFmtId="49" fontId="9" fillId="5" borderId="0" xfId="10" applyNumberFormat="1" applyFont="1" applyFill="1" applyBorder="1" applyAlignment="1" applyProtection="1">
      <alignment horizontal="left" vertical="center" wrapText="1"/>
      <protection locked="0"/>
    </xf>
    <xf numFmtId="49" fontId="9" fillId="5" borderId="201" xfId="10" applyNumberFormat="1" applyFont="1" applyFill="1" applyBorder="1" applyAlignment="1" applyProtection="1">
      <alignment horizontal="left" vertical="center" wrapText="1"/>
      <protection locked="0"/>
    </xf>
    <xf numFmtId="49" fontId="9" fillId="7" borderId="5" xfId="10" applyNumberFormat="1" applyFont="1" applyFill="1" applyBorder="1" applyAlignment="1" applyProtection="1">
      <alignment horizontal="left" vertical="center" wrapText="1" indent="1"/>
      <protection locked="0"/>
    </xf>
    <xf numFmtId="0" fontId="9" fillId="6" borderId="4" xfId="6" applyFont="1" applyFill="1" applyBorder="1" applyAlignment="1" applyProtection="1">
      <alignment horizontal="left" vertical="center" wrapText="1"/>
      <protection locked="0"/>
    </xf>
    <xf numFmtId="0" fontId="9" fillId="6" borderId="0" xfId="6" applyFont="1" applyFill="1" applyAlignment="1" applyProtection="1">
      <alignment horizontal="left" vertical="center" wrapText="1"/>
      <protection locked="0"/>
    </xf>
    <xf numFmtId="0" fontId="9" fillId="6" borderId="5" xfId="6" applyFont="1" applyFill="1" applyBorder="1" applyAlignment="1" applyProtection="1">
      <alignment horizontal="left" vertical="center" wrapText="1"/>
      <protection locked="0"/>
    </xf>
    <xf numFmtId="0" fontId="0" fillId="0" borderId="26" xfId="0" applyBorder="1" applyAlignment="1">
      <alignment horizontal="left" vertical="center" wrapText="1"/>
    </xf>
    <xf numFmtId="0" fontId="0" fillId="0" borderId="28" xfId="0" applyBorder="1" applyAlignment="1">
      <alignment horizontal="left" vertical="center" wrapText="1"/>
    </xf>
    <xf numFmtId="0" fontId="0" fillId="0" borderId="1" xfId="0" applyBorder="1" applyAlignment="1">
      <alignment horizontal="left" wrapText="1"/>
    </xf>
    <xf numFmtId="0" fontId="0" fillId="0" borderId="26" xfId="0" applyBorder="1" applyAlignment="1">
      <alignment horizontal="left" wrapText="1"/>
    </xf>
    <xf numFmtId="0" fontId="0" fillId="0" borderId="28" xfId="0" applyBorder="1" applyAlignment="1">
      <alignment horizontal="left" wrapText="1"/>
    </xf>
    <xf numFmtId="0" fontId="344" fillId="3" borderId="4" xfId="1809" applyFont="1" applyFill="1" applyBorder="1" applyAlignment="1">
      <alignment vertical="center" wrapText="1"/>
    </xf>
    <xf numFmtId="0" fontId="346" fillId="0" borderId="0" xfId="1809" applyFont="1" applyAlignment="1">
      <alignment vertical="center" wrapText="1"/>
    </xf>
    <xf numFmtId="0" fontId="7" fillId="3" borderId="0" xfId="1809" applyFont="1" applyFill="1" applyAlignment="1">
      <alignment vertical="center" wrapText="1"/>
    </xf>
    <xf numFmtId="0" fontId="89" fillId="3" borderId="107" xfId="1809" applyFont="1" applyFill="1" applyBorder="1" applyAlignment="1"/>
    <xf numFmtId="0" fontId="30" fillId="0" borderId="3" xfId="1809" applyBorder="1" applyAlignment="1"/>
    <xf numFmtId="0" fontId="30" fillId="0" borderId="108" xfId="1809" applyBorder="1" applyAlignment="1"/>
    <xf numFmtId="0" fontId="9" fillId="0" borderId="4" xfId="1809" applyFont="1" applyBorder="1" applyAlignment="1">
      <alignment wrapText="1"/>
    </xf>
    <xf numFmtId="0" fontId="9" fillId="0" borderId="0" xfId="1809" applyFont="1" applyAlignment="1">
      <alignment wrapText="1"/>
    </xf>
    <xf numFmtId="0" fontId="12" fillId="0" borderId="0" xfId="1809" applyFont="1" applyAlignment="1"/>
    <xf numFmtId="0" fontId="12" fillId="0" borderId="5" xfId="1809" applyFont="1" applyBorder="1" applyAlignment="1"/>
    <xf numFmtId="0" fontId="9" fillId="5" borderId="4" xfId="1809" applyFont="1" applyFill="1" applyBorder="1" applyAlignment="1">
      <alignment horizontal="left" vertical="center" wrapText="1"/>
    </xf>
    <xf numFmtId="0" fontId="9" fillId="5" borderId="106" xfId="1809" applyFont="1" applyFill="1" applyBorder="1" applyAlignment="1">
      <alignment horizontal="left" vertical="center" wrapText="1"/>
    </xf>
    <xf numFmtId="0" fontId="344" fillId="3" borderId="0" xfId="1809" applyFont="1" applyFill="1" applyAlignment="1">
      <alignment vertical="center" wrapText="1"/>
    </xf>
    <xf numFmtId="0" fontId="346" fillId="0" borderId="0" xfId="1809" applyFont="1" applyAlignment="1"/>
    <xf numFmtId="0" fontId="9" fillId="0" borderId="5" xfId="1809" applyFont="1" applyBorder="1" applyAlignment="1">
      <alignment wrapText="1"/>
    </xf>
    <xf numFmtId="0" fontId="19" fillId="0" borderId="4" xfId="1809" applyFont="1" applyBorder="1" applyAlignment="1">
      <alignment horizontal="left" wrapText="1"/>
    </xf>
    <xf numFmtId="0" fontId="19" fillId="0" borderId="0" xfId="1809" applyFont="1" applyAlignment="1">
      <alignment horizontal="left" wrapText="1"/>
    </xf>
    <xf numFmtId="0" fontId="19" fillId="0" borderId="5" xfId="1809" applyFont="1" applyBorder="1" applyAlignment="1">
      <alignment horizontal="left" wrapText="1"/>
    </xf>
    <xf numFmtId="0" fontId="355" fillId="0" borderId="0" xfId="0" applyFont="1" applyAlignment="1">
      <alignment horizontal="center" vertical="center" wrapText="1"/>
    </xf>
    <xf numFmtId="0" fontId="385" fillId="0" borderId="1" xfId="0" applyFont="1" applyBorder="1" applyAlignment="1">
      <alignment vertical="center" wrapText="1"/>
    </xf>
    <xf numFmtId="0" fontId="0" fillId="0" borderId="24" xfId="0" applyBorder="1" applyAlignment="1">
      <alignment horizontal="center"/>
    </xf>
    <xf numFmtId="0" fontId="37" fillId="16" borderId="0" xfId="0" applyFont="1" applyFill="1" applyAlignment="1">
      <alignment horizontal="center"/>
    </xf>
  </cellXfs>
  <cellStyles count="11605">
    <cellStyle name="          _x000d__x000a_shell=appman.exe_x000d__x000a_mo" xfId="48" xr:uid="{FB89D1BB-1472-42FA-986C-D93A97D1F769}"/>
    <cellStyle name=" 1" xfId="3635" xr:uid="{5C3D7F19-1F22-4E0D-A699-877B83261D34}"/>
    <cellStyle name="_x000a_bidires=100_x000d_" xfId="98" xr:uid="{E252F993-A351-429B-AC44-11F125B18ED6}"/>
    <cellStyle name="$m" xfId="99" xr:uid="{73D4707A-C5D9-4005-B739-B24626197732}"/>
    <cellStyle name="???" xfId="3636" xr:uid="{764BCE77-679E-494C-BFB2-97E9688B9538}"/>
    <cellStyle name="???? [0.00]_Feb 2002" xfId="3637" xr:uid="{5C36F4CD-098A-446A-9100-F12761AFB78E}"/>
    <cellStyle name="_x0001_??_x0001_???" xfId="3638" xr:uid="{D306AC72-CD99-4021-A02C-663B3B0F9AEA}"/>
    <cellStyle name="???????" xfId="3639" xr:uid="{4BA3798E-1438-42A0-B16A-EA7B0EEA3E2A}"/>
    <cellStyle name="????_?TK6?FS???????200704_?TK6??EBS??????????" xfId="3640" xr:uid="{0B7F197F-FBF8-464D-A4B6-46493EF55A64}"/>
    <cellStyle name="??_?TK6?FS???????200704" xfId="3641" xr:uid="{B0355DE3-D596-4371-BD39-2922316FD7F9}"/>
    <cellStyle name="_~0461717" xfId="100" xr:uid="{7BA0B239-2D71-4B1F-88C4-80806B6639EA}"/>
    <cellStyle name="_~0461717 2" xfId="3642" xr:uid="{FBDA6F4A-C743-49CF-AB87-AA36A98F65AF}"/>
    <cellStyle name="_~8551439" xfId="101" xr:uid="{2967A200-0DC4-4104-9E54-5BF9847EEC5C}"/>
    <cellStyle name="_~9045335" xfId="102" xr:uid="{03CF35D5-545B-470D-B7BC-773760E4EA43}"/>
    <cellStyle name="_~9045335_Expense" xfId="103" xr:uid="{634F625B-ABFB-4D52-A4BF-9B0997948C1B}"/>
    <cellStyle name="_~9045335_Expense 2" xfId="104" xr:uid="{031DFDBA-ACE8-4096-AC45-A1614AF5E787}"/>
    <cellStyle name="_~9045335_Expense 3" xfId="105" xr:uid="{C448901F-53A5-4DBD-8B15-98336E88F336}"/>
    <cellStyle name="_1.Input" xfId="3643" xr:uid="{8A435226-23A5-4004-AD51-8329AB8E9C48}"/>
    <cellStyle name="_1.Input 2" xfId="3644" xr:uid="{8ACB280B-BF5E-46BA-8FCC-55EB7F234857}"/>
    <cellStyle name="_1.Input_1" xfId="3645" xr:uid="{F5EC2911-8FD2-415A-AA96-BED3A1F00948}"/>
    <cellStyle name="_1.Input_1 2" xfId="3646" xr:uid="{2FD094D0-5435-4490-8976-D2D4C32E8B2A}"/>
    <cellStyle name="_1.Input_1.0 HFM data" xfId="3647" xr:uid="{87B96F21-B6E0-46BC-B7BA-C76F3E0A8470}"/>
    <cellStyle name="_2009_AFR_N37_T04_V03" xfId="106" xr:uid="{EA21A753-3A1E-4A02-B8F6-E07E76582EA2}"/>
    <cellStyle name="_2009_AFR_N37_T04_V03_Cash Flow Statement" xfId="3648" xr:uid="{73DF9580-7954-48F0-A28E-D7BCCF08AFFB}"/>
    <cellStyle name="_2009_AFR_N37_T04_V03_Parameters" xfId="3649" xr:uid="{4006B2EA-250B-4AC6-B4EF-83324F99B8E7}"/>
    <cellStyle name="_2009_AFR_N37_T04_V03_Reconciliations" xfId="3650" xr:uid="{77112306-7435-465F-8384-7C93418DA688}"/>
    <cellStyle name="_2009_AFR_N37_T04_V03_Securities" xfId="3651" xr:uid="{9FDC790E-B2E7-479B-8C39-C8ECA4A10447}"/>
    <cellStyle name="_2009_AFR_N37_T04_V03_Workings" xfId="3652" xr:uid="{316A697C-A2C6-4E7A-8103-C1777582A338}"/>
    <cellStyle name="_2011 Plan RWAs including Sept 10" xfId="3653" xr:uid="{68FF6F30-DC63-4849-9710-D4D4202C23CB}"/>
    <cellStyle name="_AFR 2012 - PB Control" xfId="107" xr:uid="{0E029ADD-702B-4873-878A-50C6BA7B4D30}"/>
    <cellStyle name="_AFR 2012 - PB Control 2" xfId="108" xr:uid="{4F1F2BF4-CC99-4C8A-8024-5C2B1265420E}"/>
    <cellStyle name="_All Businesses RWA smartview 6+18" xfId="3654" xr:uid="{6F3D2396-9A88-45BA-BD38-649455D62B1A}"/>
    <cellStyle name="_Analysis &amp; graphs (post exco 221010)" xfId="3655" xr:uid="{E0C3D128-D20F-49E0-8E3F-FC8EDDC8C48C}"/>
    <cellStyle name="_Book1" xfId="3656" xr:uid="{42AC0581-E534-4AA4-817C-44BA558318AB}"/>
    <cellStyle name="_Book1_Check Totals" xfId="3657" xr:uid="{C4E7DC9E-C1A2-4AD7-8172-A46FCC391C6A}"/>
    <cellStyle name="_Book1_DATA - Higher Rtns" xfId="3658" xr:uid="{C7186CA3-41E1-459E-ABDA-03AA473F9AF7}"/>
    <cellStyle name="_BU Input" xfId="109" xr:uid="{D62B045C-1154-49BB-B411-54B0AB1B3EBC}"/>
    <cellStyle name="_BU Input 2" xfId="3659" xr:uid="{BA79E14D-6325-4882-84E9-EC67D28079F1}"/>
    <cellStyle name="_Capital Tier 1_changes_21_10_10" xfId="110" xr:uid="{5026583A-A4AC-4B84-9CFE-76EF6A694D47}"/>
    <cellStyle name="_CE vs Consensus" xfId="3660" xr:uid="{E5B7D620-CB88-47E0-B14D-26FD7BB30C06}"/>
    <cellStyle name="_Check Totals" xfId="3661" xr:uid="{EECA239E-0F99-4C35-BD5F-9F74F2885B95}"/>
    <cellStyle name="_Copy of Copy of 2011 Strat Plan Detail data (03-09-10) (Base Case)v4" xfId="111" xr:uid="{AD84A24B-15BB-4121-85BB-3236C88645DB}"/>
    <cellStyle name="_Copy of Copy of 2011 Strat Plan Detail data (03-09-10) (Base Case)v5" xfId="112" xr:uid="{CC4174A8-5CED-48AD-B2DE-9F7ACE93ED01}"/>
    <cellStyle name="_DATA - Higher Rtns" xfId="3662" xr:uid="{95626346-2902-47FC-AC5D-FF5EA9E8A63A}"/>
    <cellStyle name="_Data for Chart" xfId="3663" xr:uid="{E1F6A635-AC5C-41AB-AFEA-504C8DC5724D}"/>
    <cellStyle name="_GCC Slides18 August" xfId="3664" xr:uid="{E12BE274-59E2-43CE-9973-EC1D59DBC122}"/>
    <cellStyle name="_GCM" xfId="3665" xr:uid="{757B8545-7F2A-4ADD-845B-B9F3A352475D}"/>
    <cellStyle name="_Global CDS ytd movement October 08" xfId="113" xr:uid="{CCA1345B-CA72-4DCE-9B34-C75B6956089C}"/>
    <cellStyle name="_Global CDS ytd movement October 08_Expense" xfId="114" xr:uid="{3A7D781F-23B7-469D-BFA9-B20058551A2B}"/>
    <cellStyle name="_Global CDS ytd movement October 08_Expense 2" xfId="115" xr:uid="{57CDC022-9D8F-4E2D-A649-CFD5F764F955}"/>
    <cellStyle name="_Global CDS ytd movement October 08_Expense 3" xfId="116" xr:uid="{2F2A2E75-4B33-45AD-ACA5-B2BFDBA51640}"/>
    <cellStyle name="_Gp Dashboard" xfId="3666" xr:uid="{E37608C4-F3A8-4DE0-B0AF-97837E234511}"/>
    <cellStyle name="_Graph DATA &amp; INPUTS" xfId="3667" xr:uid="{E4744152-7B2D-4BF7-89A8-5CECE9F51892}"/>
    <cellStyle name="_Group Landing Zone View - (Ryan Lunt)" xfId="117" xr:uid="{B7877978-6B2F-4351-B2CE-6958A1F4A542}"/>
    <cellStyle name="_Group Landing Zone View - (Ryan Lunt) 2" xfId="3668" xr:uid="{9D5BE581-FDB1-4CEA-96E6-390C453A3499}"/>
    <cellStyle name="_Group Landing Zone View - (Ryan Lunt)_Gp Dashboard" xfId="3669" xr:uid="{58FA58CE-8114-4E2C-8C85-CBF6FB43CCC1}"/>
    <cellStyle name="_Group Landing Zone View - (Ryan Lunt)_INPUTS- FX, CAR, RWA &amp; Equity" xfId="3670" xr:uid="{48B5A13C-0C66-4807-B3C9-8C4C47C404D9}"/>
    <cellStyle name="_Group Landing Zone View - (Ryan Lunt)_R T R SV" xfId="3671" xr:uid="{62574EEB-110C-4A9B-A2A1-3802E60C9ECF}"/>
    <cellStyle name="_Group Landing Zone View - (Ryan Lunt)_RWA" xfId="3672" xr:uid="{B3284B8C-D53C-412A-B777-51E12D1F8EA1}"/>
    <cellStyle name="_Group ROE 10211" xfId="3673" xr:uid="{42AA6464-CAC8-42AD-81B8-BA5468C33DF9}"/>
    <cellStyle name="_Group RWA forecast" xfId="3674" xr:uid="{5FA456B9-06E6-4B12-88E4-8B50ED46121B}"/>
    <cellStyle name="_HFM RAP" xfId="3675" xr:uid="{FB590045-9843-48FB-9F5A-8D90EABADC54}"/>
    <cellStyle name="_INPUTS- FX, CAR, RWA &amp; Equity" xfId="3676" xr:uid="{C4159E46-3D83-4A53-A3AD-C4A08131EB40}"/>
    <cellStyle name="_Interest expense cash flows June 2010" xfId="118" xr:uid="{B8DFFE1B-9AF6-43BC-B5B7-E45B19637DE0}"/>
    <cellStyle name="_NIM Calculation-October 2011" xfId="3677" xr:uid="{04267754-4079-4327-862C-026C04AFDB33}"/>
    <cellStyle name="_Nov 10 lz history at 2011 plan rate" xfId="3678" xr:uid="{3755FF99-5323-4F8D-A1A5-8D61C5FA6D4F}"/>
    <cellStyle name="_Plan 10 Capital KPIs" xfId="119" xr:uid="{1AEC92E6-82DE-4A44-A883-C4056BE50C91}"/>
    <cellStyle name="_Plan RWA's for Melanie" xfId="3679" xr:uid="{9DE11A6D-7B38-4BF4-978F-C76D8BF7D4E4}"/>
    <cellStyle name="_Plan Vs Forecast" xfId="3680" xr:uid="{24DF7E77-0D00-41A7-A576-48A9EF939D73}"/>
    <cellStyle name="_PO&amp;R" xfId="120" xr:uid="{BB719FB2-9CF2-4B73-8973-6ED9D856A801}"/>
    <cellStyle name="_PO&amp;R_Cash Flow Statement" xfId="3681" xr:uid="{C3703996-60FA-45CC-B747-A0AB3BD00FB0}"/>
    <cellStyle name="_PO&amp;R_Parameters" xfId="3682" xr:uid="{75852BFF-F2C8-4133-9B94-430A1156B922}"/>
    <cellStyle name="_PO&amp;R_Reconciliations" xfId="3683" xr:uid="{84F22DD3-6BD5-42C8-BAB5-D22AFC683976}"/>
    <cellStyle name="_PO&amp;R_Securities" xfId="3684" xr:uid="{20D41C40-EFC9-448C-83D2-0CA29B3AEB33}"/>
    <cellStyle name="_PO&amp;R_Workings" xfId="3685" xr:uid="{63D89CB6-5726-412A-8C94-B4724BC069C9}"/>
    <cellStyle name="_QF1 11 Capital KPIs_(22_02_11)_distcmp" xfId="121" xr:uid="{EAA392C0-1CF9-42F7-8F33-90F1A4235902}"/>
    <cellStyle name="_QF2 DEMS's Distibution (1_07_11)" xfId="122" xr:uid="{D7B2DB0F-1C66-4938-B382-6FE8373BDFD4}"/>
    <cellStyle name="_RA Published - Mar 2011" xfId="123" xr:uid="{E1A6E13E-0B2F-4364-823F-51B69A170C06}"/>
    <cellStyle name="_RA Published - Mar 2011 2" xfId="124" xr:uid="{31870B93-1326-4C64-BCFD-8CD514F1CC27}"/>
    <cellStyle name="_Revised Landing Zone (Jack de Leeuw)" xfId="125" xr:uid="{C7F8DEE3-B05A-4F5A-9664-A489E4F2F0DF}"/>
    <cellStyle name="_Revised Landing Zone (Jack de Leeuw) 2" xfId="3686" xr:uid="{AC34BD93-DE5C-4FC9-8689-063DBA510ACC}"/>
    <cellStyle name="_Revised Landing Zone (Jack de Leeuw)_Gp Dashboard" xfId="3687" xr:uid="{4C1C283D-AEA0-4461-9E92-A9F54AD94E6D}"/>
    <cellStyle name="_Revised Landing Zone (Jack de Leeuw)_INPUTS- FX, CAR, RWA &amp; Equity" xfId="3688" xr:uid="{1A024750-6F35-46D4-9CBE-731DAED670B2}"/>
    <cellStyle name="_Revised Landing Zone (Jack de Leeuw)_R T R SV" xfId="3689" xr:uid="{EE2411C2-2C81-4952-8752-24A0906697F6}"/>
    <cellStyle name="_Revised Landing Zone (Jack de Leeuw)_RWA" xfId="3690" xr:uid="{920EC163-EAD0-41FC-B981-EEA561CA7AC2}"/>
    <cellStyle name="_Revised UK Cap Gen (Cap Gen plug for revised)" xfId="3691" xr:uid="{E12CB5CC-A931-4CF0-907F-79E0946A2B4A}"/>
    <cellStyle name="_Revised UK Cap Gen (version 2)" xfId="3692" xr:uid="{F0B6358D-9960-4082-9416-926E1EFEC03A}"/>
    <cellStyle name="_RWA" xfId="3693" xr:uid="{5C8740D4-FD5B-4E08-B90A-895B03E3E2D2}"/>
    <cellStyle name="_RWA Chart with comments" xfId="3694" xr:uid="{1224B72B-86F8-4B65-9483-5107380C1377}"/>
    <cellStyle name="_RWA FY11-14 Plan analysis" xfId="3695" xr:uid="{8F34360D-2850-46D7-B469-669BC8B09076}"/>
    <cellStyle name="_RWA FY11-14 Plan analysis V260911" xfId="3696" xr:uid="{F1D62D3A-540E-4B17-B990-3486FE6C4A3F}"/>
    <cellStyle name="_RWA FY12 3+21 analysis" xfId="3697" xr:uid="{F9531ACD-DF8D-4D09-A190-49B79F90649A}"/>
    <cellStyle name="_RWA FY12 3+21 analysisincorp fy13" xfId="3698" xr:uid="{92438E4A-4A35-4838-8CE5-5ED156F337D6}"/>
    <cellStyle name="_RWA_1" xfId="3699" xr:uid="{CB57E7BE-64AA-4A0C-90B6-83E6D3134F9B}"/>
    <cellStyle name="_Sheet1" xfId="3700" xr:uid="{549256AC-0A16-430E-ACEE-F6018CD032FB}"/>
    <cellStyle name="_Sheet3" xfId="3701" xr:uid="{57D747CC-117D-4432-AE35-BDF202812A01}"/>
    <cellStyle name="_Sheet3 2" xfId="3702" xr:uid="{C97DF9E6-4A8A-4014-956C-DEFA66E06734}"/>
    <cellStyle name="_Sheet3_INPUTS- FX, CAR, RWA &amp; Equity" xfId="3703" xr:uid="{0D0248A7-C647-4C33-A264-AA0D60560BC5}"/>
    <cellStyle name="_Sheet3_RWA" xfId="3704" xr:uid="{73DE741D-03A8-43BC-8083-6F93BE49A0F9}"/>
    <cellStyle name="_Strategy Stat Funding &amp; Liquidity Plan" xfId="3705" xr:uid="{9D12FDF7-44C3-4FA2-95B0-FA2C6AE3637B}"/>
    <cellStyle name="_Table" xfId="126" xr:uid="{9F221CB1-4559-4FB6-9E6E-C3795E47AE43}"/>
    <cellStyle name="_Table_~2153298" xfId="3706" xr:uid="{15B5B324-A54C-435B-B21C-C29741ED17E5}"/>
    <cellStyle name="_Table_Input page for capital model" xfId="3707" xr:uid="{93F5A293-7B1B-4B2F-9F71-0D74BA578206}"/>
    <cellStyle name="_TableHead" xfId="127" xr:uid="{FC7EE075-9863-472F-9273-2E4C2739EB28}"/>
    <cellStyle name="_TableHead 2" xfId="11405" xr:uid="{8B948085-6F36-4EAC-AA98-E12EA81108D2}"/>
    <cellStyle name="_TableHead_~2153298" xfId="3708" xr:uid="{7169FD8F-708E-4245-A12E-EBF16EE044DD}"/>
    <cellStyle name="_TableHead_~2153298 2" xfId="11471" xr:uid="{99E2B6C0-BDD8-4DC9-9ACD-35FDCD041BA3}"/>
    <cellStyle name="_TableHead_Input page for capital model" xfId="3709" xr:uid="{EBD2D1D0-71AF-49CF-A8F4-9C6A7B87E7B8}"/>
    <cellStyle name="_TableHead_Input page for capital model 2" xfId="11472" xr:uid="{DF0AFD25-A4C2-4BA0-9D28-2C6320EEC06E}"/>
    <cellStyle name="_TableRowHead" xfId="128" xr:uid="{CC52636E-A779-4AEE-9096-312EA483E4A3}"/>
    <cellStyle name="_TOTAL GROUP HFM Query_PC &amp; QBR_Updated 30Mar" xfId="3710" xr:uid="{AC132887-FACE-47B2-95E5-1D00DAB625F1}"/>
    <cellStyle name="_Updated Consensus Details" xfId="3711" xr:uid="{1A1E3BA3-302A-4A1D-8BCD-93A90600DA37}"/>
    <cellStyle name="’Ê‰Ý [0.00]_07-96" xfId="3712" xr:uid="{F653C1F2-B12A-4462-8AB7-96E04C5F978E}"/>
    <cellStyle name="’Ê‰Ý_07-96" xfId="3713" xr:uid="{DEE569F6-3496-4E7F-B3EF-DC46D36E4652}"/>
    <cellStyle name="=C:\WINNT35\SYSTEM32\COMMAND.COM" xfId="129" xr:uid="{CA339D6A-B602-4272-8524-255ED3C5A9D8}"/>
    <cellStyle name="=C:\WINNT35\SYSTEM32\COMMAND.COM 2" xfId="130" xr:uid="{FFFB5BEF-6AB4-431D-9C66-E52F1B172070}"/>
    <cellStyle name="=C:\WINNT35\SYSTEM32\COMMAND.COM 2 2" xfId="3714" xr:uid="{7DF9BEEB-0A5D-4DB2-8D00-DAD6D0EC7BDC}"/>
    <cellStyle name="=C:\WINNT35\SYSTEM32\COMMAND.COM 2 3" xfId="3715" xr:uid="{D5B8C43C-3F08-4715-8A8F-46F02935B99F}"/>
    <cellStyle name="=C:\WINNT35\SYSTEM32\COMMAND.COM 2 3 2" xfId="3716" xr:uid="{888065A6-7D18-4EB7-A2EF-BB5727F72584}"/>
    <cellStyle name="=C:\WINNT35\SYSTEM32\COMMAND.COM 3" xfId="3717" xr:uid="{A1F32F1C-350C-415B-8F0F-6DC74380856D}"/>
    <cellStyle name="=C:\WINNT35\SYSTEM32\COMMAND.COM 4" xfId="3718" xr:uid="{29AECA16-6397-4B95-B163-D34F1B6F359E}"/>
    <cellStyle name="=C:\WINNT35\SYSTEM32\COMMAND.COM 5" xfId="3719" xr:uid="{029CBD09-B0B0-4FC6-A71B-C9083D59673D}"/>
    <cellStyle name="=C:\WINNT35\SYSTEM32\COMMAND.COM 6" xfId="3720" xr:uid="{6A57F5B5-8D21-442A-B716-E1BEDF7AEE01}"/>
    <cellStyle name="=C:\WINNT35\SYSTEM32\COMMAND.COM 6 2" xfId="3721" xr:uid="{E04C4EC5-31FF-43FA-8EE2-11327609C15B}"/>
    <cellStyle name="=C:\WINNT35\SYSTEM32\COMMAND.COM_~2153298" xfId="3722" xr:uid="{6BDE06FF-BFA9-4CFA-AE95-4D4E1D14D1F3}"/>
    <cellStyle name="_x0001_·?_x0001_··?" xfId="3723" xr:uid="{18CC8001-C891-4E87-BA15-928386E740A7}"/>
    <cellStyle name="_x0001_・｢_x0001_・・義" xfId="3724" xr:uid="{B4A217DB-7D07-4E78-8AA2-5C92609987A6}"/>
    <cellStyle name="•W€_07-96" xfId="3725" xr:uid="{F57DE069-B4DC-4EB5-B142-BD61FB33B169}"/>
    <cellStyle name="ÊÝ [0.00]_07-96" xfId="131" xr:uid="{07B8CCE2-3522-418D-AF1D-5651B0A743A3}"/>
    <cellStyle name="ÊÝ_07-96" xfId="132" xr:uid="{EB2C7EA1-85B8-4A6A-B52C-3E80791465C2}"/>
    <cellStyle name="W_07-96" xfId="133" xr:uid="{292FA35E-ED81-41A2-B533-C4AC4604CDF7}"/>
    <cellStyle name="20% - Accent1" xfId="25" builtinId="30" customBuiltin="1"/>
    <cellStyle name="20% - Accent1 10" xfId="3726" xr:uid="{970EAE7A-7F56-4534-885C-9D0A3A98397F}"/>
    <cellStyle name="20% - Accent1 10 2" xfId="3727" xr:uid="{4D77F8D6-6316-48CE-B335-F1351B7C652E}"/>
    <cellStyle name="20% - Accent1 11" xfId="3728" xr:uid="{78FE7432-8348-44DD-89E5-567D28C0FC20}"/>
    <cellStyle name="20% - Accent1 2" xfId="134" xr:uid="{77B9F6B8-F521-49E9-963B-5614CC38705C}"/>
    <cellStyle name="20% - Accent1 2 2" xfId="135" xr:uid="{FF907921-AD53-4910-B4FC-1511E9F5EABA}"/>
    <cellStyle name="20% - Accent1 2 2 2" xfId="136" xr:uid="{36C3A54B-AF4D-4146-8C69-941A8C082890}"/>
    <cellStyle name="20% - Accent1 2 2 2 2" xfId="137" xr:uid="{D0540282-5FA8-478E-90E9-DADC30C06449}"/>
    <cellStyle name="20% - Accent1 2 2 2 3" xfId="3729" xr:uid="{3C3303FA-6453-4125-A2BB-3D282312CA0F}"/>
    <cellStyle name="20% - Accent1 2 2 3" xfId="3730" xr:uid="{B8DC1B5D-CD77-4466-9351-7EFDF7AAF2A2}"/>
    <cellStyle name="20% - Accent1 2 2_Bonds" xfId="3731" xr:uid="{A8487567-D5D3-41F1-BFDC-B0FD54B2CF34}"/>
    <cellStyle name="20% - Accent1 2 3" xfId="138" xr:uid="{E07BBBCD-525B-4A83-878C-D79D16F32134}"/>
    <cellStyle name="20% - Accent1 2 3 2" xfId="3732" xr:uid="{1F5A6DA3-C516-4BC2-AA78-36ADD773DD1D}"/>
    <cellStyle name="20% - Accent1 2 3 3" xfId="3733" xr:uid="{C85E0414-0FFF-4F41-B26E-F1B70FE199AF}"/>
    <cellStyle name="20% - Accent1 2 3_PA Note 13" xfId="3734" xr:uid="{25FCD2DD-8533-47C9-8D91-32CC5930A887}"/>
    <cellStyle name="20% - Accent1 2 4" xfId="139" xr:uid="{B0E9F60D-2FAD-4F81-965F-2F1E66AFFB87}"/>
    <cellStyle name="20% - Accent1 2 4 2" xfId="3735" xr:uid="{E09B8543-69B6-40E5-B4DF-7E682400DA20}"/>
    <cellStyle name="20% - Accent1 2 5" xfId="140" xr:uid="{BD5C3BBF-FD0B-4D23-93E8-28E676F71810}"/>
    <cellStyle name="20% - Accent1 2 5 2" xfId="141" xr:uid="{CC113710-A86C-462E-ACB4-E01043C0969A}"/>
    <cellStyle name="20% - Accent1 2 5 2 2" xfId="3737" xr:uid="{07980FB1-FBF6-4184-83AD-6F42CEE30D71}"/>
    <cellStyle name="20% - Accent1 2 5 3" xfId="3736" xr:uid="{3EB4F80C-1D87-4069-88CB-9E18EC682BF7}"/>
    <cellStyle name="20% - Accent1 2 6" xfId="142" xr:uid="{5CC0B036-C84D-4840-8E3D-93EF31861D25}"/>
    <cellStyle name="20% - Accent1 2 6 2" xfId="3739" xr:uid="{59928C1C-4B88-409F-B811-2C5A93D0CFB6}"/>
    <cellStyle name="20% - Accent1 2 6 3" xfId="3738" xr:uid="{09F357F4-62A7-4C3D-9F03-9EE89A9D93D6}"/>
    <cellStyle name="20% - Accent1 2 7" xfId="3740" xr:uid="{3F99CD02-7692-4156-8AA6-3EC06DABA4B0}"/>
    <cellStyle name="20% - Accent1 2_PA Note 13" xfId="3741" xr:uid="{E27A5640-34B2-4EB2-8D01-6E7314354F11}"/>
    <cellStyle name="20% - Accent1 3" xfId="143" xr:uid="{03EE7536-7FB1-4A10-85D7-41495F5853C7}"/>
    <cellStyle name="20% - Accent1 3 2" xfId="144" xr:uid="{ED149956-64A8-43A4-8835-66B853466173}"/>
    <cellStyle name="20% - Accent1 3 2 2" xfId="145" xr:uid="{2E44FFE9-1776-4AA2-A810-E1BFE7C82E36}"/>
    <cellStyle name="20% - Accent1 3 2 2 2" xfId="3743" xr:uid="{8118206E-8EF1-4066-8525-B78AF4251CCA}"/>
    <cellStyle name="20% - Accent1 3 2 3" xfId="3742" xr:uid="{05156B87-302F-4822-BBB3-BF2F6469C68E}"/>
    <cellStyle name="20% - Accent1 3 3" xfId="3744" xr:uid="{3AECDE07-68BF-4DEF-BED7-6ABC163EE892}"/>
    <cellStyle name="20% - Accent1 3 4" xfId="3745" xr:uid="{BF1BD5C6-34F3-41AC-99DF-A767A80D2F86}"/>
    <cellStyle name="20% - Accent1 3_TSL SAP BA Amt Journal Aug 10" xfId="3746" xr:uid="{B90A8D77-01AE-4154-BABE-BF94225C7C93}"/>
    <cellStyle name="20% - Accent1 4" xfId="146" xr:uid="{734F60A9-4B0D-4723-823D-771AF0E235AE}"/>
    <cellStyle name="20% - Accent1 4 2" xfId="3747" xr:uid="{6FAB0E61-C455-45E0-82DD-953670C0E3A6}"/>
    <cellStyle name="20% - Accent1 4 2 2" xfId="3748" xr:uid="{90FB8B30-28C5-4AC9-ACB7-27A59746BA66}"/>
    <cellStyle name="20% - Accent1 4 3" xfId="3749" xr:uid="{5B77EAB7-0043-4AB8-AB46-A38363A9E90F}"/>
    <cellStyle name="20% - Accent1 4 4" xfId="3750" xr:uid="{B7F1A959-E155-4521-8182-1631B61F0C6B}"/>
    <cellStyle name="20% - Accent1 4 5" xfId="3751" xr:uid="{C784E7EA-1647-4302-816F-F482D47F7798}"/>
    <cellStyle name="20% - Accent1 4_TSL SAP BA Amt Journal Aug 10" xfId="3752" xr:uid="{4A60BBEB-EC79-41A0-9FC3-4EE4CCFC6EF9}"/>
    <cellStyle name="20% - Accent1 5" xfId="3753" xr:uid="{0BD1BACA-3661-46B0-857B-E64B11298B6E}"/>
    <cellStyle name="20% - Accent1 5 2" xfId="3754" xr:uid="{B0E57070-B767-44B8-A069-9C5BCBD8F83D}"/>
    <cellStyle name="20% - Accent1 5_VIEWCreditProv" xfId="3755" xr:uid="{2E07252E-4FEB-4E69-8BBA-4F5A6E5B8451}"/>
    <cellStyle name="20% - Accent1 6" xfId="3756" xr:uid="{DF656B60-534F-4D9A-B7D6-3B0D79C1AA8A}"/>
    <cellStyle name="20% - Accent1 6 2" xfId="3757" xr:uid="{2D82EC35-198A-4F7E-A876-1F8DFA4600A5}"/>
    <cellStyle name="20% - Accent1 6 2 2" xfId="3758" xr:uid="{72ABA582-6EFD-4E4E-B6C3-77208EA76182}"/>
    <cellStyle name="20% - Accent1 6 2 2 2" xfId="3759" xr:uid="{9B28298D-3182-4AD3-89BD-13EF35D43F44}"/>
    <cellStyle name="20% - Accent1 6 2 2 2 2" xfId="3760" xr:uid="{1057A6BC-4C6A-49FA-97FA-A87A3931EE95}"/>
    <cellStyle name="20% - Accent1 6 2 2 3" xfId="3761" xr:uid="{C6D43365-0DEC-4EC2-9993-CA8AD84B9BEF}"/>
    <cellStyle name="20% - Accent1 6 2 2 3 2" xfId="3762" xr:uid="{6082B070-EB34-4A2C-8CF6-A9BF971BDA47}"/>
    <cellStyle name="20% - Accent1 6 2 2 4" xfId="3763" xr:uid="{24371B3C-32C6-438A-AD81-08EBBA5FEDEA}"/>
    <cellStyle name="20% - Accent1 6 2 3" xfId="3764" xr:uid="{E6B0A93F-4B6F-4EFE-BF79-21CD9DD0A382}"/>
    <cellStyle name="20% - Accent1 6 2 3 2" xfId="3765" xr:uid="{0297B93C-B15E-4DF4-8FB1-4C6061EECEB2}"/>
    <cellStyle name="20% - Accent1 6 2 4" xfId="3766" xr:uid="{82071AB8-581A-4A7C-BB5A-D90E519CF295}"/>
    <cellStyle name="20% - Accent1 6 2 4 2" xfId="3767" xr:uid="{DB17FD84-9714-4D0D-9131-90AFBA53D3F8}"/>
    <cellStyle name="20% - Accent1 6 2 5" xfId="3768" xr:uid="{42B432C4-2964-4801-AC71-DE9607411326}"/>
    <cellStyle name="20% - Accent1 6 3" xfId="3769" xr:uid="{AC5BCAAA-50D2-4D64-B797-144D95762E48}"/>
    <cellStyle name="20% - Accent1 6 3 2" xfId="3770" xr:uid="{A9A00000-815F-41B2-8743-881F32B3B3B4}"/>
    <cellStyle name="20% - Accent1 6 3 2 2" xfId="3771" xr:uid="{59293AB3-2D88-42D5-A8C2-C8BD8825200E}"/>
    <cellStyle name="20% - Accent1 6 3 3" xfId="3772" xr:uid="{DB1D98B1-00F2-4154-A769-8826B0D11EAB}"/>
    <cellStyle name="20% - Accent1 6 3 3 2" xfId="3773" xr:uid="{13A8E357-E39D-4F21-B439-A352B2E8DB7C}"/>
    <cellStyle name="20% - Accent1 6 3 4" xfId="3774" xr:uid="{243E145C-5A63-4D70-83FE-893C8A71EDDE}"/>
    <cellStyle name="20% - Accent1 6 4" xfId="3775" xr:uid="{073BAA5B-F695-494C-A3E4-68F9FBB3485E}"/>
    <cellStyle name="20% - Accent1 6 4 2" xfId="3776" xr:uid="{F50037AF-EEE0-48BB-83AE-040EDCDCEF63}"/>
    <cellStyle name="20% - Accent1 6 5" xfId="3777" xr:uid="{E64F8F9C-6168-48D7-A358-23F655F4276A}"/>
    <cellStyle name="20% - Accent1 6 5 2" xfId="3778" xr:uid="{210FB8FE-A3DC-482B-946D-ADA95CC24A54}"/>
    <cellStyle name="20% - Accent1 6 6" xfId="3779" xr:uid="{299997D8-0D2B-428E-B34D-2B1BF0E370A6}"/>
    <cellStyle name="20% - Accent1 7" xfId="3780" xr:uid="{B54B4337-2155-4966-8E16-12476F18EB0E}"/>
    <cellStyle name="20% - Accent1 7 2" xfId="3781" xr:uid="{B15FC1B1-9061-42A2-BED9-03D33FFCB6A1}"/>
    <cellStyle name="20% - Accent1 7 2 2" xfId="3782" xr:uid="{4D3B20AE-1617-4457-8669-44F47A0D264B}"/>
    <cellStyle name="20% - Accent1 7 2 2 2" xfId="3783" xr:uid="{4196F35D-F624-43A2-8E89-77494971102A}"/>
    <cellStyle name="20% - Accent1 7 2 2 2 2" xfId="3784" xr:uid="{E5C70315-25B6-44C9-862A-D62D9077F177}"/>
    <cellStyle name="20% - Accent1 7 2 2 3" xfId="3785" xr:uid="{FC38DB6F-85EA-44D9-85B5-CFA27962979E}"/>
    <cellStyle name="20% - Accent1 7 2 2 3 2" xfId="3786" xr:uid="{26BE5A41-80F9-45B3-90CD-10C162ABB5D5}"/>
    <cellStyle name="20% - Accent1 7 2 2 4" xfId="3787" xr:uid="{1009EB99-7352-44B3-B0D2-9105CCF78E43}"/>
    <cellStyle name="20% - Accent1 7 2 3" xfId="3788" xr:uid="{0963779D-14A4-4045-B9BE-24F5A26C18E1}"/>
    <cellStyle name="20% - Accent1 7 2 3 2" xfId="3789" xr:uid="{5BB00A18-8620-487B-BF63-1188FB381D56}"/>
    <cellStyle name="20% - Accent1 7 2 4" xfId="3790" xr:uid="{6B049BAC-2E1D-4DEB-952D-16F34057545C}"/>
    <cellStyle name="20% - Accent1 7 2 4 2" xfId="3791" xr:uid="{D9DFBD39-9CF4-45EA-8A51-6D11E273116D}"/>
    <cellStyle name="20% - Accent1 7 2 5" xfId="3792" xr:uid="{736BD422-5280-47ED-B030-D5E69C0A1A08}"/>
    <cellStyle name="20% - Accent1 7 3" xfId="3793" xr:uid="{FD567B0F-0DD0-49B8-8081-E8FD8C1F9E18}"/>
    <cellStyle name="20% - Accent1 7 3 2" xfId="3794" xr:uid="{B11E0EFD-E0C0-4A73-A9D9-A8A2C4397148}"/>
    <cellStyle name="20% - Accent1 7 3 2 2" xfId="3795" xr:uid="{8F1EA1D2-191B-42DC-85F1-C70DFF43AD25}"/>
    <cellStyle name="20% - Accent1 7 3 3" xfId="3796" xr:uid="{00ABA166-B98D-4684-B1D5-EBFCCE0AF5B0}"/>
    <cellStyle name="20% - Accent1 7 3 3 2" xfId="3797" xr:uid="{37192CAF-2BF1-4460-8AF9-62FEBB13C3F4}"/>
    <cellStyle name="20% - Accent1 7 3 4" xfId="3798" xr:uid="{4BD22846-4E18-4E5C-BEC1-BF4799A3D3DF}"/>
    <cellStyle name="20% - Accent1 7 4" xfId="3799" xr:uid="{4EA3D6F2-D46E-4A42-9167-944ED64853A0}"/>
    <cellStyle name="20% - Accent1 7 4 2" xfId="3800" xr:uid="{52CD128C-67D2-4E0D-B0E9-5154DC0B714C}"/>
    <cellStyle name="20% - Accent1 7 5" xfId="3801" xr:uid="{E2A6804C-BF0C-4FE1-A0FA-BB088E05DCE9}"/>
    <cellStyle name="20% - Accent1 7 5 2" xfId="3802" xr:uid="{DDCEDA09-44AB-4FFA-A244-4F7A8F43046F}"/>
    <cellStyle name="20% - Accent1 7 6" xfId="3803" xr:uid="{7A18768E-35CA-4660-92EC-0134814D0433}"/>
    <cellStyle name="20% - Accent1 8" xfId="3804" xr:uid="{6C8CB816-5A91-4D9A-8C82-93107EB165FA}"/>
    <cellStyle name="20% - Accent1 9" xfId="3805" xr:uid="{B534EEA0-D359-4177-A600-48C18CB57D9E}"/>
    <cellStyle name="20% - Accent1 9 2" xfId="3806" xr:uid="{2E0D35C2-E77E-47F1-843D-62E97B0037AF}"/>
    <cellStyle name="20% - Accent2" xfId="29" builtinId="34" customBuiltin="1"/>
    <cellStyle name="20% - Accent2 10" xfId="3807" xr:uid="{C6A912A3-64CD-458A-849B-C94A26EEFF42}"/>
    <cellStyle name="20% - Accent2 11" xfId="3808" xr:uid="{947C0AFC-5016-415F-AD77-066FCD8E794C}"/>
    <cellStyle name="20% - Accent2 12" xfId="3809" xr:uid="{4BBFB2E6-AC45-4771-8836-E4DE9A99267B}"/>
    <cellStyle name="20% - Accent2 2" xfId="147" xr:uid="{9A5B60A7-4024-4A5C-80F1-5E4F1DBA5E8C}"/>
    <cellStyle name="20% - Accent2 2 2" xfId="148" xr:uid="{BD4A4B6E-C859-4AC5-A50C-F1DD8A2B8B02}"/>
    <cellStyle name="20% - Accent2 2 2 2" xfId="149" xr:uid="{F87F179E-DFEE-4214-9131-2E201177FD6F}"/>
    <cellStyle name="20% - Accent2 2 2 2 2" xfId="150" xr:uid="{B1F0D1A5-993D-44A4-A271-F31A2AB42E98}"/>
    <cellStyle name="20% - Accent2 2 2 2 3" xfId="3810" xr:uid="{3BF65250-0558-4ADC-8FC3-418FF7F9393B}"/>
    <cellStyle name="20% - Accent2 2 2 3" xfId="3811" xr:uid="{EE058940-9D85-4C6B-B09B-5370908E16BC}"/>
    <cellStyle name="20% - Accent2 2 2_Bonds" xfId="3812" xr:uid="{F83BCC45-FC03-446E-9F54-4F68DF05FAB1}"/>
    <cellStyle name="20% - Accent2 2 3" xfId="151" xr:uid="{3BF94A1A-ACB7-4F85-A41F-A86850FE11BC}"/>
    <cellStyle name="20% - Accent2 2 3 2" xfId="3813" xr:uid="{3425D752-C5BE-48F5-82A4-236A0BBAA05A}"/>
    <cellStyle name="20% - Accent2 2 3 3" xfId="3814" xr:uid="{4417DA76-1523-4A9B-AFB1-2FE1D15A3A04}"/>
    <cellStyle name="20% - Accent2 2 4" xfId="152" xr:uid="{5571A9EE-0A33-48C4-B829-DC037841A838}"/>
    <cellStyle name="20% - Accent2 2 4 2" xfId="3815" xr:uid="{CFD30559-15D9-4F57-821F-389982C808CC}"/>
    <cellStyle name="20% - Accent2 2 5" xfId="153" xr:uid="{39030017-B8C2-40B1-A9B3-B5C79DC010D8}"/>
    <cellStyle name="20% - Accent2 2 5 2" xfId="154" xr:uid="{E433D211-3E85-4D3D-9104-F423D2D33FA8}"/>
    <cellStyle name="20% - Accent2 2 5 2 2" xfId="3817" xr:uid="{96BE8EDA-7D52-4721-8D03-6257B9FE3888}"/>
    <cellStyle name="20% - Accent2 2 5 3" xfId="3816" xr:uid="{6F7B7974-3377-4BAF-9825-8D06EE70AAAC}"/>
    <cellStyle name="20% - Accent2 2 6" xfId="155" xr:uid="{B392DD18-0F50-45C4-9D8B-D33BD7B856AC}"/>
    <cellStyle name="20% - Accent2 2 6 2" xfId="3819" xr:uid="{26E7841C-D469-44EF-8FB9-AB44936C390F}"/>
    <cellStyle name="20% - Accent2 2 6 3" xfId="3818" xr:uid="{1FE72D48-2369-4618-9621-D9420FD82807}"/>
    <cellStyle name="20% - Accent2 2 7" xfId="3820" xr:uid="{B2F0046C-936A-4074-B0CF-2195F20A5ABD}"/>
    <cellStyle name="20% - Accent2 2_VIEWCreditProv" xfId="3821" xr:uid="{ED4C22F5-5A63-4A21-A587-9D24CCBF7DC2}"/>
    <cellStyle name="20% - Accent2 3" xfId="156" xr:uid="{38E66B1A-3C90-41FE-BD72-2721BCFA6BE4}"/>
    <cellStyle name="20% - Accent2 3 2" xfId="157" xr:uid="{07EF3236-9E2D-40A6-A4F8-78F570CCF55B}"/>
    <cellStyle name="20% - Accent2 3 2 2" xfId="158" xr:uid="{A348DC5D-096B-4BB6-A7B9-F007FE494871}"/>
    <cellStyle name="20% - Accent2 3 2 2 2" xfId="3823" xr:uid="{B058A1A0-0D41-4183-ABEB-23D6A8A36A01}"/>
    <cellStyle name="20% - Accent2 3 2 3" xfId="3822" xr:uid="{F6737253-2F7E-4599-B9E6-7421A0EACB6B}"/>
    <cellStyle name="20% - Accent2 3 3" xfId="3824" xr:uid="{D2ACF19F-30E8-42A7-B2D2-A9EBF97612EF}"/>
    <cellStyle name="20% - Accent2 3 4" xfId="3825" xr:uid="{C81450FF-D5EA-4DBF-A317-9E48493661DF}"/>
    <cellStyle name="20% - Accent2 3_TSL SAP BA Amt Journal Aug 10" xfId="3826" xr:uid="{BD800532-175D-4A3C-B5AC-96915DA53EF0}"/>
    <cellStyle name="20% - Accent2 4" xfId="159" xr:uid="{70E784B7-AA68-4D68-929C-EDED8C8C42BB}"/>
    <cellStyle name="20% - Accent2 4 2" xfId="3827" xr:uid="{707CC990-EC9F-4019-A694-02B0197AAFAC}"/>
    <cellStyle name="20% - Accent2 4 2 2" xfId="3828" xr:uid="{423FB3B6-36FC-4E29-ABAB-54DAEE356CE9}"/>
    <cellStyle name="20% - Accent2 4 3" xfId="3829" xr:uid="{9C90D820-B1C7-46FA-BAFB-F35019385AE4}"/>
    <cellStyle name="20% - Accent2 4 4" xfId="3830" xr:uid="{B70DE321-7D8A-4167-9898-B17119F3EF12}"/>
    <cellStyle name="20% - Accent2 4 5" xfId="3831" xr:uid="{95DC37D5-6DF6-4D8F-9836-214BAC3D10A0}"/>
    <cellStyle name="20% - Accent2 4_TSL SAP BA Amt Journal Aug 10" xfId="3832" xr:uid="{33FDD69D-539B-47D2-B1E5-7FBED8318C70}"/>
    <cellStyle name="20% - Accent2 5" xfId="3833" xr:uid="{5D871720-E57D-48D3-97F6-EA2342B47373}"/>
    <cellStyle name="20% - Accent2 5 2" xfId="3834" xr:uid="{1594E6E7-9DD6-4525-A737-01206E10A8F9}"/>
    <cellStyle name="20% - Accent2 5_VIEWCreditProv" xfId="3835" xr:uid="{F8933BB3-F611-4101-ACAF-FFC023D3F4FA}"/>
    <cellStyle name="20% - Accent2 6" xfId="3836" xr:uid="{3C05B22B-E9F5-4DE5-A6EE-0448FE312E95}"/>
    <cellStyle name="20% - Accent2 6 2" xfId="3837" xr:uid="{011F471F-DD03-4712-8EEE-5429BF704452}"/>
    <cellStyle name="20% - Accent2 6 2 2" xfId="3838" xr:uid="{BD06C6F4-9517-437E-B61A-7DB78599CD78}"/>
    <cellStyle name="20% - Accent2 6 2 2 2" xfId="3839" xr:uid="{4F6EEE7D-0D2E-440C-81CA-089F6A7CC455}"/>
    <cellStyle name="20% - Accent2 6 2 2 2 2" xfId="3840" xr:uid="{6A2C3F56-6AED-4133-BE68-BB11740C87CB}"/>
    <cellStyle name="20% - Accent2 6 2 2 3" xfId="3841" xr:uid="{38ADED01-AF42-45DB-A4B4-6FF96264564F}"/>
    <cellStyle name="20% - Accent2 6 2 2 3 2" xfId="3842" xr:uid="{6EB268FD-0229-4BCF-84D6-DF2E44327F5F}"/>
    <cellStyle name="20% - Accent2 6 2 2 4" xfId="3843" xr:uid="{68316FFF-37F1-4487-8F3E-6B7625E366F5}"/>
    <cellStyle name="20% - Accent2 6 2 3" xfId="3844" xr:uid="{02B2AD7B-EFB8-4976-870A-8D85408C07AC}"/>
    <cellStyle name="20% - Accent2 6 2 3 2" xfId="3845" xr:uid="{A4D439A6-0776-40C4-9643-E4B7943F0FA5}"/>
    <cellStyle name="20% - Accent2 6 2 4" xfId="3846" xr:uid="{853763A9-0555-40FF-8A9F-1129F2CB3052}"/>
    <cellStyle name="20% - Accent2 6 2 4 2" xfId="3847" xr:uid="{A2EF4187-8310-4813-933A-1CB06CBB5B00}"/>
    <cellStyle name="20% - Accent2 6 2 5" xfId="3848" xr:uid="{10627467-8485-4138-AD57-0E0EDF5A0959}"/>
    <cellStyle name="20% - Accent2 6 3" xfId="3849" xr:uid="{7E9D6FB9-7686-4808-8B7E-9E6563698C47}"/>
    <cellStyle name="20% - Accent2 6 3 2" xfId="3850" xr:uid="{A6A03415-1941-4F82-A5B6-9D3A38840DFB}"/>
    <cellStyle name="20% - Accent2 6 3 2 2" xfId="3851" xr:uid="{7E1860BD-13EC-453E-AB5B-CE81BAC71FA9}"/>
    <cellStyle name="20% - Accent2 6 3 3" xfId="3852" xr:uid="{28F543E1-10FA-4D86-9C96-8195794B416B}"/>
    <cellStyle name="20% - Accent2 6 3 3 2" xfId="3853" xr:uid="{744850BD-40FB-4087-A6FF-6CD81DF918FE}"/>
    <cellStyle name="20% - Accent2 6 3 4" xfId="3854" xr:uid="{20903599-E3B7-44E0-A1CC-117A9663EF8E}"/>
    <cellStyle name="20% - Accent2 6 4" xfId="3855" xr:uid="{6B595648-7FFF-4357-9720-912A2AE1B6BA}"/>
    <cellStyle name="20% - Accent2 6 4 2" xfId="3856" xr:uid="{D28D147E-D6A4-444B-8451-1DDB176E180C}"/>
    <cellStyle name="20% - Accent2 6 5" xfId="3857" xr:uid="{998CE5D6-D4D2-4E62-867F-1A4ADB288B72}"/>
    <cellStyle name="20% - Accent2 6 5 2" xfId="3858" xr:uid="{BB8D2E67-4217-4689-8A07-74A4F966B026}"/>
    <cellStyle name="20% - Accent2 6 6" xfId="3859" xr:uid="{30763F23-965F-4FE1-BCB7-FDEB9F4B089B}"/>
    <cellStyle name="20% - Accent2 7" xfId="3860" xr:uid="{68DCB5AC-7FB8-492E-A254-BDE8E849E772}"/>
    <cellStyle name="20% - Accent2 7 2" xfId="3861" xr:uid="{F45A2D81-ED9F-4592-AFCE-8ED1EAA55C0E}"/>
    <cellStyle name="20% - Accent2 7 2 2" xfId="3862" xr:uid="{4DC36F61-8D5A-4C6B-B87C-2DDB4EF29270}"/>
    <cellStyle name="20% - Accent2 7 2 2 2" xfId="3863" xr:uid="{197B022A-E689-4C4D-ADE4-DFB0742E1D3C}"/>
    <cellStyle name="20% - Accent2 7 2 2 2 2" xfId="3864" xr:uid="{D9CD8F56-BFB3-4702-A694-5B9E3654BB4D}"/>
    <cellStyle name="20% - Accent2 7 2 2 3" xfId="3865" xr:uid="{FFC8B3AB-8D30-45F8-8EFE-6006BA9A5291}"/>
    <cellStyle name="20% - Accent2 7 2 2 3 2" xfId="3866" xr:uid="{1DC5BDEA-D912-4B76-A2A3-8F9D82BCBDFB}"/>
    <cellStyle name="20% - Accent2 7 2 2 4" xfId="3867" xr:uid="{2C541E69-2D55-48B6-8B5B-1D72B8B7E900}"/>
    <cellStyle name="20% - Accent2 7 2 3" xfId="3868" xr:uid="{B875C910-F208-452D-BA2C-658071EA8EA7}"/>
    <cellStyle name="20% - Accent2 7 2 3 2" xfId="3869" xr:uid="{1D11CA88-387A-410E-822B-AF561813A7C6}"/>
    <cellStyle name="20% - Accent2 7 2 4" xfId="3870" xr:uid="{5EE5E8E5-43ED-42CE-8CBA-7EEDDECE0B81}"/>
    <cellStyle name="20% - Accent2 7 2 4 2" xfId="3871" xr:uid="{342D99D1-3C25-4B46-9DBA-EEBE13D03434}"/>
    <cellStyle name="20% - Accent2 7 2 5" xfId="3872" xr:uid="{1F141036-878F-42A8-9A8E-E815BE277CC9}"/>
    <cellStyle name="20% - Accent2 7 3" xfId="3873" xr:uid="{D0EBCD7B-F4AA-495D-9CA7-74396953E98A}"/>
    <cellStyle name="20% - Accent2 7 3 2" xfId="3874" xr:uid="{7C70AA50-4BE2-4E82-A75C-3B8DF389C918}"/>
    <cellStyle name="20% - Accent2 7 3 2 2" xfId="3875" xr:uid="{63894C32-3E64-4ACF-8CBA-F87606DBCDD6}"/>
    <cellStyle name="20% - Accent2 7 3 3" xfId="3876" xr:uid="{A4A2145F-D9DE-440B-AF30-62E6202DA1BC}"/>
    <cellStyle name="20% - Accent2 7 3 3 2" xfId="3877" xr:uid="{8FE5F5DA-C28C-427C-91FA-52F49368C036}"/>
    <cellStyle name="20% - Accent2 7 3 4" xfId="3878" xr:uid="{AA6F6C98-E77D-4DE5-80AF-486F5EF3DFCB}"/>
    <cellStyle name="20% - Accent2 7 4" xfId="3879" xr:uid="{23B1C999-9F5F-48CB-9083-B04258EB0FB3}"/>
    <cellStyle name="20% - Accent2 7 4 2" xfId="3880" xr:uid="{AFAB6586-13F5-4428-9FBE-ACDDDBCCA06C}"/>
    <cellStyle name="20% - Accent2 7 5" xfId="3881" xr:uid="{BFEC52EC-2076-40C1-9526-BD38045B2C3D}"/>
    <cellStyle name="20% - Accent2 7 5 2" xfId="3882" xr:uid="{BADDF48E-57BC-4105-9580-41831AC32993}"/>
    <cellStyle name="20% - Accent2 7 6" xfId="3883" xr:uid="{3A90F1C2-2E13-40EB-B9E6-15D2174A254E}"/>
    <cellStyle name="20% - Accent2 8" xfId="3884" xr:uid="{1C569131-CACF-47F1-BE95-C051DC27FEF4}"/>
    <cellStyle name="20% - Accent2 9" xfId="3885" xr:uid="{665812D3-454A-442C-8827-02768BFCF2E1}"/>
    <cellStyle name="20% - Accent2 9 2" xfId="3886" xr:uid="{AFA1A1F3-8F55-4792-9C61-8ED683C9839C}"/>
    <cellStyle name="20% - Accent3" xfId="33" builtinId="38" customBuiltin="1"/>
    <cellStyle name="20% - Accent3 10" xfId="3887" xr:uid="{D2231EF9-1034-48E4-9A37-B83B2162EB14}"/>
    <cellStyle name="20% - Accent3 10 2" xfId="3888" xr:uid="{9708122A-243E-45A0-A499-832F6F8D4794}"/>
    <cellStyle name="20% - Accent3 11" xfId="3889" xr:uid="{7653A804-503A-4F71-97B3-4E0C145C9E63}"/>
    <cellStyle name="20% - Accent3 12" xfId="3890" xr:uid="{D2236C6C-6A05-4860-88ED-C10A40FA5B77}"/>
    <cellStyle name="20% - Accent3 2" xfId="160" xr:uid="{BC5A42C6-4257-4EA5-B214-9E7D4D56C46E}"/>
    <cellStyle name="20% - Accent3 2 2" xfId="161" xr:uid="{134BF15C-1B82-4A85-B5CD-7E4145830290}"/>
    <cellStyle name="20% - Accent3 2 2 2" xfId="162" xr:uid="{4AAEA1D4-FFC6-44C5-A088-296C5872C679}"/>
    <cellStyle name="20% - Accent3 2 2 2 2" xfId="163" xr:uid="{5ACD8AFE-1DBA-4551-80D4-E4F7559CD518}"/>
    <cellStyle name="20% - Accent3 2 2 2 3" xfId="3891" xr:uid="{F964E1E1-8491-4A81-AEEA-CA6A844E8487}"/>
    <cellStyle name="20% - Accent3 2 2 3" xfId="3892" xr:uid="{EB291D7E-E062-48D3-A6E2-FDC72DC55C96}"/>
    <cellStyle name="20% - Accent3 2 2_Bonds" xfId="3893" xr:uid="{61CB9C07-3FCE-4CD9-9EF4-7ABEF42E2A4D}"/>
    <cellStyle name="20% - Accent3 2 3" xfId="164" xr:uid="{79A61A32-332A-40CB-A6DC-56B19D445404}"/>
    <cellStyle name="20% - Accent3 2 3 2" xfId="3894" xr:uid="{3BC6B1DE-53FC-4D6F-A3CD-18FE01140AF4}"/>
    <cellStyle name="20% - Accent3 2 3 3" xfId="3895" xr:uid="{C64180A0-BC1A-4139-A065-4E90C0F27017}"/>
    <cellStyle name="20% - Accent3 2 4" xfId="165" xr:uid="{9326FDFC-11C6-440F-9BC6-E4A23B85056A}"/>
    <cellStyle name="20% - Accent3 2 4 2" xfId="3896" xr:uid="{E30B0D3B-63FF-4202-878B-7717351E732C}"/>
    <cellStyle name="20% - Accent3 2 5" xfId="166" xr:uid="{F4A03852-3D52-4CA0-9BF1-8F9D0FF80183}"/>
    <cellStyle name="20% - Accent3 2 5 2" xfId="167" xr:uid="{8EE6221A-F6A4-4588-A2E8-A21EE4BB595C}"/>
    <cellStyle name="20% - Accent3 2 5 2 2" xfId="3898" xr:uid="{3D5D47D2-5BF7-4596-B904-313FC0FC172F}"/>
    <cellStyle name="20% - Accent3 2 5 3" xfId="3897" xr:uid="{F88C1818-7636-4137-A7ED-433403ADFDC1}"/>
    <cellStyle name="20% - Accent3 2 6" xfId="168" xr:uid="{1A266AA6-CEB2-4472-8619-93FDD3D5E35C}"/>
    <cellStyle name="20% - Accent3 2 6 2" xfId="3900" xr:uid="{B639CAAB-71BF-4728-82C6-55BC834F6AB9}"/>
    <cellStyle name="20% - Accent3 2 6 3" xfId="3899" xr:uid="{4F5F3E42-3B0F-453F-95E4-BB2549357A4C}"/>
    <cellStyle name="20% - Accent3 2 7" xfId="3901" xr:uid="{0B910440-5DA3-4BFA-ADF6-D74D84B5EA01}"/>
    <cellStyle name="20% - Accent3 2_VIEWCreditProv" xfId="3902" xr:uid="{62B0337B-DFF1-4400-8E63-CA9E088E8560}"/>
    <cellStyle name="20% - Accent3 3" xfId="169" xr:uid="{64947E20-1E44-4D6A-B8B4-70B2C675E6D1}"/>
    <cellStyle name="20% - Accent3 3 2" xfId="170" xr:uid="{9FEFDE2F-FBCD-4FD3-BB18-56F2E590E291}"/>
    <cellStyle name="20% - Accent3 3 2 2" xfId="171" xr:uid="{6B0EB27D-7AF5-40A6-908C-6F24C11C1008}"/>
    <cellStyle name="20% - Accent3 3 2 2 2" xfId="3904" xr:uid="{F529F75B-D717-4AE3-8301-147732AF4EE0}"/>
    <cellStyle name="20% - Accent3 3 2 3" xfId="3903" xr:uid="{9190BA67-E560-43EA-AAC8-FA1DB9D47271}"/>
    <cellStyle name="20% - Accent3 3 3" xfId="3905" xr:uid="{B12C43C5-A9DB-470F-9597-EEE8A88068C9}"/>
    <cellStyle name="20% - Accent3 3 4" xfId="3906" xr:uid="{75A44D21-4F9C-43D5-8EB3-3CE62FD426D2}"/>
    <cellStyle name="20% - Accent3 3_TSL SAP BA Amt Journal Aug 10" xfId="3907" xr:uid="{06A649F8-13C1-4D8E-819B-B47EDFAA358E}"/>
    <cellStyle name="20% - Accent3 4" xfId="172" xr:uid="{DD6C4DC6-C8D5-470B-935D-1BA72CE2F8FD}"/>
    <cellStyle name="20% - Accent3 4 2" xfId="3908" xr:uid="{83BC026C-D0E6-480F-9EDC-4F1CFF237727}"/>
    <cellStyle name="20% - Accent3 4 2 2" xfId="3909" xr:uid="{4B27CA18-AF90-4AFA-8DE9-4F0944FB7F35}"/>
    <cellStyle name="20% - Accent3 4 3" xfId="3910" xr:uid="{A57A0ADB-3FFB-442C-AA6C-B3146232C313}"/>
    <cellStyle name="20% - Accent3 4 4" xfId="3911" xr:uid="{F9C3B82C-412B-487A-9859-5596D2956336}"/>
    <cellStyle name="20% - Accent3 4 5" xfId="3912" xr:uid="{C49FC61B-34D9-4C8B-AF49-842B597323AD}"/>
    <cellStyle name="20% - Accent3 4_TSL SAP BA Amt Journal Aug 10" xfId="3913" xr:uid="{2B8AE1A4-A6BC-4A1C-8F0B-E70340E353AE}"/>
    <cellStyle name="20% - Accent3 5" xfId="3914" xr:uid="{C6B9BB36-EE01-4A63-B67F-71D275234923}"/>
    <cellStyle name="20% - Accent3 5 2" xfId="3915" xr:uid="{1A27AAD3-3A4C-49CB-A76A-A340421B90B0}"/>
    <cellStyle name="20% - Accent3 5_VIEWCreditProv" xfId="3916" xr:uid="{059BCC47-21DC-42E3-998A-BC5235947331}"/>
    <cellStyle name="20% - Accent3 6" xfId="3917" xr:uid="{1811BFA1-7ABD-4DD7-964D-E862B2CCB3E6}"/>
    <cellStyle name="20% - Accent3 6 2" xfId="3918" xr:uid="{24988923-4C08-425F-922E-5A5CC8AD6899}"/>
    <cellStyle name="20% - Accent3 6 2 2" xfId="3919" xr:uid="{1ADC4FB9-EDEF-4E70-AD3C-B710FEC9EE4B}"/>
    <cellStyle name="20% - Accent3 6 2 2 2" xfId="3920" xr:uid="{71FDA0A5-8CF0-451C-96E6-0858A62B54EB}"/>
    <cellStyle name="20% - Accent3 6 2 2 2 2" xfId="3921" xr:uid="{CDEB5202-1E77-4EA3-BD77-A22F0B7D2194}"/>
    <cellStyle name="20% - Accent3 6 2 2 3" xfId="3922" xr:uid="{50FBBECE-4CB9-4BAA-888A-E8179192BBC8}"/>
    <cellStyle name="20% - Accent3 6 2 2 4" xfId="3923" xr:uid="{97B5FD15-DF56-4167-BF3D-C5E7197B23C5}"/>
    <cellStyle name="20% - Accent3 6 2 3" xfId="3924" xr:uid="{78195E01-E681-46E5-A72E-C4A612F968AE}"/>
    <cellStyle name="20% - Accent3 6 2 3 2" xfId="3925" xr:uid="{940058FF-7CA1-407B-B8E0-EC16232283D0}"/>
    <cellStyle name="20% - Accent3 6 2 4" xfId="3926" xr:uid="{0E6551E3-87C9-417E-A557-3153AF8A9E79}"/>
    <cellStyle name="20% - Accent3 6 2 4 2" xfId="3927" xr:uid="{03897137-E68B-4549-B69C-9B6576C9BF39}"/>
    <cellStyle name="20% - Accent3 6 2 5" xfId="3928" xr:uid="{08702472-DE1D-473B-B640-2CCD318B288B}"/>
    <cellStyle name="20% - Accent3 6 3" xfId="3929" xr:uid="{40452378-1783-4F69-A469-6615A1F10BFD}"/>
    <cellStyle name="20% - Accent3 6 3 2" xfId="3930" xr:uid="{893C93CB-AE1A-4A66-BE04-DDC387F4D59D}"/>
    <cellStyle name="20% - Accent3 6 3 2 2" xfId="3931" xr:uid="{BC876459-F873-4C9E-81EA-731D894DF733}"/>
    <cellStyle name="20% - Accent3 6 3 3" xfId="3932" xr:uid="{609527FE-7F27-40E2-BC00-24D2F8F3A747}"/>
    <cellStyle name="20% - Accent3 6 3 3 2" xfId="3933" xr:uid="{20058338-9B66-496F-B0DA-BD4F9335E17A}"/>
    <cellStyle name="20% - Accent3 6 3 4" xfId="3934" xr:uid="{68A89C89-89C2-4D91-87B5-9149AA4F2425}"/>
    <cellStyle name="20% - Accent3 6 4" xfId="3935" xr:uid="{60FE77DE-79C8-45EB-9099-F7B30DFB4C59}"/>
    <cellStyle name="20% - Accent3 6 4 2" xfId="3936" xr:uid="{350C7A5F-6B5E-4135-BECB-8DD395ADCC72}"/>
    <cellStyle name="20% - Accent3 6 5" xfId="3937" xr:uid="{38448FBA-7278-495D-BEAF-F825F979E29F}"/>
    <cellStyle name="20% - Accent3 6 5 2" xfId="3938" xr:uid="{3DB5CA13-48B4-47B8-A3A3-8D4FA6F8DF86}"/>
    <cellStyle name="20% - Accent3 6 6" xfId="3939" xr:uid="{C7A70826-2064-480D-BA0E-7B59C86F07AA}"/>
    <cellStyle name="20% - Accent3 7" xfId="3940" xr:uid="{B51830D0-F1F4-4630-B4DA-B4F86C481CD4}"/>
    <cellStyle name="20% - Accent3 7 2" xfId="3941" xr:uid="{2DD4C91F-3EEE-49AE-8973-68B1265F30EB}"/>
    <cellStyle name="20% - Accent3 7 2 2" xfId="3942" xr:uid="{6FDB5B16-219F-4FCB-B708-7A70BBE29CD5}"/>
    <cellStyle name="20% - Accent3 7 2 2 2" xfId="3943" xr:uid="{9D35F9B3-CB46-4A23-BF01-F147B6E53E7A}"/>
    <cellStyle name="20% - Accent3 7 2 2 2 2" xfId="3944" xr:uid="{2CA9AE0F-6BDE-41EE-A165-0F4ABBB1C438}"/>
    <cellStyle name="20% - Accent3 7 2 2 3" xfId="3945" xr:uid="{29B26CF1-E986-4A43-A910-C6F030218CED}"/>
    <cellStyle name="20% - Accent3 7 2 2 3 2" xfId="3946" xr:uid="{4B55CB54-E2F5-4B93-8CC3-C821370FEDF6}"/>
    <cellStyle name="20% - Accent3 7 2 2 4" xfId="3947" xr:uid="{B9D911B2-AC02-41E9-B8F8-DF0A7596AC1E}"/>
    <cellStyle name="20% - Accent3 7 2 3" xfId="3948" xr:uid="{096A33DC-36D2-4D6B-9075-6E3CC917A794}"/>
    <cellStyle name="20% - Accent3 7 2 3 2" xfId="3949" xr:uid="{9C3F4CA4-59E7-4512-9606-CE5C2C29350A}"/>
    <cellStyle name="20% - Accent3 7 2 4" xfId="3950" xr:uid="{EBC1D63C-196D-4024-8132-22A762A6F5A2}"/>
    <cellStyle name="20% - Accent3 7 2 4 2" xfId="3951" xr:uid="{7D4965A7-96B6-4F14-BD8D-0B6E3BC76055}"/>
    <cellStyle name="20% - Accent3 7 2 5" xfId="3952" xr:uid="{FF4CF9D9-C3BB-45A5-A417-57F047046973}"/>
    <cellStyle name="20% - Accent3 7 3" xfId="3953" xr:uid="{3A0B3AD3-64FE-42E6-82FC-90048C4570DF}"/>
    <cellStyle name="20% - Accent3 7 3 2" xfId="3954" xr:uid="{1BF419EC-A075-4D3C-BFE2-0DC1F2013D54}"/>
    <cellStyle name="20% - Accent3 7 3 2 2" xfId="3955" xr:uid="{83B7863D-F73A-40A8-A14D-09F1BA5CB707}"/>
    <cellStyle name="20% - Accent3 7 3 3" xfId="3956" xr:uid="{24F85D33-69F3-44F3-B310-E1235C217D02}"/>
    <cellStyle name="20% - Accent3 7 3 3 2" xfId="3957" xr:uid="{788E252D-E633-4F6E-BFD5-4FA8215C9B8F}"/>
    <cellStyle name="20% - Accent3 7 3 4" xfId="3958" xr:uid="{F7EAC28D-3491-4864-B5BA-9233B30C072F}"/>
    <cellStyle name="20% - Accent3 7 4" xfId="3959" xr:uid="{B9C5DFB1-2D97-4995-A471-047E9A1EBB9B}"/>
    <cellStyle name="20% - Accent3 7 4 2" xfId="3960" xr:uid="{F81DC7B2-E336-4E20-8737-4450A0A56168}"/>
    <cellStyle name="20% - Accent3 7 5" xfId="3961" xr:uid="{0521FFB5-4681-4386-9A57-3815834BA0EB}"/>
    <cellStyle name="20% - Accent3 7 5 2" xfId="3962" xr:uid="{B249E2FE-68D1-47D7-A906-073263FD65E8}"/>
    <cellStyle name="20% - Accent3 7 6" xfId="3963" xr:uid="{14B4FE65-1731-47D7-BD19-320827F29213}"/>
    <cellStyle name="20% - Accent3 8" xfId="3964" xr:uid="{5888818C-9F4B-4F84-A6FB-96D038AB76B0}"/>
    <cellStyle name="20% - Accent3 9" xfId="3965" xr:uid="{75E7E2E3-CB27-4B0E-8215-E6C563A4062B}"/>
    <cellStyle name="20% - Accent3 9 2" xfId="3966" xr:uid="{1BF9BC6A-5ABC-40EF-B932-9BD0465145C8}"/>
    <cellStyle name="20% - Accent4" xfId="37" builtinId="42" customBuiltin="1"/>
    <cellStyle name="20% - Accent4 10" xfId="3967" xr:uid="{A9FEFFE7-5A84-4B6A-8CD1-B85691F90F50}"/>
    <cellStyle name="20% - Accent4 11" xfId="3968" xr:uid="{E641DD3F-566E-47C2-93F7-50D66B8DF82D}"/>
    <cellStyle name="20% - Accent4 2" xfId="173" xr:uid="{0252DD63-D0DC-4EA8-9F41-7F50835A5ABB}"/>
    <cellStyle name="20% - Accent4 2 2" xfId="174" xr:uid="{DA063894-1500-4A3E-BA12-6EEF1A3D27B6}"/>
    <cellStyle name="20% - Accent4 2 2 2" xfId="175" xr:uid="{ABC4B249-38E4-4639-BABD-C3F6140A69FD}"/>
    <cellStyle name="20% - Accent4 2 2 2 2" xfId="176" xr:uid="{2ECB476D-18AD-4AD8-87A4-B0DA70991749}"/>
    <cellStyle name="20% - Accent4 2 2 2 3" xfId="3969" xr:uid="{C74D019F-374E-44E3-97D7-49E758105A23}"/>
    <cellStyle name="20% - Accent4 2 2 3" xfId="3970" xr:uid="{52DEFA13-6721-4684-9195-9EF3F0AC2032}"/>
    <cellStyle name="20% - Accent4 2 2_Bonds" xfId="3971" xr:uid="{76D47078-DD26-48C0-86EC-0FCB3C11C4FB}"/>
    <cellStyle name="20% - Accent4 2 3" xfId="177" xr:uid="{CA245778-3818-4B31-8F80-189478B17368}"/>
    <cellStyle name="20% - Accent4 2 3 2" xfId="3972" xr:uid="{D3085E48-3798-43A7-8D10-87AA181CB0AA}"/>
    <cellStyle name="20% - Accent4 2 3 3" xfId="3973" xr:uid="{04A01C49-5B34-45D5-920E-55EE9803EA11}"/>
    <cellStyle name="20% - Accent4 2 4" xfId="178" xr:uid="{0C130764-3CB0-4F8B-904E-0A4003B262C7}"/>
    <cellStyle name="20% - Accent4 2 4 2" xfId="3974" xr:uid="{A9BF9AB3-AA94-480B-A4EE-503923209AEE}"/>
    <cellStyle name="20% - Accent4 2 5" xfId="179" xr:uid="{8B3103C9-FCCD-4422-9338-B2E9A61F3439}"/>
    <cellStyle name="20% - Accent4 2 5 2" xfId="180" xr:uid="{1371D000-EA4C-4540-B2C8-F62A8BFC51BD}"/>
    <cellStyle name="20% - Accent4 2 5 2 2" xfId="3976" xr:uid="{9DE20CC6-58E0-43FC-8B69-3D2A7CADDAFD}"/>
    <cellStyle name="20% - Accent4 2 5 3" xfId="3975" xr:uid="{CD7DD4D8-9DB0-4CD5-9A18-C72F2EC06FAE}"/>
    <cellStyle name="20% - Accent4 2 6" xfId="181" xr:uid="{53D7BD26-CCDA-4025-9ED2-EA1DA4E2036E}"/>
    <cellStyle name="20% - Accent4 2 6 2" xfId="3978" xr:uid="{EFB1AAC9-543C-4D3E-ABEF-D0DCAD34F54E}"/>
    <cellStyle name="20% - Accent4 2 6 3" xfId="3977" xr:uid="{970DE459-9A68-4369-9597-6419A382E22B}"/>
    <cellStyle name="20% - Accent4 2 7" xfId="3979" xr:uid="{B46A4722-749A-4F40-92CC-06910A2F7D6E}"/>
    <cellStyle name="20% - Accent4 2_VIEWCreditProv" xfId="3980" xr:uid="{A37F7360-96F4-49BB-9D1C-77DBE1C54724}"/>
    <cellStyle name="20% - Accent4 3" xfId="182" xr:uid="{2071BD2B-B1B5-4D3F-8533-943D92CA36A8}"/>
    <cellStyle name="20% - Accent4 3 2" xfId="183" xr:uid="{428D4C30-8306-4091-AA8E-59B88DC99A6B}"/>
    <cellStyle name="20% - Accent4 3 2 2" xfId="184" xr:uid="{6CB9185B-DC0C-4E9D-8E69-895BB60CBE8D}"/>
    <cellStyle name="20% - Accent4 3 2 2 2" xfId="3982" xr:uid="{759EFB3F-5FC4-4070-9B3B-A44BEE334B6A}"/>
    <cellStyle name="20% - Accent4 3 2 3" xfId="3981" xr:uid="{12C19B91-20A0-4A84-9F51-21539DC7076A}"/>
    <cellStyle name="20% - Accent4 3 3" xfId="3983" xr:uid="{C48201B3-7B11-4C13-A1AD-85F10EBF2390}"/>
    <cellStyle name="20% - Accent4 3 4" xfId="3984" xr:uid="{BB522C04-5F43-45CC-91F4-74E1CF2A6EF0}"/>
    <cellStyle name="20% - Accent4 3_TSL SAP BA Amt Journal Aug 10" xfId="3985" xr:uid="{59EC1B22-E27B-41FA-8113-18F7A6CC5081}"/>
    <cellStyle name="20% - Accent4 4" xfId="185" xr:uid="{11B34AA7-CA19-42B5-9809-09005BFC9E10}"/>
    <cellStyle name="20% - Accent4 4 2" xfId="3986" xr:uid="{C465E087-1A70-4590-A362-D0841EC68893}"/>
    <cellStyle name="20% - Accent4 4 2 2" xfId="3987" xr:uid="{AA5D9DA1-1CF5-4B44-B625-4CC1ED0A2210}"/>
    <cellStyle name="20% - Accent4 4 3" xfId="3988" xr:uid="{15A1E1FD-4BE6-428E-A67D-F274CC476980}"/>
    <cellStyle name="20% - Accent4 4 4" xfId="3989" xr:uid="{70031CC3-3241-4773-B356-FF59D0A2AEAD}"/>
    <cellStyle name="20% - Accent4 4 5" xfId="3990" xr:uid="{3F3BFF1F-CCED-4765-A9B4-66FC0883069F}"/>
    <cellStyle name="20% - Accent4 4_TSL SAP BA Amt Journal Aug 10" xfId="3991" xr:uid="{5751480B-06B8-4D60-9184-3A66C598D0E7}"/>
    <cellStyle name="20% - Accent4 5" xfId="3992" xr:uid="{E6C9F852-BFAE-47B1-BD88-7CA0B3F97C41}"/>
    <cellStyle name="20% - Accent4 5 2" xfId="3993" xr:uid="{B420BC00-C424-4218-B9E5-85D2BC4FB283}"/>
    <cellStyle name="20% - Accent4 5_VIEWCreditProv" xfId="3994" xr:uid="{C2C86170-DBE6-49C3-86FF-76F05367B32E}"/>
    <cellStyle name="20% - Accent4 6" xfId="3995" xr:uid="{51DE39BF-BFFC-434A-BB1E-C74A7CDA06AB}"/>
    <cellStyle name="20% - Accent4 6 2" xfId="3996" xr:uid="{783F255A-1D34-42BF-974D-B2E6C75677F3}"/>
    <cellStyle name="20% - Accent4 6 2 2" xfId="3997" xr:uid="{DB61B4BC-EA45-4E51-8685-502954926B58}"/>
    <cellStyle name="20% - Accent4 6 2 2 2" xfId="3998" xr:uid="{E42695EE-9857-48D6-A6D2-B793EA3CDD6B}"/>
    <cellStyle name="20% - Accent4 6 2 2 2 2" xfId="3999" xr:uid="{4A8AD6C9-89EE-401E-8007-812725E03FDC}"/>
    <cellStyle name="20% - Accent4 6 2 2 3" xfId="4000" xr:uid="{286060ED-F0ED-4B6D-B36E-F2284A48E988}"/>
    <cellStyle name="20% - Accent4 6 2 2 3 2" xfId="4001" xr:uid="{A4C388BB-A68D-4C15-9CC2-E9600DF8BB87}"/>
    <cellStyle name="20% - Accent4 6 2 2 4" xfId="4002" xr:uid="{A3071CCC-96E1-447D-81F6-9A5429BA516B}"/>
    <cellStyle name="20% - Accent4 6 2 3" xfId="4003" xr:uid="{2F1385BB-8255-43A9-B4A2-06A816986035}"/>
    <cellStyle name="20% - Accent4 6 2 3 2" xfId="4004" xr:uid="{37734E90-E52F-4499-BE04-04FA2CD4D222}"/>
    <cellStyle name="20% - Accent4 6 2 4" xfId="4005" xr:uid="{6DF07C46-BCFB-44A8-9D84-CAF7F4797E31}"/>
    <cellStyle name="20% - Accent4 6 2 4 2" xfId="4006" xr:uid="{358472D5-F2A0-4478-94A8-F142FAA5FE44}"/>
    <cellStyle name="20% - Accent4 6 2 5" xfId="4007" xr:uid="{36633E38-7B6D-4A49-B910-994EEC57BE0E}"/>
    <cellStyle name="20% - Accent4 6 3" xfId="4008" xr:uid="{2942C6CF-4FE8-4D1C-9ADA-8246BA3802DA}"/>
    <cellStyle name="20% - Accent4 6 3 2" xfId="4009" xr:uid="{DF211F5B-2B5E-4857-89AD-2B23AA6AA44D}"/>
    <cellStyle name="20% - Accent4 6 3 2 2" xfId="4010" xr:uid="{097D26B6-51FC-4ECA-9325-A99130EB5C9F}"/>
    <cellStyle name="20% - Accent4 6 3 3" xfId="4011" xr:uid="{5656ACCD-9251-491B-986C-67BC2A5EAE4C}"/>
    <cellStyle name="20% - Accent4 6 3 3 2" xfId="4012" xr:uid="{7CE525BB-1B03-409D-A562-A62F7C5FB74E}"/>
    <cellStyle name="20% - Accent4 6 3 4" xfId="4013" xr:uid="{3C9F1E1E-BECB-479C-8149-E99DB27E24B5}"/>
    <cellStyle name="20% - Accent4 6 4" xfId="4014" xr:uid="{470AC977-6663-4401-85E9-051EADB52B5D}"/>
    <cellStyle name="20% - Accent4 6 4 2" xfId="4015" xr:uid="{91607AEA-8275-4A9C-84FC-93A96D7A40FC}"/>
    <cellStyle name="20% - Accent4 6 5" xfId="4016" xr:uid="{11F64CB3-F31F-4AB2-9471-4A59C156604D}"/>
    <cellStyle name="20% - Accent4 6 6" xfId="4017" xr:uid="{F96989B9-6B66-4F1B-8367-234340F94084}"/>
    <cellStyle name="20% - Accent4 7" xfId="4018" xr:uid="{60B04EA4-1D97-4723-87E1-89DABBFB85C5}"/>
    <cellStyle name="20% - Accent4 7 2" xfId="4019" xr:uid="{43C5631E-349F-4A93-9326-153222C61B44}"/>
    <cellStyle name="20% - Accent4 7 2 2" xfId="4020" xr:uid="{43E14A4D-3386-4C60-901D-26B34115C41E}"/>
    <cellStyle name="20% - Accent4 7 2 2 2" xfId="4021" xr:uid="{53962680-1062-4767-96E1-31A148E5AF55}"/>
    <cellStyle name="20% - Accent4 7 2 2 2 2" xfId="4022" xr:uid="{0AD30628-1897-4E0E-98E7-F3100E0C3DD3}"/>
    <cellStyle name="20% - Accent4 7 2 2 3" xfId="4023" xr:uid="{EE6148D1-BBDB-4938-9260-B3EB3A669BC0}"/>
    <cellStyle name="20% - Accent4 7 2 2 3 2" xfId="4024" xr:uid="{4CCC29BB-29D4-4117-8FA0-5BD3E7318E95}"/>
    <cellStyle name="20% - Accent4 7 2 2 4" xfId="4025" xr:uid="{855D77A0-4F2F-4A6A-A376-275A053002A5}"/>
    <cellStyle name="20% - Accent4 7 2 3" xfId="4026" xr:uid="{2C98C25F-0ACA-43A4-B4C8-FE1687107F83}"/>
    <cellStyle name="20% - Accent4 7 2 3 2" xfId="4027" xr:uid="{84AE0F63-9AB4-4BC7-A73E-F35CDF9CFAD5}"/>
    <cellStyle name="20% - Accent4 7 2 4" xfId="4028" xr:uid="{20E05F57-6173-4DBF-88A4-7A56E3E2CA36}"/>
    <cellStyle name="20% - Accent4 7 2 4 2" xfId="4029" xr:uid="{5CC3BEE3-0641-4064-8311-CF36CC21317C}"/>
    <cellStyle name="20% - Accent4 7 2 5" xfId="4030" xr:uid="{084A5A80-DD37-4836-A5DE-C93134B0C28D}"/>
    <cellStyle name="20% - Accent4 7 3" xfId="4031" xr:uid="{CD1D9A35-31BB-4386-A356-95B11B52D0B8}"/>
    <cellStyle name="20% - Accent4 7 3 2" xfId="4032" xr:uid="{1504AAC8-20DC-4715-A913-4B58CEDB2273}"/>
    <cellStyle name="20% - Accent4 7 3 2 2" xfId="4033" xr:uid="{306F2BE9-A415-4BCD-B377-7A149A5606D7}"/>
    <cellStyle name="20% - Accent4 7 3 3" xfId="4034" xr:uid="{2D6DF0CA-DF45-43D1-8DB3-A718BC6C7A68}"/>
    <cellStyle name="20% - Accent4 7 3 3 2" xfId="4035" xr:uid="{2047F394-627A-489E-9496-E64BFCEBD38A}"/>
    <cellStyle name="20% - Accent4 7 3 4" xfId="4036" xr:uid="{689126E3-F329-4F91-A126-D9D1CF045CE4}"/>
    <cellStyle name="20% - Accent4 7 4" xfId="4037" xr:uid="{7F246619-6CC0-4772-AEE8-3D1DF95534F8}"/>
    <cellStyle name="20% - Accent4 7 4 2" xfId="4038" xr:uid="{DD5DF6C9-DC02-4780-A578-C2C1E71E6D59}"/>
    <cellStyle name="20% - Accent4 7 5 2" xfId="4039" xr:uid="{DDEFF7FC-F2CD-49C4-A8EB-2BAC27228917}"/>
    <cellStyle name="20% - Accent4 8" xfId="4040" xr:uid="{9D7CDB93-C4D7-44E7-B73F-A6A2A65297CE}"/>
    <cellStyle name="20% - Accent4 9" xfId="4041" xr:uid="{6B9195AD-3DA1-4BC4-87E0-5C95381462F9}"/>
    <cellStyle name="20% - Accent4 9 2" xfId="4042" xr:uid="{C9854933-BB8B-4298-AC2D-C49427EE4716}"/>
    <cellStyle name="20% - Accent5" xfId="41" builtinId="46" customBuiltin="1"/>
    <cellStyle name="20% - Accent5 10" xfId="4043" xr:uid="{98F09FBE-63C6-4AED-8082-C47A63C43A48}"/>
    <cellStyle name="20% - Accent5 10 2" xfId="4044" xr:uid="{A92BB5B8-1069-40C7-A388-036BAE9E724A}"/>
    <cellStyle name="20% - Accent5 11" xfId="4045" xr:uid="{75255395-C481-4830-A660-286BF2B04B9C}"/>
    <cellStyle name="20% - Accent5 12" xfId="4046" xr:uid="{09B53844-515F-44D9-9D29-6B91EB4F8A6B}"/>
    <cellStyle name="20% - Accent5 2" xfId="186" xr:uid="{640E0AB5-2E63-45A6-8E8D-439664CC4EEB}"/>
    <cellStyle name="20% - Accent5 2 2" xfId="187" xr:uid="{24174755-D1AE-45D1-ABCF-CDDEC14A7DDE}"/>
    <cellStyle name="20% - Accent5 2 2 2" xfId="188" xr:uid="{9BDE9861-8777-4C23-93F8-7FC1E507A0E6}"/>
    <cellStyle name="20% - Accent5 2 2 2 2" xfId="189" xr:uid="{231A8740-E1A7-4DBC-B673-63548D71AEDA}"/>
    <cellStyle name="20% - Accent5 2 2 2 3" xfId="4047" xr:uid="{1A0093F2-6BAD-47B3-81B9-D69E4DABD2C0}"/>
    <cellStyle name="20% - Accent5 2 3" xfId="190" xr:uid="{AF58551E-CC6E-4B27-AF2C-29387A84D846}"/>
    <cellStyle name="20% - Accent5 2 3 2" xfId="4048" xr:uid="{395741AA-FAA3-4F41-8488-4C3DDB7ECE1D}"/>
    <cellStyle name="20% - Accent5 2 3 3" xfId="4049" xr:uid="{155C77E5-88D1-4884-B2CD-A8A675629812}"/>
    <cellStyle name="20% - Accent5 2 4" xfId="191" xr:uid="{0EBCDFDF-EDE0-40C4-B526-502F3F59542F}"/>
    <cellStyle name="20% - Accent5 2 4 2" xfId="4050" xr:uid="{0ED3CB7E-88E6-4FB0-B0D1-1B3F99D274F0}"/>
    <cellStyle name="20% - Accent5 2 5" xfId="192" xr:uid="{B6EB4E26-7516-47C1-81A3-6272CC431B14}"/>
    <cellStyle name="20% - Accent5 2 5 2" xfId="193" xr:uid="{A8AD06D9-FC1D-44EA-814E-A9B03B420073}"/>
    <cellStyle name="20% - Accent5 2 5 2 2" xfId="4052" xr:uid="{FC10008B-B14C-4B25-9153-F56A656D51F3}"/>
    <cellStyle name="20% - Accent5 2 5 3" xfId="4051" xr:uid="{500603FF-F5EA-490E-910B-A56F767FF158}"/>
    <cellStyle name="20% - Accent5 2 6" xfId="194" xr:uid="{6EFCFD34-77DB-416F-AEBF-6F5F8620BFE4}"/>
    <cellStyle name="20% - Accent5 2 6 2" xfId="4054" xr:uid="{5871D475-64DA-4FD5-AE0D-DF59E379EF6D}"/>
    <cellStyle name="20% - Accent5 2 6 3" xfId="4053" xr:uid="{124787A8-1EF4-404D-9E11-1F03B2674F1E}"/>
    <cellStyle name="20% - Accent5 2 7" xfId="4055" xr:uid="{64CCB36B-F58F-45DE-8A30-1988703C4137}"/>
    <cellStyle name="20% - Accent5 2_VIEWCreditProv" xfId="4056" xr:uid="{B56E4ACE-08F0-4C9C-8903-8FB95E0AF2E3}"/>
    <cellStyle name="20% - Accent5 3" xfId="195" xr:uid="{0E317A88-FB8D-4D8C-8F6C-CD5B09C1862D}"/>
    <cellStyle name="20% - Accent5 3 2" xfId="196" xr:uid="{CA56A241-9CEE-44CA-9971-C3362F799CC1}"/>
    <cellStyle name="20% - Accent5 3 2 2" xfId="197" xr:uid="{990928DD-B3F0-4655-A968-F6BFED9400F1}"/>
    <cellStyle name="20% - Accent5 3 2 2 2" xfId="4058" xr:uid="{C254F593-6C0C-4A8C-94FA-B6B5AA5D4864}"/>
    <cellStyle name="20% - Accent5 3 2 3" xfId="4057" xr:uid="{112CFC6F-66D8-46F9-B660-77EE4D44701F}"/>
    <cellStyle name="20% - Accent5 3 3" xfId="4059" xr:uid="{48C6BA48-9BC8-40BF-8962-E193C792FC70}"/>
    <cellStyle name="20% - Accent5 3_VIEWCreditProv" xfId="4060" xr:uid="{69453A7E-CD6E-469A-B228-1DAFC3A7D8E2}"/>
    <cellStyle name="20% - Accent5 4" xfId="198" xr:uid="{8728FC3E-2353-4091-BCB2-B4BC41BB6BDE}"/>
    <cellStyle name="20% - Accent5 4 2" xfId="4061" xr:uid="{6801FF10-23BD-4323-A5A0-76D8322EA4FA}"/>
    <cellStyle name="20% - Accent5 4 2 2" xfId="4062" xr:uid="{3A6DB6D5-59BD-40E7-9BC6-6A005E2ECB27}"/>
    <cellStyle name="20% - Accent5 4 3" xfId="4063" xr:uid="{DE1C3567-6600-4440-8A19-9D41B6F81B8D}"/>
    <cellStyle name="20% - Accent5 4 4" xfId="4064" xr:uid="{1052A6B4-627E-4664-A62E-9D17F434F2C6}"/>
    <cellStyle name="20% - Accent5 4_VIEWCreditProv" xfId="4065" xr:uid="{6DF5CA4F-85D2-4179-9C24-47B3CDD49DF4}"/>
    <cellStyle name="20% - Accent5 5" xfId="4066" xr:uid="{1D86825D-B8F6-49FB-917C-5D483DA2A7FD}"/>
    <cellStyle name="20% - Accent5 5 2" xfId="4067" xr:uid="{F621AB11-C3EF-4319-93A9-54BDEFC689B3}"/>
    <cellStyle name="20% - Accent5 5_VIEWCreditProv" xfId="4068" xr:uid="{F62880AB-3703-451F-B686-B104DC13F674}"/>
    <cellStyle name="20% - Accent5 6" xfId="4069" xr:uid="{0D53F8B9-5E3F-44CE-B60D-4CB093DDF427}"/>
    <cellStyle name="20% - Accent5 6 2" xfId="4070" xr:uid="{87239C03-B132-4B57-9581-5E2C65527B66}"/>
    <cellStyle name="20% - Accent5 6 2 2" xfId="4071" xr:uid="{633CF3B2-89CE-4F85-925A-BEBD62A5E192}"/>
    <cellStyle name="20% - Accent5 6 2 2 2" xfId="4072" xr:uid="{7A9FABE4-94D7-4D64-B785-9502DB5C0C16}"/>
    <cellStyle name="20% - Accent5 6 2 2 2 2" xfId="4073" xr:uid="{5919DBE4-565F-4EDB-82C6-6BF64A721A95}"/>
    <cellStyle name="20% - Accent5 6 2 2 3" xfId="4074" xr:uid="{36F6ED5D-E40A-49F8-A7F7-AE6E4F0CA2B9}"/>
    <cellStyle name="20% - Accent5 6 2 2 3 2" xfId="4075" xr:uid="{C958C39E-1427-47BE-B9EE-6A506CE1048C}"/>
    <cellStyle name="20% - Accent5 6 2 2 4" xfId="4076" xr:uid="{6CFE04E9-B282-4995-AB3C-476CD9C2A129}"/>
    <cellStyle name="20% - Accent5 6 2 3" xfId="4077" xr:uid="{EF4AC709-0829-4348-BCBD-4BEACBA8CFB9}"/>
    <cellStyle name="20% - Accent5 6 2 3 2" xfId="4078" xr:uid="{5028FC18-63FD-4F9B-BFB3-E2D66C641DAC}"/>
    <cellStyle name="20% - Accent5 6 2 4" xfId="4079" xr:uid="{9283CDB0-A4F6-436F-BC0A-4A85C5AB365C}"/>
    <cellStyle name="20% - Accent5 6 2 4 2" xfId="4080" xr:uid="{E54CABD3-0EEA-4119-A701-508DC6EA7E0D}"/>
    <cellStyle name="20% - Accent5 6 2 5" xfId="4081" xr:uid="{496DF6EF-E0CE-4E8E-AD15-21C32E50E5F4}"/>
    <cellStyle name="20% - Accent5 6 3" xfId="4082" xr:uid="{E01617FE-D964-4F05-B37D-FB6E71A11C03}"/>
    <cellStyle name="20% - Accent5 6 3 2" xfId="4083" xr:uid="{4BCB11E7-D804-42DB-AB7C-C687E8814D9E}"/>
    <cellStyle name="20% - Accent5 6 3 4" xfId="4084" xr:uid="{E0A4501D-D0BD-4E4C-89C3-B491F6E0360F}"/>
    <cellStyle name="20% - Accent5 6 4" xfId="4085" xr:uid="{062FCCC1-35E6-4A4C-A8EF-4EA052A03CF2}"/>
    <cellStyle name="20% - Accent5 6 4 2" xfId="4086" xr:uid="{0ACE6DFF-151F-4371-A871-F96D4B5A0FC5}"/>
    <cellStyle name="20% - Accent5 6 5" xfId="4087" xr:uid="{EBD2232B-B330-46B2-85DF-39EDD753A9AA}"/>
    <cellStyle name="20% - Accent5 6 5 2" xfId="4088" xr:uid="{87483C92-CFC9-4E45-918B-3153435DF3FA}"/>
    <cellStyle name="20% - Accent5 6 6" xfId="4089" xr:uid="{CC0B3E8C-996E-44DB-943F-3188D092DD9E}"/>
    <cellStyle name="20% - Accent5 7" xfId="4090" xr:uid="{CB5AB7E2-66E6-4FE6-885A-F0D46641813B}"/>
    <cellStyle name="20% - Accent5 8" xfId="4091" xr:uid="{4800D84C-63B0-46A8-9E3E-E79EBD885D7E}"/>
    <cellStyle name="20% - Accent5 8 2" xfId="4092" xr:uid="{CADB15D2-AFAC-4B1B-BBAD-E992313E7C37}"/>
    <cellStyle name="20% - Accent5 9" xfId="4093" xr:uid="{09363FF0-7B8A-4081-9363-6F9A2F551984}"/>
    <cellStyle name="20% - Accent5 9 2" xfId="4094" xr:uid="{B0EEA6A2-B583-4ED3-894A-7E8B42F48A9D}"/>
    <cellStyle name="20% - Accent6" xfId="45" builtinId="50" customBuiltin="1"/>
    <cellStyle name="20% - Accent6 10" xfId="4095" xr:uid="{833578C4-B88D-4E71-B27D-E525A0057D94}"/>
    <cellStyle name="20% - Accent6 10 2" xfId="4096" xr:uid="{E86ECE51-D4E6-4E72-A89D-B5FD4A124411}"/>
    <cellStyle name="20% - Accent6 11" xfId="4097" xr:uid="{C83FCC14-8674-4591-B812-0AA07AF37D7B}"/>
    <cellStyle name="20% - Accent6 12" xfId="4098" xr:uid="{1F6F8366-57DA-45DE-9400-E8FCEF3F83F3}"/>
    <cellStyle name="20% - Accent6 2" xfId="199" xr:uid="{7E43379C-B881-4570-BC7E-A0795C2AAB76}"/>
    <cellStyle name="20% - Accent6 2 2" xfId="200" xr:uid="{CA2A5AA2-37F8-4527-AB9D-0EE6EEC0A93F}"/>
    <cellStyle name="20% - Accent6 2 2 2" xfId="201" xr:uid="{8F28B0BC-28E0-4998-B122-B3D7D90673A2}"/>
    <cellStyle name="20% - Accent6 2 2 2 2" xfId="202" xr:uid="{45FC3EB4-D101-453D-9A3B-F6A09026289D}"/>
    <cellStyle name="20% - Accent6 2 2 2 3" xfId="4099" xr:uid="{EB403514-93C7-4BC7-BEE6-4C4C6C3E6980}"/>
    <cellStyle name="20% - Accent6 2 2 3" xfId="4100" xr:uid="{DA46471E-15DA-4325-934F-02FC00A1257C}"/>
    <cellStyle name="20% - Accent6 2 2_Bonds" xfId="4101" xr:uid="{D9B967D4-D02A-47A8-A9F5-27C8456DFCA6}"/>
    <cellStyle name="20% - Accent6 2 3" xfId="203" xr:uid="{3508AF02-8941-4E3B-A27B-7D11A91ACB29}"/>
    <cellStyle name="20% - Accent6 2 3 2" xfId="4102" xr:uid="{4E29B96F-B239-4091-886C-69CEA3CCE03A}"/>
    <cellStyle name="20% - Accent6 2 3 3" xfId="4103" xr:uid="{F7DAE0B0-84C0-4B42-A60C-A5652A15D2FD}"/>
    <cellStyle name="20% - Accent6 2 4" xfId="204" xr:uid="{350D3769-0705-4B6A-A4FC-3C1A2BA2F5CB}"/>
    <cellStyle name="20% - Accent6 2 4 2" xfId="4104" xr:uid="{EB90F4F3-DAB1-486E-A4A5-4F8FC383DE37}"/>
    <cellStyle name="20% - Accent6 2 5" xfId="205" xr:uid="{5F881D1A-218E-406A-814D-E99AFD02842F}"/>
    <cellStyle name="20% - Accent6 2 5 2" xfId="206" xr:uid="{B0012B02-053E-4E80-9A95-18D92507EA3F}"/>
    <cellStyle name="20% - Accent6 2 5 2 2" xfId="4105" xr:uid="{C628C64E-C17D-48C4-B147-E063C33EA95C}"/>
    <cellStyle name="20% - Accent6 2 6" xfId="4106" xr:uid="{1E7CE69D-45C8-4E3A-9BA3-F115744415FD}"/>
    <cellStyle name="20% - Accent6 2 6 2" xfId="4107" xr:uid="{4F072E90-6924-4ACD-BB10-F5967ED6BAB5}"/>
    <cellStyle name="20% - Accent6 2 7" xfId="4108" xr:uid="{9A8167A1-BE31-48C8-BEF1-14B02729E39B}"/>
    <cellStyle name="20% - Accent6 2_VIEWCreditProv" xfId="4109" xr:uid="{6911BB1E-94E5-40B3-B759-3BABE24F006E}"/>
    <cellStyle name="20% - Accent6 3" xfId="207" xr:uid="{D37B6EF7-0CBC-4B31-9782-A04EBD514F08}"/>
    <cellStyle name="20% - Accent6 3 2" xfId="208" xr:uid="{7E803D0F-3771-46FB-A802-3D60F619E924}"/>
    <cellStyle name="20% - Accent6 3 2 2" xfId="209" xr:uid="{CDAA234E-AD51-40AD-B890-0B97C13E6231}"/>
    <cellStyle name="20% - Accent6 3 2 2 2" xfId="4111" xr:uid="{BBE4993E-429B-4192-9235-5C3E65A2439F}"/>
    <cellStyle name="20% - Accent6 3 2 3" xfId="4110" xr:uid="{4F189CB0-7380-4A1A-ADD7-3DF7D8F8C834}"/>
    <cellStyle name="20% - Accent6 3 3" xfId="4112" xr:uid="{7C996B76-46C4-4986-B2E0-2206807B3A81}"/>
    <cellStyle name="20% - Accent6 3 4" xfId="4113" xr:uid="{F24FE30E-EF32-489D-B297-12D437818627}"/>
    <cellStyle name="20% - Accent6 3_TSL SAP BA Amt Journal Aug 10" xfId="4114" xr:uid="{E3B8F693-455E-43E6-9870-416FCFAB31F3}"/>
    <cellStyle name="20% - Accent6 4" xfId="4115" xr:uid="{353CA05B-B645-4AF0-81EE-99C4089336D1}"/>
    <cellStyle name="20% - Accent6 4 2" xfId="4116" xr:uid="{7F674C60-F996-4BD7-9B5F-F58C5AEC33B0}"/>
    <cellStyle name="20% - Accent6 4 2 2" xfId="4117" xr:uid="{762810F1-7450-44E8-B5BB-A417DBC6E6EE}"/>
    <cellStyle name="20% - Accent6 4 3" xfId="4118" xr:uid="{C3CEEA6E-FA47-409E-A306-E49CC4420A82}"/>
    <cellStyle name="20% - Accent6 4 4" xfId="4119" xr:uid="{50A90553-32FB-45CB-A33C-F3AF2E9B18E0}"/>
    <cellStyle name="20% - Accent6 4 5" xfId="4120" xr:uid="{AB1034D6-64EE-4593-98CA-974BFABDBBF7}"/>
    <cellStyle name="20% - Accent6 4_TSL SAP BA Amt Journal Aug 10" xfId="4121" xr:uid="{97A3BDC1-B8D1-4AAA-9F62-989DF407E9FC}"/>
    <cellStyle name="20% - Accent6 5" xfId="4122" xr:uid="{7A21BD72-AE35-4FA9-B7B1-2B15563D6C30}"/>
    <cellStyle name="20% - Accent6 5 2" xfId="4123" xr:uid="{D3AF9D6F-3513-4DA4-BA9D-FC2D94A68ED7}"/>
    <cellStyle name="20% - Accent6 5_VIEWCreditProv" xfId="4124" xr:uid="{E2DDA9DA-5393-40E3-9BEA-44FA46A6F897}"/>
    <cellStyle name="20% - Accent6 6" xfId="4125" xr:uid="{2679ABC9-BB56-4DE1-B9C5-B567789AB726}"/>
    <cellStyle name="20% - Accent6 6 2" xfId="4126" xr:uid="{73FEC0BA-331B-4077-AA18-C56BD4A7524F}"/>
    <cellStyle name="20% - Accent6 6 2 2 3" xfId="4127" xr:uid="{AD438E52-D957-4E9D-9AB6-BB9EB4EC8046}"/>
    <cellStyle name="20% - Accent6 6 2 2 4" xfId="4128" xr:uid="{06F8E6FF-ABCC-4F9C-9F94-7A91DF1C0B18}"/>
    <cellStyle name="20% - Accent6 6 2 3" xfId="4129" xr:uid="{9BC7D54A-A5F2-482E-BAE8-9F46DF7ED2CD}"/>
    <cellStyle name="20% - Accent6 6 2 3 2" xfId="4130" xr:uid="{FF07D14E-BBAF-49D0-A5E5-9303DD1807CF}"/>
    <cellStyle name="20% - Accent6 6 2 4" xfId="4131" xr:uid="{0F771BC1-1169-4C6B-854B-DE607D267387}"/>
    <cellStyle name="20% - Accent6 6 2 4 2" xfId="4132" xr:uid="{C3E1A8FC-9B3E-41A3-A31C-8530BCC8A42F}"/>
    <cellStyle name="20% - Accent6 6 2 5" xfId="4133" xr:uid="{6F7A3ADF-AF7F-4434-9F9B-8718F55C8908}"/>
    <cellStyle name="20% - Accent6 6 3" xfId="4134" xr:uid="{B590C5A9-4BA1-4352-A8A0-44BEDD5EEF7D}"/>
    <cellStyle name="20% - Accent6 6 3 2" xfId="4135" xr:uid="{2A8B3889-FF1F-4198-A30A-665C319FD3B7}"/>
    <cellStyle name="20% - Accent6 6 3 2 2" xfId="4136" xr:uid="{CC352C94-B78E-4A1A-8E6D-E2F917352EED}"/>
    <cellStyle name="20% - Accent6 6 3 3" xfId="4137" xr:uid="{7BA825D0-8C90-4D66-864F-316A20B22FAD}"/>
    <cellStyle name="20% - Accent6 6 3 3 2" xfId="4138" xr:uid="{6F9B2C45-6853-4C61-A59C-8DD175023188}"/>
    <cellStyle name="20% - Accent6 6 3 4" xfId="4139" xr:uid="{F70EE2DB-82BA-4931-9688-A0BE41858671}"/>
    <cellStyle name="20% - Accent6 6 4" xfId="4140" xr:uid="{ECDE669F-1920-4EC2-BEC2-6B470C1D66A8}"/>
    <cellStyle name="20% - Accent6 6 4 2" xfId="4141" xr:uid="{33FFDBE7-4975-4E22-A010-BCE208E36FA5}"/>
    <cellStyle name="20% - Accent6 6 5" xfId="4142" xr:uid="{35A42B5C-FA4E-4DB1-B4B4-3CFF0C053142}"/>
    <cellStyle name="20% - Accent6 6 5 2" xfId="4143" xr:uid="{42225A42-1DA5-4645-AD31-BA440A761C6B}"/>
    <cellStyle name="20% - Accent6 6 6" xfId="4144" xr:uid="{3D8F2945-D7EC-4AE1-9B23-EEEB63AF82E7}"/>
    <cellStyle name="20% - Accent6 7" xfId="4145" xr:uid="{44E9654D-183D-4259-8568-7C3E638F9079}"/>
    <cellStyle name="20% - Accent6 7 2" xfId="4146" xr:uid="{EA4B6292-6FBD-4689-8678-CAC887E92A1D}"/>
    <cellStyle name="20% - Accent6 7 2 2" xfId="4147" xr:uid="{316F2B23-3311-4D47-8F2C-3445FD6458F2}"/>
    <cellStyle name="20% - Accent6 7 2 2 2" xfId="4148" xr:uid="{779CBCD5-7576-48D9-A3B5-85023A31E418}"/>
    <cellStyle name="20% - Accent6 7 2 2 2 2" xfId="4149" xr:uid="{BA4609CA-A2F0-4FC5-ADE3-98C52D4BF8FA}"/>
    <cellStyle name="20% - Accent6 7 2 2 3" xfId="4150" xr:uid="{B101549D-97D8-4CAE-B4F7-4C56D7D9FA63}"/>
    <cellStyle name="20% - Accent6 7 2 2 3 2" xfId="4151" xr:uid="{4FCF0F45-B4CB-4F29-943C-6B9DC69A11DD}"/>
    <cellStyle name="20% - Accent6 7 2 4" xfId="4152" xr:uid="{42C53A4E-67C8-4403-B6AA-5C81F3057DBA}"/>
    <cellStyle name="20% - Accent6 7 2 4 2" xfId="4153" xr:uid="{28008B8B-E3F4-4061-92DB-A8457C083A20}"/>
    <cellStyle name="20% - Accent6 7 2 5" xfId="4154" xr:uid="{EE8D13E8-1810-4427-A648-CE3B1728442D}"/>
    <cellStyle name="20% - Accent6 7 3" xfId="4155" xr:uid="{4B659AC1-40E2-45CB-ACF8-B687348D3AE0}"/>
    <cellStyle name="20% - Accent6 7 3 2" xfId="4156" xr:uid="{CA8692E8-5683-4166-A0FB-92EE6CE865C1}"/>
    <cellStyle name="20% - Accent6 7 3 2 2" xfId="4157" xr:uid="{DB3412A1-8E9C-4AD6-A925-E0ADCED090D4}"/>
    <cellStyle name="20% - Accent6 7 3 3" xfId="4158" xr:uid="{33AB433D-E86F-42C1-B63F-D948E7DBCD43}"/>
    <cellStyle name="20% - Accent6 7 3 3 2" xfId="4159" xr:uid="{1B814BBD-CEC6-44CF-9A0F-DCA6D7CA1776}"/>
    <cellStyle name="20% - Accent6 7 3 4" xfId="4160" xr:uid="{517FD30B-D83E-41FD-AFD2-2B71E940FC8E}"/>
    <cellStyle name="20% - Accent6 7 4" xfId="4161" xr:uid="{A363B3DB-3363-4314-A569-17A164B71BB1}"/>
    <cellStyle name="20% - Accent6 7 4 2" xfId="4162" xr:uid="{811992C0-3A6C-4469-8999-75C30AC6AE23}"/>
    <cellStyle name="20% - Accent6 7 5" xfId="4163" xr:uid="{C7BA3BC2-C99B-42E3-9570-2565899C18DD}"/>
    <cellStyle name="20% - Accent6 7 5 2" xfId="4164" xr:uid="{9FC2F1EC-1DF2-4593-AD3E-1E1A71657CF9}"/>
    <cellStyle name="20% - Accent6 7 6" xfId="4165" xr:uid="{CF941526-0DB8-4BAE-A1BE-DAC2982F3C34}"/>
    <cellStyle name="20% - Accent6 8" xfId="4166" xr:uid="{AF06BAF2-B7B0-4651-9DC9-A54356DE2319}"/>
    <cellStyle name="20% - Accent6 9" xfId="4167" xr:uid="{AF087FD0-22ED-4AEE-8C33-1756D02DF392}"/>
    <cellStyle name="20% - Accent6 9 2" xfId="4168" xr:uid="{8E68164E-1A4F-4692-AF2B-88F316156FBC}"/>
    <cellStyle name="20% - 輔色1" xfId="210" xr:uid="{C080C375-A389-40B6-B4BA-D097C32584B7}"/>
    <cellStyle name="20% - 輔色2" xfId="211" xr:uid="{1A33C0A3-FE13-45F7-92A7-4A4E8DFA97B3}"/>
    <cellStyle name="20% - 輔色3" xfId="212" xr:uid="{0677995C-F750-4841-8627-B2185A41FD43}"/>
    <cellStyle name="20% - 輔色4" xfId="213" xr:uid="{435BC00D-BD4D-4CF4-AC2B-7E55AC6A0FFD}"/>
    <cellStyle name="20% - 輔色5" xfId="214" xr:uid="{0E791215-61A6-4D01-8D97-E1908A6C0DAE}"/>
    <cellStyle name="20% - 輔色6" xfId="215" xr:uid="{CBCD206F-176F-4337-8672-1125943ADBE6}"/>
    <cellStyle name="2DP" xfId="4169" xr:uid="{6DC6465A-5F11-4DF8-9F35-D32A45556EA9}"/>
    <cellStyle name="2DP 2" xfId="4170" xr:uid="{A8DF2F08-FAA5-41AC-82EC-BC9EE231B26A}"/>
    <cellStyle name="2DP_INPUTS- FX, CAR, RWA &amp; Equity" xfId="4171" xr:uid="{0EA55BD5-41E6-4822-ACAC-85C989ED6189}"/>
    <cellStyle name="40% - Accent1" xfId="26" builtinId="31" customBuiltin="1"/>
    <cellStyle name="40% - Accent1 10" xfId="4172" xr:uid="{14B0873B-F111-40B7-9A31-D08D12695F36}"/>
    <cellStyle name="40% - Accent1 10 2" xfId="4173" xr:uid="{59C5C8E3-99FF-4ED6-BD43-7F20FA7A7B16}"/>
    <cellStyle name="40% - Accent1 11" xfId="4174" xr:uid="{DFEE815C-256C-46A2-A767-42FB6355ED99}"/>
    <cellStyle name="40% - Accent1 2" xfId="216" xr:uid="{4584214D-BF39-4E14-B9E2-CD6A7F19BB4F}"/>
    <cellStyle name="40% - Accent1 2 2" xfId="217" xr:uid="{0166C952-B1D5-4CBB-A7CA-F002848C0310}"/>
    <cellStyle name="40% - Accent1 2 2 2" xfId="218" xr:uid="{9D990253-1576-4DF0-889E-B2D7BC291BF6}"/>
    <cellStyle name="40% - Accent1 2 2 2 2" xfId="219" xr:uid="{6E70B956-3302-4155-9D33-3F7E7589511F}"/>
    <cellStyle name="40% - Accent1 2 2 2 3" xfId="4175" xr:uid="{C322A396-E249-44AF-B4F0-91CCDD9B503A}"/>
    <cellStyle name="40% - Accent1 2 2 3" xfId="4176" xr:uid="{19A1BED2-7375-47B7-B151-20F7CDF0C113}"/>
    <cellStyle name="40% - Accent1 2 2_Bonds" xfId="4177" xr:uid="{133BB8DD-4F42-4DE6-B38A-5B934B84C3A1}"/>
    <cellStyle name="40% - Accent1 2 3" xfId="220" xr:uid="{A85A761F-3579-4A0D-98A0-D2EADAEFDA16}"/>
    <cellStyle name="40% - Accent1 2 3 2" xfId="4178" xr:uid="{1CA87C28-9A1A-4614-BA44-E252897302E8}"/>
    <cellStyle name="40% - Accent1 2 3 3" xfId="4179" xr:uid="{8C8DA961-F5B4-46D9-8FF1-384312B338AE}"/>
    <cellStyle name="40% - Accent1 2 4" xfId="221" xr:uid="{47AD78B3-B5B5-406D-818D-F02582D03FE1}"/>
    <cellStyle name="40% - Accent1 2 4 2" xfId="4180" xr:uid="{EFE76A7E-600A-4018-9838-7FE17BEB47F0}"/>
    <cellStyle name="40% - Accent1 2 5" xfId="222" xr:uid="{74BDC242-CA39-4547-8EE4-4F02DDD10467}"/>
    <cellStyle name="40% - Accent1 2 5 2" xfId="223" xr:uid="{A7885E06-5082-49F0-B018-2BB50EC27063}"/>
    <cellStyle name="40% - Accent1 2 5 2 2" xfId="4182" xr:uid="{71364BE3-2FE1-4F10-8D00-134D78842C62}"/>
    <cellStyle name="40% - Accent1 2 5 3" xfId="4181" xr:uid="{58C91B0C-FAAE-41E1-8141-863E724D3F39}"/>
    <cellStyle name="40% - Accent1 2 6" xfId="224" xr:uid="{0A402ED1-77CA-4B35-8AE4-137E65D2CDF7}"/>
    <cellStyle name="40% - Accent1 2 6 2" xfId="4184" xr:uid="{D2A9C679-7FFB-4212-97B6-18368064F87A}"/>
    <cellStyle name="40% - Accent1 2 6 3" xfId="4183" xr:uid="{6AA178CF-7242-4AB2-A64C-5854A76BF5D4}"/>
    <cellStyle name="40% - Accent1 2 7" xfId="4185" xr:uid="{049092D0-7886-40B3-9545-106789DFF370}"/>
    <cellStyle name="40% - Accent1 2_VIEWCreditProv" xfId="4186" xr:uid="{DCD2FA26-F88B-4F9D-A744-279CB5CA9393}"/>
    <cellStyle name="40% - Accent1 3" xfId="225" xr:uid="{05C03CD9-3BAC-45A8-98DE-F8988BD32231}"/>
    <cellStyle name="40% - Accent1 3 2" xfId="226" xr:uid="{062E2165-B601-449B-ABA7-B2DB884E1D0D}"/>
    <cellStyle name="40% - Accent1 3 2 2" xfId="227" xr:uid="{D283E364-3A54-4E04-96CE-298D3AC7600A}"/>
    <cellStyle name="40% - Accent1 3 2 2 2" xfId="4188" xr:uid="{49A94D92-FD8D-4571-898F-17C6114FED0A}"/>
    <cellStyle name="40% - Accent1 3 2 3" xfId="4187" xr:uid="{B3859B95-4FE0-4F64-8272-181C0DB4FBCB}"/>
    <cellStyle name="40% - Accent1 3 3" xfId="4189" xr:uid="{82D9E7D7-65AB-41AB-878D-E6969A0C871F}"/>
    <cellStyle name="40% - Accent1 3 4" xfId="4190" xr:uid="{C83F3F6B-FCA5-40E6-A56A-3CCDF75C6007}"/>
    <cellStyle name="40% - Accent1 3_TSL SAP BA Amt Journal Aug 10" xfId="4191" xr:uid="{7D0BA421-568F-4A0A-9D09-8FFB028CD143}"/>
    <cellStyle name="40% - Accent1 4" xfId="228" xr:uid="{CAC200CC-1E11-42B8-A7CA-9E27F51E2461}"/>
    <cellStyle name="40% - Accent1 4 2" xfId="4192" xr:uid="{C9A500FD-7683-4140-923E-1B9F3BC013D8}"/>
    <cellStyle name="40% - Accent1 4 2 2" xfId="4193" xr:uid="{77472ADE-0C0F-4BA1-8920-5B8EF9DB53AB}"/>
    <cellStyle name="40% - Accent1 4 5" xfId="4194" xr:uid="{0C6F9613-1655-4573-ACCF-97C222D56523}"/>
    <cellStyle name="40% - Accent1 5" xfId="4195" xr:uid="{FD3168A9-61ED-4222-BBE9-209033C56A13}"/>
    <cellStyle name="40% - Accent1 5 2" xfId="4196" xr:uid="{07F528AC-7BE2-4131-BB6A-3ADD6E71C235}"/>
    <cellStyle name="40% - Accent1 5_VIEWCreditProv" xfId="4197" xr:uid="{595ED16A-5632-4F88-A457-5155091581A5}"/>
    <cellStyle name="40% - Accent1 6" xfId="4198" xr:uid="{3779584A-F563-4980-BC8C-6A893C0DCC1F}"/>
    <cellStyle name="40% - Accent1 6 2" xfId="4199" xr:uid="{BA709794-D800-443D-A79D-E51AA06F363D}"/>
    <cellStyle name="40% - Accent1 6 2 2" xfId="4200" xr:uid="{0598711C-B155-4212-93DF-70BB3BFDDB86}"/>
    <cellStyle name="40% - Accent1 6 2 2 2" xfId="4201" xr:uid="{30536D15-8FE6-46E2-983A-D63721C02AE7}"/>
    <cellStyle name="40% - Accent1 6 2 2 2 2" xfId="4202" xr:uid="{2D319611-A0DA-4D48-A281-8E4AE0C249F3}"/>
    <cellStyle name="40% - Accent1 6 2 2 3" xfId="4203" xr:uid="{3B6843C3-8DBB-4F97-8184-80FC8C5E7C37}"/>
    <cellStyle name="40% - Accent1 6 2 2 3 2" xfId="4204" xr:uid="{82DE56CF-5B75-4471-9DC8-6C7216A21ADC}"/>
    <cellStyle name="40% - Accent1 6 2 2 4" xfId="4205" xr:uid="{6C97CF2A-5829-477C-A3AE-C55EC89484FF}"/>
    <cellStyle name="40% - Accent1 6 2 3" xfId="4206" xr:uid="{E951E609-6873-4BAA-BE5C-6C7C6758656C}"/>
    <cellStyle name="40% - Accent1 6 2 3 2" xfId="4207" xr:uid="{71A2FF0D-D299-446D-A8CB-12D2A2E22BCA}"/>
    <cellStyle name="40% - Accent1 6 2 4" xfId="4208" xr:uid="{7D367508-9102-4F4D-B090-6E5F42B33D5D}"/>
    <cellStyle name="40% - Accent1 6 2 4 2" xfId="4209" xr:uid="{AEFE5A3E-785B-43C4-9A1C-4CB982606DC9}"/>
    <cellStyle name="40% - Accent1 6 2 5" xfId="4210" xr:uid="{E30A2420-5435-4142-BA7A-EE1F3C51C6E8}"/>
    <cellStyle name="40% - Accent1 6 3" xfId="4211" xr:uid="{05B4F12C-ED24-49BF-8434-3171D60362CC}"/>
    <cellStyle name="40% - Accent1 6 3 2" xfId="4212" xr:uid="{13F95697-3228-4BDE-B86B-E6F8BF9D046C}"/>
    <cellStyle name="40% - Accent1 6 3 2 2" xfId="4213" xr:uid="{2125DC69-0BAC-4EB2-BD4A-3AE3F7F04805}"/>
    <cellStyle name="40% - Accent1 6 3 3" xfId="4214" xr:uid="{838351AB-44AB-4477-870E-C9462CCBBC2B}"/>
    <cellStyle name="40% - Accent1 6 3 4" xfId="4215" xr:uid="{4F521DAF-CFED-4422-B938-EEA1CD96C2BC}"/>
    <cellStyle name="40% - Accent1 6 4 2" xfId="4216" xr:uid="{832AFBBC-4A56-404B-9694-897E0BF0AC6F}"/>
    <cellStyle name="40% - Accent1 6 5" xfId="4217" xr:uid="{894A7509-39FD-4233-80DB-D4985CC0DFBB}"/>
    <cellStyle name="40% - Accent1 6 5 2" xfId="4218" xr:uid="{DA524814-9783-402C-AB3B-6630EE5FDB93}"/>
    <cellStyle name="40% - Accent1 6 6" xfId="4219" xr:uid="{DAA30CC5-7213-4CD6-8AEB-2B82E438DF4B}"/>
    <cellStyle name="40% - Accent1 7" xfId="4220" xr:uid="{A6C623F9-0A9B-442D-BE84-024965B18771}"/>
    <cellStyle name="40% - Accent1 7 2" xfId="4221" xr:uid="{7E864552-D1BE-4B0B-AAEA-EEFC0A1C04A8}"/>
    <cellStyle name="40% - Accent1 7 2 2" xfId="4222" xr:uid="{40BE2B58-4440-4227-8A6D-754B7F28C52D}"/>
    <cellStyle name="40% - Accent1 7 2 2 2" xfId="4223" xr:uid="{E1F4C796-997F-4B80-A9F6-C06FD750F620}"/>
    <cellStyle name="40% - Accent1 7 2 2 2 2" xfId="4224" xr:uid="{E28BB1CE-0A3B-45D7-BDE0-4BA972169CD0}"/>
    <cellStyle name="40% - Accent1 7 2 2 3" xfId="4225" xr:uid="{1B1D1AB3-16CF-4DE2-BDEF-7D48C7B67879}"/>
    <cellStyle name="40% - Accent1 7 2 2 3 2" xfId="4226" xr:uid="{302E1E5B-E861-47EF-B098-95E7A1515A5A}"/>
    <cellStyle name="40% - Accent1 7 2 2 4" xfId="4227" xr:uid="{BD3BAA0B-1FB5-47BC-BEF8-510C3C4F1910}"/>
    <cellStyle name="40% - Accent1 7 2 3" xfId="4228" xr:uid="{4B3B44FB-CF54-4829-B4E7-7236A5EF117A}"/>
    <cellStyle name="40% - Accent1 7 2 3 2" xfId="4229" xr:uid="{0FD0AFBC-8C0C-4CCF-BEEE-6BBE2B917418}"/>
    <cellStyle name="40% - Accent1 7 2 4" xfId="4230" xr:uid="{9137C79D-36ED-4685-A129-4E4F14EC9871}"/>
    <cellStyle name="40% - Accent1 7 2 4 2" xfId="4231" xr:uid="{48954BE7-620A-475D-90C6-0F5545B3B6B1}"/>
    <cellStyle name="40% - Accent1 7 2 5" xfId="4232" xr:uid="{3CC12B70-72B5-4ACB-AE48-128A12080B24}"/>
    <cellStyle name="40% - Accent1 7 3" xfId="4233" xr:uid="{3B227E2C-2E99-425F-A1B2-36E09F58AC00}"/>
    <cellStyle name="40% - Accent1 7 3 2" xfId="4234" xr:uid="{A83E20FF-FADC-4961-9365-8F5B0D8F66F8}"/>
    <cellStyle name="40% - Accent1 7 3 2 2" xfId="4235" xr:uid="{028AF0A5-9D49-465B-BEFF-0EAB2E26424A}"/>
    <cellStyle name="40% - Accent1 7 3 3" xfId="4236" xr:uid="{28D13556-62BF-4E22-BD24-D6F3641434F8}"/>
    <cellStyle name="40% - Accent1 7 3 3 2" xfId="4237" xr:uid="{6DB2BFF2-EAD6-4B2D-9933-E91FEA13C83F}"/>
    <cellStyle name="40% - Accent1 7 3 4" xfId="4238" xr:uid="{3993BB44-B233-4888-8371-4DEB2BA3434B}"/>
    <cellStyle name="40% - Accent1 7 4" xfId="4239" xr:uid="{221F72C5-AB99-4563-BCBA-966475A50C95}"/>
    <cellStyle name="40% - Accent1 7 4 2" xfId="4240" xr:uid="{5107B043-7D82-43B2-B44B-FB9F0497C0A8}"/>
    <cellStyle name="40% - Accent1 7 5" xfId="4241" xr:uid="{C3D6A9DF-6D5B-4FB3-B636-B070E20DB0EF}"/>
    <cellStyle name="40% - Accent1 7 5 2" xfId="4242" xr:uid="{7578AD13-21CC-4F53-BB81-42FE5B25F70F}"/>
    <cellStyle name="40% - Accent1 8" xfId="4243" xr:uid="{2B9D48EF-97CC-4480-A06E-428E1CD02CBB}"/>
    <cellStyle name="40% - Accent1 9" xfId="4244" xr:uid="{63F41036-22FA-4801-9822-D3710CA49E8F}"/>
    <cellStyle name="40% - Accent2" xfId="30" builtinId="35" customBuiltin="1"/>
    <cellStyle name="40% - Accent2 10" xfId="4245" xr:uid="{A85E94D7-D958-44C9-930C-36E76B8AEDD1}"/>
    <cellStyle name="40% - Accent2 10 2" xfId="4246" xr:uid="{0205906A-7F63-480F-AEFE-507AACD50C6D}"/>
    <cellStyle name="40% - Accent2 2" xfId="229" xr:uid="{7D98A9BB-7D55-4135-A114-26248FF75459}"/>
    <cellStyle name="40% - Accent2 2 2" xfId="230" xr:uid="{95555529-7873-4D19-A557-E98F4B508056}"/>
    <cellStyle name="40% - Accent2 2 2 2" xfId="231" xr:uid="{ACA1B681-55F0-491D-B1B7-D61364D77D08}"/>
    <cellStyle name="40% - Accent2 2 2 2 2" xfId="232" xr:uid="{D10AAAC8-1300-49C1-96A5-9CFC263363E2}"/>
    <cellStyle name="40% - Accent2 2 2 2 3" xfId="4247" xr:uid="{399559A6-18EB-45DB-96BB-EF46CB0521B6}"/>
    <cellStyle name="40% - Accent2 2 3" xfId="233" xr:uid="{7D97F989-ED6C-4CBA-BFE5-1EF6DC45F856}"/>
    <cellStyle name="40% - Accent2 2 3 2" xfId="4248" xr:uid="{5442B6CC-11F7-4366-BB15-6FBBE0BC3AA3}"/>
    <cellStyle name="40% - Accent2 2 3 3" xfId="4249" xr:uid="{47B00662-B026-4948-8C03-A906C00A825A}"/>
    <cellStyle name="40% - Accent2 2 4" xfId="234" xr:uid="{022D4763-599F-48EE-AE17-541744114632}"/>
    <cellStyle name="40% - Accent2 2 4 2" xfId="4250" xr:uid="{B8E6C483-2E54-4763-A0E5-4CB1F756868C}"/>
    <cellStyle name="40% - Accent2 2 5" xfId="235" xr:uid="{AFA4F197-C81C-47C8-B7D4-38FACDCC05F1}"/>
    <cellStyle name="40% - Accent2 2 5 2" xfId="236" xr:uid="{2A063322-3B16-40FF-B357-85EB8B7B1FF1}"/>
    <cellStyle name="40% - Accent2 2 5 2 2" xfId="4252" xr:uid="{35ED1A78-7521-4CD5-B9D6-E0318ADE97E2}"/>
    <cellStyle name="40% - Accent2 2 5 3" xfId="4251" xr:uid="{57726DC7-28ED-4DB9-930F-3D5EE14A6E96}"/>
    <cellStyle name="40% - Accent2 2 6" xfId="237" xr:uid="{6E192D69-E30B-4C6B-886E-90385E7EB4E7}"/>
    <cellStyle name="40% - Accent2 2 6 2" xfId="4254" xr:uid="{9EEAEFB4-4E00-43AC-8609-49C66EDDDE84}"/>
    <cellStyle name="40% - Accent2 2 6 3" xfId="4253" xr:uid="{5FE9F77A-9938-426A-A089-4B0CE5851BED}"/>
    <cellStyle name="40% - Accent2 2 7" xfId="4255" xr:uid="{71BC79F9-C87E-4538-B809-36C26E726C19}"/>
    <cellStyle name="40% - Accent2 2_VIEWCreditProv" xfId="4256" xr:uid="{BD563934-586D-47F5-907A-FBF07DB2BB8F}"/>
    <cellStyle name="40% - Accent2 3" xfId="238" xr:uid="{ADD51F6C-B721-4536-925B-13987AA70CFE}"/>
    <cellStyle name="40% - Accent2 3 2" xfId="239" xr:uid="{015C4F4A-F897-400F-B1F9-32442F761D35}"/>
    <cellStyle name="40% - Accent2 3 2 2" xfId="240" xr:uid="{A5928C70-3116-4C32-BA91-239626D6F26B}"/>
    <cellStyle name="40% - Accent2 3 2 2 2" xfId="4257" xr:uid="{073C7711-7E79-4452-A618-3FB75D6F5FAC}"/>
    <cellStyle name="40% - Accent2 3 3" xfId="4258" xr:uid="{339111DD-8D9D-4FC3-B840-D4AE1991ED0E}"/>
    <cellStyle name="40% - Accent2 3_VIEWCreditProv" xfId="4259" xr:uid="{0E7B9422-C4C7-44DE-BABE-29DCA63E5E72}"/>
    <cellStyle name="40% - Accent2 4" xfId="241" xr:uid="{08F03A56-ED0D-491C-B699-FD7A21E04753}"/>
    <cellStyle name="40% - Accent2 4 2" xfId="4260" xr:uid="{9639C235-3E0D-4D44-ABFA-39593683F1F4}"/>
    <cellStyle name="40% - Accent2 4 3" xfId="4261" xr:uid="{2004D417-6532-4DC9-B9EB-62F4C17F673A}"/>
    <cellStyle name="40% - Accent2 4_VIEWCreditProv" xfId="4262" xr:uid="{4722E7F0-BE2C-49FD-B73A-130D9FD44C1E}"/>
    <cellStyle name="40% - Accent2 5" xfId="4263" xr:uid="{3181B4E6-2C7D-44B1-9121-72F7F8914A45}"/>
    <cellStyle name="40% - Accent2 5 2" xfId="4264" xr:uid="{3351E8D1-9F41-4705-9500-95CE8A6ED9D6}"/>
    <cellStyle name="40% - Accent2 5_VIEWCreditProv" xfId="4265" xr:uid="{9D85D47A-0AF8-4191-B02D-FA107AF7F897}"/>
    <cellStyle name="40% - Accent2 6" xfId="4266" xr:uid="{9BAE64F4-0131-4B74-A7F8-AC259849CB23}"/>
    <cellStyle name="40% - Accent2 6 2" xfId="4267" xr:uid="{7F82AD82-D7BC-4092-A657-213750713E32}"/>
    <cellStyle name="40% - Accent2 6 2 2" xfId="4268" xr:uid="{17315FC9-60A9-4D4C-B3D3-67A9F3A43665}"/>
    <cellStyle name="40% - Accent2 6 2 2 2" xfId="4269" xr:uid="{8E5C06EC-839E-4FC5-9A42-BDBAB9F64DF8}"/>
    <cellStyle name="40% - Accent2 6 2 2 2 2" xfId="4270" xr:uid="{3F9227DA-031A-4E65-8967-2C759536D472}"/>
    <cellStyle name="40% - Accent2 6 2 2 3" xfId="4271" xr:uid="{0B74AFB7-931F-4ECB-9A91-59587F07A81F}"/>
    <cellStyle name="40% - Accent2 6 2 2 3 2" xfId="4272" xr:uid="{24F609F0-CED1-40B2-9441-E850CCF7D669}"/>
    <cellStyle name="40% - Accent2 6 2 2 4" xfId="4273" xr:uid="{2E1B56AA-44C1-4922-95B7-9B1D82D9737B}"/>
    <cellStyle name="40% - Accent2 6 2 3" xfId="4274" xr:uid="{CE487953-A0B8-4A16-AF12-313FEE50602D}"/>
    <cellStyle name="40% - Accent2 6 2 3 2" xfId="4275" xr:uid="{36A5F0B7-F9F5-4325-B9C4-7136B1B95578}"/>
    <cellStyle name="40% - Accent2 6 2 4" xfId="4276" xr:uid="{212261A8-013D-45EF-B81A-7651C3B4B546}"/>
    <cellStyle name="40% - Accent2 6 2 4 2" xfId="4277" xr:uid="{3209B50C-A077-4A11-9C01-384A53979BC4}"/>
    <cellStyle name="40% - Accent2 6 2 5" xfId="4278" xr:uid="{BE723D39-7D4E-4338-A63C-8616E46A8C9C}"/>
    <cellStyle name="40% - Accent2 6 3" xfId="4279" xr:uid="{AB3475D2-1070-4FC0-970A-BE475E1B020F}"/>
    <cellStyle name="40% - Accent2 6 3 2" xfId="4280" xr:uid="{1BE262AD-6CF0-4936-A212-E939440A2EDD}"/>
    <cellStyle name="40% - Accent2 6 3 2 2" xfId="4281" xr:uid="{A09E3558-B2AD-46D8-A58E-1F6E4F761D06}"/>
    <cellStyle name="40% - Accent2 6 3 3" xfId="4282" xr:uid="{5E0EF8C6-47A5-4B56-A5B7-D304972114F3}"/>
    <cellStyle name="40% - Accent2 6 3 3 2" xfId="4283" xr:uid="{8F1978BC-C893-4A8B-AC60-6B6EDA2B0F67}"/>
    <cellStyle name="40% - Accent2 6 3 4" xfId="4284" xr:uid="{A6567F2F-3D69-44C4-9906-D19A9A447C76}"/>
    <cellStyle name="40% - Accent2 6 5" xfId="4285" xr:uid="{16457F51-0DBB-4222-8DA8-7F27859F6CB3}"/>
    <cellStyle name="40% - Accent2 6 5 2" xfId="4286" xr:uid="{8ECE84EF-AC93-4EFF-AA5A-E1892EC489A2}"/>
    <cellStyle name="40% - Accent2 6 6" xfId="4287" xr:uid="{580967AD-0B62-4DCC-A870-27AEEAFE5769}"/>
    <cellStyle name="40% - Accent2 7" xfId="4288" xr:uid="{8B5061A5-DF7D-4F4C-BF86-DD38AA845A10}"/>
    <cellStyle name="40% - Accent2 8 2" xfId="4289" xr:uid="{701F56DD-7449-4E5B-9F0C-D4AB7B9F5739}"/>
    <cellStyle name="40% - Accent2 9" xfId="4290" xr:uid="{B3F59B85-CB7D-4412-8E94-8007FD1ECE1C}"/>
    <cellStyle name="40% - Accent2 9 2" xfId="4291" xr:uid="{4A873345-EF76-45C3-B61D-8C922CEC363A}"/>
    <cellStyle name="40% - Accent3" xfId="34" builtinId="39" customBuiltin="1"/>
    <cellStyle name="40% - Accent3 10" xfId="4292" xr:uid="{35209C6A-E77D-4DDF-9E36-07000EBE6A3C}"/>
    <cellStyle name="40% - Accent3 10 2" xfId="4293" xr:uid="{6AD98A0A-D882-4733-960C-C1EE6981FE40}"/>
    <cellStyle name="40% - Accent3 11" xfId="4294" xr:uid="{E0224250-9573-42F1-BE47-47DEE46A8CAD}"/>
    <cellStyle name="40% - Accent3 2" xfId="242" xr:uid="{DC209A63-665A-40E6-8D97-7AE747A65BD0}"/>
    <cellStyle name="40% - Accent3 2 2" xfId="243" xr:uid="{3BBB3C33-DF90-4E49-876C-4410E17E7553}"/>
    <cellStyle name="40% - Accent3 2 2 2" xfId="244" xr:uid="{B2B48233-82DA-4AB9-919F-245FCB19EB46}"/>
    <cellStyle name="40% - Accent3 2 2 2 2" xfId="245" xr:uid="{8F64B0D0-274C-45F9-ACA6-6DB7523B6446}"/>
    <cellStyle name="40% - Accent3 2 2 2 3" xfId="4295" xr:uid="{D4355B0D-8121-4BE1-9BBF-EDFE34BC986E}"/>
    <cellStyle name="40% - Accent3 2 2 3" xfId="4296" xr:uid="{E8A23CF5-9142-4D25-AE59-4E8356DF806A}"/>
    <cellStyle name="40% - Accent3 2 2_Bonds" xfId="4297" xr:uid="{032782A5-0054-48C8-90AD-1524E6490466}"/>
    <cellStyle name="40% - Accent3 2 3" xfId="246" xr:uid="{0E226C63-0DF4-4432-ADD3-5A63220B9434}"/>
    <cellStyle name="40% - Accent3 2 3 2" xfId="4298" xr:uid="{80EE600A-BE86-4603-9C5D-33838489FABF}"/>
    <cellStyle name="40% - Accent3 2 3 3" xfId="4299" xr:uid="{4573404C-80F6-4599-9A1E-91653801FE76}"/>
    <cellStyle name="40% - Accent3 2 4" xfId="247" xr:uid="{0ABD2A8B-400F-4D7E-99B9-13F558AEEA9D}"/>
    <cellStyle name="40% - Accent3 2 4 2" xfId="4300" xr:uid="{359AD25B-BF24-4016-ADBD-23FC72189F45}"/>
    <cellStyle name="40% - Accent3 2 5" xfId="248" xr:uid="{20BEB553-D1EE-4B8A-8772-3A0A7BF9B898}"/>
    <cellStyle name="40% - Accent3 2 5 2" xfId="249" xr:uid="{86778C5E-D35C-4FA9-A82D-00DC9C2A70F6}"/>
    <cellStyle name="40% - Accent3 2 6" xfId="250" xr:uid="{D52469A9-E9B7-4ECD-B1F5-156D6D9ABC9B}"/>
    <cellStyle name="40% - Accent3 2 6 2" xfId="4301" xr:uid="{C8ABD8AD-94C7-42A7-A39D-AAC52A4A94A2}"/>
    <cellStyle name="40% - Accent3 2 7" xfId="4302" xr:uid="{5F352F02-CAD0-474A-B4E8-926BD6A00B97}"/>
    <cellStyle name="40% - Accent3 2_VIEWCreditProv" xfId="4303" xr:uid="{7A6D562B-B130-4F14-9CD2-89B5D5E6B284}"/>
    <cellStyle name="40% - Accent3 3" xfId="251" xr:uid="{C3DFF2F0-0B35-4605-94AC-A35E21E79C21}"/>
    <cellStyle name="40% - Accent3 3 2" xfId="252" xr:uid="{1DFEBBB1-A1D9-45DB-A3FD-F9D378A5C5C6}"/>
    <cellStyle name="40% - Accent3 3 2 2" xfId="253" xr:uid="{7EDA5B01-B922-4450-844C-5A362655C932}"/>
    <cellStyle name="40% - Accent3 3 2 2 2" xfId="4304" xr:uid="{B8E6F60B-C648-4089-B550-663C9BC2CBAE}"/>
    <cellStyle name="40% - Accent3 3 3" xfId="4305" xr:uid="{3A76F14D-82A1-4E04-90E1-21E82C42ECAE}"/>
    <cellStyle name="40% - Accent3 3 4" xfId="4306" xr:uid="{86F5EC74-3E5D-4E0F-9E9D-C6463711D3BD}"/>
    <cellStyle name="40% - Accent3 3_TSL SAP BA Amt Journal Aug 10" xfId="4307" xr:uid="{636411B5-14BB-4A3B-8254-07879778F944}"/>
    <cellStyle name="40% - Accent3 4" xfId="254" xr:uid="{5946F575-DCEF-4399-8238-C37A7BCC0601}"/>
    <cellStyle name="40% - Accent3 4 2 2" xfId="4308" xr:uid="{D4275CAF-68A3-4608-9324-CEFBFAA17CE0}"/>
    <cellStyle name="40% - Accent3 4 3" xfId="4309" xr:uid="{5F750B7F-447A-4AA1-A034-BA6B602D415F}"/>
    <cellStyle name="40% - Accent3 4 4" xfId="4310" xr:uid="{F9A41B2B-B705-4837-9000-EC7C354C8EB9}"/>
    <cellStyle name="40% - Accent3 4 5" xfId="4311" xr:uid="{D98CC936-21D2-443E-9F82-3C7AD7FA2421}"/>
    <cellStyle name="40% - Accent3 5 2" xfId="4312" xr:uid="{8B3227F8-66DD-4566-927D-561207681E82}"/>
    <cellStyle name="40% - Accent3 5_VIEWCreditProv" xfId="4313" xr:uid="{48AE81E1-FE78-4DB4-8414-9B6C87C938AC}"/>
    <cellStyle name="40% - Accent3 6" xfId="4314" xr:uid="{0ADCCCB5-386D-4EF2-9F2F-A2986BA9A55C}"/>
    <cellStyle name="40% - Accent3 6 2" xfId="4315" xr:uid="{19DDF18A-CCCF-42EE-A6AC-9A7108DF3CA9}"/>
    <cellStyle name="40% - Accent3 6 2 2" xfId="4316" xr:uid="{AD1050B5-8030-4708-8D9F-DEEB3A3BA28B}"/>
    <cellStyle name="40% - Accent3 6 2 2 2" xfId="4317" xr:uid="{1BD4FC07-6A9B-4682-A384-A1E50DBBD2B3}"/>
    <cellStyle name="40% - Accent3 6 2 2 2 2" xfId="4318" xr:uid="{8EE3A8D3-66F2-477E-A652-7F46F03B0FA0}"/>
    <cellStyle name="40% - Accent3 6 2 2 3" xfId="4319" xr:uid="{30C0F16B-E184-4D69-AD3D-4E1DE8FB245A}"/>
    <cellStyle name="40% - Accent3 6 2 2 3 2" xfId="4320" xr:uid="{509EC545-5688-4E9E-AB50-603BAE619A08}"/>
    <cellStyle name="40% - Accent3 6 2 2 4" xfId="4321" xr:uid="{E13AA54B-3D1B-4D89-9381-3D8F816AA608}"/>
    <cellStyle name="40% - Accent3 6 2 3 2" xfId="4322" xr:uid="{8882C449-3A98-4BAB-B310-D96D35CE6E61}"/>
    <cellStyle name="40% - Accent3 6 2 4" xfId="4323" xr:uid="{5F7B6B27-8413-4571-971A-90DC36B2E19E}"/>
    <cellStyle name="40% - Accent3 6 2 4 2" xfId="4324" xr:uid="{6C14BAA6-4FF7-424D-819E-66104BC37B0A}"/>
    <cellStyle name="40% - Accent3 6 2 5" xfId="4325" xr:uid="{F504C76B-8DEC-49AC-A650-24FFF57950F5}"/>
    <cellStyle name="40% - Accent3 6 3" xfId="4326" xr:uid="{F232544F-FC40-40ED-BFC5-765E5914291F}"/>
    <cellStyle name="40% - Accent3 6 3 2" xfId="4327" xr:uid="{B9E974A3-CDF2-47B3-AF60-50B4A43291FD}"/>
    <cellStyle name="40% - Accent3 6 3 2 2" xfId="4328" xr:uid="{50089A6A-EA9E-4A15-834D-F972CBCA358C}"/>
    <cellStyle name="40% - Accent3 6 3 3" xfId="4329" xr:uid="{115B9F9E-933D-4580-B6AF-553140967F23}"/>
    <cellStyle name="40% - Accent3 6 3 4" xfId="4330" xr:uid="{D50CD743-D681-4E98-B0F8-2B64310510C0}"/>
    <cellStyle name="40% - Accent3 6 4 2" xfId="4331" xr:uid="{00205531-2A93-488E-85E7-56B3D6BAAE5F}"/>
    <cellStyle name="40% - Accent3 6 5 2" xfId="4332" xr:uid="{2621517C-4A6A-4BAC-9220-14B236B34AEF}"/>
    <cellStyle name="40% - Accent3 6 6" xfId="4333" xr:uid="{27CE7E6C-4D43-4096-9F6D-0F239A25891B}"/>
    <cellStyle name="40% - Accent3 7" xfId="4334" xr:uid="{2DAD3705-7D8B-4754-BE67-629942E25771}"/>
    <cellStyle name="40% - Accent3 7 2" xfId="4335" xr:uid="{5F742985-EC13-4D5E-801D-2FCF629EA581}"/>
    <cellStyle name="40% - Accent3 7 2 2 2" xfId="4336" xr:uid="{9824D6B3-B491-4504-92D8-7732BED5D0F2}"/>
    <cellStyle name="40% - Accent3 7 2 2 2 2" xfId="4337" xr:uid="{D804B3E4-EBBE-47D4-818F-2ADE19E11FF6}"/>
    <cellStyle name="40% - Accent3 7 2 2 3" xfId="4338" xr:uid="{7BB455DE-83AC-429A-A0DB-DCFEAC9440D4}"/>
    <cellStyle name="40% - Accent3 7 2 2 3 2" xfId="4339" xr:uid="{C5F66C6F-D65D-456B-9725-CBBB2B9585BA}"/>
    <cellStyle name="40% - Accent3 7 2 2 4" xfId="4340" xr:uid="{C59878CB-EF1E-47A3-98E9-4F46BC0B6C76}"/>
    <cellStyle name="40% - Accent3 7 2 3 2" xfId="4341" xr:uid="{74AB6C6F-95D0-4975-ADCF-D64C9BA93EA9}"/>
    <cellStyle name="40% - Accent3 7 2 4" xfId="4342" xr:uid="{A9D80472-4819-4CE9-82BE-3871914E57A5}"/>
    <cellStyle name="40% - Accent3 7 2 4 2" xfId="4343" xr:uid="{8CD4E268-1C24-4538-8B1F-01FFEAEEAF73}"/>
    <cellStyle name="40% - Accent3 7 2 5" xfId="4344" xr:uid="{83A698B2-793F-440E-8DC0-6826419EC436}"/>
    <cellStyle name="40% - Accent3 7 3" xfId="4345" xr:uid="{75F2D87A-6BDF-4910-94E7-4DC66145237A}"/>
    <cellStyle name="40% - Accent3 7 3 2 2" xfId="4346" xr:uid="{5EA02EC7-B13A-475B-A3CF-3E2A1AB1AC46}"/>
    <cellStyle name="40% - Accent3 7 3 3 2" xfId="4347" xr:uid="{A44B7876-AB5B-448B-81A0-D95840964D7C}"/>
    <cellStyle name="40% - Accent3 7 4" xfId="4348" xr:uid="{27FB128D-0379-4761-B24F-4F58B1E07F98}"/>
    <cellStyle name="40% - Accent3 7 4 2" xfId="4349" xr:uid="{719CA872-C6AA-4967-914C-BA4A08BF2519}"/>
    <cellStyle name="40% - Accent3 7 5" xfId="4350" xr:uid="{83113FFA-8FB1-48C1-9271-146462232F49}"/>
    <cellStyle name="40% - Accent3 7 5 2" xfId="4351" xr:uid="{A8547EA0-624E-4A1E-9107-4D32ABF0316A}"/>
    <cellStyle name="40% - Accent3 7 6" xfId="4352" xr:uid="{87504334-9816-417A-B8B9-83C1183DE17D}"/>
    <cellStyle name="40% - Accent3 8" xfId="4353" xr:uid="{16211B72-44BB-42CA-92BD-2F073539D350}"/>
    <cellStyle name="40% - Accent3 9" xfId="4354" xr:uid="{D83BEA33-C9A2-4E3F-BD6E-C2AC2F79DB35}"/>
    <cellStyle name="40% - Accent3 9 2" xfId="4355" xr:uid="{1C6F0109-ADD7-4D42-B42E-C5B6F8F2D32A}"/>
    <cellStyle name="40% - Accent4" xfId="38" builtinId="43" customBuiltin="1"/>
    <cellStyle name="40% - Accent4 10" xfId="4356" xr:uid="{A0C033AB-84D8-4371-9D79-5D8C4623DC53}"/>
    <cellStyle name="40% - Accent4 10 2" xfId="4357" xr:uid="{CA6C785A-C197-437E-9D76-819E88844D39}"/>
    <cellStyle name="40% - Accent4 11" xfId="4358" xr:uid="{3E0002B1-F459-4B3C-B011-4535DDF619AA}"/>
    <cellStyle name="40% - Accent4 2" xfId="255" xr:uid="{DE8D36CF-E8DD-45EB-BABE-A7C4455CBAF0}"/>
    <cellStyle name="40% - Accent4 2 2" xfId="256" xr:uid="{1A06B090-6493-4ADF-B9DB-CD32518BEF21}"/>
    <cellStyle name="40% - Accent4 2 2 2" xfId="257" xr:uid="{CCC6AC2E-165B-4F32-BEFA-BC2C03EC4FD1}"/>
    <cellStyle name="40% - Accent4 2 2 2 2" xfId="258" xr:uid="{6E0E3C5F-B997-4D9B-AC16-A3A90F8C5099}"/>
    <cellStyle name="40% - Accent4 2 2 2 3" xfId="4359" xr:uid="{FE914AFD-0AAC-4328-B8A5-F7BEF1EFE3D5}"/>
    <cellStyle name="40% - Accent4 2 2 3" xfId="4360" xr:uid="{20207F47-AE5D-4E08-8C7A-7571D97F5404}"/>
    <cellStyle name="40% - Accent4 2 3" xfId="259" xr:uid="{D678CF22-E5F7-4B04-AA11-8B57CB874452}"/>
    <cellStyle name="40% - Accent4 2 3 2" xfId="4361" xr:uid="{85E49846-B54E-4947-B24A-A7CF8C1704D9}"/>
    <cellStyle name="40% - Accent4 2 3 3" xfId="4362" xr:uid="{1B1E3A00-FD6B-4E16-8D8D-40514EF497A1}"/>
    <cellStyle name="40% - Accent4 2 4" xfId="260" xr:uid="{EF0238B1-2543-47DE-9AAB-BCF1FE63204F}"/>
    <cellStyle name="40% - Accent4 2 5" xfId="261" xr:uid="{B8DE5087-ED28-42DB-8905-BB28E5C73304}"/>
    <cellStyle name="40% - Accent4 2 5 2" xfId="262" xr:uid="{2878ECF4-BD22-4503-B516-31B370C6A46A}"/>
    <cellStyle name="40% - Accent4 2 6" xfId="263" xr:uid="{73CDEB91-235B-4B2A-B27C-0EF746DC38E3}"/>
    <cellStyle name="40% - Accent4 3" xfId="264" xr:uid="{F40C92C9-BA86-4651-9877-B9277146EA75}"/>
    <cellStyle name="40% - Accent4 3 2" xfId="265" xr:uid="{E171C21F-0A88-45DD-84E4-AF209A29551A}"/>
    <cellStyle name="40% - Accent4 3 2 2" xfId="266" xr:uid="{530646D6-C4BC-48B4-AF5B-7D1ADB3751F3}"/>
    <cellStyle name="40% - Accent4 3 2 2 2" xfId="4364" xr:uid="{6366FC6C-9ABC-4D47-B92B-DADAFCA3644A}"/>
    <cellStyle name="40% - Accent4 3 2 3" xfId="4363" xr:uid="{F6252455-8386-4977-85C7-FFB4301B19EB}"/>
    <cellStyle name="40% - Accent4 3 3" xfId="4365" xr:uid="{68D1A624-6700-45A0-8446-478F8E328CDB}"/>
    <cellStyle name="40% - Accent4 3 4" xfId="4366" xr:uid="{7A1AEC88-55EA-4817-BBDB-AB14583432A6}"/>
    <cellStyle name="40% - Accent4 3_TSL SAP BA Amt Journal Aug 10" xfId="4367" xr:uid="{CEAC8F5C-5884-42B7-9CFD-7EAA1A55A2A0}"/>
    <cellStyle name="40% - Accent4 4" xfId="267" xr:uid="{13C47FC6-1061-4216-BFA3-D3FA821BDA72}"/>
    <cellStyle name="40% - Accent4 4 2" xfId="4368" xr:uid="{AAB91CA8-61AF-4EBC-9F4C-84F172F82D80}"/>
    <cellStyle name="40% - Accent4 4 2 2" xfId="4369" xr:uid="{EC5A432B-1B5F-4211-A3AB-9BAF2455DAF2}"/>
    <cellStyle name="40% - Accent4 4 3" xfId="4370" xr:uid="{597951F4-1EB8-4119-8C53-105755BB645D}"/>
    <cellStyle name="40% - Accent4 4 4" xfId="4371" xr:uid="{F4691353-1C6D-4FCD-BDC9-4C6E2984CF40}"/>
    <cellStyle name="40% - Accent4 4_TSL SAP BA Amt Journal Aug 10" xfId="4372" xr:uid="{7B360360-8175-490B-8187-F16D1F6CA572}"/>
    <cellStyle name="40% - Accent4 5" xfId="4373" xr:uid="{9EDA075C-CDFF-46D6-9208-BC4E5F62AC39}"/>
    <cellStyle name="40% - Accent4 6" xfId="4374" xr:uid="{8CE88C23-DB7E-4DD1-A63C-294F28098EB2}"/>
    <cellStyle name="40% - Accent4 6 2" xfId="4375" xr:uid="{73AE7398-AEF0-4C2B-9732-9B36C856DB82}"/>
    <cellStyle name="40% - Accent4 6 2 2" xfId="4376" xr:uid="{6FE79AC7-23EB-4A0B-83D6-8A099E6AABF5}"/>
    <cellStyle name="40% - Accent4 6 2 2 2" xfId="4377" xr:uid="{93B00383-AD78-41BA-83A9-D1F224DDADBB}"/>
    <cellStyle name="40% - Accent4 6 2 2 2 2" xfId="4378" xr:uid="{877E8BFB-536B-419B-B57D-0B89334738BB}"/>
    <cellStyle name="40% - Accent4 6 2 2 3" xfId="4379" xr:uid="{09E1A8BF-D7D1-4342-B74A-B8B204FED0EF}"/>
    <cellStyle name="40% - Accent4 6 2 2 3 2" xfId="4380" xr:uid="{BFCB7BA5-8FE0-4600-9F84-E6B2B5F0366B}"/>
    <cellStyle name="40% - Accent4 6 2 2 4" xfId="4381" xr:uid="{D9027CA2-BA2A-4D38-83F4-329FAE44DC3D}"/>
    <cellStyle name="40% - Accent4 6 2 4" xfId="4382" xr:uid="{F9C5F2AA-D330-454D-A3ED-317ED46A9603}"/>
    <cellStyle name="40% - Accent4 6 2 4 2" xfId="4383" xr:uid="{EAED30FD-4DE3-4FE1-9EDF-18D69388CFC8}"/>
    <cellStyle name="40% - Accent4 6 2 5" xfId="4384" xr:uid="{C814C351-B733-47EF-8504-DAFD0329FF44}"/>
    <cellStyle name="40% - Accent4 6 3 2" xfId="4385" xr:uid="{F077E5F3-A721-427B-8C5F-3B50ACCF2A72}"/>
    <cellStyle name="40% - Accent4 6 3 2 2" xfId="4386" xr:uid="{CD8F1CF4-3D4F-44AA-9D22-F031E6FA88A7}"/>
    <cellStyle name="40% - Accent4 6 3 3" xfId="4387" xr:uid="{FD32D6A6-8B46-4CD9-AAA6-88FE4168F61E}"/>
    <cellStyle name="40% - Accent4 6 3 3 2" xfId="4388" xr:uid="{24C7CB51-209B-42A4-8630-1F0DA5131047}"/>
    <cellStyle name="40% - Accent4 6 3 4" xfId="4389" xr:uid="{1E6E83E5-AFFD-4A3E-BA19-C3968ABD03A7}"/>
    <cellStyle name="40% - Accent4 6 4" xfId="4390" xr:uid="{B1E184C5-F2EB-4C8C-B5D7-34582586D4ED}"/>
    <cellStyle name="40% - Accent4 6 4 2" xfId="4391" xr:uid="{EE4024E0-B9C8-4182-944E-F7955B3B1942}"/>
    <cellStyle name="40% - Accent4 6 5" xfId="4392" xr:uid="{BDC74B2A-7E82-44B1-A977-14B4212824D2}"/>
    <cellStyle name="40% - Accent4 6 5 2" xfId="4393" xr:uid="{97621088-FA40-4A8F-A116-D9ED0D28F8DA}"/>
    <cellStyle name="40% - Accent4 6 6" xfId="4394" xr:uid="{CD4B4AAB-0028-494C-96C6-0E1B33A43FDB}"/>
    <cellStyle name="40% - Accent4 7" xfId="4395" xr:uid="{1E1BCD58-853F-45FD-8D25-795E2AB29FC0}"/>
    <cellStyle name="40% - Accent4 7 2" xfId="4396" xr:uid="{E8FF0669-0428-4A0B-A264-1A67A6A37B8C}"/>
    <cellStyle name="40% - Accent4 7 2 2" xfId="4397" xr:uid="{B2F3CAB8-7B1D-4EE7-977F-866ECB1340A1}"/>
    <cellStyle name="40% - Accent4 7 2 2 2" xfId="4398" xr:uid="{B5B8AF4B-331E-46B1-916D-B1CFB9052A8C}"/>
    <cellStyle name="40% - Accent4 7 2 2 2 2" xfId="4399" xr:uid="{EC2B00A2-B526-4E0C-93DD-ADBCB2B968F4}"/>
    <cellStyle name="40% - Accent4 7 2 2 3" xfId="4400" xr:uid="{01C38CAB-3347-4EDE-89E6-E5CD5958B087}"/>
    <cellStyle name="40% - Accent4 7 2 2 3 2" xfId="4401" xr:uid="{183BED24-7B0F-4727-8761-589D509DA7B1}"/>
    <cellStyle name="40% - Accent4 7 2 2 4" xfId="4402" xr:uid="{FE871F32-D7BE-42B8-AAEA-6AC71C1CBCE0}"/>
    <cellStyle name="40% - Accent4 7 2 4" xfId="4403" xr:uid="{AF4EC376-6877-4C54-A104-A3E22B4B1F8F}"/>
    <cellStyle name="40% - Accent4 7 2 4 2" xfId="4404" xr:uid="{CF031800-DB62-49EF-9EFE-6B701C86D870}"/>
    <cellStyle name="40% - Accent4 7 3" xfId="4405" xr:uid="{8370DEC6-A91E-4EA3-B3F1-ADD335CD1530}"/>
    <cellStyle name="40% - Accent4 7 3 2 2" xfId="4406" xr:uid="{67900AB4-9DA1-49ED-98D5-1FF27AE4F0BB}"/>
    <cellStyle name="40% - Accent4 7 3 3" xfId="4407" xr:uid="{6B003248-6763-4B1A-B029-D49C573B7D89}"/>
    <cellStyle name="40% - Accent4 7 3 3 2" xfId="4408" xr:uid="{B2966E5A-32F0-4739-8AA0-4970FA3F18E0}"/>
    <cellStyle name="40% - Accent4 7 3 4" xfId="4409" xr:uid="{30FE76B7-91E6-41D3-89D1-D887AF675D57}"/>
    <cellStyle name="40% - Accent4 7 4" xfId="4410" xr:uid="{7D382F38-6D65-42A6-A54C-C58EF39DE4EF}"/>
    <cellStyle name="40% - Accent4 7 4 2" xfId="4411" xr:uid="{2AF7FA01-76A6-4689-A696-A670EEE4AD6C}"/>
    <cellStyle name="40% - Accent4 7 5" xfId="4412" xr:uid="{A0C33FC9-ABE1-4630-887A-B280D7B32101}"/>
    <cellStyle name="40% - Accent4 7 5 2" xfId="4413" xr:uid="{AEC487BA-DEC4-4D72-AFDE-991F1FC05B20}"/>
    <cellStyle name="40% - Accent4 7 6" xfId="4414" xr:uid="{62F837ED-0FE8-41D9-8F72-1A7FB32BB502}"/>
    <cellStyle name="40% - Accent4 8" xfId="4415" xr:uid="{4A3D4FB4-E07D-4F4F-9120-7BC3415231EC}"/>
    <cellStyle name="40% - Accent4 9" xfId="4416" xr:uid="{350A9E09-DD4A-433B-9589-D08FA4FD4D53}"/>
    <cellStyle name="40% - Accent4 9 2" xfId="4417" xr:uid="{A506FB0E-32AC-44A9-896B-7E1648976511}"/>
    <cellStyle name="40% - Accent5" xfId="42" builtinId="47" customBuiltin="1"/>
    <cellStyle name="40% - Accent5 10" xfId="4418" xr:uid="{D170F405-2018-424B-9A10-E5FAE2FF13BB}"/>
    <cellStyle name="40% - Accent5 10 2" xfId="4419" xr:uid="{4666BF70-CEA6-4D0B-BCA6-0DB73B81670E}"/>
    <cellStyle name="40% - Accent5 11" xfId="4420" xr:uid="{E1F241A3-6A81-45DE-8D0B-3F42FDE2B944}"/>
    <cellStyle name="40% - Accent5 12" xfId="4421" xr:uid="{1289B1F2-97BC-499E-AF1B-D3BA8B340FBE}"/>
    <cellStyle name="40% - Accent5 2" xfId="268" xr:uid="{B4431FD0-92B4-4239-A796-307B76C71116}"/>
    <cellStyle name="40% - Accent5 2 2" xfId="269" xr:uid="{3FC32A8A-2E04-4F75-9605-616B5D81B3C4}"/>
    <cellStyle name="40% - Accent5 2 2 2" xfId="270" xr:uid="{05A4F157-0A23-47A5-A54F-8DCD312479D7}"/>
    <cellStyle name="40% - Accent5 2 2 2 2" xfId="271" xr:uid="{BB1DFDFC-3A6E-4F06-96D5-F44C60FD9E22}"/>
    <cellStyle name="40% - Accent5 2 2 2 3" xfId="4422" xr:uid="{CA0F3476-0D93-44B5-85CA-9513BBFA1C26}"/>
    <cellStyle name="40% - Accent5 2 2 3" xfId="4423" xr:uid="{15EF7EF5-1CB4-4A5B-872B-556047D27707}"/>
    <cellStyle name="40% - Accent5 2 3" xfId="272" xr:uid="{AD88D4E8-1A68-430D-8ACB-76115A38009B}"/>
    <cellStyle name="40% - Accent5 2 3 2" xfId="4424" xr:uid="{90F70805-51A3-4C86-B4A8-CE4AD2542E66}"/>
    <cellStyle name="40% - Accent5 2 3 3" xfId="4425" xr:uid="{29BE7C17-3584-4CD9-992F-CF6B19E07BBD}"/>
    <cellStyle name="40% - Accent5 2 4" xfId="273" xr:uid="{FA4D5173-06FA-45D1-9496-0638BC022D59}"/>
    <cellStyle name="40% - Accent5 2 5" xfId="274" xr:uid="{7052678C-285B-47E6-B00E-D8804C9D0634}"/>
    <cellStyle name="40% - Accent5 2 5 2" xfId="275" xr:uid="{B4D830FE-AE12-48F7-B81F-71F40FA95D57}"/>
    <cellStyle name="40% - Accent5 2 5 3" xfId="4426" xr:uid="{A4CFBEA4-3F55-44A0-B5F2-4BD82FEDFFED}"/>
    <cellStyle name="40% - Accent5 2 7" xfId="4427" xr:uid="{EA523C6A-7B19-4E66-A2B0-9A0F3F35C67E}"/>
    <cellStyle name="40% - Accent5 2_VIEWCreditProv" xfId="4428" xr:uid="{856B1068-5C60-4D71-9A5F-2E60AD2B574B}"/>
    <cellStyle name="40% - Accent5 3" xfId="276" xr:uid="{EFC3ABA9-2A10-40D8-BC2F-2A694A6CAD96}"/>
    <cellStyle name="40% - Accent5 3 2" xfId="277" xr:uid="{99C65D9C-2C4B-4BF7-8236-CEF73E2C663C}"/>
    <cellStyle name="40% - Accent5 3 2 2" xfId="278" xr:uid="{5D6E7D7A-676C-462F-88E9-BC234B2B6178}"/>
    <cellStyle name="40% - Accent5 3 2 2 2" xfId="4430" xr:uid="{1489757F-1396-435B-B9EE-0EF2852C1CEE}"/>
    <cellStyle name="40% - Accent5 3 2 3" xfId="4429" xr:uid="{64E5BD24-2F67-40EE-AECF-03122E3D78B2}"/>
    <cellStyle name="40% - Accent5 4" xfId="4431" xr:uid="{F26AE9F6-E819-4571-B5A1-4DFC91A67A03}"/>
    <cellStyle name="40% - Accent5 4 2" xfId="4432" xr:uid="{EEEC7BCE-5013-4F32-A761-7896A6857610}"/>
    <cellStyle name="40% - Accent5 4 3" xfId="4433" xr:uid="{FF53FF7B-FFC8-4968-AE93-84549CA9CC8A}"/>
    <cellStyle name="40% - Accent5 4 4" xfId="4434" xr:uid="{997FC2CE-2C29-422E-A1C6-6B6F9F172611}"/>
    <cellStyle name="40% - Accent5 4_VIEWCreditProv" xfId="4435" xr:uid="{1568B2E6-545E-4402-AC98-4B71CDDBACDA}"/>
    <cellStyle name="40% - Accent5 5" xfId="4436" xr:uid="{7D32EBDB-9F0D-427F-85B0-ABF231E67D04}"/>
    <cellStyle name="40% - Accent5 6" xfId="4437" xr:uid="{647AD3B8-F40B-4B51-AC9F-A0622ADC77AE}"/>
    <cellStyle name="40% - Accent5 6 2" xfId="4438" xr:uid="{6174C5F2-A229-4E7E-AAA5-286D37490C7B}"/>
    <cellStyle name="40% - Accent5 6 2 2 2" xfId="4439" xr:uid="{00297BFD-A68A-4EB1-9506-FEF0940A84DA}"/>
    <cellStyle name="40% - Accent5 6 2 2 2 2" xfId="4440" xr:uid="{683E9E6F-DBCE-46C6-90B6-C770B2813273}"/>
    <cellStyle name="40% - Accent5 6 2 2 3" xfId="4441" xr:uid="{C4DB1477-3231-4261-BC5D-C234FFFEF735}"/>
    <cellStyle name="40% - Accent5 6 2 4" xfId="4442" xr:uid="{C0AA255B-F98A-4D7E-ADE8-2177D3E071C1}"/>
    <cellStyle name="40% - Accent5 6 2 5" xfId="4443" xr:uid="{90DDA7CB-06F5-4A87-8AB7-9A8A38F70A55}"/>
    <cellStyle name="40% - Accent5 6 3" xfId="4444" xr:uid="{14D3C389-F081-4144-AF4A-123AD840D757}"/>
    <cellStyle name="40% - Accent5 6 3 2" xfId="4445" xr:uid="{452865A2-C4EE-4BB8-80EF-0CC59A747A55}"/>
    <cellStyle name="40% - Accent5 6 3 3" xfId="4446" xr:uid="{90983616-3A38-44A5-95E1-DC50CC748591}"/>
    <cellStyle name="40% - Accent5 6 3 3 2" xfId="4447" xr:uid="{E28FBF33-F4FF-47B8-AFE9-B61348156ED1}"/>
    <cellStyle name="40% - Accent5 6 3 4" xfId="4448" xr:uid="{D0EF28BB-5189-4C16-877F-FD0CD10D5092}"/>
    <cellStyle name="40% - Accent5 6 4" xfId="4449" xr:uid="{66F80644-202D-4260-BC9A-EA9BC4872D29}"/>
    <cellStyle name="40% - Accent5 6 4 2" xfId="4450" xr:uid="{1283477F-7436-4271-A590-DEB8376314F1}"/>
    <cellStyle name="40% - Accent5 6 5" xfId="4451" xr:uid="{89A47E5D-8963-447C-9CEB-4230DFB5FDCC}"/>
    <cellStyle name="40% - Accent5 6 5 2" xfId="4452" xr:uid="{09838AED-4343-45A7-A3BD-345BA32DB80E}"/>
    <cellStyle name="40% - Accent5 6 6" xfId="4453" xr:uid="{1350A9A6-C920-4047-8176-F15AF1B78AC5}"/>
    <cellStyle name="40% - Accent5 7" xfId="4454" xr:uid="{0D43C082-1E79-4DA6-83D8-78F2AB600F4C}"/>
    <cellStyle name="40% - Accent5 8" xfId="4455" xr:uid="{FFB7EC67-BCCA-4A57-AB7F-E3D5DE86D561}"/>
    <cellStyle name="40% - Accent5 8 2" xfId="4456" xr:uid="{B78BDB93-A5AC-41D7-9359-8F0858E89B0B}"/>
    <cellStyle name="40% - Accent5 9" xfId="4457" xr:uid="{4CAE6096-29E8-408F-ACAF-82F41D082973}"/>
    <cellStyle name="40% - Accent5 9 2" xfId="4458" xr:uid="{A5F2BBDE-5271-456D-954F-18684CC91460}"/>
    <cellStyle name="40% - Accent6" xfId="46" builtinId="51" customBuiltin="1"/>
    <cellStyle name="40% - Accent6 10" xfId="4459" xr:uid="{E83CF404-55C5-4E8A-82C2-169B69441379}"/>
    <cellStyle name="40% - Accent6 10 2" xfId="4460" xr:uid="{B16F4058-3EAB-40BB-9552-3B32447EF91E}"/>
    <cellStyle name="40% - Accent6 11" xfId="4461" xr:uid="{11AD000F-0796-473A-8DBF-0C22EF9A153A}"/>
    <cellStyle name="40% - Accent6 2" xfId="279" xr:uid="{AE56D994-1217-4537-AA1F-ABE0899B6CAA}"/>
    <cellStyle name="40% - Accent6 2 2" xfId="280" xr:uid="{5FDBA7F3-6A54-4E94-AA19-AE3AF6152887}"/>
    <cellStyle name="40% - Accent6 2 2 2" xfId="281" xr:uid="{3965E8DF-0385-426B-A2E4-F8670CA09F03}"/>
    <cellStyle name="40% - Accent6 2 2 2 2" xfId="282" xr:uid="{B582A8FC-69EA-4307-BBA9-E856F091745C}"/>
    <cellStyle name="40% - Accent6 2 2 2 3" xfId="4462" xr:uid="{B803F5AD-95C5-4272-A751-EB42946610C9}"/>
    <cellStyle name="40% - Accent6 2 2 3" xfId="4463" xr:uid="{237C1459-9807-40D5-8D4E-212C5814C84E}"/>
    <cellStyle name="40% - Accent6 2 2_Bonds" xfId="4464" xr:uid="{DDCE417E-8915-49A7-A8E0-4B987733A47B}"/>
    <cellStyle name="40% - Accent6 2 3" xfId="283" xr:uid="{386B4C75-F916-4197-B4F6-DE100768E0BA}"/>
    <cellStyle name="40% - Accent6 2 3 2" xfId="4465" xr:uid="{8C3B69F6-77F9-495C-A40E-AFD7E19D84A1}"/>
    <cellStyle name="40% - Accent6 2 3 3" xfId="4466" xr:uid="{50D902A6-791D-485A-A2A5-13BCD6DFD227}"/>
    <cellStyle name="40% - Accent6 2 4" xfId="284" xr:uid="{C5F82ADC-50ED-489D-8653-B3F232234222}"/>
    <cellStyle name="40% - Accent6 2 4 2" xfId="4467" xr:uid="{41838CF7-7124-4B2A-AC18-3FB5768C2780}"/>
    <cellStyle name="40% - Accent6 2 5" xfId="285" xr:uid="{739F5B3B-3720-4A9D-81FC-89845586988B}"/>
    <cellStyle name="40% - Accent6 2 5 2" xfId="286" xr:uid="{566B0584-08F7-4852-BCE9-022DB851A2A4}"/>
    <cellStyle name="40% - Accent6 2 5 2 2" xfId="4469" xr:uid="{61419ECB-5C6D-4603-8CD2-DF8427D664CB}"/>
    <cellStyle name="40% - Accent6 2 5 3" xfId="4468" xr:uid="{897C8509-41CB-482E-83E9-38C61C8C7C9D}"/>
    <cellStyle name="40% - Accent6 2 6" xfId="287" xr:uid="{FFFD1BBA-8EAF-4871-9EDF-E3674ABFD357}"/>
    <cellStyle name="40% - Accent6 2 6 2" xfId="4471" xr:uid="{CDC69779-4C2F-40C1-A529-D49DF8ACEF9C}"/>
    <cellStyle name="40% - Accent6 2 6 3" xfId="4470" xr:uid="{68BFDA86-A23F-45EA-881D-06BCEE2AB7DF}"/>
    <cellStyle name="40% - Accent6 2_VIEWCreditProv" xfId="4472" xr:uid="{B8AE37E8-F349-4EE7-BED7-78F30CBE6EA5}"/>
    <cellStyle name="40% - Accent6 3" xfId="288" xr:uid="{2C671FA6-9BBA-46D3-8A10-C94D8033D71A}"/>
    <cellStyle name="40% - Accent6 3 2" xfId="289" xr:uid="{0CD29C0C-13D1-41A8-BE96-E031D8994032}"/>
    <cellStyle name="40% - Accent6 3 2 2" xfId="290" xr:uid="{7C784D0D-8035-4545-8C7A-D7864DB41D8A}"/>
    <cellStyle name="40% - Accent6 3 2 2 2" xfId="4474" xr:uid="{D0403AB4-397E-4145-B0E3-57D7E1FFAD4F}"/>
    <cellStyle name="40% - Accent6 3 2 3" xfId="4473" xr:uid="{1C0BCF6E-5245-456E-9F79-B7D6A8D9091B}"/>
    <cellStyle name="40% - Accent6 3 4" xfId="4475" xr:uid="{72DD7274-870C-4BF6-9723-4376823A39AE}"/>
    <cellStyle name="40% - Accent6 3_TSL SAP BA Amt Journal Aug 10" xfId="4476" xr:uid="{31B90B90-3ADA-410C-9E25-378CDFFB0DF2}"/>
    <cellStyle name="40% - Accent6 4" xfId="291" xr:uid="{ABFF06F3-30B6-4BE5-B154-D07BB02B98AA}"/>
    <cellStyle name="40% - Accent6 4 2 2" xfId="4477" xr:uid="{41982CC6-3D0A-4462-8AD3-5000E52C822C}"/>
    <cellStyle name="40% - Accent6 4 3" xfId="4478" xr:uid="{EA73D267-67E6-46D8-A6B6-23492584C876}"/>
    <cellStyle name="40% - Accent6 4 4" xfId="4479" xr:uid="{0EB3EB7F-4D70-45B5-8954-C0AC8B4F1E0B}"/>
    <cellStyle name="40% - Accent6 4 5" xfId="4480" xr:uid="{7E5262F2-BED5-4993-8411-0B6D812C027B}"/>
    <cellStyle name="40% - Accent6 4_TSL SAP BA Amt Journal Aug 10" xfId="4481" xr:uid="{36120585-B011-4E13-909B-16874B644965}"/>
    <cellStyle name="40% - Accent6 5" xfId="4482" xr:uid="{8119B315-A689-4D9E-87E2-9F5D4D3E52B4}"/>
    <cellStyle name="40% - Accent6 5 2" xfId="4483" xr:uid="{0CD6A34C-095D-47E4-9C42-2E0C40F2F311}"/>
    <cellStyle name="40% - Accent6 5_VIEWCreditProv" xfId="4484" xr:uid="{96075315-2F68-499E-84D9-B21E098930C4}"/>
    <cellStyle name="40% - Accent6 6" xfId="4485" xr:uid="{EF2CB474-BB3F-4B9C-AA29-BA7C01903663}"/>
    <cellStyle name="40% - Accent6 6 2" xfId="4486" xr:uid="{B2422DDD-E086-4B7A-90F3-FEC6FF0B3043}"/>
    <cellStyle name="40% - Accent6 6 2 2" xfId="4487" xr:uid="{2DABCD53-4831-43F6-913C-3C5806DD5948}"/>
    <cellStyle name="40% - Accent6 6 2 2 2" xfId="4488" xr:uid="{11656E4B-D1DA-4DD4-81C1-8CF008BFF009}"/>
    <cellStyle name="40% - Accent6 6 2 2 2 2" xfId="4489" xr:uid="{659B7869-EEB6-4E8C-AA37-AFF8CEED4018}"/>
    <cellStyle name="40% - Accent6 6 2 2 3" xfId="4490" xr:uid="{75737FED-A927-4A35-8989-67126400FD82}"/>
    <cellStyle name="40% - Accent6 6 2 2 3 2" xfId="4491" xr:uid="{F2C842B8-3E01-4C78-9090-A95BEF405726}"/>
    <cellStyle name="40% - Accent6 6 2 2 4" xfId="4492" xr:uid="{F09A118D-75B9-444E-896F-930649BC8787}"/>
    <cellStyle name="40% - Accent6 6 2 3" xfId="4493" xr:uid="{CC3F2E63-2AC3-41B3-91DE-232E1CD515E6}"/>
    <cellStyle name="40% - Accent6 6 2 3 2" xfId="4494" xr:uid="{D8E0A374-D757-46BA-B2FD-DF2E7875CD94}"/>
    <cellStyle name="40% - Accent6 6 2 4" xfId="4495" xr:uid="{EEB84E0A-856E-4589-A73F-1D7F4505D817}"/>
    <cellStyle name="40% - Accent6 6 2 4 2" xfId="4496" xr:uid="{E0CF9917-57C0-45F5-8922-CFDC30DCDB34}"/>
    <cellStyle name="40% - Accent6 6 3" xfId="4497" xr:uid="{CC489A98-4935-4D65-955C-16A4A9C41E1B}"/>
    <cellStyle name="40% - Accent6 6 3 2" xfId="4498" xr:uid="{F5F46FA6-8FF7-491B-A1FD-5FD3AC982A90}"/>
    <cellStyle name="40% - Accent6 6 3 2 2" xfId="4499" xr:uid="{A0EFAF7C-9D1A-45CD-B738-2F74D3FFD24E}"/>
    <cellStyle name="40% - Accent6 6 3 3 2" xfId="4500" xr:uid="{A36926FE-595B-47DF-9547-FF2E8A7EC280}"/>
    <cellStyle name="40% - Accent6 6 3 4" xfId="4501" xr:uid="{1719208E-8A2C-4069-B7BB-BD4256E7E5AC}"/>
    <cellStyle name="40% - Accent6 6 4 2" xfId="4502" xr:uid="{BF4DDC1F-C5D4-42B3-BB70-2C1469241A3D}"/>
    <cellStyle name="40% - Accent6 6 5" xfId="4503" xr:uid="{66356791-FDB1-4353-9A15-600FA3B79B62}"/>
    <cellStyle name="40% - Accent6 6 6" xfId="4504" xr:uid="{CDBEC934-2F5B-4751-82F1-C7E977023CAC}"/>
    <cellStyle name="40% - Accent6 7" xfId="4505" xr:uid="{1080B273-90B4-4A41-B7EE-3CF33A8266BA}"/>
    <cellStyle name="40% - Accent6 7 2" xfId="4506" xr:uid="{1632AEDA-573B-4456-884D-4A017783C7D8}"/>
    <cellStyle name="40% - Accent6 7 2 2" xfId="4507" xr:uid="{23205B35-2176-42E9-A5E8-861D120864A4}"/>
    <cellStyle name="40% - Accent6 7 2 2 2" xfId="4508" xr:uid="{34DABBB5-D038-4B87-9ACA-EC878BCA93EE}"/>
    <cellStyle name="40% - Accent6 7 2 2 2 2" xfId="4509" xr:uid="{E4AA43A6-188F-4826-B485-C9EA5D25A117}"/>
    <cellStyle name="40% - Accent6 7 2 2 3" xfId="4510" xr:uid="{9D922C36-7C1E-4882-B663-4FFB95E13344}"/>
    <cellStyle name="40% - Accent6 7 2 2 3 2" xfId="4511" xr:uid="{D47162CF-143D-4355-9459-9089E8D2C32E}"/>
    <cellStyle name="40% - Accent6 7 2 2 4" xfId="4512" xr:uid="{A1A78429-A8FE-4D3D-9D13-AAABC68D83E3}"/>
    <cellStyle name="40% - Accent6 7 2 3" xfId="4513" xr:uid="{FB4289F1-CA1E-4FBE-B98D-639477D156D7}"/>
    <cellStyle name="40% - Accent6 7 2 3 2" xfId="4514" xr:uid="{952FC4C4-69DC-4BBE-964B-57EA135B37C3}"/>
    <cellStyle name="40% - Accent6 7 2 4" xfId="4515" xr:uid="{C1E1E819-864B-4ADF-9EAD-20D225C71602}"/>
    <cellStyle name="40% - Accent6 7 2 4 2" xfId="4516" xr:uid="{822AC942-CA3A-4B18-B52F-A3D59ADC4523}"/>
    <cellStyle name="40% - Accent6 7 2 5" xfId="4517" xr:uid="{B4F35C75-700A-4D54-9B25-A2E7655D0D44}"/>
    <cellStyle name="40% - Accent6 7 3" xfId="4518" xr:uid="{38F26E73-32CC-46F0-8B41-94E36388175A}"/>
    <cellStyle name="40% - Accent6 7 3 2" xfId="4519" xr:uid="{887CF149-8660-48CD-B408-296F6FEF2329}"/>
    <cellStyle name="40% - Accent6 7 3 2 2" xfId="4520" xr:uid="{64548C07-14BE-4A8C-B1FB-45786BAE9DAD}"/>
    <cellStyle name="40% - Accent6 7 3 3" xfId="4521" xr:uid="{FEDDB585-6DA8-4155-B557-02DB91FA6D9A}"/>
    <cellStyle name="40% - Accent6 7 3 3 2" xfId="4522" xr:uid="{F7A26BA0-7210-453D-A6A2-9823B19825C4}"/>
    <cellStyle name="40% - Accent6 7 3 4" xfId="4523" xr:uid="{66BDB181-D1DE-404C-AC2F-585F513BED47}"/>
    <cellStyle name="40% - Accent6 7 4" xfId="4524" xr:uid="{D3F7264C-BCA5-4E65-9C1D-6174B02CE77B}"/>
    <cellStyle name="40% - Accent6 7 4 2" xfId="4525" xr:uid="{9574212A-5D20-4717-AA09-899174DF0DC3}"/>
    <cellStyle name="40% - Accent6 7 5" xfId="4526" xr:uid="{3F4CC6E5-5577-4C09-BF77-70A8C1C8B66F}"/>
    <cellStyle name="40% - Accent6 7 5 2" xfId="4527" xr:uid="{22993684-5802-442B-B3AE-7C96E3150D45}"/>
    <cellStyle name="40% - Accent6 7 6" xfId="4528" xr:uid="{DB2E2561-B4DC-4586-A1EE-1A8974078EBE}"/>
    <cellStyle name="40% - Accent6 8" xfId="4529" xr:uid="{D290A2C6-A7A7-4174-9549-BEAE03EC5F2F}"/>
    <cellStyle name="40% - Accent6 9" xfId="4530" xr:uid="{19D624BC-12C4-48C8-A622-9BD72CD5A6A8}"/>
    <cellStyle name="40% - Accent6 9 2" xfId="4531" xr:uid="{288A762C-E247-4080-811A-608F3A73FE8C}"/>
    <cellStyle name="40% - 輔色1" xfId="292" xr:uid="{E8D6659D-E5C7-445C-87E8-43BA7FF7E1DC}"/>
    <cellStyle name="40% - 輔色2" xfId="293" xr:uid="{48C6D608-D4D4-40E2-AE88-870BEFB4C6AE}"/>
    <cellStyle name="40% - 輔色3" xfId="294" xr:uid="{249D38AE-8105-487E-95EA-A0D23E7700F2}"/>
    <cellStyle name="40% - 輔色4" xfId="295" xr:uid="{7B7908C9-F366-480B-8051-4588117C2044}"/>
    <cellStyle name="40% - 輔色5" xfId="296" xr:uid="{8CA582BC-A316-40E1-90A9-D644A99171A2}"/>
    <cellStyle name="40% - 輔色6" xfId="297" xr:uid="{F65CA8BA-97A6-49B4-8421-70A5907F7A91}"/>
    <cellStyle name="60% - Accent1" xfId="27" builtinId="32" customBuiltin="1"/>
    <cellStyle name="60% - Accent1 10" xfId="4532" xr:uid="{4A0C9EA7-5C5E-48E1-BD2A-66E27FA6CEDC}"/>
    <cellStyle name="60% - Accent1 11" xfId="4533" xr:uid="{55987EDA-B979-417B-B845-1180F7A4A167}"/>
    <cellStyle name="60% - Accent1 12" xfId="4534" xr:uid="{29CC1A4C-AC8E-4A91-867F-740A33DA5DFB}"/>
    <cellStyle name="60% - Accent1 13" xfId="11595" xr:uid="{79ADD29F-5513-477F-8E42-F04EDCB58B90}"/>
    <cellStyle name="60% - Accent1 2" xfId="298" xr:uid="{FADFFFC5-315F-466C-B819-6C8B0B453A66}"/>
    <cellStyle name="60% - Accent1 2 2" xfId="299" xr:uid="{5B0EEF4F-2658-4BC1-BD98-34C78437426C}"/>
    <cellStyle name="60% - Accent1 2 2 2" xfId="300" xr:uid="{0442774A-5B11-4132-B55C-D55FC73F28E8}"/>
    <cellStyle name="60% - Accent1 2 2 2 2" xfId="4535" xr:uid="{9AD28F2F-8529-4299-8DCC-57444FBF5B45}"/>
    <cellStyle name="60% - Accent1 2 2 3" xfId="4536" xr:uid="{8E0B5911-F2F3-47EC-A8AD-F278A558CFEF}"/>
    <cellStyle name="60% - Accent1 2 2_Bonds" xfId="4537" xr:uid="{3431AB02-6560-4166-885F-CB015F9397A0}"/>
    <cellStyle name="60% - Accent1 2 3" xfId="301" xr:uid="{DCBB88A3-1D57-4228-81A4-DA117FC246F3}"/>
    <cellStyle name="60% - Accent1 2 3 2" xfId="4538" xr:uid="{212FCE1A-2FF1-4A82-AA53-30B882441DD7}"/>
    <cellStyle name="60% - Accent1 2 3 3" xfId="4539" xr:uid="{770CADD1-E864-4069-BDCE-BDF765EC9E58}"/>
    <cellStyle name="60% - Accent1 2 4" xfId="302" xr:uid="{DF1E69A1-79EC-4C4B-AF5B-7EF95BDF0C8B}"/>
    <cellStyle name="60% - Accent1 2 5" xfId="303" xr:uid="{B2951651-26B0-4CF9-A727-AE17180CD23E}"/>
    <cellStyle name="60% - Accent1 2 5 2" xfId="4540" xr:uid="{5E8B37A1-F530-4497-BC9C-3B6A5836CB4C}"/>
    <cellStyle name="60% - Accent1 2 6" xfId="304" xr:uid="{B6598767-13CA-4059-BD79-F39AE4C726A8}"/>
    <cellStyle name="60% - Accent1 2 6 2" xfId="4541" xr:uid="{02CDF2B1-5971-4856-A6BA-DACDACD8843D}"/>
    <cellStyle name="60% - Accent1 3" xfId="305" xr:uid="{89E1D7B1-B545-424E-8901-FBE66916BAE5}"/>
    <cellStyle name="60% - Accent1 3 2" xfId="306" xr:uid="{A4438556-C2F4-431F-B614-2A14F1554F8E}"/>
    <cellStyle name="60% - Accent1 3 2 2" xfId="4542" xr:uid="{D56B70F6-3B0A-4D94-BD97-4B5B3F626FD5}"/>
    <cellStyle name="60% - Accent1 3 3" xfId="3564" xr:uid="{AFE839A5-673D-406E-B226-E66439B28AA9}"/>
    <cellStyle name="60% - Accent1 3_TSL SAP BA Amt Journal Aug 10" xfId="4543" xr:uid="{A9E47EB5-4F29-4B3C-82B6-9C3C952C1623}"/>
    <cellStyle name="60% - Accent1 4" xfId="4544" xr:uid="{134173FD-B496-4775-B44C-722FB89B2AA8}"/>
    <cellStyle name="60% - Accent1 4 2" xfId="4545" xr:uid="{C8FBB6F3-B795-480A-8A4A-FAC6F6B9AC5A}"/>
    <cellStyle name="60% - Accent1 4 3" xfId="4546" xr:uid="{0E2BC70B-8C72-4240-8C66-3322F9E0313A}"/>
    <cellStyle name="60% - Accent1 4_TSL SAP BA Amt Journal Aug 10" xfId="4547" xr:uid="{37AA7E8A-6D1F-4CA7-8AC0-48F1DD58DE99}"/>
    <cellStyle name="60% - Accent1 5" xfId="4548" xr:uid="{55356848-E44B-4102-B3DC-BAFF289E8FAD}"/>
    <cellStyle name="60% - Accent1 6" xfId="4549" xr:uid="{2A2115EA-8909-44FF-A15D-AFA32A14DA0E}"/>
    <cellStyle name="60% - Accent1 7" xfId="4550" xr:uid="{F8923DEB-793D-40F0-A6AC-8A3BFA9A2D38}"/>
    <cellStyle name="60% - Accent1 8" xfId="4551" xr:uid="{D42DDC83-84F1-4F20-B065-1A61FE281F3E}"/>
    <cellStyle name="60% - Accent1 9" xfId="4552" xr:uid="{A546EB1D-AE90-4F13-B694-94D3DBB706CA}"/>
    <cellStyle name="60% - Accent2" xfId="31" builtinId="36" customBuiltin="1"/>
    <cellStyle name="60% - Accent2 2" xfId="307" xr:uid="{709DFC92-FC35-4645-B75F-9A26D1DF7C45}"/>
    <cellStyle name="60% - Accent2 2 2" xfId="308" xr:uid="{85C722E4-38FE-4BEC-AAC0-917875D6A6EA}"/>
    <cellStyle name="60% - Accent2 2 2 2" xfId="309" xr:uid="{E2F2CA39-A3A7-4B58-82AF-A15AD554F2AB}"/>
    <cellStyle name="60% - Accent2 2 2 2 2" xfId="4553" xr:uid="{3E4373B1-44CB-41D9-9846-3A7AA68C45E8}"/>
    <cellStyle name="60% - Accent2 2 2 3" xfId="4554" xr:uid="{A1DF38BD-B14F-4FEF-9D2A-F85513D989B5}"/>
    <cellStyle name="60% - Accent2 2 3" xfId="310" xr:uid="{C18F11DF-D314-4567-A3F9-45914E5AEDF1}"/>
    <cellStyle name="60% - Accent2 2 3 2" xfId="4555" xr:uid="{46FC7D69-DDAC-499F-B4FF-23E771D855E6}"/>
    <cellStyle name="60% - Accent2 2 3 3" xfId="4556" xr:uid="{1193FDF8-5580-462E-BB0A-42E50FC3589E}"/>
    <cellStyle name="60% - Accent2 2 4" xfId="311" xr:uid="{2389237E-FDFF-402F-99CB-38B8E747816F}"/>
    <cellStyle name="60% - Accent2 2 5" xfId="312" xr:uid="{CFF01BD8-7DC5-4787-B004-CAEB018583DC}"/>
    <cellStyle name="60% - Accent2 2 6" xfId="4557" xr:uid="{CC022487-13CF-4C98-9B5B-1D3F1D9A069D}"/>
    <cellStyle name="60% - Accent2 3" xfId="313" xr:uid="{B8D730B9-E5AF-4486-8EA5-F755F481C211}"/>
    <cellStyle name="60% - Accent2 3 2" xfId="314" xr:uid="{2B3CF090-0014-437D-B0B5-319B5061BED2}"/>
    <cellStyle name="60% - Accent2 3 2 2" xfId="4558" xr:uid="{0A4B2327-F178-484A-BEBD-8BAC1F278465}"/>
    <cellStyle name="60% - Accent2 3 3" xfId="3565" xr:uid="{5AA88538-592E-4ED8-B0C5-C547A5D96FBE}"/>
    <cellStyle name="60% - Accent2 4" xfId="4559" xr:uid="{2E5C7417-F408-45F8-8117-EBCC4CCE9D1C}"/>
    <cellStyle name="60% - Accent2 4 3" xfId="4560" xr:uid="{F96365C7-ADB3-40C7-9ACC-E524A3BF6D27}"/>
    <cellStyle name="60% - Accent2 5" xfId="4561" xr:uid="{2E954BE7-3B85-4824-9B34-9DE1E0C9DF3E}"/>
    <cellStyle name="60% - Accent2 6" xfId="4562" xr:uid="{599E5958-442C-4072-8285-559CEC56866C}"/>
    <cellStyle name="60% - Accent2 7" xfId="4563" xr:uid="{AF1A6138-F057-42E1-916D-BABF90DD434E}"/>
    <cellStyle name="60% - Accent2 8" xfId="4564" xr:uid="{9182C3B0-A0AD-4E12-9FCF-AD2BA11308D8}"/>
    <cellStyle name="60% - Accent2 9" xfId="11596" xr:uid="{E03D4316-CEE1-4E03-8D03-FEAD673F34A7}"/>
    <cellStyle name="60% - Accent3" xfId="35" builtinId="40" customBuiltin="1"/>
    <cellStyle name="60% - Accent3 10" xfId="4565" xr:uid="{497B1CB5-39EC-47AC-AD48-6AE6FC30570E}"/>
    <cellStyle name="60% - Accent3 11" xfId="4566" xr:uid="{8EA5B88B-6978-409C-B556-AD68B7E3CF8A}"/>
    <cellStyle name="60% - Accent3 12" xfId="4567" xr:uid="{DF3D15E1-EB03-4B7B-97D8-4F3AFCE02082}"/>
    <cellStyle name="60% - Accent3 13" xfId="11597" xr:uid="{FF8C6058-F609-45DD-AD6F-6CC0334BCFD4}"/>
    <cellStyle name="60% - Accent3 2" xfId="315" xr:uid="{8F00D23F-6B03-4C12-8104-D8283DFC5815}"/>
    <cellStyle name="60% - Accent3 2 2" xfId="316" xr:uid="{4DC2E19A-B631-467B-ABFE-09C76FEA8A21}"/>
    <cellStyle name="60% - Accent3 2 2 2" xfId="317" xr:uid="{2E5A0C16-713F-43CD-8752-92EF7C394ADC}"/>
    <cellStyle name="60% - Accent3 2 2 2 2" xfId="4568" xr:uid="{DE0FEF25-289A-4166-B22C-839E3793584A}"/>
    <cellStyle name="60% - Accent3 2 2 3" xfId="4569" xr:uid="{7516671E-8AB1-4ADA-B9C2-26E68E87030D}"/>
    <cellStyle name="60% - Accent3 2 3" xfId="318" xr:uid="{35791571-022A-4421-8712-D6D91A77D3AF}"/>
    <cellStyle name="60% - Accent3 2 3 2" xfId="4570" xr:uid="{9A6F71EB-8A5B-46CE-A1B5-B67FFB8F5E5D}"/>
    <cellStyle name="60% - Accent3 2 3 3" xfId="4571" xr:uid="{B0FD5A76-C4D7-481F-A0A1-21BBE392B4F7}"/>
    <cellStyle name="60% - Accent3 2 4" xfId="319" xr:uid="{C9286C03-6834-4F4A-93BE-3F5F423EDCF0}"/>
    <cellStyle name="60% - Accent3 2 5" xfId="320" xr:uid="{7FED59FA-2221-4A13-B40D-F2CC67872C91}"/>
    <cellStyle name="60% - Accent3 2 5 2" xfId="4572" xr:uid="{0B059AA5-6DDE-4AC5-88A8-07CBBE93CED1}"/>
    <cellStyle name="60% - Accent3 2 6" xfId="321" xr:uid="{91FFA801-8B85-4F74-AEDD-C850FAC8B1C0}"/>
    <cellStyle name="60% - Accent3 2 6 2" xfId="4573" xr:uid="{18D29748-19AD-4276-ACCD-F039D05D8CD0}"/>
    <cellStyle name="60% - Accent3 3" xfId="322" xr:uid="{109F8DF7-1C39-42D0-B707-6C1768889500}"/>
    <cellStyle name="60% - Accent3 3 2" xfId="323" xr:uid="{C15B1E23-FE59-4575-A2F8-D0E258BDCF4E}"/>
    <cellStyle name="60% - Accent3 3 2 2" xfId="4574" xr:uid="{ED5771A0-3132-403C-B4D8-8F4FD4677AFD}"/>
    <cellStyle name="60% - Accent3 3 3" xfId="3566" xr:uid="{23CBB8D9-7477-40A8-B724-18329CAAC843}"/>
    <cellStyle name="60% - Accent3 3_TSL SAP BA Amt Journal Aug 10" xfId="4575" xr:uid="{A6E20154-D998-4E6C-BFD9-14C3D8412BCC}"/>
    <cellStyle name="60% - Accent3 4" xfId="4576" xr:uid="{103927B6-D159-4101-BE3D-A5E1C1C5BF05}"/>
    <cellStyle name="60% - Accent3 4 2" xfId="4577" xr:uid="{E67A1F45-E0CB-42EF-A33D-4F8A478C3518}"/>
    <cellStyle name="60% - Accent3 4 3" xfId="4578" xr:uid="{5E16218F-2B2D-46CF-9B4B-F78FF50E6609}"/>
    <cellStyle name="60% - Accent3 4_TSL SAP BA Amt Journal Aug 10" xfId="4579" xr:uid="{4C6FC79D-BCFE-4DC6-8B3C-40079F1D21EF}"/>
    <cellStyle name="60% - Accent3 5" xfId="4580" xr:uid="{AFEC490D-76D4-423F-BD4D-710D867B1EFE}"/>
    <cellStyle name="60% - Accent3 6" xfId="4581" xr:uid="{F17BAE31-270D-4953-9F44-99537F0C0CC6}"/>
    <cellStyle name="60% - Accent3 7" xfId="4582" xr:uid="{13E5D18A-41EA-419B-8414-3E23072041B0}"/>
    <cellStyle name="60% - Accent3 8" xfId="4583" xr:uid="{1ED99C93-FD37-4252-B463-8624964699AC}"/>
    <cellStyle name="60% - Accent3 9" xfId="4584" xr:uid="{9830DFDC-B6D7-4277-A08B-C64D3DD9FA99}"/>
    <cellStyle name="60% - Accent4" xfId="39" builtinId="44" customBuiltin="1"/>
    <cellStyle name="60% - Accent4 10" xfId="4585" xr:uid="{AC59982B-697D-48D0-B2B0-5A611E59484C}"/>
    <cellStyle name="60% - Accent4 11" xfId="4586" xr:uid="{D805537E-2546-4874-8B67-031CC64D68B7}"/>
    <cellStyle name="60% - Accent4 12" xfId="4587" xr:uid="{03855ED2-B629-468F-BA91-420D4E11385E}"/>
    <cellStyle name="60% - Accent4 13" xfId="11598" xr:uid="{E3D3C4A8-00C4-4534-9960-3D75E14C36D2}"/>
    <cellStyle name="60% - Accent4 2" xfId="324" xr:uid="{45E7ECC1-E898-4B59-95A8-67C02D550A20}"/>
    <cellStyle name="60% - Accent4 2 2" xfId="325" xr:uid="{E3A74EE2-41EA-4D98-BF92-75E5F9618B84}"/>
    <cellStyle name="60% - Accent4 2 2 2" xfId="326" xr:uid="{574BFC3B-0CDE-41C7-AC0E-D75231EE59D9}"/>
    <cellStyle name="60% - Accent4 2 2 2 2" xfId="4588" xr:uid="{C328246E-6CE1-4F09-9CB4-20A713E3E879}"/>
    <cellStyle name="60% - Accent4 2 2 3" xfId="4589" xr:uid="{6D46D8BA-7946-42F8-A77E-062F862B5154}"/>
    <cellStyle name="60% - Accent4 2 2_Bonds" xfId="4590" xr:uid="{40C5BBAC-6AE3-4422-ADDD-6EC040D40445}"/>
    <cellStyle name="60% - Accent4 2 3" xfId="327" xr:uid="{111B2E0E-E662-4230-A28B-C44AE13CFC67}"/>
    <cellStyle name="60% - Accent4 2 3 2" xfId="4591" xr:uid="{EE605AAE-97C3-419B-8995-4AF5DB187E1E}"/>
    <cellStyle name="60% - Accent4 2 3 3" xfId="4592" xr:uid="{5C73B6FD-ED36-456C-B083-90309499C255}"/>
    <cellStyle name="60% - Accent4 2 4" xfId="328" xr:uid="{A1F1A697-1ACF-48B9-8D0E-4491937211F3}"/>
    <cellStyle name="60% - Accent4 2 5" xfId="329" xr:uid="{52B57711-2A41-497B-B289-0942EDBC19AE}"/>
    <cellStyle name="60% - Accent4 2 5 2" xfId="4593" xr:uid="{EED0E773-0DDA-4DD5-A9F5-C363B7E63702}"/>
    <cellStyle name="60% - Accent4 2 6" xfId="330" xr:uid="{2CD0648E-A341-4609-9C85-50C96DDE69AB}"/>
    <cellStyle name="60% - Accent4 2 6 2" xfId="4594" xr:uid="{FA9A6BC4-0E1A-46DA-AED8-24AA9F255169}"/>
    <cellStyle name="60% - Accent4 3" xfId="331" xr:uid="{4A7DCF4C-1044-49E6-9068-804D18B19A39}"/>
    <cellStyle name="60% - Accent4 3 2" xfId="332" xr:uid="{5A511C45-A1A3-4DEB-84C4-3C90C6B2C4B0}"/>
    <cellStyle name="60% - Accent4 3 2 2" xfId="4595" xr:uid="{D054DE89-27EF-409E-B2FE-B05F4DE1643E}"/>
    <cellStyle name="60% - Accent4 3 3" xfId="3567" xr:uid="{B080053A-CEEA-4E88-82CF-6111ECA2E394}"/>
    <cellStyle name="60% - Accent4 3_TSL SAP BA Amt Journal Aug 10" xfId="4596" xr:uid="{E5CFFDE4-3A56-40BD-918B-0DF495F0CF94}"/>
    <cellStyle name="60% - Accent4 4" xfId="4597" xr:uid="{0776AB6B-A71E-413A-A248-E92843D662E5}"/>
    <cellStyle name="60% - Accent4 4 2" xfId="4598" xr:uid="{08114071-A5F2-4935-9DA1-275925989495}"/>
    <cellStyle name="60% - Accent4 4 3" xfId="4599" xr:uid="{344BB381-2EAF-459D-BACF-35668B690C1B}"/>
    <cellStyle name="60% - Accent4 4_TSL SAP BA Amt Journal Aug 10" xfId="4600" xr:uid="{EE148078-4573-460C-89BB-1E9EE89CFE1A}"/>
    <cellStyle name="60% - Accent4 5" xfId="4601" xr:uid="{F8BFC1C0-BCE7-4103-AF78-7AB9E9D30538}"/>
    <cellStyle name="60% - Accent4 6" xfId="4602" xr:uid="{5DED2903-3615-4C91-80F6-75D67B51CAE7}"/>
    <cellStyle name="60% - Accent4 7" xfId="4603" xr:uid="{CCBEC419-07E5-4DA8-830E-C56948B4EFC4}"/>
    <cellStyle name="60% - Accent4 8" xfId="4604" xr:uid="{0853FF41-6A18-43A2-8410-FC88AFCF0D48}"/>
    <cellStyle name="60% - Accent4 9" xfId="4605" xr:uid="{ACA5487B-533F-4F2E-863A-8B065A5E7F76}"/>
    <cellStyle name="60% - Accent5" xfId="43" builtinId="48" customBuiltin="1"/>
    <cellStyle name="60% - Accent5 2" xfId="333" xr:uid="{7629327A-ADC0-4B9D-A1EE-656EAD694955}"/>
    <cellStyle name="60% - Accent5 2 2" xfId="334" xr:uid="{E5A0272F-9271-431B-B691-D368267B36C1}"/>
    <cellStyle name="60% - Accent5 2 2 2" xfId="335" xr:uid="{0D43E4BA-7D2C-4DB3-AE79-589657298A02}"/>
    <cellStyle name="60% - Accent5 2 2 2 2" xfId="4606" xr:uid="{8D7EE807-3CC3-4C4F-A1D2-839DE3CC3D04}"/>
    <cellStyle name="60% - Accent5 2 2 3" xfId="4607" xr:uid="{27D8B032-69A2-4124-9DFE-1EA0A247709E}"/>
    <cellStyle name="60% - Accent5 2 3" xfId="336" xr:uid="{F2F9FECE-6969-496C-93D2-675146C3D097}"/>
    <cellStyle name="60% - Accent5 2 3 2" xfId="4608" xr:uid="{0E938127-99C6-424E-B190-0752A3A22515}"/>
    <cellStyle name="60% - Accent5 2 3 3" xfId="4609" xr:uid="{F390F36B-DCCD-4BA3-A0ED-99B565061679}"/>
    <cellStyle name="60% - Accent5 2 4" xfId="337" xr:uid="{2F0EC081-AE98-4476-8216-67671854E203}"/>
    <cellStyle name="60% - Accent5 2 5" xfId="338" xr:uid="{CA8BE10A-73C3-40D2-A2ED-33C993D35307}"/>
    <cellStyle name="60% - Accent5 2 5 2" xfId="4610" xr:uid="{5227DD7C-5AD4-4449-B5E6-DE8FF78A82DA}"/>
    <cellStyle name="60% - Accent5 2 6" xfId="4611" xr:uid="{EBB13DEF-C6CA-4A0C-AB4C-7F6906D9E15A}"/>
    <cellStyle name="60% - Accent5 3" xfId="339" xr:uid="{05FD1F1D-52B1-4433-B3A8-9F3601B40BE3}"/>
    <cellStyle name="60% - Accent5 3 2" xfId="340" xr:uid="{5D61405E-C839-432B-AF62-1C7B226289E8}"/>
    <cellStyle name="60% - Accent5 4" xfId="4612" xr:uid="{D83920DD-BC30-46B3-BB34-0D421A1EF4B9}"/>
    <cellStyle name="60% - Accent5 4 2" xfId="4613" xr:uid="{26078B57-9775-48F6-A263-07439E69687E}"/>
    <cellStyle name="60% - Accent5 4 3" xfId="4614" xr:uid="{2D0EF8D4-DCAF-486B-A444-5E882EC141A4}"/>
    <cellStyle name="60% - Accent5 5" xfId="4615" xr:uid="{0CBD0EE7-7228-4C0E-AACC-B202584AB58D}"/>
    <cellStyle name="60% - Accent5 6" xfId="4616" xr:uid="{EA50B8D8-568C-4D12-81CC-65092D14A302}"/>
    <cellStyle name="60% - Accent5 7" xfId="4617" xr:uid="{379E0375-9A0F-4DE3-83E5-2AB24B7ED654}"/>
    <cellStyle name="60% - Accent5 8" xfId="11599" xr:uid="{F644A906-7B5E-40CC-BC73-91508672323A}"/>
    <cellStyle name="60% - Accent6" xfId="47" builtinId="52" customBuiltin="1"/>
    <cellStyle name="60% - Accent6 10" xfId="4618" xr:uid="{D953D5B8-F104-4195-B701-E5671FC50A22}"/>
    <cellStyle name="60% - Accent6 11" xfId="4619" xr:uid="{421B2590-2F48-4BA8-B99A-22FAD35FE2C1}"/>
    <cellStyle name="60% - Accent6 12" xfId="4620" xr:uid="{ED76A7F7-3A3A-48D8-9AD5-2C85BC4115E6}"/>
    <cellStyle name="60% - Accent6 13" xfId="11600" xr:uid="{EA0337E8-92A2-4D66-852B-852E7700D408}"/>
    <cellStyle name="60% - Accent6 2" xfId="341" xr:uid="{6CE42C25-8657-4FB3-97FC-2BFF3A627541}"/>
    <cellStyle name="60% - Accent6 2 2" xfId="342" xr:uid="{F774AF72-73E1-4FA5-BB6B-AA6C4588BE89}"/>
    <cellStyle name="60% - Accent6 2 2 2" xfId="343" xr:uid="{C631750F-ABD7-47F7-99D2-4375E2ADE78F}"/>
    <cellStyle name="60% - Accent6 2 2 2 2" xfId="4621" xr:uid="{BC987FAB-0DC1-4590-966B-268609C8FBC8}"/>
    <cellStyle name="60% - Accent6 2 2 3" xfId="4622" xr:uid="{08A9957D-1F37-409C-9A2B-F20FFC3EBA47}"/>
    <cellStyle name="60% - Accent6 2 2_Bonds" xfId="4623" xr:uid="{00F571BA-5E1D-4416-AC82-77AA3AC21433}"/>
    <cellStyle name="60% - Accent6 2 3" xfId="344" xr:uid="{42D86312-C700-467B-A0E0-73DEE752A550}"/>
    <cellStyle name="60% - Accent6 2 3 2" xfId="4624" xr:uid="{E1064BE6-B27B-408B-BDA8-860F26B659D6}"/>
    <cellStyle name="60% - Accent6 2 3 3" xfId="4625" xr:uid="{087565AC-DD22-4550-AE4C-2C822BC152DF}"/>
    <cellStyle name="60% - Accent6 2 4" xfId="345" xr:uid="{10AD7967-999D-4F22-BF2A-B04C327B6760}"/>
    <cellStyle name="60% - Accent6 2 5" xfId="346" xr:uid="{39DDBB9A-EAB2-4F02-A1E3-E5B0E35A4247}"/>
    <cellStyle name="60% - Accent6 2 5 2" xfId="4626" xr:uid="{322CE30C-C161-4ABB-A6D2-749FDD5CDBBD}"/>
    <cellStyle name="60% - Accent6 2 6" xfId="347" xr:uid="{43E9027A-E9E7-440B-A10E-68967A9CE342}"/>
    <cellStyle name="60% - Accent6 2 6 2" xfId="4627" xr:uid="{F2DFC7C4-8BE3-43CF-B2BB-098FD2505D26}"/>
    <cellStyle name="60% - Accent6 3" xfId="348" xr:uid="{1CBBF5DC-120F-4F34-B1EA-F320DD57E082}"/>
    <cellStyle name="60% - Accent6 3 2" xfId="349" xr:uid="{47016FDB-78A9-49A1-BF8C-A72634CD592C}"/>
    <cellStyle name="60% - Accent6 3 2 2" xfId="4628" xr:uid="{5AB5DB1B-A506-4224-9817-34B710312FDA}"/>
    <cellStyle name="60% - Accent6 3 3" xfId="3568" xr:uid="{0B8358DA-318A-46EB-9AD2-2AD115CB21E7}"/>
    <cellStyle name="60% - Accent6 3_TSL SAP BA Amt Journal Aug 10" xfId="4629" xr:uid="{C80D4675-5D09-404C-BB62-AEFEF5376559}"/>
    <cellStyle name="60% - Accent6 4" xfId="4630" xr:uid="{76B2B861-FBEB-4C6A-8148-4E694B4FD742}"/>
    <cellStyle name="60% - Accent6 4 2" xfId="4631" xr:uid="{0561C610-0378-4BF4-A015-284111613628}"/>
    <cellStyle name="60% - Accent6 4 3" xfId="4632" xr:uid="{8755A90E-79E2-4371-8DCB-1444B94152CB}"/>
    <cellStyle name="60% - Accent6 4_TSL SAP BA Amt Journal Aug 10" xfId="4633" xr:uid="{D701A792-020B-4714-9A81-5DBA39B9F560}"/>
    <cellStyle name="60% - Accent6 5" xfId="4634" xr:uid="{6391922E-3EBC-4B6E-A664-A78362688BAB}"/>
    <cellStyle name="60% - Accent6 6" xfId="4635" xr:uid="{2208A3C9-3759-4147-B7BD-D67860B105C0}"/>
    <cellStyle name="60% - Accent6 7" xfId="4636" xr:uid="{B10BA2C6-DB34-4DE6-AE8E-69BB9DAB5F79}"/>
    <cellStyle name="60% - Accent6 8" xfId="4637" xr:uid="{3592FB65-CC2C-4524-A165-29494C8EA09B}"/>
    <cellStyle name="60% - Accent6 9" xfId="4638" xr:uid="{E4F20061-2D55-463F-85DA-123F3251ED84}"/>
    <cellStyle name="60% - 輔色1" xfId="350" xr:uid="{B90152A0-3A38-49FC-A25E-1308087C8AAB}"/>
    <cellStyle name="60% - 輔色2" xfId="351" xr:uid="{25639814-5F51-4661-B5F6-E4F288232443}"/>
    <cellStyle name="60% - 輔色3" xfId="352" xr:uid="{918301F5-254A-44FD-8359-BC4B70EC4E5B}"/>
    <cellStyle name="60% - 輔色4" xfId="353" xr:uid="{09195A1C-117C-40F0-B848-B4D60C1A2167}"/>
    <cellStyle name="60% - 輔色5" xfId="354" xr:uid="{D72ABA53-28E6-4935-BE22-52B28E4F83EA}"/>
    <cellStyle name="60% - 輔色6" xfId="355" xr:uid="{014DCE61-DF06-4547-A068-34560641176C}"/>
    <cellStyle name="A" xfId="4639" xr:uid="{BC698EB0-AED9-448B-A67A-B41AA909E8AB}"/>
    <cellStyle name="Accent1" xfId="24" builtinId="29" customBuiltin="1"/>
    <cellStyle name="Accent1 10" xfId="4640" xr:uid="{B56E675F-15FB-4DD9-A0E8-66D315304D92}"/>
    <cellStyle name="Accent1 11" xfId="4641" xr:uid="{8F933AA9-02CD-4EC4-AB02-D5A0EBB6EF43}"/>
    <cellStyle name="Accent1 12" xfId="4642" xr:uid="{19F47095-398C-4D81-88E1-379BF65B5C8E}"/>
    <cellStyle name="Accent1 2" xfId="356" xr:uid="{3A367272-78AD-49E8-9D76-7EBEE7C1D7BB}"/>
    <cellStyle name="Accent1 2 2" xfId="357" xr:uid="{032B0A0B-A394-4D92-BDC9-51E1588D09A6}"/>
    <cellStyle name="Accent1 2 2 2" xfId="358" xr:uid="{7A8F9F8A-BA3E-44A5-A0C5-ECDCB1F19E3B}"/>
    <cellStyle name="Accent1 2 2 2 2" xfId="4643" xr:uid="{E3F271F7-FB7D-4326-B862-88F1DD372D35}"/>
    <cellStyle name="Accent1 2 2 3" xfId="4644" xr:uid="{2FC2110B-40D5-4820-8C1B-9E5880CD76CC}"/>
    <cellStyle name="Accent1 2 2_Bonds" xfId="4645" xr:uid="{A507DAFA-170B-4EA4-A6BB-6F2D548FDAEC}"/>
    <cellStyle name="Accent1 2 3" xfId="359" xr:uid="{DF054A55-839D-4A62-AA1E-B027DC7FDEF1}"/>
    <cellStyle name="Accent1 2 3 2" xfId="4646" xr:uid="{540E5130-0395-4CE1-AFA2-8BDAFA07C8E9}"/>
    <cellStyle name="Accent1 2 3 3" xfId="4647" xr:uid="{422F0349-CDAA-4A05-AB60-4E9AE5C48E5C}"/>
    <cellStyle name="Accent1 2 4" xfId="360" xr:uid="{B65F9ED2-765F-424A-95B7-FB08E317D164}"/>
    <cellStyle name="Accent1 2 5" xfId="361" xr:uid="{CF238D41-0B63-45C5-9A95-F3C87B979287}"/>
    <cellStyle name="Accent1 2 5 2" xfId="4648" xr:uid="{66A882F1-8FAB-47CF-BF68-3E92328D2956}"/>
    <cellStyle name="Accent1 2 6" xfId="362" xr:uid="{70BF3459-A993-4C0A-9409-ED9D2BB2B696}"/>
    <cellStyle name="Accent1 2 6 2" xfId="4649" xr:uid="{0D53E42F-0D71-4553-B9ED-AD5BE2013E55}"/>
    <cellStyle name="Accent1 3" xfId="363" xr:uid="{FA14FBDD-FC3C-4EAA-9AED-D23B16641744}"/>
    <cellStyle name="Accent1 3 2" xfId="364" xr:uid="{3D6836C9-9DCC-4117-B781-0A9C95CFF7B4}"/>
    <cellStyle name="Accent1 3 2 2" xfId="4650" xr:uid="{3CAC6DEA-7BCE-4B94-8AC1-8F11B420058F}"/>
    <cellStyle name="Accent1 3_TSL SAP BA Amt Journal Aug 10" xfId="4651" xr:uid="{0717D0C6-AB31-4A39-86CF-53DA3F2D9238}"/>
    <cellStyle name="Accent1 4" xfId="4652" xr:uid="{4CEAAAB7-1C2A-4F6D-8EE6-9FA8D8532039}"/>
    <cellStyle name="Accent1 4 2" xfId="4653" xr:uid="{D0E150DD-0257-4A80-A179-E810ADB24C86}"/>
    <cellStyle name="Accent1 4 3" xfId="4654" xr:uid="{FEB44641-043F-4A7B-8653-09809FFFB3C9}"/>
    <cellStyle name="Accent1 4_TSL SAP BA Amt Journal Aug 10" xfId="4655" xr:uid="{7626D429-D35C-4D11-A4AB-AD93719E5200}"/>
    <cellStyle name="Accent1 5" xfId="4656" xr:uid="{641FC9A6-23A2-4C11-AB11-3BA5C4F0CDC8}"/>
    <cellStyle name="Accent1 6" xfId="4657" xr:uid="{1178F9ED-BB33-4CF4-9C02-F2EEBB7B0D90}"/>
    <cellStyle name="Accent1 7" xfId="4658" xr:uid="{1F62944E-015A-4BDE-AD69-F51E76204FB1}"/>
    <cellStyle name="Accent1 8" xfId="4659" xr:uid="{569D32B6-CED6-4EFD-9CAC-DCA464FBA3D8}"/>
    <cellStyle name="Accent1 9" xfId="4660" xr:uid="{7DF2E585-8897-4446-AE7D-06B5B2A631F5}"/>
    <cellStyle name="Accent2" xfId="28" builtinId="33" customBuiltin="1"/>
    <cellStyle name="Accent2 2" xfId="365" xr:uid="{B4866120-3678-4AE7-8019-B80E7DCB4360}"/>
    <cellStyle name="Accent2 2 2" xfId="366" xr:uid="{D11E2C7A-E44D-4345-A9D4-B7BC29EDD32F}"/>
    <cellStyle name="Accent2 2 2 2" xfId="367" xr:uid="{6FFA4D8E-191E-4167-99BA-A0A2715B4E58}"/>
    <cellStyle name="Accent2 2 2 2 2" xfId="4661" xr:uid="{8E653205-0F1F-4F19-B358-7DB8D9C5040E}"/>
    <cellStyle name="Accent2 2 2 3" xfId="4662" xr:uid="{E3A7467B-1967-4EFF-AF50-0006EEF45265}"/>
    <cellStyle name="Accent2 2 3" xfId="368" xr:uid="{BC15F3F7-D04B-46C5-A05C-7514FC30F35A}"/>
    <cellStyle name="Accent2 2 3 2" xfId="4663" xr:uid="{B255FD08-423C-4EDE-9F66-149D97C05FA4}"/>
    <cellStyle name="Accent2 2 3 3" xfId="4664" xr:uid="{F0BFB9C4-FF3A-4788-9C95-93D99D43B821}"/>
    <cellStyle name="Accent2 2 4" xfId="369" xr:uid="{A8C4C0CC-A30B-46DE-B8C3-0A5EB1EDA8FB}"/>
    <cellStyle name="Accent2 2 5" xfId="370" xr:uid="{F9B08776-A5FD-4235-9AE6-7DB7515ADC89}"/>
    <cellStyle name="Accent2 2 5 2" xfId="4665" xr:uid="{8C3271F8-EFCE-4CF4-B2B0-CC9F9BDBD133}"/>
    <cellStyle name="Accent2 2 6" xfId="371" xr:uid="{846E8966-83B6-40C3-B73A-8D122BBAC539}"/>
    <cellStyle name="Accent2 2 6 2" xfId="4666" xr:uid="{0EC454EB-A951-4047-85F1-B362F009E6B0}"/>
    <cellStyle name="Accent2 3" xfId="372" xr:uid="{19331216-96C0-4AFF-BFA7-65D08D2BDAFC}"/>
    <cellStyle name="Accent2 3 2" xfId="373" xr:uid="{72C3CE10-F20F-4FAA-8BEC-2120ED32CE7A}"/>
    <cellStyle name="Accent2 3 2 2" xfId="4667" xr:uid="{9AFFC919-1ED8-4EC4-88D2-594D4B88EF9C}"/>
    <cellStyle name="Accent2 4" xfId="4668" xr:uid="{647D92CB-BBBD-471D-8D4A-CFA2E5049311}"/>
    <cellStyle name="Accent2 4 2" xfId="4669" xr:uid="{136AD02E-335C-4443-8407-50E1D36BFE57}"/>
    <cellStyle name="Accent2 4 3" xfId="4670" xr:uid="{D21207BC-79DC-4F2E-91ED-3F2AB6A5FDDF}"/>
    <cellStyle name="Accent2 5" xfId="4671" xr:uid="{962327BE-BE9F-4A26-B96A-57B6A2D9E15D}"/>
    <cellStyle name="Accent2 6" xfId="4672" xr:uid="{7316E414-7DF8-4BAD-B47E-6F12062C7CAB}"/>
    <cellStyle name="Accent2 7" xfId="4673" xr:uid="{39138391-9CBC-4E12-9876-6B184404899C}"/>
    <cellStyle name="Accent2 8" xfId="4674" xr:uid="{7DAF7718-AFB7-474C-812F-FCF7F19B1E15}"/>
    <cellStyle name="Accent3" xfId="32" builtinId="37" customBuiltin="1"/>
    <cellStyle name="Accent3 2" xfId="374" xr:uid="{20BF672B-96A7-42E9-8794-FB1CB77AFBEB}"/>
    <cellStyle name="Accent3 2 2" xfId="375" xr:uid="{05A9C39F-3020-4D6A-961A-0B91B63C4C52}"/>
    <cellStyle name="Accent3 2 2 2" xfId="376" xr:uid="{DBB0E17C-16C7-473A-BB07-66C0F0FA4962}"/>
    <cellStyle name="Accent3 2 2 2 2" xfId="4675" xr:uid="{8FE26133-A5EC-4694-897D-90FA10085D08}"/>
    <cellStyle name="Accent3 2 2 3" xfId="4676" xr:uid="{EAA2D4EA-C0D0-453E-9472-DB5AA861D256}"/>
    <cellStyle name="Accent3 2 3" xfId="377" xr:uid="{E4C49B17-E7C3-4CF8-904E-81A3CDA19E33}"/>
    <cellStyle name="Accent3 2 3 2" xfId="4677" xr:uid="{E593C7E5-4562-4183-BCC3-E2CF1AB04065}"/>
    <cellStyle name="Accent3 2 3 3" xfId="4678" xr:uid="{58CA8A1D-0AA3-4F3F-BC95-24C0F6C7C955}"/>
    <cellStyle name="Accent3 2 4" xfId="378" xr:uid="{1B994574-D1EB-40D0-8DDC-35FC52613172}"/>
    <cellStyle name="Accent3 2 5" xfId="379" xr:uid="{67CCD70B-E530-413A-BD81-48F3676AA7F6}"/>
    <cellStyle name="Accent3 2 5 2" xfId="4679" xr:uid="{01CB3417-AE30-4C60-8061-419E4400BE37}"/>
    <cellStyle name="Accent3 2 6" xfId="380" xr:uid="{4D8DD208-AAAF-411E-8D1D-372BE6ADAB92}"/>
    <cellStyle name="Accent3 2 6 2" xfId="4680" xr:uid="{D0739A28-64CE-4C13-88C0-C04462714193}"/>
    <cellStyle name="Accent3 3" xfId="381" xr:uid="{D76316AE-E6A9-44D4-89F6-8B2255452FBD}"/>
    <cellStyle name="Accent3 3 2" xfId="382" xr:uid="{57E60BAC-9661-4051-8E76-107AEC7B54D9}"/>
    <cellStyle name="Accent3 3 2 2" xfId="4681" xr:uid="{3F425D26-65C2-4BA5-ACB5-0F5276031471}"/>
    <cellStyle name="Accent3 4" xfId="4682" xr:uid="{295D1E29-0A69-4395-8288-8EC7E01EB154}"/>
    <cellStyle name="Accent3 4 2" xfId="4683" xr:uid="{9CEA9001-836C-4B14-B294-F232F6ED5458}"/>
    <cellStyle name="Accent3 4 3" xfId="4684" xr:uid="{EBEE6038-BA57-4D87-99BF-7C8A78259FD6}"/>
    <cellStyle name="Accent3 5" xfId="4685" xr:uid="{8C726E38-194B-41D6-9449-7FEE8D919E01}"/>
    <cellStyle name="Accent3 6" xfId="4686" xr:uid="{A4EF0142-2596-46FA-A86A-ABF473DC862D}"/>
    <cellStyle name="Accent3 7" xfId="4687" xr:uid="{75F79459-5989-4E14-89CB-71DE4F3460FF}"/>
    <cellStyle name="Accent3 8" xfId="4688" xr:uid="{45D1E3FD-0D48-4CA0-B46F-F489A0D5AFEC}"/>
    <cellStyle name="Accent4" xfId="36" builtinId="41" customBuiltin="1"/>
    <cellStyle name="Accent4 10" xfId="4689" xr:uid="{60FEBA4F-CCF8-4EC8-BADD-E7FCCF13AA53}"/>
    <cellStyle name="Accent4 11" xfId="4690" xr:uid="{FE6BF78C-7150-4D7B-A7E7-B5598A7E8DCE}"/>
    <cellStyle name="Accent4 12" xfId="4691" xr:uid="{5ED1BD6B-76C0-4D45-B0EA-8CFA1BEA5CD9}"/>
    <cellStyle name="Accent4 2" xfId="383" xr:uid="{768D3A97-0B52-4D72-A809-6720EDB68F0B}"/>
    <cellStyle name="Accent4 2 2" xfId="384" xr:uid="{CF689239-ED6C-45E4-87AC-2E84F245976E}"/>
    <cellStyle name="Accent4 2 2 2" xfId="385" xr:uid="{C12EDECC-72A8-4D1A-88DC-0C2D43678EBD}"/>
    <cellStyle name="Accent4 2 2 2 2" xfId="4692" xr:uid="{0355AEE3-5979-44E8-B65A-845FA0ECE218}"/>
    <cellStyle name="Accent4 2 2 3" xfId="4693" xr:uid="{9B8B8212-CBC0-46F4-8061-485B3E38459F}"/>
    <cellStyle name="Accent4 2 2_Bonds" xfId="4694" xr:uid="{C7A8A7BA-C3B2-460F-9FB3-6298F2A719AE}"/>
    <cellStyle name="Accent4 2 3" xfId="386" xr:uid="{E442DEC7-0A75-46D9-A2F2-600BE7AFABB9}"/>
    <cellStyle name="Accent4 2 3 2" xfId="4695" xr:uid="{F883C70A-415C-4CF6-AC28-651029B88595}"/>
    <cellStyle name="Accent4 2 3 3" xfId="4696" xr:uid="{9D8CDFAF-B424-45E5-B0E7-8C23F032581E}"/>
    <cellStyle name="Accent4 2 4" xfId="387" xr:uid="{C10D6E24-15DF-4970-B61F-F44B558304A7}"/>
    <cellStyle name="Accent4 2 5" xfId="388" xr:uid="{4B43D7B0-098D-4776-9BED-68E7F9B8F73F}"/>
    <cellStyle name="Accent4 2 5 2" xfId="4697" xr:uid="{3AD6DE4C-61F7-41B3-AE22-41FF4E43DA20}"/>
    <cellStyle name="Accent4 2 6" xfId="4698" xr:uid="{F8E44C87-2764-4557-83AB-9DE2282EEB5B}"/>
    <cellStyle name="Accent4 3" xfId="389" xr:uid="{3DFEA45E-54AC-4CC2-833B-B2F540281E7B}"/>
    <cellStyle name="Accent4 3 2" xfId="390" xr:uid="{5E9AA384-CE5F-4B4E-A191-CC92DE47AE83}"/>
    <cellStyle name="Accent4 3 2 2" xfId="4699" xr:uid="{14A722C6-8804-413B-B0FF-E32127B18B6B}"/>
    <cellStyle name="Accent4 3_TSL SAP BA Amt Journal Aug 10" xfId="4700" xr:uid="{11D811CE-2124-4B3A-B671-4388EFD08EBF}"/>
    <cellStyle name="Accent4 4" xfId="4701" xr:uid="{AAE75256-049E-4FF6-9096-1D437265712E}"/>
    <cellStyle name="Accent4 4 2" xfId="4702" xr:uid="{64F0A025-908F-452E-AFE3-64F1E99631A1}"/>
    <cellStyle name="Accent4 4 3" xfId="4703" xr:uid="{17728652-5B31-4608-A9F4-EB43BEC6DF74}"/>
    <cellStyle name="Accent4 4_TSL SAP BA Amt Journal Aug 10" xfId="4704" xr:uid="{DF5350FF-88CE-4E73-A13C-F9E59F383C75}"/>
    <cellStyle name="Accent4 5" xfId="4705" xr:uid="{499A3266-00DC-417E-ACDC-3C42DE08F258}"/>
    <cellStyle name="Accent4 6" xfId="4706" xr:uid="{E7287316-9172-4797-9216-DCB25E7E2ECE}"/>
    <cellStyle name="Accent4 7" xfId="4707" xr:uid="{45F22A93-8221-43ED-B4D2-B5BB37EB0FB6}"/>
    <cellStyle name="Accent4 8" xfId="4708" xr:uid="{B8D254C1-D1CC-4CAB-AD5D-B1E6C8A8DE5E}"/>
    <cellStyle name="Accent4 9" xfId="4709" xr:uid="{CB115B14-7792-4E2F-857E-F83A3A9CF583}"/>
    <cellStyle name="Accent5" xfId="40" builtinId="45" customBuiltin="1"/>
    <cellStyle name="Accent5 2" xfId="391" xr:uid="{72FE5630-5C62-4082-8B15-41233D04ED2A}"/>
    <cellStyle name="Accent5 2 2" xfId="392" xr:uid="{F2AF6920-F7A4-4CA5-9284-1CEA0EBF4985}"/>
    <cellStyle name="Accent5 2 2 2" xfId="393" xr:uid="{5C94E0A0-7B83-40FD-A8D2-2FCF5CACA5FF}"/>
    <cellStyle name="Accent5 2 3" xfId="394" xr:uid="{86395535-6DB4-4841-9E9A-3DBDA7DFA380}"/>
    <cellStyle name="Accent5 2 3 2" xfId="4710" xr:uid="{6044C7FC-78DB-466E-ACAE-588B1D0E3CB2}"/>
    <cellStyle name="Accent5 2 3 3" xfId="4711" xr:uid="{D1602A0B-DAB3-45D0-BDAD-C6DA1843DAB0}"/>
    <cellStyle name="Accent5 2 4" xfId="395" xr:uid="{9FA61B79-9252-47FF-A03C-2FF3C545AAA2}"/>
    <cellStyle name="Accent5 2 5" xfId="396" xr:uid="{38CC4BCB-6E45-4D44-8D9E-4D978AC88456}"/>
    <cellStyle name="Accent5 2 5 2" xfId="4712" xr:uid="{A2EEC895-D541-466C-A5B7-AA5DA49ABE90}"/>
    <cellStyle name="Accent5 2 6" xfId="4713" xr:uid="{429BAD78-10C3-49CF-9C82-80C6E4639140}"/>
    <cellStyle name="Accent5 3" xfId="397" xr:uid="{F5510B11-DFE9-4BF5-BDEF-42E8D67EC0A7}"/>
    <cellStyle name="Accent5 3 2" xfId="398" xr:uid="{278D11A8-959D-45B3-8FA7-0E3127F3D9D4}"/>
    <cellStyle name="Accent5 3 2 2" xfId="4714" xr:uid="{AA3C34EE-D8C9-4BC2-9D6C-5051D2F8895C}"/>
    <cellStyle name="Accent5 4" xfId="4715" xr:uid="{E7A7BBA2-5AD1-4C96-9BA5-BB7C3BDCE385}"/>
    <cellStyle name="Accent5 4 2" xfId="4716" xr:uid="{AFF740E8-6031-42A2-B878-4EC2A1CE1036}"/>
    <cellStyle name="Accent5 4 3" xfId="4717" xr:uid="{42FA4AE0-957F-4B9C-99AD-4C653410C059}"/>
    <cellStyle name="Accent5 5" xfId="4718" xr:uid="{9F2B55E9-4EB1-4983-9874-483DB2740043}"/>
    <cellStyle name="Accent5 6" xfId="4719" xr:uid="{423650DC-FCAD-4CB0-B3C5-97650FBB5E3F}"/>
    <cellStyle name="Accent5 7" xfId="4720" xr:uid="{92B72AA5-24BE-4B16-B9D0-8FB048E24C76}"/>
    <cellStyle name="Accent5 8" xfId="4721" xr:uid="{4459BF1A-3B9A-4771-B805-672D0B16F70E}"/>
    <cellStyle name="Accent6" xfId="44" builtinId="49" customBuiltin="1"/>
    <cellStyle name="Accent6 2" xfId="399" xr:uid="{251F417C-5056-4AEB-A5CE-60D8662BBE62}"/>
    <cellStyle name="Accent6 2 2" xfId="400" xr:uid="{96C19CE4-03F4-4E08-947A-57733A05C16F}"/>
    <cellStyle name="Accent6 2 2 2" xfId="401" xr:uid="{F697A38F-D085-4D15-9BF3-BA64200BEA2F}"/>
    <cellStyle name="Accent6 2 3" xfId="402" xr:uid="{1F2A6BD0-2D5A-4095-BA75-7C815A3A86A9}"/>
    <cellStyle name="Accent6 2 4" xfId="403" xr:uid="{F511A2A1-20A1-4858-A1A2-B5C4F6AF7602}"/>
    <cellStyle name="Accent6 2 5" xfId="404" xr:uid="{835991DC-7D13-4E93-8B22-51E492D72206}"/>
    <cellStyle name="Accent6 2 5 2" xfId="4722" xr:uid="{27014A24-C92E-4384-99B2-F553D4A9BE59}"/>
    <cellStyle name="Accent6 2 6" xfId="405" xr:uid="{540D94B8-3466-478E-8044-D6E8E09B2423}"/>
    <cellStyle name="Accent6 2 6 2" xfId="4723" xr:uid="{4DA3F2C3-AF91-4E2A-A331-25FCE32A6304}"/>
    <cellStyle name="Accent6 3" xfId="406" xr:uid="{772CD641-538B-43FA-BF67-E569549F79E8}"/>
    <cellStyle name="Accent6 3 2" xfId="407" xr:uid="{FD3D3EE3-73AB-49EC-80EB-9B2477B35C41}"/>
    <cellStyle name="Accent6 3 2 2" xfId="4724" xr:uid="{769318F6-0ACC-413C-B711-E5B7ACFEEB0D}"/>
    <cellStyle name="Accent6 4" xfId="4725" xr:uid="{1628E3FC-34C9-4968-A1D1-41F186AFEE93}"/>
    <cellStyle name="Accent6 4 2" xfId="4726" xr:uid="{74B86200-301C-4C65-95F3-10326438A42F}"/>
    <cellStyle name="Accent6 4 3" xfId="4727" xr:uid="{9DE3A61B-FF15-4A16-BAEF-FF1B426B0E35}"/>
    <cellStyle name="Accent6 5" xfId="4728" xr:uid="{84892367-90FD-4F32-9D7C-4F5327BFFFD9}"/>
    <cellStyle name="Accent6 6" xfId="4729" xr:uid="{89F1A3E7-E93C-45BB-A5A1-D92EB3E0CC55}"/>
    <cellStyle name="Accent6 7" xfId="4730" xr:uid="{000A6F52-C7F0-4056-937C-C350D22A917F}"/>
    <cellStyle name="Accent6 8" xfId="4731" xr:uid="{76FA5F2B-18C1-4980-AB43-64C61DD4C104}"/>
    <cellStyle name="Account title" xfId="408" xr:uid="{F51C6653-6E82-4826-9AC3-4BBBF3DF1FD9}"/>
    <cellStyle name="ADCE Model" xfId="409" xr:uid="{D2B4EF0F-ACBB-4284-88A1-7B48E00D7469}"/>
    <cellStyle name="ÅëÈ­ [0]_´ë¿ìÃâÇÏ¿äÃ» " xfId="4732" xr:uid="{8FCC4352-AF33-462C-AD9B-3AE623A8DE3A}"/>
    <cellStyle name="ÅëÈ­_´ë¿ìÃâÇÏ¿äÃ» " xfId="4733" xr:uid="{C9E47B98-267E-49E1-A1CB-FC5A85489CF1}"/>
    <cellStyle name="APS330_Checksum" xfId="4734" xr:uid="{525E9F57-D022-43D6-9DB8-ACCDF009CE84}"/>
    <cellStyle name="AS Input Middle Currency" xfId="410" xr:uid="{7672DC78-8F8C-44B7-B652-8A1F8520133F}"/>
    <cellStyle name="AS Input Middle Currency 2" xfId="4735" xr:uid="{05D3614C-FF7B-4AD5-8E8F-25684877A2F4}"/>
    <cellStyle name="AS Input Middle Currency 2 2" xfId="4736" xr:uid="{3D7A2B1A-8E04-4B59-8A09-F0D130E55D6D}"/>
    <cellStyle name="AS Input Middle Currency 3" xfId="4737" xr:uid="{70328E4A-0C9D-4856-B729-C2CAC41F3676}"/>
    <cellStyle name="AS Input Middle Currency 4" xfId="4738" xr:uid="{B5DD35B8-24E9-4978-B38E-97C0CBD56218}"/>
    <cellStyle name="AS Input Middle Currency_Check Totals" xfId="4739" xr:uid="{4A5FD1F3-22A1-4113-9C14-117B6710A4D7}"/>
    <cellStyle name="AS Input Middle Date" xfId="411" xr:uid="{CE974E13-6930-4D32-B6CF-404263CDDB20}"/>
    <cellStyle name="AS Input Middle Date 2" xfId="4740" xr:uid="{48B0E658-F6CD-4854-8547-8A5180395561}"/>
    <cellStyle name="AS Input Middle Date 2 2" xfId="4741" xr:uid="{2D1AA225-53B9-4CBA-A011-BA02A11C7FB7}"/>
    <cellStyle name="AS Input Middle Date 3" xfId="4742" xr:uid="{B3A7F284-577F-463F-8BAE-F227A068F274}"/>
    <cellStyle name="AS Input Middle Date 4" xfId="4743" xr:uid="{A7699B5C-47E6-418A-A3A3-25CB911307B4}"/>
    <cellStyle name="AS Input Middle Date_Check Totals" xfId="4744" xr:uid="{6F852678-CCF8-40B3-8AE4-20837664F0BD}"/>
    <cellStyle name="AS Input Middle Multiple" xfId="412" xr:uid="{CEB38870-8455-43A6-90AD-FA302D155819}"/>
    <cellStyle name="AS Input Middle Multiple 2" xfId="4745" xr:uid="{FBBE8493-B930-4DF6-81EC-73EEC2382306}"/>
    <cellStyle name="AS Input Middle Multiple 2 2" xfId="4746" xr:uid="{FBAF638A-05D3-4D44-8A94-682860137AC1}"/>
    <cellStyle name="AS Input Middle Multiple 3" xfId="4747" xr:uid="{1724EE4F-C8F3-4BA5-8A58-E960B029F6ED}"/>
    <cellStyle name="AS Input Middle Multiple 4" xfId="4748" xr:uid="{7AB6DC40-B355-4776-A172-8B8137DFDE9F}"/>
    <cellStyle name="AS Input Middle Multiple_Check Totals" xfId="4749" xr:uid="{47AAEE24-EEBC-45CA-BAEE-2CFCBC8F6CB7}"/>
    <cellStyle name="AS Input Middle Number" xfId="413" xr:uid="{E42FB50E-9786-4B6C-AE79-439B550C405A}"/>
    <cellStyle name="AS Input Middle Number 2" xfId="4750" xr:uid="{54F4D416-1F0D-4A64-80B0-BBEC6D2748A8}"/>
    <cellStyle name="AS Input Middle Number 2 2" xfId="4751" xr:uid="{88F0D4F3-F532-406D-AABB-C9867EC4D733}"/>
    <cellStyle name="AS Input Middle Number 3" xfId="4752" xr:uid="{084E793A-3B19-4D03-8BD3-3CD96A91ED0A}"/>
    <cellStyle name="AS Input Middle Number 4" xfId="4753" xr:uid="{E7D47F2C-5A63-408D-88F2-16BE70FF59A3}"/>
    <cellStyle name="AS Input Middle Number_Check Totals" xfId="4754" xr:uid="{DB7DACA5-2A75-4575-BD81-2D5ABF2BDE19}"/>
    <cellStyle name="AS Input Middle Percentage" xfId="414" xr:uid="{E20C83FD-BE6E-49D9-86A7-497C2A47BA59}"/>
    <cellStyle name="AS Input Middle Percentage 2" xfId="4755" xr:uid="{44F1B1DB-C5EA-40C4-AE70-14F3F0B51473}"/>
    <cellStyle name="AS Input Middle Percentage 2 2" xfId="4756" xr:uid="{076F4CBC-9D25-4B85-9BDC-009005C5E815}"/>
    <cellStyle name="AS Input Middle Percentage 3" xfId="4757" xr:uid="{A43409B6-C41E-4164-8840-38B38E33097A}"/>
    <cellStyle name="AS Input Middle Percentage 4" xfId="4758" xr:uid="{6137C5D8-5A4D-4470-90BF-035805939D10}"/>
    <cellStyle name="AS Input Middle Percentage_Check Totals" xfId="4759" xr:uid="{18E1A9AC-3E66-4BE5-8530-CCB30D0BD947}"/>
    <cellStyle name="AS Input Middle Title / Name" xfId="415" xr:uid="{BC919A0A-BECB-478A-8739-4652D2E6E6FB}"/>
    <cellStyle name="AS Input Middle Title / Name 2" xfId="4760" xr:uid="{F3F16BD1-0BB0-4ACF-B9CF-47A5B61B4B16}"/>
    <cellStyle name="AS Input Middle Title / Name 2 2" xfId="4761" xr:uid="{F7462ECA-EF32-4974-975D-5C8B6A6E4432}"/>
    <cellStyle name="AS Input Middle Title / Name 3" xfId="4762" xr:uid="{E5F19B1F-F473-4CBF-BA35-5830716330B0}"/>
    <cellStyle name="AS Input Middle Title / Name 4" xfId="4763" xr:uid="{31327238-EF62-4A29-AEC4-81F44C5C59D7}"/>
    <cellStyle name="AS Input Middle Title / Name_Check Totals" xfId="4764" xr:uid="{1EEDEE47-0793-48E2-9C06-6576F312344E}"/>
    <cellStyle name="AS Input Middle Year" xfId="416" xr:uid="{4A6512EE-CEDF-4301-B01D-2BD90AB38510}"/>
    <cellStyle name="AS Input Middle Year 2" xfId="4765" xr:uid="{06977792-91D8-446D-B3C0-BA0B3571AE57}"/>
    <cellStyle name="AS Input Middle Year 2 2" xfId="4766" xr:uid="{7FB9BBB3-B914-4C33-B1DA-7A644D557E87}"/>
    <cellStyle name="AS Input Middle Year 3" xfId="4767" xr:uid="{2CC22920-DE9F-421E-98C7-E5953D86ACEE}"/>
    <cellStyle name="AS Input Middle Year 4" xfId="4768" xr:uid="{996B9242-B02E-4451-BFC7-EC135DC1E213}"/>
    <cellStyle name="AS Input Middle Year_Check Totals" xfId="4769" xr:uid="{4887DC85-4FCE-4F88-BD4A-42CD4AF03FD4}"/>
    <cellStyle name="ASI Currency" xfId="417" xr:uid="{E7A58734-3C9D-489B-B589-45C817CEE1B3}"/>
    <cellStyle name="ASI Date" xfId="418" xr:uid="{39CF471B-762B-403D-BDBC-A2EFB474B7A0}"/>
    <cellStyle name="ASI Heading 1" xfId="419" xr:uid="{9AD6F95A-8145-4962-B545-E4EF068E6ED7}"/>
    <cellStyle name="ASI Heading 2" xfId="420" xr:uid="{4A479F08-CB86-4E27-8A3E-0DD1BB4BAEE9}"/>
    <cellStyle name="ASI Heading 3" xfId="421" xr:uid="{AF70C64E-2FB5-4799-822B-9F17E48CE2A1}"/>
    <cellStyle name="ASI Heading 4" xfId="422" xr:uid="{7783F24C-BE75-42E5-924F-EF3BDB9846BB}"/>
    <cellStyle name="ASI Multiple" xfId="423" xr:uid="{E05D36BB-8C39-4436-9D1D-0841853E9BE9}"/>
    <cellStyle name="ASI Number" xfId="424" xr:uid="{D3D0632E-38BA-4975-875D-D90031D7B321}"/>
    <cellStyle name="ASI Percentage" xfId="425" xr:uid="{FA2D6701-4F20-4C49-A5A4-3296080AE401}"/>
    <cellStyle name="ASI Sheet Title" xfId="426" xr:uid="{57CABFE1-90EC-4DCA-9B5C-87D7511A2D0B}"/>
    <cellStyle name="ASI Title / Name" xfId="427" xr:uid="{0AE3FC06-A73C-45DC-891E-47108D374F0F}"/>
    <cellStyle name="ASI Year" xfId="428" xr:uid="{42372324-1AD6-4578-AC6E-2FBA21544883}"/>
    <cellStyle name="ASO Company Name" xfId="429" xr:uid="{DCA9C602-CF92-461F-AD8B-90DBD19D0B6A}"/>
    <cellStyle name="ASO Currency" xfId="430" xr:uid="{896718FF-1516-4B6B-BEC4-76F69378983F}"/>
    <cellStyle name="ASO Date" xfId="431" xr:uid="{504A3177-D570-4149-982E-7C18CE90D879}"/>
    <cellStyle name="ASO Heading 1" xfId="432" xr:uid="{B22B256C-8CC5-4C07-A49D-E405A9AA8581}"/>
    <cellStyle name="ASO Heading 2" xfId="433" xr:uid="{66605BC5-261A-49C9-97E2-4B2F251E8BFF}"/>
    <cellStyle name="ASO Heading 3" xfId="434" xr:uid="{09CAA961-A4D6-4F84-AB07-85B67AFEB5EB}"/>
    <cellStyle name="ASO Heading 4" xfId="435" xr:uid="{F0FA83AA-6639-4BEC-A23F-66AEF8AA4454}"/>
    <cellStyle name="ASO Link Cell" xfId="436" xr:uid="{8109DC5F-19C7-4B61-A4EA-3FEE0896E841}"/>
    <cellStyle name="ASO Multiple" xfId="437" xr:uid="{F852B4B9-4BE1-4DE7-B2B1-34C8CCC62D52}"/>
    <cellStyle name="ASO Number" xfId="438" xr:uid="{C21C3359-395D-4F90-BCBB-EB3BD96004BA}"/>
    <cellStyle name="ASO Percentage" xfId="439" xr:uid="{ED4D381D-0934-4351-8DAB-1BB6B46F011A}"/>
    <cellStyle name="ASO Title / Name" xfId="440" xr:uid="{1B16B95C-CDB2-4CA8-93DF-79736651E6AF}"/>
    <cellStyle name="ASO Year" xfId="441" xr:uid="{CAA37CA1-BB18-488F-9EEE-BFF084EFCA66}"/>
    <cellStyle name="Assumptions Center Currency" xfId="442" xr:uid="{6B300B02-B71B-424E-AD83-BDC940C69BE0}"/>
    <cellStyle name="Assumptions Center Currency 2" xfId="443" xr:uid="{86841689-193B-4916-9E1C-37D360FAA973}"/>
    <cellStyle name="Assumptions Center Currency 2 2" xfId="444" xr:uid="{0861A25D-1ED7-4D9A-BA6B-37288852AD5B}"/>
    <cellStyle name="Assumptions Center Currency 2 3" xfId="445" xr:uid="{1DD92F93-1D12-4CBB-986C-222E8A142E71}"/>
    <cellStyle name="Assumptions Center Currency 3" xfId="446" xr:uid="{3042A546-B21F-4D5A-A199-D6724FF2E0ED}"/>
    <cellStyle name="Assumptions Center Currency 3 2" xfId="447" xr:uid="{26D0B8F9-8268-4D91-BFDE-D1EAACC8AB82}"/>
    <cellStyle name="Assumptions Center Currency 4" xfId="448" xr:uid="{F7D3D242-A19B-4193-AF88-810BFE3C1897}"/>
    <cellStyle name="Assumptions Center Currency 4 2" xfId="4770" xr:uid="{A7EC19FF-B756-40C8-AB91-0B6AD3984162}"/>
    <cellStyle name="Assumptions Center Currency_~2153298" xfId="4771" xr:uid="{9343D459-32C4-4257-88FB-F7E23E3BC737}"/>
    <cellStyle name="Assumptions Center Date" xfId="449" xr:uid="{465CBC69-3FFC-451C-9D06-11A1E11A9EF5}"/>
    <cellStyle name="Assumptions Center Date 2" xfId="450" xr:uid="{20A3ED73-29BF-4B3E-83A3-89AE30D738EA}"/>
    <cellStyle name="Assumptions Center Date 2 2" xfId="451" xr:uid="{3DFF7144-A7DE-4CC9-A2DD-9A689386DF17}"/>
    <cellStyle name="Assumptions Center Date 2 2 2" xfId="452" xr:uid="{BF453CCB-DFA9-4BC1-8370-99B6DD657807}"/>
    <cellStyle name="Assumptions Center Date 2 3" xfId="453" xr:uid="{E2250B71-D34F-4C9A-A863-06A981C77404}"/>
    <cellStyle name="Assumptions Center Date 3" xfId="454" xr:uid="{FAF2B0DE-BA21-4703-B039-C10DE3624849}"/>
    <cellStyle name="Assumptions Center Date 3 2" xfId="455" xr:uid="{F5392575-5136-4227-9621-CB05DCA578BB}"/>
    <cellStyle name="Assumptions Center Date 4" xfId="4772" xr:uid="{5CF42F3C-583C-40F9-B694-5FF4704BBF55}"/>
    <cellStyle name="Assumptions Center Date_~2153298" xfId="4773" xr:uid="{AFAB32F6-F1AD-4A27-B33F-CB245C60F50D}"/>
    <cellStyle name="Assumptions Center Multiple" xfId="456" xr:uid="{59D2CC7B-8433-458A-A3CA-770539C0117F}"/>
    <cellStyle name="Assumptions Center Multiple 2" xfId="457" xr:uid="{647EC103-A20D-44E2-A41C-6299F0FB057A}"/>
    <cellStyle name="Assumptions Center Multiple 2 2" xfId="458" xr:uid="{A381705D-2823-440E-B627-E69C37850558}"/>
    <cellStyle name="Assumptions Center Multiple 2 2 2" xfId="459" xr:uid="{91E77720-095B-4A39-8BEC-E1C60F2FFA94}"/>
    <cellStyle name="Assumptions Center Multiple 2 3" xfId="460" xr:uid="{9ECE2C70-E049-4219-8BB5-33A06F692B27}"/>
    <cellStyle name="Assumptions Center Multiple 3" xfId="461" xr:uid="{82688344-AC93-4BF6-8AB1-0A83A32081E9}"/>
    <cellStyle name="Assumptions Center Multiple 3 2" xfId="462" xr:uid="{92D6D59C-9DF4-4111-A67F-68CF2033D253}"/>
    <cellStyle name="Assumptions Center Multiple 4" xfId="4774" xr:uid="{BB3DD206-2511-4DD1-9C74-58C55B5DF121}"/>
    <cellStyle name="Assumptions Center Multiple_~2153298" xfId="4775" xr:uid="{0C987242-6E90-4695-848B-2EC26F1EE0AE}"/>
    <cellStyle name="Assumptions Center Number" xfId="463" xr:uid="{17A92D75-E20A-4119-ACEB-2A6225B18C55}"/>
    <cellStyle name="Assumptions Center Number 2" xfId="464" xr:uid="{D97223A0-203C-4D9A-8D89-039CD0DED317}"/>
    <cellStyle name="Assumptions Center Number 2 2" xfId="465" xr:uid="{85209E91-0875-4744-9586-AD1E0D89B535}"/>
    <cellStyle name="Assumptions Center Number 2 2 2" xfId="466" xr:uid="{E944252D-B307-4946-91E4-6A2A41D71CE7}"/>
    <cellStyle name="Assumptions Center Number 2 3" xfId="467" xr:uid="{D1F02207-02B3-45D1-9576-4B551241653F}"/>
    <cellStyle name="Assumptions Center Number 3" xfId="468" xr:uid="{309DF786-8F85-4D09-B523-6425EF7AAAC4}"/>
    <cellStyle name="Assumptions Center Number 3 2" xfId="469" xr:uid="{38E555DB-8F38-4CF1-AE04-EE7119981F6B}"/>
    <cellStyle name="Assumptions Center Number 4" xfId="4776" xr:uid="{38B9FC1F-1518-43E7-B2B1-8DB47A455853}"/>
    <cellStyle name="Assumptions Center Number_~2153298" xfId="4777" xr:uid="{F78F9430-262D-49D5-B600-8548E800D7C0}"/>
    <cellStyle name="Assumptions Center Percentage" xfId="470" xr:uid="{19D6D054-02C4-4B27-9735-E3956EBE7DC1}"/>
    <cellStyle name="Assumptions Center Percentage 2" xfId="471" xr:uid="{2D813BE6-6229-401F-A58C-8BD0603FE90A}"/>
    <cellStyle name="Assumptions Center Percentage 2 2" xfId="472" xr:uid="{24133AD9-4228-440F-BEDF-B6F11D531B01}"/>
    <cellStyle name="Assumptions Center Percentage 2 2 2" xfId="473" xr:uid="{2E2B560B-64D3-4C4D-B127-1083C3719084}"/>
    <cellStyle name="Assumptions Center Percentage 2 3" xfId="474" xr:uid="{1DC896A0-94B4-49C5-94F7-FE1265EC98D9}"/>
    <cellStyle name="Assumptions Center Percentage 3" xfId="475" xr:uid="{EDB6810B-C7E0-472C-99AA-7767C6D981B9}"/>
    <cellStyle name="Assumptions Center Percentage 3 2" xfId="476" xr:uid="{B2DD99DD-F767-4813-B9F1-B1656630C59C}"/>
    <cellStyle name="Assumptions Center Percentage 4" xfId="4778" xr:uid="{E956E949-AC84-45FB-91EC-E1E38B20FB9A}"/>
    <cellStyle name="Assumptions Center Percentage_~2153298" xfId="4779" xr:uid="{99FE8DC2-158C-46B6-99CF-15916B8FF3E4}"/>
    <cellStyle name="Assumptions Center Year" xfId="477" xr:uid="{8B5E971D-00EF-4763-A96E-AE6F6A0A6386}"/>
    <cellStyle name="Assumptions Center Year 2" xfId="478" xr:uid="{70EB4C6E-7C7C-4616-A508-1ACB1FBD0EA7}"/>
    <cellStyle name="Assumptions Center Year 2 2" xfId="479" xr:uid="{E7B2D831-744C-432E-B3DD-AD297E40FE66}"/>
    <cellStyle name="Assumptions Center Year 2 2 2" xfId="480" xr:uid="{23C4E833-1A31-454D-810F-F10473B3F7CE}"/>
    <cellStyle name="Assumptions Center Year 2 3" xfId="481" xr:uid="{B28F86DA-0A79-4923-AA62-D2D86173EF10}"/>
    <cellStyle name="Assumptions Center Year 3" xfId="482" xr:uid="{EF6237D7-8CD8-42E2-ABE5-63C6BB43C1A8}"/>
    <cellStyle name="Assumptions Center Year 3 2" xfId="483" xr:uid="{8B1A6A08-AFDF-445E-BDD7-0D2B30A92EC5}"/>
    <cellStyle name="Assumptions Center Year 4" xfId="4780" xr:uid="{6C09988D-FCA4-4FB3-A58B-8A58152D97D2}"/>
    <cellStyle name="Assumptions Center Year_~2153298" xfId="4781" xr:uid="{996A000B-A171-408F-8889-B1D1D0A5D9EE}"/>
    <cellStyle name="Assumptions Forecast Currency" xfId="484" xr:uid="{CAF44FB0-89B1-4939-B5F2-D44B8EA29A70}"/>
    <cellStyle name="Assumptions Forecast Currency 2" xfId="4782" xr:uid="{C39F55F5-63F0-4895-BA09-23C8784FE2D2}"/>
    <cellStyle name="Assumptions Forecast Currency 2 2" xfId="4783" xr:uid="{6684706B-D9C2-430C-B6A4-70490DAFF1B9}"/>
    <cellStyle name="Assumptions Forecast Currency 3" xfId="4784" xr:uid="{CA67C403-5D8B-4C50-A056-45BC3C936BD2}"/>
    <cellStyle name="Assumptions Forecast Currency 4" xfId="4785" xr:uid="{1C57B5AE-4B05-42B6-A7C0-5282D01D9616}"/>
    <cellStyle name="Assumptions Forecast Currency_Check Totals" xfId="4786" xr:uid="{B472BD9D-643A-4623-97CF-3F095B5567D1}"/>
    <cellStyle name="Assumptions Forecast Date" xfId="485" xr:uid="{81CC53BF-173B-454D-8728-52FC2980B55C}"/>
    <cellStyle name="Assumptions Forecast Date 2" xfId="4787" xr:uid="{0CF58309-E623-454D-BAD2-7675F9F70B74}"/>
    <cellStyle name="Assumptions Forecast Date 2 2" xfId="4788" xr:uid="{A0ECF563-2BF3-4646-8BD7-41837C88DA10}"/>
    <cellStyle name="Assumptions Forecast Date 3" xfId="4789" xr:uid="{3F92C95A-33CC-4D56-AC6A-E0B562004AC7}"/>
    <cellStyle name="Assumptions Forecast Date 4" xfId="4790" xr:uid="{4FB0B130-64B9-46A2-93CF-878FBC80B4AB}"/>
    <cellStyle name="Assumptions Forecast Date_Check Totals" xfId="4791" xr:uid="{D6DB2B02-7CB8-4EE5-B43A-4FF86ABC363E}"/>
    <cellStyle name="Assumptions Forecast Multiple" xfId="486" xr:uid="{2962E9B5-B56F-46FA-945F-60FBEA108F11}"/>
    <cellStyle name="Assumptions Forecast Multiple 2" xfId="4792" xr:uid="{880AFBD2-E4D3-4A48-95D5-D6AFEF8659DD}"/>
    <cellStyle name="Assumptions Forecast Multiple 2 2" xfId="4793" xr:uid="{162EDCE6-16C5-49F9-9BFA-3C0160B4D487}"/>
    <cellStyle name="Assumptions Forecast Multiple 3" xfId="4794" xr:uid="{E9846826-4C65-4DC5-8EB6-124E02B0F030}"/>
    <cellStyle name="Assumptions Forecast Multiple 4" xfId="4795" xr:uid="{44DF1B2B-DC68-49EE-A308-F6E4E2BA5EA4}"/>
    <cellStyle name="Assumptions Forecast Multiple_Check Totals" xfId="4796" xr:uid="{1701C724-131D-4895-AD53-6985C0126503}"/>
    <cellStyle name="Assumptions Forecast Number" xfId="487" xr:uid="{510B4F56-192F-4625-95ED-93B43326651C}"/>
    <cellStyle name="Assumptions Forecast Number 2" xfId="4797" xr:uid="{013087D0-E84B-45E4-AFE8-5DF8E10974FC}"/>
    <cellStyle name="Assumptions Forecast Number 2 2" xfId="4798" xr:uid="{6740C0E0-222D-4CFC-A98C-0BD9E9262D98}"/>
    <cellStyle name="Assumptions Forecast Number 3" xfId="4799" xr:uid="{A006E8A0-8941-4859-BF6F-7EC0DF670AA5}"/>
    <cellStyle name="Assumptions Forecast Number 4" xfId="4800" xr:uid="{10EA77BC-3230-46B1-A8B7-2D4E9D5481DA}"/>
    <cellStyle name="Assumptions Forecast Number_Check Totals" xfId="4801" xr:uid="{6D44BE51-3F3F-403C-9422-ED077C05128B}"/>
    <cellStyle name="Assumptions Forecast Percentage" xfId="488" xr:uid="{1BF03965-F69B-4B71-A29F-A50DA06E87FE}"/>
    <cellStyle name="Assumptions Forecast Percentage 2" xfId="4802" xr:uid="{F3A572FF-71DB-42CA-B6F7-A1167187E445}"/>
    <cellStyle name="Assumptions Forecast Percentage 2 2" xfId="4803" xr:uid="{5E1763E6-10CC-4BE8-8C32-CDAC8F63CBB0}"/>
    <cellStyle name="Assumptions Forecast Percentage 3" xfId="4804" xr:uid="{94C556B3-4A35-46B0-B3A2-9C5FF928B4C6}"/>
    <cellStyle name="Assumptions Forecast Percentage 4" xfId="4805" xr:uid="{3DF0713D-E750-4513-B899-E54EFE410A6B}"/>
    <cellStyle name="Assumptions Forecast Percentage_Check Totals" xfId="4806" xr:uid="{26F67DBF-72A2-42FD-B8A3-5999C293B121}"/>
    <cellStyle name="Assumptions Forecast Title / Name" xfId="489" xr:uid="{2D56EF40-4571-4671-9FD9-62C6CF4EFD67}"/>
    <cellStyle name="Assumptions Forecast Title / Name 2" xfId="4807" xr:uid="{06C4DA68-484D-4B34-A420-3821410E3412}"/>
    <cellStyle name="Assumptions Forecast Title / Name 2 2" xfId="4808" xr:uid="{6E85A19D-0824-492E-9639-CFA312C9A7B2}"/>
    <cellStyle name="Assumptions Forecast Title / Name 3" xfId="4809" xr:uid="{28ACDA94-F7FD-43CC-9D5F-D2CFD727F20D}"/>
    <cellStyle name="Assumptions Forecast Title / Name 4" xfId="4810" xr:uid="{252EE534-78B8-488E-993A-2EC00CA5DC45}"/>
    <cellStyle name="Assumptions Forecast Title / Name_Check Totals" xfId="4811" xr:uid="{F26407B2-968E-44A4-95A7-0EB73FF8475B}"/>
    <cellStyle name="Assumptions Forecast Year" xfId="490" xr:uid="{BF90FCF3-7473-4C0E-BBCC-E24C7E35BC50}"/>
    <cellStyle name="Assumptions Forecast Year 2" xfId="4812" xr:uid="{F0923903-87EA-4253-9284-3515E8249F83}"/>
    <cellStyle name="Assumptions Forecast Year 2 2" xfId="4813" xr:uid="{763A9A1A-A805-4E7E-82D0-20C90AE07C7A}"/>
    <cellStyle name="Assumptions Forecast Year 3" xfId="4814" xr:uid="{CE827E43-3DEB-4AC6-9369-69A84B33D223}"/>
    <cellStyle name="Assumptions Forecast Year 4" xfId="4815" xr:uid="{D8F7632D-CB09-437D-8E99-CE6B8EAFF257}"/>
    <cellStyle name="Assumptions Forecast Year_Check Totals" xfId="4816" xr:uid="{D1B9E406-FA4E-458D-971D-CAD0FC99415A}"/>
    <cellStyle name="Assumptions Heading" xfId="491" xr:uid="{643A567A-1FBB-4841-B81C-EB81DA41677D}"/>
    <cellStyle name="Assumptions Heading 2" xfId="492" xr:uid="{44DDB6F8-E504-4B6C-9731-9E7FD5F5AC63}"/>
    <cellStyle name="Assumptions Heading 2 2" xfId="493" xr:uid="{5C58AA94-264F-4573-A134-991871D9FC08}"/>
    <cellStyle name="Assumptions Heading 2 2 2" xfId="494" xr:uid="{7E0C9456-E07E-4AE4-9A84-654357A36969}"/>
    <cellStyle name="Assumptions Heading 2 3" xfId="495" xr:uid="{D0E1AEDC-A550-4DDD-A830-C38F431720C2}"/>
    <cellStyle name="Assumptions Heading 3" xfId="496" xr:uid="{30DC9371-8773-405A-8D45-6483C2FDDDB0}"/>
    <cellStyle name="Assumptions Heading 3 2" xfId="497" xr:uid="{E6971723-61AA-43BC-A8E2-05FDAA1E9964}"/>
    <cellStyle name="Assumptions Heading 4" xfId="4817" xr:uid="{50CBB37C-4A21-471A-B873-FD287414B31C}"/>
    <cellStyle name="Assumptions Heading_~2153298" xfId="4818" xr:uid="{766B5EB7-864F-407E-81ED-1109427C465C}"/>
    <cellStyle name="Assumptions Middle Currency" xfId="498" xr:uid="{5317AC36-070B-4E0A-9F50-FACFF5461826}"/>
    <cellStyle name="Assumptions Middle Currency 2" xfId="4819" xr:uid="{8CA1AFE3-BE91-4D54-B872-4F2B59701872}"/>
    <cellStyle name="Assumptions Middle Currency 2 2" xfId="4820" xr:uid="{63AEC40A-A45F-4AFA-85DB-59A2D7133615}"/>
    <cellStyle name="Assumptions Middle Currency 3" xfId="4821" xr:uid="{726E0FAF-FC31-42CC-8422-673F3D5B6F91}"/>
    <cellStyle name="Assumptions Middle Currency 4" xfId="4822" xr:uid="{89F71851-1BAC-4FFB-AFED-ACF984901987}"/>
    <cellStyle name="Assumptions Middle Currency_Check Totals" xfId="4823" xr:uid="{281D8BC6-DFDE-4352-92BF-00C33A0DA21A}"/>
    <cellStyle name="Assumptions Middle Date" xfId="499" xr:uid="{3B028FB0-A5A0-4D24-9E65-C037C4CFD438}"/>
    <cellStyle name="Assumptions Middle Date 2" xfId="4824" xr:uid="{A0CDE060-D1F8-4386-AC97-DE1DE94F537D}"/>
    <cellStyle name="Assumptions Middle Date 2 2" xfId="4825" xr:uid="{B5567C41-16B4-4EEF-8AC5-1FB974824C76}"/>
    <cellStyle name="Assumptions Middle Date 3" xfId="4826" xr:uid="{064E17D1-A95F-4CC7-9D21-C8527DA00EE8}"/>
    <cellStyle name="Assumptions Middle Date 4" xfId="4827" xr:uid="{E3FB19DF-1824-40BD-B6BE-738EDB633FB5}"/>
    <cellStyle name="Assumptions Middle Date_Check Totals" xfId="4828" xr:uid="{F2D544D3-F2C5-451C-8E41-95A89368A673}"/>
    <cellStyle name="Assumptions Middle Multiple" xfId="500" xr:uid="{8B6DDC55-8A8E-4C13-ACA2-6034AA9E16DA}"/>
    <cellStyle name="Assumptions Middle Multiple 2" xfId="4829" xr:uid="{2A5EBB6A-E48F-47FA-B457-D3BBBB20AB53}"/>
    <cellStyle name="Assumptions Middle Multiple 2 2" xfId="4830" xr:uid="{FCA889DB-A101-4E6C-B411-C8C0D30774A4}"/>
    <cellStyle name="Assumptions Middle Multiple 3" xfId="4831" xr:uid="{CADEBD67-847F-402F-81B0-EEEEDB4037B6}"/>
    <cellStyle name="Assumptions Middle Multiple 4" xfId="4832" xr:uid="{3527AB4B-FD93-486F-AD63-06F9E6CEFD87}"/>
    <cellStyle name="Assumptions Middle Multiple_Check Totals" xfId="4833" xr:uid="{3500549C-0331-4AD2-856F-5EDC7BAFE600}"/>
    <cellStyle name="Assumptions Middle Number" xfId="501" xr:uid="{C1D609F7-9B5F-465A-B8B3-BC1C598F971A}"/>
    <cellStyle name="Assumptions Middle Number 2" xfId="4834" xr:uid="{46D924D4-89DE-4287-BBA0-108B3097BC63}"/>
    <cellStyle name="Assumptions Middle Number 2 2" xfId="4835" xr:uid="{948AA93A-CCC3-4E10-B19E-9CEE65BEF2AA}"/>
    <cellStyle name="Assumptions Middle Number 3" xfId="4836" xr:uid="{91A992F7-A9EF-4C19-919A-028ED5D65EE6}"/>
    <cellStyle name="Assumptions Middle Number 4" xfId="4837" xr:uid="{009595AE-B193-4E67-A481-3895E109FC17}"/>
    <cellStyle name="Assumptions Middle Number_Check Totals" xfId="4838" xr:uid="{4D2105BC-94C2-46FA-A3CC-101BB4FF7A14}"/>
    <cellStyle name="Assumptions Middle Percentage" xfId="502" xr:uid="{CF8CF965-2700-410B-A1D3-9DFCCEC5C23D}"/>
    <cellStyle name="Assumptions Middle Percentage 2" xfId="4839" xr:uid="{754AEE3B-0D58-40DE-876C-3921C4228DC5}"/>
    <cellStyle name="Assumptions Middle Percentage 2 2" xfId="4840" xr:uid="{9D236A57-553C-4929-8413-8C7040FD1765}"/>
    <cellStyle name="Assumptions Middle Percentage 3" xfId="4841" xr:uid="{DA187260-697E-49A3-B447-032FF672A8EE}"/>
    <cellStyle name="Assumptions Middle Percentage 4" xfId="4842" xr:uid="{4A93A1D9-3A35-45A1-95DE-85D9001734AD}"/>
    <cellStyle name="Assumptions Middle Percentage_Check Totals" xfId="4843" xr:uid="{44DF73EB-68B8-4987-B172-830AF3A68938}"/>
    <cellStyle name="Assumptions Middle Title / Name" xfId="503" xr:uid="{3A410FD7-365E-48B3-9237-F73885BCF963}"/>
    <cellStyle name="Assumptions Middle Title / Name 2" xfId="4844" xr:uid="{BFC11367-35FC-44BF-886E-C710DD053A93}"/>
    <cellStyle name="Assumptions Middle Title / Name 2 2" xfId="4845" xr:uid="{A90F1EB3-FAD7-4735-9B09-2F1A56DBDE00}"/>
    <cellStyle name="Assumptions Middle Title / Name 3" xfId="4846" xr:uid="{4C752671-263E-4070-BA62-40246DC7D1C0}"/>
    <cellStyle name="Assumptions Middle Title / Name 4" xfId="4847" xr:uid="{2D50ECD1-5357-460C-8EBC-0EB6AE330E05}"/>
    <cellStyle name="Assumptions Middle Title / Name_Check Totals" xfId="4848" xr:uid="{751BAE75-6B01-4B76-859F-AB15951D5EEC}"/>
    <cellStyle name="Assumptions Middle Year" xfId="504" xr:uid="{616B9080-027E-4CD0-B89B-FEB51398F3B5}"/>
    <cellStyle name="Assumptions Middle Year 2" xfId="4849" xr:uid="{8392C6AA-6FF6-4B58-BFED-989D10F69731}"/>
    <cellStyle name="Assumptions Middle Year 2 2" xfId="4850" xr:uid="{4EA55B21-F447-47C4-ACCD-09EAE6EC9ED6}"/>
    <cellStyle name="Assumptions Middle Year 3" xfId="4851" xr:uid="{05FF444A-2713-4B6A-A6F0-9A991EC4011C}"/>
    <cellStyle name="Assumptions Middle Year 4" xfId="4852" xr:uid="{2B37F648-A94D-4991-A853-E798115DB45C}"/>
    <cellStyle name="Assumptions Middle Year_Check Totals" xfId="4853" xr:uid="{A840C00B-2068-4693-B7DF-7C0DB4C93E2E}"/>
    <cellStyle name="Assumptions Right Currency" xfId="505" xr:uid="{3F6FA63A-8749-4810-B9BD-98A29310E440}"/>
    <cellStyle name="Assumptions Right Currency 2" xfId="506" xr:uid="{C026C9FD-6C2C-4ACE-9E73-3439BD3A7AFD}"/>
    <cellStyle name="Assumptions Right Currency 2 2" xfId="507" xr:uid="{4D85BA90-9EC3-42CF-A57A-17A85A252603}"/>
    <cellStyle name="Assumptions Right Currency 2 2 2" xfId="508" xr:uid="{D50CD691-407A-4D1D-9E3C-4B6EA84F0C2B}"/>
    <cellStyle name="Assumptions Right Currency 2 3" xfId="509" xr:uid="{3397CF08-EFCD-4EC9-B396-B737AAD1AA4F}"/>
    <cellStyle name="Assumptions Right Currency 3" xfId="510" xr:uid="{40944317-0E8C-4872-AB42-BC6C44C30002}"/>
    <cellStyle name="Assumptions Right Currency 3 2" xfId="511" xr:uid="{E45584B0-A103-4882-8A28-392AF5ED9D52}"/>
    <cellStyle name="Assumptions Right Currency 4" xfId="512" xr:uid="{1EB298D9-8B9D-4A04-9A90-7A63B2F9D035}"/>
    <cellStyle name="Assumptions Right Currency 4 2" xfId="4854" xr:uid="{5E3727D2-E23D-4738-96CB-31D2E021CDD2}"/>
    <cellStyle name="Assumptions Right Currency_~2153298" xfId="4855" xr:uid="{E3CAA6BB-0087-41F6-B29C-65969AEBC5E9}"/>
    <cellStyle name="Assumptions Right Date" xfId="513" xr:uid="{BA090131-9D35-4256-BA1D-9AB0CFC622FF}"/>
    <cellStyle name="Assumptions Right Date 2" xfId="514" xr:uid="{9C0830C9-EC6A-470F-BA02-C069F33BFE52}"/>
    <cellStyle name="Assumptions Right Date 2 2" xfId="515" xr:uid="{02D186B4-2ED2-46EF-887C-361C22B5D0DC}"/>
    <cellStyle name="Assumptions Right Date 2 2 2" xfId="516" xr:uid="{10FD602B-0B5A-4E19-A79A-E47D1EA4BCB8}"/>
    <cellStyle name="Assumptions Right Date 2 3" xfId="517" xr:uid="{2B7B4EC3-37D9-4153-9C42-949B14A70164}"/>
    <cellStyle name="Assumptions Right Date 3" xfId="518" xr:uid="{BBAF1847-6249-4DB3-9D37-EC89C5C3D1AF}"/>
    <cellStyle name="Assumptions Right Date 3 2" xfId="519" xr:uid="{4DC601CB-B5C3-4C56-A9F2-8655899BB6BC}"/>
    <cellStyle name="Assumptions Right Date 4" xfId="4856" xr:uid="{0C7D3ECE-3426-48F4-BFE2-46107DD92A3C}"/>
    <cellStyle name="Assumptions Right Date_~2153298" xfId="4857" xr:uid="{2CC84969-E874-4867-A27A-FAC7EF101738}"/>
    <cellStyle name="Assumptions Right Multiple" xfId="520" xr:uid="{F084EE90-0021-4136-A1A2-A76F1828B01C}"/>
    <cellStyle name="Assumptions Right Multiple 2" xfId="521" xr:uid="{5ADB99B3-4A55-4B89-8954-D86E62A3DC22}"/>
    <cellStyle name="Assumptions Right Multiple 2 2" xfId="522" xr:uid="{E489B633-E15E-4D04-81D8-D44A2A0B331A}"/>
    <cellStyle name="Assumptions Right Multiple 2 2 2" xfId="523" xr:uid="{28A6DE5C-DEE6-44A6-BE63-BF4EEED37F41}"/>
    <cellStyle name="Assumptions Right Multiple 2 3" xfId="524" xr:uid="{83CA7540-A00A-4809-9DB3-B80AC615DBE7}"/>
    <cellStyle name="Assumptions Right Multiple 3" xfId="525" xr:uid="{FBD06459-94B0-413F-AE49-EBE4A0AAD4FA}"/>
    <cellStyle name="Assumptions Right Multiple 3 2" xfId="526" xr:uid="{4AE6B4E2-E730-48D9-9DA3-6FDC79E30C0E}"/>
    <cellStyle name="Assumptions Right Multiple 4" xfId="4858" xr:uid="{601D2B63-DD9A-4714-9570-64B47657ABBF}"/>
    <cellStyle name="Assumptions Right Multiple_~2153298" xfId="4859" xr:uid="{86EFFF25-C576-4AF7-9DA3-D69709AC7C27}"/>
    <cellStyle name="Assumptions Right Number" xfId="527" xr:uid="{ECB7BAD9-C469-448D-B695-F863FC53C852}"/>
    <cellStyle name="Assumptions Right Number 2" xfId="528" xr:uid="{18B4F2C0-D49E-4B9A-BDED-EE1AFD159607}"/>
    <cellStyle name="Assumptions Right Number 2 2" xfId="529" xr:uid="{8846C9F4-482E-4040-9633-8D04C21F1B73}"/>
    <cellStyle name="Assumptions Right Number 2 2 2" xfId="530" xr:uid="{2E8E4214-882C-4740-9E12-3F23087B847C}"/>
    <cellStyle name="Assumptions Right Number 2 3" xfId="531" xr:uid="{7084182F-BBD3-4B51-99BB-6361B13A64E8}"/>
    <cellStyle name="Assumptions Right Number 3" xfId="532" xr:uid="{57EBCF31-E5B3-4672-B844-5E72B866CC54}"/>
    <cellStyle name="Assumptions Right Number 3 2" xfId="533" xr:uid="{ACB657CC-3596-425B-ABB6-9CF35F711E48}"/>
    <cellStyle name="Assumptions Right Number 4" xfId="4860" xr:uid="{C1FA904E-1EA2-47DE-8409-5198447C7366}"/>
    <cellStyle name="Assumptions Right Number_~2153298" xfId="4861" xr:uid="{32E9CAC5-E939-4492-8AE7-AD7B74767DF0}"/>
    <cellStyle name="Assumptions Right Percentage" xfId="534" xr:uid="{5DAB2842-DEE8-4411-B953-E12D5893E273}"/>
    <cellStyle name="Assumptions Right Percentage 2" xfId="535" xr:uid="{DB847106-BC01-4AB5-9B5E-19EBD382C09A}"/>
    <cellStyle name="Assumptions Right Percentage 2 2" xfId="536" xr:uid="{A687C8ED-862E-44A0-8260-0D0846635EFE}"/>
    <cellStyle name="Assumptions Right Percentage 2 2 2" xfId="537" xr:uid="{780145FA-6379-4064-BD4E-9FCEB32BBF9E}"/>
    <cellStyle name="Assumptions Right Percentage 2 3" xfId="538" xr:uid="{FE31A105-2308-4F90-B8B6-F59CE2EB5792}"/>
    <cellStyle name="Assumptions Right Percentage 3" xfId="539" xr:uid="{1F34FB02-23B4-493F-8E41-CA845EAD52AA}"/>
    <cellStyle name="Assumptions Right Percentage 3 2" xfId="540" xr:uid="{9A055003-191F-45EE-BD0B-8D7CD1D1B9C6}"/>
    <cellStyle name="Assumptions Right Percentage 4" xfId="4862" xr:uid="{E0015A62-E9C6-4E5E-816E-1B612E4DF518}"/>
    <cellStyle name="Assumptions Right Percentage_~2153298" xfId="4863" xr:uid="{3F319D9B-C243-45B9-BED8-399611DD936D}"/>
    <cellStyle name="Assumptions Right Year" xfId="541" xr:uid="{15D2D49C-A042-4917-8EE6-8B9D5C9B9212}"/>
    <cellStyle name="Assumptions Right Year 2" xfId="542" xr:uid="{803476B2-DCA1-42DF-A8AC-150337818B55}"/>
    <cellStyle name="Assumptions Right Year 2 2" xfId="543" xr:uid="{A6E62279-7001-4525-B372-887E6AD60FDE}"/>
    <cellStyle name="Assumptions Right Year 2 2 2" xfId="544" xr:uid="{619736E0-71D7-4B1C-B957-85F268B185FC}"/>
    <cellStyle name="Assumptions Right Year 2 3" xfId="545" xr:uid="{F8840089-FF47-4519-B98E-CEB35273FB3D}"/>
    <cellStyle name="Assumptions Right Year 3" xfId="546" xr:uid="{15038A8F-5A08-484B-A466-F1A1B3C24579}"/>
    <cellStyle name="Assumptions Right Year 3 2" xfId="547" xr:uid="{16A5F76F-0413-47C4-8634-F850690A6FB3}"/>
    <cellStyle name="Assumptions Right Year 4" xfId="4864" xr:uid="{A669A821-FBC1-421D-8D85-2F2A201ACE4F}"/>
    <cellStyle name="Assumptions Right Year_~2153298" xfId="4865" xr:uid="{BD7C2769-E7FD-4A9E-9D69-48828FA0B35E}"/>
    <cellStyle name="ÄÞ¸¶ [0]_´ë¿ìÃâÇÏ¿äÃ» " xfId="4866" xr:uid="{CBECADDA-D496-4F49-87B3-A51A1077831A}"/>
    <cellStyle name="ÄÞ¸¶_´ë¿ìÃâÇÏ¿äÃ» " xfId="4867" xr:uid="{AA5EEE24-18E3-4F2A-B803-5A88099448DC}"/>
    <cellStyle name="AttribBox" xfId="548" xr:uid="{BDF7CEC1-66A8-4210-B918-D280B75AFB57}"/>
    <cellStyle name="Attribute" xfId="549" xr:uid="{6CE511DA-0A22-47F3-B051-678DCFD817BA}"/>
    <cellStyle name="Attribute 2" xfId="550" xr:uid="{75B15F1B-5B9A-4002-B843-5F2858B37DDE}"/>
    <cellStyle name="Attribute 2 2" xfId="4868" xr:uid="{789D426F-D015-44CE-9F1D-7772BA720C64}"/>
    <cellStyle name="Attribute 3" xfId="4869" xr:uid="{EF9E21DD-C48C-4343-9E56-7CFECE87B576}"/>
    <cellStyle name="Attribute 3 2" xfId="4870" xr:uid="{7FA161AD-5804-48F7-81B5-84CC9CB88B1C}"/>
    <cellStyle name="Attribute 4" xfId="4871" xr:uid="{8F88367A-BB74-45FD-947E-B3ABD143E2F8}"/>
    <cellStyle name="Attribute_~2153298" xfId="4872" xr:uid="{B4278FA7-CCB1-455B-88AA-D77A84E3F6EE}"/>
    <cellStyle name="b" xfId="551" xr:uid="{2A6D2027-1D49-4352-9A18-95ECA2F10CD0}"/>
    <cellStyle name="b_~2153298" xfId="4873" xr:uid="{C0A90B5F-D1A7-4AEC-83C2-D0ABE9732693}"/>
    <cellStyle name="b_Input page for capital model" xfId="4874" xr:uid="{0D99DCEC-4D17-4E0B-8006-F444897FF599}"/>
    <cellStyle name="background" xfId="4875" xr:uid="{6948B133-16A6-4E69-AA26-8E09AB962069}"/>
    <cellStyle name="Bad" xfId="9" builtinId="27" customBuiltin="1"/>
    <cellStyle name="Bad 2" xfId="552" xr:uid="{585B9169-CA72-4BB0-AC2E-446602ED5818}"/>
    <cellStyle name="Bad 2 2" xfId="553" xr:uid="{D1E752BC-28CE-4025-991C-1A9DC30B00DD}"/>
    <cellStyle name="Bad 2 2 2" xfId="554" xr:uid="{A5C8F517-9EEB-4B2F-BC8E-DBEAF7ECA2B8}"/>
    <cellStyle name="Bad 2 3" xfId="555" xr:uid="{4D051645-0EC5-4992-B4BB-2740884EDDE9}"/>
    <cellStyle name="Bad 2 4" xfId="556" xr:uid="{CBBED78F-0DF4-4396-B87B-F1EDCE9FED6A}"/>
    <cellStyle name="Bad 2 5" xfId="557" xr:uid="{3D79B3AD-1192-4074-B197-D180434203D7}"/>
    <cellStyle name="Bad 2 5 2" xfId="3569" xr:uid="{4B94E291-57B4-45D0-84AD-48772FE95ACB}"/>
    <cellStyle name="Bad 2 6" xfId="558" xr:uid="{6114E903-750F-4D40-B5F2-88BDDEE886DA}"/>
    <cellStyle name="Bad 2 6 2" xfId="3570" xr:uid="{3AABDC10-6CB6-41BB-8327-669AC4FC2345}"/>
    <cellStyle name="Bad 2 7" xfId="559" xr:uid="{C16962DF-A84A-4D2F-8209-B7274DE841FE}"/>
    <cellStyle name="Bad 3" xfId="560" xr:uid="{100E000C-BE4E-43D7-A6E6-9A966B124552}"/>
    <cellStyle name="Bad 3 2" xfId="561" xr:uid="{C0DA90FD-1A4D-430B-8CD7-FB8B79AC6946}"/>
    <cellStyle name="Bad 3 2 2" xfId="4876" xr:uid="{47F95F02-013F-4A8D-B811-6F3B1450C293}"/>
    <cellStyle name="Bad 3 3" xfId="3571" xr:uid="{DF784ED3-0097-41D7-8577-0DE61D5E4A22}"/>
    <cellStyle name="Bad 4" xfId="4877" xr:uid="{6F7AF7BD-206E-4C3E-9209-7A02D9FCEA00}"/>
    <cellStyle name="Bad 4 2" xfId="4878" xr:uid="{147680AA-8C1D-499E-A6D7-0FE6DFBD328F}"/>
    <cellStyle name="Bad 4 3" xfId="4879" xr:uid="{BF7C43AC-3CAF-444A-9046-F352A5AB2286}"/>
    <cellStyle name="Bad 5" xfId="4880" xr:uid="{E5A38373-F603-45C4-B794-8FEF930E441E}"/>
    <cellStyle name="Bad 6" xfId="4881" xr:uid="{3219F2B7-EF95-4C8C-9F3A-4500722E2052}"/>
    <cellStyle name="Bad 7" xfId="4882" xr:uid="{031772AC-DC8E-4B14-9339-C28FFB90D51E}"/>
    <cellStyle name="Bad 8" xfId="4883" xr:uid="{0DDDB5CD-B018-4F58-9C14-07BB007BEF13}"/>
    <cellStyle name="banner" xfId="4884" xr:uid="{4C0566EF-D95E-48B2-906A-23E4A6B6F683}"/>
    <cellStyle name="BG" xfId="562" xr:uid="{2943BF80-4FBC-44C2-8246-E1B2C11A6112}"/>
    <cellStyle name="BG 2" xfId="563" xr:uid="{B880841D-5B91-4AF2-91CC-EC3457D5B34A}"/>
    <cellStyle name="BG3" xfId="564" xr:uid="{D530BFE8-1846-46AD-B49A-3B7F0F367FFD}"/>
    <cellStyle name="BG3 2" xfId="565" xr:uid="{B2A97E1F-651A-41B6-809A-31E331274A8B}"/>
    <cellStyle name="body" xfId="566" xr:uid="{6145EAEE-CB44-468E-AD91-63EFF70C9797}"/>
    <cellStyle name="Bold 11" xfId="567" xr:uid="{1DB19D88-5068-4318-BB57-40CE2B0EF4B1}"/>
    <cellStyle name="Bold8" xfId="4885" xr:uid="{40D6AB53-F33C-4291-B9C0-C7F901F2927B}"/>
    <cellStyle name="Ç¥ÁØ_´ë¿ìÃâÇÏ¿äÃ» " xfId="4886" xr:uid="{3A136C80-FE3B-4776-BCA4-89DA5B2B990B}"/>
    <cellStyle name="calc" xfId="4887" xr:uid="{66DD8BC7-D5DA-4739-98C2-3CAFDD23B242}"/>
    <cellStyle name="Calc Currency (0)" xfId="568" xr:uid="{B047873F-D072-401E-A05D-A7B50868E319}"/>
    <cellStyle name="Calc Currency (0) 2" xfId="569" xr:uid="{1643BC80-98B9-4721-B8B5-675E31923D47}"/>
    <cellStyle name="Calc Currency (2)" xfId="570" xr:uid="{F0C21CA0-08E9-435D-872B-12A541713F2F}"/>
    <cellStyle name="Calc Currency (2) 2" xfId="4888" xr:uid="{E1FBE14F-6C7B-4242-99D3-4D0B9A60A850}"/>
    <cellStyle name="Calc Percent (0)" xfId="571" xr:uid="{8229A2B4-1F7B-4AB5-AA20-56D55392102A}"/>
    <cellStyle name="Calc Percent (0) 2" xfId="4889" xr:uid="{182E7BA8-BF23-472F-AD41-4950AB3E0416}"/>
    <cellStyle name="Calc Percent (1)" xfId="572" xr:uid="{C2E061DF-E4CE-4D91-A3B4-1F7F017A3C76}"/>
    <cellStyle name="Calc Percent (1) 2" xfId="4890" xr:uid="{4E5ECAA6-0173-4985-BF1D-166A985EB6F1}"/>
    <cellStyle name="Calc Percent (2)" xfId="573" xr:uid="{645EF9E4-9907-4F22-9EAE-873F4F865627}"/>
    <cellStyle name="Calc Percent (2) 2" xfId="4891" xr:uid="{8AFF347F-DC97-45C8-9471-AC43A2F915E7}"/>
    <cellStyle name="Calc Units (0)" xfId="574" xr:uid="{9F8298E8-B8E6-4376-9D08-231A9CEA9EFF}"/>
    <cellStyle name="Calc Units (0) 2" xfId="4892" xr:uid="{C8288C2F-0D65-4C6E-8E6A-9F57E7B9A75E}"/>
    <cellStyle name="Calc Units (1)" xfId="575" xr:uid="{DC75882D-1C3F-423E-8404-F4B67FA14AB6}"/>
    <cellStyle name="Calc Units (1) 2" xfId="4893" xr:uid="{B0645F9D-3B3D-435C-B1BB-B911D2E38E01}"/>
    <cellStyle name="Calc Units (2)" xfId="576" xr:uid="{41A22F8B-9146-4750-93C1-2E85E25DE6E7}"/>
    <cellStyle name="Calc Units (2) 2" xfId="4894" xr:uid="{7F0A0DE7-D566-4ABC-9DFF-B49B7244D97D}"/>
    <cellStyle name="calc_AdTermStructure" xfId="4895" xr:uid="{1BBAF497-E429-4CAD-80DB-822B41292C9B}"/>
    <cellStyle name="calculated" xfId="4896" xr:uid="{7A1639C7-44CD-4059-84D1-EE0AEC661AA3}"/>
    <cellStyle name="Calculation" xfId="17" builtinId="22" customBuiltin="1"/>
    <cellStyle name="Calculation 10" xfId="4897" xr:uid="{0DB71B12-DFBA-4DBD-B2DD-076F936231C0}"/>
    <cellStyle name="Calculation 11" xfId="4898" xr:uid="{D203CCE7-C74D-4241-8D61-038D3480C4BE}"/>
    <cellStyle name="Calculation 12" xfId="4899" xr:uid="{485E80D1-6123-4D71-B3D4-A725600A729A}"/>
    <cellStyle name="Calculation 2" xfId="577" xr:uid="{490FE059-6747-4C00-A0D0-4ECAB1802E3E}"/>
    <cellStyle name="Calculation 2 2" xfId="578" xr:uid="{8C25D0C1-CB92-412F-BF1B-A3E0A9127358}"/>
    <cellStyle name="Calculation 2 2 2" xfId="579" xr:uid="{0F7F678E-AE3A-4726-BB02-4ED930CE2AAC}"/>
    <cellStyle name="Calculation 2 2 2 2" xfId="4900" xr:uid="{FC56F1C8-23AB-4292-826A-38CDEAA5C6DF}"/>
    <cellStyle name="Calculation 2 2_Bonds" xfId="4901" xr:uid="{5A926D07-19FE-46D0-BD8E-FFA391B225B9}"/>
    <cellStyle name="Calculation 2 3" xfId="580" xr:uid="{6B02EFA9-53F4-43B6-81FB-AAFF436747A0}"/>
    <cellStyle name="Calculation 2 4" xfId="581" xr:uid="{732F5EA5-BFF2-44BF-AF3C-196F467A2001}"/>
    <cellStyle name="Calculation 2 5" xfId="582" xr:uid="{3A814780-485F-4993-9B28-541F34139CC7}"/>
    <cellStyle name="Calculation 2 5 2" xfId="3572" xr:uid="{A4D21388-A6AA-4795-9D33-A01E292AF6B9}"/>
    <cellStyle name="Calculation 2 6" xfId="583" xr:uid="{F20D387C-E1BB-47C7-9822-96E2563F0713}"/>
    <cellStyle name="Calculation 2 6 2" xfId="3573" xr:uid="{D59A1326-AA46-4E07-BA3F-269426A72FF4}"/>
    <cellStyle name="Calculation 2 7" xfId="584" xr:uid="{573C5127-5CCF-42BE-949D-DD9E7CA6A7F2}"/>
    <cellStyle name="Calculation 2_VIEWCreditProv" xfId="4902" xr:uid="{B8852015-70B2-4A8B-8FE8-C0D4C081A25D}"/>
    <cellStyle name="Calculation 3" xfId="585" xr:uid="{FF8831B8-4A3E-4C79-AE7D-8711A0574DCD}"/>
    <cellStyle name="Calculation 3 2" xfId="586" xr:uid="{591BE075-4A80-4F43-8879-8B993620DF54}"/>
    <cellStyle name="Calculation 3 2 2" xfId="4903" xr:uid="{7D98E8FC-46FE-4A2A-8A41-ACEBB0A9611A}"/>
    <cellStyle name="Calculation 3 3" xfId="3574" xr:uid="{9F2D6735-2BC4-4BDA-9DF8-5223480F69AB}"/>
    <cellStyle name="Calculation 3_TSL SAP BA Amt Journal Aug 10" xfId="4904" xr:uid="{F758B440-8E73-4196-8AC4-A1CC2BA61BE1}"/>
    <cellStyle name="Calculation 4" xfId="4905" xr:uid="{59D923DA-FF14-4460-A0C2-94B7391400E8}"/>
    <cellStyle name="Calculation 4 2" xfId="4906" xr:uid="{8751DB50-B017-4E5F-A463-97C91094586A}"/>
    <cellStyle name="Calculation 4 3" xfId="4907" xr:uid="{9601A3B0-F6E7-48C2-8908-85C2AE719A96}"/>
    <cellStyle name="Calculation 4_TSL SAP BA Amt Journal Aug 10" xfId="4908" xr:uid="{E21C512B-8DB2-4587-B732-A607CAB0F82C}"/>
    <cellStyle name="Calculation 5" xfId="4909" xr:uid="{66C5FD67-C198-40D8-AC74-852C4FAC59F0}"/>
    <cellStyle name="Calculation 6" xfId="4910" xr:uid="{A9D0AC3E-26AF-46CB-93F6-44A63102F614}"/>
    <cellStyle name="Calculation 7" xfId="4911" xr:uid="{F8579B84-9650-4F01-BC00-DC56A58D702C}"/>
    <cellStyle name="Calculation 8" xfId="4912" xr:uid="{1E720CAC-1C74-4C3C-B4EF-37EC831BA176}"/>
    <cellStyle name="Calculation 9" xfId="4913" xr:uid="{6D8F2502-F6BF-40AA-B684-C55F14070D9F}"/>
    <cellStyle name="CalcҐCurrency (0)_laroux" xfId="4914" xr:uid="{DD6B1991-92B0-4802-BCE5-400F858BEE2B}"/>
    <cellStyle name="cam" xfId="4915" xr:uid="{28F7F2B3-8132-4854-88F8-311B5409CE9C}"/>
    <cellStyle name="cam 2" xfId="4916" xr:uid="{EBFCA51A-4EEF-4DDA-AEED-2E438C95645D}"/>
    <cellStyle name="cam 3" xfId="4917" xr:uid="{90F46E30-5017-4A44-BE71-8A12B3514C74}"/>
    <cellStyle name="cam_INPUTS- FX, CAR, RWA &amp; Equity" xfId="4918" xr:uid="{312A56CB-9285-4DF8-8A90-7FDF6B02C278}"/>
    <cellStyle name="CategoryHeading" xfId="587" xr:uid="{7E8589FC-B27E-4626-A9D7-64DB7890BDED}"/>
    <cellStyle name="Cell Link" xfId="588" xr:uid="{4ED32902-1F3B-4169-85BF-391D08192F81}"/>
    <cellStyle name="Cell Link 2" xfId="589" xr:uid="{C968FB8F-BDAE-4B0A-A345-E61DDBC3B5B2}"/>
    <cellStyle name="Cell Link 2 2" xfId="590" xr:uid="{AB22FCFE-7D93-4F4D-9CA8-76136D153438}"/>
    <cellStyle name="Cell Link 3" xfId="591" xr:uid="{706557BF-DF30-4398-9525-4B35A073F0EE}"/>
    <cellStyle name="Cell Link 4" xfId="4919" xr:uid="{01EA7CB7-DD98-4624-B049-4029E67765F4}"/>
    <cellStyle name="Center Currency" xfId="592" xr:uid="{8C754BA3-AD53-4EB5-8DCB-20C1DB90AF3E}"/>
    <cellStyle name="Center Currency 2" xfId="593" xr:uid="{903AE13E-1402-44E1-BBA3-401A7E622A96}"/>
    <cellStyle name="Center Currency 2 2" xfId="594" xr:uid="{4AC5BC50-F6FB-4EA9-8C5D-0D9EC3E04C32}"/>
    <cellStyle name="Center Currency 2 3" xfId="595" xr:uid="{3D08AF92-34BF-42AB-B8F3-76D36A79EE3F}"/>
    <cellStyle name="Center Currency 3" xfId="596" xr:uid="{18DEFE6E-A995-42DA-9E91-5CAD8C7D1D6A}"/>
    <cellStyle name="Center Currency 3 2" xfId="4920" xr:uid="{61BB2949-5847-4DE3-949D-25D404AF9725}"/>
    <cellStyle name="Center Currency 4" xfId="597" xr:uid="{241ACA8E-98CE-4E2D-B1AD-AB4D5ED7E7BB}"/>
    <cellStyle name="Center Currency 4 2" xfId="4921" xr:uid="{3B2CB7F9-EED7-46A7-9E50-1DB4FFC682AA}"/>
    <cellStyle name="Center Currency_~2153298" xfId="4922" xr:uid="{531EC595-28CB-429A-A2CB-3D3D5265B0B6}"/>
    <cellStyle name="Center Date" xfId="598" xr:uid="{1EAC9051-A3F8-44F7-AA36-747F52A072FE}"/>
    <cellStyle name="Center Date 2" xfId="599" xr:uid="{FA1D2433-5B58-4DB1-B378-CB4CD40A6D9A}"/>
    <cellStyle name="Center Date 2 2" xfId="600" xr:uid="{3C2C39E8-760D-4B2F-88C5-ABDBA0A33DF8}"/>
    <cellStyle name="Center Date 3" xfId="601" xr:uid="{07A97795-3D36-4B33-A095-8A174F3D8B76}"/>
    <cellStyle name="Center Date 4" xfId="4923" xr:uid="{8AB92D59-3AEF-4DB7-B4D7-75BE4295024F}"/>
    <cellStyle name="Center Date_~2153298" xfId="4924" xr:uid="{0DFBE89F-12C8-4350-9E08-B35F561D7ABB}"/>
    <cellStyle name="Center Multiple" xfId="602" xr:uid="{A873C15D-5C31-4320-869F-2C245FE1562C}"/>
    <cellStyle name="Center Multiple 2" xfId="603" xr:uid="{EDFBCD27-496F-4031-8C1D-0125D48C320C}"/>
    <cellStyle name="Center Multiple 2 2" xfId="604" xr:uid="{01628134-A923-4C1E-B547-FCE9BBF56A14}"/>
    <cellStyle name="Center Multiple 2 3" xfId="605" xr:uid="{AE7C502F-4309-47E0-B184-219E10467C21}"/>
    <cellStyle name="Center Multiple 3" xfId="606" xr:uid="{3FE9FDF5-60DB-40F9-96A6-4EA20F4EEC95}"/>
    <cellStyle name="Center Multiple 3 2" xfId="4925" xr:uid="{863B6D0A-9E23-43C1-8800-3D5D7EBBBE92}"/>
    <cellStyle name="Center Multiple 4" xfId="4926" xr:uid="{26E87B8D-7313-4BED-B9D2-195FED0E0995}"/>
    <cellStyle name="Center Multiple_~2153298" xfId="4927" xr:uid="{AF1EA1F1-02C9-4840-B545-5740411E27FE}"/>
    <cellStyle name="Center Number" xfId="607" xr:uid="{97A12A90-D2E4-4EB2-8572-0B8D7E2F1E85}"/>
    <cellStyle name="Center Number 2" xfId="608" xr:uid="{BCBA5380-8A03-4659-A068-830B3B60999E}"/>
    <cellStyle name="Center Number 2 2" xfId="609" xr:uid="{48F1DFB8-D9A6-423E-9499-5D27507E5AD8}"/>
    <cellStyle name="Center Number 2 3" xfId="610" xr:uid="{75792448-F259-42B5-9A61-378DE8255965}"/>
    <cellStyle name="Center Number 3" xfId="611" xr:uid="{665D3988-6119-4F18-8C0F-516B24FD7D6B}"/>
    <cellStyle name="Center Number 3 2" xfId="4928" xr:uid="{2D7F7DE2-994F-4E86-B7EF-2CD1F3E13306}"/>
    <cellStyle name="Center Number 4" xfId="4929" xr:uid="{2226EBE7-CDB4-4F7E-9768-DBEE0A81B709}"/>
    <cellStyle name="Center Number_~2153298" xfId="4930" xr:uid="{6B9F588A-3B20-4CCA-AAA6-F10BF61607CF}"/>
    <cellStyle name="Center Percentage" xfId="612" xr:uid="{19503232-7AF4-4B05-8999-9BBC7459D5C1}"/>
    <cellStyle name="Center Percentage 2" xfId="613" xr:uid="{8FA50482-C838-4166-9032-B0AC7DB2D7B1}"/>
    <cellStyle name="Center Percentage 2 2" xfId="614" xr:uid="{DEDD2668-01A1-48B2-83BB-2824EBBA4D83}"/>
    <cellStyle name="Center Percentage 2 3" xfId="615" xr:uid="{39450501-7085-4273-8815-8DF8A35AFFCD}"/>
    <cellStyle name="Center Percentage 3" xfId="616" xr:uid="{64C11FE8-0C25-4E7B-9E56-2F730B10222A}"/>
    <cellStyle name="Center Percentage 3 2" xfId="4931" xr:uid="{76ABDFDE-271E-4227-AA11-65FA49EACA86}"/>
    <cellStyle name="Center Percentage 4" xfId="4932" xr:uid="{6E3358D6-A43E-4BAE-976D-4F39E8859907}"/>
    <cellStyle name="Center Percentage_~2153298" xfId="4933" xr:uid="{DC03F774-8ABC-4143-B495-47DA52F63896}"/>
    <cellStyle name="Center Year" xfId="617" xr:uid="{CEB1EC17-F1F1-412E-B597-6F86A25D3383}"/>
    <cellStyle name="Center Year 2" xfId="618" xr:uid="{DE092EA9-C6A2-4E50-9512-44C91E8C9526}"/>
    <cellStyle name="Center Year 2 2" xfId="619" xr:uid="{66D77B74-378C-40E3-83FA-CDAE23F72A72}"/>
    <cellStyle name="Center Year 3" xfId="620" xr:uid="{DF5A7FF8-86FA-4229-8114-3710B30E5B17}"/>
    <cellStyle name="Center Year 4" xfId="4934" xr:uid="{FD823F2F-F06D-4726-8E0B-C3051AEFC0A5}"/>
    <cellStyle name="Center Year_~2153298" xfId="4935" xr:uid="{EEC9B081-9ABE-4B46-A523-C32C11747004}"/>
    <cellStyle name="Check Cell" xfId="19" builtinId="23" customBuiltin="1"/>
    <cellStyle name="Check Cell 10" xfId="4936" xr:uid="{4B0C59A0-9640-4EF4-9F27-654B74BCEB3C}"/>
    <cellStyle name="Check Cell 11" xfId="4937" xr:uid="{6584D370-00F1-4B8F-960E-4F1469D3997A}"/>
    <cellStyle name="Check Cell 12" xfId="4938" xr:uid="{F5FC81E5-2B4D-465C-9DE3-78B2E5A4BABC}"/>
    <cellStyle name="Check Cell 2" xfId="621" xr:uid="{B4C80713-9663-4783-B2BD-CBFB57024B02}"/>
    <cellStyle name="Check Cell 2 2" xfId="622" xr:uid="{7A928151-F02A-4A8A-BE1F-52988DC1911B}"/>
    <cellStyle name="Check Cell 2 2 2" xfId="623" xr:uid="{05541854-8CE3-44B3-A092-8F737FE6D891}"/>
    <cellStyle name="Check Cell 2 3" xfId="624" xr:uid="{C5D6380E-0937-424C-8FE2-EBB6E8CE5553}"/>
    <cellStyle name="Check Cell 2 4" xfId="625" xr:uid="{6F2DAE52-A899-4BCF-B008-1B0001289B92}"/>
    <cellStyle name="Check Cell 2 5" xfId="626" xr:uid="{579E3CAC-B960-4522-80C3-38254BDD8BDB}"/>
    <cellStyle name="Check Cell 2 5 2" xfId="3575" xr:uid="{2EF52FCC-F00A-4716-A6EA-434F250CCE56}"/>
    <cellStyle name="Check Cell 2 6" xfId="627" xr:uid="{82C8DEEA-B7B0-41E0-973F-3227165AD0C9}"/>
    <cellStyle name="Check Cell 2_VIEWCreditProv" xfId="4939" xr:uid="{A4F93910-8ECB-4D31-998D-D892F091D99A}"/>
    <cellStyle name="Check Cell 3" xfId="628" xr:uid="{07B77205-3D9F-46F8-ACC3-9C594A76D612}"/>
    <cellStyle name="Check Cell 3 2" xfId="629" xr:uid="{0E2A95C9-32BB-4662-A49C-7E45AD06321A}"/>
    <cellStyle name="Check Cell 3 2 2" xfId="4940" xr:uid="{B771A329-DD6E-4FAD-8D91-BF647E44AE49}"/>
    <cellStyle name="Check Cell 3 3" xfId="3576" xr:uid="{8A1485F1-E18A-410F-860D-622D03149B8A}"/>
    <cellStyle name="Check Cell 3_VIEWCreditProv" xfId="4941" xr:uid="{4E82993E-605A-429E-B4EA-7AD63B1D93E5}"/>
    <cellStyle name="Check Cell 4" xfId="4942" xr:uid="{1282ECF9-AC4C-4CAC-BD9C-7369A9ECF0C6}"/>
    <cellStyle name="Check Cell 4 2" xfId="4943" xr:uid="{455798C2-E17E-42BE-B802-3EB455C0DC23}"/>
    <cellStyle name="Check Cell 4 3" xfId="4944" xr:uid="{62CE920F-6931-4AF6-8BC2-B2672BDB1380}"/>
    <cellStyle name="Check Cell 4_VIEWCreditProv" xfId="4945" xr:uid="{71FFE1E7-55F2-4464-88F8-DD2E9144E7B0}"/>
    <cellStyle name="Check Cell 5" xfId="4946" xr:uid="{C495D1B9-1854-40F5-8B49-C4F0B41A05C6}"/>
    <cellStyle name="Check Cell 6" xfId="4947" xr:uid="{92CCDCCA-3EB0-4365-8945-155FB31998DB}"/>
    <cellStyle name="Check Cell 7" xfId="4948" xr:uid="{A22EB76A-6AF4-499C-A392-0B3E2CEA3688}"/>
    <cellStyle name="Check Cell 8" xfId="4949" xr:uid="{35945C71-D61E-41BF-BF08-431F6FCE1070}"/>
    <cellStyle name="Check Cell 9" xfId="4950" xr:uid="{ECB7A37E-B93A-47AC-BB92-8387B8FE2DEB}"/>
    <cellStyle name="checkExposure" xfId="4951" xr:uid="{1AF95722-450B-4E01-8A33-1B4499E7E271}"/>
    <cellStyle name="CheckStyle" xfId="4952" xr:uid="{FE086B93-894E-4513-A0A6-947C0DC66110}"/>
    <cellStyle name="CheckStyle 2" xfId="11473" xr:uid="{F8CEB80E-709C-4E0D-9B8E-E03124187E4E}"/>
    <cellStyle name="COLHDR" xfId="630" xr:uid="{1EF1AA16-2DFD-4D94-B2A6-1CFA53AEB494}"/>
    <cellStyle name="ColHead" xfId="631" xr:uid="{8E7EB766-E0B8-420A-A11D-3D3A41045901}"/>
    <cellStyle name="Column header" xfId="632" xr:uid="{47976CDD-AF89-4F7D-AFA0-EA84F5BDAF05}"/>
    <cellStyle name="ColumnAttributeAbovePrompt" xfId="4953" xr:uid="{6783EAF7-5A75-4997-9DE8-F0A6E24BA295}"/>
    <cellStyle name="ColumnAttributePrompt" xfId="4954" xr:uid="{E9E6EC01-1722-40F7-AFF0-4693259F3E04}"/>
    <cellStyle name="ColumnAttributeValue" xfId="4955" xr:uid="{33428CC6-91BE-4FBE-ACE2-190D28D12A6A}"/>
    <cellStyle name="ColumnHeading" xfId="4956" xr:uid="{AE2FBDE6-CAD2-4470-BACE-7BA98D4B7687}"/>
    <cellStyle name="ColumnHeadingPrompt" xfId="4957" xr:uid="{BBE70D33-4440-432D-83EC-F29C3631F489}"/>
    <cellStyle name="ColumnHeadingValue" xfId="4958" xr:uid="{69CA86A8-65EB-4269-AE30-27CE54FEF2E9}"/>
    <cellStyle name="Comma" xfId="2" builtinId="3"/>
    <cellStyle name="Comma  - Style1" xfId="4959" xr:uid="{1DCA1FCC-4EDE-43E6-8B37-FAB35DF19EFC}"/>
    <cellStyle name="Comma  - Style1 2" xfId="11474" xr:uid="{FAB04A6A-B287-43DA-9413-143AD8C4CCBB}"/>
    <cellStyle name="Comma [0] 10" xfId="4960" xr:uid="{F7727EF5-0835-4F08-88D9-C844B0836F97}"/>
    <cellStyle name="Comma [0] 2" xfId="633" xr:uid="{3F3EC373-EA14-4DA1-8A27-2311DE252971}"/>
    <cellStyle name="Comma [0] 2 2" xfId="634" xr:uid="{F4B43583-80A7-4FD7-9AD5-1694B7FD8197}"/>
    <cellStyle name="Comma [0] 4" xfId="635" xr:uid="{3147350A-9178-4D2B-9D6F-DC1955F7B42E}"/>
    <cellStyle name="Comma [0] 4 2" xfId="636" xr:uid="{C48A5D88-16EB-4F3B-B601-C2679E12941E}"/>
    <cellStyle name="Comma [00]" xfId="637" xr:uid="{402DD55D-736D-415E-878A-7DE648E980B9}"/>
    <cellStyle name="Comma [00] 2" xfId="4961" xr:uid="{3371C3B1-6CA9-41E0-8D39-96C61C9D1C33}"/>
    <cellStyle name="Comma 0" xfId="638" xr:uid="{4B7BE6A4-2CCB-4F19-839F-E6B956D9127A}"/>
    <cellStyle name="Comma 10" xfId="639" xr:uid="{5D197609-4ED1-47DB-A620-4AD49FEB4166}"/>
    <cellStyle name="Comma 10 2" xfId="640" xr:uid="{B2D64C0F-8165-4714-BD84-0A5CAA17B975}"/>
    <cellStyle name="Comma 10 2 2" xfId="4962" xr:uid="{B4805FA0-89C0-48C9-BF96-351F58A3CE1F}"/>
    <cellStyle name="Comma 10 2 3" xfId="3421" xr:uid="{6A8FD604-7A39-4C7D-9398-90A935E6AF2B}"/>
    <cellStyle name="Comma 10 3" xfId="641" xr:uid="{C4E357ED-6FE3-474D-AB47-08DC6720EFB5}"/>
    <cellStyle name="Comma 10 3 2" xfId="4963" xr:uid="{10A72333-A40E-40B3-A984-D6A988015508}"/>
    <cellStyle name="Comma 10 3 3" xfId="3422" xr:uid="{FBE0C8C4-26B9-4968-9761-6700663DF64B}"/>
    <cellStyle name="Comma 10 4" xfId="642" xr:uid="{896A5EE3-E217-4A54-A0BB-9C474EC69CED}"/>
    <cellStyle name="Comma 10 4 2" xfId="4964" xr:uid="{DDA7F61C-F1C1-4E6B-935A-644C5FF2454E}"/>
    <cellStyle name="Comma 10 4 3 8" xfId="643" xr:uid="{D6268B44-D142-40B9-A5D0-50B10416BA09}"/>
    <cellStyle name="Comma 10 4 3 8 2" xfId="644" xr:uid="{8706422A-D9ED-4694-8DAD-1FAC69CF6F66}"/>
    <cellStyle name="Comma 10 4 3 8 2 2" xfId="645" xr:uid="{960523D6-C12A-469A-832B-DF2997702F36}"/>
    <cellStyle name="Comma 10 4 3 8 3" xfId="646" xr:uid="{5D94D891-5232-4AA5-8C01-7D3988FC1B40}"/>
    <cellStyle name="Comma 10 5" xfId="3420" xr:uid="{A8A3DEE1-C0E4-4112-AF0B-FFE3928D01C8}"/>
    <cellStyle name="Comma 11" xfId="647" xr:uid="{C8AED034-6E74-4B9B-B6F3-857FEB95E176}"/>
    <cellStyle name="Comma 11 2" xfId="648" xr:uid="{C9441A22-AA1E-4D93-A74D-DE05A9EBAF58}"/>
    <cellStyle name="Comma 11 2 2" xfId="4965" xr:uid="{F1440F7E-9788-492C-98C5-965BA6287261}"/>
    <cellStyle name="Comma 11 2 3" xfId="3424" xr:uid="{826BB5AD-1A1E-4445-95E2-82B74A49A468}"/>
    <cellStyle name="Comma 11 3" xfId="649" xr:uid="{06751827-7CFD-4238-82D0-F0AC4215A729}"/>
    <cellStyle name="Comma 11 3 2" xfId="4966" xr:uid="{2762E4C4-7F54-40F9-B00B-8E18DDF8EA77}"/>
    <cellStyle name="Comma 11 3 3" xfId="3425" xr:uid="{3300DD3F-4F84-4CC0-BDE2-75AA2C087FE0}"/>
    <cellStyle name="Comma 11 4" xfId="650" xr:uid="{5C5B83AE-CA59-4AE7-9A64-29CD09901323}"/>
    <cellStyle name="Comma 11 4 2" xfId="4968" xr:uid="{23FF4F92-58B2-4764-AE52-4A20F10DC2E2}"/>
    <cellStyle name="Comma 11 4 2 2" xfId="4969" xr:uid="{49D02DD4-E3D2-4D53-8B13-209F7F38892E}"/>
    <cellStyle name="Comma 11 4 3" xfId="4970" xr:uid="{A17C1D06-AFC2-4B37-B191-497CBE2CBCD9}"/>
    <cellStyle name="Comma 11 4 4" xfId="4967" xr:uid="{20DA29A5-50D5-42E6-A9CC-47D8EB30634B}"/>
    <cellStyle name="Comma 11 5" xfId="4971" xr:uid="{D8CE6F81-C877-4681-BCAE-21DFC60B8F29}"/>
    <cellStyle name="Comma 11 6" xfId="4972" xr:uid="{8B077DC2-1785-476D-AA15-D4CE92AB3A8B}"/>
    <cellStyle name="Comma 11 7" xfId="4973" xr:uid="{E63DD9DC-0BDB-4035-862F-E9E7E048C489}"/>
    <cellStyle name="Comma 11 8" xfId="3423" xr:uid="{C1F4ECC2-B34A-430D-93B0-371C21CCDF02}"/>
    <cellStyle name="Comma 12" xfId="651" xr:uid="{DFA9787D-0D0C-49FC-A75B-E88DC9964525}"/>
    <cellStyle name="Comma 12 2" xfId="652" xr:uid="{FA2CA5FF-1EFE-44E2-8088-0EAF05039E0F}"/>
    <cellStyle name="Comma 12 2 2" xfId="4974" xr:uid="{591F837B-0691-481A-9842-CA3994427A48}"/>
    <cellStyle name="Comma 12 2 2 2" xfId="4975" xr:uid="{5A7A807B-D110-4C9D-819D-F8E8802F3D9B}"/>
    <cellStyle name="Comma 12 2 3" xfId="4976" xr:uid="{11F6C5A0-67B4-478D-8224-0B26990545E9}"/>
    <cellStyle name="Comma 12 2 4" xfId="4977" xr:uid="{AE6F9BB8-BAA6-40AB-9D04-4E6006BE7D3E}"/>
    <cellStyle name="Comma 12 2 5" xfId="3427" xr:uid="{91A3DABB-B50F-4C6A-A354-67293A191186}"/>
    <cellStyle name="Comma 12 3" xfId="653" xr:uid="{781648D7-3D01-478B-811C-0908F3AF7F6D}"/>
    <cellStyle name="Comma 12 3 2" xfId="4978" xr:uid="{6EB73D58-3580-415A-9C3C-857B9C289356}"/>
    <cellStyle name="Comma 12 3 3" xfId="3428" xr:uid="{3F5C1696-2297-4D06-9557-26290D915353}"/>
    <cellStyle name="Comma 12 4" xfId="654" xr:uid="{AD5B996D-4315-4F79-B1A3-1D8DAA82AF5C}"/>
    <cellStyle name="Comma 12 4 2" xfId="4979" xr:uid="{CC1E45D6-C06A-4A02-B258-AD0F0A4CDD0A}"/>
    <cellStyle name="Comma 12 5" xfId="3426" xr:uid="{F2A384B7-CA67-4285-9025-798C5CC78D75}"/>
    <cellStyle name="Comma 13" xfId="655" xr:uid="{1856F698-5679-4155-BF4C-23585376AA52}"/>
    <cellStyle name="Comma 13 2" xfId="656" xr:uid="{1B2ED3DA-ACCF-478F-9A57-AD6A43453A20}"/>
    <cellStyle name="Comma 13 2 2" xfId="4980" xr:uid="{C3C64363-B51D-4EAF-8C85-55374D307103}"/>
    <cellStyle name="Comma 13 2 3" xfId="3430" xr:uid="{8E98DC03-9545-4E46-AA23-6C47E66DE14C}"/>
    <cellStyle name="Comma 13 3" xfId="657" xr:uid="{3648E7F8-855A-4631-B00A-4BB8369D1C45}"/>
    <cellStyle name="Comma 13 3 2" xfId="4981" xr:uid="{47351339-0A83-4E46-93C1-8F9D783BE25E}"/>
    <cellStyle name="Comma 13 3 3" xfId="3431" xr:uid="{D000D203-664E-4037-BC96-25E7038312B4}"/>
    <cellStyle name="Comma 13 4" xfId="658" xr:uid="{61F75567-C0C2-416E-B9C2-07A53B35B4CB}"/>
    <cellStyle name="Comma 13 4 2" xfId="4982" xr:uid="{7E5D8137-417F-4716-8E8D-A37FE4A385D2}"/>
    <cellStyle name="Comma 13 5" xfId="3429" xr:uid="{FDE5090F-E0A9-42F6-82A4-6D683FF133E5}"/>
    <cellStyle name="Comma 14" xfId="659" xr:uid="{86092674-DBAA-4CC9-8C57-B0676C4F37F9}"/>
    <cellStyle name="Comma 14 2" xfId="660" xr:uid="{EAA9AEFB-EF24-4369-9C30-71E03C185313}"/>
    <cellStyle name="Comma 14 2 2" xfId="4983" xr:uid="{106B9068-D489-46A5-B9ED-EDDB5CAFF722}"/>
    <cellStyle name="Comma 14 2 3" xfId="3433" xr:uid="{04207BD4-C41B-45CD-AEE2-DE1268B4AD49}"/>
    <cellStyle name="Comma 14 3" xfId="661" xr:uid="{68402857-6833-4D4C-86EC-CF3F3C3E43D1}"/>
    <cellStyle name="Comma 14 3 2" xfId="4984" xr:uid="{6798FB17-9C7E-4E24-A33D-CEC5DE8BF095}"/>
    <cellStyle name="Comma 14 3 3" xfId="3434" xr:uid="{42366E88-1337-4B63-A7C3-037FE9E5B84C}"/>
    <cellStyle name="Comma 14 4" xfId="662" xr:uid="{207F2C04-25E6-4DA8-B1CB-34ECFBB58A34}"/>
    <cellStyle name="Comma 14 4 2" xfId="4985" xr:uid="{7B4B6907-674C-4017-929B-519716E888EC}"/>
    <cellStyle name="Comma 14 5" xfId="3432" xr:uid="{4EEE3A24-4E56-48E6-AFAE-79491D5A4964}"/>
    <cellStyle name="Comma 15" xfId="663" xr:uid="{6FB66293-56EC-4FEC-B2C1-AD8CDB459F0F}"/>
    <cellStyle name="Comma 15 2" xfId="664" xr:uid="{3E3A3968-6763-4EA2-AC36-B53DB6115E35}"/>
    <cellStyle name="Comma 15 2 2" xfId="4986" xr:uid="{AF0B17FF-7DE1-43FA-B402-4063757267B9}"/>
    <cellStyle name="Comma 15 2 3" xfId="3436" xr:uid="{F8630FD9-6B47-4CA5-BA2D-8FF80D35A0F8}"/>
    <cellStyle name="Comma 15 3" xfId="665" xr:uid="{DA684C48-6C0F-4BC6-A7EC-2E1D71593D20}"/>
    <cellStyle name="Comma 15 3 2" xfId="4987" xr:uid="{9A85D8C3-16D1-4D57-B854-42008A11AF39}"/>
    <cellStyle name="Comma 15 3 3" xfId="3437" xr:uid="{012D48A0-4A86-49C5-B1AD-BA0B54EA006E}"/>
    <cellStyle name="Comma 15 4" xfId="4988" xr:uid="{F4507331-CF45-4CD4-B3F4-EC6F967C5504}"/>
    <cellStyle name="Comma 15 5" xfId="3435" xr:uid="{64171BCA-7C5E-4BA7-B181-3BB758A7611C}"/>
    <cellStyle name="Comma 16" xfId="666" xr:uid="{51CFC98C-1E32-4FA9-93B1-2C5F3485F2F9}"/>
    <cellStyle name="Comma 16 2" xfId="667" xr:uid="{6EDE3311-48C7-4DC2-8D5B-D36650B3E251}"/>
    <cellStyle name="Comma 16 2 2" xfId="4989" xr:uid="{95CC6981-6D64-4A04-BAC5-5C099CC50A06}"/>
    <cellStyle name="Comma 16 2 3" xfId="3439" xr:uid="{76363D89-92D6-4385-8233-3A7F3C281600}"/>
    <cellStyle name="Comma 16 3" xfId="4990" xr:uid="{9F4C73D6-8431-48DA-A1C7-7C9177D21DDB}"/>
    <cellStyle name="Comma 16 4" xfId="3438" xr:uid="{6C29AC4F-E7C8-402F-8408-66AF306E7DC8}"/>
    <cellStyle name="Comma 17" xfId="668" xr:uid="{089E9E33-5464-4A95-A3E0-51E940BEDCBD}"/>
    <cellStyle name="Comma 17 2" xfId="669" xr:uid="{E874F045-7142-4DB6-9A6A-9463CE26F513}"/>
    <cellStyle name="Comma 17 2 2" xfId="4991" xr:uid="{D7BA65A4-3F5B-4348-AE04-C2FDCA824AE9}"/>
    <cellStyle name="Comma 17 2 3" xfId="3441" xr:uid="{530A26C9-D919-4083-975D-CF58C05B6F98}"/>
    <cellStyle name="Comma 17 3" xfId="4992" xr:uid="{5142E0A7-8C1A-4871-9371-F9A4CF9A1F19}"/>
    <cellStyle name="Comma 17 4" xfId="3440" xr:uid="{AF7274E0-3C4C-4567-AE46-82A25690CF68}"/>
    <cellStyle name="Comma 18" xfId="670" xr:uid="{3FAA999F-1303-47A6-A962-9F277E634734}"/>
    <cellStyle name="Comma 18 2" xfId="671" xr:uid="{CDAC2F7B-9C91-4FB1-93A4-A92645AA4721}"/>
    <cellStyle name="Comma 18 2 2" xfId="4993" xr:uid="{1BF218DA-F039-427F-8093-1FC0143DC96E}"/>
    <cellStyle name="Comma 18 2 3" xfId="3443" xr:uid="{D855BC81-1417-4B07-81B0-B3B6515EBC69}"/>
    <cellStyle name="Comma 18 3" xfId="4994" xr:uid="{58042CFB-D841-45FA-BCAB-38AB66C393A9}"/>
    <cellStyle name="Comma 18 4" xfId="3442" xr:uid="{2D095E21-C1BB-4D40-AC89-9A197C6C7DC0}"/>
    <cellStyle name="Comma 19" xfId="672" xr:uid="{2A86E8AB-9AE1-42DA-8BA0-3FF23090CB3F}"/>
    <cellStyle name="Comma 19 2" xfId="673" xr:uid="{3277700E-F1F0-4B16-9558-3406ABC8A103}"/>
    <cellStyle name="Comma 19 2 2" xfId="674" xr:uid="{7894A5CE-6ADB-413E-9DF6-01A3BA59BF87}"/>
    <cellStyle name="Comma 19 3" xfId="4995" xr:uid="{58B949BA-BC8C-4209-AEBB-372835FB989E}"/>
    <cellStyle name="Comma 19 4" xfId="3444" xr:uid="{854CE0DF-9B75-4FC8-9BE1-AEE6FFCAB3BA}"/>
    <cellStyle name="Comma 19_41" xfId="675" xr:uid="{D286B4D8-A400-4E17-9FAC-E107EEE28DE0}"/>
    <cellStyle name="Comma 2" xfId="4" xr:uid="{00000000-0005-0000-0000-000001000000}"/>
    <cellStyle name="Comma 2 10" xfId="677" xr:uid="{1FCA2FB3-A1EA-4F31-A817-ADE09540CB23}"/>
    <cellStyle name="Comma 2 10 2" xfId="4996" xr:uid="{43CD1EBE-3AA3-4E10-807D-86D8E2B1D02B}"/>
    <cellStyle name="Comma 2 10 2 2" xfId="4997" xr:uid="{E5539D32-E01E-42DB-9000-E00D793A55CD}"/>
    <cellStyle name="Comma 2 10 2 2 2" xfId="4998" xr:uid="{5DEF82AA-5D14-4417-B8DA-12FE4529CCE9}"/>
    <cellStyle name="Comma 2 10 2 3" xfId="4999" xr:uid="{B7889A34-557C-40B4-82B2-715A80ECFB8B}"/>
    <cellStyle name="Comma 2 10 2 3 2" xfId="5000" xr:uid="{89461988-8688-493B-B461-ED35F8EADACF}"/>
    <cellStyle name="Comma 2 10 2 4" xfId="5001" xr:uid="{77D68541-1F81-46A6-8572-2A61C1AE5429}"/>
    <cellStyle name="Comma 2 10 3" xfId="5002" xr:uid="{54684ADC-73A2-4AAA-8FE2-2A20D1D86396}"/>
    <cellStyle name="Comma 2 10 3 2" xfId="5003" xr:uid="{9BB76A75-595B-4076-94B3-39DC4165D582}"/>
    <cellStyle name="Comma 2 10 4" xfId="5004" xr:uid="{C48DB426-8487-4D20-90C9-3BA6E471A312}"/>
    <cellStyle name="Comma 2 10 4 2" xfId="5005" xr:uid="{ACE5D8DC-9F8C-4367-AAEE-96709BC52401}"/>
    <cellStyle name="Comma 2 10 5" xfId="5006" xr:uid="{EFEC3967-8851-4DA5-B51B-33F0080502D3}"/>
    <cellStyle name="Comma 2 10_Bonds" xfId="5007" xr:uid="{33782AD5-AD2E-4FD9-818B-25C87712840B}"/>
    <cellStyle name="Comma 2 11" xfId="678" xr:uid="{0562E0C4-8293-4AF2-95B4-4D9F57EEDF98}"/>
    <cellStyle name="Comma 2 11 2" xfId="5008" xr:uid="{9D1C4EB9-87CD-4894-A50E-C36A0E72EC93}"/>
    <cellStyle name="Comma 2 11 2 2" xfId="5009" xr:uid="{4938A2E9-95BB-4DDF-BEA9-0414603151E9}"/>
    <cellStyle name="Comma 2 11 3" xfId="5010" xr:uid="{3AB29A70-FE56-4515-A63F-F82C2D3EFD6A}"/>
    <cellStyle name="Comma 2 11 3 2" xfId="5011" xr:uid="{47DFC0FC-D19D-444E-90F2-9517EA8C2A28}"/>
    <cellStyle name="Comma 2 11 4" xfId="5012" xr:uid="{BAE835F9-63B0-4FAB-97D7-EBCEA392E55E}"/>
    <cellStyle name="Comma 2 11_Bonds" xfId="5013" xr:uid="{1E763ECF-737D-416A-AE68-737C4CC527E2}"/>
    <cellStyle name="Comma 2 12" xfId="679" xr:uid="{1CDBA42E-A974-4050-883B-E388B5ECA77B}"/>
    <cellStyle name="Comma 2 12 2" xfId="5014" xr:uid="{EB206E1A-9131-47E1-8430-26CA894C4F41}"/>
    <cellStyle name="Comma 2 12 3" xfId="5015" xr:uid="{4D9B5B4C-4047-4978-BE32-E18FDCE0E5BD}"/>
    <cellStyle name="Comma 2 12 4" xfId="3577" xr:uid="{9B2CD669-E0FA-4FE7-BF79-B07250B29370}"/>
    <cellStyle name="Comma 2 13" xfId="680" xr:uid="{BBA2C7B8-2FEE-4DA3-9400-4AE5AD9E54E9}"/>
    <cellStyle name="Comma 2 13 2" xfId="3578" xr:uid="{1F09A3FE-D586-458F-9854-24DDF7C0A599}"/>
    <cellStyle name="Comma 2 14" xfId="681" xr:uid="{683FCDB8-5711-4440-8742-8EBC516A0F4C}"/>
    <cellStyle name="Comma 2 14 2" xfId="3624" xr:uid="{9B3099F3-2510-4001-A499-C85507817A2B}"/>
    <cellStyle name="Comma 2 15" xfId="682" xr:uid="{3E136403-EE9E-4A78-9F38-6A73AE7433F2}"/>
    <cellStyle name="Comma 2 15 2" xfId="5017" xr:uid="{828C6D53-81DD-4F0A-8BBA-94677D353C47}"/>
    <cellStyle name="Comma 2 15 3" xfId="5016" xr:uid="{67248459-40B3-47BE-B9A8-AB0B7B16D75B}"/>
    <cellStyle name="Comma 2 16" xfId="3445" xr:uid="{54AB7181-A634-4676-84DD-1741901560EB}"/>
    <cellStyle name="Comma 2 17" xfId="11331" xr:uid="{CC07197C-E639-463A-AC4F-78DB3FB45A1D}"/>
    <cellStyle name="Comma 2 18" xfId="676" xr:uid="{E3FC8B45-04D7-4BF9-96DC-0E74F2FB22D7}"/>
    <cellStyle name="Comma 2 19" xfId="11406" xr:uid="{15E1100B-6BBF-411B-9E93-5988BCE1F764}"/>
    <cellStyle name="Comma 2 2" xfId="10" xr:uid="{2ED99634-3EBE-40D4-8E68-E1B8942B4485}"/>
    <cellStyle name="Comma 2 2 10" xfId="684" xr:uid="{75EC535C-1496-480F-8D6F-329EE088E054}"/>
    <cellStyle name="Comma 2 2 10 2" xfId="685" xr:uid="{DDB0D351-1B3B-4216-A6E9-BD83D3F1AF48}"/>
    <cellStyle name="Comma 2 2 10 2 2" xfId="5018" xr:uid="{E34A0ADF-4777-4143-B44B-FF14C3C4CA8F}"/>
    <cellStyle name="Comma 2 2 10 3" xfId="3447" xr:uid="{81405C08-5071-48A9-81C1-EE175462B170}"/>
    <cellStyle name="Comma 2 2 11" xfId="686" xr:uid="{86D77618-9FE3-441D-8D80-5B44A695EDA6}"/>
    <cellStyle name="Comma 2 2 11 2" xfId="3579" xr:uid="{BB690730-5406-4F78-8C13-308902571848}"/>
    <cellStyle name="Comma 2 2 12" xfId="687" xr:uid="{60B995A6-93FF-4F9D-9580-73BE30F7E4A5}"/>
    <cellStyle name="Comma 2 2 13" xfId="5019" xr:uid="{ADD2A0F8-FD0A-4991-9024-460F0CB6452F}"/>
    <cellStyle name="Comma 2 2 14" xfId="3446" xr:uid="{DCD659BB-5547-4E93-B6F2-A2C5D902219A}"/>
    <cellStyle name="Comma 2 2 15" xfId="683" xr:uid="{961F17C9-87B8-49CD-A834-46D3885F6EB0}"/>
    <cellStyle name="Comma 2 2 2" xfId="688" xr:uid="{922BD925-05A7-4DDD-A678-CB4E76D6F2EE}"/>
    <cellStyle name="Comma 2 2 2 10" xfId="689" xr:uid="{54CABEEC-B98E-45E8-8C86-C9E51DE67803}"/>
    <cellStyle name="Comma 2 2 2 11" xfId="690" xr:uid="{AED9ED9E-AC9A-470D-BB3D-E9AA1E9A3FC2}"/>
    <cellStyle name="Comma 2 2 2 11 2" xfId="5020" xr:uid="{D3B9C31D-20B1-4E4D-9C1D-1EC6EC96FE6A}"/>
    <cellStyle name="Comma 2 2 2 12" xfId="3448" xr:uid="{AC8C0DAE-845E-4800-8CBA-B088B7BAA66C}"/>
    <cellStyle name="Comma 2 2 2 2" xfId="691" xr:uid="{C0532D43-9328-47EB-AA12-879F1C262223}"/>
    <cellStyle name="Comma 2 2 2 2 2" xfId="692" xr:uid="{40EAA040-8E3A-4255-A762-D47578180F99}"/>
    <cellStyle name="Comma 2 2 2 2 2 2" xfId="693" xr:uid="{55EBCCB2-5C94-494D-BA32-F6D8C932E5BB}"/>
    <cellStyle name="Comma 2 2 2 2 2 2 2" xfId="5021" xr:uid="{F1D363C7-A409-469E-8A76-9D2A3064DABF}"/>
    <cellStyle name="Comma 2 2 2 2 2 3" xfId="3449" xr:uid="{9CDCFCCB-6628-45BC-A679-4FDD97FF63CB}"/>
    <cellStyle name="Comma 2 2 2 2 3" xfId="694" xr:uid="{601B1C81-D8AB-4CFE-B1B7-FA3706F9E3FB}"/>
    <cellStyle name="Comma 2 2 2 2 3 2" xfId="695" xr:uid="{B5DB1ACB-7896-47F2-A949-412F40072CE5}"/>
    <cellStyle name="Comma 2 2 2 2 3 2 2" xfId="5022" xr:uid="{C1A80A5B-53D8-4914-8BC6-12EB8BDC9B22}"/>
    <cellStyle name="Comma 2 2 2 2 3 3" xfId="3450" xr:uid="{DBB5FD22-7262-4EE9-B07C-B039E90A0709}"/>
    <cellStyle name="Comma 2 2 2 2 4" xfId="696" xr:uid="{400AE70D-DA1F-498A-922C-F715E6638D36}"/>
    <cellStyle name="Comma 2 2 2 2 4 2" xfId="697" xr:uid="{8EE5AC56-E82E-43F2-B1B4-AA7B6F4F6F12}"/>
    <cellStyle name="Comma 2 2 2 2 4 2 2" xfId="5023" xr:uid="{28E7E826-3C99-45C0-AFB6-9EE294DEB4D3}"/>
    <cellStyle name="Comma 2 2 2 2 4 3" xfId="3451" xr:uid="{0158476A-ADF2-4779-AD0F-BC400C624B36}"/>
    <cellStyle name="Comma 2 2 2 3" xfId="698" xr:uid="{B5A75571-DE4C-4807-A7B1-3B27E5BF532F}"/>
    <cellStyle name="Comma 2 2 2 3 2" xfId="699" xr:uid="{13B4A271-ABD4-41B4-85A8-BD7D78595D13}"/>
    <cellStyle name="Comma 2 2 2 3 2 2" xfId="5024" xr:uid="{3DA2BCBA-A625-435E-8B3A-0569DE985423}"/>
    <cellStyle name="Comma 2 2 2 3 3" xfId="3452" xr:uid="{1D773DA8-6F35-4F42-BB40-61A2C195C21A}"/>
    <cellStyle name="Comma 2 2 2 4" xfId="700" xr:uid="{36197D24-5F00-4BCC-9F5D-BA8557D31070}"/>
    <cellStyle name="Comma 2 2 2 4 2" xfId="701" xr:uid="{7E67F2E1-B87F-4B6B-A5CC-B66C18737B70}"/>
    <cellStyle name="Comma 2 2 2 4 2 2" xfId="5025" xr:uid="{09DD72BF-51D3-487C-B729-A21513052E43}"/>
    <cellStyle name="Comma 2 2 2 4 3" xfId="3453" xr:uid="{5EA2E6D9-1F01-46E1-B1D9-D026131C23B4}"/>
    <cellStyle name="Comma 2 2 2 5" xfId="702" xr:uid="{8B46D0E8-0093-40B0-BC3B-954CB4024F7D}"/>
    <cellStyle name="Comma 2 2 2 5 2" xfId="703" xr:uid="{6FDF91AD-F279-4BB7-9066-1C8EB27AF1C7}"/>
    <cellStyle name="Comma 2 2 2 5 2 2" xfId="5026" xr:uid="{E3774351-A6D4-41FF-A6FD-F6B9E3231723}"/>
    <cellStyle name="Comma 2 2 2 5 3" xfId="3454" xr:uid="{38851871-24AE-411D-86BC-72B748ADA691}"/>
    <cellStyle name="Comma 2 2 2 6" xfId="704" xr:uid="{97BA4B1D-0B2A-4C71-9B95-B28FBCEB6BBC}"/>
    <cellStyle name="Comma 2 2 2 6 2" xfId="705" xr:uid="{867C46DF-033E-4095-AD2F-38067406B53A}"/>
    <cellStyle name="Comma 2 2 2 6 2 2" xfId="5027" xr:uid="{3A124454-EB13-4558-8F38-5F98E83F9F6A}"/>
    <cellStyle name="Comma 2 2 2 6 3" xfId="3455" xr:uid="{E413A274-60F0-48D7-9CF1-7220634B1AB9}"/>
    <cellStyle name="Comma 2 2 2 7" xfId="706" xr:uid="{1CAD542A-473A-441B-8422-D51881B82DA3}"/>
    <cellStyle name="Comma 2 2 2 7 2" xfId="707" xr:uid="{801D93D3-0127-480E-9F33-13AE0F614E5F}"/>
    <cellStyle name="Comma 2 2 2 7 2 2" xfId="5028" xr:uid="{5D08AD2A-D0E5-4C11-8F88-67843A87A5F1}"/>
    <cellStyle name="Comma 2 2 2 7 3" xfId="3456" xr:uid="{07D6C0A7-2D2C-4A3F-B47F-5AC53AEFAE7F}"/>
    <cellStyle name="Comma 2 2 2 8" xfId="708" xr:uid="{4A73EE46-D1EF-4B3F-9AF8-A699F2573957}"/>
    <cellStyle name="Comma 2 2 2 8 2" xfId="709" xr:uid="{916C8C29-E51B-4E4B-BA63-2FBDFDF18F92}"/>
    <cellStyle name="Comma 2 2 2 8 2 2" xfId="5029" xr:uid="{BB9AE489-F38B-445D-A994-B7B9BF237D62}"/>
    <cellStyle name="Comma 2 2 2 8 3" xfId="3457" xr:uid="{D7082F6D-AD25-45E9-B280-C22E6E373DE2}"/>
    <cellStyle name="Comma 2 2 2 9" xfId="710" xr:uid="{72D07329-8E6E-4FA8-A086-21472889267A}"/>
    <cellStyle name="Comma 2 2 3" xfId="711" xr:uid="{2C677D84-9668-485F-BC4D-1386417902E4}"/>
    <cellStyle name="Comma 2 2 3 2" xfId="5030" xr:uid="{45A2FD9C-C328-4B1B-AD7F-EB99CC1800DB}"/>
    <cellStyle name="Comma 2 2 3 2 2" xfId="5031" xr:uid="{0D99C16D-7129-46B4-86AB-C796FDEA9167}"/>
    <cellStyle name="Comma 2 2 3_Bonds" xfId="5032" xr:uid="{54E1916D-B46C-43FD-9DB8-D58EC3440AB6}"/>
    <cellStyle name="Comma 2 2 4" xfId="712" xr:uid="{202FDB93-F5B2-4D1F-B2DC-EBB9BEFBC560}"/>
    <cellStyle name="Comma 2 2 4 2" xfId="5033" xr:uid="{F61A0B0C-E7A9-454B-AB87-D83B6114A9CD}"/>
    <cellStyle name="Comma 2 2 4 2 2" xfId="5034" xr:uid="{2C3D4D9D-C968-4395-9CAE-18ACCCB84308}"/>
    <cellStyle name="Comma 2 2 4 2 2 2" xfId="5035" xr:uid="{8108094F-2448-4CED-B2DE-DBBD0EECFC60}"/>
    <cellStyle name="Comma 2 2 4 2 3" xfId="5036" xr:uid="{042C4AD2-B60E-404C-A504-39E3CC2E1EC7}"/>
    <cellStyle name="Comma 2 2 4 3" xfId="5037" xr:uid="{94C70EAE-FF67-4EB6-8A3D-78D8A70538CC}"/>
    <cellStyle name="Comma 2 2 4 3 2" xfId="5038" xr:uid="{1B31F34D-817F-47AC-AB34-1F005DD24560}"/>
    <cellStyle name="Comma 2 2 4_Bonds" xfId="5039" xr:uid="{68AC3CBC-74EE-4FAD-AB2B-705D5EAFDA3B}"/>
    <cellStyle name="Comma 2 2 5" xfId="713" xr:uid="{D2DD905E-227C-46D5-B5A3-3041ACC346C2}"/>
    <cellStyle name="Comma 2 2 6" xfId="714" xr:uid="{D3612C9B-367F-4131-ADAC-00A44DE0E059}"/>
    <cellStyle name="Comma 2 2 7" xfId="715" xr:uid="{D17E95A5-FDEE-4DB1-B54C-75ED379A6CC3}"/>
    <cellStyle name="Comma 2 2 8" xfId="716" xr:uid="{7C840BA6-1D36-45FA-92C6-CE44A6F2A642}"/>
    <cellStyle name="Comma 2 2 9" xfId="717" xr:uid="{7D75A0CB-F30D-4704-8E2D-0409DE4CAE2D}"/>
    <cellStyle name="Comma 2 2 9 2" xfId="718" xr:uid="{F009B081-1C86-4C83-8F2A-6E1239BE4396}"/>
    <cellStyle name="Comma 2 2 9 2 2" xfId="5040" xr:uid="{329FFD52-60CC-47E0-8432-1937E9928216}"/>
    <cellStyle name="Comma 2 2 9 3" xfId="3458" xr:uid="{CD024B91-C349-494A-BC91-1D5437ACBD53}"/>
    <cellStyle name="Comma 2 2_41" xfId="719" xr:uid="{7CC3842C-C820-44AF-881B-D09E44DE7758}"/>
    <cellStyle name="Comma 2 20" xfId="11485" xr:uid="{33A2BAF1-D32B-4F05-A8C6-3A5F36EAAC25}"/>
    <cellStyle name="Comma 2 21" xfId="50" xr:uid="{B2F967BB-0D60-4CFA-8AA5-2C16842CE075}"/>
    <cellStyle name="Comma 2 21 2" xfId="11590" xr:uid="{7B88F682-0965-44B8-8893-9127F25FDC2D}"/>
    <cellStyle name="Comma 2 3" xfId="720" xr:uid="{FDD78F8A-CEC3-4DC0-A711-C60A915118E8}"/>
    <cellStyle name="Comma 2 3 2" xfId="721" xr:uid="{96588042-807E-406B-9474-8948898BC018}"/>
    <cellStyle name="Comma 2 3 2 2" xfId="5041" xr:uid="{34FD8493-9F17-4949-B625-DD9C72B8C9BA}"/>
    <cellStyle name="Comma 2 3 2 2 2" xfId="5042" xr:uid="{0CA5A4B1-A585-4474-86EC-E93821C0A3BF}"/>
    <cellStyle name="Comma 2 3 2 3" xfId="5043" xr:uid="{57B62E5B-C124-42D2-8BC3-6874F94BA632}"/>
    <cellStyle name="Comma 2 3 2 4" xfId="3580" xr:uid="{3414AA09-DD94-4BC7-83A9-0A1BE09BF4D4}"/>
    <cellStyle name="Comma 2 3 3" xfId="5044" xr:uid="{DC5DCBE7-C6B9-4C42-B4DB-79455A634D04}"/>
    <cellStyle name="Comma 2 3 4" xfId="5045" xr:uid="{D133EA77-AD0A-4C3C-9E6C-A2C3148F8651}"/>
    <cellStyle name="Comma 2 3 4 2" xfId="5046" xr:uid="{D399A0D2-8027-4862-BFB5-5F6083F15BB2}"/>
    <cellStyle name="Comma 2 3 5" xfId="5047" xr:uid="{1E562D6F-7CD0-44C9-9436-BD87E35BD40C}"/>
    <cellStyle name="Comma 2 3 6" xfId="3459" xr:uid="{2EF948A3-F34B-46BB-BE9A-5E8CC2ACDAE1}"/>
    <cellStyle name="Comma 2 4" xfId="722" xr:uid="{A72C1DA6-D12B-4CF3-A55A-7F34687D2711}"/>
    <cellStyle name="Comma 2 4 2" xfId="723" xr:uid="{951F7D5D-38FF-4B72-BB20-C55BC1CA6D35}"/>
    <cellStyle name="Comma 2 4 2 2" xfId="5048" xr:uid="{8130E53D-DFA4-4179-9DAA-946A96236407}"/>
    <cellStyle name="Comma 2 4 3" xfId="3460" xr:uid="{4A8711EF-E613-4AF3-824E-C2665D82B854}"/>
    <cellStyle name="Comma 2 5" xfId="724" xr:uid="{59F6653C-3CFA-4693-AF36-BD57C206FC7E}"/>
    <cellStyle name="Comma 2 5 2" xfId="725" xr:uid="{33460E3C-6906-443D-9C88-9659E06FC360}"/>
    <cellStyle name="Comma 2 5 2 2" xfId="5049" xr:uid="{7D2139A9-74D3-48F6-96E3-DE0C03FE729A}"/>
    <cellStyle name="Comma 2 5 3" xfId="3461" xr:uid="{2FECF746-0298-4DE7-8E15-736B302778CF}"/>
    <cellStyle name="Comma 2 6" xfId="726" xr:uid="{BD2CFA97-6927-4C32-ACCF-8506A7572191}"/>
    <cellStyle name="Comma 2 6 2" xfId="727" xr:uid="{3D5A3441-2440-458C-BDB6-7070CC1C6B50}"/>
    <cellStyle name="Comma 2 6 2 2" xfId="5050" xr:uid="{335D7AC0-46DA-44C1-89FA-E9C3A0E3D983}"/>
    <cellStyle name="Comma 2 6 3" xfId="3462" xr:uid="{104CBD8F-4FBF-4EFD-850D-86C768A28633}"/>
    <cellStyle name="Comma 2 7" xfId="728" xr:uid="{6CB5B410-93B0-406A-BEEE-147652CDCA26}"/>
    <cellStyle name="Comma 2 7 2" xfId="729" xr:uid="{7132E962-85ED-48C6-A396-141ED3EE0D2E}"/>
    <cellStyle name="Comma 2 7 2 2" xfId="5051" xr:uid="{E283BD04-C90D-4C79-A8AA-90C55E0FD2F8}"/>
    <cellStyle name="Comma 2 7 3" xfId="3463" xr:uid="{FB742675-806E-46F2-9F06-C39370DF00C8}"/>
    <cellStyle name="Comma 2 8" xfId="730" xr:uid="{4A489B4B-829D-40C1-ADCC-F44EEB8702A2}"/>
    <cellStyle name="Comma 2 8 2" xfId="731" xr:uid="{727755B0-794A-4342-AA40-51CA1036B422}"/>
    <cellStyle name="Comma 2 8 2 2" xfId="5052" xr:uid="{EC2F5CA2-32B5-48DE-B9BB-6DF54B8D87D2}"/>
    <cellStyle name="Comma 2 8 3" xfId="3464" xr:uid="{555FA2F1-B9B0-4443-B507-3566D6B74D36}"/>
    <cellStyle name="Comma 2 9" xfId="732" xr:uid="{3392A2D7-8A8C-49EF-B2A5-18427BEC1071}"/>
    <cellStyle name="Comma 2 9 2" xfId="733" xr:uid="{F62C796C-F2BC-4A12-ACD9-FDC0A834A00C}"/>
    <cellStyle name="Comma 2 9 2 2" xfId="5053" xr:uid="{634C813B-7F36-4DF7-AE70-4E6892B56B2F}"/>
    <cellStyle name="Comma 2 9 3" xfId="3465" xr:uid="{3AD2E9C8-61D3-4DDF-91C3-151D7A1EFD84}"/>
    <cellStyle name="Comma 2_~2153298" xfId="5054" xr:uid="{4D505FE1-484E-4777-9B4B-669287C41B4C}"/>
    <cellStyle name="Comma 20" xfId="734" xr:uid="{8F0AA0AC-1E8C-4B25-BC91-8130670804BB}"/>
    <cellStyle name="Comma 20 2" xfId="735" xr:uid="{35A80CC7-C9E7-44C9-8CF7-C96B812B6814}"/>
    <cellStyle name="Comma 20 2 2" xfId="736" xr:uid="{C33A7000-A8FF-4F9A-81A9-F0D6AF0BCE8F}"/>
    <cellStyle name="Comma 20 3" xfId="5055" xr:uid="{76A05A0A-C224-4922-92F0-499B762E6FF2}"/>
    <cellStyle name="Comma 20 4" xfId="3466" xr:uid="{9CC3AEF6-D256-41AB-B653-E9807042AC44}"/>
    <cellStyle name="Comma 20_41" xfId="737" xr:uid="{4F6D7187-2C7D-467C-AA9A-62574867B3F9}"/>
    <cellStyle name="Comma 21" xfId="738" xr:uid="{BDF69CEF-8A8A-4B3A-94C4-9073888ABF71}"/>
    <cellStyle name="Comma 21 2" xfId="739" xr:uid="{BE8C8876-6240-4877-BE53-0501C96EF876}"/>
    <cellStyle name="Comma 21 2 2" xfId="740" xr:uid="{E190DA04-8BB9-419A-8C26-8BE37682B910}"/>
    <cellStyle name="Comma 21 3" xfId="5056" xr:uid="{4314DC9E-6F75-4EE3-93AA-C7710613031A}"/>
    <cellStyle name="Comma 21 4" xfId="3467" xr:uid="{80394A74-2C5F-41B5-AD62-1629E6E53848}"/>
    <cellStyle name="Comma 21_41" xfId="741" xr:uid="{84947558-9B32-44C2-BFB2-F53B00BC19A6}"/>
    <cellStyle name="Comma 22" xfId="742" xr:uid="{49EAEA1F-D522-4282-B440-55C7EAB29A36}"/>
    <cellStyle name="Comma 22 2" xfId="743" xr:uid="{7D5716FC-1C5B-4772-8CC8-2F042FB5BE25}"/>
    <cellStyle name="Comma 22 2 2" xfId="744" xr:uid="{DA91F05E-DD54-49C7-9972-D3442B0C4E86}"/>
    <cellStyle name="Comma 22 3" xfId="5057" xr:uid="{39FB495B-325A-44FD-A610-23BBA5BA9FAB}"/>
    <cellStyle name="Comma 22 4" xfId="3468" xr:uid="{2DDC8FA8-2B4C-452B-9A4B-1C592300A357}"/>
    <cellStyle name="Comma 22_41" xfId="745" xr:uid="{EFE6890E-BA61-4C1D-BDEA-8E5C841E891A}"/>
    <cellStyle name="Comma 23" xfId="746" xr:uid="{BEB43122-F0E1-4CC6-97FC-C8A6D67CE179}"/>
    <cellStyle name="Comma 23 2" xfId="747" xr:uid="{D702EEC6-5EE8-4137-B099-FD59D7417373}"/>
    <cellStyle name="Comma 23 2 2" xfId="748" xr:uid="{74F00182-7A83-4687-824F-A087EFC3CC9D}"/>
    <cellStyle name="Comma 23 3" xfId="749" xr:uid="{DBA2003A-CF17-4785-AA7F-317B999CE30B}"/>
    <cellStyle name="Comma 23 3 2" xfId="5058" xr:uid="{B498ABD8-3C83-4830-8CD8-455BC7996F1C}"/>
    <cellStyle name="Comma 23 4" xfId="3469" xr:uid="{87C8D039-221C-4B49-9711-949844A595AD}"/>
    <cellStyle name="Comma 23_41" xfId="750" xr:uid="{03F15C33-07C0-43E0-BD3C-73B34A8DBDCF}"/>
    <cellStyle name="Comma 24" xfId="751" xr:uid="{0E6A5E38-7680-4C41-92F9-577BAE203A44}"/>
    <cellStyle name="Comma 24 2" xfId="752" xr:uid="{D3ABCC58-26B5-444A-8C63-59146D0DD3FF}"/>
    <cellStyle name="Comma 24 2 2" xfId="753" xr:uid="{B4F90526-E640-4715-A55E-8979E20C8046}"/>
    <cellStyle name="Comma 24 3" xfId="754" xr:uid="{D4D6EDE7-6D94-4EBB-89D8-0C3026181DBB}"/>
    <cellStyle name="Comma 24 3 2" xfId="5059" xr:uid="{EEE2C843-05B7-4D93-94B1-7B4030A4305C}"/>
    <cellStyle name="Comma 24 4" xfId="3470" xr:uid="{4B4AB3AE-66A6-4764-9B1F-3D93ADFDDEB4}"/>
    <cellStyle name="Comma 24_41" xfId="755" xr:uid="{00EF0F0A-F17B-4CB8-A1C2-5452CF748FC0}"/>
    <cellStyle name="Comma 25" xfId="756" xr:uid="{B3DA5C35-3841-41B3-8098-5C89F3C5A5B1}"/>
    <cellStyle name="Comma 25 2" xfId="757" xr:uid="{C850FDC6-FE68-4C78-95EE-41F5F7AA243F}"/>
    <cellStyle name="Comma 25 2 2" xfId="758" xr:uid="{1C53C0C4-CB8D-4BFC-9A42-2C4A7BFF8369}"/>
    <cellStyle name="Comma 25 3" xfId="759" xr:uid="{E58D32A2-8A89-4F3F-A922-890A07099495}"/>
    <cellStyle name="Comma 25 3 2" xfId="5060" xr:uid="{494C9BD1-77B1-4B5F-9BF6-ADF2F98A39A3}"/>
    <cellStyle name="Comma 25 4" xfId="3471" xr:uid="{2C062364-05BE-49B5-80C6-030255F1C8C7}"/>
    <cellStyle name="Comma 25_41" xfId="760" xr:uid="{305CC2AC-E6CB-4159-AFFB-1CEDF4BF9AEF}"/>
    <cellStyle name="Comma 26" xfId="761" xr:uid="{AA4AAC36-75A5-4B7B-92D8-06403FCD0566}"/>
    <cellStyle name="Comma 26 2" xfId="762" xr:uid="{65C2AFF0-FD76-4468-AA19-78F6E7E06871}"/>
    <cellStyle name="Comma 26 2 2" xfId="763" xr:uid="{E7799475-7688-4217-817B-24ADACCFCF5E}"/>
    <cellStyle name="Comma 26 2 2 2" xfId="5061" xr:uid="{9E565731-D303-4622-AE99-800C7056A724}"/>
    <cellStyle name="Comma 26 2 3" xfId="3473" xr:uid="{AD3608B2-FF7D-4723-87E7-1574809C9BDB}"/>
    <cellStyle name="Comma 26 3" xfId="764" xr:uid="{7164D08F-DF88-4270-9D16-953D83A6F5BE}"/>
    <cellStyle name="Comma 26 3 2" xfId="5062" xr:uid="{98669130-30DD-4331-918F-91C1CD7AEABA}"/>
    <cellStyle name="Comma 26 4" xfId="3472" xr:uid="{AF6589BE-355B-44FE-9D6D-0E9EBD5B1525}"/>
    <cellStyle name="Comma 27" xfId="765" xr:uid="{D5FEB63B-DEE7-4873-BCDE-97796023549C}"/>
    <cellStyle name="Comma 27 2" xfId="766" xr:uid="{BBBDA4D6-9F24-4096-95A0-88EFE2A1BDD8}"/>
    <cellStyle name="Comma 27 2 2" xfId="767" xr:uid="{D33A2C64-D46F-4C2D-9791-068ECB7A7D6D}"/>
    <cellStyle name="Comma 27 2 2 2" xfId="5063" xr:uid="{362E0C22-8498-4208-8269-93BE386E004E}"/>
    <cellStyle name="Comma 27 2 3" xfId="3475" xr:uid="{969DE880-5C93-4387-9253-75BD6EA2CC72}"/>
    <cellStyle name="Comma 27 3" xfId="768" xr:uid="{0E6BA76B-44F3-42A2-9C9C-CF3D11B4BE74}"/>
    <cellStyle name="Comma 27 3 2" xfId="5064" xr:uid="{1464478B-0990-4FF3-8D79-9A865E4BAAED}"/>
    <cellStyle name="Comma 27 4" xfId="3474" xr:uid="{2E49C94D-5B56-4BB3-A9DD-FDDEA5CB49B0}"/>
    <cellStyle name="Comma 28" xfId="769" xr:uid="{62BF5180-0830-4AF3-B177-CEFB08D468FF}"/>
    <cellStyle name="Comma 28 2" xfId="770" xr:uid="{482FBB8D-CC35-4B35-BCE7-72127C0AF3CF}"/>
    <cellStyle name="Comma 28 2 2" xfId="771" xr:uid="{23CF0BBE-075E-4CBF-BF06-820FA4ED83F9}"/>
    <cellStyle name="Comma 28 2 2 2" xfId="5065" xr:uid="{800BDA4E-CA27-452C-9019-929519B7CC01}"/>
    <cellStyle name="Comma 28 2 3" xfId="3477" xr:uid="{7A67F493-BDD3-4EBC-8288-3D86332ED956}"/>
    <cellStyle name="Comma 28 3" xfId="772" xr:uid="{19A14437-C5F8-4786-851A-50236F8F2578}"/>
    <cellStyle name="Comma 28 3 2" xfId="5066" xr:uid="{FFF1232F-F9E9-47D2-8968-941A57EE0CFB}"/>
    <cellStyle name="Comma 28 4" xfId="3476" xr:uid="{EEBAD1FE-C906-4641-B9E2-053CE5DFEBFC}"/>
    <cellStyle name="Comma 29" xfId="773" xr:uid="{E065BB5B-C97E-42CF-AD07-8F0DC67A58BC}"/>
    <cellStyle name="Comma 29 2" xfId="774" xr:uid="{D75209BA-F173-42D1-BC8E-4982DE7DFCD5}"/>
    <cellStyle name="Comma 29 2 2" xfId="775" xr:uid="{1AD449EF-20FE-48A4-B57E-F3DACDFBE133}"/>
    <cellStyle name="Comma 29 2 2 2" xfId="5067" xr:uid="{B2916136-4B11-481B-96E4-225D4B20979E}"/>
    <cellStyle name="Comma 29 2 3" xfId="3479" xr:uid="{819D8F2D-E426-471C-B4B4-E1822EAAC2BC}"/>
    <cellStyle name="Comma 29 3" xfId="776" xr:uid="{0D10D7E0-7765-4769-A0BA-E270129A422D}"/>
    <cellStyle name="Comma 29 3 2" xfId="5068" xr:uid="{3230BF1D-7C63-489D-A852-8E851C5C2CD8}"/>
    <cellStyle name="Comma 29 4" xfId="3478" xr:uid="{33D7B139-FD85-47A8-B4E3-B23EBF017D4A}"/>
    <cellStyle name="Comma 3" xfId="94" xr:uid="{679F91A5-82AC-486B-9712-A71655960E93}"/>
    <cellStyle name="Comma 3 2" xfId="777" xr:uid="{DF2A1480-C594-458E-A621-1B9BAE09533A}"/>
    <cellStyle name="Comma 3 2 2" xfId="778" xr:uid="{236AEDC2-2F11-4BAF-AF2B-B6D7998BFC2F}"/>
    <cellStyle name="Comma 3 2 2 2" xfId="5069" xr:uid="{49FA85E4-55BD-4DC9-B874-BE56B151D5DB}"/>
    <cellStyle name="Comma 3 2 3" xfId="3480" xr:uid="{A12A29A2-3C3F-40EF-84B0-482017930B2F}"/>
    <cellStyle name="Comma 3 3" xfId="779" xr:uid="{2AEE0B90-1C3C-444D-A3FB-1D5EE66F0EC8}"/>
    <cellStyle name="Comma 3 3 2" xfId="3581" xr:uid="{0E8911B1-7D22-44BD-A00E-0986384C9EB0}"/>
    <cellStyle name="Comma 3 4" xfId="780" xr:uid="{3F7DB526-2E9C-42DE-83CC-FF48164530FA}"/>
    <cellStyle name="Comma 3 4 2" xfId="3582" xr:uid="{D8700C07-CA02-4948-B045-04C9019279BB}"/>
    <cellStyle name="Comma 3 5" xfId="5070" xr:uid="{A9C5C729-C7AB-4AE1-9B63-F7920A0179FE}"/>
    <cellStyle name="Comma 3 5 2" xfId="5071" xr:uid="{276063B0-6346-4CBB-99C8-AC39791779B9}"/>
    <cellStyle name="Comma 3 6" xfId="3408" xr:uid="{174FA3CE-DC8E-456D-A385-709F6EEEC098}"/>
    <cellStyle name="Comma 30" xfId="781" xr:uid="{FE1AA329-0646-4C8C-8E6C-BD433B3E339C}"/>
    <cellStyle name="Comma 30 2" xfId="782" xr:uid="{F8ADB39E-3BE4-42F0-83FD-D9369BC85684}"/>
    <cellStyle name="Comma 30 2 2" xfId="783" xr:uid="{76FC765D-9925-4806-B29E-9FDADC396B96}"/>
    <cellStyle name="Comma 30 2 2 2" xfId="5072" xr:uid="{BC400980-0C19-42D1-B6F8-1713ECB4B02B}"/>
    <cellStyle name="Comma 30 2 3" xfId="3482" xr:uid="{2DB9ED65-1D98-457F-97F7-5E965516383F}"/>
    <cellStyle name="Comma 30 3" xfId="784" xr:uid="{B6EFD1B4-7993-4D1A-ADC9-E42F0F2E9844}"/>
    <cellStyle name="Comma 30 3 2" xfId="5073" xr:uid="{5E044291-84D6-450C-A103-B690C6C16397}"/>
    <cellStyle name="Comma 30 4" xfId="3481" xr:uid="{233A942C-7881-4007-A14A-77EAC38166A8}"/>
    <cellStyle name="Comma 31" xfId="785" xr:uid="{76DE8D53-02EE-4DDB-8E46-C2C2B90AAC72}"/>
    <cellStyle name="Comma 31 2" xfId="786" xr:uid="{9F1C3725-FEB9-4A30-8C1E-8DB6F573C448}"/>
    <cellStyle name="Comma 31 2 2" xfId="787" xr:uid="{DEA8AB7E-8219-4A05-9991-720CA08868D6}"/>
    <cellStyle name="Comma 31 2 2 2" xfId="5074" xr:uid="{182907C3-ACDC-409D-83DC-81C8F1A1CBB9}"/>
    <cellStyle name="Comma 31 2 3" xfId="3484" xr:uid="{2D60079B-7219-40CD-84FD-418EA93FB7CF}"/>
    <cellStyle name="Comma 31 3" xfId="788" xr:uid="{A87C29F5-D80A-4570-A3EC-BFBA94CB6949}"/>
    <cellStyle name="Comma 31 3 2" xfId="5075" xr:uid="{E284D764-6560-4032-9496-B0873CE04817}"/>
    <cellStyle name="Comma 31 4" xfId="3483" xr:uid="{7F9E4C9A-C00E-4A79-9EB5-8ACDB563DBD4}"/>
    <cellStyle name="Comma 32" xfId="789" xr:uid="{2BCBB310-2C86-4EA7-8675-E19D1DDC0D1B}"/>
    <cellStyle name="Comma 32 2" xfId="790" xr:uid="{F8165E90-E879-4050-B761-7C05437E4918}"/>
    <cellStyle name="Comma 32 2 2" xfId="791" xr:uid="{B493AA46-350A-4A20-A561-557B9D60296D}"/>
    <cellStyle name="Comma 32 2 2 2" xfId="5076" xr:uid="{0005BF06-EC4E-43D4-B6D3-5E854DE2B765}"/>
    <cellStyle name="Comma 32 2 3" xfId="3486" xr:uid="{47EA73F7-8988-47EA-9A59-C2A71FA9A225}"/>
    <cellStyle name="Comma 32 3" xfId="5077" xr:uid="{BDAA2CF2-0ADC-4CA2-A8BF-B854A4502449}"/>
    <cellStyle name="Comma 32 4" xfId="3485" xr:uid="{6717EBA9-DDD6-466B-85D9-1A1FABE1C93C}"/>
    <cellStyle name="Comma 33" xfId="792" xr:uid="{B6C424F7-419D-4C1F-BF4C-12FF858068C1}"/>
    <cellStyle name="Comma 33 2" xfId="793" xr:uid="{4B3F4C4B-0B33-47DF-BF1F-E7161730EFBD}"/>
    <cellStyle name="Comma 33 2 2" xfId="794" xr:uid="{A706BD11-BE03-4918-8484-5FFBE1B02A26}"/>
    <cellStyle name="Comma 33 2 2 2" xfId="5078" xr:uid="{D16CB3B4-4AC8-4DD6-AC83-62EDDCDA7B4D}"/>
    <cellStyle name="Comma 33 2 3" xfId="3488" xr:uid="{8E7C2851-2DEC-4393-9ACE-FE6E46B7AF46}"/>
    <cellStyle name="Comma 33 3" xfId="5079" xr:uid="{8ED78FDB-674F-481F-BFED-243AC9B985F6}"/>
    <cellStyle name="Comma 33 4" xfId="3487" xr:uid="{31CDCE4A-67B2-461A-9B0A-471C8B0DA5FD}"/>
    <cellStyle name="Comma 34" xfId="795" xr:uid="{7CA6C0C0-B5BF-4A32-BD06-9B64EA2936FB}"/>
    <cellStyle name="Comma 34 2" xfId="796" xr:uid="{6DC006BA-6B55-4007-9088-2D9C1CE94733}"/>
    <cellStyle name="Comma 34 2 2" xfId="797" xr:uid="{EB655E64-D026-448B-81E0-26806559FB27}"/>
    <cellStyle name="Comma 34 2 2 2" xfId="5080" xr:uid="{5DA32B34-2B38-4064-8153-530DB78D02DE}"/>
    <cellStyle name="Comma 34 2 3" xfId="3490" xr:uid="{34DE34F0-BC59-4CC3-8890-8E7F96E770FA}"/>
    <cellStyle name="Comma 34 3" xfId="5081" xr:uid="{AC0CD329-6367-431B-AC47-03009E28F4AF}"/>
    <cellStyle name="Comma 34 4" xfId="3489" xr:uid="{88ACB0A6-7EC8-4619-978B-F1DCE4AA410E}"/>
    <cellStyle name="Comma 35" xfId="798" xr:uid="{98149051-5B2A-4849-9DF0-199A8286997A}"/>
    <cellStyle name="Comma 35 2" xfId="799" xr:uid="{78AD64AB-1EB3-4D1C-AAF0-AE2B60D3CECC}"/>
    <cellStyle name="Comma 35 2 2" xfId="5082" xr:uid="{D2BCC3B7-0D6C-4804-BFDE-AEBB4EE8DEE7}"/>
    <cellStyle name="Comma 35 2 3" xfId="3492" xr:uid="{53DB8CC1-F9B3-4032-8139-6FF5B6C82F6D}"/>
    <cellStyle name="Comma 35 3" xfId="5083" xr:uid="{5B1EE743-497E-4251-B892-D69E9814780A}"/>
    <cellStyle name="Comma 35 4" xfId="3491" xr:uid="{532B8BD0-124E-4007-B171-9E9131A24F7C}"/>
    <cellStyle name="Comma 36" xfId="800" xr:uid="{3A68D0DB-C7AE-41A4-85FF-51380D92C1D0}"/>
    <cellStyle name="Comma 36 2" xfId="801" xr:uid="{A93A277C-78EB-48DE-992B-F61D231FA82B}"/>
    <cellStyle name="Comma 36 2 2" xfId="5084" xr:uid="{770174C5-6E62-4DD3-B1E4-4EF611AA3A09}"/>
    <cellStyle name="Comma 36 2 3" xfId="3494" xr:uid="{35906274-14CB-43C8-A05B-57DA2E2A9794}"/>
    <cellStyle name="Comma 36 3" xfId="5085" xr:uid="{D88C2116-FE3C-4CD2-BA38-BEE8D6E8229C}"/>
    <cellStyle name="Comma 36 4" xfId="3493" xr:uid="{8BA731CF-76C5-4633-8905-A3D3135A660E}"/>
    <cellStyle name="Comma 37" xfId="802" xr:uid="{193ACC20-4DB2-4025-B247-7CA5C1497B52}"/>
    <cellStyle name="Comma 37 2" xfId="803" xr:uid="{C07A125F-9EE5-4E30-8922-E3A114B1F635}"/>
    <cellStyle name="Comma 37 2 2" xfId="5086" xr:uid="{7BD6A165-96C8-4110-B320-1C0513A3DD09}"/>
    <cellStyle name="Comma 37 2 3" xfId="3496" xr:uid="{73E10260-8E24-4AA7-A5D7-8C66499C53DE}"/>
    <cellStyle name="Comma 37 3" xfId="5087" xr:uid="{A5DBB093-7DB6-4CD2-A19E-FB53F031B3C5}"/>
    <cellStyle name="Comma 37 4" xfId="3495" xr:uid="{F3D3555D-C36B-4E78-B3CB-B4BA41E9E3CA}"/>
    <cellStyle name="Comma 38" xfId="804" xr:uid="{ED42B41E-B9D0-4406-ACD3-EAEF5B86AE86}"/>
    <cellStyle name="Comma 38 2" xfId="805" xr:uid="{A5A7937D-1435-4D5B-AD4F-9D7AAE76F256}"/>
    <cellStyle name="Comma 38 2 2" xfId="5088" xr:uid="{A5F578C3-2C89-4464-A9E3-58B01D34493F}"/>
    <cellStyle name="Comma 38 2 3" xfId="3498" xr:uid="{2C3FE4FA-FF0F-4EDD-A3F7-2A0F4C4D4E07}"/>
    <cellStyle name="Comma 38 3" xfId="5089" xr:uid="{C7AB1359-DA48-4E8F-92BE-CA9468A47021}"/>
    <cellStyle name="Comma 38 4" xfId="3497" xr:uid="{10867D73-680D-4EBF-A94E-4592FDB1C068}"/>
    <cellStyle name="Comma 39" xfId="806" xr:uid="{9FE90991-DB88-4D90-B9DC-E3D7A832F94C}"/>
    <cellStyle name="Comma 39 2" xfId="807" xr:uid="{A66D49B7-0B22-4F6E-BCB2-0C6350E3471E}"/>
    <cellStyle name="Comma 39 2 2" xfId="808" xr:uid="{73070282-4779-413F-9420-0CEC573C94E4}"/>
    <cellStyle name="Comma 39 2 2 2" xfId="5090" xr:uid="{1D3148DF-8861-4920-9D96-130CBE45E62E}"/>
    <cellStyle name="Comma 39 2 3" xfId="3499" xr:uid="{E1403489-24F4-4C99-9246-56604B495431}"/>
    <cellStyle name="Comma 39_41" xfId="809" xr:uid="{ACDDCE25-B8D4-405F-9635-FC0D85BA3E53}"/>
    <cellStyle name="Comma 4" xfId="810" xr:uid="{B0018332-85C2-4408-8EA8-2E857D14E7E4}"/>
    <cellStyle name="Comma 4 2" xfId="811" xr:uid="{17037A7A-1895-4CBA-83A3-88A453E13879}"/>
    <cellStyle name="Comma 4 2 2" xfId="812" xr:uid="{004F8065-A54A-4EC9-8EC0-8F6B583313F5}"/>
    <cellStyle name="Comma 4 3" xfId="813" xr:uid="{9C34AA47-4CE4-4622-931D-0045790D46B4}"/>
    <cellStyle name="Comma 4 3 2" xfId="5091" xr:uid="{40CE8A92-A0FF-4C4D-8CEB-907651164978}"/>
    <cellStyle name="Comma 4 3 3" xfId="3583" xr:uid="{C79AC81B-49F6-49D1-B242-87865E73164E}"/>
    <cellStyle name="Comma 4 4" xfId="814" xr:uid="{8B74C63C-1C0F-4847-A294-F2F16AD1D5E6}"/>
    <cellStyle name="Comma 4 4 2" xfId="5092" xr:uid="{A180C751-D026-4D2B-9ECB-5F873DB3DAA9}"/>
    <cellStyle name="Comma 40" xfId="815" xr:uid="{42359F7C-BB05-427A-92EC-6908418BF9DD}"/>
    <cellStyle name="Comma 40 2" xfId="816" xr:uid="{03765068-94A6-4F8F-8BE3-7FB528E02DFA}"/>
    <cellStyle name="Comma 40 2 2" xfId="5093" xr:uid="{9B4018DA-F725-433D-9A38-8C1A8EAA7E43}"/>
    <cellStyle name="Comma 40 2 3" xfId="3501" xr:uid="{A4E384EC-4F9E-41AF-90F9-3439320F19AA}"/>
    <cellStyle name="Comma 40 3" xfId="817" xr:uid="{C7CE3C0C-3D63-4BB3-A0C3-3DB3C72534A9}"/>
    <cellStyle name="Comma 40 3 2" xfId="5094" xr:uid="{180470E6-1E08-4CCC-8736-74DA3DB76D1E}"/>
    <cellStyle name="Comma 40 4" xfId="3500" xr:uid="{B9659F2D-CD80-461E-B5BF-550341787111}"/>
    <cellStyle name="Comma 41" xfId="818" xr:uid="{FDD3AB8E-9545-4A34-881F-E35844197B05}"/>
    <cellStyle name="Comma 41 2" xfId="819" xr:uid="{9D1655CD-52C8-48E5-93A5-A5B92E00D754}"/>
    <cellStyle name="Comma 41 2 2" xfId="5095" xr:uid="{9BA124DE-CAF6-4AC3-B96F-46366855FEC9}"/>
    <cellStyle name="Comma 41 2 3" xfId="3503" xr:uid="{8233FBD3-10B8-4C25-867E-F986AB127C27}"/>
    <cellStyle name="Comma 41 3" xfId="820" xr:uid="{99C0881E-19DA-4C8D-BFEB-3860073D500E}"/>
    <cellStyle name="Comma 41 3 2" xfId="5096" xr:uid="{ECD7914D-59D7-4EFC-82C2-29D182B699A4}"/>
    <cellStyle name="Comma 41 4" xfId="3502" xr:uid="{5B1418D3-E315-471E-B578-FBDC023A813F}"/>
    <cellStyle name="Comma 42" xfId="821" xr:uid="{A69539A7-2CC4-4074-8CB6-2D9825CE3E93}"/>
    <cellStyle name="Comma 42 2" xfId="822" xr:uid="{297B5900-0038-4349-821E-632723F2CE90}"/>
    <cellStyle name="Comma 42 2 2" xfId="5097" xr:uid="{9938D117-6615-468C-8374-870B286DE28B}"/>
    <cellStyle name="Comma 42 3" xfId="3504" xr:uid="{82F10E01-6394-446E-9096-7186A376ABE3}"/>
    <cellStyle name="Comma 43" xfId="823" xr:uid="{E9A065AD-98CF-4D44-920A-7A82F46DB5C3}"/>
    <cellStyle name="Comma 43 2" xfId="824" xr:uid="{E675E58F-4145-4CF2-9C31-126A0034324B}"/>
    <cellStyle name="Comma 44" xfId="825" xr:uid="{80454623-2B15-4B66-B938-C5B8245EFE81}"/>
    <cellStyle name="Comma 44 2" xfId="826" xr:uid="{77870735-DC89-47E6-8F01-231EC6584450}"/>
    <cellStyle name="Comma 45" xfId="827" xr:uid="{C9923FC6-CDA6-4660-829E-5999295F519F}"/>
    <cellStyle name="Comma 45 2" xfId="5098" xr:uid="{5DF77249-2D84-4938-97DD-7F2E5671BBD0}"/>
    <cellStyle name="Comma 45 3" xfId="3505" xr:uid="{5A94E268-4ED5-4DAD-82CE-67F60B36C896}"/>
    <cellStyle name="Comma 46" xfId="828" xr:uid="{2EAFD427-D557-4A9A-9EE9-DBD9B8948721}"/>
    <cellStyle name="Comma 46 2" xfId="5099" xr:uid="{32505898-3E7D-40EC-B6E9-955C2DF13EB0}"/>
    <cellStyle name="Comma 46 3" xfId="3506" xr:uid="{C1ED4C94-9361-45FF-90F6-49F3224140D8}"/>
    <cellStyle name="Comma 47" xfId="829" xr:uid="{0279D35D-199F-4D50-8DAC-8399A77B2E2D}"/>
    <cellStyle name="Comma 47 2" xfId="5100" xr:uid="{CA545400-E3C8-4DF2-B9CE-B83676712D82}"/>
    <cellStyle name="Comma 47 3" xfId="3507" xr:uid="{7850CB18-43B7-4926-BE36-29827EA7AF25}"/>
    <cellStyle name="Comma 48" xfId="830" xr:uid="{C947FF8C-B059-441B-91F7-3E5266FE1929}"/>
    <cellStyle name="Comma 48 2" xfId="5101" xr:uid="{8DAA621C-ADD7-44B9-9EB6-C45868B0A43C}"/>
    <cellStyle name="Comma 48 3" xfId="3508" xr:uid="{E33E8E21-6B7B-405E-9956-40D0C92AD347}"/>
    <cellStyle name="Comma 49" xfId="831" xr:uid="{D9ADE7CA-D8B6-448B-AE44-815685E1CE87}"/>
    <cellStyle name="Comma 49 2" xfId="5102" xr:uid="{3149EE48-8AB6-4238-972A-328C2D6178E1}"/>
    <cellStyle name="Comma 49 3" xfId="3509" xr:uid="{2D29F507-D57F-4B09-8BFB-559911241DA6}"/>
    <cellStyle name="Comma 5" xfId="832" xr:uid="{A9E3D255-F2FA-403C-8212-1C9521D710E0}"/>
    <cellStyle name="Comma 5 2" xfId="833" xr:uid="{B3B1A43D-673C-4133-9487-A63EFF3F3432}"/>
    <cellStyle name="Comma 5 2 2" xfId="834" xr:uid="{218024F3-7CD3-408D-8CCC-B7CAA7292387}"/>
    <cellStyle name="Comma 5 2 3" xfId="835" xr:uid="{85626F9E-DB75-428B-831E-460987C0A53C}"/>
    <cellStyle name="Comma 5 3" xfId="5103" xr:uid="{26C05436-F95A-4D4D-B191-6317D0DEECA9}"/>
    <cellStyle name="Comma 5 3 2" xfId="5104" xr:uid="{EAB8D267-DDBC-4B90-920E-B5307ACA81AB}"/>
    <cellStyle name="Comma 5 4" xfId="3510" xr:uid="{C6F0A192-5F98-4953-967B-826E4EC710AB}"/>
    <cellStyle name="Comma 50" xfId="836" xr:uid="{8D4F3C60-A378-46D1-BBD8-9BFFBF706BF6}"/>
    <cellStyle name="Comma 50 2" xfId="837" xr:uid="{330C9E30-0ECB-4B87-B32B-6050097CE984}"/>
    <cellStyle name="Comma 50 2 2" xfId="5105" xr:uid="{72E1E6C1-2435-4A7C-B6A6-A965584B35E5}"/>
    <cellStyle name="Comma 50 2 3" xfId="3512" xr:uid="{D9AB42D9-5E45-4F9E-BDA0-09EB8BDFEDDD}"/>
    <cellStyle name="Comma 50 3" xfId="5106" xr:uid="{F0CE6267-7AF6-4C0B-B7F0-575F698AF36F}"/>
    <cellStyle name="Comma 50 4" xfId="3511" xr:uid="{677C656D-99F3-43B2-875A-2EF05C212114}"/>
    <cellStyle name="Comma 51" xfId="838" xr:uid="{F14B4CB0-8389-42D5-B0CD-B6B111250F0D}"/>
    <cellStyle name="Comma 51 2" xfId="839" xr:uid="{0F1C6343-16B2-445C-9CAC-3DA0DBC5B9AE}"/>
    <cellStyle name="Comma 51 2 2" xfId="5107" xr:uid="{7F184893-204D-4997-B319-18FC2304E223}"/>
    <cellStyle name="Comma 51 2 3" xfId="3514" xr:uid="{1742C9B9-EA23-4B81-8A38-299F0D3086EB}"/>
    <cellStyle name="Comma 51 3" xfId="5108" xr:uid="{D326B81C-883A-4AF4-9B62-0F7AAF75D518}"/>
    <cellStyle name="Comma 51 4" xfId="3513" xr:uid="{037214E9-687B-43BA-A326-8BA6D88428B6}"/>
    <cellStyle name="Comma 52" xfId="840" xr:uid="{DBAC789B-1765-43E9-A017-80129C3E4D2B}"/>
    <cellStyle name="Comma 52 2" xfId="5109" xr:uid="{E79C0C08-F956-4B9C-A7FF-206A46883754}"/>
    <cellStyle name="Comma 52 3" xfId="3515" xr:uid="{0FF88488-ED24-475A-A6F4-C9EE9B31404E}"/>
    <cellStyle name="Comma 53" xfId="841" xr:uid="{0BC9A676-E2D1-4810-86D2-997F9DBE2EC4}"/>
    <cellStyle name="Comma 53 2" xfId="5110" xr:uid="{41C8C088-75BC-4D27-9B81-950F85759517}"/>
    <cellStyle name="Comma 53 3" xfId="3516" xr:uid="{03D014D9-38D9-4948-A0D0-5642CE11650B}"/>
    <cellStyle name="Comma 54" xfId="842" xr:uid="{E66A86E3-3D4A-483A-8272-3B9CC7CE024B}"/>
    <cellStyle name="Comma 54 2" xfId="3623" xr:uid="{2ED8950D-5105-41DC-A11E-A11FF388C2F8}"/>
    <cellStyle name="Comma 55" xfId="5111" xr:uid="{3637BEDF-F8EB-4C47-8379-FF030B1B0D9B}"/>
    <cellStyle name="Comma 56" xfId="5112" xr:uid="{96C02356-2998-470D-A46F-7F403E16E21D}"/>
    <cellStyle name="Comma 57" xfId="5113" xr:uid="{BF19CB6F-E191-459E-ACA2-55E591FECF4B}"/>
    <cellStyle name="Comma 58" xfId="5114" xr:uid="{9B0DCD32-63C3-45CD-84E4-3C3A6B4D565C}"/>
    <cellStyle name="Comma 59" xfId="5115" xr:uid="{CC60651A-572D-45C2-853B-7FC0F6D3E478}"/>
    <cellStyle name="Comma 6" xfId="843" xr:uid="{E9149854-7C46-46D3-9F12-21BBD47DFBCC}"/>
    <cellStyle name="Comma 6 2" xfId="844" xr:uid="{DB973A1B-B58C-4831-A8DF-7EB94D728792}"/>
    <cellStyle name="Comma 6 2 2" xfId="845" xr:uid="{37339079-FF24-4FEB-BB4A-015A07E22F48}"/>
    <cellStyle name="Comma 6 2 3" xfId="846" xr:uid="{64FC43C7-77DF-4065-9B3E-86C2AB4B7DD7}"/>
    <cellStyle name="Comma 6 3" xfId="847" xr:uid="{E1E9C3E5-0DFA-475E-8AD1-18ACAC28CC12}"/>
    <cellStyle name="Comma 6 3 2" xfId="5116" xr:uid="{0519035F-3EB6-45C3-85B9-250C2AE9E73C}"/>
    <cellStyle name="Comma 6 4" xfId="848" xr:uid="{C858274E-91B9-4044-B5C2-F46E59F1779A}"/>
    <cellStyle name="Comma 6 5" xfId="3517" xr:uid="{776C71C9-3694-4F4A-B83F-0546B35ADCD3}"/>
    <cellStyle name="Comma 60" xfId="5117" xr:uid="{C68DE16F-8F88-42B8-B9A0-5CC1E46B59F3}"/>
    <cellStyle name="Comma 61" xfId="5118" xr:uid="{92BD1522-017E-4E6A-A217-ECDCA57D7AC3}"/>
    <cellStyle name="Comma 62" xfId="5119" xr:uid="{9F4D858A-CC2B-4C69-923A-2B1736B9EF8E}"/>
    <cellStyle name="Comma 63" xfId="5120" xr:uid="{38E70613-1100-4068-ADFB-93AF37785BB1}"/>
    <cellStyle name="Comma 64" xfId="5121" xr:uid="{2410360E-B036-430E-B559-FD3DCAB17D1F}"/>
    <cellStyle name="Comma 65" xfId="5122" xr:uid="{1FEBD291-92F1-44E0-90E6-792510F54159}"/>
    <cellStyle name="Comma 66" xfId="5123" xr:uid="{1986AD5E-4EE2-4BB1-B16E-D1BF727490C3}"/>
    <cellStyle name="Comma 67" xfId="5124" xr:uid="{76A9A2BE-C91F-4011-B742-A3F6EB4B42B8}"/>
    <cellStyle name="Comma 68" xfId="5125" xr:uid="{DDED03B2-6B84-48B8-920B-ABF53DBE3B27}"/>
    <cellStyle name="Comma 69" xfId="5126" xr:uid="{C7CC068C-3638-48B6-BB4B-50FEB1071CA3}"/>
    <cellStyle name="Comma 7" xfId="849" xr:uid="{ECF1D98F-8BAD-466A-8818-CADB8F2C94D0}"/>
    <cellStyle name="Comma 7 2" xfId="850" xr:uid="{34BDB1EF-DC53-493D-A44D-68D76EBAE13B}"/>
    <cellStyle name="Comma 7 2 2" xfId="851" xr:uid="{66FEB681-7755-47A5-88C4-C1481A762E09}"/>
    <cellStyle name="Comma 7 2 3" xfId="852" xr:uid="{E5EAE735-E3BB-43EC-A1A4-3E5D117A1E5A}"/>
    <cellStyle name="Comma 7 3" xfId="853" xr:uid="{DFF8744E-0949-4B68-B0FC-953DDB1A7F23}"/>
    <cellStyle name="Comma 7 3 2" xfId="5127" xr:uid="{92994336-31DB-4B7E-81A5-DE6A2E405A22}"/>
    <cellStyle name="Comma 7 4" xfId="854" xr:uid="{739D0D6C-3273-42FB-9B09-D0FA156313E3}"/>
    <cellStyle name="Comma 7 5" xfId="3518" xr:uid="{EC731CDD-6E5F-432B-939C-E42C60D2409E}"/>
    <cellStyle name="Comma 7_~2153298" xfId="5128" xr:uid="{F735096F-B08A-47A2-B2C1-814B569C6530}"/>
    <cellStyle name="Comma 70" xfId="5129" xr:uid="{D896AC4C-A49A-49EE-82D3-88FDF54FBAB8}"/>
    <cellStyle name="Comma 71" xfId="5130" xr:uid="{1811C410-890C-41AB-AD1F-81F5D4CA9C86}"/>
    <cellStyle name="Comma 72" xfId="3631" xr:uid="{9398F12B-F19E-4AAB-9F75-A697D4B9E6B4}"/>
    <cellStyle name="Comma 73" xfId="11335" xr:uid="{0AB3EF02-2FA6-4093-A21D-6BE667CBB03D}"/>
    <cellStyle name="Comma 74" xfId="11388" xr:uid="{83A37D62-5F3F-443B-A8EC-702A92C8E968}"/>
    <cellStyle name="Comma 75" xfId="11392" xr:uid="{5C8A4D0B-A660-47BE-9C63-448CCB8B3972}"/>
    <cellStyle name="Comma 76" xfId="11396" xr:uid="{E2A23221-07D9-4098-A714-2AF0E3C250C2}"/>
    <cellStyle name="Comma 77" xfId="11400" xr:uid="{5B887664-9214-44BC-AD6B-255BB95AFE14}"/>
    <cellStyle name="Comma 78" xfId="11404" xr:uid="{8AC31767-7A98-419C-928D-91DA2AD73A7D}"/>
    <cellStyle name="Comma 79" xfId="3405" xr:uid="{883F2068-B967-46AF-B349-66E3C9708F25}"/>
    <cellStyle name="Comma 8" xfId="855" xr:uid="{5E8B82B3-CBDA-49B7-82F6-97808EBB4D65}"/>
    <cellStyle name="Comma 8 2" xfId="856" xr:uid="{DB0863EC-B9F9-441B-99FC-7105FC8C288A}"/>
    <cellStyle name="Comma 8 2 2" xfId="5131" xr:uid="{ECFDE1B0-A3BA-4468-8321-3399CCEF3370}"/>
    <cellStyle name="Comma 8 2 3" xfId="3520" xr:uid="{E558F90A-2406-4F2E-931D-CB2B58F057BE}"/>
    <cellStyle name="Comma 8 3" xfId="857" xr:uid="{4778EE1C-053F-4AFC-BD2A-2672D8F15263}"/>
    <cellStyle name="Comma 8 3 2" xfId="5132" xr:uid="{46C4C964-FCC1-487E-8660-7B2E98CD0362}"/>
    <cellStyle name="Comma 8 3 3" xfId="3521" xr:uid="{E44D17D9-6809-46FD-8539-19879D535F51}"/>
    <cellStyle name="Comma 8 4" xfId="858" xr:uid="{5BD66828-3868-4ADE-8A3D-CE14FB9DA669}"/>
    <cellStyle name="Comma 8 4 2" xfId="5133" xr:uid="{BF465D40-D7D4-4391-9F08-23E6827CF3F5}"/>
    <cellStyle name="Comma 8 5" xfId="3519" xr:uid="{4689E043-A48B-4D75-83DE-9EA09AF47132}"/>
    <cellStyle name="Comma 80" xfId="11445" xr:uid="{256B2B66-82FC-4B86-8773-5C8ED16120F8}"/>
    <cellStyle name="Comma 81" xfId="11476" xr:uid="{8618FD36-9DA9-4793-AB4E-52D9C74BB519}"/>
    <cellStyle name="Comma 82" xfId="11591" xr:uid="{ACA03119-F8BC-4095-912B-1579EA589CB7}"/>
    <cellStyle name="Comma 9" xfId="859" xr:uid="{93015700-D079-4058-B81F-7B6BA7D9D65E}"/>
    <cellStyle name="Comma 9 2" xfId="860" xr:uid="{E0608942-CC71-465B-9E20-DA341D1BF2B5}"/>
    <cellStyle name="Comma 9 2 2" xfId="5134" xr:uid="{9647A3D1-A3BF-4F7F-9F12-8D76335D3C14}"/>
    <cellStyle name="Comma 9 2 3" xfId="3523" xr:uid="{DBB88A89-02AB-429C-B6E2-0F014C09A586}"/>
    <cellStyle name="Comma 9 3" xfId="861" xr:uid="{366A71D3-4758-4EF4-A844-09A0E7A9C5C3}"/>
    <cellStyle name="Comma 9 3 2" xfId="5135" xr:uid="{B470A82F-61F0-48F7-B795-C33DC216B5CD}"/>
    <cellStyle name="Comma 9 3 3" xfId="3524" xr:uid="{D9CE9A5C-6D3E-4C3B-9010-DF6108A15373}"/>
    <cellStyle name="Comma 9 4" xfId="862" xr:uid="{299FDEF8-8A8A-4DA9-A0C1-9621BDF3C93E}"/>
    <cellStyle name="Comma 9 4 2" xfId="5136" xr:uid="{8C693CCE-6A77-44F6-8266-7175E454DF92}"/>
    <cellStyle name="Comma 9 5" xfId="3522" xr:uid="{66BF0B7E-C4ED-4107-A19D-1232B4032CFE}"/>
    <cellStyle name="Comma[1]" xfId="5137" xr:uid="{5F76F557-E732-4867-9F0E-28A09960938A}"/>
    <cellStyle name="Comma[1] 2" xfId="5138" xr:uid="{4ACB4B7A-08E3-431B-87BF-6DD3CA40C48D}"/>
    <cellStyle name="Comma[1] 3" xfId="5139" xr:uid="{47DD1193-D98B-47AA-8615-18168F79A835}"/>
    <cellStyle name="Comma[1] 4" xfId="5140" xr:uid="{D279E4FF-FB97-4ABB-AE31-45E796022897}"/>
    <cellStyle name="Comma[2]" xfId="5141" xr:uid="{DE173039-22A4-4756-8787-F2E07606287B}"/>
    <cellStyle name="Comma[2] 2" xfId="5142" xr:uid="{D6CDD3D4-AB5A-4B7E-99AD-F18CC63F6E1B}"/>
    <cellStyle name="Comma[2] 3" xfId="5143" xr:uid="{419EAAA8-9157-42EE-A6FE-565E94673CE5}"/>
    <cellStyle name="Comma[2] 4" xfId="5144" xr:uid="{4A4E8FBD-40CC-47F9-AB5D-A1CFA8CF9A1E}"/>
    <cellStyle name="Comma0" xfId="5145" xr:uid="{FD3B629E-772C-4CF2-BA29-1658420230CF}"/>
    <cellStyle name="Comma0 10" xfId="5146" xr:uid="{70A4B26F-2AAB-4320-ADD2-1A41EA73705D}"/>
    <cellStyle name="Comma0 11" xfId="5147" xr:uid="{FE0DFA3A-8143-4B51-85DD-61FE69E1FD13}"/>
    <cellStyle name="Comma0 12" xfId="5148" xr:uid="{A78EA7F5-98AF-457F-BBB6-C8B710B2CA3D}"/>
    <cellStyle name="Comma0 13" xfId="5149" xr:uid="{6C2B7B34-8DF5-4DC2-AFA5-4B14158B3AED}"/>
    <cellStyle name="Comma0 14" xfId="5150" xr:uid="{28C9C61C-613C-4FC0-A7F7-D903E46EC573}"/>
    <cellStyle name="Comma0 15" xfId="5151" xr:uid="{BBDA375E-E850-45CC-AFE1-A1E65EC23B17}"/>
    <cellStyle name="Comma0 16" xfId="5152" xr:uid="{7F9DD169-E2E3-4A04-BAB6-6379CB723C16}"/>
    <cellStyle name="Comma0 17" xfId="5153" xr:uid="{5B19CD41-3F86-496F-875A-C70866C1F3D0}"/>
    <cellStyle name="Comma0 18" xfId="5154" xr:uid="{02262116-4266-42F6-B693-637404E68067}"/>
    <cellStyle name="Comma0 19" xfId="5155" xr:uid="{8C45030B-BAD1-4CFF-85B7-B1A204C0B6A0}"/>
    <cellStyle name="Comma0 2" xfId="5156" xr:uid="{3324BE14-CB64-4E33-9A22-EF8CEC33F171}"/>
    <cellStyle name="Comma0 2 2" xfId="5157" xr:uid="{E66CCC58-6E89-43BE-B1F6-DDB45CEB9260}"/>
    <cellStyle name="Comma0 20" xfId="5158" xr:uid="{E7DFA6EA-84EC-4548-A98E-82F13509587C}"/>
    <cellStyle name="Comma0 21" xfId="5159" xr:uid="{54164ABE-F8B6-4EB9-B220-3F893C1FC57F}"/>
    <cellStyle name="Comma0 22" xfId="5160" xr:uid="{98ACC3A5-F999-4D8B-8415-B2E228E4F3F6}"/>
    <cellStyle name="Comma0 23" xfId="5161" xr:uid="{18D92A4C-8809-43FE-A3C0-7A439E697614}"/>
    <cellStyle name="Comma0 24" xfId="5162" xr:uid="{3D98E878-CF42-4FD1-BE11-FD00D5126BD6}"/>
    <cellStyle name="Comma0 25" xfId="5163" xr:uid="{9E3E8B56-B3CF-4B8C-BDA4-B9905C4835FE}"/>
    <cellStyle name="Comma0 26" xfId="5164" xr:uid="{3D77DAB3-BD63-41CC-BF54-555507865DE8}"/>
    <cellStyle name="Comma0 27" xfId="5165" xr:uid="{5F39D031-409D-4D6D-AF11-265A7806671B}"/>
    <cellStyle name="Comma0 28" xfId="5166" xr:uid="{34472524-68D2-47F7-BAD5-B859804B8E38}"/>
    <cellStyle name="Comma0 29" xfId="5167" xr:uid="{45DD730F-B689-4614-A43F-64D8FF8ED2B6}"/>
    <cellStyle name="Comma0 3" xfId="5168" xr:uid="{DF1C4962-8BF7-4367-AA0C-464E65D2327A}"/>
    <cellStyle name="Comma0 3 2" xfId="5169" xr:uid="{52A9CEF0-18B8-45BD-8F7C-3233A8CA4938}"/>
    <cellStyle name="Comma0 30" xfId="5170" xr:uid="{2AF49F7B-9DF2-41DE-AFBB-565A33B0E8F6}"/>
    <cellStyle name="Comma0 31" xfId="5171" xr:uid="{A6DBF3C4-4D34-4874-87A3-983BBBFB65BC}"/>
    <cellStyle name="Comma0 32" xfId="5172" xr:uid="{3BCD9E4E-5CFA-42A4-8D05-04060BE4E98A}"/>
    <cellStyle name="Comma0 33" xfId="5173" xr:uid="{1B8BDBE3-C590-464B-A9BA-8C970D6C75BD}"/>
    <cellStyle name="Comma0 34" xfId="5174" xr:uid="{AF0870AA-DAC3-4D58-8A98-98F220A38F56}"/>
    <cellStyle name="Comma0 35" xfId="5175" xr:uid="{4AC69DC2-B1C5-4DD4-9BB6-AA466D96B3B4}"/>
    <cellStyle name="Comma0 36" xfId="5176" xr:uid="{D0658FCD-7094-4240-A09F-DF782F16A30F}"/>
    <cellStyle name="Comma0 37" xfId="5177" xr:uid="{C8D90D1C-E560-42D6-A805-DDE765BFD27A}"/>
    <cellStyle name="Comma0 38" xfId="5178" xr:uid="{D746BC47-DC53-4E87-83ED-3BD2AAF39D8E}"/>
    <cellStyle name="Comma0 39" xfId="5179" xr:uid="{C1D06975-0777-4182-AF10-A651AF19BE42}"/>
    <cellStyle name="Comma0 4" xfId="5180" xr:uid="{EED5080A-943F-448A-87FB-331C693A3B53}"/>
    <cellStyle name="Comma0 4 2" xfId="5181" xr:uid="{44A4F848-1562-40A7-9E63-90B8434CB89B}"/>
    <cellStyle name="Comma0 40" xfId="5182" xr:uid="{06233375-788D-4342-B1AF-3B8189335016}"/>
    <cellStyle name="Comma0 41" xfId="5183" xr:uid="{66DB8361-7986-497D-822A-F73CD309DF49}"/>
    <cellStyle name="Comma0 42" xfId="5184" xr:uid="{75359D45-C237-4302-AECE-59C2B30454DA}"/>
    <cellStyle name="Comma0 42 2" xfId="5185" xr:uid="{A78C3870-175F-41E1-BA28-5E1B93474B81}"/>
    <cellStyle name="Comma0 43" xfId="5186" xr:uid="{DDDE8AAC-76CA-47BE-828F-C86B64184EB2}"/>
    <cellStyle name="Comma0 43 2" xfId="5187" xr:uid="{EC0E858C-AE24-445C-97DA-546ACC16C140}"/>
    <cellStyle name="Comma0 5" xfId="5188" xr:uid="{D3FE9283-9835-46D2-836D-BCD2A1FCC96B}"/>
    <cellStyle name="Comma0 5 2" xfId="5189" xr:uid="{0BBBA67D-EA6C-4F61-BEDC-75B9663C7B47}"/>
    <cellStyle name="Comma0 6" xfId="5190" xr:uid="{9112875F-3931-4BA9-8AD5-F51738F1071C}"/>
    <cellStyle name="Comma0 6 2" xfId="5191" xr:uid="{A664A280-E283-4984-A595-4BA7E517910C}"/>
    <cellStyle name="Comma0 7" xfId="5192" xr:uid="{EEB409A4-6860-43DA-B084-6285759D2415}"/>
    <cellStyle name="Comma0 8" xfId="5193" xr:uid="{D080DF71-C7F2-461D-BAA7-34D24B7AB015}"/>
    <cellStyle name="Comma0 9" xfId="5194" xr:uid="{78E4BDEC-C9AB-4555-869B-241A4EF10FEF}"/>
    <cellStyle name="Comments_Style" xfId="5195" xr:uid="{B67E9CA0-7538-4766-998D-B2DE91059076}"/>
    <cellStyle name="Company Name" xfId="863" xr:uid="{18B4AD5E-749D-4209-AE4B-680D186267B3}"/>
    <cellStyle name="Company Name 2" xfId="5196" xr:uid="{DE3B7163-2EB6-45B3-8D91-507A17D6E85F}"/>
    <cellStyle name="Company Name 2 2" xfId="5197" xr:uid="{B44472A0-3C12-41FA-8CFD-99FE06DD8AB0}"/>
    <cellStyle name="Company Name 3" xfId="5198" xr:uid="{D9D7C4B7-52C3-4E70-A462-4C00BD81254C}"/>
    <cellStyle name="Company Name 4" xfId="5199" xr:uid="{64A0B624-E47E-48C7-AEAC-FDE0F33C0CD6}"/>
    <cellStyle name="Company Name_Check Totals" xfId="5200" xr:uid="{EF6E1285-C0D3-40D5-AEC5-E2DC67485EE3}"/>
    <cellStyle name="Cover Link Note" xfId="864" xr:uid="{98C7C87C-DE90-498A-99D5-AA0F235D97BC}"/>
    <cellStyle name="Cover Link Note 2" xfId="5201" xr:uid="{FE72794E-5144-4BB1-B4D2-8CC9ED283214}"/>
    <cellStyle name="Cover Link Note 2 2" xfId="5202" xr:uid="{424C6880-1CCA-448D-AD0E-3F1AE832BEC1}"/>
    <cellStyle name="Cover Link Note 3" xfId="5203" xr:uid="{ADB3E74E-CB9A-4C13-9F0A-45B1448EC9F0}"/>
    <cellStyle name="Cover Link Note 4" xfId="5204" xr:uid="{3FAEA66E-5794-4A7A-8BE1-6DDF57E17F03}"/>
    <cellStyle name="Cover Link Note_Check Totals" xfId="5205" xr:uid="{1AA49394-A1D9-49F0-BC2D-0A57E1A4BFA9}"/>
    <cellStyle name="Coᱠma [0]_Q2 FY96" xfId="5206" xr:uid="{9A8DAE04-AAB9-4CA3-B72B-1A1F0BA9E2EE}"/>
    <cellStyle name="CS Company Name" xfId="865" xr:uid="{B3DC3BE4-7A4E-465E-A9D7-611BADE5B616}"/>
    <cellStyle name="CS Cover Note" xfId="866" xr:uid="{33D08C2E-3FCA-4C23-9E43-DA71EEFFD288}"/>
    <cellStyle name="CS Cover Notes Heading" xfId="867" xr:uid="{93E00B38-0D07-4F80-A462-D95553475AA6}"/>
    <cellStyle name="CS Link Note" xfId="868" xr:uid="{0A02F046-7824-4745-9640-6E83F95330BF}"/>
    <cellStyle name="CS Link Note 2" xfId="5207" xr:uid="{1626B883-5FCB-40B4-86D4-67254105DA15}"/>
    <cellStyle name="CS Link Note 3" xfId="5208" xr:uid="{8F3B5CC3-7CEA-4A10-AEB2-455C9C8913A5}"/>
    <cellStyle name="CS Link Note_1.0 HFM data" xfId="5209" xr:uid="{E6A4AD35-6970-45DA-8794-254596FDEB87}"/>
    <cellStyle name="CS Model Name" xfId="869" xr:uid="{C52F5CF2-80A0-43C6-85E5-D47C91459AB5}"/>
    <cellStyle name="Curren - Style2" xfId="5210" xr:uid="{A8283A75-0D60-4FB3-AD03-FF1B91C45855}"/>
    <cellStyle name="Currency [00]" xfId="870" xr:uid="{D978AAA2-9D61-4C89-9FE0-AAE1E6CA8E2B}"/>
    <cellStyle name="Currency [00] 2" xfId="5211" xr:uid="{33735082-48DC-4BBD-A3E1-8EF1B910731D}"/>
    <cellStyle name="Currency [2]" xfId="871" xr:uid="{EDC99C88-CE77-4E19-AF22-AFB84D941446}"/>
    <cellStyle name="Currency 0" xfId="872" xr:uid="{CF57A0C2-706A-48C0-AAA6-E4F7F3C37B41}"/>
    <cellStyle name="Currency 10" xfId="873" xr:uid="{32E2543E-33C0-4E42-9F1F-CAB5772B7B44}"/>
    <cellStyle name="Currency 10 2" xfId="874" xr:uid="{4B3F9424-A54A-4EA2-9525-1DE22C734D15}"/>
    <cellStyle name="Currency 10 2 2" xfId="5212" xr:uid="{6B0D5858-E147-4674-B3C0-C4BCB183A12B}"/>
    <cellStyle name="Currency 10 3" xfId="875" xr:uid="{975EBBA5-FDFE-4077-8401-4A5DD78BB293}"/>
    <cellStyle name="Currency 10 3 2" xfId="5214" xr:uid="{4F45F185-027A-4500-BD91-411D93C7F9E3}"/>
    <cellStyle name="Currency 10 3 3" xfId="5213" xr:uid="{688D9B2E-CCF6-4E52-B445-EFACC87302EF}"/>
    <cellStyle name="Currency 10 4" xfId="3525" xr:uid="{C0FFCB8C-BE06-4600-B6EF-498E0BD28A50}"/>
    <cellStyle name="Currency 11" xfId="876" xr:uid="{749F1175-6C4F-48AE-9568-FD291C369360}"/>
    <cellStyle name="Currency 11 2" xfId="877" xr:uid="{13B7DC1E-7895-46B4-88AE-5CE13AA05534}"/>
    <cellStyle name="Currency 11 2 2" xfId="5215" xr:uid="{FCD60DB9-4CCC-4693-A095-30855033A843}"/>
    <cellStyle name="Currency 11 3" xfId="878" xr:uid="{33AD83A8-4AE3-44D1-86AC-A2E8AF3FF43E}"/>
    <cellStyle name="Currency 11 4" xfId="3526" xr:uid="{1C28E6CF-C088-40FC-BEFE-C924109DE5ED}"/>
    <cellStyle name="Currency 12" xfId="879" xr:uid="{825E96E9-0BE4-43E6-9272-F806EDE66793}"/>
    <cellStyle name="Currency 12 2" xfId="880" xr:uid="{291D6CB6-2337-4B70-9146-28B7553092C6}"/>
    <cellStyle name="Currency 12 2 2" xfId="5217" xr:uid="{E40826BA-F597-422D-8178-59B9DDB1A7B0}"/>
    <cellStyle name="Currency 12 2 3" xfId="5216" xr:uid="{104B2993-5E2B-4E2A-83B2-0FDB080983AE}"/>
    <cellStyle name="Currency 12 3" xfId="881" xr:uid="{01AD856F-45E9-4C0C-910C-283E8E2D80C7}"/>
    <cellStyle name="Currency 12 3 2" xfId="5218" xr:uid="{ECE861DA-4CA5-4242-BE44-1F5A4AC9091D}"/>
    <cellStyle name="Currency 12 4" xfId="3527" xr:uid="{A156AC23-1452-4BF6-83BB-3DFB70D65B3B}"/>
    <cellStyle name="Currency 13" xfId="882" xr:uid="{AEFC2595-F34E-4B46-AD1F-C61355E9E23D}"/>
    <cellStyle name="Currency 13 2" xfId="883" xr:uid="{D9F78B55-D9CA-4136-BC6E-60FC86062673}"/>
    <cellStyle name="Currency 13 2 2" xfId="5219" xr:uid="{BD0BB29C-6812-456D-A0B7-51EFD0BFFCAB}"/>
    <cellStyle name="Currency 13 3" xfId="884" xr:uid="{67BF928F-3F47-4DD1-B6B5-F3E2748800C0}"/>
    <cellStyle name="Currency 13 4" xfId="3528" xr:uid="{07A83F93-21E3-4924-9F8A-8DD368680674}"/>
    <cellStyle name="Currency 14" xfId="885" xr:uid="{DA2A1E2D-99AE-4046-84A2-329FAA670FBB}"/>
    <cellStyle name="Currency 14 2" xfId="886" xr:uid="{9B2A7568-D10F-44BF-AC03-C7827F6805AE}"/>
    <cellStyle name="Currency 14 2 2" xfId="5220" xr:uid="{107D9B96-DF9A-4867-8C36-52006284C70A}"/>
    <cellStyle name="Currency 14 3" xfId="887" xr:uid="{A00DC01C-A125-4E2B-94A4-DB03369A6D11}"/>
    <cellStyle name="Currency 14 4" xfId="3529" xr:uid="{D5313EB8-A60D-47A1-ABD4-DFA4DCBBFDE4}"/>
    <cellStyle name="Currency 15" xfId="888" xr:uid="{C6C85C84-C947-480F-B14D-A9AD83F30D23}"/>
    <cellStyle name="Currency 15 2" xfId="889" xr:uid="{C76479D9-4E79-4208-BC48-BBE8F264BC5E}"/>
    <cellStyle name="Currency 15 2 2" xfId="5221" xr:uid="{C6CF67FF-CB98-4268-A89C-EC4350082528}"/>
    <cellStyle name="Currency 15 3" xfId="890" xr:uid="{CEB93BDE-A6FC-47A8-BFB4-D2BA7CBC2A74}"/>
    <cellStyle name="Currency 15 4" xfId="3530" xr:uid="{CBB49379-34AC-49E2-A0CC-39FCD6B1A17C}"/>
    <cellStyle name="Currency 16" xfId="891" xr:uid="{7CC4647E-14FE-4C5F-B874-0E85B27B5912}"/>
    <cellStyle name="Currency 16 2" xfId="892" xr:uid="{F1C3F422-416C-47CC-B6DF-39EF8B842FDC}"/>
    <cellStyle name="Currency 16 2 2" xfId="5222" xr:uid="{CB93D243-465D-4F61-B274-BA0303C95698}"/>
    <cellStyle name="Currency 16 3" xfId="3531" xr:uid="{B2618F31-FCAF-4E91-BCEE-6693C5CA622C}"/>
    <cellStyle name="Currency 17" xfId="893" xr:uid="{2AD72CC9-35D0-42F2-A968-38DE50603A53}"/>
    <cellStyle name="Currency 17 2" xfId="894" xr:uid="{EFCC4342-2A7B-4DF9-A710-843DA32DB00D}"/>
    <cellStyle name="Currency 17 2 2" xfId="5223" xr:uid="{6BBF0E89-BAC4-4E81-992E-2C0ADD47D1AA}"/>
    <cellStyle name="Currency 17 3" xfId="3532" xr:uid="{4D17DF3B-FF09-4C0D-85AE-E7311959779B}"/>
    <cellStyle name="Currency 18" xfId="895" xr:uid="{7210D2A8-1F22-4678-A659-14FCDEDAFBC0}"/>
    <cellStyle name="Currency 18 2" xfId="896" xr:uid="{A41091B6-439E-431D-9A3A-7BF5C7BFFD04}"/>
    <cellStyle name="Currency 18 2 2" xfId="5224" xr:uid="{3FDA38FC-1322-4FB8-8D3B-00743D4649EF}"/>
    <cellStyle name="Currency 18 3" xfId="3533" xr:uid="{EB477995-8CD9-4326-BB66-EEB9CDBBBB11}"/>
    <cellStyle name="Currency 19" xfId="897" xr:uid="{105D9FF0-78A3-47D0-BFA1-6BBF04FB38DC}"/>
    <cellStyle name="Currency 19 2" xfId="898" xr:uid="{54DD771E-8937-4558-9C83-1E6B12CA74A5}"/>
    <cellStyle name="Currency 19 2 2" xfId="5225" xr:uid="{313DEB47-305B-4B77-922A-9B1F36A901EE}"/>
    <cellStyle name="Currency 19 3" xfId="3534" xr:uid="{F2DE1C0E-5FA1-4A89-8129-3B4262C169AD}"/>
    <cellStyle name="Currency 2" xfId="899" xr:uid="{220B38F2-60FD-45E6-9BC5-E8A811922EFD}"/>
    <cellStyle name="Currency 2 10" xfId="5226" xr:uid="{EB15E649-929D-4746-8FCE-6B7055960634}"/>
    <cellStyle name="Currency 2 11" xfId="5227" xr:uid="{E4C4AFD4-12C6-4BC1-9AF2-3E64C2937CBE}"/>
    <cellStyle name="Currency 2 11 2" xfId="5228" xr:uid="{A20EAE80-9DFC-461F-A999-F482472D84FA}"/>
    <cellStyle name="Currency 2 12" xfId="5229" xr:uid="{D0B7EDA6-971C-437F-A48A-047C35690B65}"/>
    <cellStyle name="Currency 2 12 2" xfId="5230" xr:uid="{C917F44A-5396-4A24-9294-B3E1108BE873}"/>
    <cellStyle name="Currency 2 13" xfId="5231" xr:uid="{196387E7-4DF5-4726-ABFF-23BAE16871B5}"/>
    <cellStyle name="Currency 2 13 2" xfId="5232" xr:uid="{44A06D60-CC8C-42F2-9DDA-D6AFB361C4BE}"/>
    <cellStyle name="Currency 2 14" xfId="5233" xr:uid="{489B29FA-5541-496F-8CCB-A709870523E5}"/>
    <cellStyle name="Currency 2 14 2" xfId="5234" xr:uid="{56A466B7-7AC2-40CD-9461-9C6B6DC77A72}"/>
    <cellStyle name="Currency 2 15" xfId="5235" xr:uid="{A529845E-9919-4CFB-8EF1-C479B546409C}"/>
    <cellStyle name="Currency 2 15 2" xfId="5236" xr:uid="{EFE00B15-CF64-4943-904E-48DDBAD34FFE}"/>
    <cellStyle name="Currency 2 16" xfId="5237" xr:uid="{E4F91182-E47D-446B-8F94-0E267ECC0C16}"/>
    <cellStyle name="Currency 2 16 2" xfId="5238" xr:uid="{179F2279-1587-40C2-A14E-08E2608EC612}"/>
    <cellStyle name="Currency 2 17" xfId="5239" xr:uid="{8F293A0F-0F30-445B-A7D8-7EC764959177}"/>
    <cellStyle name="Currency 2 17 2" xfId="5240" xr:uid="{C68EB220-C121-4515-A211-DF9EBDA468B9}"/>
    <cellStyle name="Currency 2 18" xfId="5241" xr:uid="{18A17B7F-22F0-4222-9B93-1D4C78CDEC67}"/>
    <cellStyle name="Currency 2 18 2" xfId="5242" xr:uid="{1F7970FB-8958-4381-8D1B-A30619A885DE}"/>
    <cellStyle name="Currency 2 19" xfId="5243" xr:uid="{A8D1BF90-331D-4E3B-A0BF-35D925D2CA1E}"/>
    <cellStyle name="Currency 2 19 2" xfId="5244" xr:uid="{3DAC9E99-4312-40E5-B601-B324D0EE966F}"/>
    <cellStyle name="Currency 2 2" xfId="900" xr:uid="{0F2214B6-3D43-450A-9350-62335A910055}"/>
    <cellStyle name="Currency 2 2 2" xfId="901" xr:uid="{C15E4CFA-4A33-453B-BB34-95E6AB93FCAC}"/>
    <cellStyle name="Currency 2 2 2 2" xfId="5245" xr:uid="{8DD82BBC-DC67-420F-9E3B-5D46F0DCE081}"/>
    <cellStyle name="Currency 2 2 3" xfId="5246" xr:uid="{173994C4-CABA-41B3-96DA-430B53C7FBB8}"/>
    <cellStyle name="Currency 2 2 4" xfId="5247" xr:uid="{1DABF1AF-5994-4D48-A197-69A51E376C28}"/>
    <cellStyle name="Currency 2 2 5" xfId="5248" xr:uid="{B4FA5708-3BE1-45C8-9AF5-C05A35DDE39D}"/>
    <cellStyle name="Currency 2 20" xfId="5249" xr:uid="{CE0A0E8B-CBBC-484B-8B90-3DF6B41A020C}"/>
    <cellStyle name="Currency 2 3" xfId="902" xr:uid="{A4AE0DC8-B0B7-45B9-98F0-5080978DB4A6}"/>
    <cellStyle name="Currency 2 3 2" xfId="3584" xr:uid="{A9DB49B9-C9E0-467D-BDA0-803DCFC4D2B8}"/>
    <cellStyle name="Currency 2 4" xfId="903" xr:uid="{3830D230-3573-40C0-A045-2977F9D1A9D3}"/>
    <cellStyle name="Currency 2 4 2" xfId="3585" xr:uid="{E061AAEC-D3EF-422E-AF13-EEDF459EC5BA}"/>
    <cellStyle name="Currency 2 5" xfId="904" xr:uid="{54B73E28-B59F-42B0-96D7-BD482EFEC656}"/>
    <cellStyle name="Currency 2 5 2" xfId="3625" xr:uid="{21300588-EF3E-48F4-9B70-EC1DB9B53406}"/>
    <cellStyle name="Currency 2 6" xfId="5250" xr:uid="{17418EE8-AADE-41DE-B028-62581B12CCA5}"/>
    <cellStyle name="Currency 2 7" xfId="5251" xr:uid="{2F5C0149-326F-41BA-B905-7AADAE21FDEC}"/>
    <cellStyle name="Currency 2 8" xfId="5252" xr:uid="{DDF02C2B-CC5A-4C46-94B3-8419E4A7F36E}"/>
    <cellStyle name="Currency 2 9" xfId="5253" xr:uid="{AD98FB18-EF89-4E8C-A3BE-7B7F0BD8012F}"/>
    <cellStyle name="Currency 2_~2153298" xfId="5254" xr:uid="{92EF897C-6DA0-4CC4-9336-BE926F80CE0D}"/>
    <cellStyle name="Currency 20" xfId="905" xr:uid="{29E7F7B6-D0C9-4ABB-8593-817614163CBB}"/>
    <cellStyle name="Currency 20 2" xfId="906" xr:uid="{C64884BF-E6C9-4495-B868-B348A1B4BF2F}"/>
    <cellStyle name="Currency 20 2 2" xfId="5255" xr:uid="{22AA6275-2F53-4EF1-A6B5-CF23EF029FED}"/>
    <cellStyle name="Currency 20 3" xfId="3535" xr:uid="{86795017-2BFA-4ED1-BB7D-6FBC6F1B78C4}"/>
    <cellStyle name="Currency 21" xfId="907" xr:uid="{EF0E3D97-7746-4EC6-BE9E-AF66056015E9}"/>
    <cellStyle name="Currency 21 2" xfId="908" xr:uid="{CF3D81F3-0DF0-43CA-B3EC-1F3CAF7CFF7D}"/>
    <cellStyle name="Currency 21 2 2" xfId="5256" xr:uid="{C6F425A5-91D3-497A-BFA8-1E2AF163D4EF}"/>
    <cellStyle name="Currency 21 3" xfId="3536" xr:uid="{51378369-FA72-4924-A257-420CE5824FB3}"/>
    <cellStyle name="Currency 22" xfId="909" xr:uid="{03A5CD91-98E7-457F-BBF0-3FA5673380AF}"/>
    <cellStyle name="Currency 22 2" xfId="910" xr:uid="{A798BCE5-E80D-43C3-AE03-38AA5CA28268}"/>
    <cellStyle name="Currency 22 2 2" xfId="5257" xr:uid="{F3919972-1823-4745-AA07-C9AADED9B103}"/>
    <cellStyle name="Currency 22 3" xfId="3537" xr:uid="{A86DD3E2-55B3-4430-AEC0-AE8F665B3EB4}"/>
    <cellStyle name="Currency 23" xfId="911" xr:uid="{218B424B-B401-40FD-AAE3-62B2A4670D44}"/>
    <cellStyle name="Currency 23 2" xfId="912" xr:uid="{A6693FC8-AD53-441F-8350-2DC3E89A6C0B}"/>
    <cellStyle name="Currency 23 2 2" xfId="5258" xr:uid="{BEF74321-1E53-4717-B827-18D5B69862D0}"/>
    <cellStyle name="Currency 23 3" xfId="3538" xr:uid="{9BDE5023-B035-49C8-A577-17A72BF85B56}"/>
    <cellStyle name="Currency 24" xfId="913" xr:uid="{781B4360-83F0-41B7-94BF-891572D1114D}"/>
    <cellStyle name="Currency 24 2" xfId="914" xr:uid="{31265980-0F64-4F16-96E5-682801A209D1}"/>
    <cellStyle name="Currency 24 2 2" xfId="5259" xr:uid="{5BAB7B99-F98F-4058-9EAF-59846B02FA95}"/>
    <cellStyle name="Currency 24 3" xfId="3539" xr:uid="{5DC91121-43D6-4F9E-9EC8-056196DE3DCF}"/>
    <cellStyle name="Currency 25" xfId="915" xr:uid="{224A0B7D-EDB7-4D77-B313-85B44D4497F6}"/>
    <cellStyle name="Currency 25 2" xfId="916" xr:uid="{0AAE5B6B-58BA-4BD2-898B-19DBDC9D94FD}"/>
    <cellStyle name="Currency 25 2 2" xfId="5260" xr:uid="{18292E89-D13D-4F5F-8A2A-10DC8F62460D}"/>
    <cellStyle name="Currency 25 3" xfId="3540" xr:uid="{BCFE75DC-784D-4A13-84D8-88A02EE9395B}"/>
    <cellStyle name="Currency 26" xfId="917" xr:uid="{B5E5C1A3-D023-4802-BB41-6A8857B4E432}"/>
    <cellStyle name="Currency 26 2" xfId="918" xr:uid="{4B54CEE0-4EF0-49C9-95AF-788E6E1413A6}"/>
    <cellStyle name="Currency 26 2 2" xfId="5261" xr:uid="{DA4B8779-03F6-4CE6-9C09-5DC936BD8E10}"/>
    <cellStyle name="Currency 26 3" xfId="3541" xr:uid="{3B7B692D-DD73-4356-AC5A-0960C24A8D5C}"/>
    <cellStyle name="Currency 27" xfId="919" xr:uid="{7BB2338A-D697-4343-8D9E-3BFA55917F55}"/>
    <cellStyle name="Currency 27 2" xfId="920" xr:uid="{778FF4B2-E56C-46ED-8FF2-27EB705EA123}"/>
    <cellStyle name="Currency 27 2 2" xfId="5262" xr:uid="{21756557-A567-4BEC-9C5A-A315F36B8DFF}"/>
    <cellStyle name="Currency 27 3" xfId="3542" xr:uid="{A1B59A0D-329F-48ED-81A1-C4214C0DC2CE}"/>
    <cellStyle name="Currency 28" xfId="921" xr:uid="{0B74A676-2A61-4462-8AF7-9DB9E643C577}"/>
    <cellStyle name="Currency 28 2" xfId="922" xr:uid="{81A8E1F4-F733-44A6-BAE0-1AE8B02712A2}"/>
    <cellStyle name="Currency 28 2 2" xfId="5263" xr:uid="{9CED6CA8-E6F0-41D1-A737-3F862EC5669C}"/>
    <cellStyle name="Currency 28 3" xfId="3543" xr:uid="{C779B250-5089-40F1-B995-EE002F7E892E}"/>
    <cellStyle name="Currency 29" xfId="923" xr:uid="{9BF3EE32-401E-4DED-B1AA-C90FC70EA749}"/>
    <cellStyle name="Currency 3" xfId="924" xr:uid="{F4B65ABC-E9EA-4AC0-8A68-1D9FF37F66CF}"/>
    <cellStyle name="Currency 3 2" xfId="925" xr:uid="{621EAA40-FD7C-458A-9C13-97658E9EF6E2}"/>
    <cellStyle name="Currency 3 2 2" xfId="5264" xr:uid="{4BDFDACF-4FB3-461E-9AC8-A23B057DD2F6}"/>
    <cellStyle name="Currency 3 3" xfId="3544" xr:uid="{337F3935-D24C-423D-BD55-F1D01A8EAF33}"/>
    <cellStyle name="Currency 30" xfId="11386" xr:uid="{2404B43E-E494-4108-800A-B83D654333F5}"/>
    <cellStyle name="Currency 31" xfId="11390" xr:uid="{EED9FB92-5465-40FE-A60A-0A7C1403A2FE}"/>
    <cellStyle name="Currency 32" xfId="11394" xr:uid="{8E4A5E11-0685-468E-B3CF-DDCF4469BFCB}"/>
    <cellStyle name="Currency 33" xfId="11398" xr:uid="{C8835E57-6097-4915-93C9-285DED0C2F32}"/>
    <cellStyle name="Currency 34" xfId="11402" xr:uid="{F621C80B-313B-4CF4-A123-841F5CD9379E}"/>
    <cellStyle name="Currency 35" xfId="11592" xr:uid="{1E3544C7-C479-42B4-B6F2-EDA78CE0D646}"/>
    <cellStyle name="Currency 36" xfId="11594" xr:uid="{C1D341EF-83C1-4EC1-B06C-09835967B92E}"/>
    <cellStyle name="Currency 4" xfId="926" xr:uid="{B6D07679-23D9-4B90-BFA2-CF9A6ACC3635}"/>
    <cellStyle name="Currency 4 2" xfId="927" xr:uid="{4C95F8CB-11E1-4163-AB70-41EEDA7B5494}"/>
    <cellStyle name="Currency 4 2 2" xfId="5265" xr:uid="{1D342A85-1F33-4BB6-A2D0-752F391D6F06}"/>
    <cellStyle name="Currency 4 3" xfId="3545" xr:uid="{0ECF0097-7FDC-4F15-9BDF-CBEB88B26B13}"/>
    <cellStyle name="Currency 5" xfId="928" xr:uid="{508A6006-4AA6-4CE2-8ECD-298D8CED483C}"/>
    <cellStyle name="Currency 5 2" xfId="929" xr:uid="{5F874E52-36BB-4523-AA38-9F4BEC9A8FED}"/>
    <cellStyle name="Currency 5 2 2" xfId="5266" xr:uid="{4E62911D-B40F-46D8-B8F5-D0C92819A687}"/>
    <cellStyle name="Currency 5 3" xfId="3546" xr:uid="{C0239FE8-3C59-41A3-BB13-26DCFF78726F}"/>
    <cellStyle name="Currency 6" xfId="930" xr:uid="{50E4644E-D5D2-4352-AA65-7A2E0DEBFD68}"/>
    <cellStyle name="Currency 6 2" xfId="931" xr:uid="{17C0CF6B-2A5D-4CB7-8216-27A3BAC6A35E}"/>
    <cellStyle name="Currency 6 2 2" xfId="5267" xr:uid="{C27E13B4-5CE9-4FCE-9FEE-C8D793FD856A}"/>
    <cellStyle name="Currency 6 3" xfId="3547" xr:uid="{F4F833F9-F2E6-443E-BC5F-3AFDFC57DE9C}"/>
    <cellStyle name="Currency 7" xfId="932" xr:uid="{DBD118FB-011F-4710-839B-B4558C2878C2}"/>
    <cellStyle name="Currency 7 2" xfId="933" xr:uid="{B0979C62-FC72-47B8-9710-9436E9219BB1}"/>
    <cellStyle name="Currency 7 2 2" xfId="5268" xr:uid="{AEABCA46-2B4B-4F24-BBAD-52960A67ABC3}"/>
    <cellStyle name="Currency 7 3" xfId="934" xr:uid="{545DE17C-59F3-4271-898E-913F18C8A559}"/>
    <cellStyle name="Currency 7 4" xfId="3548" xr:uid="{5F28A62A-383C-47DB-9CBC-B53BB6DCC3E6}"/>
    <cellStyle name="Currency 8" xfId="935" xr:uid="{1F86D258-BE94-4BEE-8D00-FF8FBE2F8ECE}"/>
    <cellStyle name="Currency 8 2" xfId="936" xr:uid="{6328EEFC-4EC2-4BC9-827F-BE15BAE18811}"/>
    <cellStyle name="Currency 8 2 2" xfId="5269" xr:uid="{07669697-A709-4EC4-80CF-E0326C749822}"/>
    <cellStyle name="Currency 8 3" xfId="937" xr:uid="{CBAAE855-A5F6-42D0-A44A-56C81B4A1C53}"/>
    <cellStyle name="Currency 8 3 2" xfId="5271" xr:uid="{D337ABA0-207B-4136-B6DA-AF437529B770}"/>
    <cellStyle name="Currency 8 3 3" xfId="5270" xr:uid="{FD0E648A-A9D5-4B82-A113-5493342813CE}"/>
    <cellStyle name="Currency 8 4" xfId="3549" xr:uid="{B61D207E-0CAF-4CAF-B729-194C890EFF59}"/>
    <cellStyle name="Currency 9" xfId="938" xr:uid="{AC1222BD-5E96-44C1-AC26-EB5068F6ABBF}"/>
    <cellStyle name="Currency 9 2" xfId="939" xr:uid="{355BB67B-6EAE-40F6-A9E9-55AA79F36B6F}"/>
    <cellStyle name="Currency 9 2 2" xfId="5272" xr:uid="{ED710FAB-31E2-4BF5-ADB8-629333C17D19}"/>
    <cellStyle name="Currency 9 3" xfId="940" xr:uid="{61A26BB0-4B1D-40BB-A7D2-B0BCFEE8AF11}"/>
    <cellStyle name="Currency 9 3 2" xfId="5274" xr:uid="{9AFB3D8B-8B9A-456E-80FD-A817D279CA2F}"/>
    <cellStyle name="Currency 9 3 3" xfId="5273" xr:uid="{8BC52DD5-8362-4662-B9C5-E7CAFAB713C1}"/>
    <cellStyle name="Currency 9 4" xfId="3550" xr:uid="{EFE76EE1-98BD-45D2-8A5A-A6DF45BCA94F}"/>
    <cellStyle name="Currency0" xfId="5275" xr:uid="{34EF6378-6012-4475-B542-0428D282131D}"/>
    <cellStyle name="Currency0 2" xfId="5276" xr:uid="{3BB044D5-2605-4369-86EC-5378B5DA8ED8}"/>
    <cellStyle name="D" xfId="5277" xr:uid="{21790728-5166-4784-B698-7807E7AE4A59}"/>
    <cellStyle name="DAGS" xfId="5278" xr:uid="{D7A55C86-2644-41B7-8DD8-7C5DDDEBD394}"/>
    <cellStyle name="data" xfId="5279" xr:uid="{660A8085-4C74-4030-B616-FE41DD8F862E}"/>
    <cellStyle name="Data entry" xfId="941" xr:uid="{7F5C13CE-E00F-4599-931F-DB3BCAE51A8D}"/>
    <cellStyle name="Data entry 2" xfId="942" xr:uid="{408BD2ED-0854-468D-8DD8-9E8888C13EF9}"/>
    <cellStyle name="Data entry 2 2" xfId="5280" xr:uid="{28693A1F-389E-40F7-8AE6-79FF64558443}"/>
    <cellStyle name="Data entry 2 2 2" xfId="5281" xr:uid="{6D8E3BB3-DCAC-45D6-BFAE-70F81F83C1AA}"/>
    <cellStyle name="Data entry 3" xfId="5282" xr:uid="{FCD4D2CB-CE05-46B1-90B1-199BE0D4C88F}"/>
    <cellStyle name="Data entry 3 2" xfId="5283" xr:uid="{9B7B1A1F-6A18-4A04-B60B-3A013BB384E7}"/>
    <cellStyle name="Data entry 4" xfId="5284" xr:uid="{38F767D0-3701-4978-BA08-2F9FAF7380D2}"/>
    <cellStyle name="Data entry 5" xfId="5285" xr:uid="{F5F00AE6-3CC1-4EF2-94AB-7FF7E171998D}"/>
    <cellStyle name="Data entry 6" xfId="5286" xr:uid="{6B3978AB-11A2-40DF-B855-F2A34B330963}"/>
    <cellStyle name="Data entry 7" xfId="5287" xr:uid="{260DE335-F48D-41DB-8AD0-763C9BD48B45}"/>
    <cellStyle name="Data entry 7 2" xfId="5288" xr:uid="{35AE4406-978F-425E-B6A6-F72EC9A31C32}"/>
    <cellStyle name="Data entry_~2153298" xfId="5289" xr:uid="{D3A15BCD-1699-43BA-9041-4BF05E663B3A}"/>
    <cellStyle name="Data1" xfId="5290" xr:uid="{A7FB45C7-A56C-4288-9E44-3EF3A226780A}"/>
    <cellStyle name="Data2" xfId="5291" xr:uid="{287EADB1-7CAF-4723-8331-FAA154FC8193}"/>
    <cellStyle name="Data3" xfId="5292" xr:uid="{07C83FE5-CB8A-4B68-ADF5-474A04EC0827}"/>
    <cellStyle name="Data4" xfId="5293" xr:uid="{C72BAE1B-04A2-4753-A953-C665E2518A05}"/>
    <cellStyle name="Data5" xfId="5294" xr:uid="{B3FDB3C5-E90B-47E6-A7D4-CDAE454408D4}"/>
    <cellStyle name="Date" xfId="943" xr:uid="{D677D8B8-E09B-4E95-AFA1-889DCC2FF13D}"/>
    <cellStyle name="Date (dd-mm-yyyy)" xfId="944" xr:uid="{6881E881-4842-4DD2-9660-70A62B574567}"/>
    <cellStyle name="Date (mm-yyyy)" xfId="945" xr:uid="{AFBA5B16-539C-4D7B-8CAB-716D81FF7EBB}"/>
    <cellStyle name="Date 10" xfId="5295" xr:uid="{003CFCBD-7977-43D8-B009-2D2B47CE1559}"/>
    <cellStyle name="Date 11" xfId="5296" xr:uid="{3DDB9C8E-3839-459B-97C0-C39BDAA309D5}"/>
    <cellStyle name="Date 12" xfId="5297" xr:uid="{E72C6A61-7D2A-49C5-96C4-970D13A325B3}"/>
    <cellStyle name="Date 2" xfId="946" xr:uid="{8AD30F1A-4B3A-4CF8-B644-CA5760AED728}"/>
    <cellStyle name="Date 2 10" xfId="5298" xr:uid="{3CB029FE-4509-4BA1-B71A-AFF0F2B489AE}"/>
    <cellStyle name="Date 2 2" xfId="947" xr:uid="{BBAC3CE9-D8C6-4DCD-83E0-E869FA3D9104}"/>
    <cellStyle name="Date 2 2 2" xfId="5299" xr:uid="{94667081-B362-41FF-A16D-8FE22F865913}"/>
    <cellStyle name="Date 2 3" xfId="5300" xr:uid="{A4394024-4F36-41E3-9EAE-125BABAEFAD3}"/>
    <cellStyle name="Date 2 4" xfId="5301" xr:uid="{F93148E0-7FC1-411D-91C5-EA7AC1CA83CD}"/>
    <cellStyle name="Date 2 5" xfId="5302" xr:uid="{235C8638-C45A-4D42-B673-39D8116911E4}"/>
    <cellStyle name="Date 2 6" xfId="5303" xr:uid="{F154C387-691F-4783-8A98-A008499D2EB1}"/>
    <cellStyle name="Date 2 7" xfId="5304" xr:uid="{EA154D53-35C9-4FAE-A583-50F72E585FD5}"/>
    <cellStyle name="Date 2 8" xfId="5305" xr:uid="{F74D0905-9A1C-4009-B4E3-B43AD45A870E}"/>
    <cellStyle name="Date 2 9" xfId="5306" xr:uid="{D05A6B2C-E1DC-40D9-BE1D-399B4E813F57}"/>
    <cellStyle name="Date 2_d02" xfId="5307" xr:uid="{1FFE557B-4D79-4A54-A060-FE8552C8E7ED}"/>
    <cellStyle name="Date 3" xfId="948" xr:uid="{C1B53C3B-BB12-4F61-99D4-E49CFBDCD6F4}"/>
    <cellStyle name="Date 3 2" xfId="5309" xr:uid="{50EC1736-26DA-4BB7-B5C7-AA0A3C8E15CD}"/>
    <cellStyle name="Date 3 3" xfId="5310" xr:uid="{584FBE27-85AE-421A-86D2-6704854DBD31}"/>
    <cellStyle name="Date 3 4" xfId="5311" xr:uid="{28EBF808-9EFF-4888-89EE-5AD2C1F81346}"/>
    <cellStyle name="Date 3 5" xfId="5312" xr:uid="{E40CAC74-6DC6-4B42-BCE5-E02043867CE3}"/>
    <cellStyle name="Date 3 6" xfId="5313" xr:uid="{420A200E-E979-4D75-8796-B28174A10A91}"/>
    <cellStyle name="Date 3 7" xfId="5314" xr:uid="{BEDDF7E6-7AA9-42B9-BA29-679143D8F9A1}"/>
    <cellStyle name="Date 3 8" xfId="5315" xr:uid="{370C2D0D-268D-4F6D-96E4-5B3DED8C5553}"/>
    <cellStyle name="Date 3 9" xfId="5308" xr:uid="{5C9D7AC1-A9E5-4053-AF49-62E21B62FFC5}"/>
    <cellStyle name="Date 3_~2153298" xfId="5316" xr:uid="{79441F15-2BAC-4522-AB62-A70E046F01A1}"/>
    <cellStyle name="Date 4" xfId="949" xr:uid="{4A4C34C1-B516-4A9D-B471-020062064DD2}"/>
    <cellStyle name="Date 4 2" xfId="5317" xr:uid="{F7B1B389-DC83-4F65-B085-D3C544D97EA5}"/>
    <cellStyle name="Date 5" xfId="950" xr:uid="{AC413D49-88F4-45EA-B6D2-4C384CDAFEDB}"/>
    <cellStyle name="Date 5 2" xfId="5318" xr:uid="{7EAB5473-E2A9-413C-A70E-F4A7B72AD05D}"/>
    <cellStyle name="Date 6" xfId="5319" xr:uid="{0B130B89-3E67-4871-AD45-E8BDE847D1A2}"/>
    <cellStyle name="Date 7" xfId="5320" xr:uid="{DE858217-BB78-423F-A39E-6813A4526B22}"/>
    <cellStyle name="Date 7 2" xfId="5321" xr:uid="{2C19B4D6-E8EB-4FB1-B040-DBA0BE4F859D}"/>
    <cellStyle name="Date 8" xfId="5322" xr:uid="{982D2795-EF32-4C5F-A926-BA2415E1E171}"/>
    <cellStyle name="Date 9" xfId="5323" xr:uid="{4BB6FD37-05AE-4CC0-9E87-A0DD1F52EBE4}"/>
    <cellStyle name="Date Aligned" xfId="951" xr:uid="{8774B4F3-9D17-45B2-B082-EDB59DD77AB4}"/>
    <cellStyle name="Date Short" xfId="952" xr:uid="{F2F36985-0708-4B0F-9250-D4FDF24D7C62}"/>
    <cellStyle name="Date Short 2" xfId="953" xr:uid="{BCB2C4BC-DA76-4FCC-A1A2-E140B17DA6EB}"/>
    <cellStyle name="Date_1.Input" xfId="5324" xr:uid="{D0EBC47B-CA47-4F46-A7E4-1DB3B53D389E}"/>
    <cellStyle name="DateLocked" xfId="954" xr:uid="{82DA8E7E-8710-428C-A837-4FB2A6F141B5}"/>
    <cellStyle name="DATETIME" xfId="5325" xr:uid="{8C0D8FBE-E19E-4136-B7AF-BE87976E14D4}"/>
    <cellStyle name="Dd/mm/yy" xfId="5326" xr:uid="{1B1A9DC1-780B-4E95-B85E-1ACB335D6EE6}"/>
    <cellStyle name="Dd/mm/yy 2" xfId="5327" xr:uid="{9F3A9EC1-B450-4673-9F1E-1B5B9279315E}"/>
    <cellStyle name="Dd/mm/yy_~2153298" xfId="5328" xr:uid="{AF9F752C-DD19-4982-BB9E-CDD2F0271454}"/>
    <cellStyle name="Decimal 1" xfId="955" xr:uid="{781C3B08-6234-4FE8-AACF-E0A61D16E99D}"/>
    <cellStyle name="Decimal 2" xfId="956" xr:uid="{69C1C956-2D92-45D0-BE45-AD89C5FB2641}"/>
    <cellStyle name="Decimal 3" xfId="957" xr:uid="{70030EA0-F2C1-4A58-B8A8-7058CA8EEB31}"/>
    <cellStyle name="Default" xfId="5329" xr:uid="{4395C3B8-28DE-45CB-96B5-6B0CB9139F17}"/>
    <cellStyle name="Dezimal [0]_48 Seitz v. oebel korrektur KWI" xfId="958" xr:uid="{86A8A0CD-BBBF-49E6-952E-64E309C953C7}"/>
    <cellStyle name="Dezimal_48 Seitz v. oebel korrektur KWI" xfId="959" xr:uid="{58493D60-153F-4992-A111-EAE7D70C261F}"/>
    <cellStyle name="Discount" xfId="960" xr:uid="{E83B7058-C997-4AF1-8729-186488C62619}"/>
    <cellStyle name="Discount 2" xfId="961" xr:uid="{3AA15F00-FBEE-4F87-BE4F-B41A17F0B644}"/>
    <cellStyle name="Discount 3" xfId="962" xr:uid="{6F75E39B-D760-4E7B-AB49-B47A4AD7A653}"/>
    <cellStyle name="Discount 4" xfId="5330" xr:uid="{D3ABE402-B4F0-4F34-9232-0B70FE880189}"/>
    <cellStyle name="Discount_~2153298" xfId="5331" xr:uid="{90FBFC6F-2689-43E5-8363-414BC72F9C68}"/>
    <cellStyle name="Dotted Line" xfId="963" xr:uid="{656BD2E8-D287-47B7-BFFA-F5CD00D7B968}"/>
    <cellStyle name="DP9_Averageamounts" xfId="5332" xr:uid="{359D8548-7456-4067-82C5-6C758CC4A567}"/>
    <cellStyle name="Enter Currency (0)" xfId="964" xr:uid="{99A97E43-9A62-4473-97B3-4DBFFB91A164}"/>
    <cellStyle name="Enter Currency (0) 2" xfId="5333" xr:uid="{DCE23BB0-A445-4FB5-9697-AD0CCA7FE68D}"/>
    <cellStyle name="Enter Currency (2)" xfId="965" xr:uid="{D61AC48E-FFC0-4FAE-8278-02A646F485D5}"/>
    <cellStyle name="Enter Currency (2) 2" xfId="5334" xr:uid="{ABECE21D-4B81-46B9-9EAB-363F9649D4D3}"/>
    <cellStyle name="Enter Units (0)" xfId="966" xr:uid="{FC21B765-7279-45BC-AD4D-DBC3B9140377}"/>
    <cellStyle name="Enter Units (0) 2" xfId="5335" xr:uid="{E3294995-E0D0-48DC-9AC0-9903B6190E18}"/>
    <cellStyle name="Enter Units (1)" xfId="967" xr:uid="{18DC58F7-A496-4E13-ACF4-3003CB1426C2}"/>
    <cellStyle name="Enter Units (1) 2" xfId="5336" xr:uid="{4076D6CB-97A4-4E63-BE56-7E175ABC17AE}"/>
    <cellStyle name="Enter Units (2)" xfId="968" xr:uid="{57EC2C92-2813-424B-A2FA-4090958E6954}"/>
    <cellStyle name="Enter Units (2) 2" xfId="5337" xr:uid="{96C52F08-4848-4035-86B0-B6934FE521F8}"/>
    <cellStyle name="Error_checks" xfId="5338" xr:uid="{6B2C035D-B8D1-405B-93AA-CD727D7D6DFA}"/>
    <cellStyle name="Euro" xfId="969" xr:uid="{09FC0FFA-7C64-4EEF-9A5C-FFA06B0604D5}"/>
    <cellStyle name="Euro 2" xfId="970" xr:uid="{85DAE324-481C-4708-83EE-D43C4E16B1EB}"/>
    <cellStyle name="Euro 2 2" xfId="971" xr:uid="{07776E81-CBFE-4548-A8A8-522663E33DDD}"/>
    <cellStyle name="Euro 3" xfId="972" xr:uid="{637AEF31-F739-4916-866F-FFE08702F347}"/>
    <cellStyle name="Euro 3 2" xfId="5340" xr:uid="{FE503F38-C86F-43CF-8B3D-140A6753D8AD}"/>
    <cellStyle name="Euro 3 3" xfId="5339" xr:uid="{59823282-8155-421E-8D2C-66603CE5A4C1}"/>
    <cellStyle name="Euro 4" xfId="5341" xr:uid="{F0443551-7377-4434-8617-86CE73D73702}"/>
    <cellStyle name="Euro 5" xfId="5342" xr:uid="{D20671D4-3445-4DFF-9ACE-54424BDFF92C}"/>
    <cellStyle name="Euro 6" xfId="5343" xr:uid="{491C592D-3DC0-4E79-ADE1-DFA144F416BE}"/>
    <cellStyle name="Euro 7" xfId="5344" xr:uid="{C6D740EA-607B-43EB-BD61-3B0D2AE2FBD0}"/>
    <cellStyle name="Euro 7 2" xfId="5345" xr:uid="{80DB2A38-A19A-49EF-B16B-F482106B23D1}"/>
    <cellStyle name="Euro 8" xfId="5346" xr:uid="{B79EAD69-DFD1-4C16-A803-2EF4F1254E9D}"/>
    <cellStyle name="Euro_Check Totals" xfId="5347" xr:uid="{0C5A4B8F-E54E-4849-BB4A-F3CD8149E4F1}"/>
    <cellStyle name="EvenBodyShade" xfId="5348" xr:uid="{0C11DEA0-13C2-4B4D-BD2B-840C6422904A}"/>
    <cellStyle name="EvenBodyShade 2" xfId="5349" xr:uid="{950CAFF7-302F-4E84-837D-A53BCCC3EDE2}"/>
    <cellStyle name="Explanatory Text" xfId="22" builtinId="53" customBuiltin="1"/>
    <cellStyle name="Explanatory Text 2" xfId="973" xr:uid="{B63DCC4B-634D-4AA5-8DDA-6F81554D13ED}"/>
    <cellStyle name="Explanatory Text 2 2" xfId="974" xr:uid="{0B2A9A6B-4B6A-44F8-AAC3-1C78D34E70F9}"/>
    <cellStyle name="Explanatory Text 2 2 2" xfId="975" xr:uid="{04C37DEE-82EE-4E7F-A869-B27342913533}"/>
    <cellStyle name="Explanatory Text 2 3" xfId="976" xr:uid="{22183F18-B4B0-45D7-ADA8-36D0898A6B09}"/>
    <cellStyle name="Explanatory Text 2 4" xfId="977" xr:uid="{B14D66F7-7CBC-40D4-A1C5-6B02038C65DE}"/>
    <cellStyle name="Explanatory Text 2 5" xfId="978" xr:uid="{A7B46C57-2C30-4038-AF43-2AA43201E343}"/>
    <cellStyle name="Explanatory Text 3" xfId="979" xr:uid="{7BC4C596-E30C-429F-A0FF-2A52EDFF6374}"/>
    <cellStyle name="Explanatory Text 3 2" xfId="980" xr:uid="{F0090E68-2BA5-425C-9826-082DEF3B8CF6}"/>
    <cellStyle name="F1" xfId="5350" xr:uid="{505B23E6-ED3A-471F-9D7B-7A797DE55D58}"/>
    <cellStyle name="FAS Input Currency" xfId="981" xr:uid="{0C21C1D5-F8CD-4295-B589-716BEB99FE9A}"/>
    <cellStyle name="FAS Input Currency 2" xfId="5351" xr:uid="{84B8B2B0-EAAB-4CCF-AB08-7DE3417179FA}"/>
    <cellStyle name="FAS Input Currency 2 2" xfId="5352" xr:uid="{89617E20-D137-4A50-BB5B-2BBB14A63148}"/>
    <cellStyle name="FAS Input Currency 3" xfId="5353" xr:uid="{3D4CEFF9-53E3-496E-85BE-FEB24CFDC586}"/>
    <cellStyle name="FAS Input Currency 4" xfId="5354" xr:uid="{E72BCD45-1E98-4E42-A899-1C167FCD653C}"/>
    <cellStyle name="FAS Input Currency_Check Totals" xfId="5355" xr:uid="{B4FA42F8-F184-420A-9CB6-B517F8EC3476}"/>
    <cellStyle name="FAS Input Date" xfId="982" xr:uid="{3AE54595-989F-47DD-8A9F-4E7E59DE1307}"/>
    <cellStyle name="FAS Input Date 2" xfId="5356" xr:uid="{D3B71EAE-7346-46FB-A9A4-DD854AC93410}"/>
    <cellStyle name="FAS Input Date 2 2" xfId="5357" xr:uid="{3CF28AE0-29B0-4E46-A980-A1259E7B57CC}"/>
    <cellStyle name="FAS Input Date 3" xfId="5358" xr:uid="{FB6D23C7-7CD2-4B27-B904-5852901291F4}"/>
    <cellStyle name="FAS Input Date 4" xfId="5359" xr:uid="{D846BE94-DAA9-44F9-8E69-7C3B769199C7}"/>
    <cellStyle name="FAS Input Date_Check Totals" xfId="5360" xr:uid="{43FB8F5D-63C1-487E-90FF-0DB81A065C02}"/>
    <cellStyle name="FAS Input Multiple" xfId="983" xr:uid="{DD149850-01EB-4049-A175-08688316AB35}"/>
    <cellStyle name="FAS Input Multiple 2" xfId="5361" xr:uid="{2D4D26CF-0BB2-4131-91D6-2FB36A25872E}"/>
    <cellStyle name="FAS Input Multiple 2 2" xfId="5362" xr:uid="{D8E54EC8-72F2-4A65-A647-11B8A15DD1FF}"/>
    <cellStyle name="FAS Input Multiple 3" xfId="5363" xr:uid="{97320CA5-0AFB-4031-AFAC-22E849405DF0}"/>
    <cellStyle name="FAS Input Multiple 4" xfId="5364" xr:uid="{05DC0629-713D-479A-9544-DB66E8008D2E}"/>
    <cellStyle name="FAS Input Multiple_Check Totals" xfId="5365" xr:uid="{46AB345E-9A2F-41B9-AF4F-50AB499E4935}"/>
    <cellStyle name="FAS Input Number" xfId="984" xr:uid="{C2944782-1A68-43B7-84E1-98730DF394BE}"/>
    <cellStyle name="FAS Input Number 2" xfId="5366" xr:uid="{814FE6DB-A438-43E8-9445-59DEEE167BD9}"/>
    <cellStyle name="FAS Input Number 2 2" xfId="5367" xr:uid="{B702E872-7675-4B5B-873F-32B6CDA35030}"/>
    <cellStyle name="FAS Input Number 3" xfId="5368" xr:uid="{336E4005-C749-4A1B-888A-5A5FA68968FA}"/>
    <cellStyle name="FAS Input Number 4" xfId="5369" xr:uid="{7E3995B4-F251-4F66-BF9D-38699A592932}"/>
    <cellStyle name="FAS Input Number_Check Totals" xfId="5370" xr:uid="{D5BA8F69-B6AA-4C90-8359-5D2FF9A5307D}"/>
    <cellStyle name="FAS Input Percentage" xfId="985" xr:uid="{5AF917D6-974C-46E5-86C1-8DE38D756425}"/>
    <cellStyle name="FAS Input Percentage 2" xfId="5371" xr:uid="{F9409DD9-7847-4FDA-9488-F4B1DAC459A0}"/>
    <cellStyle name="FAS Input Percentage 2 2" xfId="5372" xr:uid="{DE94971D-59A5-4449-889D-77418B24314C}"/>
    <cellStyle name="FAS Input Percentage 3" xfId="5373" xr:uid="{1A595CC8-3607-474D-A013-717ECD5B1996}"/>
    <cellStyle name="FAS Input Percentage 4" xfId="5374" xr:uid="{89919B09-9276-46C6-9B39-9AD25BCABA45}"/>
    <cellStyle name="FAS Input Percentage_Check Totals" xfId="5375" xr:uid="{DF06CE68-DE12-4704-AE39-C9609060FEE5}"/>
    <cellStyle name="FAS Input Title / Name" xfId="986" xr:uid="{D1ADAAF1-898E-4525-8CD3-30FC5749587E}"/>
    <cellStyle name="FAS Input Title / Name 2" xfId="5376" xr:uid="{F654420C-9DCD-4A64-A9FB-A461DBB93CFA}"/>
    <cellStyle name="FAS Input Title / Name 2 2" xfId="5377" xr:uid="{DEAB0A75-5992-4218-9DFB-DF13466AED44}"/>
    <cellStyle name="FAS Input Title / Name 3" xfId="5378" xr:uid="{262EADB4-4C05-4292-B526-6CFCCA0051A3}"/>
    <cellStyle name="FAS Input Title / Name 4" xfId="5379" xr:uid="{872598A2-0278-44F2-A4D1-4D43B1FC5E66}"/>
    <cellStyle name="FAS Input Title / Name_Check Totals" xfId="5380" xr:uid="{74E31B65-AEA9-406E-9463-6BB37BFD02D7}"/>
    <cellStyle name="FAS Input Year" xfId="987" xr:uid="{734F51D2-2888-4A53-99B6-92B33CB28063}"/>
    <cellStyle name="FAS Input Year 2" xfId="5381" xr:uid="{3632DA56-9845-45FA-8F3F-213F91A7C07D}"/>
    <cellStyle name="FAS Input Year 2 2" xfId="5382" xr:uid="{0873D46B-44AE-4B82-B99F-7CCA420AF277}"/>
    <cellStyle name="FAS Input Year 3" xfId="5383" xr:uid="{737CB1BB-7CA2-4FC2-B481-D0A6E9397965}"/>
    <cellStyle name="FAS Input Year 4" xfId="5384" xr:uid="{A59A5AE3-A6D5-44FE-9DB2-993F2FBDA591}"/>
    <cellStyle name="FAS Input Year_Check Totals" xfId="5385" xr:uid="{B451AF1D-7CCD-4BB5-AA7F-4930ABB541E7}"/>
    <cellStyle name="FASI Currency" xfId="988" xr:uid="{F9EBED0B-0324-4607-B294-28E8CC289977}"/>
    <cellStyle name="FASI Date" xfId="989" xr:uid="{74D58D2D-514E-4B7E-984E-BEAE9139CACC}"/>
    <cellStyle name="FASI Heading 1" xfId="990" xr:uid="{8BE1BF1A-C167-4565-83E8-1D144AB17226}"/>
    <cellStyle name="FASI Heading 2" xfId="991" xr:uid="{F0485E0E-F2E1-4572-ADB9-D2037041C714}"/>
    <cellStyle name="FASI Heading 3" xfId="992" xr:uid="{FE1FAE06-33CC-431A-9D06-09F173B9BCCE}"/>
    <cellStyle name="FASI Heading 4" xfId="993" xr:uid="{8926B478-9846-4AD6-B796-E11C566A1A1F}"/>
    <cellStyle name="FASI Multiple" xfId="994" xr:uid="{71085D27-C7C2-4A79-A8C6-941ACDED5DC6}"/>
    <cellStyle name="FASI Number" xfId="995" xr:uid="{355E9745-5B8E-42D5-AA04-6E60FC693527}"/>
    <cellStyle name="FASI Percentage" xfId="996" xr:uid="{ED93D9A5-0D7D-4786-A9B6-E414E319C18E}"/>
    <cellStyle name="FASI Sheet Title" xfId="997" xr:uid="{D7B2A80F-CD0D-4875-BA30-35918B327047}"/>
    <cellStyle name="FASI Title / Name" xfId="998" xr:uid="{990A36F3-7539-4DE1-96C9-27BED1A99DE5}"/>
    <cellStyle name="FASO Company Name" xfId="999" xr:uid="{EB408DAB-06EE-478A-8061-269C4FADE413}"/>
    <cellStyle name="FASO Currency" xfId="1000" xr:uid="{736771DF-5C8E-4181-9CBD-055BC96C1322}"/>
    <cellStyle name="FASO Date" xfId="1001" xr:uid="{A8AAA1EE-E897-43D7-BFB2-71EEC077AC2C}"/>
    <cellStyle name="FASO Heading 1" xfId="1002" xr:uid="{522EB910-045D-4AEC-AD6B-63DE4C047C84}"/>
    <cellStyle name="FASO Heading 2" xfId="1003" xr:uid="{0B9EC5C4-0099-4BA6-95FD-D67572B4D418}"/>
    <cellStyle name="FASO Heading 3" xfId="1004" xr:uid="{DF8439A1-2179-42A3-97D8-08293A3166AD}"/>
    <cellStyle name="FASO Heading 4" xfId="1005" xr:uid="{E368434D-9862-40C8-87B0-062174BAB52B}"/>
    <cellStyle name="FASO Link Cell" xfId="1006" xr:uid="{C4AC7A5F-9178-495F-A369-466AA49B5938}"/>
    <cellStyle name="FASO Multiple" xfId="1007" xr:uid="{79878625-E252-477B-AC55-F9C5CB86BBC7}"/>
    <cellStyle name="FASO Number" xfId="1008" xr:uid="{9CFF76BC-6BD3-4D56-B8B5-42601C782FAA}"/>
    <cellStyle name="FASO Percentage" xfId="1009" xr:uid="{1522EABB-281C-426B-9FE7-436DE822E47F}"/>
    <cellStyle name="FASO Title / Name" xfId="1010" xr:uid="{2AD69D17-3813-407F-B537-36B405208BF2}"/>
    <cellStyle name="FASO Year" xfId="1011" xr:uid="{5BE882AD-BD2C-4F0E-AF7D-B57F6F427EB5}"/>
    <cellStyle name="Figures" xfId="1012" xr:uid="{FAE9EDA7-9A2C-4CB4-AA7B-12804C90E1DC}"/>
    <cellStyle name="Fixed" xfId="5386" xr:uid="{251FE1A5-7C72-488E-A265-8DE150E89F70}"/>
    <cellStyle name="Footnote" xfId="1013" xr:uid="{82E35BC6-23B5-4F8F-91FC-AF892CA43B03}"/>
    <cellStyle name="Forecast Currency" xfId="1014" xr:uid="{40832BAA-A75C-470D-8F14-8C087B14561B}"/>
    <cellStyle name="Forecast Currency 2" xfId="5387" xr:uid="{E876D1BC-80C6-4E46-8D15-B25DD45DAF19}"/>
    <cellStyle name="Forecast Currency 2 2" xfId="5388" xr:uid="{F4DBF94B-CABC-487F-B5D0-AE9F3F5FBCE7}"/>
    <cellStyle name="Forecast Currency 3" xfId="5389" xr:uid="{18D95B83-178C-4E82-9747-26F19FF0C76A}"/>
    <cellStyle name="Forecast Currency 4" xfId="5390" xr:uid="{FB066549-62BD-4C9D-BB96-4CA9424A3E2C}"/>
    <cellStyle name="Forecast Currency_Check Totals" xfId="5391" xr:uid="{5536E979-BB71-4EFD-8779-C004FC30B8F9}"/>
    <cellStyle name="Forecast Date" xfId="1015" xr:uid="{A6230BB5-4E21-4E51-93D5-80EECAFE06B6}"/>
    <cellStyle name="Forecast Date 2" xfId="5392" xr:uid="{8B77B07A-1776-43EA-A363-236145628117}"/>
    <cellStyle name="Forecast Date 2 2" xfId="5393" xr:uid="{E62A5183-8433-46C5-B646-589981B2AE17}"/>
    <cellStyle name="Forecast Date 3" xfId="5394" xr:uid="{56067338-B2FB-45CB-8AD6-5D432D017F5A}"/>
    <cellStyle name="Forecast Date 4" xfId="5395" xr:uid="{4C936741-28B2-4935-B539-71E029D40F40}"/>
    <cellStyle name="Forecast Date_Check Totals" xfId="5396" xr:uid="{82CD19C7-B96A-4616-8FB9-76C6D71055DE}"/>
    <cellStyle name="Forecast Multiple" xfId="1016" xr:uid="{1EABAB9F-1604-437C-8065-7E48EB35A49A}"/>
    <cellStyle name="Forecast Multiple 2" xfId="5397" xr:uid="{5C50CE3A-1EE7-4DD5-9E00-A47742915659}"/>
    <cellStyle name="Forecast Multiple 2 2" xfId="5398" xr:uid="{FC9DBC90-A3DE-4D4C-9065-340C561B8EA8}"/>
    <cellStyle name="Forecast Multiple 3" xfId="5399" xr:uid="{E8F6246D-84BB-4B42-8D12-D42C1982D87B}"/>
    <cellStyle name="Forecast Multiple 4" xfId="5400" xr:uid="{DC50C5E2-A5D4-4029-915A-E93377188F92}"/>
    <cellStyle name="Forecast Multiple_Check Totals" xfId="5401" xr:uid="{2AFD0D33-E618-42F7-B39A-9D8CE17DE7D3}"/>
    <cellStyle name="Forecast Number" xfId="1017" xr:uid="{B0777683-40D1-4056-A9AD-3C63A6D88655}"/>
    <cellStyle name="Forecast Number 2" xfId="5402" xr:uid="{E5F4F21E-3EB9-426D-90D8-273813C5C045}"/>
    <cellStyle name="Forecast Number 2 2" xfId="5403" xr:uid="{2DEFBCD3-908B-4243-A4E0-BD303E4F2591}"/>
    <cellStyle name="Forecast Number 3" xfId="5404" xr:uid="{812E09BF-F6B2-4846-AE42-7B8F6E04AD0F}"/>
    <cellStyle name="Forecast Number 4" xfId="5405" xr:uid="{83C1FC9A-4CCE-42EC-AA8D-1155B37BCDE3}"/>
    <cellStyle name="Forecast Number_Check Totals" xfId="5406" xr:uid="{82422C2D-D04C-4FB6-9317-AC4E4D73942F}"/>
    <cellStyle name="Forecast Percentage" xfId="1018" xr:uid="{2590DB43-6C33-4524-8E9C-3851D1B1FF71}"/>
    <cellStyle name="Forecast Percentage 2" xfId="5407" xr:uid="{86FDA148-E121-464B-9744-972E57E51FE2}"/>
    <cellStyle name="Forecast Percentage 2 2" xfId="5408" xr:uid="{A75E6B97-FF7C-49BA-BF52-B97E535541F0}"/>
    <cellStyle name="Forecast Percentage 3" xfId="5409" xr:uid="{27243D8E-B5BE-49A6-908D-2A97593D9732}"/>
    <cellStyle name="Forecast Percentage 4" xfId="5410" xr:uid="{29BEE1E4-9141-4C43-906B-E0B339853663}"/>
    <cellStyle name="Forecast Percentage_Check Totals" xfId="5411" xr:uid="{3ECC09F8-908B-4850-8035-6626768FA762}"/>
    <cellStyle name="Forecast Period Title" xfId="1019" xr:uid="{BBCA194B-F3F8-4FC6-AD9C-4484C9EA00EB}"/>
    <cellStyle name="Forecast Period Title 2" xfId="5412" xr:uid="{E85771D1-CCF8-4946-8989-02ED427BD6D1}"/>
    <cellStyle name="Forecast Period Title 2 2" xfId="5413" xr:uid="{6B761E1F-F3C6-42CA-9C01-6319F986E7D0}"/>
    <cellStyle name="Forecast Period Title 3" xfId="5414" xr:uid="{F3BC23DC-321A-4422-ADC2-608369D21DB6}"/>
    <cellStyle name="Forecast Period Title 4" xfId="5415" xr:uid="{A230333E-171A-425F-AB4F-63A43C5CE4D9}"/>
    <cellStyle name="Forecast Period Title_Check Totals" xfId="5416" xr:uid="{3A6FDCCC-EA86-4951-9937-245A6F65707F}"/>
    <cellStyle name="Forecast Year" xfId="1020" xr:uid="{01522D6F-6981-4244-95C6-81DD69AEA2BC}"/>
    <cellStyle name="Forecast Year 2" xfId="5417" xr:uid="{8FEBAD1C-05A7-4B9D-883A-2A9AE7772621}"/>
    <cellStyle name="Forecast Year 2 2" xfId="5418" xr:uid="{0716506F-15CE-43A9-9E1C-912272837EC1}"/>
    <cellStyle name="Forecast Year 3" xfId="5419" xr:uid="{5C4ECBDB-9FD5-46BA-863A-650918B8B552}"/>
    <cellStyle name="Forecast Year 4" xfId="5420" xr:uid="{53BC4F8D-53BB-4F56-BAC6-F7D194ECD0ED}"/>
    <cellStyle name="Forecast Year_Check Totals" xfId="5421" xr:uid="{89F0BCDE-55D5-4E7B-BB0C-26BBF0D248AB}"/>
    <cellStyle name="Format" xfId="5422" xr:uid="{B92B155C-C9C8-4EC4-8FE2-F73DBC59A64A}"/>
    <cellStyle name="FormInput" xfId="5423" xr:uid="{825E35F8-8814-4D2D-895C-30785511407C}"/>
    <cellStyle name="FormLGDPercent" xfId="5424" xr:uid="{0B5C3A4D-5584-464E-B070-1E9F147A6C29}"/>
    <cellStyle name="FormPercent" xfId="5425" xr:uid="{958D2D15-C690-4751-96CC-D0EC3A74086B}"/>
    <cellStyle name="Formula_data" xfId="5426" xr:uid="{2A85A2D9-6D4F-48A7-AB42-A8B54DECC9F4}"/>
    <cellStyle name="FormValues" xfId="5427" xr:uid="{59D68A56-3C79-403E-9150-90272996135A}"/>
    <cellStyle name="FSI Commencement Date" xfId="1021" xr:uid="{817BF176-25DB-4269-816E-F6DA3D9AC1A4}"/>
    <cellStyle name="FSI Currency" xfId="1022" xr:uid="{BACA2320-E69C-4485-9414-1ED3384E6E89}"/>
    <cellStyle name="FSI Heading 1" xfId="1023" xr:uid="{4818488F-8AF4-48FE-88C2-0EF244A28B4B}"/>
    <cellStyle name="FSI Heading 2" xfId="1024" xr:uid="{4E11F6AC-2189-46C5-A860-55A56FDDC7FB}"/>
    <cellStyle name="FSI Heading 3" xfId="1025" xr:uid="{E76CDC40-F783-416F-935A-51450115027C}"/>
    <cellStyle name="FSI Heading 4" xfId="1026" xr:uid="{4615B06B-476C-47AD-AA30-91D7C7292E03}"/>
    <cellStyle name="FSI Multiple" xfId="1027" xr:uid="{0B5015B8-3D5A-4882-93A4-A09D5AED9B20}"/>
    <cellStyle name="FSI Number" xfId="1028" xr:uid="{C4F73DEF-5BC3-4F72-B1AF-E473F40D72EB}"/>
    <cellStyle name="FSI Percentage" xfId="1029" xr:uid="{220A8BA1-88C3-4E36-BEB3-B40E2C0FE87D}"/>
    <cellStyle name="FSI Sheet Title" xfId="1030" xr:uid="{92237E1F-5496-40DA-97F5-A47A556BF2D0}"/>
    <cellStyle name="FSO Company Name" xfId="1031" xr:uid="{80B7F03D-0805-4F74-8E72-11F91AA86CA1}"/>
    <cellStyle name="FSO Currency" xfId="1032" xr:uid="{EF6CE290-6824-4FE9-8345-922C5FE9EC00}"/>
    <cellStyle name="FSO Date" xfId="1033" xr:uid="{23BE4EC5-2930-4835-A7D6-44D8A16B9B2A}"/>
    <cellStyle name="FSO Heading 1" xfId="1034" xr:uid="{F037908E-764B-4F3F-BAAB-1851E48FE0A7}"/>
    <cellStyle name="FSO Heading 2" xfId="1035" xr:uid="{6CE540C8-B3EC-4B31-9B43-CF6DBB913A5C}"/>
    <cellStyle name="FSO Heading 3" xfId="1036" xr:uid="{A03648EC-B31B-4578-9A50-942D0276B94C}"/>
    <cellStyle name="FSO Heading 4" xfId="1037" xr:uid="{2B947E0C-ECC2-4D84-B3D6-DA35DFDAC13A}"/>
    <cellStyle name="FSO Multiple" xfId="1038" xr:uid="{AC0737F8-E86B-4E50-BC3D-5935F14670A0}"/>
    <cellStyle name="FSO Number" xfId="1039" xr:uid="{6C6B4EA3-CE3F-4620-95B4-EFBF84F30949}"/>
    <cellStyle name="FSO Percentage" xfId="1040" xr:uid="{24B51A0D-9A7A-49AA-B694-7577BEA76D99}"/>
    <cellStyle name="FSO Period Title" xfId="1041" xr:uid="{5F60B405-1C5C-4DC1-96AA-A9312D727F31}"/>
    <cellStyle name="FSO Year" xfId="1042" xr:uid="{E6556800-24C7-4D17-9B7B-DE31D574FCA7}"/>
    <cellStyle name="FSOA Currency" xfId="1043" xr:uid="{ED78F08E-E46B-4AE1-8DDE-16C697E15F8D}"/>
    <cellStyle name="FSOA Date" xfId="1044" xr:uid="{9F04CA85-8740-4194-B08E-2B259F103107}"/>
    <cellStyle name="FSOA Multiple" xfId="1045" xr:uid="{F9C0E27D-E469-45B0-AB61-0B083B8435AA}"/>
    <cellStyle name="FSOA Number" xfId="1046" xr:uid="{855D4DF1-82A1-4AB4-B117-18D0D59F22CE}"/>
    <cellStyle name="FSOA Percentage" xfId="1047" xr:uid="{9880C0CA-F3D6-4DDE-9871-F7C28C6DB32D}"/>
    <cellStyle name="FSOA Title / Name" xfId="1048" xr:uid="{7E764621-0D5A-4A45-AEA9-A81F05ACBE8B}"/>
    <cellStyle name="FX Rate" xfId="1049" xr:uid="{C58FF82E-645F-448A-B55B-35DBF6AD4C86}"/>
    <cellStyle name="FX Rate 2" xfId="1050" xr:uid="{C395A577-BEB1-4781-8025-E4A3B1AAA8D4}"/>
    <cellStyle name="FX Rate 3" xfId="1051" xr:uid="{EECC1CF3-53CC-4DB5-889D-1C9E8011665A}"/>
    <cellStyle name="FX Rate 4" xfId="5428" xr:uid="{37FEA44F-7444-47D6-8244-A2EBB7520385}"/>
    <cellStyle name="FX Rate_~2153298" xfId="5429" xr:uid="{0C6351FC-2114-4D39-B471-D244C149588B}"/>
    <cellStyle name="Fyrirsögn" xfId="5430" xr:uid="{D9881498-432D-49B8-B00A-F4D5F726486B}"/>
    <cellStyle name="Gap" xfId="1052" xr:uid="{66464A44-F73F-492C-A1D6-2E295DA2152A}"/>
    <cellStyle name="Gap 2" xfId="1053" xr:uid="{C1B145AD-3D65-4F32-B460-A2FAAD28C9FA}"/>
    <cellStyle name="Gap 3" xfId="5431" xr:uid="{70B8B813-739A-4739-9C97-9EEC7516CA53}"/>
    <cellStyle name="Gap 3 2" xfId="5432" xr:uid="{44BB66CB-56E1-45B4-98AC-3FBB63F49656}"/>
    <cellStyle name="Gap 4" xfId="5433" xr:uid="{D8EA0DDB-AE70-4AEB-A32C-43970C704915}"/>
    <cellStyle name="Gap 5" xfId="5434" xr:uid="{9941F0BC-653D-4F45-B677-DFD02262298D}"/>
    <cellStyle name="Gap_~2153298" xfId="5435" xr:uid="{26B3D297-8C7B-429F-AFF8-E2C7AA03D520}"/>
    <cellStyle name="globaldir" xfId="1054" xr:uid="{5E379BFF-73A1-428C-9129-FA890219371D}"/>
    <cellStyle name="Good" xfId="7" builtinId="26" customBuiltin="1"/>
    <cellStyle name="Good 2" xfId="1055" xr:uid="{2B8CBF08-F9C2-4C54-9C50-2C5AC99F5CA2}"/>
    <cellStyle name="Good 2 2" xfId="1056" xr:uid="{39C5C723-8802-4613-8966-57898B1AEF44}"/>
    <cellStyle name="Good 2 2 2" xfId="1057" xr:uid="{E83881AD-0BD3-45C8-A963-A11818552F7E}"/>
    <cellStyle name="Good 2 3" xfId="1058" xr:uid="{DDA6C0A3-E51D-4CB5-B923-D24BA0FE02BD}"/>
    <cellStyle name="Good 2 4" xfId="1059" xr:uid="{0FD5DC64-36D5-4E77-8BBB-B1C675AF577B}"/>
    <cellStyle name="Good 2 5" xfId="1060" xr:uid="{3931ED0E-EB50-4EF9-8B42-1E025D8A9933}"/>
    <cellStyle name="Good 3" xfId="1061" xr:uid="{06FAF8D3-489A-42C4-8131-EEBAB5BA6D8D}"/>
    <cellStyle name="Good 3 2" xfId="1062" xr:uid="{839A48B2-CC70-4220-8E05-9EB529654942}"/>
    <cellStyle name="GrandTotal" xfId="5436" xr:uid="{D7B1B9CA-1B5D-4FA7-9672-0B9C71E8BA30}"/>
    <cellStyle name="grey" xfId="1063" xr:uid="{80FCFE4D-4BEC-4B21-B22E-4653424CE18C}"/>
    <cellStyle name="grey 2" xfId="1064" xr:uid="{EF37D9CA-1843-4895-82E3-B57D8A4C8C41}"/>
    <cellStyle name="grey 2 2" xfId="5437" xr:uid="{AC37330F-36EB-4A4D-A58E-99C2AE3BCD64}"/>
    <cellStyle name="grey 2 3" xfId="3586" xr:uid="{344F8579-DE01-42CA-91CA-89A1A55AD913}"/>
    <cellStyle name="grey 3" xfId="1065" xr:uid="{4D208489-A547-4121-A4D9-2B5D88461610}"/>
    <cellStyle name="grey 4" xfId="5438" xr:uid="{FE809BAB-BE90-4E93-A9E0-7A030EB5516A}"/>
    <cellStyle name="grey 5" xfId="5439" xr:uid="{4AEC7266-D298-449F-BC66-918ADB950424}"/>
    <cellStyle name="grey_~2153298" xfId="5440" xr:uid="{35CFE432-51C2-44CF-BB39-52EC99EE75DB}"/>
    <cellStyle name="greyed" xfId="5441" xr:uid="{BFE972B6-4841-4B38-9475-0B92DA39DFF8}"/>
    <cellStyle name="Hard Percent" xfId="1066" xr:uid="{005B8E3E-95F7-4777-A570-B39E5F242B38}"/>
    <cellStyle name="Head1" xfId="5442" xr:uid="{33945504-9A95-4495-9AD4-7587E89F5FF4}"/>
    <cellStyle name="head11a" xfId="1067" xr:uid="{A75D5B3A-AE4F-434B-9A80-FBB799330EB9}"/>
    <cellStyle name="head11a 2" xfId="5443" xr:uid="{9E6FDAF6-C791-43DD-A43B-ACC59C151207}"/>
    <cellStyle name="head11b" xfId="1068" xr:uid="{21BED1D5-ED66-443E-A2CF-5149E62A22E9}"/>
    <cellStyle name="head11c" xfId="1069" xr:uid="{6A7874D0-ACC5-4AFD-A076-0C0FC88A3B91}"/>
    <cellStyle name="head14" xfId="1070" xr:uid="{9E9F4984-40C0-4399-A17E-88D157C93BF5}"/>
    <cellStyle name="Head2" xfId="5444" xr:uid="{572DF48E-3DE3-4A39-ADA1-3A1A544DBDFA}"/>
    <cellStyle name="Head3" xfId="5445" xr:uid="{0F6464AA-9688-4A18-B49B-7E0679C68DFB}"/>
    <cellStyle name="Head4" xfId="5446" xr:uid="{A3742938-3D39-489A-8A05-5CA262929BF4}"/>
    <cellStyle name="Head5" xfId="5447" xr:uid="{2082A1A6-BA6F-4C90-AA89-3BEBEFEECEA3}"/>
    <cellStyle name="Head6" xfId="5448" xr:uid="{73C481D4-4E77-4D5D-8CA4-B8B64512CFCA}"/>
    <cellStyle name="Head7" xfId="5449" xr:uid="{84F0DA9E-F8D2-4A6A-913A-50EEABA9C2FC}"/>
    <cellStyle name="Head8" xfId="5450" xr:uid="{F78FADC6-DC8D-48AA-99B1-0ED1A0DEA20E}"/>
    <cellStyle name="Head9" xfId="5451" xr:uid="{010347A2-17FD-4B53-9E8E-8418B800F831}"/>
    <cellStyle name="headd" xfId="1071" xr:uid="{F5B0BCAF-4385-40AA-8C87-F42823729F4C}"/>
    <cellStyle name="Header" xfId="1072" xr:uid="{FFB85EBF-CE05-4C05-948B-7B9DE02880CC}"/>
    <cellStyle name="Header1" xfId="1073" xr:uid="{A95D0E30-5A79-42EC-83D3-D1278FA5DAA4}"/>
    <cellStyle name="Header1 2" xfId="1074" xr:uid="{8A608189-2C91-4A4C-B099-DCFCB4BD8A77}"/>
    <cellStyle name="Header2" xfId="1075" xr:uid="{C8AC0390-22DF-4782-A380-87B6A7C30455}"/>
    <cellStyle name="Header2 2" xfId="1076" xr:uid="{3D4CDCD9-11BE-405C-AE47-C2C4A8792543}"/>
    <cellStyle name="Header3" xfId="1077" xr:uid="{650315A5-E522-4726-9863-11B7BDE07167}"/>
    <cellStyle name="Headin - Style3" xfId="5452" xr:uid="{AA049F6E-8628-48B8-9AA3-12060CFE29EE}"/>
    <cellStyle name="heading" xfId="1078" xr:uid="{FE6A41F3-38B6-49BA-8591-E5310597F1C6}"/>
    <cellStyle name="Heading 1" xfId="12" builtinId="16" customBuiltin="1"/>
    <cellStyle name="Heading 1 2" xfId="1079" xr:uid="{491FD5F7-2E95-4D35-80B2-8058AC814250}"/>
    <cellStyle name="Heading 1 2 2" xfId="1080" xr:uid="{8269A460-E08C-4746-BEAB-CB1B9972E609}"/>
    <cellStyle name="Heading 1 2 2 2" xfId="1081" xr:uid="{C8D6048F-90D2-4982-942C-10C2BAEC70CE}"/>
    <cellStyle name="Heading 1 2 3" xfId="1082" xr:uid="{7A35D683-5D93-4B88-BB60-C2FFF2F3510D}"/>
    <cellStyle name="Heading 1 2 4" xfId="1083" xr:uid="{8BDE7C3D-27DB-43A7-A89B-BEDB719842ED}"/>
    <cellStyle name="Heading 1 2 5" xfId="1084" xr:uid="{C5007170-DF11-4119-9521-00EEAFEAEDD6}"/>
    <cellStyle name="Heading 1 2 5 2" xfId="3587" xr:uid="{109F0C3D-8FDA-4C61-8B82-01CCE2633778}"/>
    <cellStyle name="Heading 1 2 6" xfId="1085" xr:uid="{B1865632-D942-40AC-AF4C-63D77486FB2F}"/>
    <cellStyle name="Heading 1 2 6 2" xfId="3588" xr:uid="{E4186CF1-3DD9-48A6-BB5C-2C9DE0094545}"/>
    <cellStyle name="Heading 1 2 7" xfId="1086" xr:uid="{A4D2386C-9B9E-449B-B020-49947AB4FEF2}"/>
    <cellStyle name="Heading 1 3" xfId="1087" xr:uid="{BB910649-96F4-450F-95D5-3B67670DEFF0}"/>
    <cellStyle name="Heading 1 3 2" xfId="1088" xr:uid="{2C79EFAD-4B9B-4F0E-ADD4-2761F94A88CD}"/>
    <cellStyle name="Heading 1 3 2 2" xfId="5453" xr:uid="{B97CB947-72EA-4666-B6A6-3E517FBC5C42}"/>
    <cellStyle name="Heading 1 3 3" xfId="1089" xr:uid="{BD0AB4AA-D26B-4C71-9A65-65267C9F6078}"/>
    <cellStyle name="Heading 1 4" xfId="5454" xr:uid="{6B744806-0C8C-4072-A331-CC067BC37DA7}"/>
    <cellStyle name="Heading 1 5" xfId="5455" xr:uid="{1797A6F4-7355-463E-9CDA-64541D840C41}"/>
    <cellStyle name="Heading 1 6" xfId="5456" xr:uid="{38F3A7CF-6916-40F5-ACB9-E42A0A24573B}"/>
    <cellStyle name="heading 10" xfId="5457" xr:uid="{74AA5DC3-30DB-4A51-94F1-59D6E5CB5CBE}"/>
    <cellStyle name="heading 10 2" xfId="5458" xr:uid="{7E022B4E-6E2D-4E67-B2E1-1C8A02E795C6}"/>
    <cellStyle name="heading 11" xfId="5459" xr:uid="{BAAF9D05-532B-44FF-8431-26E84E135638}"/>
    <cellStyle name="heading 11 2" xfId="5460" xr:uid="{EB3F0D15-6F42-4172-980D-07B5D0AF7F54}"/>
    <cellStyle name="heading 12" xfId="5461" xr:uid="{A9FD991F-3DB0-47B3-8CA3-C8ABDA4645A1}"/>
    <cellStyle name="heading 12 2" xfId="5462" xr:uid="{C336CAB6-20F9-4490-9261-6044E1660548}"/>
    <cellStyle name="heading 13" xfId="5463" xr:uid="{D096EF7B-582C-4F59-9D7A-65C46713A857}"/>
    <cellStyle name="heading 13 2" xfId="5464" xr:uid="{C7B9C014-5416-46BB-839B-48DC2EC1C515}"/>
    <cellStyle name="heading 14" xfId="5465" xr:uid="{190A8AF2-ECA4-4633-89B6-B34CD270B13B}"/>
    <cellStyle name="heading 14 2" xfId="5466" xr:uid="{C976CF25-017D-4C9C-A27F-18E5C6745A2F}"/>
    <cellStyle name="heading 15" xfId="5467" xr:uid="{F046B3F8-ED8E-4CD0-B6E3-3B3024F488BE}"/>
    <cellStyle name="heading 15 2" xfId="5468" xr:uid="{956CBBEC-A3B7-4549-8705-481302F76A6C}"/>
    <cellStyle name="heading 16" xfId="5469" xr:uid="{22D4C2BA-1B4C-478E-B663-833523B611E0}"/>
    <cellStyle name="heading 16 2" xfId="5470" xr:uid="{F725C66B-6EE6-4B60-863B-6BED05F7E7AE}"/>
    <cellStyle name="heading 17" xfId="5471" xr:uid="{4D5F4BE2-A1A0-4B38-B51D-7E8FBAC41C15}"/>
    <cellStyle name="heading 17 2" xfId="5472" xr:uid="{27512295-754F-41DD-8106-8E4526A93A9F}"/>
    <cellStyle name="heading 18" xfId="5473" xr:uid="{BE08A148-D8EC-4E2A-8359-C98BE1E276F2}"/>
    <cellStyle name="heading 18 2" xfId="5474" xr:uid="{1EFD947C-0F75-4672-8EDF-FA1B254FE8FD}"/>
    <cellStyle name="heading 18 2 2" xfId="5475" xr:uid="{9F4EF804-3F79-4B94-80CF-7871B4F4B7CD}"/>
    <cellStyle name="heading 19" xfId="5476" xr:uid="{2AE68A4A-5DF9-4A8B-9C7E-36B81500D88B}"/>
    <cellStyle name="heading 19 2" xfId="5477" xr:uid="{0DCD6EC6-3AE0-4588-A007-CF3A1CD3F333}"/>
    <cellStyle name="heading 19 2 2" xfId="5478" xr:uid="{CD4E6915-C8EE-4659-B8D6-850D973F147F}"/>
    <cellStyle name="Heading 2" xfId="13" builtinId="17" customBuiltin="1"/>
    <cellStyle name="Heading 2 2" xfId="1090" xr:uid="{08959923-25BA-4E3B-944B-E9B3F4DFBB18}"/>
    <cellStyle name="Heading 2 2 2" xfId="1091" xr:uid="{80AC1850-33E5-4EAC-AF80-E70B8FBF321B}"/>
    <cellStyle name="Heading 2 2 2 2" xfId="1092" xr:uid="{1532E65C-8A68-4C9D-8FF5-163A3BD5729B}"/>
    <cellStyle name="Heading 2 2 3" xfId="1093" xr:uid="{63CA99E0-5D1B-42E0-8880-8CCDCF1E4944}"/>
    <cellStyle name="Heading 2 2 4" xfId="1094" xr:uid="{A6244AA5-6658-4766-BC93-FE481EB3A1B2}"/>
    <cellStyle name="Heading 2 2 5" xfId="1095" xr:uid="{E103706C-BE23-40C4-96BA-CCA1D9611755}"/>
    <cellStyle name="Heading 2 2 5 2" xfId="3589" xr:uid="{26B04CB5-BD80-4719-B712-C2E91EAAA0C1}"/>
    <cellStyle name="Heading 2 2 6" xfId="1096" xr:uid="{05961DAF-E296-4808-885B-173831F6BEB0}"/>
    <cellStyle name="Heading 2 2 6 2" xfId="3590" xr:uid="{A1F41B90-3AB7-4167-83F7-510EDE214338}"/>
    <cellStyle name="Heading 2 2 7" xfId="1097" xr:uid="{79FB5DD3-61D8-40EA-B435-FCE747DE91B0}"/>
    <cellStyle name="Heading 2 3" xfId="1098" xr:uid="{5B088A2F-913E-4402-9DF2-390F995C1BAA}"/>
    <cellStyle name="Heading 2 3 2" xfId="1099" xr:uid="{8128D1BA-6B17-44E7-8E54-42A5B45F730B}"/>
    <cellStyle name="Heading 2 3 2 2" xfId="5479" xr:uid="{EEE23BB4-C112-46E9-94CF-E3E200ABC5E2}"/>
    <cellStyle name="Heading 2 3 3" xfId="3591" xr:uid="{3C440705-E7D4-4DF8-ABD8-63AAE41509D7}"/>
    <cellStyle name="Heading 2 4" xfId="5480" xr:uid="{41B68465-8CD0-4E0A-B8AE-588329467325}"/>
    <cellStyle name="Heading 2 5" xfId="5481" xr:uid="{04FC8609-8AEB-49A7-9016-DB9C9AB481DE}"/>
    <cellStyle name="Heading 2 6" xfId="5482" xr:uid="{91A718F1-53C5-4CBB-A06C-E5F45D1FE7FE}"/>
    <cellStyle name="heading 20" xfId="5483" xr:uid="{CAD642D9-E75A-4CAF-B5B5-D166B13C5E74}"/>
    <cellStyle name="heading 20 2" xfId="5484" xr:uid="{2F5E8D21-6007-496E-A9C5-6473D54CE79D}"/>
    <cellStyle name="heading 20 2 2" xfId="5485" xr:uid="{4C093BB1-C0A0-461F-B1F7-6E2E17986813}"/>
    <cellStyle name="heading 21" xfId="5486" xr:uid="{DDB34276-48B3-45C1-A048-1E61F89296D8}"/>
    <cellStyle name="heading 21 2" xfId="5487" xr:uid="{B3A47BFA-0386-4CC4-A138-63FCC4C77734}"/>
    <cellStyle name="heading 21 2 2" xfId="5488" xr:uid="{CC02B685-7D86-41E5-8800-4CAC96D06FE3}"/>
    <cellStyle name="heading 22" xfId="5489" xr:uid="{91CFB95E-5512-408D-A920-12045DC5AC7E}"/>
    <cellStyle name="heading 22 2" xfId="5490" xr:uid="{0E5A25EB-501A-4A51-A7FF-BC1FF3D2B46D}"/>
    <cellStyle name="heading 22 2 2" xfId="5491" xr:uid="{0D4AE441-236A-498F-8006-78B273143BAB}"/>
    <cellStyle name="heading 23" xfId="5492" xr:uid="{6D16E4AB-CE8F-49FA-95CF-FB273519B262}"/>
    <cellStyle name="heading 23 2" xfId="5493" xr:uid="{19071010-DB9B-49A6-830A-FFD54F509A69}"/>
    <cellStyle name="heading 23 2 2" xfId="5494" xr:uid="{001AAEF2-698A-4C39-A363-4AA4E679742F}"/>
    <cellStyle name="heading 24" xfId="5495" xr:uid="{6F5CDFE8-EC3E-4D40-9091-F8D2DE53CA9C}"/>
    <cellStyle name="heading 24 2" xfId="5496" xr:uid="{97585235-2A46-48B3-A6C7-C7F15AC1A0C2}"/>
    <cellStyle name="heading 24 2 2" xfId="5497" xr:uid="{E7564EFC-0F3C-43C4-90CA-3FBB49E4537E}"/>
    <cellStyle name="heading 25" xfId="5498" xr:uid="{68479D14-9DC4-40D8-A463-1777FA8F3560}"/>
    <cellStyle name="heading 25 2" xfId="5499" xr:uid="{573033CA-1F8F-4ACD-BD6B-B7008CDB58CB}"/>
    <cellStyle name="heading 25 2 2" xfId="5500" xr:uid="{AD3F6822-C723-4B81-8050-796C279C358A}"/>
    <cellStyle name="heading 26" xfId="5501" xr:uid="{17A0B817-E029-4F4B-98C4-FCFFA6CEE169}"/>
    <cellStyle name="heading 26 2" xfId="5502" xr:uid="{BBFA4006-2D35-48BC-8ADE-6B3295A5ADE9}"/>
    <cellStyle name="heading 27" xfId="5503" xr:uid="{CE8B0C4E-A393-4D5D-B044-128D5286EB6F}"/>
    <cellStyle name="heading 28" xfId="5504" xr:uid="{727A8E60-DDEB-4986-A891-2A4514005C35}"/>
    <cellStyle name="heading 29" xfId="5505" xr:uid="{0D0A61B6-C0BE-49BC-82C3-678587567E85}"/>
    <cellStyle name="Heading 3" xfId="14" builtinId="18" customBuiltin="1"/>
    <cellStyle name="Heading 3 2" xfId="1100" xr:uid="{116A0514-037C-4D7E-A78F-7B378A20A810}"/>
    <cellStyle name="Heading 3 2 2" xfId="1101" xr:uid="{F6FB4E0D-083C-4CF2-915F-7DDB3B608CF6}"/>
    <cellStyle name="Heading 3 2 2 2" xfId="1102" xr:uid="{A50E2E18-E063-426F-84C9-620C6D668343}"/>
    <cellStyle name="Heading 3 2 2 2 2" xfId="11408" xr:uid="{81471C46-9A50-4460-A96E-269B3BCBEBB3}"/>
    <cellStyle name="Heading 3 2 2 3" xfId="11407" xr:uid="{1CBA9E78-2E9C-487D-9EB7-9D6D7D2A23E5}"/>
    <cellStyle name="Heading 3 2 3" xfId="1103" xr:uid="{EA6C7EB7-92E1-4557-A16E-ECE129EF8536}"/>
    <cellStyle name="Heading 3 2 3 2" xfId="11409" xr:uid="{A833C895-2306-4D9D-8D17-173B7512EB29}"/>
    <cellStyle name="Heading 3 2 4" xfId="1104" xr:uid="{09F1BBF8-43FB-4A87-844F-42B582F6AF7B}"/>
    <cellStyle name="Heading 3 2 4 2" xfId="11410" xr:uid="{61960CD7-DA5E-4C28-BBE4-1D123F19FAF7}"/>
    <cellStyle name="Heading 3 2 5" xfId="1105" xr:uid="{6C61EB63-FB53-4511-AD95-D28BB80DA14C}"/>
    <cellStyle name="Heading 3 2 5 2" xfId="3592" xr:uid="{2B82CEFB-0B38-4914-9EDF-2F789D36FFE1}"/>
    <cellStyle name="Heading 3 2 5 3" xfId="11411" xr:uid="{F7C616DD-2B7C-4A68-B3E4-9F140FD0517F}"/>
    <cellStyle name="Heading 3 2 6" xfId="1106" xr:uid="{D612B9A5-A819-4D9E-BE74-1A7068A70500}"/>
    <cellStyle name="Heading 3 2 6 2" xfId="3593" xr:uid="{540D4309-057A-45CB-BAE3-9771F4218C99}"/>
    <cellStyle name="Heading 3 2 6 2 2" xfId="11467" xr:uid="{A6740C88-8AE5-4732-A1D7-5BDF2A9770A7}"/>
    <cellStyle name="Heading 3 2 7" xfId="1107" xr:uid="{1EEAC5B2-5693-4F68-808F-23176B57B33D}"/>
    <cellStyle name="Heading 3 2 7 2" xfId="11412" xr:uid="{338ED2D2-5A68-42F8-AA47-A796AB8E0419}"/>
    <cellStyle name="Heading 3 3" xfId="1108" xr:uid="{73779420-5E9F-48C2-BD3F-36BF19C15480}"/>
    <cellStyle name="Heading 3 3 2" xfId="1109" xr:uid="{909ACF7F-7A50-4A18-9D5A-4B2236995B04}"/>
    <cellStyle name="Heading 3 3 2 2" xfId="5506" xr:uid="{94345F7F-8C9A-470B-8DCC-713A501ADFA0}"/>
    <cellStyle name="Heading 3 3 2 3" xfId="11413" xr:uid="{7461B374-B6BB-4543-AEAE-5B5CA55564F5}"/>
    <cellStyle name="Heading 3 3 3" xfId="1110" xr:uid="{0D71FE6D-225E-4741-BBC4-D1BCA07A882B}"/>
    <cellStyle name="Heading 3 3 3 2" xfId="11414" xr:uid="{34DE83BC-83AB-4C7C-BEF7-A956348D8EEA}"/>
    <cellStyle name="Heading 3 4" xfId="5507" xr:uid="{55CFF461-BAF2-40B8-84E6-5C1E3183570A}"/>
    <cellStyle name="Heading 3 4 2" xfId="11475" xr:uid="{C8F267EE-5A96-4488-8600-89181237A6CB}"/>
    <cellStyle name="Heading 3 5" xfId="5508" xr:uid="{880388D2-3F61-49F5-97CF-4F285FE226A5}"/>
    <cellStyle name="Heading 3 6" xfId="5509" xr:uid="{96573AEE-5188-4CE3-9C8B-27110530C3AE}"/>
    <cellStyle name="heading 30" xfId="5510" xr:uid="{B21A33CF-3B34-4404-89F2-CDDF479461A6}"/>
    <cellStyle name="heading 31" xfId="5511" xr:uid="{75F3EB2A-039C-4997-9F4F-EB8F3C9322BB}"/>
    <cellStyle name="Heading 4" xfId="15" builtinId="19" customBuiltin="1"/>
    <cellStyle name="Heading 4 2" xfId="1111" xr:uid="{9A9F8607-21ED-4C2E-BD78-25CE79C3776F}"/>
    <cellStyle name="Heading 4 2 2" xfId="1112" xr:uid="{C73BB4F0-175A-435F-B64D-608049F3DB6A}"/>
    <cellStyle name="Heading 4 2 2 2" xfId="1113" xr:uid="{EF93F872-A1CB-4595-9852-4F285CE8252F}"/>
    <cellStyle name="Heading 4 2 3" xfId="1114" xr:uid="{3ECC18F1-B532-48B5-82FE-8FE1F332F2E9}"/>
    <cellStyle name="Heading 4 2 4" xfId="1115" xr:uid="{293E92CE-190A-4993-BFBF-597F011EF753}"/>
    <cellStyle name="Heading 4 2 5" xfId="1116" xr:uid="{346D2FBB-DE67-4B13-A7EC-BF181218FDE4}"/>
    <cellStyle name="Heading 4 2 5 2" xfId="3594" xr:uid="{3463943E-7AC9-4E0B-98AA-3F146A10D86C}"/>
    <cellStyle name="Heading 4 2 6" xfId="1117" xr:uid="{F62EAD41-7155-4758-9988-E99B02D98A5C}"/>
    <cellStyle name="Heading 4 2 6 2" xfId="3595" xr:uid="{58251415-F9D4-4CDE-B8CD-3C1381078B22}"/>
    <cellStyle name="Heading 4 2 7" xfId="1118" xr:uid="{CB2929C9-5D7B-48AD-89EA-61A5013D2973}"/>
    <cellStyle name="Heading 4 3" xfId="1119" xr:uid="{A2284F8C-23E4-41A1-9BED-F0059176315C}"/>
    <cellStyle name="Heading 4 3 2" xfId="1120" xr:uid="{DA57DA4D-353E-4EDE-A69E-2D913C09192D}"/>
    <cellStyle name="Heading 4 3 2 2" xfId="5512" xr:uid="{BEA187D5-8612-49EB-AA60-5B95CED2F08F}"/>
    <cellStyle name="Heading 4 3 3" xfId="1121" xr:uid="{460A075D-F790-4156-9CA6-BAB54FD8B0D5}"/>
    <cellStyle name="Heading 4 4" xfId="5513" xr:uid="{D24BFAD8-1912-4778-A54A-814F3B5E1898}"/>
    <cellStyle name="Heading 4 5" xfId="5514" xr:uid="{8443E6DC-B3B0-4BDD-8524-64270562F5F5}"/>
    <cellStyle name="Heading 4 6" xfId="5515" xr:uid="{9B35ED61-3A30-4B81-92A0-198D9D185B3C}"/>
    <cellStyle name="Heading 5" xfId="1122" xr:uid="{24CD9885-8CB6-49B4-8972-F2E5FFB3D1A1}"/>
    <cellStyle name="heading 5 2" xfId="5516" xr:uid="{B61E1771-C497-4021-A768-176CE78FACD4}"/>
    <cellStyle name="Heading 5 3" xfId="11415" xr:uid="{7900EA4E-A1B1-4BE4-8D9B-54215334535A}"/>
    <cellStyle name="Heading 5 3 2" xfId="11549" xr:uid="{726B9EA2-43BC-4BD7-846B-0103B6041612}"/>
    <cellStyle name="Heading 5 4" xfId="11439" xr:uid="{6D3A2894-485D-4D9B-BB70-CFC269F8D7B0}"/>
    <cellStyle name="Heading 5 4 2" xfId="11573" xr:uid="{36AC8BD3-A676-4123-81FE-B6E2FB654A57}"/>
    <cellStyle name="Heading 5 5" xfId="11519" xr:uid="{BE377B80-93EA-4A3A-9A1F-76B664D994C4}"/>
    <cellStyle name="heading 6" xfId="5517" xr:uid="{CD9C6F1A-BB87-452F-BA37-18BA6A7FA02A}"/>
    <cellStyle name="heading 6 2" xfId="5518" xr:uid="{7FCC3697-97B0-40B2-AC6A-91F0416D057B}"/>
    <cellStyle name="heading 7" xfId="5519" xr:uid="{D0362BEA-DE5B-45F6-9BFC-4ADE1B9601F1}"/>
    <cellStyle name="heading 7 2" xfId="5520" xr:uid="{0807422F-6C6B-44AE-8F82-22B359AAFD4A}"/>
    <cellStyle name="heading 8" xfId="5521" xr:uid="{4C144B35-0026-4F4F-80E6-6B0B3AF663ED}"/>
    <cellStyle name="heading 8 2" xfId="5522" xr:uid="{15DC9D77-44D7-473C-9E63-A075AE983CBE}"/>
    <cellStyle name="heading 9" xfId="5523" xr:uid="{8F194664-0122-46AA-89A2-7BC843D4A044}"/>
    <cellStyle name="heading 9 2" xfId="5524" xr:uid="{4325256D-C209-4FA5-9514-B1CA97BB8A73}"/>
    <cellStyle name="Heading1" xfId="1123" xr:uid="{17F8E1F4-6677-42FE-84B2-789DA601BE69}"/>
    <cellStyle name="Heading1 2" xfId="1124" xr:uid="{A9E24D2B-5E1F-4C3F-A2E5-A0620DFC2E14}"/>
    <cellStyle name="Heading1 2 2" xfId="5525" xr:uid="{44315B54-EB7F-4C30-B611-6B03F8C0E17F}"/>
    <cellStyle name="Heading1 3" xfId="5526" xr:uid="{78A26596-3061-4943-AC7A-1945379C7A7E}"/>
    <cellStyle name="Heading1_~2153298" xfId="5527" xr:uid="{D0873F6E-D000-46F3-9FCA-CF7F121C06BD}"/>
    <cellStyle name="Heading2" xfId="1125" xr:uid="{D61639AB-B942-44E5-9787-F8B7D4EF444E}"/>
    <cellStyle name="HeadShade" xfId="5528" xr:uid="{9BD6C7D3-56DE-4E55-8B05-0549E4EAE113}"/>
    <cellStyle name="Hedaings" xfId="1126" xr:uid="{8724BCAF-3D22-49EF-9D6F-D5F7FBE5978D}"/>
    <cellStyle name="Hide - Style4" xfId="5529" xr:uid="{E8D10D78-C3AD-438B-BB43-6787FAB6AFC6}"/>
    <cellStyle name="Highlighted" xfId="1127" xr:uid="{B985D975-4B8C-46CE-BD17-C3B32632A003}"/>
    <cellStyle name="Highlighted 2" xfId="1128" xr:uid="{ED7401F4-29FA-44FF-9B14-D9BC57C23E81}"/>
    <cellStyle name="highlightExposure" xfId="5530" xr:uid="{F5DBFD8C-A535-4519-AB56-86BDCA4473C7}"/>
    <cellStyle name="highlightPD" xfId="5531" xr:uid="{3E4402B2-A168-4BFC-9405-C192C8ED8EA6}"/>
    <cellStyle name="highlightPercentage" xfId="5532" xr:uid="{1C7E295E-120F-47DD-B699-283BE009EAED}"/>
    <cellStyle name="highlightText" xfId="5533" xr:uid="{56414E7B-68BA-452A-9001-23FAFDD8D497}"/>
    <cellStyle name="Hyperlink" xfId="11603" builtinId="8"/>
    <cellStyle name="Hyperlink 2" xfId="1129" xr:uid="{DBC2E4D6-6FD2-4BB4-82A0-3263185F0DE4}"/>
    <cellStyle name="Hyperlink 2 2" xfId="5534" xr:uid="{9DD9CFA6-4D35-45FB-9999-F7FFB7C43384}"/>
    <cellStyle name="Hyperlink 2 3" xfId="5535" xr:uid="{1F6973BA-5176-4945-8BB5-A3C9133EC836}"/>
    <cellStyle name="Hyperlink 2 4" xfId="5536" xr:uid="{B50D7C9B-9C9E-4B2C-B7A0-03876D4DAFE0}"/>
    <cellStyle name="Hyperlink 2 5" xfId="5537" xr:uid="{C7458908-543C-47BE-B2E2-7CCAEED907C4}"/>
    <cellStyle name="Hyperlink 2 6" xfId="5538" xr:uid="{BF75058F-26A6-40C2-AA87-B58CF4C71A87}"/>
    <cellStyle name="Hyperlink 2 7" xfId="11604" xr:uid="{3A449C8A-D852-A54F-8D66-A60B858FA3A5}"/>
    <cellStyle name="Hyperlink 3" xfId="1130" xr:uid="{88F2700C-F74C-4A15-B764-5F8B0E5FC1CF}"/>
    <cellStyle name="Hyperlink 4" xfId="1131" xr:uid="{29BADCA1-5061-459A-AD3A-C7B18E41F44E}"/>
    <cellStyle name="Hyperlink 5" xfId="1132" xr:uid="{FA5B517D-6748-4301-B390-5E0EE6F713A2}"/>
    <cellStyle name="Hyperlink 6" xfId="1133" xr:uid="{269D0B7D-1234-4165-B544-B971E940A247}"/>
    <cellStyle name="Hyperlink Arrow" xfId="1134" xr:uid="{986600E5-92B0-41AB-8FE7-907D750897B9}"/>
    <cellStyle name="Hyperlink Check" xfId="1135" xr:uid="{D2ECAF24-2AB6-49C8-88C6-D3ED6769668D}"/>
    <cellStyle name="Hyperlink Text" xfId="1136" xr:uid="{1F9C1814-FA71-4BE8-8E8B-D8E29AD204A9}"/>
    <cellStyle name="Hyperlink Text 2" xfId="1137" xr:uid="{801BCA33-1E26-46CE-BF24-835E41329196}"/>
    <cellStyle name="Hyperlink Text 2 2" xfId="5540" xr:uid="{4949CFCC-6F4D-499B-825B-D1DC771A7D43}"/>
    <cellStyle name="Hyperlink Text 2 3" xfId="5539" xr:uid="{0C83337E-EF36-4406-AB06-A8B32B688C6B}"/>
    <cellStyle name="Hyperlink Text 3" xfId="5541" xr:uid="{EC6233FA-F2FD-4FA3-9F96-E58EB2A1BEE7}"/>
    <cellStyle name="Hyperlink Text 4" xfId="5542" xr:uid="{D4D83C70-0BB5-43BA-A6ED-3BF2EFF7DDF8}"/>
    <cellStyle name="Hyperlink Text_~2153298" xfId="5543" xr:uid="{29115D3E-EDFD-4571-8481-0E11719B7C03}"/>
    <cellStyle name="I" xfId="5544" xr:uid="{1E35F05B-D7F3-4688-8749-94D28F3415F1}"/>
    <cellStyle name="IABackgroundMembers" xfId="1138" xr:uid="{766C59ED-8E50-4F68-A2E5-8392C1E5EEFF}"/>
    <cellStyle name="IABackgroundMembers 2" xfId="1139" xr:uid="{C7B5A1F7-EC34-47FF-BD03-56164F04557E}"/>
    <cellStyle name="IABackgroundMembers 3" xfId="1140" xr:uid="{6AF5F2D3-0062-44A0-85FA-89EC4EF9998D}"/>
    <cellStyle name="IABackgroundMembers 4" xfId="5545" xr:uid="{0B539FC6-E071-4FE1-87BF-CA15D8B7894F}"/>
    <cellStyle name="IABackgroundMembers 4 2" xfId="5546" xr:uid="{F96229BD-9636-4B1E-99D2-13AF8AB53788}"/>
    <cellStyle name="IABackgroundMembers 5" xfId="5547" xr:uid="{1A842F5B-B682-4D6B-9A4A-655029FA7894}"/>
    <cellStyle name="IABackgroundMembers_P&amp;L by Month" xfId="5548" xr:uid="{5CBD72C1-CFDC-45C2-B788-2DBF5EF2F96F}"/>
    <cellStyle name="IAColorCodingBad" xfId="1141" xr:uid="{DC6C9B87-8E3A-4AD4-ACC4-F6FA133DCBDD}"/>
    <cellStyle name="IAColorCodingBad 2" xfId="1142" xr:uid="{24B5C04D-80B9-47F8-B24F-849A9CFAC462}"/>
    <cellStyle name="IAColorCodingBad 3" xfId="1143" xr:uid="{2A8B91D5-CDD3-4DAA-845B-BFCB4AF5DD7B}"/>
    <cellStyle name="IAColorCodingBad 4" xfId="5549" xr:uid="{112AEE76-A3EA-4424-9AD1-CF0F10B2E570}"/>
    <cellStyle name="IAColorCodingBad 4 2" xfId="5550" xr:uid="{71D9070C-220E-4EBC-8CAD-212EFB6971A3}"/>
    <cellStyle name="IAColorCodingBad_P&amp;L by Month" xfId="5551" xr:uid="{046B2BDB-1C44-4215-88A9-27CB5B2697B6}"/>
    <cellStyle name="IAColorCodingGood" xfId="1144" xr:uid="{00F67929-AD16-492C-B87E-FD840A85B18D}"/>
    <cellStyle name="IAColorCodingGood 2" xfId="1145" xr:uid="{B0437AF0-4B3E-4AAE-AF1B-6A04B2BC50A6}"/>
    <cellStyle name="IAColorCodingGood 3" xfId="1146" xr:uid="{1FA7F7A6-BAC3-4BD8-A022-5084992BDD8C}"/>
    <cellStyle name="IAColorCodingGood 4" xfId="5552" xr:uid="{A34C7BBE-D8CF-4CF3-85AE-DC0F062BA368}"/>
    <cellStyle name="IAColorCodingGood 4 2" xfId="5553" xr:uid="{D15287C6-3D28-4D5E-A3E6-ED9A30384784}"/>
    <cellStyle name="IAColorCodingGood_P&amp;L by Month" xfId="5554" xr:uid="{47F6CE82-B239-47BE-8897-828D694C230B}"/>
    <cellStyle name="IAColorCodingOK" xfId="1147" xr:uid="{6DE4C4C7-A220-402B-9FF9-1E9BF2AE0378}"/>
    <cellStyle name="IAColorCodingOK 2" xfId="1148" xr:uid="{28A87627-AF8F-4DDF-9C78-FB5785937346}"/>
    <cellStyle name="IAColorCodingOK 3" xfId="1149" xr:uid="{755896DE-3091-4CA0-B8B5-23DD07205D3C}"/>
    <cellStyle name="IAColorCodingOK 4" xfId="5555" xr:uid="{DC0CE4B2-8391-425B-8A0F-2F5789F5C5F0}"/>
    <cellStyle name="IAColorCodingOK 4 2" xfId="5556" xr:uid="{335A7609-E6FE-4E6B-8A58-6F1C248D946C}"/>
    <cellStyle name="IAColorCodingOK 5" xfId="5557" xr:uid="{31514BDE-F75F-4CCD-A98A-FB015F6F61CB}"/>
    <cellStyle name="IAColorCodingOK_P&amp;L by Month" xfId="5558" xr:uid="{EF266F49-AE84-4156-94B0-F185B12AB834}"/>
    <cellStyle name="IAColumnHeader" xfId="1150" xr:uid="{AEE6BA35-5D70-451F-BBC7-03E9D2FA7349}"/>
    <cellStyle name="IAColumnHeader 2" xfId="1151" xr:uid="{83127207-EE08-4B4D-A697-20C39045CA84}"/>
    <cellStyle name="IAColumnHeader 3" xfId="1152" xr:uid="{71E7953A-6BC2-4580-90E7-0DE7982DA37A}"/>
    <cellStyle name="IAColumnHeader 4" xfId="5559" xr:uid="{7DB0FD1D-D441-4209-843D-20EB7342CC52}"/>
    <cellStyle name="IAColumnHeader 4 2" xfId="5560" xr:uid="{1CD2DA15-14CE-4474-A4BF-F8126F081F11}"/>
    <cellStyle name="IAColumnHeader_LZ Datasheet" xfId="5561" xr:uid="{0B415D14-8DDD-49E8-B66B-CCCA9AF9C3DF}"/>
    <cellStyle name="IAContentsList" xfId="1153" xr:uid="{E1779F73-708A-48B5-82E0-83E6297C0D6C}"/>
    <cellStyle name="IAContentsList 2" xfId="1154" xr:uid="{36E3DF98-2889-44E2-A02E-34FF11EE517F}"/>
    <cellStyle name="IAContentsList 2 2" xfId="1155" xr:uid="{1DFA532D-3521-478D-A7B0-D1A17F73019B}"/>
    <cellStyle name="IAContentsList 3" xfId="1156" xr:uid="{33DBCC13-3514-49FA-9116-6B02111A54E7}"/>
    <cellStyle name="IAContentsList 3 2" xfId="1157" xr:uid="{BD0E15CF-2FE3-4848-9971-65C8565461F1}"/>
    <cellStyle name="IAContentsList 4" xfId="1158" xr:uid="{8121A40D-EE51-4FEB-A949-F7FB3A884FA7}"/>
    <cellStyle name="IAContentsList 4 2" xfId="3596" xr:uid="{88996306-1C2D-463B-B9C4-BE03A6EBBDFB}"/>
    <cellStyle name="IAContentsList 5" xfId="1159" xr:uid="{19ED59C2-E2E0-4F92-BE0B-1BDC973BFE44}"/>
    <cellStyle name="IAContentsList 5 2" xfId="5562" xr:uid="{75A478A3-0B5E-4C2D-8ADF-1CAD0E76A306}"/>
    <cellStyle name="IAContentsList 6" xfId="5563" xr:uid="{61D552A9-40D2-4FE6-B7D6-587E6A92ACFA}"/>
    <cellStyle name="IAContentsList_~2153298" xfId="5564" xr:uid="{BC213B95-30C6-4FA8-888E-520491C84821}"/>
    <cellStyle name="IAContentsTitle" xfId="1160" xr:uid="{AAB51101-BBE6-4691-A088-5E2B8B5896C0}"/>
    <cellStyle name="IAContentsTitle 2" xfId="1161" xr:uid="{3DF1B8B9-CF7D-4435-869F-C7A5BB716AD3}"/>
    <cellStyle name="IAContentsTitle 2 2" xfId="1162" xr:uid="{05E71EE0-BBDC-485E-B7E8-F4CAC699A047}"/>
    <cellStyle name="IAContentsTitle 3" xfId="1163" xr:uid="{F1B87011-69EB-43B0-974A-CF216507E353}"/>
    <cellStyle name="IAContentsTitle 3 2" xfId="1164" xr:uid="{4B30022A-64B6-4223-BA83-69B17E51991A}"/>
    <cellStyle name="IAContentsTitle 4" xfId="1165" xr:uid="{BE6A8D55-1D4B-4825-8C0A-2F6F03B760B5}"/>
    <cellStyle name="IAContentsTitle 4 2" xfId="3597" xr:uid="{26699475-A645-4AF5-AFB6-A8476D07F826}"/>
    <cellStyle name="IAContentsTitle 5" xfId="1166" xr:uid="{E0455974-824E-4188-BBDA-9FFBF74438F9}"/>
    <cellStyle name="IAContentsTitle 5 2" xfId="5565" xr:uid="{6F95FE7A-00F0-4B8E-89B2-EAA5D96B3428}"/>
    <cellStyle name="IAContentsTitle 6" xfId="5566" xr:uid="{A7B82C71-4F67-46A5-904B-0989630915F4}"/>
    <cellStyle name="IAContentsTitle_~2153298" xfId="5567" xr:uid="{219CF70C-3DCE-4352-9CEC-DD26C882738A}"/>
    <cellStyle name="IADataCells" xfId="1167" xr:uid="{2F0B1AA4-2CEB-4FB4-A8BE-919E2F141BAD}"/>
    <cellStyle name="IADataCells 2" xfId="1168" xr:uid="{A0D11A01-5E92-4456-BC57-066B7468061C}"/>
    <cellStyle name="IADataCells 3" xfId="1169" xr:uid="{C72BEBD6-3C31-4A5C-8B2A-41A80190BC00}"/>
    <cellStyle name="IADataCells 4" xfId="5568" xr:uid="{40FA569B-BFF4-4205-998D-4C1284FB89F7}"/>
    <cellStyle name="IADataCells 4 2" xfId="5569" xr:uid="{D268A4CA-8F3E-41F7-944C-415592FE5ADD}"/>
    <cellStyle name="IADataCells 5" xfId="5570" xr:uid="{D008AA01-0E00-43F8-868C-2BEE8F677FBC}"/>
    <cellStyle name="IADataCells_LZ Datasheet" xfId="5571" xr:uid="{ACD3B16B-8105-499B-9C48-1029EF669417}"/>
    <cellStyle name="IADataEntry" xfId="1170" xr:uid="{2A5DFF74-0C16-4383-AFF4-BC4E068E37F9}"/>
    <cellStyle name="IADataEntry 2" xfId="5572" xr:uid="{956E1431-E4EE-4ED2-8D0B-AC040EA305CA}"/>
    <cellStyle name="IADataEntry_Check Totals" xfId="5573" xr:uid="{C36C6B15-51E6-4E11-8A5C-86C2F74E6BBC}"/>
    <cellStyle name="IADimensionNames" xfId="1171" xr:uid="{447665D7-1595-426A-8A73-D8DA4ABAD9E3}"/>
    <cellStyle name="IADimensionNames 2" xfId="1172" xr:uid="{C5D44FE9-6D49-45A3-A2A6-23DCDF97BAD4}"/>
    <cellStyle name="IADimensionNames 3" xfId="1173" xr:uid="{DFB3302C-D694-4043-94D8-FCDAEA452D4B}"/>
    <cellStyle name="IADimensionNames 4" xfId="5574" xr:uid="{AB7CC246-00C4-480F-8029-6B7859957895}"/>
    <cellStyle name="IADimensionNames 4 2" xfId="5575" xr:uid="{384E8877-4B7A-4EF6-AADB-D1E277AF936A}"/>
    <cellStyle name="IADimensionNames_P&amp;L by Month" xfId="5576" xr:uid="{70492084-CA24-4924-97E3-F4D2A46E48DF}"/>
    <cellStyle name="IAParentColumnHeader" xfId="1174" xr:uid="{0A4E90B4-4731-49EB-86F4-77E78FD87F6B}"/>
    <cellStyle name="IAParentColumnHeader 2" xfId="1175" xr:uid="{E41F43C3-A97C-459D-BD37-A09ED51BC3CC}"/>
    <cellStyle name="IAParentColumnHeader 3" xfId="1176" xr:uid="{DFC497F4-0F3B-467B-BB7A-C461FEA7D820}"/>
    <cellStyle name="IAParentColumnHeader 4" xfId="5577" xr:uid="{5AB6791D-7313-4E88-AADB-D934B0C7FE86}"/>
    <cellStyle name="IAParentColumnHeader 4 2" xfId="5578" xr:uid="{881604F5-27EE-4A96-A1E8-192D7A29D2C1}"/>
    <cellStyle name="IAParentColumnHeader_LZ Datasheet" xfId="5579" xr:uid="{92A87CD8-7914-4531-9949-76744BFFB543}"/>
    <cellStyle name="IAParentRowHeader" xfId="1177" xr:uid="{5D724515-4E09-4F78-B3AA-724CAD0CCDDC}"/>
    <cellStyle name="IAParentRowHeader 2" xfId="1178" xr:uid="{A3509DE4-C6D5-484B-B118-4D7B667C1EAC}"/>
    <cellStyle name="IAParentRowHeader 3" xfId="1179" xr:uid="{09B72B3E-5281-4DE3-B22C-4F6AC379CB83}"/>
    <cellStyle name="IAParentRowHeader 4" xfId="5580" xr:uid="{9C678AA6-2001-409E-9DD7-2F2F9729D77F}"/>
    <cellStyle name="IAParentRowHeader 4 2" xfId="5581" xr:uid="{5448DC60-AF4B-4325-8F5E-3B9F8116E8E1}"/>
    <cellStyle name="IAParentRowHeader_P&amp;L by Month" xfId="5582" xr:uid="{2AB00BD9-059A-4223-ADE3-DFD5C6F5FABB}"/>
    <cellStyle name="IAQueryInfo" xfId="1180" xr:uid="{6C5143E8-A90F-4E2C-830A-36551FFE9EA5}"/>
    <cellStyle name="IAQueryInfo 2" xfId="1181" xr:uid="{DE2057FE-82AF-48CE-9961-5F3F91316BFF}"/>
    <cellStyle name="IAQueryInfo 3" xfId="1182" xr:uid="{B70EB7DD-AC59-4DF1-A3C7-E97005D88796}"/>
    <cellStyle name="IAQueryInfo 4" xfId="5583" xr:uid="{4472620C-BA9D-4EA9-9238-8F6EE2C82970}"/>
    <cellStyle name="IAQueryInfo 4 2" xfId="5584" xr:uid="{FFFC9088-E576-4670-9757-29B4031A59BF}"/>
    <cellStyle name="IAQueryInfo 5" xfId="5585" xr:uid="{E71CBC66-C442-48B9-AFC7-BAD4D42BCF62}"/>
    <cellStyle name="IAQueryInfo_P&amp;L by Month" xfId="5586" xr:uid="{FA3CE839-32C0-4B7F-8EBE-0850DD286143}"/>
    <cellStyle name="IAReportTitle" xfId="1183" xr:uid="{057BC1FA-C4EE-42B2-88A2-8C56910F1D4B}"/>
    <cellStyle name="IAReportTitle 2" xfId="1184" xr:uid="{9EBCE838-21D8-4D16-BAEA-161166804138}"/>
    <cellStyle name="IAReportTitle 3" xfId="1185" xr:uid="{D818EBD8-B6F7-438F-9270-800746FB9246}"/>
    <cellStyle name="IAReportTitle 4" xfId="1186" xr:uid="{8A2B6AA1-DD58-4313-AEBE-DA6B6FD16119}"/>
    <cellStyle name="IAReportTitle 4 2" xfId="5587" xr:uid="{79970959-81B2-4948-9B28-BDF2B2C3D8A2}"/>
    <cellStyle name="IAReportTitle_P&amp;L by Month" xfId="5588" xr:uid="{DA8A4277-7FD3-4391-937E-4D44E362264F}"/>
    <cellStyle name="IARowHeader" xfId="1187" xr:uid="{E5F47D4A-70B6-43D0-B7A5-98D599A2A755}"/>
    <cellStyle name="IARowHeader 2" xfId="1188" xr:uid="{B8E3655F-4B33-4710-ABFB-84F183024968}"/>
    <cellStyle name="IARowHeader 3" xfId="1189" xr:uid="{B395AC1B-2D53-48FF-9C8E-A51CA629006E}"/>
    <cellStyle name="IARowHeader 4" xfId="5589" xr:uid="{1E9523D4-2F62-413F-8AAC-907AB8A9DCAB}"/>
    <cellStyle name="IARowHeader 4 2" xfId="5590" xr:uid="{522A3E97-E823-4BFD-A40B-A060969CFE45}"/>
    <cellStyle name="IARowHeader_LZ Datasheet" xfId="5591" xr:uid="{21F102BE-3910-42E4-AA62-3BB274AE4C25}"/>
    <cellStyle name="IASubTotalsCol" xfId="1190" xr:uid="{CAB92FA4-804C-4475-9E2F-1D42C89A44A6}"/>
    <cellStyle name="IASubTotalsCol 2" xfId="1191" xr:uid="{6693F473-A9AF-4419-94C6-A8A1D5860803}"/>
    <cellStyle name="IASubTotalsCol 3" xfId="1192" xr:uid="{26D8E691-C36F-4A86-A1E6-D0906681A993}"/>
    <cellStyle name="IASubTotalsCol 4" xfId="5592" xr:uid="{22A2E2D5-C588-474B-92BB-C4BC7DD16431}"/>
    <cellStyle name="IASubTotalsCol 4 2" xfId="5593" xr:uid="{ABB07F25-A02C-43D3-B93F-5A0AA7BEEE69}"/>
    <cellStyle name="IASubTotalsCol_P&amp;L by Month" xfId="5594" xr:uid="{19E0C93F-2BDC-4108-AD3D-BBDBD25E34C9}"/>
    <cellStyle name="IASubTotalsRow" xfId="1193" xr:uid="{569E9A8B-5011-421D-AA79-49B42FC0059E}"/>
    <cellStyle name="IASubTotalsRow 2" xfId="1194" xr:uid="{7C6C0D29-1912-499C-A389-5E7AE43BEC3A}"/>
    <cellStyle name="IASubTotalsRow 3" xfId="1195" xr:uid="{9F0B75E5-33C2-40F7-93DE-A536014C711D}"/>
    <cellStyle name="IASubTotalsRow 4" xfId="5595" xr:uid="{8FBE9558-7565-4A7C-9F85-F73329853B54}"/>
    <cellStyle name="IASubTotalsRow 4 2" xfId="5596" xr:uid="{491EAFF3-02D8-4DE9-9658-136F45B6544D}"/>
    <cellStyle name="IASubTotalsRow_P&amp;L by Month" xfId="5597" xr:uid="{A9F477AE-27BF-4BE7-9779-D0468B8B177A}"/>
    <cellStyle name="Inconsistent" xfId="1196" xr:uid="{5DDF524E-FB34-4AED-BFAB-698D20274D9A}"/>
    <cellStyle name="Input" xfId="3" builtinId="20" customBuiltin="1"/>
    <cellStyle name="Input %" xfId="1197" xr:uid="{6A660458-2623-4877-BB06-ECD43C182B79}"/>
    <cellStyle name="Input [yellow]" xfId="5598" xr:uid="{2D06A873-39BB-46AC-B12C-DB3E61FB53AC}"/>
    <cellStyle name="Input 1" xfId="1198" xr:uid="{CE94659C-07B2-486D-8EFD-87778588C749}"/>
    <cellStyle name="Input 10" xfId="5599" xr:uid="{A4DCFAB3-2270-4CBE-9429-EE3D1E6818A8}"/>
    <cellStyle name="Input 11" xfId="5600" xr:uid="{C40F06AC-ED31-4AFF-A329-B3CBDE461BA6}"/>
    <cellStyle name="Input 12" xfId="5601" xr:uid="{135A7C2A-75C5-4820-9B71-58900A05EC26}"/>
    <cellStyle name="Input 2" xfId="1199" xr:uid="{D4858993-8C7B-4F52-90ED-BCA1A85A6710}"/>
    <cellStyle name="Input 2 2" xfId="1200" xr:uid="{56B4D79A-F962-4E73-BC01-C62E1CD91A3B}"/>
    <cellStyle name="Input 2 2 2" xfId="1201" xr:uid="{A1C8B253-EE8F-4E9A-A836-863266F2D45F}"/>
    <cellStyle name="Input 2 3" xfId="1202" xr:uid="{731B69C1-0AC9-45E6-A623-12673CE1ADDC}"/>
    <cellStyle name="Input 2 4" xfId="1203" xr:uid="{14776B18-A6FF-4062-927D-D6164AB4ABBD}"/>
    <cellStyle name="Input 2 5" xfId="1204" xr:uid="{3F2A0FAF-AA04-4E0C-B2DB-0E7E6F2E366F}"/>
    <cellStyle name="Input 2 5 2" xfId="3598" xr:uid="{E581E08B-0D7D-44D7-BBBC-162B41F69EF7}"/>
    <cellStyle name="Input 2 6" xfId="1205" xr:uid="{7FE30D69-2DBC-4343-A1F2-0D2EFB0A3F5B}"/>
    <cellStyle name="Input 2 6 2" xfId="3599" xr:uid="{8D040753-F288-44BC-9D4D-4933171FEE3B}"/>
    <cellStyle name="Input 2 7" xfId="1206" xr:uid="{592F3A3B-4852-439B-BE1D-0E69601ABA40}"/>
    <cellStyle name="Input 3" xfId="1207" xr:uid="{D523C25B-7374-4799-BAB4-6D64A3D8D167}"/>
    <cellStyle name="Input 3 2" xfId="1208" xr:uid="{6D251703-95DC-4CE0-B493-6BD9F287F4DD}"/>
    <cellStyle name="Input 3 2 2" xfId="5602" xr:uid="{69EAAED6-6C6E-4D7B-944A-6E18A075BF1A}"/>
    <cellStyle name="Input 3 3" xfId="1209" xr:uid="{5FF8F058-7684-4D16-B500-60A8AE28D70F}"/>
    <cellStyle name="Input 3 3 2" xfId="5603" xr:uid="{D9B880B3-7FE8-4FDF-B09D-EC48F50EBF75}"/>
    <cellStyle name="Input 4" xfId="1210" xr:uid="{FFF79032-73A6-4AA8-8267-0F88305C2739}"/>
    <cellStyle name="Input 5" xfId="5604" xr:uid="{644127E8-52E3-40A0-8B87-396BDB59421E}"/>
    <cellStyle name="Input 6" xfId="5605" xr:uid="{E8FACB1D-1BC4-47C2-8FB2-C3AAC7084B6C}"/>
    <cellStyle name="Input 7" xfId="5606" xr:uid="{8D04E3C2-C847-4C1E-888D-E8E1B8528B5A}"/>
    <cellStyle name="Input 8" xfId="5607" xr:uid="{E4F5AB95-1728-4F14-B1EA-3A6995D8CD71}"/>
    <cellStyle name="Input 9" xfId="5608" xr:uid="{28B622D0-1F7F-4B82-8FD9-9DD4D99A605C}"/>
    <cellStyle name="Input Company Name" xfId="1211" xr:uid="{E47CCECC-4835-4213-914D-F5670F729FB1}"/>
    <cellStyle name="Input Company Name 2" xfId="5609" xr:uid="{58D16672-9166-4303-B7EF-3067F58543B6}"/>
    <cellStyle name="Input Company Name 2 2" xfId="5610" xr:uid="{3F81FF28-B4F3-4981-8E5C-D6378DFAD0E0}"/>
    <cellStyle name="Input Company Name 3" xfId="5611" xr:uid="{92E9EA06-0B52-438E-9B9F-489B40D18399}"/>
    <cellStyle name="Input Company Name 4" xfId="5612" xr:uid="{67D35B65-2CB5-4F39-88B0-A305C341B115}"/>
    <cellStyle name="Input Company Name_Check Totals" xfId="5613" xr:uid="{901E4A98-D500-4D56-A183-7F4965D3206F}"/>
    <cellStyle name="Input Forecast Currency" xfId="1212" xr:uid="{75BA4889-E1FC-4BB0-803F-7194FBAB83C9}"/>
    <cellStyle name="Input Forecast Currency 2" xfId="5614" xr:uid="{8A083879-1B48-432C-957D-60B0AB5A35FF}"/>
    <cellStyle name="Input Forecast Currency 2 2" xfId="5615" xr:uid="{06BFC8AA-D2E6-4EA8-874D-DBE8575A7F81}"/>
    <cellStyle name="Input Forecast Currency 3" xfId="5616" xr:uid="{BC64369A-8C5D-4F87-90FA-4F32B0450320}"/>
    <cellStyle name="Input Forecast Currency 4" xfId="5617" xr:uid="{385ED040-E048-41AE-BAB1-721403D82AF6}"/>
    <cellStyle name="Input Forecast Currency_Check Totals" xfId="5618" xr:uid="{F8396617-F96A-45A9-9981-E24511A4467E}"/>
    <cellStyle name="Input Forecast Date" xfId="1213" xr:uid="{FB929F54-58A6-4262-8245-4D2F6E814986}"/>
    <cellStyle name="Input Forecast Date 2" xfId="5619" xr:uid="{763D5BEB-9D7E-4846-AAFA-FB0AC8EE9F2E}"/>
    <cellStyle name="Input Forecast Date 2 2" xfId="5620" xr:uid="{16597F26-A478-4B17-A8CC-EFBCD906527B}"/>
    <cellStyle name="Input Forecast Date 3" xfId="5621" xr:uid="{49D43962-7DFC-4B75-87BF-BCD9203036F6}"/>
    <cellStyle name="Input Forecast Date 4" xfId="5622" xr:uid="{E955E7C7-9868-4234-895D-4E39349B02E8}"/>
    <cellStyle name="Input Forecast Date_Check Totals" xfId="5623" xr:uid="{3CA52F6C-8A2C-4F9A-AA62-B9932E7F7515}"/>
    <cellStyle name="Input Forecast Multiple" xfId="1214" xr:uid="{6403EF23-5CD9-473F-82EB-C78261F5D0C9}"/>
    <cellStyle name="Input Forecast Multiple 2" xfId="5624" xr:uid="{7D6F4916-39E7-45C0-9091-B19DA6FA548D}"/>
    <cellStyle name="Input Forecast Multiple 2 2" xfId="5625" xr:uid="{0C59E048-910B-4A48-88FC-E608EB65EDED}"/>
    <cellStyle name="Input Forecast Multiple 3" xfId="5626" xr:uid="{1D77364B-D7AC-4675-9BF4-BD0EA99AF868}"/>
    <cellStyle name="Input Forecast Multiple 4" xfId="5627" xr:uid="{206C656B-825F-4FED-9F90-0F90FA2DE3C9}"/>
    <cellStyle name="Input Forecast Multiple_Check Totals" xfId="5628" xr:uid="{5BBCAD07-B83E-4344-B587-C96B25FA9C81}"/>
    <cellStyle name="Input Forecast Number" xfId="1215" xr:uid="{3ECB3D66-29ED-4345-A1AF-F85999DD421E}"/>
    <cellStyle name="Input Forecast Number 2" xfId="5629" xr:uid="{2E1C198B-062C-4623-9234-3CB8B943F41C}"/>
    <cellStyle name="Input Forecast Number 2 2" xfId="5630" xr:uid="{DC95FA0B-F5C1-40E4-A833-3BD199E475F0}"/>
    <cellStyle name="Input Forecast Number 3" xfId="5631" xr:uid="{3EA7A879-5886-49A8-840C-81F119F7B414}"/>
    <cellStyle name="Input Forecast Number 4" xfId="5632" xr:uid="{650EBA60-C1DA-46D2-9759-EF1CFE8914C8}"/>
    <cellStyle name="Input Forecast Number_Check Totals" xfId="5633" xr:uid="{BE17A115-EF47-473B-A5B1-456144897A8B}"/>
    <cellStyle name="Input Forecast Percentage" xfId="1216" xr:uid="{BA6BAEBA-0D49-46B8-8278-996FA1C6919E}"/>
    <cellStyle name="Input Forecast Percentage 2" xfId="5634" xr:uid="{BE4663CB-9899-4335-9138-F863243F5646}"/>
    <cellStyle name="Input Forecast Percentage 2 2" xfId="5635" xr:uid="{8A9A6A59-FB79-47C9-AC1B-25123983A40C}"/>
    <cellStyle name="Input Forecast Percentage 3" xfId="5636" xr:uid="{F3AA8130-813D-477C-90AB-81020F861FF8}"/>
    <cellStyle name="Input Forecast Percentage 4" xfId="5637" xr:uid="{D13C31C8-804A-4C05-9D67-140716AA8624}"/>
    <cellStyle name="Input Forecast Percentage_Check Totals" xfId="5638" xr:uid="{677DFC95-31C4-4BFD-9040-3D1272E68B82}"/>
    <cellStyle name="Input Forecast Year" xfId="1217" xr:uid="{C19771E2-61EE-4AC2-9713-F1C6574BC965}"/>
    <cellStyle name="Input Forecast Year 2" xfId="5639" xr:uid="{B23667E8-BBC9-439B-A771-CEA00C562FA7}"/>
    <cellStyle name="Input Forecast Year 2 2" xfId="5640" xr:uid="{7C8E5DE8-A618-4FDB-BD2F-94740716A05C}"/>
    <cellStyle name="Input Forecast Year 3" xfId="5641" xr:uid="{E654B3AC-71CA-4F23-A43A-13372A69BE92}"/>
    <cellStyle name="Input Forecast Year 4" xfId="5642" xr:uid="{3BF73E4A-3C48-4D2D-B47E-3E1EFF8AE906}"/>
    <cellStyle name="Input Forecast Year_Check Totals" xfId="5643" xr:uid="{557EC093-56F4-40FC-B9FF-8C61CE08A4C7}"/>
    <cellStyle name="Input Heading 1" xfId="1218" xr:uid="{DD5FA12E-E308-4F8C-9DAB-738556910F1E}"/>
    <cellStyle name="Input Heading 1 2" xfId="5644" xr:uid="{D45A91B0-598A-4D4F-AC7A-72C3ADF4DEF4}"/>
    <cellStyle name="Input Heading 1 2 2" xfId="5645" xr:uid="{6F4FCE15-4363-450A-A318-F25EE41E0A32}"/>
    <cellStyle name="Input Heading 1 3" xfId="5646" xr:uid="{883C5EB8-3C8F-4C0C-B283-2E4241572DE7}"/>
    <cellStyle name="Input Heading 1 4" xfId="5647" xr:uid="{36D87FF4-E01C-4DC2-AFD0-06600BB4FE33}"/>
    <cellStyle name="Input Heading 1_Check Totals" xfId="5648" xr:uid="{B45C5D1D-AFEB-468F-B4C9-36B6BB38D8D2}"/>
    <cellStyle name="Input Heading 2" xfId="1219" xr:uid="{AEEBD17A-E4BF-4ECD-9C13-D43BC7A4EE53}"/>
    <cellStyle name="Input Heading 2 2" xfId="5649" xr:uid="{2F08BE6B-7303-4418-A399-6C60093986DF}"/>
    <cellStyle name="Input Heading 2 2 2" xfId="5650" xr:uid="{2C5CCC1E-DC69-431E-9426-96831E10AB8F}"/>
    <cellStyle name="Input Heading 2 3" xfId="5651" xr:uid="{F90EF291-F0CA-4AA7-A23D-B62B4305B228}"/>
    <cellStyle name="Input Heading 2 4" xfId="5652" xr:uid="{84EE8D7E-80A4-434E-9D39-BFA8509288B0}"/>
    <cellStyle name="Input Heading 2_Check Totals" xfId="5653" xr:uid="{060A2B44-71D7-48A7-A017-6AEAA324BEBA}"/>
    <cellStyle name="Input Heading 3" xfId="1220" xr:uid="{86E4BF75-4D19-4CA7-80A4-9B98C18DD91C}"/>
    <cellStyle name="Input Heading 3 2" xfId="5654" xr:uid="{1FFC4801-7230-4464-8603-6F5124F08153}"/>
    <cellStyle name="Input Heading 3 2 2" xfId="5655" xr:uid="{D0B122D9-D84D-4DD0-9DBE-3B3771CDED6E}"/>
    <cellStyle name="Input Heading 3 3" xfId="5656" xr:uid="{A4E225C8-0BE1-4706-B880-057175CB61AC}"/>
    <cellStyle name="Input Heading 3 4" xfId="5657" xr:uid="{4832D271-A07D-4E1F-9131-71D6BF582D8B}"/>
    <cellStyle name="Input Heading 3_Check Totals" xfId="5658" xr:uid="{813C5E28-DEEB-4FD2-B407-72465DFC35D9}"/>
    <cellStyle name="Input Heading 4" xfId="1221" xr:uid="{B8C425E2-98F3-4B2E-B577-B9B13BED98BD}"/>
    <cellStyle name="Input Heading 4 2" xfId="5659" xr:uid="{FC464F07-9CA0-4632-A2B6-5B0F8744F856}"/>
    <cellStyle name="Input Heading 4 2 2" xfId="5660" xr:uid="{BCD065A4-BCD9-4B17-92A5-1B659B7ADC78}"/>
    <cellStyle name="Input Heading 4 3" xfId="5661" xr:uid="{C5628CBC-CE01-485F-AB95-AD2578549A9B}"/>
    <cellStyle name="Input Heading 4 4" xfId="5662" xr:uid="{53331393-DC51-4B40-B499-035ACAE92FF8}"/>
    <cellStyle name="Input Heading 4_Check Totals" xfId="5663" xr:uid="{11CA7E34-F349-41FE-901F-DBEA88DCA5BC}"/>
    <cellStyle name="Input Middle Currency" xfId="1222" xr:uid="{C5156240-6FC6-4151-A7EE-F0FA2C944EFD}"/>
    <cellStyle name="Input Middle Currency 2" xfId="5664" xr:uid="{09437FAF-E889-4A08-BB99-44288D6479E4}"/>
    <cellStyle name="Input Middle Currency 2 2" xfId="5665" xr:uid="{ACDC7E15-AFC5-481F-9F18-E479EFA26D40}"/>
    <cellStyle name="Input Middle Currency 3" xfId="5666" xr:uid="{A65256F8-AF3E-41D7-AC8D-3C253705047C}"/>
    <cellStyle name="Input Middle Currency 4" xfId="5667" xr:uid="{898A6E34-C746-456D-8F5F-FB6F519FC871}"/>
    <cellStyle name="Input Middle Currency_Check Totals" xfId="5668" xr:uid="{C27BC28E-8C4A-48E6-B43C-7B628DF2AB18}"/>
    <cellStyle name="Input Middle Date" xfId="1223" xr:uid="{7BC46AAE-6D18-47B2-A4EB-5B62A4FBF79D}"/>
    <cellStyle name="Input Middle Date 2" xfId="5669" xr:uid="{375AB5E1-1010-4217-893C-15DF8D9998C8}"/>
    <cellStyle name="Input Middle Date 2 2" xfId="5670" xr:uid="{966E58DF-4EF2-4346-927C-7CF210D7A25B}"/>
    <cellStyle name="Input Middle Date 3" xfId="5671" xr:uid="{7E8AD3F4-C4A9-4718-9C57-09968AE32170}"/>
    <cellStyle name="Input Middle Date 4" xfId="5672" xr:uid="{857A1F19-B2CA-4EFC-AB63-49209C89FABA}"/>
    <cellStyle name="Input Middle Date_Check Totals" xfId="5673" xr:uid="{23AAE8F9-4D9C-438A-9F56-40D79C0EA14D}"/>
    <cellStyle name="Input Middle Multiple" xfId="1224" xr:uid="{FB4E2F6B-52FB-4596-B314-4EA81EBDBC83}"/>
    <cellStyle name="Input Middle Multiple 2" xfId="5674" xr:uid="{B760CA6B-801D-4846-83A6-D4D7581D4C30}"/>
    <cellStyle name="Input Middle Multiple 2 2" xfId="5675" xr:uid="{608AC69E-05E7-459D-81B5-E82AAB750B47}"/>
    <cellStyle name="Input Middle Multiple 3" xfId="5676" xr:uid="{6DAFAD07-C1E6-4CE7-8C4E-FB19A1DADACC}"/>
    <cellStyle name="Input Middle Multiple 4" xfId="5677" xr:uid="{10777CA7-8C79-4AE1-BD0E-88A5CBA8703E}"/>
    <cellStyle name="Input Middle Multiple_Check Totals" xfId="5678" xr:uid="{17DF3F54-CEB7-4306-9A08-A0397219F60B}"/>
    <cellStyle name="Input Middle Number" xfId="1225" xr:uid="{67FAF3EB-B00B-49D8-BEBA-72C37F10227A}"/>
    <cellStyle name="Input Middle Number 2" xfId="5679" xr:uid="{D39DFA11-EF21-4D9A-BBAB-5C3C053731D6}"/>
    <cellStyle name="Input Middle Number 2 2" xfId="5680" xr:uid="{7DBFE00F-83A0-4FE8-AF7D-8ECAB09644B7}"/>
    <cellStyle name="Input Middle Number 3" xfId="5681" xr:uid="{8FB7DF7A-6DB3-45DE-8EAF-3EED4F167743}"/>
    <cellStyle name="Input Middle Number 4" xfId="5682" xr:uid="{B4AD8965-A1F1-4FED-B102-7D74A4D57B66}"/>
    <cellStyle name="Input Middle Number_Check Totals" xfId="5683" xr:uid="{0DD61623-DDD6-4B0B-B8DE-F7B5BBD145C7}"/>
    <cellStyle name="Input Middle Percentage" xfId="1226" xr:uid="{04065BDA-760F-4638-9DBF-252ED8A1C777}"/>
    <cellStyle name="Input Middle Percentage 2" xfId="5684" xr:uid="{842D62B8-5B95-45FC-9862-A5E2CD950825}"/>
    <cellStyle name="Input Middle Percentage 2 2" xfId="5685" xr:uid="{C6BFB85A-5238-421C-993B-74C95355009F}"/>
    <cellStyle name="Input Middle Percentage 3" xfId="5686" xr:uid="{B63F0287-FFBF-4863-9AC7-38865E3077AB}"/>
    <cellStyle name="Input Middle Percentage 4" xfId="5687" xr:uid="{93CB52AF-34C3-4E68-8ECC-36D1F12F541D}"/>
    <cellStyle name="Input Middle Percentage_Check Totals" xfId="5688" xr:uid="{BFA8A8CB-D7BF-4C44-821A-F71B6720A37D}"/>
    <cellStyle name="Input Middle Title / Name" xfId="1227" xr:uid="{3BA48605-FCAC-4BA6-930D-FD2793372198}"/>
    <cellStyle name="Input Middle Title / Name 2" xfId="5689" xr:uid="{55E63621-FC3F-4E32-9184-C7DC32F24B5A}"/>
    <cellStyle name="Input Middle Title / Name 2 2" xfId="5690" xr:uid="{407C3D00-4F7B-444A-841A-FB4DAC2E2CCE}"/>
    <cellStyle name="Input Middle Title / Name 3" xfId="5691" xr:uid="{CA1BE9FE-76A1-4534-B8AC-5A926CABB5DA}"/>
    <cellStyle name="Input Middle Title / Name 4" xfId="5692" xr:uid="{4D8739AD-EEA4-49EE-AE5D-1A5F4742321D}"/>
    <cellStyle name="Input Middle Title / Name_Check Totals" xfId="5693" xr:uid="{28C78EC3-3230-49CF-8B48-F68189F47C54}"/>
    <cellStyle name="Input Middle Year" xfId="1228" xr:uid="{281D6164-4BF1-45B1-A350-C0E6E830FB09}"/>
    <cellStyle name="Input Middle Year 2" xfId="5694" xr:uid="{3360C0B4-D7AA-41AC-A6E8-0E68F7E84265}"/>
    <cellStyle name="Input Middle Year 2 2" xfId="5695" xr:uid="{65C22760-3F00-4BB5-A7F8-760235BE20BB}"/>
    <cellStyle name="Input Middle Year 3" xfId="5696" xr:uid="{415E2F3F-E8B1-42DD-A8A2-6938160A4CB3}"/>
    <cellStyle name="Input Middle Year 4" xfId="5697" xr:uid="{ACD33E7F-D587-4752-AAB9-D0DD3E09081B}"/>
    <cellStyle name="Input Middle Year_Check Totals" xfId="5698" xr:uid="{2B0DB28B-A9AE-4024-82DA-26CF64757DB7}"/>
    <cellStyle name="Input Sheet Title" xfId="1229" xr:uid="{296057D4-3FF3-4198-AC6B-DB57DC0BB75F}"/>
    <cellStyle name="Input Sheet Title 2" xfId="5699" xr:uid="{9BAE71E2-7473-42D0-A795-21E98943B8B9}"/>
    <cellStyle name="Input Sheet Title 2 2" xfId="5700" xr:uid="{9CD36DD3-A725-47DB-AE74-522FA344083E}"/>
    <cellStyle name="Input Sheet Title 3" xfId="5701" xr:uid="{E5AD0002-5A74-42CC-B023-7E7DBB42180E}"/>
    <cellStyle name="Input Sheet Title 4" xfId="5702" xr:uid="{3C4DF8D6-9EDC-479E-8542-868350F29ED1}"/>
    <cellStyle name="Input Sheet Title_Check Totals" xfId="5703" xr:uid="{DB1F96B5-8C56-4CDA-A25F-ADA6F6EEDC03}"/>
    <cellStyle name="inputDate" xfId="5704" xr:uid="{CE2C9CBD-FEDE-4ED5-BBD9-DD779D00BB92}"/>
    <cellStyle name="inputExposure" xfId="5705" xr:uid="{F69753C2-3E03-437A-BF6B-101DEB459CF4}"/>
    <cellStyle name="inputMaturity" xfId="5706" xr:uid="{04A377BA-BC36-484A-82DB-07A6F7239C38}"/>
    <cellStyle name="inputPD" xfId="5707" xr:uid="{C54D14BD-B04C-42F2-8B3B-D7BE1A8B73DF}"/>
    <cellStyle name="inputPercentage" xfId="5708" xr:uid="{9DDBFD42-8CEE-45D5-977E-87A5BD832046}"/>
    <cellStyle name="inputSelection" xfId="5709" xr:uid="{995E6EF6-954C-4B75-AA33-0C64ABD91FE1}"/>
    <cellStyle name="inputText" xfId="5710" xr:uid="{FC7D79BA-24FC-433D-BCD5-C19AAA515A24}"/>
    <cellStyle name="Instructions" xfId="1230" xr:uid="{B60B5158-9C48-45B9-8163-12003EF816E0}"/>
    <cellStyle name="InstructionsHeadingNormal" xfId="1231" xr:uid="{52D58D4E-54A0-4B19-931D-860A6F086677}"/>
    <cellStyle name="Ital" xfId="5711" xr:uid="{F2738817-FDD0-4B2D-AAF8-2ACE37BAEABD}"/>
    <cellStyle name="label" xfId="5712" xr:uid="{CDC85A41-930F-48F1-9B85-0C958F2DCAFA}"/>
    <cellStyle name="LHN FTB1 - Financial Table Body" xfId="1232" xr:uid="{88E7BDC1-3468-4875-B41F-0D03A6B6598B}"/>
    <cellStyle name="LHN FTB1a - Financial Table Body with underline" xfId="1233" xr:uid="{1CBAF926-EAA9-4F04-A18F-5219C72F4D64}"/>
    <cellStyle name="LHN FTB1a - Financial Table Body with underline 2" xfId="5713" xr:uid="{C9AC64C6-274F-4471-B8F6-844C4AEB3D9C}"/>
    <cellStyle name="LHN FTH1 - Financial Header 1" xfId="1234" xr:uid="{D4180A82-8B94-45D3-B393-D3CAB74D35BE}"/>
    <cellStyle name="LHN FTH1 - Financial Header 1 2" xfId="5714" xr:uid="{6DD66A83-8027-41E4-8405-26B51575DF2D}"/>
    <cellStyle name="LHN FTH2a - Financial Header 2a" xfId="1235" xr:uid="{47B815CB-FB97-4E7F-BCFE-ECA828281D9F}"/>
    <cellStyle name="LHN FTH2a - Financial Header 2a 2" xfId="5715" xr:uid="{452CD6FB-44FB-4100-B0F1-101FA2670BEE}"/>
    <cellStyle name="LHN FTNB4 - Percentages - bold &amp; shaded &amp; no underline &amp; 2dp%" xfId="1236" xr:uid="{6C5A8CF1-27AC-49F1-9761-124A3EE1F93C}"/>
    <cellStyle name="LHN FTNB4a - Percentages - bold &amp; shaded &amp; underline &amp; 2dp%" xfId="1237" xr:uid="{63FDA84E-1BF3-454C-B181-9C6EF0B24F6F}"/>
    <cellStyle name="LHN FTNB4a - Percentages - bold &amp; shaded &amp; underline &amp; 2dp% 2" xfId="5716" xr:uid="{F6AE1A4D-1631-416C-9CCF-070242FCF6D3}"/>
    <cellStyle name="LHN FTNB4b - Percentages - underline &amp; 1dp%" xfId="1238" xr:uid="{6E321287-F628-4E06-B804-2680DA80EED3}"/>
    <cellStyle name="LHN FTNB4b - Percentages - underline &amp; 1dp% 2" xfId="5717" xr:uid="{CC893C8B-BEC2-472B-8636-EFC9D92FB755}"/>
    <cellStyle name="LHN FTNB4c - Percentages - no underline &amp; 1dp%" xfId="1239" xr:uid="{9205B4C0-CD5D-4E8D-90EC-725AF41D5B80}"/>
    <cellStyle name="LHN FTSH1 - Fin Tables Sub" xfId="1240" xr:uid="{E9DC8456-3D24-4BAD-BADA-4FF264E31994}"/>
    <cellStyle name="LHN FTSH1 - Fin Tables Sub 2" xfId="5718" xr:uid="{EFAFACB0-300C-4616-90A5-FBD788D4E779}"/>
    <cellStyle name="LHN H2 - Header 2" xfId="1241" xr:uid="{D1637569-B809-407F-92CB-1BB70F34487D}"/>
    <cellStyle name="LineItemPrompt" xfId="5719" xr:uid="{022F986C-8548-4A6F-BF68-B62C724D0BC7}"/>
    <cellStyle name="LineItemValue" xfId="5720" xr:uid="{B7363C5B-89C6-47E2-94A0-37DDA27C7143}"/>
    <cellStyle name="Link Currency (0)" xfId="1242" xr:uid="{456D727F-30CF-49B8-A27C-DABEA0E6985B}"/>
    <cellStyle name="Link Currency (0) 2" xfId="5721" xr:uid="{8256F9F1-B495-42BF-9534-F5BB273DCA61}"/>
    <cellStyle name="Link Currency (2)" xfId="1243" xr:uid="{9C5A471D-B6C6-41D1-8BBB-36C3CED18625}"/>
    <cellStyle name="Link Currency (2) 2" xfId="5722" xr:uid="{9F10DAD6-1D98-42DF-9244-E5F0169F2F89}"/>
    <cellStyle name="Link Units (0)" xfId="1244" xr:uid="{4D81F984-DD6E-4863-9600-7EDAC1EC8881}"/>
    <cellStyle name="Link Units (0) 2" xfId="5723" xr:uid="{4F0CDFC7-1756-48D9-AE0A-2A636AEE7E0B}"/>
    <cellStyle name="Link Units (1)" xfId="1245" xr:uid="{CCFC25D2-83E6-4D2A-B202-C0FC400F19F5}"/>
    <cellStyle name="Link Units (1) 2" xfId="5724" xr:uid="{68700448-9178-449A-9F5A-1947F896E83D}"/>
    <cellStyle name="Link Units (2)" xfId="1246" xr:uid="{B41FFE93-8BD1-41FB-9C2B-9C64741E100E}"/>
    <cellStyle name="Link Units (2) 2" xfId="5725" xr:uid="{732B18EB-884B-47D0-800A-07AE70CE3AB5}"/>
    <cellStyle name="Linked Cell" xfId="18" builtinId="24" customBuiltin="1"/>
    <cellStyle name="Linked Cell 2" xfId="1247" xr:uid="{59C10B5E-0193-476D-8C95-B05354EAA47A}"/>
    <cellStyle name="Linked Cell 2 2" xfId="1248" xr:uid="{14147A6C-14C7-4DBA-B09A-07B891891CAF}"/>
    <cellStyle name="Linked Cell 2 2 2" xfId="1249" xr:uid="{E74B4FAF-C915-4EC7-99F9-8678EAE76D0E}"/>
    <cellStyle name="Linked Cell 2 3" xfId="1250" xr:uid="{1A4D5829-894A-4738-A337-706BC64BAE02}"/>
    <cellStyle name="Linked Cell 2 4" xfId="1251" xr:uid="{A8B42768-4B28-4007-9641-4FBB1BD74D4A}"/>
    <cellStyle name="Linked Cell 2 5" xfId="1252" xr:uid="{F3B0BFED-0066-4605-B2B5-2F163689EC1F}"/>
    <cellStyle name="Linked Cell 3" xfId="1253" xr:uid="{46047502-07D2-4982-9676-CB3D558050AB}"/>
    <cellStyle name="Linked Cell 3 2" xfId="1254" xr:uid="{E419CE27-9A2C-44F9-87D7-67AE6F1BE661}"/>
    <cellStyle name="Lookup Table Heading" xfId="1255" xr:uid="{E1A47D8F-0E60-498B-8A85-35FEB1DB1800}"/>
    <cellStyle name="Lookup Table Heading 2" xfId="1256" xr:uid="{997A890E-3BD1-4924-AB11-EC2ECC968AB6}"/>
    <cellStyle name="Lookup Table Heading 2 2" xfId="5726" xr:uid="{CEC507A3-EADE-4CAE-84D6-FD55FEA1E88F}"/>
    <cellStyle name="Lookup Table Heading 3" xfId="1257" xr:uid="{3F418BAB-5034-4C84-BBAF-2B4C18503F8A}"/>
    <cellStyle name="Lookup Table Heading 4" xfId="5727" xr:uid="{4AE1AA6A-C16A-4378-BD2C-DE9FF0F2211E}"/>
    <cellStyle name="Lookup Table Heading_~2153298" xfId="5728" xr:uid="{96FC4692-CFE1-49AB-930E-0EE53329BD30}"/>
    <cellStyle name="Lookup Table Label" xfId="1258" xr:uid="{96E9C914-FDFC-4915-B5CD-71EB65A3E984}"/>
    <cellStyle name="Lookup Table Label 2" xfId="1259" xr:uid="{204E7DFD-AD4D-443A-B5BB-51D5E3CD3047}"/>
    <cellStyle name="Lookup Table Label 2 2" xfId="1260" xr:uid="{ECBB837B-EE5E-4716-ABBC-A2C5CEA6765C}"/>
    <cellStyle name="Lookup Table Label 2 3" xfId="1261" xr:uid="{563F84AB-8CBB-4406-BDF3-DC2D3D696245}"/>
    <cellStyle name="Lookup Table Label 3" xfId="1262" xr:uid="{2F75645D-FEFA-4124-A925-58DC1DC7EDE0}"/>
    <cellStyle name="Lookup Table Label 3 2" xfId="5729" xr:uid="{89D60DCB-A841-4FAE-885E-3047BA6BA436}"/>
    <cellStyle name="Lookup Table Label 4" xfId="5730" xr:uid="{3A68781B-1762-4479-9ACE-9AA330797F6B}"/>
    <cellStyle name="Lookup Table Label_~2153298" xfId="5731" xr:uid="{5CC96C42-6B9C-4E40-A730-58FDD3AC8E89}"/>
    <cellStyle name="Lookup Table Number" xfId="1263" xr:uid="{7D47557A-2E26-458E-9CB9-418CDCE94BC5}"/>
    <cellStyle name="Lookup Table Number 2" xfId="1264" xr:uid="{A35FF837-23BF-406F-8584-DD25F85C2EB7}"/>
    <cellStyle name="Lookup Table Number 2 2" xfId="1265" xr:uid="{4C001715-6ECE-450A-8941-763025A59D66}"/>
    <cellStyle name="Lookup Table Number 2 3" xfId="1266" xr:uid="{26ECEFB1-8383-4800-9807-582242DFC7C9}"/>
    <cellStyle name="Lookup Table Number 3" xfId="1267" xr:uid="{DA424CC1-D177-4F39-9458-195797C4B4F3}"/>
    <cellStyle name="Lookup Table Number 3 2" xfId="5732" xr:uid="{F317401D-7E64-40BF-BDFB-15AF296EC0C3}"/>
    <cellStyle name="Lookup Table Number 4" xfId="5733" xr:uid="{5AA6B7E7-9DB2-4E16-A560-DD2249C3CABA}"/>
    <cellStyle name="Lookup Table Number_~2153298" xfId="5734" xr:uid="{06E57395-6635-4F6F-B898-A0929570BAEA}"/>
    <cellStyle name="LS Input Lookup Label" xfId="1268" xr:uid="{53AE533D-50B5-46A5-B343-F793E6FCE59F}"/>
    <cellStyle name="LS Input Lookup Label 2" xfId="5735" xr:uid="{3E89D897-11A4-4A4C-8068-1298B4AEABCB}"/>
    <cellStyle name="LS Input Lookup Label 2 2" xfId="5736" xr:uid="{A90E64B7-91E7-4038-B3AB-8E41ED9BDC6F}"/>
    <cellStyle name="LS Input Lookup Label 3" xfId="5737" xr:uid="{4CBE3C45-05EE-4944-9A74-AD03877122F1}"/>
    <cellStyle name="LS Input Lookup Label 4" xfId="5738" xr:uid="{A5714141-5DCE-4A28-AD7B-3A68E22BE53C}"/>
    <cellStyle name="LS Input Lookup Label_Check Totals" xfId="5739" xr:uid="{410741E5-4C96-4F95-BCBB-16186EB86890}"/>
    <cellStyle name="LS Input Table Heading" xfId="1269" xr:uid="{36B5DBFF-B00A-425B-B8C8-398474A30113}"/>
    <cellStyle name="LS Input Table Heading 2" xfId="5740" xr:uid="{BB5BA070-A8BB-45AA-BC62-1D31DB397DEB}"/>
    <cellStyle name="LS Input Table Heading 2 2" xfId="5741" xr:uid="{C755E588-10D0-4FDB-9830-72FC3CDCC329}"/>
    <cellStyle name="LS Input Table Heading 3" xfId="5742" xr:uid="{02B5755B-7CC2-485C-88B0-CEC65DED30C9}"/>
    <cellStyle name="LS Input Table Heading 4" xfId="5743" xr:uid="{AED991B2-F1AD-4C26-BACF-6F9084CC217A}"/>
    <cellStyle name="LS Input Table Heading_Check Totals" xfId="5744" xr:uid="{7F6819F2-8B6E-4FDD-BA5C-B8CE80D5DAED}"/>
    <cellStyle name="LS Input Table No. 1" xfId="1270" xr:uid="{6210A2C6-EF3B-4802-A08C-69FD7AB97704}"/>
    <cellStyle name="LS Input Table No. 1 2" xfId="5745" xr:uid="{DBAB348F-1EC0-4C63-ABD9-89C1CC3B1CAD}"/>
    <cellStyle name="LS Input Table No. 1 2 2" xfId="5746" xr:uid="{A4D37759-6364-4F58-BD1A-ACE58EDEF9BC}"/>
    <cellStyle name="LS Input Table No. 1 3" xfId="5747" xr:uid="{3759761E-F023-4C4D-B5D1-8A95AF8FF506}"/>
    <cellStyle name="LS Input Table No. 1 4" xfId="5748" xr:uid="{441055A2-447E-4DFD-97F0-F36568241B2F}"/>
    <cellStyle name="LS Input Table No. 1_Check Totals" xfId="5749" xr:uid="{7ED226E4-0D75-4266-B410-1ED6760BE6AC}"/>
    <cellStyle name="LS Output Table No. 2+" xfId="1271" xr:uid="{3EE63FFE-BA4C-4684-81E5-F54735D69C1E}"/>
    <cellStyle name="LS Output Table No. 2+ 2" xfId="5750" xr:uid="{7A6ABFFB-F61F-4145-A27D-377E6C7534B2}"/>
    <cellStyle name="LS Output Table No. 2+ 3" xfId="5751" xr:uid="{C82DFB19-0499-4203-A131-D6A466849014}"/>
    <cellStyle name="LS Output Table No. 2+ 3 2" xfId="5752" xr:uid="{59C20046-36D7-41B7-9CFB-47FE11D05BEF}"/>
    <cellStyle name="LS Output Table No. 2+ 4" xfId="5753" xr:uid="{856FEF95-91A9-4C22-9CA2-F19F5CF0EE0D}"/>
    <cellStyle name="LS Output Table No. 2+ 5" xfId="5754" xr:uid="{7A15F6BF-0773-4248-9D03-3D2A21E358AC}"/>
    <cellStyle name="LS Output Table No. 2+_1.0 HFM data" xfId="5755" xr:uid="{D8EDA1FB-D0CD-4907-80BB-7F2593C6919C}"/>
    <cellStyle name="LSI Lookup Label" xfId="1272" xr:uid="{E721FB90-AFCD-4F7B-AC46-D54456DF6DC1}"/>
    <cellStyle name="LSI Sheet Title" xfId="1273" xr:uid="{89D21C09-8376-4B5E-A68D-43DC5EAD2DA1}"/>
    <cellStyle name="LSI Table Heading" xfId="1274" xr:uid="{C998C1B1-FA1E-414A-9368-98245EF06D80}"/>
    <cellStyle name="LSI Table No. 1" xfId="1275" xr:uid="{739946C6-5752-42CD-81D5-A67187E9C5DE}"/>
    <cellStyle name="LSI Table No. 2+" xfId="1276" xr:uid="{15B7C20E-7E8E-4C68-B949-93F2302DDAF9}"/>
    <cellStyle name="LSI Table Title" xfId="1277" xr:uid="{3097F11E-0B77-487E-9C96-3071986CBB8F}"/>
    <cellStyle name="LSO Company Name" xfId="1278" xr:uid="{7AE0B2FD-EA5C-441F-9CA5-F59622D207D0}"/>
    <cellStyle name="m" xfId="1279" xr:uid="{EE1CC3AC-4D15-46D2-9883-09C378FAE76C}"/>
    <cellStyle name="Main Dim Rollup" xfId="1280" xr:uid="{DC9C8485-E7D3-4AEC-BD8B-350EA489474B}"/>
    <cellStyle name="main_input" xfId="5756" xr:uid="{CBAA10FA-0ADD-431B-AE08-ACB668F428B8}"/>
    <cellStyle name="MainData" xfId="5757" xr:uid="{62319002-35F5-4259-805B-FE1DB1F6B561}"/>
    <cellStyle name="MajorHeading" xfId="1281" xr:uid="{0B181CFD-0B62-40CE-8CDE-1127E82C5D65}"/>
    <cellStyle name="MajorTotal" xfId="5758" xr:uid="{F9C3121F-F5A5-4FC4-9455-7DB1F4C6E4AF}"/>
    <cellStyle name="MajorTotal 2" xfId="5759" xr:uid="{8CF91F62-2655-4051-BAC6-2FB844F9EC78}"/>
    <cellStyle name="Mapping" xfId="1282" xr:uid="{53664042-6A1D-48A1-8FF9-94B4FF29AD64}"/>
    <cellStyle name="Memo" xfId="1283" xr:uid="{3BD0A035-0548-4E14-9D5E-66682069AA79}"/>
    <cellStyle name="Memo 2" xfId="1284" xr:uid="{DE96EFD5-675A-4EB9-B518-79B7FA0BFD3C}"/>
    <cellStyle name="Memo 2 2" xfId="5760" xr:uid="{1C21991A-26C8-474D-945F-12151E87EB9A}"/>
    <cellStyle name="Memo 2 2 2" xfId="5761" xr:uid="{161D6501-914B-4A2B-AEF0-D48A3600F603}"/>
    <cellStyle name="Memo 3" xfId="5762" xr:uid="{3457427C-D8E9-4E5C-BC52-DC929BCE9806}"/>
    <cellStyle name="Memo 3 2" xfId="5763" xr:uid="{68F617FB-67AD-4F31-A335-B18173606839}"/>
    <cellStyle name="Memo 4" xfId="5764" xr:uid="{4482FBB7-D21B-439C-983C-55166E1DEE75}"/>
    <cellStyle name="Memo 5" xfId="5765" xr:uid="{99E859E7-356E-416B-9C40-6BDE15A9565E}"/>
    <cellStyle name="Memo 6" xfId="5766" xr:uid="{BC749A5F-6E84-427C-9145-6195627858CF}"/>
    <cellStyle name="Memo 7" xfId="5767" xr:uid="{899C7D33-D79D-4016-AAD1-A9271D817F4B}"/>
    <cellStyle name="Memo 7 2" xfId="5768" xr:uid="{51CF23E2-F611-4135-A332-77AE1AABCA3C}"/>
    <cellStyle name="Memo_~2153298" xfId="5769" xr:uid="{5FA2CCF7-E467-473B-A125-2B5D7A75E97F}"/>
    <cellStyle name="Middle Currency" xfId="1285" xr:uid="{AC91BF48-C5DC-411C-8B08-55C9FDB94B99}"/>
    <cellStyle name="Middle Currency 2" xfId="5770" xr:uid="{F700C42D-E6AA-4C7C-9B0B-FEBB75D7EE26}"/>
    <cellStyle name="Middle Currency 2 2" xfId="5771" xr:uid="{62702A66-A094-4319-A717-8B915D6C70CE}"/>
    <cellStyle name="Middle Currency 3" xfId="5772" xr:uid="{DCB395DF-9C0A-4B2D-AD7F-6FF4998743EB}"/>
    <cellStyle name="Middle Currency 4" xfId="5773" xr:uid="{9B336FE6-3A96-4978-80AB-BDC350F6A33F}"/>
    <cellStyle name="Middle Currency_Check Totals" xfId="5774" xr:uid="{1851FBA8-EC79-43C1-A9BD-7DFAF2ACCD99}"/>
    <cellStyle name="Middle Date" xfId="1286" xr:uid="{907A8177-04FB-4F32-A928-29182A8E6094}"/>
    <cellStyle name="Middle Date 2" xfId="5775" xr:uid="{A1352C37-428B-428C-BE93-0B73C5A751F7}"/>
    <cellStyle name="Middle Date 2 2" xfId="5776" xr:uid="{B44CCA2A-9982-4787-B5DB-8E3A58B74599}"/>
    <cellStyle name="Middle Date 3" xfId="5777" xr:uid="{C73224D9-3640-43BF-BD71-9A4A39F6D5F6}"/>
    <cellStyle name="Middle Date 4" xfId="5778" xr:uid="{AE41DBB8-C704-4399-A499-E5BE73DDF6A6}"/>
    <cellStyle name="Middle Date_Check Totals" xfId="5779" xr:uid="{B2DFFDF9-3975-43FA-B567-D3089CEE125E}"/>
    <cellStyle name="Middle Multiple" xfId="1287" xr:uid="{B7D2CBC7-6968-46AE-9562-2479C7948CEA}"/>
    <cellStyle name="Middle Multiple 2" xfId="5780" xr:uid="{0E6828D0-8BA9-4CEB-A96A-E2A72E00B65E}"/>
    <cellStyle name="Middle Multiple 2 2" xfId="5781" xr:uid="{AFE8632A-8AB1-4D4A-B831-5382FA1EEA8F}"/>
    <cellStyle name="Middle Multiple 3" xfId="5782" xr:uid="{8FE0E251-6663-4668-ABF3-6611061090D5}"/>
    <cellStyle name="Middle Multiple 4" xfId="5783" xr:uid="{B14EC34A-2230-4A8C-86A9-A7EAEA4AA51D}"/>
    <cellStyle name="Middle Multiple_Check Totals" xfId="5784" xr:uid="{73745F6A-C0C5-4BD0-8297-A97960BC4B66}"/>
    <cellStyle name="Middle Number" xfId="1288" xr:uid="{7E220F3D-6F38-4967-9D24-6707B0F75E74}"/>
    <cellStyle name="Middle Number 2" xfId="5785" xr:uid="{DFCD1851-0356-4AFA-9872-32DAB75F6796}"/>
    <cellStyle name="Middle Number 2 2" xfId="5786" xr:uid="{18E31C9F-2F75-496B-A575-7F83B4F61B47}"/>
    <cellStyle name="Middle Number 3" xfId="5787" xr:uid="{C0ED29C4-5C59-4F6D-814B-B047EBBAD743}"/>
    <cellStyle name="Middle Number 4" xfId="5788" xr:uid="{4B32285C-49BB-4924-9A27-C819A6E91E26}"/>
    <cellStyle name="Middle Number_Check Totals" xfId="5789" xr:uid="{2B3CD56F-6349-4269-873A-1BBFF09F1579}"/>
    <cellStyle name="Middle Percentage" xfId="1289" xr:uid="{3136672C-79AE-47D1-A655-9987DD119E29}"/>
    <cellStyle name="Middle Percentage 2" xfId="5790" xr:uid="{EFCE7329-29A0-4A11-8813-7B66B32D77C1}"/>
    <cellStyle name="Middle Percentage 2 2" xfId="5791" xr:uid="{8F8845F0-4A25-4693-B968-79C2F13E8E62}"/>
    <cellStyle name="Middle Percentage 3" xfId="5792" xr:uid="{AB90A68D-29F5-467D-93E5-DE61EEA8B130}"/>
    <cellStyle name="Middle Percentage 4" xfId="5793" xr:uid="{4122CF18-20B6-415E-8171-5929294AF2A4}"/>
    <cellStyle name="Middle Percentage_Check Totals" xfId="5794" xr:uid="{68066781-FE6F-405C-B7A6-8F16133F5066}"/>
    <cellStyle name="Middle Title / Name" xfId="1290" xr:uid="{83128A09-7EB0-456D-8260-14AA5014929B}"/>
    <cellStyle name="Middle Title / Name 2" xfId="5795" xr:uid="{292F664C-DCD9-416B-9D67-CC6861015F06}"/>
    <cellStyle name="Middle Title / Name 2 2" xfId="5796" xr:uid="{3BDC25E8-4147-4CA0-AE1A-56E1C8B25F60}"/>
    <cellStyle name="Middle Title / Name 3" xfId="5797" xr:uid="{13F28E37-E1CB-4873-ACE6-8B7BAD790AA0}"/>
    <cellStyle name="Middle Title / Name 4" xfId="5798" xr:uid="{20182ED8-D073-41BB-A157-81EE08B61DBE}"/>
    <cellStyle name="Middle Title / Name_Check Totals" xfId="5799" xr:uid="{49D9597C-4B33-4849-90D3-9C2092B69063}"/>
    <cellStyle name="Middle Year" xfId="1291" xr:uid="{9D107EB4-0ADC-44E0-986D-650ABB90965A}"/>
    <cellStyle name="Middle Year 2" xfId="5800" xr:uid="{7EDD49DC-48FE-43C7-9FE8-2393B99A9AB8}"/>
    <cellStyle name="Middle Year 2 2" xfId="5801" xr:uid="{5E7D0383-7209-4995-84B8-EC3DA971AAC3}"/>
    <cellStyle name="Middle Year 3" xfId="5802" xr:uid="{6FC436B8-4CA4-4865-921A-A66A4C386AAD}"/>
    <cellStyle name="Middle Year 4" xfId="5803" xr:uid="{17CD26D4-9A35-486F-B4D5-B366483CDCEB}"/>
    <cellStyle name="Middle Year_Check Totals" xfId="5804" xr:uid="{FDF1DE35-35E0-45A4-B171-8F2B8EA01F24}"/>
    <cellStyle name="Milliers [0]_3A_NumeratorReport_Option1_040611" xfId="5805" xr:uid="{1143BBA5-58A9-419E-900B-C13288AB19CC}"/>
    <cellStyle name="Milliers_3A_NumeratorReport_Option1_040611" xfId="5806" xr:uid="{E8967533-F8D7-4B23-8B48-DFDB961EDCA3}"/>
    <cellStyle name="Mixed Cell Forecast Date" xfId="1292" xr:uid="{5588F6C6-983D-49D8-A745-2D77EB70DC1C}"/>
    <cellStyle name="Mixed Cell Forecast Date 2" xfId="5807" xr:uid="{D20105A9-C8D1-47E5-859E-D72E8E6DFE13}"/>
    <cellStyle name="Mixed Cell Forecast Date 3" xfId="5808" xr:uid="{35608BAA-B2EA-4C78-ABA3-ECA3B9301485}"/>
    <cellStyle name="Mixed Cell Forecast Date 3 2" xfId="5809" xr:uid="{1FEBD733-6B54-46E9-A203-9DC1D5A538DB}"/>
    <cellStyle name="Mixed Cell Forecast Date 4" xfId="5810" xr:uid="{1B9B0B17-DBE4-4413-BFD6-BCCC8D36C2D5}"/>
    <cellStyle name="Mixed Cell Forecast Date 5" xfId="5811" xr:uid="{BA1DF972-D39D-4B40-AF02-33414402CD2E}"/>
    <cellStyle name="Mixed Cell Forecast Date_1.0 HFM data" xfId="5812" xr:uid="{FA9033C3-A80E-4582-A456-4706497A99D8}"/>
    <cellStyle name="Model Name" xfId="1293" xr:uid="{A58AFE6F-EC25-4A36-9AE8-31189B2B66C3}"/>
    <cellStyle name="Model Name 2" xfId="1294" xr:uid="{E507E228-C8A7-4056-A068-31F26BEFA807}"/>
    <cellStyle name="Model Name 2 2" xfId="1295" xr:uid="{6E1A70A5-6E9F-4698-A1E2-30531939B979}"/>
    <cellStyle name="Model Name 2 2 2" xfId="5813" xr:uid="{4F0732C7-3107-4241-B341-B06078E8EC78}"/>
    <cellStyle name="Model Name 3" xfId="1296" xr:uid="{0BFF5791-D4C7-4BC1-A6C4-DA8E3CB7ECF3}"/>
    <cellStyle name="Model Name 4" xfId="5814" xr:uid="{3A21DC78-2142-4C36-8B9A-0059156419A7}"/>
    <cellStyle name="Model Name_~2153298" xfId="5815" xr:uid="{E9F3B115-B3EC-4AF2-8EA4-D7873AD42E47}"/>
    <cellStyle name="Modifiable" xfId="5816" xr:uid="{7C10F670-87F1-4319-9B40-8B743F857255}"/>
    <cellStyle name="Monétaire [0]_3A_NumeratorReport_Option1_040611" xfId="5817" xr:uid="{7DA3E388-B19B-4417-8E45-08A12EC782D0}"/>
    <cellStyle name="Monétaire_3A_NumeratorReport_Option1_040611" xfId="5818" xr:uid="{6B40B628-2B54-4C31-87B5-F202196CD718}"/>
    <cellStyle name="Month" xfId="1297" xr:uid="{A308C7B2-653D-4E2C-8A62-D2A0A917542C}"/>
    <cellStyle name="MSA TITLES SHOW" xfId="5819" xr:uid="{FFBA90F4-8791-4A20-9AA5-31B10B3AA3D3}"/>
    <cellStyle name="MSA TITLES SHOW 2" xfId="5820" xr:uid="{9323866B-7D86-48D0-994C-985195B22CA3}"/>
    <cellStyle name="MSA TITLES SHOW_~2153298" xfId="5821" xr:uid="{4C0F6C2E-11F0-4674-A73A-39D908E82C2F}"/>
    <cellStyle name="multiple" xfId="1298" xr:uid="{80533D07-9DB0-4080-AE43-279FDAEFADC5}"/>
    <cellStyle name="multiple 10" xfId="5822" xr:uid="{CC728473-C869-45B6-996E-96BA160A9461}"/>
    <cellStyle name="Multiple 11" xfId="5823" xr:uid="{9B6E19B9-85E5-403C-910F-BA8D862CE87B}"/>
    <cellStyle name="Multiple 12" xfId="5824" xr:uid="{C5C7A86D-73CD-4028-94DC-72D68D8F2B67}"/>
    <cellStyle name="Multiple 13" xfId="5825" xr:uid="{568D9580-BD37-43B9-873E-F12E3EE86655}"/>
    <cellStyle name="Multiple 14" xfId="5826" xr:uid="{3C4636C1-D3EA-4A5C-8CCB-41DCB22C6FD0}"/>
    <cellStyle name="Multiple 2" xfId="1299" xr:uid="{54075FA5-7433-4DC4-A64C-E07ABCE297CA}"/>
    <cellStyle name="multiple 3" xfId="5827" xr:uid="{EF3FA139-4FD7-4478-8645-0429029059F7}"/>
    <cellStyle name="multiple 4" xfId="5828" xr:uid="{9024C81D-75F3-43CE-A819-F4C18437A49F}"/>
    <cellStyle name="multiple 5" xfId="5829" xr:uid="{77B612DE-F466-4144-B284-932E303B6422}"/>
    <cellStyle name="multiple 6" xfId="5830" xr:uid="{ED79F9AF-7548-422D-8CCD-5A8546C104D2}"/>
    <cellStyle name="multiple 7" xfId="5831" xr:uid="{7CF5DB05-E966-4986-94BA-E8F6021E1AFD}"/>
    <cellStyle name="multiple 8" xfId="5832" xr:uid="{EFE55682-1EDB-491B-A158-2D09C950CAD2}"/>
    <cellStyle name="multiple 9" xfId="5833" xr:uid="{3FCE3E95-979E-4C6C-A811-1D9AF1E29BE9}"/>
    <cellStyle name="Multiple_Check Totals" xfId="5834" xr:uid="{2BFAECC7-6496-4BA2-B10F-18F438A3C74D}"/>
    <cellStyle name="n" xfId="1300" xr:uid="{E1D341FC-C0EC-4ED5-B60A-B7AC93D47C27}"/>
    <cellStyle name="NAB A1 - info" xfId="1301" xr:uid="{85DD3EF9-E8B4-4B54-BB46-871428B129CD}"/>
    <cellStyle name="NAB A1 - info 2" xfId="1302" xr:uid="{DD14D9F2-0FE6-4A0E-9FF8-C23077E16481}"/>
    <cellStyle name="NAB A1 - info_~2153298" xfId="5835" xr:uid="{53BA4E1B-6399-46AE-83B3-73F72A2DBA5A}"/>
    <cellStyle name="NAB A1a - info" xfId="1303" xr:uid="{1CC9DF58-4C63-458C-B1BB-EF9815C050C3}"/>
    <cellStyle name="NAB A1a - info 2" xfId="1304" xr:uid="{08922D39-4959-4B48-8AD8-06AD8A7CC8FA}"/>
    <cellStyle name="NAB A1a - info 2 2" xfId="5836" xr:uid="{4490C8F4-D24D-4F31-9F15-4D8B1ABF6AEB}"/>
    <cellStyle name="NAB A1a - info 3" xfId="5837" xr:uid="{22236D13-F38C-4DD7-BCEC-B29F04E68431}"/>
    <cellStyle name="NAB A1a - info 3 2" xfId="5838" xr:uid="{81790772-461B-41B4-9490-91430AA5FC01}"/>
    <cellStyle name="NAB A1a - info 4" xfId="5839" xr:uid="{7AD644B5-127B-425D-839E-0C61056A458A}"/>
    <cellStyle name="NAB A1a - info 5" xfId="5840" xr:uid="{06868047-C99C-4966-BA79-BD5FB12EA932}"/>
    <cellStyle name="NAB A1a - info_~2153298" xfId="5841" xr:uid="{2DEF5736-ED53-44E5-836C-0F3507679228}"/>
    <cellStyle name="NAB A1b - info" xfId="1305" xr:uid="{37F3EFFA-EFD8-45C6-B00C-E8113F5766EE}"/>
    <cellStyle name="NAB A1b - info 2" xfId="1306" xr:uid="{F9837F1A-F278-4E53-B3DC-5F084E3AB588}"/>
    <cellStyle name="NAB A1b - info 2 2" xfId="5842" xr:uid="{163835EA-773C-4D2E-9EC2-5942B724527C}"/>
    <cellStyle name="NAB A1b - info 3" xfId="5843" xr:uid="{59EE5288-FB5D-4B00-88FC-91AE52DE1FDD}"/>
    <cellStyle name="NAB A1b - info 3 2" xfId="5844" xr:uid="{62D41619-33DE-47E7-A808-C06D29579A4C}"/>
    <cellStyle name="NAB A1b - info 4" xfId="5845" xr:uid="{CB5A0EB3-F859-4596-90A7-D96219F0C643}"/>
    <cellStyle name="NAB A1b - info 5" xfId="5846" xr:uid="{CB1C44A3-D3CA-4D5C-B28B-954E5B7609E6}"/>
    <cellStyle name="NAB A1b - info_~2153298" xfId="5847" xr:uid="{29FAB0FA-59D9-4B16-A2EB-543244212D8E}"/>
    <cellStyle name="NAB B1 - Body copy" xfId="1307" xr:uid="{0AF6C431-F83D-4341-9E95-1AC1B32648B4}"/>
    <cellStyle name="NAB B1 - Body copy 2" xfId="1308" xr:uid="{8A704548-66F0-4CE0-B1AB-5A2DD065736A}"/>
    <cellStyle name="NAB B1 - Body copy 2 2" xfId="1309" xr:uid="{F004DDAA-9B41-421C-83CC-DE0FC8BF6557}"/>
    <cellStyle name="NAB B1 - Body copy 2 2 2" xfId="3626" xr:uid="{87435157-ABAE-450F-9B49-7B6226077FE6}"/>
    <cellStyle name="NAB B1 - Body copy 2 3" xfId="5848" xr:uid="{E3EB5813-E43C-4482-B2D2-720334531FF5}"/>
    <cellStyle name="NAB B1 - Body copy 2 3 2" xfId="5849" xr:uid="{0820F5A8-3E54-4892-A85A-8DC5ACE6EF64}"/>
    <cellStyle name="NAB B1 - Body copy 3" xfId="1310" xr:uid="{3984E20F-4B3E-4A2D-BD1C-0ED2D330E27E}"/>
    <cellStyle name="NAB B1 - Body copy 3 2" xfId="5850" xr:uid="{FD1E498A-00A1-4926-8048-52E3227A3C3C}"/>
    <cellStyle name="NAB B1 - Body copy 3 3" xfId="5851" xr:uid="{50D158DB-41A6-4F66-8843-1E9A2941C496}"/>
    <cellStyle name="NAB B1 - Body copy 4" xfId="1311" xr:uid="{F08AD602-9117-4D76-AB05-65D9CE19543A}"/>
    <cellStyle name="NAB B1 - Body copy 5" xfId="1312" xr:uid="{81642FB9-17F0-4802-AF31-4413A7B253DC}"/>
    <cellStyle name="NAB B1 - Body copy_~2153298" xfId="5852" xr:uid="{BF8B7388-4708-497A-AB9C-D4CCC35AE415}"/>
    <cellStyle name="NAB B1a - Body copy,B" xfId="1313" xr:uid="{229C7057-0358-462D-ACFF-7BD146D6102D}"/>
    <cellStyle name="NAB FN1 - Footnote" xfId="78" xr:uid="{F10B05D8-D6B4-4B3C-A4A4-131744885DE4}"/>
    <cellStyle name="NAB FN1 - Footnote 2" xfId="1314" xr:uid="{FB20703E-66FB-4069-B016-02EC74FA191B}"/>
    <cellStyle name="NAB FN1 - Footnote 2 2" xfId="1315" xr:uid="{291A7FF8-D359-4535-BCD2-2FAEBC3CD666}"/>
    <cellStyle name="NAB FN1 - Footnote 2 3" xfId="1316" xr:uid="{F0FCE94A-B808-4EAD-8E02-6B68FFBB95CF}"/>
    <cellStyle name="NAB FN1 - Footnote 3" xfId="1317" xr:uid="{56C3596D-4A15-4CDF-BFC4-073958A733CE}"/>
    <cellStyle name="NAB FN1 - Footnote_Ctrl DL _ RA Published - Sep 2011" xfId="1318" xr:uid="{19843584-65AC-40FA-824C-E6FC502F628D}"/>
    <cellStyle name="NAB FN1a - Footnote Number" xfId="77" xr:uid="{14621617-1142-4528-92B4-4A854BB66FFF}"/>
    <cellStyle name="NAB FTB1 - Financial Table Body" xfId="62" xr:uid="{2148ECAC-4564-4302-8E5B-0DE4F96B2E0F}"/>
    <cellStyle name="NAB FTB1a - Financial Table Body with underline" xfId="1319" xr:uid="{856EA149-5315-491C-B4F3-D68C02A07F89}"/>
    <cellStyle name="NAB FTB1a - Financial Table Body with underline 2" xfId="5853" xr:uid="{5CE4010F-6219-4998-9C87-4A09AB9AD31D}"/>
    <cellStyle name="NAB FTB1a - Financial Table Body,U" xfId="69" xr:uid="{142C09BC-AD30-411A-9D9B-48DA4C9A2289}"/>
    <cellStyle name="NAB FTB1a - Financial Table Body,U 2" xfId="5854" xr:uid="{A46D9FCC-3C07-480B-9DAA-7D9F00C0AF7F}"/>
    <cellStyle name="NAB FTB1b - Financial Table Body with underline &amp; shading" xfId="1320" xr:uid="{94FBCE74-BE8B-486F-A218-B0C0ABFD8876}"/>
    <cellStyle name="NAB FTB1b - Financial Table Body,T,BU" xfId="1321" xr:uid="{EAB8D257-9147-4E41-8E01-2E5C0ECE9E95}"/>
    <cellStyle name="NAB FTB1bd - Financial Table Body,DS,T,BU" xfId="1322" xr:uid="{15704880-C9CB-427B-842A-7DCFBB8176A8}"/>
    <cellStyle name="NAB FTB1bs - Financial Table Body,S,T,BU" xfId="1323" xr:uid="{488AA859-738C-47C3-A18E-931E507F0F58}"/>
    <cellStyle name="NAB FTB1c - Financial Table Body with bold underline" xfId="1324" xr:uid="{419C0850-8A14-4796-8428-6A90006C92AD}"/>
    <cellStyle name="NAB FTB1c - Financial Table Body,BU" xfId="1325" xr:uid="{B80E6D1D-2822-4CBF-89BB-7A70F79BA023}"/>
    <cellStyle name="NAB FTB1c - Financial Table Body,BU 2" xfId="3413" xr:uid="{EDEFFE77-1245-46E9-99E6-E04B1ED46B73}"/>
    <cellStyle name="NAB FTB1c - Financial Table Body,BU 2 2" xfId="11450" xr:uid="{ECD21B11-41FF-4F3F-AD16-1B4D144C719C}"/>
    <cellStyle name="NAB FTB1c - Financial Table Body,BU 3" xfId="11416" xr:uid="{C538594C-D45C-4794-9F67-045C93717E8E}"/>
    <cellStyle name="NAB FTB1c - Financial Table Body,BU 3 2" xfId="11550" xr:uid="{876B5AB7-53D0-4D7F-9F68-4E81885546D0}"/>
    <cellStyle name="NAB FTB1d - Financial Table Body with italic" xfId="1326" xr:uid="{04ACA0AA-1CDB-47FE-AD00-9469ADD21377}"/>
    <cellStyle name="NAB FTB1d - Financial Table Body,italic" xfId="90" xr:uid="{E94F431C-79EC-4C6A-9FC6-69645B330973}"/>
    <cellStyle name="NAB FTB1e - Financial Table Body with bold underline only" xfId="1327" xr:uid="{B6E51F75-85DB-42DA-B14B-65C98C068DD9}"/>
    <cellStyle name="NAB FTB1e - Financial Table Body with bold underline only 2" xfId="3551" xr:uid="{A16C40B4-8FF1-46E1-A5AA-CCB577D75834}"/>
    <cellStyle name="NAB FTB1e - Financial Table Body with bold underline only 2 2" xfId="11457" xr:uid="{98486C70-4B6F-496C-BBBF-28A324B959EC}"/>
    <cellStyle name="NAB FTB1e - Financial Table Body with bold underline only 3" xfId="11417" xr:uid="{2633F409-C842-4E6C-BAEA-FBB949E8A68F}"/>
    <cellStyle name="NAB FTB1e - Financial Table Body with bold underline only 3 2" xfId="11551" xr:uid="{B5699F47-A603-4018-AB45-EB98AB90C5E1}"/>
    <cellStyle name="NAB FTB1e - Financial Table Body,Right" xfId="1328" xr:uid="{70E8FA4A-F5FE-4301-8E6E-8408FD871047}"/>
    <cellStyle name="NAB FTB1f - Financial Table Body" xfId="1329" xr:uid="{C12B1D1B-9932-4589-9830-FBBCFC2A1B41}"/>
    <cellStyle name="NAB FTB1f - Financial Table Body,Right,U" xfId="1330" xr:uid="{B1FF27CF-AF07-4BFB-B8C1-B7314BA8CEE4}"/>
    <cellStyle name="NAB FTB1f - Financial Table Body,Right,U 2" xfId="5855" xr:uid="{ECDBA78F-1821-4906-8ECE-31341E78764D}"/>
    <cellStyle name="NAB FTB1g - Financial Body with text underline" xfId="1331" xr:uid="{A96F8FDC-5C9B-4CC5-918F-95BF9CA56807}"/>
    <cellStyle name="NAB FTB1g - Financial Body with text underline 2" xfId="5856" xr:uid="{F4B66D59-5F48-4E8E-9D79-9BB3814C7C7C}"/>
    <cellStyle name="NAB FTB1g - Financial Body with text underline 3" xfId="5857" xr:uid="{3CF04A44-3BBA-4CAA-9A06-274E36BC769D}"/>
    <cellStyle name="NAB FTB1g - Financial Body with text underline 4" xfId="5858" xr:uid="{3002E006-99FD-41C3-A0C8-8C17FE187791}"/>
    <cellStyle name="NAB FTB1g - Financial Body with text underline 5" xfId="5859" xr:uid="{FD02BAAF-B158-40A7-AD37-25F9B40925AF}"/>
    <cellStyle name="NAB FTB1g - Financial Body with text underline 6" xfId="5860" xr:uid="{67AABCF6-4D83-4323-AC65-9558E4F44B8A}"/>
    <cellStyle name="NAB FTB1g - Financial Body with text underline 7" xfId="5861" xr:uid="{97F3C335-DAE3-47EC-9C31-0DB3D204401F}"/>
    <cellStyle name="NAB FTB1g - Financial Body with text underline 7 2" xfId="5862" xr:uid="{24292EE0-A7C6-4EF3-9C58-737F7BEF1C34}"/>
    <cellStyle name="NAB FTB1g - Financial Body with text underline_~2153298" xfId="5863" xr:uid="{DE4FA086-358B-4467-B81E-B6C5F5930AF4}"/>
    <cellStyle name="NAB FTB1g - Financial Table Body bold only" xfId="1332" xr:uid="{0624210A-84F8-4AC8-8F7D-676E31117A79}"/>
    <cellStyle name="NAB FTB1h - Financial Table Body" xfId="1333" xr:uid="{D1C5B970-4BFF-4482-9293-B899EE21C68A}"/>
    <cellStyle name="NAB FTB1h - Financial Table Body bold only" xfId="1334" xr:uid="{D3EE10C1-D3E6-4A89-8C79-D0BDA01F1D0D}"/>
    <cellStyle name="NAB FTB1h - Financial Table Body_~2153298" xfId="5864" xr:uid="{BE903187-8875-4505-956C-D4E8A89BDD4C}"/>
    <cellStyle name="NAB FTB1i - Financial Table Body bold with bold top border" xfId="1335" xr:uid="{21A0ACFE-7CD9-478F-AB09-93A35C96B31B}"/>
    <cellStyle name="NAB FTB1i - Financial Table Body bold with bold top border 2" xfId="1336" xr:uid="{392C6554-2C27-4EF4-9EA8-ED9C374DACAE}"/>
    <cellStyle name="NAB FTB1i - Financial Table Body bold with bold top border 2 2" xfId="1337" xr:uid="{1212B529-E0FE-492B-B73D-0DA1B8F4EC24}"/>
    <cellStyle name="NAB FTB1i - Financial Table Body bold with bold top border 2 2 2" xfId="11324" xr:uid="{0BD7CBFC-471B-4E55-A8FA-C72070D8D5BD}"/>
    <cellStyle name="NAB FTB1i - Financial Table Body bold with bold top border 2 2 2 2" xfId="11532" xr:uid="{8DD15538-B6E4-405E-8496-B6EA5D7CD0DE}"/>
    <cellStyle name="NAB FTB1i - Financial Table Body bold with bold top border 2 3" xfId="11316" xr:uid="{3D571680-4968-40C0-B149-B5653A18E2C5}"/>
    <cellStyle name="NAB FTB1i - Financial Table Body bold with bold top border 2 3 2" xfId="11524" xr:uid="{E15DF48B-D7D0-43B5-B9D7-82517C7E2321}"/>
    <cellStyle name="NAB FTB1i - Financial Table Body bold with bold top border 3" xfId="1338" xr:uid="{2FF73411-5F38-432B-85F8-FB56AD2E1CC7}"/>
    <cellStyle name="NAB FTB1i - Financial Table Body bold with bold top border 3 2" xfId="11320" xr:uid="{38B4FF03-1938-428F-8258-7E1DC5AF61AD}"/>
    <cellStyle name="NAB FTB1i - Financial Table Body bold with bold top border 3 2 2" xfId="11528" xr:uid="{47550960-B05D-4BDB-A52B-7CC1E813E26B}"/>
    <cellStyle name="NAB FTB1i - Financial Table Body bold with bold top border 4" xfId="11312" xr:uid="{249C582C-E427-43B3-B21A-9262B5ACD78F}"/>
    <cellStyle name="NAB FTB1i - Financial Table Body bold with bold top border 4 2" xfId="11520" xr:uid="{D4F64CD2-7678-48CE-8BBF-CA80F0A26AAF}"/>
    <cellStyle name="NAB FTB1j - Financial Table Body bold with bold underline only" xfId="1339" xr:uid="{D110E0D7-C596-48DB-9843-D9ECBE2FB323}"/>
    <cellStyle name="NAB FTB1j - Financial Table Body bold with bold underline only 2" xfId="3552" xr:uid="{625C22E6-8926-46FC-A816-F15AACD0D28F}"/>
    <cellStyle name="NAB FTB1j - Financial Table Body bold with bold underline only 2 2" xfId="11458" xr:uid="{9AD6B181-0CF7-431E-9DCB-02651596D31B}"/>
    <cellStyle name="NAB FTB1j - Financial Table Body bold with bold underline only 3" xfId="11418" xr:uid="{CE9FD85B-746E-4D09-862B-BF4D5C9E809B}"/>
    <cellStyle name="NAB FTB1j - Financial Table Body bold with bold underline only 3 2" xfId="11552" xr:uid="{F2E5D0AD-B0E7-4152-B724-731F0439B345}"/>
    <cellStyle name="NAB FTB1k - Financial Table Body bold with bold underline only" xfId="1340" xr:uid="{D78B3077-507F-4A55-A8A7-1F209108E6E3}"/>
    <cellStyle name="NAB FTB1k - Financial Table Body bold with side borders" xfId="1341" xr:uid="{6EC77893-2F98-49E3-A70A-3886BB6E4DB8}"/>
    <cellStyle name="NAB FTB1L - Financial Table Body Right Indent" xfId="1342" xr:uid="{07B5F40B-EA10-425A-A369-4F0DA89C0421}"/>
    <cellStyle name="NAB FTBB1 - Financial Table Body,AB" xfId="60" xr:uid="{CC26E392-D6A3-43ED-AF0D-761C5E20DFDD}"/>
    <cellStyle name="NAB FTBB1a - Financial Table Body,AB,U" xfId="58" xr:uid="{2CDAAE4D-68E8-414B-882E-D0578A8132CC}"/>
    <cellStyle name="NAB FTBB1a - Financial Table Body,AB,U 2" xfId="5865" xr:uid="{84EEC98A-4DF1-4CC0-A31E-175DC93E1598}"/>
    <cellStyle name="NAB FTBB1b - Financial Table Body,AB,T,BU" xfId="92" xr:uid="{29C4025B-CA41-4E2F-83E5-B883C0F262ED}"/>
    <cellStyle name="NAB FTBB1bd - Financial Table Body,AB,DS,T,BU" xfId="85" xr:uid="{7F7CEF09-D415-48C6-BDE2-A79A9CD12CCE}"/>
    <cellStyle name="NAB FTBB1bs - Financial Table Body,AB,S,T,BU" xfId="1343" xr:uid="{28846741-1662-4A28-A6FB-B221D9413071}"/>
    <cellStyle name="NAB FTBB1c - Financial Table Body,AB,BU" xfId="1344" xr:uid="{7D1948D5-572D-4B93-B771-96284E49BEA1}"/>
    <cellStyle name="NAB FTBB1c - Financial Table Body,AB,BU 2" xfId="3409" xr:uid="{58DCEAAE-B21F-4DF2-8A0A-E1BCCEB26C0B}"/>
    <cellStyle name="NAB FTBB1c - Financial Table Body,AB,BU 2 2" xfId="11446" xr:uid="{F817C81C-646E-4AF8-A97C-13273694C5DD}"/>
    <cellStyle name="NAB FTBB1c - Financial Table Body,AB,BU 3" xfId="11419" xr:uid="{5FB2928A-BD6E-4CF5-B70C-EF6F10B14357}"/>
    <cellStyle name="NAB FTBB1c - Financial Table Body,AB,BU 3 2" xfId="11553" xr:uid="{6B0F1FF8-93DB-414F-8485-07C8D691F4DE}"/>
    <cellStyle name="NAB FTBB1d - Financial Table Body,AB,italic" xfId="1345" xr:uid="{C2B47AA4-A9D2-4920-A712-D8726BE35786}"/>
    <cellStyle name="NAB FTBB1e - Financial Table Body,AB,right" xfId="1346" xr:uid="{724A095B-F74F-44C9-A364-848588F038B5}"/>
    <cellStyle name="NAB FTBB1f - Financial Table Body,AB,right,U" xfId="1347" xr:uid="{666D65E7-351A-4A37-969E-8E29D6ED49AB}"/>
    <cellStyle name="NAB FTBB1f - Financial Table Body,AB,right,U 2" xfId="5866" xr:uid="{B9804334-15AC-4482-B3D2-C0CA52E91157}"/>
    <cellStyle name="NAB FTH1 - Financial Header 1" xfId="56" xr:uid="{5E1F739E-4DC8-46F7-A071-B7B9E8D620C3}"/>
    <cellStyle name="NAB FTH1 - Financial Header 1 2" xfId="1348" xr:uid="{4AC8DDC0-D04B-4F6C-8C13-708DAE0A2D54}"/>
    <cellStyle name="NAB FTH1 - Financial Header 1 2 2" xfId="1349" xr:uid="{E6A7A960-BB2E-423D-A31A-32BF9324A836}"/>
    <cellStyle name="NAB FTH1 - Financial Header 1 2 3" xfId="1350" xr:uid="{7363A382-566C-4ADB-B0BD-3156E86D7062}"/>
    <cellStyle name="NAB FTH1 - Financial Header 1 3" xfId="5867" xr:uid="{A73ADF37-9620-46B5-A4CE-120CC69478AF}"/>
    <cellStyle name="NAB FTH2 - Financial Header 2" xfId="57" xr:uid="{21E7FC42-6397-4CDF-A34C-410332D86934}"/>
    <cellStyle name="NAB FTH2 - Financial Header 2 2" xfId="1351" xr:uid="{02AC9310-8659-45AA-BABF-6A9E7AA93DFD}"/>
    <cellStyle name="NAB FTH2 - Financial Header 2 2 2" xfId="1352" xr:uid="{F54C7658-2768-4647-98DD-2ADE1EC9676E}"/>
    <cellStyle name="NAB FTH2 - Financial Header 2 2 3" xfId="1353" xr:uid="{C24ABD9B-C019-4E7E-9B98-8FA23D65AE69}"/>
    <cellStyle name="NAB FTH2 - Financial Header 2_PA Published - Mar 2010" xfId="1354" xr:uid="{2ECC16F3-5379-432D-9907-B4A0B965333D}"/>
    <cellStyle name="NAB FTH2 - Financial Header 2e" xfId="1355" xr:uid="{EF995CC4-62E6-4653-B1FB-07F59537FF8C}"/>
    <cellStyle name="NAB FTH2a - Financial Header 2" xfId="59" xr:uid="{842D54BC-7647-40DC-A90C-94E8ED347CF5}"/>
    <cellStyle name="NAB FTH2a - Financial Header 2 2" xfId="5868" xr:uid="{0ED77480-E548-4831-A54C-E7CBA6F4AC64}"/>
    <cellStyle name="NAB FTH2a - Financial Header 2a" xfId="1356" xr:uid="{0DCF9311-B304-433C-9192-A80E9CC852B0}"/>
    <cellStyle name="NAB FTH2a - Financial Header 2a 2" xfId="5869" xr:uid="{C55EC608-FC6D-429A-A452-C47E65B88D00}"/>
    <cellStyle name="NAB FTH2b - Financial Header" xfId="1357" xr:uid="{AE22553C-1724-43DE-B36C-77E46E4DA553}"/>
    <cellStyle name="NAB FTH2c - Financial Header" xfId="1358" xr:uid="{E40FF277-4CC7-4304-A2FF-13586A8823B6}"/>
    <cellStyle name="NAB FTH2c - Financial Header 2" xfId="5870" xr:uid="{3F41765C-3AA4-4D74-A90D-269CFF8CC2D3}"/>
    <cellStyle name="NAB FTH2c - Financial Header 2 - with shading" xfId="1359" xr:uid="{F8A4FA20-77CE-4932-9BC9-E260C38857CE}"/>
    <cellStyle name="NAB FTH2c - Financial Header_~2153298" xfId="5871" xr:uid="{62E5056E-926E-4ECB-A491-A8165B472DC3}"/>
    <cellStyle name="NAB FTH2d - Financial Header 2 - with shading &amp; underline" xfId="1360" xr:uid="{06BBEEAA-9D4F-4B20-862B-CD69C7ADE51B}"/>
    <cellStyle name="NAB FTH2d - Financial Header 2 - with shading &amp; underline 2" xfId="5872" xr:uid="{B9068304-12C7-4FA8-891C-2ED32AAED11B}"/>
    <cellStyle name="NAB FTH2d - Financial Header,S" xfId="1361" xr:uid="{A74F04E9-B25F-4870-8F6F-F04368B4B9CC}"/>
    <cellStyle name="NAB FTH2e - Financial Header,S,U" xfId="1362" xr:uid="{067CE01E-7965-42D7-A571-B8B1721594F5}"/>
    <cellStyle name="NAB FTH2e - Financial Header,S,U 2" xfId="5873" xr:uid="{6CF614A7-C036-47A8-993C-86018808802F}"/>
    <cellStyle name="NAB FTH2f - Financial Header 2 - with shading &amp; underline" xfId="1363" xr:uid="{6C640523-763E-4447-806B-5164B4C66A5B}"/>
    <cellStyle name="NAB FTH3 - Financial Header bold center across" xfId="1364" xr:uid="{FCEE1AC5-DB62-4D76-8840-E184358DED9B}"/>
    <cellStyle name="NAB FTH3a - Financial Header bold center across" xfId="1365" xr:uid="{A803D090-299B-4D1F-ACC0-381D452D1A60}"/>
    <cellStyle name="NAB FTH3a - Financial Header bold center across 2" xfId="1366" xr:uid="{4E88CC34-B1FA-4EAF-9B56-A615D15D00C1}"/>
    <cellStyle name="NAB FTH3a - Financial Header bold center across 2 2" xfId="1367" xr:uid="{C87A02DA-C8BA-4B8E-936B-3806A5A8D205}"/>
    <cellStyle name="NAB FTH3a - Financial Header bold center across 2 2 2" xfId="1368" xr:uid="{8FB5B7F2-7166-424B-9067-E59FA9FE82EE}"/>
    <cellStyle name="NAB FTH3a - Financial Header bold center across 2 2 2 2" xfId="3628" xr:uid="{801B7E42-5CE8-4833-B94B-77A100F71C94}"/>
    <cellStyle name="NAB FTH3a - Financial Header bold center across 2 2 3" xfId="3601" xr:uid="{7DA46EAA-6EEF-4E30-B594-C9F23ED360D4}"/>
    <cellStyle name="NAB FTH3a - Financial Header bold center across 2 3" xfId="3600" xr:uid="{40A40D4D-FEB6-40FE-B212-DCEC1291BD41}"/>
    <cellStyle name="NAB FTH3a - Financial Header bold center across 3" xfId="3553" xr:uid="{0DA01066-7494-4CA0-8CB9-58068CB828B5}"/>
    <cellStyle name="NAB FTH3b - Financial Header bold center across" xfId="1369" xr:uid="{0D05954F-8510-4B33-81FF-99B1F0E8F8A6}"/>
    <cellStyle name="NAB FTH3b - Financial Header bold center across 2" xfId="5874" xr:uid="{0D5FF24A-C4A1-483A-9BC8-EB9A7D8DB2DE}"/>
    <cellStyle name="NAB FTH5a - Financial Header Note" xfId="1370" xr:uid="{235C7567-52EB-4B30-933F-CFC21337322F}"/>
    <cellStyle name="NAB FTH5a - Financial Header Note 2" xfId="5875" xr:uid="{A771E5FB-1ABF-443A-A85E-FA5742FDE9FC}"/>
    <cellStyle name="NAB FTH5b - Financial Header Note" xfId="1371" xr:uid="{B837326A-FBC7-4199-9961-22B0B8AAA4A6}"/>
    <cellStyle name="NAB FTH5c - Financial Header Note" xfId="1372" xr:uid="{8AA0AA6D-2BAF-4574-9455-099176EBF7B7}"/>
    <cellStyle name="NAB FTN4i - Percentages - underline shading &amp; bold" xfId="1373" xr:uid="{A4FD023D-CBCB-4BE0-9FA0-1B2B5CAD253B}"/>
    <cellStyle name="NAB FTN4i - Percentages - underline shading &amp; bold 2" xfId="5876" xr:uid="{22FBC3B4-9D55-4DDA-A197-F1C0D1D19D1D}"/>
    <cellStyle name="NAB FTNB1 - Bold numbers" xfId="1374" xr:uid="{3996F723-2FFF-43E3-821C-FCDE29B19378}"/>
    <cellStyle name="NAB FTNB1 - Bold numbers 2" xfId="5877" xr:uid="{64B46907-8A9A-4B41-8ACF-3366DB58DB33}"/>
    <cellStyle name="NAB FTNB1 - Numbers - B,S" xfId="81" xr:uid="{7E3C76B0-3A5B-4842-B691-019545A7F8DC}"/>
    <cellStyle name="NAB FTNB1 - Numbers - bold" xfId="1375" xr:uid="{BE1C5172-1D03-464B-BA26-FC25A9D509A5}"/>
    <cellStyle name="NAB FTNB1a - Numbers - B,S,U" xfId="83" xr:uid="{A1D8C9C0-B1F5-40C9-A9D9-C33D0F2F74B5}"/>
    <cellStyle name="NAB FTNB1a - Numbers - B,S,U 2" xfId="5878" xr:uid="{F8EDAC86-1F29-410E-9DFA-DB0F57274EFB}"/>
    <cellStyle name="NAB FTNB1a - Numbers - bold &amp; underline" xfId="1376" xr:uid="{62DBC664-96C1-4353-8028-639AF1C4E9E6}"/>
    <cellStyle name="NAB FTNB1a - Numbers - bold &amp; underline 2" xfId="5879" xr:uid="{0534583F-22C9-470F-9B92-044C96599E09}"/>
    <cellStyle name="NAB FTNB1abps - Numbers - B,S,U" xfId="1377" xr:uid="{744F4B17-11B1-45B3-85EC-1E6FE469AFC5}"/>
    <cellStyle name="NAB FTNB1abps - Numbers - B,S,U 2" xfId="5880" xr:uid="{3CC5BC3B-2A99-41BC-B74F-D8CA32A81B4D}"/>
    <cellStyle name="NAB FTNB1b - Numbers - B,S,T,BU" xfId="1378" xr:uid="{798BB417-225B-4F0C-9EC4-955B508AA61E}"/>
    <cellStyle name="NAB FTNB1b - Numbers - bold &amp; bold underline" xfId="1379" xr:uid="{E0C1122C-F763-4340-86D8-BEBC6675BE44}"/>
    <cellStyle name="NAB FTNB1bbps - Numbers - B,S,T,BU" xfId="1380" xr:uid="{82727F81-725C-48C5-A5B5-F2F906C1CAEB}"/>
    <cellStyle name="NAB FTNB1bd - Numbers - B,DS,T,BU" xfId="87" xr:uid="{58520954-EA0C-49B8-9695-D65753B8D26F}"/>
    <cellStyle name="NAB FTNB1bps - Numbers - B,S" xfId="1381" xr:uid="{3C6AFF97-5BF2-4E28-9D90-3D55C95F6E50}"/>
    <cellStyle name="NAB FTNB1c - Numbers - B,S,BU" xfId="1382" xr:uid="{6E698EA8-2E3E-4841-9AA7-33DCC8A9313E}"/>
    <cellStyle name="NAB FTNB1c - Numbers - B,S,BU 2" xfId="1383" xr:uid="{C38A3CA7-D8D7-4121-92C7-969782BE3286}"/>
    <cellStyle name="NAB FTNB1c - Numbers - B,S,BU 2 2" xfId="1384" xr:uid="{F9E6F7B0-5E81-43C0-A163-1821FB0D90EF}"/>
    <cellStyle name="NAB FTNB1c - Numbers - B,S,BU 2 2 2" xfId="3632" xr:uid="{D928A810-E365-4A95-8606-6E5BD8738BDB}"/>
    <cellStyle name="NAB FTNB1c - Numbers - B,S,BU 2 2 2 2" xfId="11469" xr:uid="{C7838B7B-8721-4CA7-B508-549D2C384B2B}"/>
    <cellStyle name="NAB FTNB1c - Numbers - B,S,BU 2 2 3" xfId="11422" xr:uid="{4C10A15E-81AC-46A3-833A-BA284EC3A782}"/>
    <cellStyle name="NAB FTNB1c - Numbers - B,S,BU 2 2 3 2" xfId="11556" xr:uid="{1549B771-D97B-42EF-8164-AB931FE5BEBE}"/>
    <cellStyle name="NAB FTNB1c - Numbers - B,S,BU 2 3" xfId="3630" xr:uid="{4782C4B5-2FF0-409B-A716-96E886914F15}"/>
    <cellStyle name="NAB FTNB1c - Numbers - B,S,BU 2 3 2" xfId="11468" xr:uid="{3DC24132-4E07-4F33-A5C1-3A0D50C18B16}"/>
    <cellStyle name="NAB FTNB1c - Numbers - B,S,BU 2 4" xfId="11421" xr:uid="{677662E2-DA5E-4CD2-AEE7-23993CA03794}"/>
    <cellStyle name="NAB FTNB1c - Numbers - B,S,BU 2 4 2" xfId="11555" xr:uid="{763E9125-5ED2-4267-8A23-89C4DD4D0E23}"/>
    <cellStyle name="NAB FTNB1c - Numbers - B,S,BU 3" xfId="3410" xr:uid="{400EC988-3C5E-4526-AB69-2862D417B592}"/>
    <cellStyle name="NAB FTNB1c - Numbers - B,S,BU 3 2" xfId="11447" xr:uid="{80ECABE2-A8A1-4498-AC03-CB000BCF17E8}"/>
    <cellStyle name="NAB FTNB1c - Numbers - B,S,BU 4" xfId="11420" xr:uid="{6F96BE94-4366-4B48-8407-457C55F96FB5}"/>
    <cellStyle name="NAB FTNB1c - Numbers - B,S,BU 4 2" xfId="11554" xr:uid="{3180BED2-6D5B-40FF-84BD-43325EEFCF45}"/>
    <cellStyle name="NAB FTNB1c - Numbers - bold &amp; underline" xfId="1385" xr:uid="{17433468-E985-477A-9CC2-B70E3B35D58F}"/>
    <cellStyle name="NAB FTNB1d - Numbers - bold &amp; underline" xfId="1386" xr:uid="{57898504-549E-4FE0-B637-1710004AF8FF}"/>
    <cellStyle name="NAB FTNB1d - Numbers - bold &amp; underline 2" xfId="5881" xr:uid="{62622E3A-543D-47D4-A7CB-E0BA37EF8EC1}"/>
    <cellStyle name="NAB FTNB1d - Numbers - NB,S" xfId="65" xr:uid="{C68C94AB-A59E-481E-B833-0E9E0F18F827}"/>
    <cellStyle name="NAB FTNB1e - Numbers - bold &amp; bold underline" xfId="1387" xr:uid="{3C058E77-54B3-4C4A-AA26-68165B0D08AA}"/>
    <cellStyle name="NAB FTNB1e - Numbers - bold &amp; bold underline 2" xfId="3554" xr:uid="{E6E1F8F7-27F5-4808-9EC2-A56E133EA12A}"/>
    <cellStyle name="NAB FTNB1e - Numbers - bold &amp; bold underline 2 2" xfId="11459" xr:uid="{BBBCF265-E6B3-41E6-A55F-B2FEBA3C74BF}"/>
    <cellStyle name="NAB FTNB1e - Numbers - bold &amp; bold underline 3" xfId="11423" xr:uid="{D9333DD9-9702-45ED-813F-3FC5D2CC6547}"/>
    <cellStyle name="NAB FTNB1e - Numbers - bold &amp; bold underline 3 2" xfId="11557" xr:uid="{10D19A53-E97B-47E1-B986-BA59D9D5646B}"/>
    <cellStyle name="NAB FTNB1e - Numbers - NB,S,U" xfId="73" xr:uid="{9941B618-492A-42D2-B044-93C46C2F0FE6}"/>
    <cellStyle name="NAB FTNB1e - Numbers - NB,S,U 2" xfId="5882" xr:uid="{5872F0D9-E2F2-4D08-A94F-0DC940EE0B50}"/>
    <cellStyle name="NAB FTNB1f - Numbers - NB,S,T,U" xfId="1388" xr:uid="{146CEAD8-9469-4A13-8C35-EF3D843D9B2F}"/>
    <cellStyle name="NAB FTNB1f - Numbers - no bold &amp; bold underline &amp; shading" xfId="1389" xr:uid="{32F7C0C9-4796-4C91-B27F-A7488C197803}"/>
    <cellStyle name="NAB FTNB1f - Numbers - no bold &amp; bold underline &amp; shading 2" xfId="1390" xr:uid="{1E1D5CCD-6A5C-4E0B-A49C-10811EFCA1E8}"/>
    <cellStyle name="NAB FTNB1f - Numbers - no bold &amp; bold underline &amp; shading 2 2" xfId="1391" xr:uid="{3B332022-19C8-4D1D-9369-FE79BB37E802}"/>
    <cellStyle name="NAB FTNB1f - Numbers - no bold &amp; bold underline &amp; shading 2 2 2" xfId="5883" xr:uid="{463D281C-B733-45B3-A242-4AAF92F1FCF4}"/>
    <cellStyle name="NAB FTNB1f - Numbers - no bold &amp; bold underline &amp; shading 3" xfId="1392" xr:uid="{68333D2E-2CF8-4A4C-A2E4-D9F26733C69C}"/>
    <cellStyle name="NAB FTNB1f - Numbers - no bold &amp; bold underline &amp; shading_~2153298" xfId="5884" xr:uid="{DC3CBF58-5C98-4721-8239-B98785286932}"/>
    <cellStyle name="NAB FTNB1g - Numbers - no bold &amp; shading" xfId="1393" xr:uid="{4408E065-B640-4B6D-8466-3456C73DDE08}"/>
    <cellStyle name="NAB FTNB1g - Numbers B,S,1dp" xfId="63" xr:uid="{96755706-D8F6-40D0-917B-27642ED0E913}"/>
    <cellStyle name="NAB FTNB1h - Numbers - bold &amp; bold underline &amp; shade" xfId="1394" xr:uid="{40C126D4-DD32-44E7-BCDF-058E24DF7B19}"/>
    <cellStyle name="NAB FTNB1h - Numbers - bold &amp; underline &amp; shade" xfId="1395" xr:uid="{8F79BCC5-6D17-4E3F-82D3-6CB055ABD704}"/>
    <cellStyle name="NAB FTNB1h - Numbers - bold &amp; underline &amp; shade 2" xfId="1396" xr:uid="{91BFA82B-751E-4A2D-AFAB-365B888F277D}"/>
    <cellStyle name="NAB FTNB1h - Numbers - bold &amp; underline &amp; shade 2 2" xfId="1397" xr:uid="{3EE6D995-B76E-4A46-91FC-236DDE98E296}"/>
    <cellStyle name="NAB FTNB1h - Numbers - bold &amp; underline &amp; shade 2 2 2" xfId="1398" xr:uid="{543E9F43-AA93-4FB1-B6DE-B7576C8AB7CF}"/>
    <cellStyle name="NAB FTNB1h - Numbers - bold &amp; underline &amp; shade 2 2 2 2" xfId="3629" xr:uid="{4BD1A731-000B-487D-AC80-166385EA59C5}"/>
    <cellStyle name="NAB FTNB1h - Numbers - bold &amp; underline &amp; shade 2 2 3" xfId="3603" xr:uid="{908E5C3C-2C58-430F-8FF1-97804795C9C0}"/>
    <cellStyle name="NAB FTNB1h - Numbers - bold &amp; underline &amp; shade 2 3" xfId="3602" xr:uid="{A0A901CF-9CBB-4BA0-B920-F9E2443268B9}"/>
    <cellStyle name="NAB FTNB1h - Numbers - bold &amp; underline &amp; shade 3" xfId="3555" xr:uid="{32168E86-8DA7-43EF-B4EC-43F658371935}"/>
    <cellStyle name="NAB FTNB1h - Numbers B,S,U,1dp" xfId="1399" xr:uid="{2FAB97B5-A7B9-4AC2-9890-5DE53A6A0895}"/>
    <cellStyle name="NAB FTNB1h - Numbers B,S,U,1dp 2" xfId="5885" xr:uid="{3172EB3A-F038-4620-88F0-602436C49421}"/>
    <cellStyle name="NAB FTNB1i - Numbers - no bold &amp; bold underline" xfId="1400" xr:uid="{6ED4FE41-4C27-49EB-8054-99411BA587BE}"/>
    <cellStyle name="NAB FTNB1i - Numbers B,S,T,BU,1dp" xfId="1401" xr:uid="{906507A8-E9D2-48D0-B947-64D40B8D9A14}"/>
    <cellStyle name="NAB FTNB1id - Numbers B,DS,T,BU,1dp" xfId="1402" xr:uid="{F3CFFB47-0061-4DC3-B317-067B9633CDC0}"/>
    <cellStyle name="NAB FTNB1j - Numbers - Bold" xfId="1403" xr:uid="{10E35B25-9F54-441D-A943-92B101D2A15C}"/>
    <cellStyle name="NAB FTNB1j - Numbers - no bold &amp; no shade" xfId="1404" xr:uid="{9352252A-C42A-4691-ACFF-9D0958CB360B}"/>
    <cellStyle name="NAB FTNB1j - Numbers B,S,BU,1dp" xfId="1405" xr:uid="{F4E10C69-FFC1-491B-8444-D280D1369C5A}"/>
    <cellStyle name="NAB FTNB1j - Numbers B,S,BU,1dp 2" xfId="3414" xr:uid="{E20EE649-3DC4-4EAE-89C8-0F342FD27587}"/>
    <cellStyle name="NAB FTNB1j - Numbers B,S,BU,1dp 2 2" xfId="11451" xr:uid="{07F85823-CE1F-42E8-872E-14B696F51839}"/>
    <cellStyle name="NAB FTNB1j - Numbers B,S,BU,1dp 3" xfId="11424" xr:uid="{C2F8579B-67C4-413B-B8D0-EF1624E63709}"/>
    <cellStyle name="NAB FTNB1j - Numbers B,S,BU,1dp 3 2" xfId="11558" xr:uid="{95E9A5FF-7271-4305-A716-7E17A028FD97}"/>
    <cellStyle name="NAB FTNB1k - Numbers - no bold &amp; no shade &amp; underline" xfId="1406" xr:uid="{AEFFB2E0-A6FE-4198-9A63-7B336D7F8DE6}"/>
    <cellStyle name="NAB FTNB1k - Numbers - no bold &amp; no shade &amp; underline 2" xfId="5886" xr:uid="{36B161F2-88F3-4686-8135-FCFE331C9EC1}"/>
    <cellStyle name="NAB FTNB1k - Numbers B,S,2dp" xfId="75" xr:uid="{DA2753D4-ACB2-4124-AFFD-BA2EF82D9394}"/>
    <cellStyle name="NAB FTNB1l - Numbers B,S,U,2dp" xfId="1407" xr:uid="{316EB2DB-0AFA-4517-9D24-A9858618DE2F}"/>
    <cellStyle name="NAB FTNB1l - Numbers B,S,U,2dp 2" xfId="5887" xr:uid="{5A76ABC1-20DC-497A-AFA4-AC6B97EEE421}"/>
    <cellStyle name="NAB FTNB1l - Numbers bold 1dp shading" xfId="1408" xr:uid="{D24A8037-5E06-4246-86D5-5CC144892D33}"/>
    <cellStyle name="NAB FTNB1m - Numbers B,S,T,BU,2dp" xfId="1409" xr:uid="{2797D637-A7BC-4CD6-B45B-2015E0374EB3}"/>
    <cellStyle name="NAB FTNB1m - Numbers bold 1dp" xfId="1410" xr:uid="{7EFEC572-8CD9-4AA6-903A-2A20A0B58079}"/>
    <cellStyle name="NAB FTNB1md - Numbers B,DS,T,BU,2dp" xfId="1411" xr:uid="{D5055B2A-D3E5-4641-A7FF-59CE681C6C60}"/>
    <cellStyle name="NAB FTNB1n - Numbers B,S,BU,2dp" xfId="1412" xr:uid="{F9CE36C1-429D-49AE-8E8A-DF530260C0B3}"/>
    <cellStyle name="NAB FTNB1n - Numbers B,S,BU,2dp 2" xfId="3418" xr:uid="{A2965C3E-7546-430D-9E5F-C2B37E77C8D4}"/>
    <cellStyle name="NAB FTNB1n - Numbers B,S,BU,2dp 2 2" xfId="11455" xr:uid="{2D38A673-CE41-4445-B1F9-50F08A2A3980}"/>
    <cellStyle name="NAB FTNB1n - Numbers B,S,BU,2dp 3" xfId="11425" xr:uid="{B802C212-008F-426F-A397-0EB1953A365C}"/>
    <cellStyle name="NAB FTNB1n - Numbers B,S,BU,2dp 3 2" xfId="11559" xr:uid="{41B12583-06E9-4547-B78B-81625615F41C}"/>
    <cellStyle name="NAB FTNB1n - Numbers bold 1dp" xfId="1413" xr:uid="{3522530B-3B4E-4F75-916B-B9D52105B0E6}"/>
    <cellStyle name="NAB FTNB1o - Bold numbers" xfId="1414" xr:uid="{B14EA8AE-411C-4060-9C01-45247EE16839}"/>
    <cellStyle name="NAB FTNB1o - Bold numbers no shading" xfId="1415" xr:uid="{54473F61-195A-4877-94B3-2B07BC712D47}"/>
    <cellStyle name="NAB FTNB1o- Numbers S,1dp" xfId="67" xr:uid="{4C57214A-BFE8-4404-8A4D-BEF312C76E0F}"/>
    <cellStyle name="NAB FTNB1p - Numbers bold 1dp shading" xfId="1416" xr:uid="{6DE1D0D2-D4CC-4B5F-B01D-DED469D7919E}"/>
    <cellStyle name="NAB FTNB1p- Numbers S,2dp" xfId="1417" xr:uid="{5B63809D-D15D-4743-A608-EF4F9E0CAD1E}"/>
    <cellStyle name="NAB FTNB1q - Numbers bold 2dp" xfId="1418" xr:uid="{49C89E86-F4EF-46A9-86E2-CE2A16F5470B}"/>
    <cellStyle name="NAB FTNB1q- Numbers B,S,3dp" xfId="1419" xr:uid="{FBAD8D3F-7AD8-4FCD-A7C4-D74CDAC73D60}"/>
    <cellStyle name="NAB FTNB1s- Numbers B,S,4dp" xfId="1420" xr:uid="{18CBD9AD-C00F-48E7-A165-3A34F6919062}"/>
    <cellStyle name="NAB FTNB1t- Numbers B,S,U,4dp" xfId="1421" xr:uid="{8CE54A49-6AB1-4BD2-9909-2376E73E854E}"/>
    <cellStyle name="NAB FTNB1t- Numbers B,S,U,4dp 2" xfId="5888" xr:uid="{5D1723A4-FD2B-4379-BDBB-921FB94FD706}"/>
    <cellStyle name="NAB FTNB2 - Numbers - NB" xfId="66" xr:uid="{C6025C00-6231-4378-B037-A637763AD15D}"/>
    <cellStyle name="NAB FTNB2 - Numbers - no bold" xfId="1422" xr:uid="{17409331-57B4-4857-A691-464358266C62}"/>
    <cellStyle name="NAB FTNB2a - Numbers - NB,U" xfId="74" xr:uid="{5DFA48E3-59AC-4FEA-AEFC-D141094D1E9C}"/>
    <cellStyle name="NAB FTNB2a - Numbers - NB,U 2" xfId="5889" xr:uid="{91E6885F-8C7D-42E8-AC27-FA6B01B68AF2}"/>
    <cellStyle name="NAB FTNB2a - Numbers - no bold &amp; underline" xfId="1423" xr:uid="{BF7A6E7D-5D13-46A1-ADA0-D074B2324624}"/>
    <cellStyle name="NAB FTNB2a - Numbers - no bold &amp; underline 2" xfId="5890" xr:uid="{883B744B-1DDD-4609-9BE1-BBAF763096B0}"/>
    <cellStyle name="NAB FTNB2abps - Numbers - NB,U" xfId="1424" xr:uid="{6CE5FF38-1681-4422-B744-80EEBA0591DE}"/>
    <cellStyle name="NAB FTNB2abps - Numbers - NB,U 2" xfId="5891" xr:uid="{FB98F890-CD32-4AB4-BF76-F58441364518}"/>
    <cellStyle name="NAB FTNB2b - Numbers - NB,T,BU" xfId="1425" xr:uid="{05D32472-A91D-47A0-82D0-8B894F38B6A1}"/>
    <cellStyle name="NAB FTNB2b - Numbers - no bold &amp; bold underline &amp; shading" xfId="1426" xr:uid="{056AC8EE-964D-4C66-A6A1-3BBECDB90C53}"/>
    <cellStyle name="NAB FTNB2bbps - Numbers - NB,T,BU" xfId="1427" xr:uid="{DAE3B25C-F8E9-401F-A65C-7B597B4F6EC1}"/>
    <cellStyle name="NAB FTNB2bd - Numbers - NB,DS,T,U" xfId="86" xr:uid="{8E293DCB-F310-4658-92E2-E535EDE2D746}"/>
    <cellStyle name="NAB FTNB2bps - Numbers - NB" xfId="96" xr:uid="{56609DFF-DD8D-4899-8336-9932FEEF1D97}"/>
    <cellStyle name="NAB FTNB2bs - Numbers - NB,S,T,U" xfId="1428" xr:uid="{8BABD5B0-2331-4474-A09B-C211B7B7F737}"/>
    <cellStyle name="NAB FTNB2c - Numbers - NB,BU" xfId="1429" xr:uid="{6F2DD090-5B1B-4F3E-99AB-A6E1D5883BA7}"/>
    <cellStyle name="NAB FTNB2c - Numbers - NB,BU 2" xfId="1430" xr:uid="{D004A477-3B6C-4E59-8F04-C31C4148CC5D}"/>
    <cellStyle name="NAB FTNB2c - Numbers - NB,BU 2 2" xfId="1431" xr:uid="{BCAFD0A8-0E82-48F8-BF46-F60CEC119D6C}"/>
    <cellStyle name="NAB FTNB2c - Numbers - NB,BU 2 2 2" xfId="3633" xr:uid="{BF2BDE19-F68E-4A80-9B44-8CD1F5276B03}"/>
    <cellStyle name="NAB FTNB2c - Numbers - NB,BU 2 2 2 2" xfId="11470" xr:uid="{FCF3B854-D766-46F9-AD8A-6F456836A40C}"/>
    <cellStyle name="NAB FTNB2c - Numbers - NB,BU 2 2 3" xfId="11428" xr:uid="{15AD0269-F08F-4750-A5F4-7D031FF27945}"/>
    <cellStyle name="NAB FTNB2c - Numbers - NB,BU 2 2 3 2" xfId="11562" xr:uid="{93518840-F32F-4FC4-9FD4-B33B26F2CC34}"/>
    <cellStyle name="NAB FTNB2c - Numbers - NB,BU 2 3" xfId="3563" xr:uid="{A94542DC-58A1-49EB-8A6F-B9BFA9BDBF76}"/>
    <cellStyle name="NAB FTNB2c - Numbers - NB,BU 2 3 2" xfId="11466" xr:uid="{18BF1471-93FA-4516-B90E-341CA68DDEF0}"/>
    <cellStyle name="NAB FTNB2c - Numbers - NB,BU 2 4" xfId="11427" xr:uid="{52E82772-4A32-40FC-B02D-DCB714A443F8}"/>
    <cellStyle name="NAB FTNB2c - Numbers - NB,BU 2 4 2" xfId="11561" xr:uid="{08A5C9F4-F18B-46F3-8362-FB3EA48ECAAB}"/>
    <cellStyle name="NAB FTNB2c - Numbers - NB,BU 3" xfId="3411" xr:uid="{803EC0C7-4FFF-49D5-BB20-3CC7364D8E8D}"/>
    <cellStyle name="NAB FTNB2c - Numbers - NB,BU 3 2" xfId="11448" xr:uid="{0FEA8B8A-52DB-4F2B-86D4-F8949D744545}"/>
    <cellStyle name="NAB FTNB2c - Numbers - NB,BU 4" xfId="11426" xr:uid="{39400981-BD96-47F8-BE62-A6FEE6C1873F}"/>
    <cellStyle name="NAB FTNB2c - Numbers - NB,BU 4 2" xfId="11560" xr:uid="{B39AD405-034A-4BCA-91E4-8D37592FD52C}"/>
    <cellStyle name="NAB FTNB2c - Numbers - no bold &amp; bold underline" xfId="1432" xr:uid="{402CEA89-78A3-4CD3-B880-C2D3C56C2A82}"/>
    <cellStyle name="NAB FTNB2c - Numbers - no bold &amp; bold underline &amp; shading" xfId="1433" xr:uid="{31A07940-AEC8-49BA-9CDF-663819B74B08}"/>
    <cellStyle name="NAB FTNB2c - Numbers - no bold &amp; bold underline 2" xfId="5892" xr:uid="{C3C5D2F1-29EE-4962-9F9E-2A59801A9282}"/>
    <cellStyle name="NAB FTNB2c - Numbers - no bold &amp; bold underline 3" xfId="5893" xr:uid="{B82B2621-20BE-4E65-B57D-9CC809617997}"/>
    <cellStyle name="NAB FTNB2c - Numbers - no bold &amp; bold underline 4" xfId="5894" xr:uid="{D751F2B6-D986-499B-964A-672743F35E3C}"/>
    <cellStyle name="NAB FTNB2c - Numbers - no bold &amp; bold underline 5" xfId="5895" xr:uid="{715A1C95-526D-4FE8-914F-CD2B269A083F}"/>
    <cellStyle name="NAB FTNB2c - Numbers - no bold &amp; bold underline 6" xfId="5896" xr:uid="{1343FCDD-B88E-47EB-8882-16BBA57B8E7D}"/>
    <cellStyle name="NAB FTNB2c - Numbers - no bold &amp; bold underline 7" xfId="5897" xr:uid="{B297C0C5-F3FD-489D-AC53-C191F1869D55}"/>
    <cellStyle name="NAB FTNB2c - Numbers - no bold &amp; bold underline 8" xfId="5898" xr:uid="{E55142FC-4619-41DF-B1D5-038277037B27}"/>
    <cellStyle name="NAB FTNB2c - Numbers - no bold &amp; bold underline 9" xfId="5899" xr:uid="{BDB697B3-7D5F-4B85-B29C-78F803BA2189}"/>
    <cellStyle name="NAB FTNB2c - Numbers - no bold &amp; bold underline_~2153298" xfId="5900" xr:uid="{DB9E56D6-5F61-4DE8-859E-88EDF9CD81B6}"/>
    <cellStyle name="NAB FTNB2c - Numbers - no bold &amp; underline" xfId="1434" xr:uid="{2FC4383D-7FE4-4359-A920-18F841C8C58B}"/>
    <cellStyle name="NAB FTNB2d - Numbers - B" xfId="1435" xr:uid="{2B1EE14A-A69B-47A9-965B-847C71C9A330}"/>
    <cellStyle name="NAB FTNB2d - Numbers - no bold &amp; shading" xfId="1436" xr:uid="{2EBCECC1-1DAA-4F18-9603-9F28EF4D7DE5}"/>
    <cellStyle name="NAB FTNB2d - Numbers - no bold &amp; shading 2" xfId="1437" xr:uid="{F47ED483-5FE5-49DD-85F6-A966D355D6EF}"/>
    <cellStyle name="NAB FTNB2d - Numbers - no bold &amp; shading 3" xfId="1438" xr:uid="{54BAA0C2-9261-4DB3-8B15-14C372B2BADD}"/>
    <cellStyle name="NAB FTNB2e - Numbers - B,U" xfId="1439" xr:uid="{52081CC6-2A47-4728-99AF-7CE80A197230}"/>
    <cellStyle name="NAB FTNB2e - Numbers - B,U 2" xfId="5901" xr:uid="{CDDB9D14-19E4-4A17-9429-6044C403A42E}"/>
    <cellStyle name="NAB FTNB2e - Numbers - no bold &amp; bold underline" xfId="1440" xr:uid="{F90B5D1C-3F0C-453D-A39D-1A35B87F6DBA}"/>
    <cellStyle name="NAB FTNB2e - Numbers - no bold &amp; bold underline 2" xfId="3556" xr:uid="{B30BE7C4-C85F-4EFC-9521-BF36D4F78E93}"/>
    <cellStyle name="NAB FTNB2e - Numbers - no bold &amp; bold underline 2 2" xfId="11460" xr:uid="{07DCA2A1-E639-464C-9968-DE3DD38DB072}"/>
    <cellStyle name="NAB FTNB2e - Numbers - no bold &amp; bold underline 3" xfId="11429" xr:uid="{92242BA3-0C23-4FFB-9CBB-EFC398413A47}"/>
    <cellStyle name="NAB FTNB2e - Numbers - no bold &amp; bold underline 3 2" xfId="11563" xr:uid="{5E2287C6-E657-4632-9327-260DC69ED540}"/>
    <cellStyle name="NAB FTNB2e - Numbers - no bold &amp; underline &amp; shading" xfId="1441" xr:uid="{41A7DB8E-88AC-43B9-AB74-EF492C96EC77}"/>
    <cellStyle name="NAB FTNB2e - Numbers - no bold &amp; underline &amp; shading 2" xfId="5902" xr:uid="{BF91A1E3-5552-4887-A46C-2DF2038DA5B3}"/>
    <cellStyle name="NAB FTNB2f - Numbers - B,T,U" xfId="1442" xr:uid="{DE5A0124-C75F-452F-8C59-5A7A9C26CCE7}"/>
    <cellStyle name="NAB FTNB2f - Numbers - no bold &amp; bold underline &amp; shading" xfId="1443" xr:uid="{CA5E922B-F1F8-487C-9E09-BBE045EF627B}"/>
    <cellStyle name="NAB FTNB2g - Numbers - NB,1 dp" xfId="61" xr:uid="{1D191CF1-240B-48A8-A29D-14EA8D67C127}"/>
    <cellStyle name="NAB FTNB2g - Numbers - no bold &amp; shading" xfId="1444" xr:uid="{2ECF587F-F118-486F-A09A-FFBA552283F0}"/>
    <cellStyle name="NAB FTNB2h - Numbers - bold &amp; bold underline &amp; shading" xfId="1445" xr:uid="{FD22D5A3-D5AF-4FBA-8C13-9FF396E4974C}"/>
    <cellStyle name="NAB FTNB2h - Numbers - NB,U,1 dp" xfId="89" xr:uid="{91557CAB-40D6-42C4-99AF-EDF8853D5067}"/>
    <cellStyle name="NAB FTNB2h - Numbers - NB,U,1 dp 2" xfId="5903" xr:uid="{121B43BA-95F3-407A-8842-4C58657E78EF}"/>
    <cellStyle name="NAB FTNB2i - Numbers - NB,T,BU,1 dp" xfId="1446" xr:uid="{ACA637CD-2A4F-4208-8155-D96082B48C87}"/>
    <cellStyle name="NAB FTNB2i - Numbers - no bold &amp; shading" xfId="1447" xr:uid="{6F10EA55-47E4-405A-AA7F-EB9C35AFA4AB}"/>
    <cellStyle name="NAB FTNB2id - Numbers - NB,DS,T,BU,1 dp" xfId="93" xr:uid="{4063A373-25F9-4514-B321-A46E917D55CA}"/>
    <cellStyle name="NAB FTNB2j - Numbers - NB,BU,1 dp" xfId="1448" xr:uid="{13FFB2C4-F8F1-4FE0-AAAF-A30B1DEE2698}"/>
    <cellStyle name="NAB FTNB2j - Numbers - NB,BU,1 dp 2" xfId="3412" xr:uid="{7690F0D9-2DE6-455E-9274-F94A01E6E6C8}"/>
    <cellStyle name="NAB FTNB2j - Numbers - NB,BU,1 dp 2 2" xfId="11449" xr:uid="{282FC75F-6313-43FF-81DD-89A4682DD2EE}"/>
    <cellStyle name="NAB FTNB2j - Numbers - NB,BU,1 dp 3" xfId="11430" xr:uid="{CEFAE333-2452-46CA-993B-99F12811192E}"/>
    <cellStyle name="NAB FTNB2j - Numbers - NB,BU,1 dp 3 2" xfId="11564" xr:uid="{C0E8AAAA-DA5C-46E7-86B1-3831E0F808C7}"/>
    <cellStyle name="NAB FTNB2j - Numbers - no bold &amp; shading" xfId="1449" xr:uid="{5F622594-AA6C-4177-907F-162A99B9C502}"/>
    <cellStyle name="NAB FTNB2j - Numbers - no bold &amp; shading 2" xfId="5904" xr:uid="{A1D1D9B3-7E4A-4647-B60A-D3818E9C69A6}"/>
    <cellStyle name="NAB FTNB2k - Numbers - NB,2 dp" xfId="1450" xr:uid="{C2339905-DCDC-4AF3-9E55-3C2FADC65A2F}"/>
    <cellStyle name="NAB FTNB2k - Numbers - no bold no shading 1 dp" xfId="1451" xr:uid="{7F33DD55-BB3E-4DDF-B282-44B0822B8654}"/>
    <cellStyle name="NAB FTNB2l - Numbers - NB,U,2 dp" xfId="1452" xr:uid="{A68CDC5B-E089-4AD8-AFE1-E1B209B91567}"/>
    <cellStyle name="NAB FTNB2l - Numbers - NB,U,2 dp 2" xfId="5905" xr:uid="{91D226DF-ABE3-4094-890B-A7415213C976}"/>
    <cellStyle name="NAB FTNB2m - Numbers - NB,T,BU,2 dp" xfId="1453" xr:uid="{3C77435B-E936-450E-9622-CF5677055403}"/>
    <cellStyle name="NAB FTNB2md - Numbers - NB,DS,T,BU,2 dp" xfId="1454" xr:uid="{F0D43F4D-AF2D-444B-AE57-2A05B2AAB64B}"/>
    <cellStyle name="NAB FTNB2n - Numbers - NB,BU,2 dp" xfId="1455" xr:uid="{9C759CC8-5EDA-408D-8F0C-F6BD6550131E}"/>
    <cellStyle name="NAB FTNB2n - Numbers - NB,BU,2 dp 2" xfId="3419" xr:uid="{7C8826BD-2289-4B03-B13C-5562172108CC}"/>
    <cellStyle name="NAB FTNB2n - Numbers - NB,BU,2 dp 2 2" xfId="11456" xr:uid="{1B63ADCC-8E99-4FCA-9A96-EBD8245BFFE4}"/>
    <cellStyle name="NAB FTNB2n - Numbers - NB,BU,2 dp 3" xfId="11431" xr:uid="{C09C4C5B-805E-4248-9930-E6A7CAE773E0}"/>
    <cellStyle name="NAB FTNB2n - Numbers - NB,BU,2 dp 3 2" xfId="11565" xr:uid="{011C80EA-CC5A-4F52-87B4-1184EB79C6C8}"/>
    <cellStyle name="NAB FTNB2o - Numbers - B,1 dp" xfId="64" xr:uid="{7FB81C34-BB22-4C6A-BE3A-205AAF826BE5}"/>
    <cellStyle name="NAB FTNB2p - Numbers - B,1 dp" xfId="76" xr:uid="{9C2A49BE-E327-4F0C-99C9-E3D5A756012F}"/>
    <cellStyle name="NAB FTNB2q - Numbers - 3 dp" xfId="1456" xr:uid="{637C95A7-8B4C-4386-B5CD-AFE59F89AF2E}"/>
    <cellStyle name="NAB FTNB2r - Numbers - B,T,BU" xfId="1457" xr:uid="{6CE23656-76B6-43F3-BDBF-ED7932C88EA4}"/>
    <cellStyle name="NAB FTNB2s - Numbers - 4 dp" xfId="1458" xr:uid="{904004DF-453C-4E6F-B18C-8CD3D5CF81CE}"/>
    <cellStyle name="NAB FTNB2t - Numbers - U,4 dp" xfId="1459" xr:uid="{29E71BE3-AB94-437A-A112-38A218FE5A93}"/>
    <cellStyle name="NAB FTNB2t - Numbers - U,4 dp 2" xfId="5906" xr:uid="{1DBA4415-9133-4D47-896F-764757E46411}"/>
    <cellStyle name="NAB FTNB3 - Percentages - B,S,1dp%" xfId="70" xr:uid="{F6230B0C-532D-44DB-B80D-79DE25045C82}"/>
    <cellStyle name="NAB FTNB3 - Percentages - no bold" xfId="1460" xr:uid="{10540661-B3D8-4807-9FD0-19ECC0CE8C7E}"/>
    <cellStyle name="NAB FTNB3 - Percentages - no bold 2" xfId="5907" xr:uid="{AC13445C-0C70-494C-843A-BE8FD22937B4}"/>
    <cellStyle name="NAB FTNB3a - Percentages - B,S,U,1dp%" xfId="1461" xr:uid="{9DCFA962-49B1-46EE-9A8C-BF626A586110}"/>
    <cellStyle name="NAB FTNB3a - Percentages - B,S,U,1dp% 2" xfId="5908" xr:uid="{7E37988F-ECB1-480E-B9C8-F7F88E76B587}"/>
    <cellStyle name="NAB FTNB3a - Percentages - no bold &amp; underline" xfId="1462" xr:uid="{049491E8-E9AC-42FA-BDC3-BA7232A1FAA9}"/>
    <cellStyle name="NAB FTNB3a - Percentages - no bold &amp; underline 2" xfId="5909" xr:uid="{ECB6379B-63E5-4756-92FC-E1C7C9D6638F}"/>
    <cellStyle name="NAB FTNB3a - Percentages - no bold &amp; underline 2 2" xfId="5910" xr:uid="{AAB4CFB8-B11F-4F5A-9180-50CB92F6110A}"/>
    <cellStyle name="NAB FTNB3a - Percentages - no bold &amp; underline 3" xfId="5911" xr:uid="{AA997BEF-D0F6-44F3-A3FB-8BC4AF6385B6}"/>
    <cellStyle name="NAB FTNB3a - Percentages - no bold &amp; underline_~2153298" xfId="5912" xr:uid="{7437FE20-CE85-43E7-865E-59D023845BF8}"/>
    <cellStyle name="NAB FTNB3b - Percentages - B,S,T,BU,1dp%" xfId="1463" xr:uid="{37393D92-6A59-4840-84B6-E245BE081841}"/>
    <cellStyle name="NAB FTNB3b - Percentages - no bold &amp; bold underline &amp; shading" xfId="1464" xr:uid="{FA02E256-C497-4A44-AECB-7669C69D018E}"/>
    <cellStyle name="NAB FTNB3bd - Percentages - B,DS,T,BU,1dp%" xfId="1465" xr:uid="{80ABB029-2FBD-4A3E-979E-B69BDD2B588F}"/>
    <cellStyle name="NAB FTNB3c - Percentages - B,S,BU,1dp%" xfId="1466" xr:uid="{A1CE937B-3844-4B3A-BE50-3AB06D59763A}"/>
    <cellStyle name="NAB FTNB3c - Percentages - B,S,BU,1dp% 2" xfId="3416" xr:uid="{7D5C5106-C8CC-40EB-B729-6ED2D6960EB7}"/>
    <cellStyle name="NAB FTNB3c - Percentages - B,S,BU,1dp% 2 2" xfId="11453" xr:uid="{6FF1056E-44B9-4489-B19B-3A4956911821}"/>
    <cellStyle name="NAB FTNB3c - Percentages - B,S,BU,1dp% 3" xfId="11432" xr:uid="{F30BEE38-F758-425C-995C-CC008395A25E}"/>
    <cellStyle name="NAB FTNB3c - Percentages - B,S,BU,1dp% 3 2" xfId="11566" xr:uid="{BB75E056-B267-453B-852C-76A2F11BE330}"/>
    <cellStyle name="NAB FTNB3c - Percentages - no bold &amp; bold underline &amp; no shading" xfId="1467" xr:uid="{9BC2CF24-DED8-4405-870A-6E579E97F193}"/>
    <cellStyle name="NAB FTNB3c - Percentages - no bold &amp; bold underline &amp; no shading 2" xfId="5913" xr:uid="{08EB74AB-4EA4-4A4E-BB17-AA508836920A}"/>
    <cellStyle name="NAB FTNB3c - Percentages - no bold &amp; bold underline &amp; no shading_~2153298" xfId="5914" xr:uid="{BA7D15BD-08CA-4912-8815-B6CCE906BABF}"/>
    <cellStyle name="NAB FTNB3d - Percentages - B,S,2dp%" xfId="71" xr:uid="{7123419C-1CC4-460F-9E85-841FEA0330D4}"/>
    <cellStyle name="NAB FTNB3d - Percentages - no bold &amp; bps" xfId="1468" xr:uid="{C0BEFF68-60DE-4FCE-8121-9AEDF28998F3}"/>
    <cellStyle name="NAB FTNB3e - Percentages - B,S,U,2dp%" xfId="1469" xr:uid="{0B2D946C-27BF-469E-9945-B56FAEF1D114}"/>
    <cellStyle name="NAB FTNB3e - Percentages - B,S,U,2dp% 2" xfId="5915" xr:uid="{46533A42-16F0-4284-AAC2-24A5E4DF2E22}"/>
    <cellStyle name="NAB FTNB3f - Percentages - B,S,T,BU,2dp%" xfId="1470" xr:uid="{66F2DA93-1FDF-4B40-8DC1-3B4FF6768B6A}"/>
    <cellStyle name="NAB FTNB3fd - Percentages - B,DS,T,BU,2dp%" xfId="1471" xr:uid="{890B3CF5-E1C8-4083-931F-2D6FA340EA3D}"/>
    <cellStyle name="NAB FTNB3g - Percentages - B,S,BU,2dp%" xfId="1472" xr:uid="{788EC19F-F320-41B5-8BEC-87D51392B8AD}"/>
    <cellStyle name="NAB FTNB3g - Percentages - B,S,BU,2dp% 2" xfId="3557" xr:uid="{C80A60A7-1C14-4A10-A121-CD618B72BB44}"/>
    <cellStyle name="NAB FTNB3g - Percentages - B,S,BU,2dp% 2 2" xfId="11461" xr:uid="{92D3AE77-68A6-4EC2-AB38-E8230C7D194B}"/>
    <cellStyle name="NAB FTNB3g - Percentages - B,S,BU,2dp% 3" xfId="11433" xr:uid="{99C8411D-BD2C-42DF-9B27-E648BC982AA4}"/>
    <cellStyle name="NAB FTNB3g - Percentages - B,S,BU,2dp% 3 2" xfId="11567" xr:uid="{D42FE4A7-4606-4CE1-9CE7-C5EE60681F61}"/>
    <cellStyle name="NAB FTNB3h - Percentages - S,1dp%" xfId="1473" xr:uid="{2A55BF0F-3144-439D-A605-76EEBA49F048}"/>
    <cellStyle name="NAB FTNB3i - Percentages - S,2dp%" xfId="1474" xr:uid="{5309DE06-5E71-4EF2-A254-E4DECCA5A664}"/>
    <cellStyle name="NAB FTNB3j - Percentages - B,S,0dp%" xfId="1475" xr:uid="{2D6E75D8-F8A1-4EFA-A32B-14BF98A94E8C}"/>
    <cellStyle name="NAB FTNB3k - Percentages - B,S,U,0dp%" xfId="1476" xr:uid="{A4DE355E-6459-4275-903C-357434E1CDA7}"/>
    <cellStyle name="NAB FTNB3k - Percentages - B,S,U,0dp% 2" xfId="5916" xr:uid="{6EC5468A-4925-4824-B755-9A0C6E60BE58}"/>
    <cellStyle name="NAB FTNB4 - Percentages - 1dp%" xfId="97" xr:uid="{1CE54DB4-CB28-447B-87B4-D8AA7F2AED1A}"/>
    <cellStyle name="NAB FTNB4 - Percentages - bold &amp; shaded &amp; no underline &amp; 2dp%" xfId="1477" xr:uid="{943A9EFF-99A0-4E40-8DEC-0F0865E44BD0}"/>
    <cellStyle name="NAB FTNB4a - Percentages - bold &amp; shaded &amp; no underline &amp; 1dp%" xfId="1478" xr:uid="{CB41D722-C98D-4D31-9DC6-D9A699BBA7A9}"/>
    <cellStyle name="NAB FTNB4a - Percentages - U,1dp%" xfId="1479" xr:uid="{EE8FCEC7-EB0D-4524-8466-803734983A11}"/>
    <cellStyle name="NAB FTNB4a - Percentages - U,1dp% 2" xfId="5917" xr:uid="{BE5B0F52-8003-45C1-B360-C19C5FB2FFBD}"/>
    <cellStyle name="NAB FTNB4b - Percentages - no underline &amp; 2dp%" xfId="1480" xr:uid="{1B1D32DC-D275-4EED-A571-25A0C811841A}"/>
    <cellStyle name="NAB FTNB4b - Percentages - T,BU,1dp%" xfId="1481" xr:uid="{3E672D08-F78C-4F76-A2CD-C34081A92DFA}"/>
    <cellStyle name="NAB FTNB4bd - Percentages - DS,T,BU,1dp%" xfId="1482" xr:uid="{C41BCFCF-705F-431B-BECA-C0499609C375}"/>
    <cellStyle name="NAB FTNB4bs - Percentages - S,T,BU,1dp%" xfId="1483" xr:uid="{150C977E-467B-4E36-893D-6396D87412CC}"/>
    <cellStyle name="NAB FTNB4c - Percentages - BU,1dp%" xfId="1484" xr:uid="{1A2C5675-D4AD-42AD-A411-D79E1417BDA6}"/>
    <cellStyle name="NAB FTNB4c - Percentages - BU,1dp% 2" xfId="3417" xr:uid="{2B808424-B4E1-4D87-B63E-0CE10C1B7A3A}"/>
    <cellStyle name="NAB FTNB4c - Percentages - BU,1dp% 2 2" xfId="11454" xr:uid="{16A1AE03-A617-451B-B6A7-467AD33678D6}"/>
    <cellStyle name="NAB FTNB4c - Percentages - BU,1dp% 3" xfId="11434" xr:uid="{8DD31FCC-2790-404D-9DF4-1F20C10EADBE}"/>
    <cellStyle name="NAB FTNB4c - Percentages - BU,1dp% 3 2" xfId="11568" xr:uid="{1DE32066-A036-4AE6-99C3-E4748435FA8A}"/>
    <cellStyle name="NAB FTNB4c - Percentages - no underline &amp; 1dp%" xfId="1485" xr:uid="{4A3DDBF3-1174-4A40-B7FB-16054EF37807}"/>
    <cellStyle name="NAB FTNB4d - Percentages - 2dp%" xfId="95" xr:uid="{7ED7767F-837F-432B-91CC-C7BFBA494F36}"/>
    <cellStyle name="NAB FTNB4d - Percentages - bold &amp; shaded &amp; underline &amp; 2dp%" xfId="1486" xr:uid="{2D86C868-92F4-466D-AAE4-179CE3F6FD8D}"/>
    <cellStyle name="NAB FTNB4e - Percentages - U,2dp%" xfId="1487" xr:uid="{95EA57FF-52F3-45E9-BF19-58F840CFF2F6}"/>
    <cellStyle name="NAB FTNB4e - Percentages - U,2dp% 2" xfId="5918" xr:uid="{D18B17A1-975B-4524-8A28-AFCED5B40CA8}"/>
    <cellStyle name="NAB FTNB4e - Percentages - underline &amp; 2dp%" xfId="1488" xr:uid="{1002FA60-0DBD-427B-B5A3-341CEAA101C6}"/>
    <cellStyle name="NAB FTNB4f - Percentages - T,BU,2dp%" xfId="1489" xr:uid="{5CD1F3D5-8F06-45EE-9FE4-2BD032F8D8F3}"/>
    <cellStyle name="NAB FTNB4f - Percentages - underline &amp; 2dp%" xfId="1490" xr:uid="{C3686E2D-452F-479C-A049-672C0B12D2FF}"/>
    <cellStyle name="NAB FTNB4f - Percentages - underline &amp; 2dp% 2" xfId="1491" xr:uid="{6C62AF19-1B7D-414D-9F51-EB3FF60A5358}"/>
    <cellStyle name="NAB FTNB4f - Percentages - underline &amp; 2dp% 2 2" xfId="1492" xr:uid="{7CB0E845-BC78-44DD-BB08-3F3CFA9FF190}"/>
    <cellStyle name="NAB FTNB4f - Percentages - underline &amp; 2dp% 2 2 2" xfId="11325" xr:uid="{E22EE9C3-7518-4989-971F-918EAFD00E92}"/>
    <cellStyle name="NAB FTNB4f - Percentages - underline &amp; 2dp% 2 2 2 2" xfId="11533" xr:uid="{CE717504-6A51-4CA7-9846-3EEB0CC6B15A}"/>
    <cellStyle name="NAB FTNB4f - Percentages - underline &amp; 2dp% 2 3" xfId="11317" xr:uid="{C7212BC4-CA26-4687-9709-D50D5E121806}"/>
    <cellStyle name="NAB FTNB4f - Percentages - underline &amp; 2dp% 2 3 2" xfId="11525" xr:uid="{2B93F938-2ED9-4E37-A8BD-E08FA8EBD825}"/>
    <cellStyle name="NAB FTNB4f - Percentages - underline &amp; 2dp% 3" xfId="1493" xr:uid="{AEAB56E2-D251-4DEF-99DF-392C4C719DBE}"/>
    <cellStyle name="NAB FTNB4f - Percentages - underline &amp; 2dp% 3 2" xfId="11321" xr:uid="{F6B7FC5A-BDE4-47CA-92CF-757F3D9DFE2F}"/>
    <cellStyle name="NAB FTNB4f - Percentages - underline &amp; 2dp% 3 2 2" xfId="11529" xr:uid="{9088B0D5-4115-4836-A7A3-3907A1917148}"/>
    <cellStyle name="NAB FTNB4f - Percentages - underline &amp; 2dp% 4" xfId="11313" xr:uid="{3FED7C14-E907-4101-A3A5-8360CD785BFE}"/>
    <cellStyle name="NAB FTNB4f - Percentages - underline &amp; 2dp% 4 2" xfId="11521" xr:uid="{C54AFFC0-EF8F-4A65-BEB8-08E060A76CCC}"/>
    <cellStyle name="NAB FTNB4f - Percentages - underline &amp; shaded &amp; bold" xfId="1494" xr:uid="{29BD98CD-783E-4282-9BA6-65C2A6B6592C}"/>
    <cellStyle name="NAB FTNB4f - Percentages - underline &amp; shaded &amp; bold 2" xfId="1495" xr:uid="{74C27362-E380-4E72-B596-F4C4409D11B6}"/>
    <cellStyle name="NAB FTNB4f - Percentages - underline &amp; shaded &amp; bold 2 2" xfId="1496" xr:uid="{541C664D-633A-4337-88ED-2862B1A6C022}"/>
    <cellStyle name="NAB FTNB4f - Percentages - underline &amp; shaded &amp; bold 2 2 2" xfId="11326" xr:uid="{4AD6CCB9-99B9-4F07-9ED3-8E536916DB7F}"/>
    <cellStyle name="NAB FTNB4f - Percentages - underline &amp; shaded &amp; bold 2 2 2 2" xfId="11534" xr:uid="{2364B77D-5C83-4434-893C-A3E8FF000DFC}"/>
    <cellStyle name="NAB FTNB4f - Percentages - underline &amp; shaded &amp; bold 2 3" xfId="11318" xr:uid="{2AB9BE69-083E-47A8-9BB6-35888CDFA2C6}"/>
    <cellStyle name="NAB FTNB4f - Percentages - underline &amp; shaded &amp; bold 2 3 2" xfId="11526" xr:uid="{99FA25F7-D22B-4183-A53C-4291E06152A8}"/>
    <cellStyle name="NAB FTNB4f - Percentages - underline &amp; shaded &amp; bold 3" xfId="1497" xr:uid="{1076CCAB-CE44-4340-A4A5-84476490CA6B}"/>
    <cellStyle name="NAB FTNB4f - Percentages - underline &amp; shaded &amp; bold 3 2" xfId="11322" xr:uid="{C1CDD485-9C08-43D5-A452-B5BC02598A09}"/>
    <cellStyle name="NAB FTNB4f - Percentages - underline &amp; shaded &amp; bold 3 2 2" xfId="11530" xr:uid="{81E17791-3D40-47D5-A7E1-6D0488524C4B}"/>
    <cellStyle name="NAB FTNB4f - Percentages - underline &amp; shaded &amp; bold 4" xfId="11314" xr:uid="{715ABD79-7B4B-49BB-A592-F7C9CCA88254}"/>
    <cellStyle name="NAB FTNB4f - Percentages - underline &amp; shaded &amp; bold 4 2" xfId="11522" xr:uid="{A69FE8E4-29DE-4B47-8A7E-6BC23F676A79}"/>
    <cellStyle name="NAB FTNB4fd - Percentages - T,BU,2dp%" xfId="1498" xr:uid="{E21D1346-2054-4A77-B9FA-F70B20F7A2A8}"/>
    <cellStyle name="NAB FTNB4g - Percentages - BU,2dp%" xfId="1499" xr:uid="{498811D4-E7F2-4A73-950B-4A52B7AE12DF}"/>
    <cellStyle name="NAB FTNB4g - Percentages - BU,2dp% 2" xfId="3558" xr:uid="{BE5F0558-AC18-4C19-BAA2-EE63F7D60406}"/>
    <cellStyle name="NAB FTNB4g - Percentages - BU,2dp% 2 2" xfId="11462" xr:uid="{3FDC3B50-1DC3-427F-8929-A36769249258}"/>
    <cellStyle name="NAB FTNB4g - Percentages - BU,2dp% 3" xfId="11435" xr:uid="{9D4206E3-8253-40EA-BC31-685AAFE83996}"/>
    <cellStyle name="NAB FTNB4g - Percentages - BU,2dp% 3 2" xfId="11569" xr:uid="{B3157CAC-F047-49B4-9E5F-CC1A4CD3FD53}"/>
    <cellStyle name="NAB FTNB4g - Percentages - underline &amp; unshaded" xfId="1500" xr:uid="{26C6A8D7-9331-40A1-AB4D-F3BE7B96BEDF}"/>
    <cellStyle name="NAB FTNB4g - Percentages - underline &amp; unshaded 2" xfId="1501" xr:uid="{B3E47344-FB28-403A-A319-24BCB1A9E72E}"/>
    <cellStyle name="NAB FTNB4g - Percentages - underline &amp; unshaded 2 2" xfId="1502" xr:uid="{D7907F91-D9A3-4986-BD46-CAD3844A0A44}"/>
    <cellStyle name="NAB FTNB4g - Percentages - underline &amp; unshaded 2 2 2" xfId="11327" xr:uid="{B3CF3B61-B6EC-454E-83E2-1B2870F4364B}"/>
    <cellStyle name="NAB FTNB4g - Percentages - underline &amp; unshaded 2 2 2 2" xfId="11535" xr:uid="{9C4D487F-D49A-4D1D-B4D2-67C7BB20A484}"/>
    <cellStyle name="NAB FTNB4g - Percentages - underline &amp; unshaded 2 3" xfId="11319" xr:uid="{CE416D58-4722-4519-A772-C874D1A2731B}"/>
    <cellStyle name="NAB FTNB4g - Percentages - underline &amp; unshaded 2 3 2" xfId="11527" xr:uid="{8CD7A80D-1129-46A8-A5E4-EE6A7297DE41}"/>
    <cellStyle name="NAB FTNB4g - Percentages - underline &amp; unshaded 3" xfId="1503" xr:uid="{4CEC8125-DCC6-4DBD-A0DE-ADC14CC1A234}"/>
    <cellStyle name="NAB FTNB4g - Percentages - underline &amp; unshaded 3 2" xfId="11323" xr:uid="{6F8428AC-2DE0-4F82-9440-1D4792E4F73B}"/>
    <cellStyle name="NAB FTNB4g - Percentages - underline &amp; unshaded 3 2 2" xfId="11531" xr:uid="{9EEFA65E-8245-4C6B-A962-3DEE7EA1D68D}"/>
    <cellStyle name="NAB FTNB4g - Percentages - underline &amp; unshaded 4" xfId="11315" xr:uid="{AE47992B-A803-4A98-8002-35E6356FEF97}"/>
    <cellStyle name="NAB FTNB4g - Percentages - underline &amp; unshaded 4 2" xfId="11523" xr:uid="{200C54E1-345B-4C86-9545-20BDE2555B6D}"/>
    <cellStyle name="NAB FTNB4h - Percentages - B,1dp%" xfId="68" xr:uid="{D2697ECE-A324-4DAA-80DF-F81603E38C76}"/>
    <cellStyle name="NAB FTNB4h - Percentages - bold underline shading" xfId="1504" xr:uid="{EED98BC8-E43A-4BF8-BAE0-9BD90FE287EC}"/>
    <cellStyle name="NAB FTNB4h - Percentages - underline shading" xfId="1505" xr:uid="{2CC9A029-A971-4776-BAD9-3849C12F1979}"/>
    <cellStyle name="NAB FTNB4h - Percentages - underline shading &amp; bold" xfId="1506" xr:uid="{6817DC97-1B48-4B58-8A3A-0D703B3B4040}"/>
    <cellStyle name="NAB FTNB4h - Percentages - underline shading_~2153298" xfId="5919" xr:uid="{80552E11-3274-44AF-B540-BD6D2194157F}"/>
    <cellStyle name="NAB FTNB4i - Percentages - B,2dp%" xfId="72" xr:uid="{90799A67-0583-46E8-8FA6-9AF81F04B4CE}"/>
    <cellStyle name="NAB FTNB4i - Percentages bold unshaded 1dp%" xfId="1507" xr:uid="{CD43EF7E-68FE-4DFE-9CD5-952494EDD5AB}"/>
    <cellStyle name="NAB FTNB4j - Percentages - 0dp%" xfId="1508" xr:uid="{B314B8E5-D261-414D-AB03-1CFD51989210}"/>
    <cellStyle name="NAB FTNB4j - Percentages bold unshaded 2dp%" xfId="1509" xr:uid="{E71A4E56-C5D2-49FA-B07A-1772C124F057}"/>
    <cellStyle name="NAB FTNB4k - Percentages - U,0dp%" xfId="1510" xr:uid="{CDB929D8-F7E3-467A-8317-BBEBF83EAE3A}"/>
    <cellStyle name="NAB FTNB4k - Percentages - U,0dp% 2" xfId="5920" xr:uid="{8017161F-D12B-48FC-9CC7-0E1EBBCD76A9}"/>
    <cellStyle name="NAB FTNB4l - Percentages - no underline shading" xfId="1511" xr:uid="{12167C67-B68C-4BBB-BB5B-E25971FAC132}"/>
    <cellStyle name="NAB FTNB4m - Percentages" xfId="1512" xr:uid="{AD884CF3-57FB-4437-9FB5-723A804FB293}"/>
    <cellStyle name="NAB FTNB5 - Financial Note,AB" xfId="79" xr:uid="{35B1493D-959A-4A40-9756-379900F25706}"/>
    <cellStyle name="NAB FTNB5a - Financial Note with bottom underline" xfId="1513" xr:uid="{A4B1AC63-7923-4801-9A7C-FCBB2D38F15C}"/>
    <cellStyle name="NAB FTNB5a - Financial Note with bottom underline 2" xfId="5921" xr:uid="{0E27AA39-E492-4FCD-8641-ADF96785D4C1}"/>
    <cellStyle name="NAB FTNB5a - Financial Note,AB,U" xfId="80" xr:uid="{2F42E2E2-B423-48D3-8EA2-20D939458464}"/>
    <cellStyle name="NAB FTNB5a - Financial Note,AB,U 2" xfId="5922" xr:uid="{7B4E78C2-0974-46BC-B564-C26088AE45AB}"/>
    <cellStyle name="NAB FTNB5b - Financial Note,AB,T,BU" xfId="1514" xr:uid="{0C296DB8-F3C3-4A87-B39F-CFC80451A9BC}"/>
    <cellStyle name="NAB FTNB5c - Financial Note" xfId="1515" xr:uid="{A9399D8C-26B7-48B8-B2CD-D3E2F70628A1}"/>
    <cellStyle name="NAB FTNB5c - Financial Note,AB,BU" xfId="1516" xr:uid="{4CACE51B-B967-4420-A055-EF908448426B}"/>
    <cellStyle name="NAB FTNB5c - Financial Note,AB,BU 2" xfId="3559" xr:uid="{284349FE-9860-4310-B4F5-5A5C341032D4}"/>
    <cellStyle name="NAB FTNB5c - Financial Note,AB,BU 2 2" xfId="11463" xr:uid="{8878E7CD-C3DF-4958-B330-D5DCB42B348D}"/>
    <cellStyle name="NAB FTNB5c - Financial Note,AB,BU 3" xfId="11436" xr:uid="{BE56AA52-BB72-4772-A496-DD7F0969BFC7}"/>
    <cellStyle name="NAB FTNB5c - Financial Note,AB,BU 3 2" xfId="11570" xr:uid="{C45C5AA7-FF84-4CEF-A653-36C4F786C021}"/>
    <cellStyle name="NAB FTNB5d - Financial Note" xfId="82" xr:uid="{6C65800A-4643-4A9D-9915-3C4423EB01AD}"/>
    <cellStyle name="NAB FTNB5e - Financial Note,U" xfId="84" xr:uid="{4DF1EE03-C9FA-469C-88B7-C2C0E05BBA1E}"/>
    <cellStyle name="NAB FTNB5e - Financial Note,U 2" xfId="5923" xr:uid="{CD383B7C-7635-488C-A234-60943C64F8CB}"/>
    <cellStyle name="NAB FTNB5f - Financial Note,T,BU" xfId="91" xr:uid="{FD8DA9DF-C025-40CE-AB04-59257C5AADDE}"/>
    <cellStyle name="NAB FTNB5fd - Financial Note,DS,T,BU" xfId="88" xr:uid="{6460848A-0257-4C16-853D-E08B770F86AD}"/>
    <cellStyle name="NAB FTNB5g - Financial Note,BU" xfId="1517" xr:uid="{5241B2B7-126C-4B65-AA94-214CAD314E2D}"/>
    <cellStyle name="NAB FTNB5g - Financial Note,BU 2" xfId="3560" xr:uid="{03B8E980-668D-467A-8E0A-702965D68761}"/>
    <cellStyle name="NAB FTNB5g - Financial Note,BU 2 2" xfId="11464" xr:uid="{4ADA049F-2BED-48B8-A63E-933C563B2485}"/>
    <cellStyle name="NAB FTNB5g - Financial Note,BU 3" xfId="11437" xr:uid="{676ED2BA-D98D-47E1-94CA-5187306F1D5F}"/>
    <cellStyle name="NAB FTNB5g - Financial Note,BU 3 2" xfId="11571" xr:uid="{C62176D7-AF5F-432A-9D12-CC98C6F7E446}"/>
    <cellStyle name="NAB FTNB6 - Financial Note,B" xfId="1518" xr:uid="{805F3A30-32A6-4A41-AB24-7154E7A2EB92}"/>
    <cellStyle name="NAB FTNB6a - Financial Note,B,U" xfId="1519" xr:uid="{20359F3A-F5D8-4794-8473-07A70F7DB715}"/>
    <cellStyle name="NAB FTNB6a - Financial Note,B,U 2" xfId="5924" xr:uid="{EC5284DC-EDEB-4B2D-97FB-EEDB947CCE7A}"/>
    <cellStyle name="NAB FTNB6b - Financial Note,B,T,BU" xfId="1520" xr:uid="{E0286615-A749-4148-916E-21D9FED41899}"/>
    <cellStyle name="NAB FTNB6c - Financial Note,B,BU" xfId="1521" xr:uid="{88AA73D0-D1B6-41BC-BF73-F19FB31D73D9}"/>
    <cellStyle name="NAB FTNB6c - Financial Note,B,BU 2" xfId="3415" xr:uid="{16FCA2C5-3249-47EA-AD45-0DED26D52448}"/>
    <cellStyle name="NAB FTNB6c - Financial Note,B,BU 2 2" xfId="11452" xr:uid="{4D7ABE46-B4F6-4DEC-BAB7-7E931AFFFE7A}"/>
    <cellStyle name="NAB FTNB6c - Financial Note,B,BU 3" xfId="11438" xr:uid="{BC9BCE51-096F-44CC-A2F0-E43348332202}"/>
    <cellStyle name="NAB FTNB6c - Financial Note,B,BU 3 2" xfId="11572" xr:uid="{79A1D9D0-B50D-492B-9EE3-F0B6450BA63F}"/>
    <cellStyle name="NAB FTSH1 - Fin Tables Sub" xfId="1522" xr:uid="{88598815-8298-4DD9-98C1-6114298A778E}"/>
    <cellStyle name="NAB FTSH1 - Fin Tables Sub 2" xfId="5925" xr:uid="{903E89B1-0618-41F4-AB32-5CCCF01B126C}"/>
    <cellStyle name="NAB FTSH1a - Fin Tables Sub - no underline" xfId="1523" xr:uid="{8091DE57-2E4E-4C5E-A9B8-349C46210B2A}"/>
    <cellStyle name="NAB FTSH1b - Fin Tables Sub - no underline" xfId="1524" xr:uid="{214594E9-D963-472A-8D20-CDAC6F847F3C}"/>
    <cellStyle name="NAB FTSH1b - Fin Tables Sub - no underline 2" xfId="5926" xr:uid="{F11F330D-567B-4808-94D5-DE379BE8DE32}"/>
    <cellStyle name="NAB FTSH1c - Fin Tables Sub - no underline" xfId="1525" xr:uid="{47A20A9C-C973-4696-A97C-B23CD6482E20}"/>
    <cellStyle name="NAB FTSH1d - Fin Tables Sub - bold centred &amp; underline" xfId="1526" xr:uid="{92A37DE0-67D7-4DE0-94DA-B2CAD0D69063}"/>
    <cellStyle name="NAB FTSH1d - Fin Tables Sub - bold, merged, centred &amp; underline" xfId="1527" xr:uid="{E80F0C91-93FE-4556-91FC-0B48D6DA775D}"/>
    <cellStyle name="NAB H1 - Header 1 no author blelow" xfId="53" xr:uid="{C1928D7E-6427-4440-B9D8-1222B00387B7}"/>
    <cellStyle name="NAB H1a - Header 1 no author blelow" xfId="1528" xr:uid="{6AB58AB6-7A85-4DE8-9F8C-2484E42397B6}"/>
    <cellStyle name="NAB H2 - Header 2" xfId="55" xr:uid="{4B6AA262-EC21-4D7C-818C-49A1252E5256}"/>
    <cellStyle name="NAB H2 - Header 2 2" xfId="1529" xr:uid="{8E68E3B4-BDF1-4178-B7F4-E5FB70CD1B3E}"/>
    <cellStyle name="NAB H2 - Header 2 2 2" xfId="1530" xr:uid="{403E6E12-4BA1-411E-991D-965FF318A7F3}"/>
    <cellStyle name="NAB H2 - Header 2 2 3" xfId="1531" xr:uid="{783FB688-CEAB-4FAC-9B56-5976F2EACC06}"/>
    <cellStyle name="NAB H2 - Header 2 3" xfId="5927" xr:uid="{96F57609-7893-48A2-BEC2-EDC7DDBE28E5}"/>
    <cellStyle name="NAB H3 - Header no space after" xfId="1532" xr:uid="{D9E127DF-771A-4D89-A9F3-E2DB3C9FC900}"/>
    <cellStyle name="NAB H3a - Header 3 no space after" xfId="1533" xr:uid="{F379AEF8-9E2E-424E-A336-B9790D12C414}"/>
    <cellStyle name="NAB H4 - Header under large" xfId="54" xr:uid="{7419D545-BE7F-4ADD-AE58-FA999E346912}"/>
    <cellStyle name="NAB H5 - Header no space after,U" xfId="1534" xr:uid="{0E5383DE-2A27-4432-B81D-0E9C1DE26FE3}"/>
    <cellStyle name="NAB H5 - Header no space after,U 2" xfId="5928" xr:uid="{9B5C1D3D-99C6-4795-BDC5-C8CCD2A53C7A}"/>
    <cellStyle name="NAB H5a - Header 5 no space after" xfId="1535" xr:uid="{7F1BCEF5-5B3B-42B6-93EC-AA42B1811089}"/>
    <cellStyle name="NAB H6 - Header currency" xfId="1536" xr:uid="{6AB3778C-AE64-4596-9E72-12E8D8A9E8E9}"/>
    <cellStyle name="NAB H6a - black and no space" xfId="1537" xr:uid="{460597ED-2637-4F61-91B5-72D1A530162D}"/>
    <cellStyle name="NABFTN4i - Percentages - underline shading &amp; bold" xfId="1538" xr:uid="{F76FC1EA-3D66-4FAB-A4BC-F20A6CBDDF10}"/>
    <cellStyle name="NABFTNB4j - Percentages - bold underline &amp; shading" xfId="1539" xr:uid="{9D1CC25D-A555-471A-86D7-24E91AA5ACA0}"/>
    <cellStyle name="NABFTNB4k - Percentages - underline &amp; shading" xfId="1540" xr:uid="{37A87979-075B-43F5-8C64-D52DF746C941}"/>
    <cellStyle name="NABFTNB4k - Percentages - underline &amp; shading 2" xfId="5929" xr:uid="{AAD6C4AB-643E-4261-87C5-04B2C133AA15}"/>
    <cellStyle name="NABFTNB4l - Percentages - no underline shading" xfId="1541" xr:uid="{48943265-545D-499E-8400-05A26D653CF3}"/>
    <cellStyle name="Neutral" xfId="8" builtinId="28" customBuiltin="1"/>
    <cellStyle name="Neutral 2" xfId="1542" xr:uid="{FD6BC600-55C0-4177-8BA7-3E7C21CD7CEE}"/>
    <cellStyle name="Neutral 2 2" xfId="1543" xr:uid="{E6CE01C4-4378-4128-9368-C2BDC0E897E9}"/>
    <cellStyle name="Neutral 2 2 2" xfId="1544" xr:uid="{84D53460-51BB-4C37-9B32-1F3B73E94AA3}"/>
    <cellStyle name="Neutral 2 3" xfId="1545" xr:uid="{8E82F373-42D2-41D0-8888-4214ACD2D93A}"/>
    <cellStyle name="Neutral 2 4" xfId="1546" xr:uid="{55F90A1F-810B-4E1E-86AE-4DCFC6A72124}"/>
    <cellStyle name="Neutral 2 5" xfId="1547" xr:uid="{0B77A908-208F-41D3-BC97-EE67CF30262D}"/>
    <cellStyle name="Neutral 2 6" xfId="1548" xr:uid="{278A6F8E-2E4A-4718-A575-65D8754914CE}"/>
    <cellStyle name="Neutral 3" xfId="1549" xr:uid="{C99791E0-FF4E-4264-9477-1B8B0C96F35A}"/>
    <cellStyle name="Neutral 3 2" xfId="1550" xr:uid="{10380CC5-FB54-4AC3-845B-EDDF2653DE44}"/>
    <cellStyle name="Neutral 4" xfId="11593" xr:uid="{E918FE9B-CB69-492D-B4E4-A2C38B0F7483}"/>
    <cellStyle name="Next holiday" xfId="5930" xr:uid="{912EC890-6552-4E95-996F-BBDD0B4FACD0}"/>
    <cellStyle name="No dec" xfId="1551" xr:uid="{54A1D7C3-568A-4D09-B23A-400CF07AB4B9}"/>
    <cellStyle name="No dec 2" xfId="1552" xr:uid="{B7534D7E-AFFA-4A85-8D2C-5622953DA1FB}"/>
    <cellStyle name="No dec 3" xfId="5931" xr:uid="{0B69635F-8D4A-4ADF-9E26-0806FAA6C1C6}"/>
    <cellStyle name="No dec 4" xfId="5932" xr:uid="{DCCAC068-47B1-48B9-88EC-6E40615B3773}"/>
    <cellStyle name="No dec 5" xfId="5933" xr:uid="{1E38CEB4-BD04-40D5-B498-3F0AF817B61C}"/>
    <cellStyle name="No dec 6" xfId="5934" xr:uid="{88E2ED45-FD56-47ED-9D47-7BF11ADB8CF6}"/>
    <cellStyle name="No dec 7" xfId="5935" xr:uid="{3C88666C-633B-48C6-8B2F-2351A1231D48}"/>
    <cellStyle name="No dec 7 2" xfId="5936" xr:uid="{8D5E0922-5F48-4612-A540-00DAEBB69E3C}"/>
    <cellStyle name="nodec" xfId="5937" xr:uid="{7821E596-EEA5-486B-A10B-58C5195F5DA1}"/>
    <cellStyle name="nodec 2" xfId="5938" xr:uid="{4299543B-1A4B-4D2E-A4D8-E064548A4E81}"/>
    <cellStyle name="nodec_INPUTS- FX, CAR, RWA &amp; Equity" xfId="5939" xr:uid="{B1B1151A-C362-4DD9-9FB5-97500DFD940D}"/>
    <cellStyle name="Normal" xfId="0" builtinId="0"/>
    <cellStyle name="Normal - Style1" xfId="1553" xr:uid="{EF3689EC-9CCB-4E21-BB97-8630F4661B68}"/>
    <cellStyle name="Normal - Style1 2" xfId="5940" xr:uid="{3099E7B0-463C-488C-944C-747BDE193B31}"/>
    <cellStyle name="Normal 10" xfId="1554" xr:uid="{89E05BD3-3E4E-4EB4-B746-C825B77E199F}"/>
    <cellStyle name="Normal 10 2" xfId="1555" xr:uid="{C2694250-0185-45B1-8EC5-4DD3F61FDDAA}"/>
    <cellStyle name="Normal 10 2 2" xfId="1556" xr:uid="{B9C94FF1-B693-4D58-A9B6-63BCEEE46778}"/>
    <cellStyle name="Normal 10 3" xfId="1557" xr:uid="{BE5A4DA4-8BDE-4E85-A4FB-C6E6C741ABB0}"/>
    <cellStyle name="Normal 10 3 2" xfId="1558" xr:uid="{A056786B-5D0B-42CC-8ADE-ECA92EFC4812}"/>
    <cellStyle name="Normal 10 4" xfId="1559" xr:uid="{1F666312-A770-4D1B-A5EE-D49D4DCB8D76}"/>
    <cellStyle name="Normal 10 4 2" xfId="1560" xr:uid="{DAEEFC6D-5688-4AFB-9B70-7662D362C541}"/>
    <cellStyle name="Normal 10 5" xfId="1561" xr:uid="{7A663432-FD77-40A8-8CB9-1596616E87E6}"/>
    <cellStyle name="Normal 10 5 2" xfId="1562" xr:uid="{948C294F-B4AE-41D1-A63C-F66BB45A4BE5}"/>
    <cellStyle name="Normal 10 6" xfId="1563" xr:uid="{C60B92A3-F004-425F-A6D4-AEF2AF5871EC}"/>
    <cellStyle name="Normal 10 6 2" xfId="1564" xr:uid="{5C02D520-7BBD-4950-8245-FF3782EA3400}"/>
    <cellStyle name="Normal 10 7" xfId="1565" xr:uid="{9F92FC95-67F7-4FFF-9C7E-130376E480CC}"/>
    <cellStyle name="Normal 10 7 2" xfId="1566" xr:uid="{D4D39089-09E2-4CE9-B563-009FCC4AB8EE}"/>
    <cellStyle name="Normal 10 8" xfId="1567" xr:uid="{31694576-4385-48AF-B9CD-BADA57D2AD4B}"/>
    <cellStyle name="Normal 10 8 2" xfId="1568" xr:uid="{A30D6CAA-FF50-4619-A0EB-3AB46218D6DB}"/>
    <cellStyle name="Normal 10 9" xfId="1569" xr:uid="{7AF1AC00-CA31-469B-B1F6-91033B195C17}"/>
    <cellStyle name="Normal 10 9 2" xfId="5941" xr:uid="{0A0A4679-FB79-4756-BDBE-5C6A99DDEF80}"/>
    <cellStyle name="Normal 10_1.0 HFM data" xfId="5942" xr:uid="{88289CA4-6897-4B52-927C-C54BD58B2472}"/>
    <cellStyle name="Normal 100" xfId="5943" xr:uid="{181DEA24-5834-4D42-8731-A608F5E4472C}"/>
    <cellStyle name="Normal 101" xfId="5944" xr:uid="{CE78043A-1C04-4824-9552-46C69D554B27}"/>
    <cellStyle name="Normal 102" xfId="5945" xr:uid="{3BD4B0D4-0147-43B7-88AC-C72E3D04B5BF}"/>
    <cellStyle name="Normal 103" xfId="5946" xr:uid="{CC90B649-E1C1-431C-8296-93C08C5DE733}"/>
    <cellStyle name="Normal 104" xfId="5947" xr:uid="{0ED8979C-5C32-489A-B5A8-3F1343F91146}"/>
    <cellStyle name="Normal 105" xfId="3406" xr:uid="{F6A84DC1-68BF-4F49-9E77-577726F6B993}"/>
    <cellStyle name="Normal 106" xfId="11385" xr:uid="{6F97495B-0B11-40D4-B5B9-67AC6B564DB3}"/>
    <cellStyle name="Normal 107" xfId="11389" xr:uid="{96ED088D-A192-4D68-8B57-6893C81512BF}"/>
    <cellStyle name="Normal 108" xfId="11393" xr:uid="{FB8ECCE9-B03B-40C3-A579-D68369CD044A}"/>
    <cellStyle name="Normal 109" xfId="11397" xr:uid="{49A7CF4F-081E-4F20-A173-19C6B47D2CC5}"/>
    <cellStyle name="Normal 11" xfId="1570" xr:uid="{1941822A-2405-41AF-A5FC-3F55C35640DE}"/>
    <cellStyle name="Normal 11 2" xfId="5948" xr:uid="{90A514C9-027F-450F-8DCA-AD16627C234B}"/>
    <cellStyle name="Normal 11 3" xfId="5949" xr:uid="{DD06B419-9172-4526-BDAF-D5F5729CB031}"/>
    <cellStyle name="Normal 110" xfId="11401" xr:uid="{43A5EBA7-DF97-4612-B7CA-9154D25CF429}"/>
    <cellStyle name="Normal 12" xfId="1571" xr:uid="{48E212AD-3CA7-4787-866F-8122F4114409}"/>
    <cellStyle name="Normal 12 10" xfId="1572" xr:uid="{952299C4-82B3-46CB-A7AF-BCD16BA2C006}"/>
    <cellStyle name="Normal 12 2" xfId="1573" xr:uid="{D50F653A-C4A7-48CC-8238-6FC9BE0DB971}"/>
    <cellStyle name="Normal 12 2 2" xfId="1574" xr:uid="{2CCFD45F-2750-4374-A3BE-876094C36B7B}"/>
    <cellStyle name="Normal 12 3" xfId="1575" xr:uid="{17848C12-7352-4F89-8DC9-C830DF41F4BE}"/>
    <cellStyle name="Normal 12 3 2" xfId="1576" xr:uid="{841EE453-ABC4-4C1D-8E8F-C4D7DD00C9A1}"/>
    <cellStyle name="Normal 12 4" xfId="1577" xr:uid="{C6078FD4-D766-4B15-8274-AC18E52B05A8}"/>
    <cellStyle name="Normal 12 4 2" xfId="1578" xr:uid="{F86D1E00-1548-4E95-82A9-2CC27A2D536E}"/>
    <cellStyle name="Normal 12 5" xfId="1579" xr:uid="{4DCD2928-0567-4CE8-BEC6-3073ABE0758E}"/>
    <cellStyle name="Normal 12 5 2" xfId="1580" xr:uid="{3A38A56C-3E77-4B51-9E70-F95B11FC098B}"/>
    <cellStyle name="Normal 12 6" xfId="1581" xr:uid="{E1AAD62A-8B8D-4C4D-B5F5-A7040E847D9F}"/>
    <cellStyle name="Normal 12 6 2" xfId="1582" xr:uid="{0DD50801-B667-4B34-AF7F-439651DD0317}"/>
    <cellStyle name="Normal 12 7" xfId="1583" xr:uid="{E2DFC0A7-DF8B-49F3-9010-BCE0A7835833}"/>
    <cellStyle name="Normal 12 7 2" xfId="1584" xr:uid="{937C54C9-315B-4BFC-98F6-DC9D0C4FF4FB}"/>
    <cellStyle name="Normal 12 8" xfId="1585" xr:uid="{C88F7C15-E3EC-4647-AD38-CA162EC5DB1C}"/>
    <cellStyle name="Normal 12 8 2" xfId="1586" xr:uid="{96FB4841-22F7-4EAE-B1C6-4F512D8840D4}"/>
    <cellStyle name="Normal 12 9" xfId="1587" xr:uid="{850846BF-EC24-4736-9A1C-4ABE8D085F63}"/>
    <cellStyle name="Normal 12 9 2" xfId="5950" xr:uid="{9E1A48C3-B00D-4C7D-9EF6-50AD734A11B2}"/>
    <cellStyle name="Normal 13" xfId="1588" xr:uid="{469C13E1-6D25-42B2-96EE-7BDA8985BB60}"/>
    <cellStyle name="Normal 13 10" xfId="1589" xr:uid="{54A24506-DDC9-4702-A90A-F2ABDC83CF6C}"/>
    <cellStyle name="Normal 13 2" xfId="1590" xr:uid="{B661E2A1-26D4-4499-B019-30D1F3A01019}"/>
    <cellStyle name="Normal 13 2 2" xfId="1591" xr:uid="{51CC117E-9558-4FA4-B53B-3004A601FA31}"/>
    <cellStyle name="Normal 13 3" xfId="1592" xr:uid="{271CB8DE-94AA-41AE-AF65-08CDF8CDC727}"/>
    <cellStyle name="Normal 13 3 2" xfId="1593" xr:uid="{E9A4A1D1-AC8D-46F6-889E-B768904A66A7}"/>
    <cellStyle name="Normal 13 4" xfId="1594" xr:uid="{F3B971F0-746C-431E-B305-713277FAF33D}"/>
    <cellStyle name="Normal 13 4 2" xfId="1595" xr:uid="{F3FE9338-2AB8-4AB9-95A0-8FCE26B8D3DC}"/>
    <cellStyle name="Normal 13 5" xfId="1596" xr:uid="{ECFC3737-C38F-4B82-A7A6-7FE13D729EF8}"/>
    <cellStyle name="Normal 13 5 2" xfId="1597" xr:uid="{8D7C1EC2-D38E-4FCA-8691-E404E72EA65A}"/>
    <cellStyle name="Normal 13 6" xfId="1598" xr:uid="{CA6E678D-523B-4F37-8320-72CBF8386815}"/>
    <cellStyle name="Normal 13 6 2" xfId="1599" xr:uid="{9C0698AD-7125-4FC5-A0C6-5F9EC54FA438}"/>
    <cellStyle name="Normal 13 7" xfId="1600" xr:uid="{D63D473B-147E-4ED9-A2E9-E22D8745693F}"/>
    <cellStyle name="Normal 13 7 2" xfId="1601" xr:uid="{017D11FC-E431-4E35-A3C5-2487E6302E7E}"/>
    <cellStyle name="Normal 13 8" xfId="1602" xr:uid="{BF6067BC-D880-459B-B0CD-855950C81626}"/>
    <cellStyle name="Normal 13 8 2" xfId="1603" xr:uid="{97903F3D-7EB5-47EC-A575-DE538CE11AC9}"/>
    <cellStyle name="Normal 13 9" xfId="1604" xr:uid="{EFC9CEE7-C140-4ECD-A299-97510957F091}"/>
    <cellStyle name="Normal 13 9 2" xfId="3604" xr:uid="{CAF6D896-5AB8-4624-A2EC-E67599EA7CA1}"/>
    <cellStyle name="Normal 14" xfId="1605" xr:uid="{4AE0323C-2DC0-48ED-9430-BAED00464ECA}"/>
    <cellStyle name="Normal 14 10" xfId="1606" xr:uid="{3527AC9D-1436-4BF2-8299-9728133CB7F0}"/>
    <cellStyle name="Normal 14 2" xfId="1607" xr:uid="{21AC377E-2B9A-4E63-9366-CEC948D81A51}"/>
    <cellStyle name="Normal 14 2 2" xfId="1608" xr:uid="{E1B25F68-8DE6-4B20-9B17-55A22FC2A59D}"/>
    <cellStyle name="Normal 14 3" xfId="1609" xr:uid="{8077C9F9-F881-496F-8912-058C78208900}"/>
    <cellStyle name="Normal 14 3 2" xfId="1610" xr:uid="{80623C63-D634-4AE7-AFD8-0CE7E4AA73C8}"/>
    <cellStyle name="Normal 14 4" xfId="1611" xr:uid="{0535A0EE-366D-4B79-A478-CCE0D009A4F8}"/>
    <cellStyle name="Normal 14 4 2" xfId="1612" xr:uid="{83BA5054-AC26-4E79-AF52-6B7F48FDC68A}"/>
    <cellStyle name="Normal 14 5" xfId="1613" xr:uid="{8369C7C2-A6FD-48EA-9DB6-FB002419274F}"/>
    <cellStyle name="Normal 14 5 2" xfId="1614" xr:uid="{9B3B7CFD-6268-4DF8-8D12-D09FA43C2634}"/>
    <cellStyle name="Normal 14 6" xfId="1615" xr:uid="{0BD78E56-36AB-400C-B0A9-DBED4DA912BF}"/>
    <cellStyle name="Normal 14 6 2" xfId="1616" xr:uid="{09AA227D-AF66-4853-96B8-9A36740F5E35}"/>
    <cellStyle name="Normal 14 7" xfId="1617" xr:uid="{1EBD89DE-6D51-4F65-94EF-8DDE4A724F43}"/>
    <cellStyle name="Normal 14 7 2" xfId="1618" xr:uid="{981CCFAD-F33D-4448-88FE-5C301EE22FEE}"/>
    <cellStyle name="Normal 14 8" xfId="1619" xr:uid="{0E680E16-1ED0-4A0B-BD61-7FF01F220CF1}"/>
    <cellStyle name="Normal 14 8 2" xfId="1620" xr:uid="{E4C4321B-586B-416F-9B31-8EA5A60EC481}"/>
    <cellStyle name="Normal 14 9" xfId="1621" xr:uid="{6EEEB3CA-2CD0-4FDE-BD92-F3E600B747D4}"/>
    <cellStyle name="Normal 14 9 2" xfId="5951" xr:uid="{B1982912-454F-4DE7-92B1-D414B5119355}"/>
    <cellStyle name="Normal 15" xfId="1622" xr:uid="{41DA4DC1-A05D-4152-B984-5214CC1D5719}"/>
    <cellStyle name="Normal 15 10" xfId="1623" xr:uid="{BEF63047-3032-4AD6-BE5A-7AEA803ADC14}"/>
    <cellStyle name="Normal 15 2" xfId="1624" xr:uid="{239A77EC-502E-4185-831B-3897FC73D811}"/>
    <cellStyle name="Normal 15 2 2" xfId="1625" xr:uid="{3663DD5E-DC4B-43E4-9BDB-719F3514A15D}"/>
    <cellStyle name="Normal 15 3" xfId="1626" xr:uid="{A238B603-B399-4449-A74E-49F0DF1D9483}"/>
    <cellStyle name="Normal 15 3 2" xfId="1627" xr:uid="{E8630D74-BFC2-44E1-AB6F-A4919EAEB51E}"/>
    <cellStyle name="Normal 15 4" xfId="1628" xr:uid="{421C2EE9-C3B0-4252-9413-462AA2D4BFA0}"/>
    <cellStyle name="Normal 15 4 2" xfId="1629" xr:uid="{187828BA-3883-4D44-899D-CB3D4B1F50E3}"/>
    <cellStyle name="Normal 15 5" xfId="1630" xr:uid="{6A53484F-9526-447C-B060-E5103F2A2999}"/>
    <cellStyle name="Normal 15 5 2" xfId="1631" xr:uid="{BAACE1BA-C685-4D93-82D8-1F66CEBFEB77}"/>
    <cellStyle name="Normal 15 6" xfId="1632" xr:uid="{562E070F-1DD4-4BCF-851D-7C52D8A6290C}"/>
    <cellStyle name="Normal 15 6 2" xfId="1633" xr:uid="{6895B584-2315-4D10-9F54-AB16AA591AFB}"/>
    <cellStyle name="Normal 15 7" xfId="1634" xr:uid="{9E2D7C8A-5689-4611-BFA4-0EC5030DCA6C}"/>
    <cellStyle name="Normal 15 7 2" xfId="1635" xr:uid="{22CC7A5D-6BC0-451E-9FE0-2D909249E35F}"/>
    <cellStyle name="Normal 15 8" xfId="1636" xr:uid="{8FC6380B-DCF9-4F98-9155-A2A2A15BB094}"/>
    <cellStyle name="Normal 15 8 2" xfId="1637" xr:uid="{1622D3A0-3054-4176-901A-96B94A1F115C}"/>
    <cellStyle name="Normal 15 9" xfId="1638" xr:uid="{D5A1E8F2-0FBC-48D8-9D9D-D3BBE265FF78}"/>
    <cellStyle name="Normal 15 9 2" xfId="5952" xr:uid="{61A48127-FFCB-4497-9626-DE25ED65EAB1}"/>
    <cellStyle name="Normal 16" xfId="1639" xr:uid="{7D13FBD1-56A7-4CA7-BE95-ED3903274AD4}"/>
    <cellStyle name="Normal 16 10" xfId="1640" xr:uid="{D760F396-8CE8-409D-B458-D2477E7BF6DD}"/>
    <cellStyle name="Normal 16 2" xfId="1641" xr:uid="{B3253818-3AFE-49D8-A657-AC6DAE52B383}"/>
    <cellStyle name="Normal 16 2 2" xfId="1642" xr:uid="{56E585E7-8F8B-4FC3-B367-510EA6061CC2}"/>
    <cellStyle name="Normal 16 3" xfId="1643" xr:uid="{BB91DF04-D9FD-49F9-9FC7-59D39F428834}"/>
    <cellStyle name="Normal 16 3 2" xfId="1644" xr:uid="{DEAC3400-78FF-4967-8933-4C03621D3C96}"/>
    <cellStyle name="Normal 16 4" xfId="1645" xr:uid="{1DC6F515-FE94-4B6A-8985-0259F9CDA7C6}"/>
    <cellStyle name="Normal 16 4 2" xfId="1646" xr:uid="{1AA173F3-C07C-473A-8456-0B4BBA647534}"/>
    <cellStyle name="Normal 16 5" xfId="1647" xr:uid="{00897F0A-C3DE-41E3-A649-E8EBA0C79C0C}"/>
    <cellStyle name="Normal 16 5 2" xfId="1648" xr:uid="{E1F25A3D-73AA-4E06-83EC-CE7EEEC4506C}"/>
    <cellStyle name="Normal 16 6" xfId="1649" xr:uid="{CBF1AA33-E76D-4B3C-A727-FE305B51C8DC}"/>
    <cellStyle name="Normal 16 6 2" xfId="1650" xr:uid="{436A1D84-10C0-4AA2-AD6C-452AD449F4FC}"/>
    <cellStyle name="Normal 16 7" xfId="1651" xr:uid="{5695BBF2-BD7F-4C58-BCAD-90ECA081E0C3}"/>
    <cellStyle name="Normal 16 7 2" xfId="1652" xr:uid="{6DC16B87-03FE-40AA-B3AF-642A2C49A707}"/>
    <cellStyle name="Normal 16 8" xfId="1653" xr:uid="{7AD45605-7052-4D39-B507-995B8F025C06}"/>
    <cellStyle name="Normal 16 8 2" xfId="1654" xr:uid="{2277F87C-771C-4551-9555-0AFD2BBE4E30}"/>
    <cellStyle name="Normal 16 9" xfId="1655" xr:uid="{6BADB40A-9994-4722-ACE5-C5B179A8A04B}"/>
    <cellStyle name="Normal 16 9 2" xfId="5953" xr:uid="{8814A888-1348-45D8-970D-82FC993DD3B7}"/>
    <cellStyle name="Normal 17" xfId="1656" xr:uid="{55F04AC9-524F-4D75-923E-D6CDAAD2FE4F}"/>
    <cellStyle name="Normal 17 10" xfId="1657" xr:uid="{EE5C7F69-8E6E-4CB5-AF65-884DE63C7C26}"/>
    <cellStyle name="Normal 17 2" xfId="1658" xr:uid="{CD5CE316-35E1-414D-B7F0-95B5BF25351A}"/>
    <cellStyle name="Normal 17 2 2" xfId="1659" xr:uid="{E8EEBA84-08F5-49D2-98DA-3FCCE0C48AE2}"/>
    <cellStyle name="Normal 17 3" xfId="1660" xr:uid="{BABB7AE3-E1CB-4081-A04E-30C2A2498385}"/>
    <cellStyle name="Normal 17 3 2" xfId="1661" xr:uid="{6D0E86B6-8855-4424-835A-8E7455C892C2}"/>
    <cellStyle name="Normal 17 4" xfId="1662" xr:uid="{58B85974-F77D-413B-B7FE-D542B45FDC14}"/>
    <cellStyle name="Normal 17 4 2" xfId="1663" xr:uid="{CE7C427C-9C5E-4A95-845D-DAD1E9365AF9}"/>
    <cellStyle name="Normal 17 5" xfId="1664" xr:uid="{AA0F46A1-2A36-4C22-B7EA-34EC97F509F4}"/>
    <cellStyle name="Normal 17 5 2" xfId="1665" xr:uid="{F43D1346-C3FC-4AC3-B965-42043F55D97B}"/>
    <cellStyle name="Normal 17 6" xfId="1666" xr:uid="{CF591E9B-379C-4194-AD6C-0CB33A73EBA5}"/>
    <cellStyle name="Normal 17 6 2" xfId="1667" xr:uid="{F2312CFA-D987-4CC2-9C85-9471ECE1A23B}"/>
    <cellStyle name="Normal 17 7" xfId="1668" xr:uid="{60B243DD-07B9-45AA-B02B-92140A6F2C53}"/>
    <cellStyle name="Normal 17 7 2" xfId="1669" xr:uid="{DD330364-DE19-47D7-B1F6-D992288D938E}"/>
    <cellStyle name="Normal 17 8" xfId="1670" xr:uid="{AE865652-78B8-44F0-8131-81D3FE64B2CF}"/>
    <cellStyle name="Normal 17 8 2" xfId="1671" xr:uid="{969C36FC-A1C0-40A2-B95D-E335BEFE183C}"/>
    <cellStyle name="Normal 17 9" xfId="1672" xr:uid="{6BE8D837-39A4-4180-B62B-B71F65A255C5}"/>
    <cellStyle name="Normal 17 9 2" xfId="5954" xr:uid="{BACAB79D-FC40-4EFE-AA4B-83E4527D6DD0}"/>
    <cellStyle name="Normal 18" xfId="1673" xr:uid="{0E1FD3AF-2B20-4AA0-B0AA-214C0560004A}"/>
    <cellStyle name="Normal 18 10" xfId="1674" xr:uid="{25C99257-485C-4FD6-83C9-7FA1F0530A76}"/>
    <cellStyle name="Normal 18 2" xfId="1675" xr:uid="{7C0C978C-2BB0-408C-B9BC-F8FC9198340F}"/>
    <cellStyle name="Normal 18 2 2" xfId="1676" xr:uid="{6885BB0C-80E0-426C-8CF0-7741FBB379F1}"/>
    <cellStyle name="Normal 18 3" xfId="1677" xr:uid="{D5287BD0-6DA0-4AF0-81BD-B558329EBCAA}"/>
    <cellStyle name="Normal 18 3 2" xfId="1678" xr:uid="{56FCA2B4-1F77-47E7-BA3C-C7CD196DF52B}"/>
    <cellStyle name="Normal 18 4" xfId="1679" xr:uid="{87FEC4AA-D20E-46EE-B075-6200C3B63614}"/>
    <cellStyle name="Normal 18 4 2" xfId="1680" xr:uid="{B12EC9A1-8837-4794-932F-4849B039BDE6}"/>
    <cellStyle name="Normal 18 5" xfId="1681" xr:uid="{FB22297B-DF4B-4FD6-ABA5-DB3D0FA751C9}"/>
    <cellStyle name="Normal 18 5 2" xfId="1682" xr:uid="{80CBC061-BA8A-4DAF-88E6-D4E51B0F95D9}"/>
    <cellStyle name="Normal 18 6" xfId="1683" xr:uid="{62FD08D1-6A9F-465A-A38D-36B6D0E2327C}"/>
    <cellStyle name="Normal 18 6 2" xfId="1684" xr:uid="{3703BC9D-BEBE-4D1C-827C-50FE80D5EE6B}"/>
    <cellStyle name="Normal 18 7" xfId="1685" xr:uid="{55F4CDB7-70FC-4FEA-BB78-76C970F8C307}"/>
    <cellStyle name="Normal 18 7 2" xfId="1686" xr:uid="{CCCAB757-91FD-4B94-8A6F-B6AD4EBE661E}"/>
    <cellStyle name="Normal 18 8" xfId="1687" xr:uid="{22CBA78B-0E8F-473E-A351-CE3E44271FD8}"/>
    <cellStyle name="Normal 18 8 2" xfId="1688" xr:uid="{D8B6A7E3-9BAE-419E-86C8-208040FD3C35}"/>
    <cellStyle name="Normal 18 9" xfId="1689" xr:uid="{0B235071-5EB3-4788-8230-B4E1552A0338}"/>
    <cellStyle name="Normal 18 9 2" xfId="5955" xr:uid="{ABDC2DD2-291E-4E35-B30D-48BA1ED0D01D}"/>
    <cellStyle name="Normal 19" xfId="1690" xr:uid="{1BD175C0-70FB-4BCB-B697-5F80088D0DA0}"/>
    <cellStyle name="Normal 19 10" xfId="1691" xr:uid="{1C0E4BAB-EE70-47E7-8EF1-186BBD597D78}"/>
    <cellStyle name="Normal 19 2" xfId="1692" xr:uid="{3F5A96BB-7C84-4A3A-A597-5F494270FE1F}"/>
    <cellStyle name="Normal 19 2 2" xfId="1693" xr:uid="{A4C4FADC-B4F9-448C-9670-24E41EC94ADD}"/>
    <cellStyle name="Normal 19 3" xfId="1694" xr:uid="{3BCA1BB4-E27F-4323-991B-BABF46E6993F}"/>
    <cellStyle name="Normal 19 3 2" xfId="1695" xr:uid="{E5021B58-7C3C-4D61-B41A-C0C6AAAE516E}"/>
    <cellStyle name="Normal 19 4" xfId="1696" xr:uid="{078047A2-6C93-4BEA-99BD-017834C6DC8A}"/>
    <cellStyle name="Normal 19 4 2" xfId="1697" xr:uid="{11AAD53B-9C3F-4C7C-8EF7-D6B2105BBA62}"/>
    <cellStyle name="Normal 19 5" xfId="1698" xr:uid="{4133B234-5AA6-4FBC-9666-61AFCA693148}"/>
    <cellStyle name="Normal 19 5 2" xfId="1699" xr:uid="{72680332-FD46-4BA8-873C-70E2BE96278E}"/>
    <cellStyle name="Normal 19 6" xfId="1700" xr:uid="{6D0BFCBB-D99D-4C42-AD2B-A10DD3F4C0AF}"/>
    <cellStyle name="Normal 19 6 2" xfId="1701" xr:uid="{A2D05507-2CEB-4054-B938-44B841E69FCF}"/>
    <cellStyle name="Normal 19 7" xfId="1702" xr:uid="{F8B4CBB7-0A86-45DA-8738-2148F4A25038}"/>
    <cellStyle name="Normal 19 7 2" xfId="1703" xr:uid="{23E909AA-DAA1-4EA3-957D-DEA2919ED401}"/>
    <cellStyle name="Normal 19 8" xfId="1704" xr:uid="{2681A766-1C8C-451C-8786-24F5B0FF6F66}"/>
    <cellStyle name="Normal 19 8 2" xfId="1705" xr:uid="{2F0E4038-7B94-49C2-BDF0-BEBEFA9D6406}"/>
    <cellStyle name="Normal 19 9" xfId="1706" xr:uid="{A51F85F0-60F8-4B7C-874F-140007BADCCA}"/>
    <cellStyle name="Normal 19 9 2" xfId="5956" xr:uid="{2FD6AF87-0F63-4463-9677-378A46CDF237}"/>
    <cellStyle name="Normal 2" xfId="5" xr:uid="{00000000-0005-0000-0000-000005000000}"/>
    <cellStyle name="Normal 2 10" xfId="1708" xr:uid="{0A3463CB-3EF0-4E3A-B006-8055A70CC7D9}"/>
    <cellStyle name="Normal 2 11" xfId="1709" xr:uid="{E443479A-957E-4069-A91E-22E9F68AB0A1}"/>
    <cellStyle name="Normal 2 12" xfId="1710" xr:uid="{BF96F5C6-42C7-47B3-A658-904E1413B1B6}"/>
    <cellStyle name="Normal 2 13" xfId="1711" xr:uid="{0D29A59F-FC47-4E47-9123-CD48591A189E}"/>
    <cellStyle name="Normal 2 14" xfId="1712" xr:uid="{048784CF-5DBE-4711-8C83-E2C20F46EF78}"/>
    <cellStyle name="Normal 2 14 2" xfId="1713" xr:uid="{DCF7A707-7293-4A7D-A2AD-73D54B3E1E67}"/>
    <cellStyle name="Normal 2 15" xfId="1714" xr:uid="{C1A7DC9D-325D-41BA-8E2E-B71B43534F7D}"/>
    <cellStyle name="Normal 2 15 2" xfId="1715" xr:uid="{479227E3-499E-405F-8EDB-67E81923ECD3}"/>
    <cellStyle name="Normal 2 16" xfId="1716" xr:uid="{FADF4A77-E4BF-4D17-B087-C80075FE3F96}"/>
    <cellStyle name="Normal 2 16 2" xfId="1717" xr:uid="{8C67110C-1E4D-4827-A930-C339B9FFEE00}"/>
    <cellStyle name="Normal 2 17" xfId="1718" xr:uid="{839264C6-3161-480E-8F55-A36A99182089}"/>
    <cellStyle name="Normal 2 17 2" xfId="1719" xr:uid="{48E3FC1F-94C0-4D2B-98F0-E3D3921D8A21}"/>
    <cellStyle name="Normal 2 18" xfId="1720" xr:uid="{DF623318-A559-4CB1-8E5E-709793A13FCE}"/>
    <cellStyle name="Normal 2 18 2" xfId="1721" xr:uid="{8683D283-68F5-4641-8A6C-FF071FB28929}"/>
    <cellStyle name="Normal 2 19" xfId="1722" xr:uid="{E8ADADE4-D47C-4B1C-982D-38E84398B0FB}"/>
    <cellStyle name="Normal 2 19 2" xfId="1723" xr:uid="{5F36C8D1-6E93-4A4B-98D1-827CA0419E31}"/>
    <cellStyle name="Normal 2 2" xfId="49" xr:uid="{8027A110-8C31-4448-BB3A-95B14B2F96EC}"/>
    <cellStyle name="Normal 2 2 10" xfId="1725" xr:uid="{734A3AB8-905E-46C6-ABDD-4F3E2684DB02}"/>
    <cellStyle name="Normal 2 2 10 2" xfId="1726" xr:uid="{0D6C3BB4-048F-4891-B1DC-7089CF68E5B3}"/>
    <cellStyle name="Normal 2 2 11" xfId="1727" xr:uid="{D890F812-506A-4942-B5EA-27ACE399BF40}"/>
    <cellStyle name="Normal 2 2 12" xfId="1728" xr:uid="{E9F60963-8545-49F6-9054-7DB008EC7789}"/>
    <cellStyle name="Normal 2 2 13" xfId="1729" xr:uid="{0830783D-EA63-4718-9823-3A93A31B6748}"/>
    <cellStyle name="Normal 2 2 14" xfId="1730" xr:uid="{7EEC1D77-E364-4058-A033-AC64FB872E37}"/>
    <cellStyle name="Normal 2 2 15" xfId="1731" xr:uid="{C0129A3A-1B79-48A5-AD9A-44A93CAB17E2}"/>
    <cellStyle name="Normal 2 2 16" xfId="1732" xr:uid="{D382707E-A6D7-4385-8234-23B5810CA3AB}"/>
    <cellStyle name="Normal 2 2 17" xfId="1733" xr:uid="{51F52A01-F89C-4DFF-BD56-732C6EAE43FC}"/>
    <cellStyle name="Normal 2 2 18" xfId="1734" xr:uid="{5F939F51-C1CF-4F63-8E33-410D2E15E506}"/>
    <cellStyle name="Normal 2 2 19" xfId="1735" xr:uid="{48B96225-F29A-489A-AF84-EFE7EF484D11}"/>
    <cellStyle name="Normal 2 2 2" xfId="1736" xr:uid="{75F2D148-9086-4D19-BBE0-349B1EB882C3}"/>
    <cellStyle name="Normal 2 2 2 10" xfId="1737" xr:uid="{B0477859-DC5E-407C-9598-DEE8CFB79815}"/>
    <cellStyle name="Normal 2 2 2 11" xfId="1738" xr:uid="{E56DC8B5-17CD-4803-B34E-65411D664B8C}"/>
    <cellStyle name="Normal 2 2 2 11 2" xfId="1739" xr:uid="{277A8E6C-D8CC-4876-BC95-E95AA0793BCD}"/>
    <cellStyle name="Normal 2 2 2 12" xfId="1740" xr:uid="{644F38A9-B729-40E6-B045-BADFC8D40BD0}"/>
    <cellStyle name="Normal 2 2 2 12 2" xfId="1741" xr:uid="{A0FD2C7B-2610-4AEA-B569-94D5D29EB197}"/>
    <cellStyle name="Normal 2 2 2 13" xfId="1742" xr:uid="{732D68C1-8F10-4E0A-9886-CD79F8087FFB}"/>
    <cellStyle name="Normal 2 2 2 13 2" xfId="1743" xr:uid="{11A463F8-3885-434F-8AB9-02C3D1D0CE94}"/>
    <cellStyle name="Normal 2 2 2 14" xfId="1744" xr:uid="{FD78D8E4-D2B1-4578-868E-6D201F9ADFAC}"/>
    <cellStyle name="Normal 2 2 2 14 2" xfId="1745" xr:uid="{BFE4C736-847D-4EAD-88A0-DE2A80668B09}"/>
    <cellStyle name="Normal 2 2 2 15" xfId="1746" xr:uid="{7B618302-A560-4C6D-8151-7D775CF51C41}"/>
    <cellStyle name="Normal 2 2 2 15 2" xfId="1747" xr:uid="{DA2EF1A4-7918-4F18-8D47-0D6071AF2CC9}"/>
    <cellStyle name="Normal 2 2 2 16" xfId="1748" xr:uid="{8F6875AA-8CA4-4FAA-8FEF-50204B67BCEE}"/>
    <cellStyle name="Normal 2 2 2 16 2" xfId="1749" xr:uid="{0A92CBA1-3946-4DAA-8E3F-B805E1789010}"/>
    <cellStyle name="Normal 2 2 2 17" xfId="1750" xr:uid="{04A6F8C3-C386-4AFF-9729-559699330D79}"/>
    <cellStyle name="Normal 2 2 2 17 2" xfId="1751" xr:uid="{A825BD7D-FE8D-4D02-B299-8F88A7717AD2}"/>
    <cellStyle name="Normal 2 2 2 18" xfId="1752" xr:uid="{0F881135-BF30-43B0-AD0A-D2B2278EB538}"/>
    <cellStyle name="Normal 2 2 2 18 2" xfId="1753" xr:uid="{B0FF162C-F50D-44B8-AAFA-905124F21B1F}"/>
    <cellStyle name="Normal 2 2 2 19" xfId="1754" xr:uid="{5B20FE55-5DC2-47E2-884F-D5E5E7B06D61}"/>
    <cellStyle name="Normal 2 2 2 19 2" xfId="1755" xr:uid="{17FF2D84-2D8A-444F-A47A-CCF570A1A913}"/>
    <cellStyle name="Normal 2 2 2 2" xfId="1756" xr:uid="{203AC313-9B8F-436A-A1EC-754C50F69845}"/>
    <cellStyle name="Normal 2 2 2 2 10" xfId="1757" xr:uid="{A679FAED-B991-496E-B8A7-CCA3BA1B15C0}"/>
    <cellStyle name="Normal 2 2 2 2 11" xfId="1758" xr:uid="{DCBB56DF-F7BB-4CF3-8AE7-24133E3FFCA7}"/>
    <cellStyle name="Normal 2 2 2 2 12" xfId="1759" xr:uid="{983D84BC-1ED8-436A-9C3E-E59197CD6F65}"/>
    <cellStyle name="Normal 2 2 2 2 13" xfId="1760" xr:uid="{7017FC5D-745F-45A1-BBD6-FE0C4B1229A4}"/>
    <cellStyle name="Normal 2 2 2 2 14" xfId="1761" xr:uid="{4DA669FE-D7C1-4545-8E7F-8BC20D61C400}"/>
    <cellStyle name="Normal 2 2 2 2 2" xfId="1762" xr:uid="{B3E4147F-B7C4-4369-9F76-292F23A6AB16}"/>
    <cellStyle name="Normal 2 2 2 2 2 10" xfId="1763" xr:uid="{F7686AA7-064F-4C77-92DE-184C144DC765}"/>
    <cellStyle name="Normal 2 2 2 2 2 10 2" xfId="1764" xr:uid="{0CE04DDE-3290-406E-8A93-1296E7D7CB04}"/>
    <cellStyle name="Normal 2 2 2 2 2 11" xfId="1765" xr:uid="{E681A403-7681-46C4-8535-34D40E639386}"/>
    <cellStyle name="Normal 2 2 2 2 2 11 2" xfId="1766" xr:uid="{23E1AF99-02FF-4338-9BE2-3DC5200129A3}"/>
    <cellStyle name="Normal 2 2 2 2 2 2" xfId="1767" xr:uid="{9D6EF60C-6B3E-45C2-AA94-6C79D53B37FD}"/>
    <cellStyle name="Normal 2 2 2 2 2 2 2" xfId="1768" xr:uid="{8414126E-BCC6-40D1-ABC7-C36401749E50}"/>
    <cellStyle name="Normal 2 2 2 2 2 3" xfId="1769" xr:uid="{65E44475-EDDC-47FA-B3B7-60546B4BB2C1}"/>
    <cellStyle name="Normal 2 2 2 2 2 3 2" xfId="1770" xr:uid="{460ACA22-3AC2-4956-BCBE-97776A2E2537}"/>
    <cellStyle name="Normal 2 2 2 2 2 4" xfId="1771" xr:uid="{1CEB9873-6346-42C5-BBD6-45712A9EB8E1}"/>
    <cellStyle name="Normal 2 2 2 2 2 4 2" xfId="1772" xr:uid="{113D7599-3E10-4386-8C91-A24B586E2289}"/>
    <cellStyle name="Normal 2 2 2 2 2 5" xfId="1773" xr:uid="{02718C59-8C18-42E6-B94C-ED069F2065C5}"/>
    <cellStyle name="Normal 2 2 2 2 2 5 2" xfId="1774" xr:uid="{FA7D8D5E-EB5A-4068-B9C0-FC9406F28BC6}"/>
    <cellStyle name="Normal 2 2 2 2 2 6" xfId="1775" xr:uid="{64A1823C-7124-4852-863B-B4CFBD9F9C52}"/>
    <cellStyle name="Normal 2 2 2 2 2 6 2" xfId="1776" xr:uid="{9A44776E-AE6B-4C56-A6EF-5B0A4C13AD4F}"/>
    <cellStyle name="Normal 2 2 2 2 2 7" xfId="1777" xr:uid="{814ADDA1-B5F9-4639-AD9B-CE47BD1C2B36}"/>
    <cellStyle name="Normal 2 2 2 2 2 7 2" xfId="1778" xr:uid="{5F06B879-5095-4994-B7BA-756735848F0A}"/>
    <cellStyle name="Normal 2 2 2 2 2 8" xfId="1779" xr:uid="{4AF9C6C8-7C0C-46A7-8877-1E9E018884CA}"/>
    <cellStyle name="Normal 2 2 2 2 2 8 2" xfId="1780" xr:uid="{E658823C-6037-4E52-AADC-A156107D102E}"/>
    <cellStyle name="Normal 2 2 2 2 2 9" xfId="1781" xr:uid="{FA0BF891-1ADB-421E-9C30-CA1ADCE7F9FE}"/>
    <cellStyle name="Normal 2 2 2 2 2 9 2" xfId="1782" xr:uid="{3CBAB80D-EDF6-4A4B-AC8F-2080F256D294}"/>
    <cellStyle name="Normal 2 2 2 2 3" xfId="1783" xr:uid="{3A598A14-A0AB-4598-8722-86D67DD00967}"/>
    <cellStyle name="Normal 2 2 2 2 3 2" xfId="1784" xr:uid="{C8B46A40-0A06-475A-B3D2-9FFB43B56CC4}"/>
    <cellStyle name="Normal 2 2 2 2 4" xfId="1785" xr:uid="{9410266B-2798-46DB-858B-E6C84D86F75F}"/>
    <cellStyle name="Normal 2 2 2 2 4 2" xfId="1786" xr:uid="{5B78EF5F-CE1C-41A8-93CC-173FC05A3228}"/>
    <cellStyle name="Normal 2 2 2 2 5" xfId="1787" xr:uid="{1CA2FF82-9FD9-46D2-B322-98D75F2721A2}"/>
    <cellStyle name="Normal 2 2 2 2 6" xfId="1788" xr:uid="{CD9C3E4B-1BCA-4846-805C-DD0FDDB593DD}"/>
    <cellStyle name="Normal 2 2 2 2 7" xfId="1789" xr:uid="{867D3D1B-19FE-485B-BA5A-CED217EBA045}"/>
    <cellStyle name="Normal 2 2 2 2 8" xfId="1790" xr:uid="{9DDAE2F5-4D3F-463A-9034-4EDED28990BA}"/>
    <cellStyle name="Normal 2 2 2 2 9" xfId="1791" xr:uid="{35926B2B-F394-4143-8D87-EA50ED38146B}"/>
    <cellStyle name="Normal 2 2 2 3" xfId="1792" xr:uid="{4F84C094-E917-4ED2-AF60-8F98BB0AD20A}"/>
    <cellStyle name="Normal 2 2 2 3 2" xfId="1793" xr:uid="{F169B197-17F6-4F3D-8D8F-06E88EDE2644}"/>
    <cellStyle name="Normal 2 2 2 4" xfId="1794" xr:uid="{10F1FEF9-6284-4874-AB73-91F5B4E1CD41}"/>
    <cellStyle name="Normal 2 2 2 4 2" xfId="1795" xr:uid="{C7AF4D08-EC37-4FC1-BB9A-423ADCBBC42D}"/>
    <cellStyle name="Normal 2 2 2 5" xfId="1796" xr:uid="{09EE9E26-A24A-4046-BAEE-B0068EBAF1F9}"/>
    <cellStyle name="Normal 2 2 2 5 2" xfId="1797" xr:uid="{8C2A0A2E-3263-4C72-9AD9-A2ADA436F549}"/>
    <cellStyle name="Normal 2 2 2 6" xfId="1798" xr:uid="{E67B6AEF-92D0-47BC-A414-39BC7D220A26}"/>
    <cellStyle name="Normal 2 2 2 6 2" xfId="1799" xr:uid="{5913CFCF-FCD7-42C9-9E1C-536E38BB9318}"/>
    <cellStyle name="Normal 2 2 2 7" xfId="1800" xr:uid="{D0EFA08D-7618-4CB6-839A-210CA035800B}"/>
    <cellStyle name="Normal 2 2 2 7 2" xfId="1801" xr:uid="{E69FEFFE-FB4D-4F46-9235-C6CC50EA15FD}"/>
    <cellStyle name="Normal 2 2 2 8" xfId="1802" xr:uid="{205D97C5-3212-4BDA-9CB7-6600161F600E}"/>
    <cellStyle name="Normal 2 2 2 8 2" xfId="1803" xr:uid="{860E4973-13CC-47D2-877B-B49614AEA18E}"/>
    <cellStyle name="Normal 2 2 2 9" xfId="1804" xr:uid="{A5F3D67F-7BC3-48D7-9A3E-A5CCB8AA5959}"/>
    <cellStyle name="Normal 2 2 2_41" xfId="1805" xr:uid="{340F3D2D-2FC7-439B-840E-E0FC3C8FAD75}"/>
    <cellStyle name="Normal 2 2 20" xfId="1806" xr:uid="{2AA02B4F-281E-4F37-BB8C-37F768C9F8BC}"/>
    <cellStyle name="Normal 2 2 20 2" xfId="3605" xr:uid="{71A1CD42-E7EB-4948-BC41-FF37D526F6D7}"/>
    <cellStyle name="Normal 2 2 21" xfId="1807" xr:uid="{AD188A06-6F13-40CF-9D22-73A9EA0FFD00}"/>
    <cellStyle name="Normal 2 2 21 2" xfId="1808" xr:uid="{6AA091B2-DA4B-45A3-9336-9961FD805351}"/>
    <cellStyle name="Normal 2 2 21 3" xfId="3606" xr:uid="{D9243EC3-14D5-44E0-A347-606C9ECB646A}"/>
    <cellStyle name="Normal 2 2 22" xfId="1809" xr:uid="{9612C24C-0760-48C5-A6D2-07E1F8413801}"/>
    <cellStyle name="Normal 2 2 23" xfId="5957" xr:uid="{08C496DE-81F9-4DB7-87AF-B75296021A73}"/>
    <cellStyle name="Normal 2 2 24" xfId="5958" xr:uid="{2DBC6322-6B8A-48D8-9709-A4B325E5B32C}"/>
    <cellStyle name="Normal 2 2 25" xfId="5959" xr:uid="{623899D8-AF76-4B8F-AFC5-B090920AE24F}"/>
    <cellStyle name="Normal 2 2 26" xfId="5960" xr:uid="{B3E81072-6117-484F-ABE9-E148898AB2F1}"/>
    <cellStyle name="Normal 2 2 27" xfId="5961" xr:uid="{F8B3343C-1876-45F7-B8D8-A704E1E806D0}"/>
    <cellStyle name="Normal 2 2 28" xfId="5962" xr:uid="{99468D61-B2D4-47B6-86F3-2A70A4A3604D}"/>
    <cellStyle name="Normal 2 2 29" xfId="5963" xr:uid="{52976147-00BE-4EF7-A497-0857D07DBC09}"/>
    <cellStyle name="Normal 2 2 3" xfId="1810" xr:uid="{B4529962-1C82-4421-A875-B59188DDC1A0}"/>
    <cellStyle name="Normal 2 2 30" xfId="5964" xr:uid="{37239294-FEA1-476D-95D0-844DC1464CA4}"/>
    <cellStyle name="Normal 2 2 31" xfId="1724" xr:uid="{EB05916E-6D11-45F0-BF51-2C37EFAC0936}"/>
    <cellStyle name="Normal 2 2 4" xfId="1811" xr:uid="{0F26711B-4B93-4D71-A653-89154F0FAB94}"/>
    <cellStyle name="Normal 2 2 5" xfId="1812" xr:uid="{D5854332-A7F7-46ED-94DB-004DF5B2DD12}"/>
    <cellStyle name="Normal 2 2 6" xfId="1813" xr:uid="{E2A03ACC-010D-491C-AE41-C8E1114317E2}"/>
    <cellStyle name="Normal 2 2 7" xfId="1814" xr:uid="{3DDF329B-E0FD-490C-A5FF-83458A07864A}"/>
    <cellStyle name="Normal 2 2 8" xfId="1815" xr:uid="{52AA09B5-046A-4EB8-996B-0D21649C15B4}"/>
    <cellStyle name="Normal 2 2 9" xfId="1816" xr:uid="{E29AB1C7-9164-48E0-BC60-D58B39D96E83}"/>
    <cellStyle name="Normal 2 2 9 2" xfId="1817" xr:uid="{CA41E6B3-5A7B-4794-AE4F-4ACEFF02DB36}"/>
    <cellStyle name="Normal 2 2_1.0 HFM data" xfId="5965" xr:uid="{4FC8453D-C2B2-4BF5-92A8-175F54B715D0}"/>
    <cellStyle name="Normal 2 20" xfId="1818" xr:uid="{44BA093E-3264-4C43-95A5-950C2B39CC2D}"/>
    <cellStyle name="Normal 2 20 2" xfId="1819" xr:uid="{D10FE2E5-BCFA-4006-BA10-06327A9C0E16}"/>
    <cellStyle name="Normal 2 21" xfId="1820" xr:uid="{D36583FB-A8F9-4217-9460-39A0C4632172}"/>
    <cellStyle name="Normal 2 21 2" xfId="1821" xr:uid="{96327FB5-06E8-455C-9F6A-378733226217}"/>
    <cellStyle name="Normal 2 22" xfId="1822" xr:uid="{E23696D6-593C-4558-A99F-BC9583E06518}"/>
    <cellStyle name="Normal 2 23" xfId="1823" xr:uid="{C4235233-F791-4079-8572-48E1BB82F333}"/>
    <cellStyle name="Normal 2 24" xfId="1824" xr:uid="{B194AB52-B097-4851-BDD8-94D7C65D1CE1}"/>
    <cellStyle name="Normal 2 25" xfId="1825" xr:uid="{1FD3397C-8B3F-48B9-BB7D-CBD092D08373}"/>
    <cellStyle name="Normal 2 26" xfId="1826" xr:uid="{81E809F2-AB0D-4E09-A1FA-7267CE2CF02B}"/>
    <cellStyle name="Normal 2 27" xfId="1827" xr:uid="{EC8C995C-CA96-4839-B12A-7536029C95BE}"/>
    <cellStyle name="Normal 2 28" xfId="1828" xr:uid="{95876FD1-0D74-41F4-998A-7AF841F788A3}"/>
    <cellStyle name="Normal 2 29" xfId="1829" xr:uid="{0C5F8FDB-990C-4066-932D-DBE2D164ED0B}"/>
    <cellStyle name="Normal 2 3" xfId="1830" xr:uid="{3813B1B6-B1EE-44DE-A09A-DB6F43A21135}"/>
    <cellStyle name="Normal 2 3 2" xfId="1831" xr:uid="{6DA71C83-C559-4D21-AD79-D1DFC1AEC306}"/>
    <cellStyle name="Normal 2 3 2 2" xfId="3627" xr:uid="{C1517571-C6E6-40D4-9A6B-F70330DAA981}"/>
    <cellStyle name="Normal 2 3 3" xfId="1832" xr:uid="{D553B0D4-C07B-45CD-A68C-909C0A536894}"/>
    <cellStyle name="Normal 2 3 3 2" xfId="52" xr:uid="{FCEF2912-3CDF-4C2D-B35F-30EBBCBA0B5C}"/>
    <cellStyle name="Normal 2 3 4" xfId="1833" xr:uid="{B2FA9361-AAE0-4368-8F58-A170E0A652A7}"/>
    <cellStyle name="Normal 2 30" xfId="1834" xr:uid="{3AB73802-3A11-4E25-8C99-33250B5EB2BE}"/>
    <cellStyle name="Normal 2 31" xfId="1835" xr:uid="{1A4F0FC7-BFE2-4A31-B0C1-42EA0E8E9829}"/>
    <cellStyle name="Normal 2 32" xfId="1836" xr:uid="{6A983C37-E771-48C2-8EA5-3036AF2DB52E}"/>
    <cellStyle name="Normal 2 33" xfId="1837" xr:uid="{6AD85CD1-5CCE-4766-9806-FD3C2858E567}"/>
    <cellStyle name="Normal 2 33 2" xfId="5966" xr:uid="{5C14259E-1F05-470D-9F76-1C2286112D89}"/>
    <cellStyle name="Normal 2 33 3" xfId="5967" xr:uid="{E3244300-66A9-40F7-9FC9-F15AE56AB7B8}"/>
    <cellStyle name="Normal 2 33 4" xfId="3561" xr:uid="{C9E3D37A-5F4B-4578-AADA-02AA2BF50859}"/>
    <cellStyle name="Normal 2 34" xfId="1838" xr:uid="{87E31224-8489-4AE1-9466-FD26FE5C441A}"/>
    <cellStyle name="Normal 2 34 2" xfId="3607" xr:uid="{8DCA8D6B-DCCA-492A-8863-9556F971C01A}"/>
    <cellStyle name="Normal 2 35" xfId="1839" xr:uid="{1EA0E4F9-80C5-461A-B484-37D27F262D84}"/>
    <cellStyle name="Normal 2 35 2" xfId="3608" xr:uid="{729D4F29-5715-41D7-A422-33B02F9BE563}"/>
    <cellStyle name="Normal 2 36" xfId="5968" xr:uid="{904029A2-0194-43AF-A79C-81115DD59DF9}"/>
    <cellStyle name="Normal 2 37" xfId="3407" xr:uid="{185769D9-4ACB-4205-B45C-98B843E76A96}"/>
    <cellStyle name="Normal 2 38" xfId="11330" xr:uid="{9C85ED8C-ECDB-48C0-9DA1-1D1E5ED7CFFB}"/>
    <cellStyle name="Normal 2 39" xfId="1707" xr:uid="{24242951-E231-4192-BE21-C84813020B03}"/>
    <cellStyle name="Normal 2 4" xfId="1840" xr:uid="{00A7ABCD-2B2E-410D-B1C9-3BC0A7E986CD}"/>
    <cellStyle name="Normal 2 4 2" xfId="1841" xr:uid="{8EFA6C2E-F8E4-46DE-BC78-843F994AE1A4}"/>
    <cellStyle name="Normal 2 4 2 2" xfId="5970" xr:uid="{EBE3F96E-A2FD-43CC-9D5E-E3F19F5C504E}"/>
    <cellStyle name="Normal 2 4 2 2 2" xfId="5971" xr:uid="{B1FB7E24-83CC-4FF6-812B-D94B45834CEC}"/>
    <cellStyle name="Normal 2 4 2 2 2 2" xfId="5972" xr:uid="{53DEE9A4-B7F1-4DE2-897F-98F49EA0A134}"/>
    <cellStyle name="Normal 2 4 2 2 2 2 2" xfId="5973" xr:uid="{1920F043-ED35-452C-A23F-583A8892C4EB}"/>
    <cellStyle name="Normal 2 4 2 2 2 2 3" xfId="5974" xr:uid="{57348417-8C21-4812-A0B8-430EE74B8BA0}"/>
    <cellStyle name="Normal 2 4 2 2 2 3" xfId="5975" xr:uid="{2BB18737-CAF9-4735-80C3-C400198CC05B}"/>
    <cellStyle name="Normal 2 4 2 2 2 4" xfId="5976" xr:uid="{E46605B3-9D9B-41D3-B748-025C79C5FCFE}"/>
    <cellStyle name="Normal 2 4 2 2 3" xfId="5977" xr:uid="{B0C7E25A-F32D-4648-9832-DAF441F7AE6B}"/>
    <cellStyle name="Normal 2 4 2 2 3 2" xfId="5978" xr:uid="{59452B83-C73B-462D-B9A2-623E53279BA7}"/>
    <cellStyle name="Normal 2 4 2 2 3 3" xfId="5979" xr:uid="{5FB801CC-6C64-4D1D-8F21-B396FC44E124}"/>
    <cellStyle name="Normal 2 4 2 2 4" xfId="5980" xr:uid="{607C5E97-4E49-4453-AF23-7F879CF87E41}"/>
    <cellStyle name="Normal 2 4 2 2 5" xfId="5981" xr:uid="{589369EC-EB00-4EF0-82D6-4847E0567246}"/>
    <cellStyle name="Normal 2 4 2 3" xfId="5982" xr:uid="{38215F10-855F-4662-B201-2B85760094D7}"/>
    <cellStyle name="Normal 2 4 2 3 2" xfId="5983" xr:uid="{67AB7AE7-4F7B-4E7C-B9BE-D23F1DFE44AA}"/>
    <cellStyle name="Normal 2 4 2 3 2 2" xfId="5984" xr:uid="{169F56E5-2020-49F0-9B86-30E99395118A}"/>
    <cellStyle name="Normal 2 4 2 3 2 3" xfId="5985" xr:uid="{BD759F86-A2C5-4977-B489-D7AA9EBF370C}"/>
    <cellStyle name="Normal 2 4 2 3 3" xfId="5986" xr:uid="{51197070-E5C1-4111-91DD-B52F61B81C86}"/>
    <cellStyle name="Normal 2 4 2 3 4" xfId="5987" xr:uid="{3775380B-F525-4E57-B6BD-A3A5FD402F13}"/>
    <cellStyle name="Normal 2 4 2 4" xfId="5988" xr:uid="{36FB0E47-810C-4F6F-B585-73A6CA60EFB1}"/>
    <cellStyle name="Normal 2 4 2 4 2" xfId="5989" xr:uid="{F7F5A06B-71BD-4AF2-B14D-07C8643CA215}"/>
    <cellStyle name="Normal 2 4 2 4 3" xfId="5990" xr:uid="{C57C8A28-F485-45E7-AD72-CFE8E1BBFB83}"/>
    <cellStyle name="Normal 2 4 2 5" xfId="5991" xr:uid="{2F039AB9-E181-4159-93C1-62BADFEC3748}"/>
    <cellStyle name="Normal 2 4 2 6" xfId="5992" xr:uid="{A48B6164-8B1E-4457-BE59-B053AF81B602}"/>
    <cellStyle name="Normal 2 4 2 7" xfId="5969" xr:uid="{078A8403-8B94-45FD-9610-2F106F1DC935}"/>
    <cellStyle name="Normal 2 4 3" xfId="1842" xr:uid="{C83DD00D-F285-4488-864D-9A29C9464C9D}"/>
    <cellStyle name="Normal 2 4 3 2" xfId="5994" xr:uid="{C0357AD3-42F5-4B04-AF40-DD95880E06C3}"/>
    <cellStyle name="Normal 2 4 3 2 2" xfId="5995" xr:uid="{F1CAE3B1-7EE0-42CD-8D11-CA29D46B58CB}"/>
    <cellStyle name="Normal 2 4 3 2 2 2" xfId="5996" xr:uid="{BAE0EA55-0BDE-49E7-A736-A0D61180A24B}"/>
    <cellStyle name="Normal 2 4 3 2 2 3" xfId="5997" xr:uid="{F0BEB935-F362-4048-B344-D7768D518868}"/>
    <cellStyle name="Normal 2 4 3 2 3" xfId="5998" xr:uid="{EEA31EFB-A05F-4FD9-9109-7C7BD06B57A0}"/>
    <cellStyle name="Normal 2 4 3 2 4" xfId="5999" xr:uid="{79A14646-18B0-405A-86F8-AB35F018F5C1}"/>
    <cellStyle name="Normal 2 4 3 3" xfId="6000" xr:uid="{BEBCC967-FB92-48A6-BBE9-9E28892BE658}"/>
    <cellStyle name="Normal 2 4 3 3 2" xfId="6001" xr:uid="{52FDF3E9-E9B2-4DAE-978F-5B9773E2959E}"/>
    <cellStyle name="Normal 2 4 3 3 3" xfId="6002" xr:uid="{A8A7C1ED-71EF-4C9E-8493-8A411332D85E}"/>
    <cellStyle name="Normal 2 4 3 4" xfId="6003" xr:uid="{5223FCF4-F474-4617-9818-A20098018A29}"/>
    <cellStyle name="Normal 2 4 3 5" xfId="6004" xr:uid="{64242262-826E-4264-8DB1-ACBFA31272BD}"/>
    <cellStyle name="Normal 2 4 3 6" xfId="5993" xr:uid="{962BC599-8E57-4003-B324-5C7FE9790733}"/>
    <cellStyle name="Normal 2 4 4" xfId="6005" xr:uid="{7535B634-0488-4015-91D7-D4AE77EF77B3}"/>
    <cellStyle name="Normal 2 4 4 2" xfId="6006" xr:uid="{D4A5BAEB-C57F-4E88-8E58-E9F0DE0DD3F7}"/>
    <cellStyle name="Normal 2 4 4 2 2" xfId="6007" xr:uid="{AB61E57A-3449-4EAD-8805-64C4CAD5D2C3}"/>
    <cellStyle name="Normal 2 4 4 2 3" xfId="6008" xr:uid="{C92521D2-CF81-4FF6-BB1A-E25C2ECD4E24}"/>
    <cellStyle name="Normal 2 4 4 3" xfId="6009" xr:uid="{73F791EC-DE0A-448F-80C2-77A47FCC2206}"/>
    <cellStyle name="Normal 2 4 4 4" xfId="6010" xr:uid="{AB585FEF-67FA-4A88-B6CF-745A0C294105}"/>
    <cellStyle name="Normal 2 4 5" xfId="6011" xr:uid="{ED2EB796-4ECD-44AB-8F4F-879F2F7A978D}"/>
    <cellStyle name="Normal 2 4 5 2" xfId="6012" xr:uid="{73F6CDDE-38AA-4127-B036-939D0BD1F41D}"/>
    <cellStyle name="Normal 2 4 5 3" xfId="6013" xr:uid="{2D25FE2E-2B75-4068-B6ED-F7DC8FD6CDDC}"/>
    <cellStyle name="Normal 2 4 6" xfId="6014" xr:uid="{C1D501F6-C17B-4211-8983-00258E37CE58}"/>
    <cellStyle name="Normal 2 4 7" xfId="6015" xr:uid="{F39FEF31-660F-480B-8213-99465BFC0307}"/>
    <cellStyle name="Normal 2 40" xfId="11601" xr:uid="{420BE677-9765-442E-B878-8B1DD8C63388}"/>
    <cellStyle name="Normal 2 41" xfId="11602" xr:uid="{AA7272D6-D48E-4F2A-953C-281C70E76B7A}"/>
    <cellStyle name="Normal 2 5" xfId="1843" xr:uid="{E1B4F90A-7907-49BA-A0EF-DEBE60957465}"/>
    <cellStyle name="Normal 2 5 2" xfId="1844" xr:uid="{749EF609-C930-44DD-9697-BCBF8BA37A5B}"/>
    <cellStyle name="Normal 2 6" xfId="1845" xr:uid="{0C73E208-14D4-45E3-8A2C-D99EABD58DBB}"/>
    <cellStyle name="Normal 2 6 2" xfId="1846" xr:uid="{74425E30-5A3F-43A8-AE57-C176AE7691DB}"/>
    <cellStyle name="Normal 2 7" xfId="1847" xr:uid="{EB1C952A-8EB6-421D-94EF-7007D6020491}"/>
    <cellStyle name="Normal 2 7 2" xfId="1848" xr:uid="{927A2E28-6304-45B8-9AA5-E738E9CE8E3E}"/>
    <cellStyle name="Normal 2 8" xfId="1849" xr:uid="{E2F3F017-B271-494E-9811-92C67CA03A5F}"/>
    <cellStyle name="Normal 2 8 2" xfId="1850" xr:uid="{BF8C379E-077A-4061-8C87-8D8AE1262637}"/>
    <cellStyle name="Normal 2 9" xfId="1851" xr:uid="{10C1E046-6553-4D52-A027-AF6706E24C52}"/>
    <cellStyle name="Normal 2_Ctrl DL _ RA Published - Sep 2011" xfId="1852" xr:uid="{E8114B91-D622-4BB6-A93F-860B2AF71B41}"/>
    <cellStyle name="Normal 20" xfId="1853" xr:uid="{36A8E711-FF5C-4350-AD3D-FE6BD65FAE60}"/>
    <cellStyle name="Normal 20 2" xfId="1854" xr:uid="{D30ED0D6-3D02-4AE1-8D5F-0E4DC14F20A3}"/>
    <cellStyle name="Normal 20 2 2" xfId="1855" xr:uid="{DACE75EB-BEA2-43F0-AA9F-0040AB516FC6}"/>
    <cellStyle name="Normal 20 3" xfId="1856" xr:uid="{3484BD02-47CE-4EA5-94C8-04457B0C0D26}"/>
    <cellStyle name="Normal 20 3 2" xfId="1857" xr:uid="{DFED59DA-DB08-4CAA-99E7-387F0A444B29}"/>
    <cellStyle name="Normal 20 4" xfId="1858" xr:uid="{09A7ACF0-E250-4A98-8388-6F02CF2EA3F5}"/>
    <cellStyle name="Normal 20 4 2" xfId="1859" xr:uid="{F11233BF-7BDA-4EB9-B505-DD6AC1622B68}"/>
    <cellStyle name="Normal 20 5" xfId="1860" xr:uid="{D9C79EA9-68B9-4EC8-9E8A-FA7DD0773FDA}"/>
    <cellStyle name="Normal 20 5 2" xfId="1861" xr:uid="{2AE92D8F-D7BF-477A-AE9E-1278401EE8D8}"/>
    <cellStyle name="Normal 20 6" xfId="1862" xr:uid="{4D5DD310-C94A-4930-BCFA-7DA387431E54}"/>
    <cellStyle name="Normal 20 6 2" xfId="1863" xr:uid="{86AA2C52-F267-49F5-85C5-F82AF5198050}"/>
    <cellStyle name="Normal 20 7" xfId="1864" xr:uid="{503023A6-B89C-4806-A67F-A9DD68C338E5}"/>
    <cellStyle name="Normal 20 7 2" xfId="1865" xr:uid="{897800E1-A47F-4021-A90D-23BF3B84E8E0}"/>
    <cellStyle name="Normal 20 8" xfId="1866" xr:uid="{5D0DA982-D7B3-48E3-928F-E3E89CD15892}"/>
    <cellStyle name="Normal 20 8 2" xfId="1867" xr:uid="{1D78660A-7B5E-4636-8736-A97D322BEF1C}"/>
    <cellStyle name="Normal 20 9" xfId="1868" xr:uid="{D888524B-FDEA-428F-8D54-77562E91B745}"/>
    <cellStyle name="Normal 21" xfId="1869" xr:uid="{56FCCF36-99A7-4A25-BA68-A1360FD06655}"/>
    <cellStyle name="Normal 21 2" xfId="1870" xr:uid="{7C0CD9ED-E3E5-4B21-B970-DB33E0E05BE9}"/>
    <cellStyle name="Normal 21 2 2" xfId="1871" xr:uid="{26DC7E74-E940-4B09-9DDB-3CE36E8D2A9C}"/>
    <cellStyle name="Normal 21 3" xfId="1872" xr:uid="{0BEF65A8-1AE6-4804-AD3E-7340225428D6}"/>
    <cellStyle name="Normal 21 3 2" xfId="1873" xr:uid="{4D646E67-55D9-4F7A-AA45-CE4499EDFF20}"/>
    <cellStyle name="Normal 21 4" xfId="1874" xr:uid="{426A093A-EB40-48AA-A8F6-C7AABEF88CAE}"/>
    <cellStyle name="Normal 21 4 2" xfId="1875" xr:uid="{D76556B3-EAF9-420A-9534-DB4B743FACC1}"/>
    <cellStyle name="Normal 21 5" xfId="1876" xr:uid="{6CDF1694-7BEB-4DDA-B852-857F243F6E19}"/>
    <cellStyle name="Normal 21 5 2" xfId="1877" xr:uid="{F15B97C0-950B-443E-BF63-9C5454F059F5}"/>
    <cellStyle name="Normal 21 6" xfId="1878" xr:uid="{88357CBB-0D51-4BEB-9466-7722D501D68F}"/>
    <cellStyle name="Normal 21 6 2" xfId="1879" xr:uid="{BA3756E8-D9CB-4E85-8F02-154C30C7B2A8}"/>
    <cellStyle name="Normal 21 7" xfId="1880" xr:uid="{417F436A-FE41-425A-9A79-CE723A5532C3}"/>
    <cellStyle name="Normal 21 7 2" xfId="1881" xr:uid="{CDB21579-E4EF-488B-836F-CB847164DC01}"/>
    <cellStyle name="Normal 21 8" xfId="1882" xr:uid="{E6C21197-E898-4081-8488-40E12052A259}"/>
    <cellStyle name="Normal 21 8 2" xfId="1883" xr:uid="{205CE0BC-38C1-427A-A17F-18DA6A937797}"/>
    <cellStyle name="Normal 21 9" xfId="1884" xr:uid="{95CE5CEC-AFBE-45F1-ABAC-7B8781EA4ED1}"/>
    <cellStyle name="Normal 22" xfId="1885" xr:uid="{E2DF3E18-CDAC-4498-ABDB-D417AE3FA28A}"/>
    <cellStyle name="Normal 22 2" xfId="1886" xr:uid="{381D801B-8AD8-49E1-9A40-537FD0FA8267}"/>
    <cellStyle name="Normal 22 2 2" xfId="1887" xr:uid="{85FA42A2-F79A-46C7-9B55-A12D0784AF40}"/>
    <cellStyle name="Normal 22 3" xfId="1888" xr:uid="{A6A283FE-6D4C-4F0C-9ECE-C4A76E88429D}"/>
    <cellStyle name="Normal 22 3 2" xfId="1889" xr:uid="{7300F213-64B2-4B2D-BECA-2798CD062558}"/>
    <cellStyle name="Normal 22 4" xfId="1890" xr:uid="{991B5B5F-2D6F-4A41-9577-BFE006D41C57}"/>
    <cellStyle name="Normal 22 4 2" xfId="1891" xr:uid="{1E12DBA1-FAC3-49B0-962E-9880D5B971CA}"/>
    <cellStyle name="Normal 22 5" xfId="1892" xr:uid="{D712397D-F07F-43B1-8E5A-56DCA7FA0B9B}"/>
    <cellStyle name="Normal 22 5 2" xfId="1893" xr:uid="{C105F330-AB74-4640-BBD9-78883569F043}"/>
    <cellStyle name="Normal 22 6" xfId="1894" xr:uid="{D1B3B135-F5A8-4E0F-9CD3-C8E656BEA447}"/>
    <cellStyle name="Normal 22 6 2" xfId="1895" xr:uid="{1C4AA724-F489-466B-8DC5-FCB8BF795A4A}"/>
    <cellStyle name="Normal 22 7" xfId="1896" xr:uid="{3BB56F4B-11AD-41A3-B181-E0B309B49A88}"/>
    <cellStyle name="Normal 22 7 2" xfId="1897" xr:uid="{1E232666-4146-4FE6-B9DB-8F18FA2FFB58}"/>
    <cellStyle name="Normal 22 8" xfId="1898" xr:uid="{B483C27F-DE7C-4E96-84F5-3C4463B9E2CD}"/>
    <cellStyle name="Normal 22 8 2" xfId="1899" xr:uid="{CD85D219-21EC-43D5-BCEC-D9A527DABE81}"/>
    <cellStyle name="Normal 22 9" xfId="1900" xr:uid="{05490081-26DD-4749-8A52-49D9F591816F}"/>
    <cellStyle name="Normal 23" xfId="1901" xr:uid="{981CB0F1-C925-43ED-A06B-CF38EF63B497}"/>
    <cellStyle name="Normal 23 2" xfId="1902" xr:uid="{6A8F5EAC-8374-406D-9171-A79859219477}"/>
    <cellStyle name="Normal 23 2 2" xfId="1903" xr:uid="{F4C576EC-B3E6-4180-A980-0424319E3C00}"/>
    <cellStyle name="Normal 23 3" xfId="1904" xr:uid="{CF52A02A-4570-4636-9903-83DCBC550536}"/>
    <cellStyle name="Normal 23 3 2" xfId="1905" xr:uid="{33D22BDC-7E1B-490C-A6F8-B7497405E534}"/>
    <cellStyle name="Normal 23 4" xfId="1906" xr:uid="{0C9D40CA-F405-4628-9B3D-166EBFA84F9E}"/>
    <cellStyle name="Normal 23 4 2" xfId="1907" xr:uid="{91FBD5D2-1E5C-4736-A263-832C134D70B8}"/>
    <cellStyle name="Normal 23 5" xfId="1908" xr:uid="{B4814A0E-B322-4E0C-A26B-5E4F591CABB4}"/>
    <cellStyle name="Normal 23 5 2" xfId="1909" xr:uid="{4E1F72F4-E44D-498F-AB9E-10718F2A650F}"/>
    <cellStyle name="Normal 23 6" xfId="1910" xr:uid="{DE21821E-EBB1-4612-9478-A4CFBB65431C}"/>
    <cellStyle name="Normal 23 6 2" xfId="1911" xr:uid="{D42CF425-99B6-4B4D-9134-38D4C45452D4}"/>
    <cellStyle name="Normal 23 7" xfId="1912" xr:uid="{66E6FCFD-3BA1-4B03-B7FD-CC709E476F16}"/>
    <cellStyle name="Normal 23 7 2" xfId="1913" xr:uid="{405DEC8B-EB30-4B26-BA02-679F94AECC24}"/>
    <cellStyle name="Normal 23 8" xfId="1914" xr:uid="{89E52623-01E4-4915-9CE2-CA0AB27A93D6}"/>
    <cellStyle name="Normal 23 8 2" xfId="1915" xr:uid="{332A8817-74E7-4D01-99FC-F22A6594C58C}"/>
    <cellStyle name="Normal 23 9" xfId="1916" xr:uid="{2FC71A4A-F9C1-4CC8-8FD9-3B1AFAEF01A4}"/>
    <cellStyle name="Normal 24" xfId="1917" xr:uid="{825424AD-6823-48CF-983E-304E9EE179AD}"/>
    <cellStyle name="Normal 24 2" xfId="1918" xr:uid="{F01BD9B9-21D5-408A-A2E1-8D795B06485C}"/>
    <cellStyle name="Normal 24 2 2" xfId="1919" xr:uid="{13FF80BB-5BCF-43A8-842B-488F56349D02}"/>
    <cellStyle name="Normal 24 3" xfId="1920" xr:uid="{19881D8F-1EA1-41D5-B0B9-D1059046D0C9}"/>
    <cellStyle name="Normal 24 3 2" xfId="1921" xr:uid="{C40FA3B5-8B5B-4C14-9B56-F01F10626B99}"/>
    <cellStyle name="Normal 24 4" xfId="1922" xr:uid="{49912E7A-D49F-4DFB-BA80-3CF09F75C7CA}"/>
    <cellStyle name="Normal 24 4 2" xfId="1923" xr:uid="{854A9CB8-BB8A-4222-AE8A-FB043998234A}"/>
    <cellStyle name="Normal 24 5" xfId="1924" xr:uid="{F3E0F29B-8626-4CD9-9DEA-995F653C8620}"/>
    <cellStyle name="Normal 24 5 2" xfId="1925" xr:uid="{57906B18-66EF-4857-8A05-3EBA09A1B5AB}"/>
    <cellStyle name="Normal 24 6" xfId="1926" xr:uid="{43C56BF2-AFE1-49D1-9F74-810F8B2AF0C4}"/>
    <cellStyle name="Normal 24 6 2" xfId="1927" xr:uid="{9184FA19-49B1-421B-84AA-9786DBE5BAC0}"/>
    <cellStyle name="Normal 24 7" xfId="1928" xr:uid="{623982EB-3856-4BAC-B888-2088A23FD6A9}"/>
    <cellStyle name="Normal 24 7 2" xfId="1929" xr:uid="{869B91AE-C6FC-44CF-B2EA-F96245D15C81}"/>
    <cellStyle name="Normal 24 8" xfId="1930" xr:uid="{5F12FAAC-60E4-4666-8959-C2D76BB9784A}"/>
    <cellStyle name="Normal 24 8 2" xfId="1931" xr:uid="{C2D0C306-3DFB-4727-BFD2-E628D1D0F38D}"/>
    <cellStyle name="Normal 24 9" xfId="1932" xr:uid="{D9932E9D-7DB7-4243-990B-A4310ABE9D2F}"/>
    <cellStyle name="Normal 25" xfId="1933" xr:uid="{3556394D-80D5-48F2-AD0A-AF2649931B1F}"/>
    <cellStyle name="Normal 25 2" xfId="1934" xr:uid="{6FBEDE3F-7933-4474-8A80-1078017F16B2}"/>
    <cellStyle name="Normal 25 2 2" xfId="1935" xr:uid="{1A45E764-A6BF-4BCB-9C57-EC0301F98A85}"/>
    <cellStyle name="Normal 25 3" xfId="1936" xr:uid="{9B11A783-3832-406D-9FC3-88393844F95E}"/>
    <cellStyle name="Normal 25 3 2" xfId="1937" xr:uid="{33F9E7D0-9E40-40FA-B5BA-E5F968D48492}"/>
    <cellStyle name="Normal 25 4" xfId="1938" xr:uid="{D7FAB6F6-2809-4002-8BD2-498D514821DC}"/>
    <cellStyle name="Normal 25 4 2" xfId="1939" xr:uid="{66B673DF-4718-478F-8934-45AC8FF5AA52}"/>
    <cellStyle name="Normal 25 5" xfId="1940" xr:uid="{36ED1204-6CD4-4C0A-8380-EBA8A70503E5}"/>
    <cellStyle name="Normal 25 5 2" xfId="1941" xr:uid="{20410568-AF3B-4870-8F53-2A52AB887DE5}"/>
    <cellStyle name="Normal 25 6" xfId="1942" xr:uid="{7A8A441D-5D0E-4C04-821C-408F5C85FBCD}"/>
    <cellStyle name="Normal 25 6 2" xfId="1943" xr:uid="{C04E3E48-444C-4B1D-B603-24C598041088}"/>
    <cellStyle name="Normal 25 7" xfId="1944" xr:uid="{3344D4D6-A3B2-4B9B-8CDB-99F356DA2C60}"/>
    <cellStyle name="Normal 25 7 2" xfId="1945" xr:uid="{61179D30-E4FF-419E-96F1-B6B99B1625DC}"/>
    <cellStyle name="Normal 25 8" xfId="1946" xr:uid="{80238D09-E69F-4ACA-A01D-7004CD8AB67C}"/>
    <cellStyle name="Normal 25 8 2" xfId="1947" xr:uid="{D9CA0739-DFF1-4CDB-96DF-4F5BC9D3EBD7}"/>
    <cellStyle name="Normal 25 9" xfId="1948" xr:uid="{CCD8E7EE-9EB4-4714-96AB-293E14180E55}"/>
    <cellStyle name="Normal 26" xfId="1949" xr:uid="{A9AD289B-957F-4462-B1EC-46A0B8FE1E67}"/>
    <cellStyle name="Normal 26 2" xfId="1950" xr:uid="{D0A01C81-3058-4484-8297-DE2BBCC07B35}"/>
    <cellStyle name="Normal 26 2 2" xfId="1951" xr:uid="{5344C90D-5698-49D3-88AB-485F49C5C0E8}"/>
    <cellStyle name="Normal 26 3" xfId="1952" xr:uid="{E19B4536-1844-4F4C-B128-A1E506C59A2A}"/>
    <cellStyle name="Normal 26 3 2" xfId="1953" xr:uid="{CF23D14A-719D-42A0-BF55-22A3CA945B34}"/>
    <cellStyle name="Normal 26 4" xfId="1954" xr:uid="{4FE2264B-7E74-45A5-A2F0-79F6D3C96BC4}"/>
    <cellStyle name="Normal 26 4 2" xfId="1955" xr:uid="{11CF132A-CA95-478A-87B7-FD54F192DA35}"/>
    <cellStyle name="Normal 26 5" xfId="1956" xr:uid="{FA0216B5-B923-4EF5-9BE1-88675B64F0E1}"/>
    <cellStyle name="Normal 26 5 2" xfId="1957" xr:uid="{61F4B5F5-CBAB-4A0B-9CEC-273AF2DDE86C}"/>
    <cellStyle name="Normal 26 6" xfId="1958" xr:uid="{4C2CAA2F-7744-435A-9AF5-4B98F815122C}"/>
    <cellStyle name="Normal 26 6 2" xfId="1959" xr:uid="{4F3967E0-77BD-4E0A-9F52-053A5F527AAA}"/>
    <cellStyle name="Normal 26 7" xfId="1960" xr:uid="{276091B4-A989-447C-B7E0-2096BCDDC9DB}"/>
    <cellStyle name="Normal 26 7 2" xfId="1961" xr:uid="{404EB83C-960F-43E2-AD72-BB5D6A75A524}"/>
    <cellStyle name="Normal 26 8" xfId="1962" xr:uid="{FAFF50CF-DCB3-4254-8700-F4320708AEB4}"/>
    <cellStyle name="Normal 26 8 2" xfId="1963" xr:uid="{B6F1F133-3681-4567-A269-269841361B1B}"/>
    <cellStyle name="Normal 26 9" xfId="1964" xr:uid="{5A035495-6FB6-4E2F-BEE4-3A8E8FDC5B82}"/>
    <cellStyle name="Normal 27" xfId="1965" xr:uid="{753F715B-2523-41ED-B378-370470B917B1}"/>
    <cellStyle name="Normal 27 2" xfId="1966" xr:uid="{34603918-CB89-4223-8E80-0A0B1D6D4A0C}"/>
    <cellStyle name="Normal 27 2 2" xfId="1967" xr:uid="{7E91F093-CF7C-4246-905F-FFB01C86735E}"/>
    <cellStyle name="Normal 27 3" xfId="1968" xr:uid="{888912CB-D061-4397-ACDE-B8DC18C66A65}"/>
    <cellStyle name="Normal 27 3 2" xfId="1969" xr:uid="{FB5851CE-0A3F-4769-9ECC-307966282CEF}"/>
    <cellStyle name="Normal 27 4" xfId="1970" xr:uid="{3B8E50AB-DBA8-4350-8E1C-DF8542DB235D}"/>
    <cellStyle name="Normal 27 4 2" xfId="1971" xr:uid="{9C156FAE-B428-484F-B999-26BFF6418434}"/>
    <cellStyle name="Normal 27 5" xfId="1972" xr:uid="{11932A25-6B13-4F7A-A8B7-F0C113B99AA9}"/>
    <cellStyle name="Normal 27 5 2" xfId="1973" xr:uid="{CED6957B-DA8C-460F-9426-31BEEB8BD8A4}"/>
    <cellStyle name="Normal 27 6" xfId="1974" xr:uid="{7D42AFE6-57CC-48A0-9A18-759E04DF9180}"/>
    <cellStyle name="Normal 27 6 2" xfId="1975" xr:uid="{FB02C42A-50A6-460C-AE9E-1177C73E6767}"/>
    <cellStyle name="Normal 27 7" xfId="1976" xr:uid="{7FFA5E7C-3CC6-4950-90E4-AB7FB30306FD}"/>
    <cellStyle name="Normal 27 7 2" xfId="1977" xr:uid="{79AA6601-9FB8-4F5B-8871-0A46F1F1B497}"/>
    <cellStyle name="Normal 27 8" xfId="1978" xr:uid="{DFFA69EA-8237-4E03-8973-3021E60FE69C}"/>
    <cellStyle name="Normal 27 8 2" xfId="1979" xr:uid="{B0B33168-5E2C-4629-B275-FD41E3DF2D0D}"/>
    <cellStyle name="Normal 27 9" xfId="1980" xr:uid="{D75E3457-1234-4059-B7BA-0FB1B01F2D72}"/>
    <cellStyle name="Normal 28" xfId="1981" xr:uid="{FEDA531A-CEA0-42B4-9567-737312991749}"/>
    <cellStyle name="Normal 28 2" xfId="1982" xr:uid="{948C64BC-7100-4C13-8722-F7D9B03E13B6}"/>
    <cellStyle name="Normal 28 2 2" xfId="1983" xr:uid="{D9A3E4E3-51C1-4512-88DF-D30E5D7917C4}"/>
    <cellStyle name="Normal 28 3" xfId="1984" xr:uid="{8AF76007-8446-4B59-B70E-0F477AA3042C}"/>
    <cellStyle name="Normal 28 3 2" xfId="1985" xr:uid="{68C27600-D6FF-44A0-83B1-E1067667CC14}"/>
    <cellStyle name="Normal 28 4" xfId="1986" xr:uid="{34B42A4A-F481-44C1-8EC8-CC659A3583A2}"/>
    <cellStyle name="Normal 28 4 2" xfId="1987" xr:uid="{3D9D0DFA-8A7A-4E35-831B-3E098625AE5A}"/>
    <cellStyle name="Normal 28 5" xfId="1988" xr:uid="{CAE8D8E9-213E-4F34-AD32-25AF58C20142}"/>
    <cellStyle name="Normal 28 5 2" xfId="1989" xr:uid="{24916C27-4DF6-48A5-8681-2A73149A4D36}"/>
    <cellStyle name="Normal 28 6" xfId="1990" xr:uid="{F8EDC835-07D1-4BD5-9736-2B2929DB942D}"/>
    <cellStyle name="Normal 28 6 2" xfId="1991" xr:uid="{17C7E3A9-5274-44B2-ADE4-30E5D3A8E7B0}"/>
    <cellStyle name="Normal 28 7" xfId="1992" xr:uid="{828F0199-6733-448D-972E-6A778AD85337}"/>
    <cellStyle name="Normal 28 7 2" xfId="1993" xr:uid="{DA49AD91-D583-441D-BF98-0FF0B2C64C95}"/>
    <cellStyle name="Normal 28 8" xfId="1994" xr:uid="{32D7544F-FA26-4A69-9D1A-8D1C7EB4EAB5}"/>
    <cellStyle name="Normal 28 8 2" xfId="1995" xr:uid="{2DDFD6D4-3CE1-4EBE-BA7C-D315DB618564}"/>
    <cellStyle name="Normal 28 9" xfId="1996" xr:uid="{0AF838D2-4A20-4C69-B2BD-56A7D1FFFDC1}"/>
    <cellStyle name="Normal 29" xfId="1997" xr:uid="{3C7259CD-0C70-41E0-BE17-99DD53FD75FF}"/>
    <cellStyle name="Normal 29 2" xfId="1998" xr:uid="{296B59B6-A182-4E10-822B-D2083784FCB0}"/>
    <cellStyle name="Normal 29 2 2" xfId="1999" xr:uid="{539F8FEA-1015-4839-84D6-739EE79C6858}"/>
    <cellStyle name="Normal 29 3" xfId="2000" xr:uid="{C776D8B6-F0AB-412D-96C3-5C12A23ED1EE}"/>
    <cellStyle name="Normal 29 3 2" xfId="2001" xr:uid="{E3E49339-2ED6-45F2-8487-07932FB1F5F5}"/>
    <cellStyle name="Normal 29 4" xfId="2002" xr:uid="{D4EDEE1C-0C25-428C-AFCA-B767727A331B}"/>
    <cellStyle name="Normal 29 4 2" xfId="2003" xr:uid="{2836A9C2-CA40-4EE3-AC6C-AD63A683FFB9}"/>
    <cellStyle name="Normal 29 5" xfId="2004" xr:uid="{03D5A71B-F421-4AA9-A3A4-223F50EA641F}"/>
    <cellStyle name="Normal 29 5 2" xfId="2005" xr:uid="{359F0CD3-2094-4B4C-AB6B-D44A450E9AFA}"/>
    <cellStyle name="Normal 29 6" xfId="2006" xr:uid="{292210B6-A190-410C-B7EF-C7FE91F80E0A}"/>
    <cellStyle name="Normal 29 6 2" xfId="2007" xr:uid="{4592DA31-C6D1-4FDC-96EC-4C8EEC56CFE2}"/>
    <cellStyle name="Normal 29 7" xfId="2008" xr:uid="{14C73FE1-FFF8-49FB-81C9-0CEC70A17120}"/>
    <cellStyle name="Normal 29 7 2" xfId="2009" xr:uid="{7BC4B7BB-3CCA-48C0-A4C7-0ED8B007F4AC}"/>
    <cellStyle name="Normal 29 8" xfId="2010" xr:uid="{A43E419B-F303-4C8F-81CD-5BA39EBB77A3}"/>
    <cellStyle name="Normal 29 8 2" xfId="2011" xr:uid="{D53FFAFE-745B-4455-805D-D895199A0381}"/>
    <cellStyle name="Normal 29 9" xfId="2012" xr:uid="{9F0D8711-EFAD-42B8-8BA1-34FCCF46DEE9}"/>
    <cellStyle name="Normal 3" xfId="6" xr:uid="{00000000-0005-0000-0000-000006000000}"/>
    <cellStyle name="Normal 3 10" xfId="2014" xr:uid="{B678CF3A-78D5-4D8C-812B-B65A04F564CA}"/>
    <cellStyle name="Normal 3 10 2" xfId="3609" xr:uid="{D1FD20A8-8863-43A9-B309-CDC2B7BB5725}"/>
    <cellStyle name="Normal 3 11" xfId="2015" xr:uid="{B21F652E-1272-4077-A087-A97450A68E30}"/>
    <cellStyle name="Normal 3 12" xfId="2013" xr:uid="{0E01F20F-1C74-4B37-AC47-2AEFEE37316F}"/>
    <cellStyle name="Normal 3 2" xfId="2016" xr:uid="{13134A33-7C90-4401-93E6-607FB54E49CA}"/>
    <cellStyle name="Normal 3 2 2" xfId="2017" xr:uid="{BC3BEFF0-E5FD-4E80-A33C-5491290468DB}"/>
    <cellStyle name="Normal 3 2 2 2" xfId="6016" xr:uid="{20A0F2BE-A4BF-41CA-8AB8-A6CA47BBCFD1}"/>
    <cellStyle name="Normal 3 2 3" xfId="2018" xr:uid="{DDB70C0C-B1E4-41C1-9B27-1D269B7D9796}"/>
    <cellStyle name="Normal 3 2 3 2" xfId="6017" xr:uid="{F397F2C0-D663-4D17-B4A1-FA62C472C7F4}"/>
    <cellStyle name="Normal 3 2 4" xfId="2019" xr:uid="{6B528D37-9166-4BB1-9CE0-FBA27F3080D6}"/>
    <cellStyle name="Normal 3 2 5" xfId="2020" xr:uid="{C48C3AE5-9C81-4B6B-AEE5-F83DD9E2CB85}"/>
    <cellStyle name="Normal 3 2 5 2" xfId="2021" xr:uid="{1B75C457-F9F4-4A08-80CD-C290FDDA2185}"/>
    <cellStyle name="Normal 3 2_Copy of Generic Smartview Template vWG" xfId="2022" xr:uid="{F08AA37F-D7A4-4FC6-8E22-3C94A9059F62}"/>
    <cellStyle name="Normal 3 3" xfId="2023" xr:uid="{C0E8C92C-4BF9-42CB-BBD7-653CBECCE0B0}"/>
    <cellStyle name="Normal 3 3 2" xfId="2024" xr:uid="{8C4CC069-24E2-43EE-BF23-2B2AA95867BB}"/>
    <cellStyle name="Normal 3 4" xfId="2025" xr:uid="{1A87E6B3-ADFE-4EDA-910C-54ED9B11A264}"/>
    <cellStyle name="Normal 3 4 2" xfId="2026" xr:uid="{58531906-A1E6-49CB-8A42-C0613388FEA8}"/>
    <cellStyle name="Normal 3 5" xfId="2027" xr:uid="{EB06CB48-54AF-4621-A1E0-85C0D5C0D809}"/>
    <cellStyle name="Normal 3 5 2" xfId="2028" xr:uid="{B078C03C-8879-417D-B32E-2CF8235E0AA2}"/>
    <cellStyle name="Normal 3 6" xfId="2029" xr:uid="{D27C9E0D-C9C1-4DF1-B0E4-D0EB521A7E1A}"/>
    <cellStyle name="Normal 3 6 2" xfId="2030" xr:uid="{4DA2BD7E-1881-41FA-8C41-D7491E3989A3}"/>
    <cellStyle name="Normal 3 7" xfId="2031" xr:uid="{4F86B0A1-A69F-4604-B1E0-53F322C70DFB}"/>
    <cellStyle name="Normal 3 7 2" xfId="2032" xr:uid="{9A6C1FB3-897B-4957-A602-F8D7E95AB1A7}"/>
    <cellStyle name="Normal 3 8" xfId="2033" xr:uid="{C5CF1FCC-3C86-48EA-AAF2-DBDF3938B7FF}"/>
    <cellStyle name="Normal 3 8 2" xfId="2034" xr:uid="{B3851843-1AA9-4362-B049-C58ED7AB450F}"/>
    <cellStyle name="Normal 3 9" xfId="2035" xr:uid="{EBC0D59D-B7E0-4A10-8CFA-DB53864430D4}"/>
    <cellStyle name="Normal 3 9 2" xfId="3610" xr:uid="{C167A496-8470-490D-8E2E-00D1FD99D0FD}"/>
    <cellStyle name="Normal 3_41" xfId="2036" xr:uid="{E8F81C93-1DCE-4ACD-B608-7DE2BC601000}"/>
    <cellStyle name="Normal 30" xfId="2037" xr:uid="{22AD307A-5E30-4A03-A395-0B5DE0858074}"/>
    <cellStyle name="Normal 30 2" xfId="2038" xr:uid="{6EE38147-75FD-4A80-86A9-A75326E25B65}"/>
    <cellStyle name="Normal 30 2 2" xfId="2039" xr:uid="{132BCCF9-09E1-47E2-8E51-0CB738EDCC87}"/>
    <cellStyle name="Normal 30 3" xfId="2040" xr:uid="{032CB581-310C-4349-92CE-5EC41B0373E2}"/>
    <cellStyle name="Normal 30 3 2" xfId="2041" xr:uid="{EEE6F5E0-D1C1-47DF-BCFD-9ACDEBE6B6D5}"/>
    <cellStyle name="Normal 30 4" xfId="2042" xr:uid="{12965678-E238-4EE6-A741-747A90A3D84D}"/>
    <cellStyle name="Normal 30 4 2" xfId="2043" xr:uid="{4003466B-ADED-4F91-B1A5-4CC01DEF1F00}"/>
    <cellStyle name="Normal 30 5" xfId="2044" xr:uid="{F1E12D78-DD4E-40AB-B500-4F76BB12C130}"/>
    <cellStyle name="Normal 30 5 2" xfId="2045" xr:uid="{50440ADA-BFFB-434D-957E-424BF595E86D}"/>
    <cellStyle name="Normal 30 6" xfId="2046" xr:uid="{48B28B9A-E272-4957-98A1-1031E6DB6C88}"/>
    <cellStyle name="Normal 30 6 2" xfId="2047" xr:uid="{C84CB5AA-698B-47F6-BA2B-1764CB5549EA}"/>
    <cellStyle name="Normal 30 7" xfId="2048" xr:uid="{204C06E8-BC3C-4730-8E41-A313B2F5C9B8}"/>
    <cellStyle name="Normal 30 7 2" xfId="2049" xr:uid="{E95D961B-300E-4610-A2D3-8F0A9BBB6D01}"/>
    <cellStyle name="Normal 30 8" xfId="2050" xr:uid="{1C090260-CE11-45C4-A292-DC34B2AE3988}"/>
    <cellStyle name="Normal 30 8 2" xfId="2051" xr:uid="{DB725DA5-3C0E-4E90-B527-566139508191}"/>
    <cellStyle name="Normal 30 9" xfId="2052" xr:uid="{558DBCD9-617C-4058-AA3D-6FCEBDDC070B}"/>
    <cellStyle name="Normal 31" xfId="2053" xr:uid="{FBFAC9D6-78D5-446F-B7D1-FC06DA08B6EB}"/>
    <cellStyle name="Normal 31 2" xfId="2054" xr:uid="{C65858FD-D220-4796-A0EB-6B936BABA01B}"/>
    <cellStyle name="Normal 31 2 2" xfId="2055" xr:uid="{460AF0CE-28B2-467B-9EC2-9C35FE002302}"/>
    <cellStyle name="Normal 31 3" xfId="2056" xr:uid="{51761555-6211-491D-B11F-BCB23F279F89}"/>
    <cellStyle name="Normal 31 3 2" xfId="2057" xr:uid="{2C16D730-8B75-4BB8-BE43-57E726C4F6B8}"/>
    <cellStyle name="Normal 31 4" xfId="2058" xr:uid="{9E52B689-D949-408A-A02C-FF564C1B526A}"/>
    <cellStyle name="Normal 31 4 2" xfId="2059" xr:uid="{184EF6D6-2A8E-4CA7-A0DF-D85D99226A2B}"/>
    <cellStyle name="Normal 31 5" xfId="2060" xr:uid="{3236630A-BE71-4A91-8399-61E62EDFB09F}"/>
    <cellStyle name="Normal 31 5 2" xfId="2061" xr:uid="{6B1A573B-85F2-487F-856B-74EA9B47B806}"/>
    <cellStyle name="Normal 31 6" xfId="2062" xr:uid="{5AAD6207-788B-42F7-B3F3-B1ABF68D4644}"/>
    <cellStyle name="Normal 31 6 2" xfId="2063" xr:uid="{C5DB1A1A-0600-4937-ABB0-C8871DD7A42C}"/>
    <cellStyle name="Normal 31 7" xfId="2064" xr:uid="{70D7BBE0-4F73-4E0D-8D0C-CCD831904333}"/>
    <cellStyle name="Normal 31 7 2" xfId="2065" xr:uid="{7350FE3C-E362-49AA-8402-9AC20D050CC5}"/>
    <cellStyle name="Normal 31 8" xfId="2066" xr:uid="{774C346F-7866-4A2C-A673-879B8A583FEC}"/>
    <cellStyle name="Normal 31 8 2" xfId="2067" xr:uid="{56D3A894-D51F-4EC3-940C-B20CD549E4CC}"/>
    <cellStyle name="Normal 31 9" xfId="2068" xr:uid="{1C0DE35E-C1E8-4A28-A241-E27290BEE0BC}"/>
    <cellStyle name="Normal 32" xfId="2069" xr:uid="{37C943D8-1CF5-4FB9-894E-B646D90B91D8}"/>
    <cellStyle name="Normal 32 2" xfId="2070" xr:uid="{1D7B9716-D2D1-4C6C-9698-B2BB0278A9CC}"/>
    <cellStyle name="Normal 32 2 2" xfId="2071" xr:uid="{A474F283-85B4-4BA4-BA86-7D10BE5A8DB5}"/>
    <cellStyle name="Normal 32 3" xfId="2072" xr:uid="{8011A09A-0A92-447C-873E-D907E93D0D10}"/>
    <cellStyle name="Normal 32 3 2" xfId="2073" xr:uid="{F25D5BAD-BCAE-4429-8A8B-186E3E4DB08B}"/>
    <cellStyle name="Normal 32 4" xfId="2074" xr:uid="{18319017-608D-4D18-A79B-2E3333E9F0AF}"/>
    <cellStyle name="Normal 32 4 2" xfId="2075" xr:uid="{085AF752-7917-4861-99F0-88634B8C5DAD}"/>
    <cellStyle name="Normal 32 5" xfId="2076" xr:uid="{AC226E4B-A61A-4B8F-98E0-6F7B31B9BEF5}"/>
    <cellStyle name="Normal 32 5 2" xfId="2077" xr:uid="{378DBF11-5465-4259-AFC6-631ABBFB5B40}"/>
    <cellStyle name="Normal 32 6" xfId="2078" xr:uid="{3272B358-BD0A-4AD7-8C34-3D94FA951469}"/>
    <cellStyle name="Normal 32 6 2" xfId="2079" xr:uid="{A91245B3-7462-419E-8D7B-7D216BB14D50}"/>
    <cellStyle name="Normal 32 7" xfId="2080" xr:uid="{40A6A4AC-3FB5-4332-A90E-6087D5521BCC}"/>
    <cellStyle name="Normal 32 7 2" xfId="2081" xr:uid="{B55B50C1-B4F3-469B-9CA6-BC7376057A46}"/>
    <cellStyle name="Normal 32 8" xfId="2082" xr:uid="{7F654A79-AA39-4DB2-8F32-3B85BAD0E5B5}"/>
    <cellStyle name="Normal 32 8 2" xfId="2083" xr:uid="{78C9B9A0-1486-44AE-A722-B2B0C79409D2}"/>
    <cellStyle name="Normal 32 9" xfId="2084" xr:uid="{E6FFFF20-409A-486C-8ADC-18AB8E0EBB07}"/>
    <cellStyle name="Normal 33" xfId="2085" xr:uid="{24EBE12B-8C94-41BD-ABB2-7BAF4D0C6394}"/>
    <cellStyle name="Normal 33 2" xfId="2086" xr:uid="{76C0AEB2-9D61-4384-9627-C1FFBDB376B8}"/>
    <cellStyle name="Normal 33 2 2" xfId="2087" xr:uid="{AF689678-13C7-490A-A110-3F37141D4215}"/>
    <cellStyle name="Normal 33 3" xfId="2088" xr:uid="{75B99901-0970-4714-9C13-A9A3C500EB81}"/>
    <cellStyle name="Normal 33 3 2" xfId="2089" xr:uid="{70261DB5-17C4-4814-8891-9093EEEE26ED}"/>
    <cellStyle name="Normal 33 4" xfId="2090" xr:uid="{9F0D43AA-AAFC-4D63-B4CA-D4DF51F68467}"/>
    <cellStyle name="Normal 33 4 2" xfId="2091" xr:uid="{6EDF6CD0-D551-40BE-876D-6D647CC87520}"/>
    <cellStyle name="Normal 33 5" xfId="2092" xr:uid="{449D9002-89B6-433A-BEAB-DE06740E7A78}"/>
    <cellStyle name="Normal 33 5 2" xfId="2093" xr:uid="{8E2495B9-4D1B-40E6-8F82-2124C823ABCE}"/>
    <cellStyle name="Normal 33 6" xfId="2094" xr:uid="{C0973EBD-67B2-47FE-BE33-D876AB7BAA9D}"/>
    <cellStyle name="Normal 33 6 2" xfId="2095" xr:uid="{04D78403-9092-42F3-ADE8-786352F06AF6}"/>
    <cellStyle name="Normal 33 7" xfId="2096" xr:uid="{6F3389B3-94DD-48E1-901C-095A2A51B65B}"/>
    <cellStyle name="Normal 33 7 2" xfId="2097" xr:uid="{D6E45A51-F77E-43EC-BE8F-852E0BDA2AFB}"/>
    <cellStyle name="Normal 33 8" xfId="2098" xr:uid="{95B9A5B2-FC22-4C24-853B-A42B85865AF2}"/>
    <cellStyle name="Normal 33 8 2" xfId="2099" xr:uid="{72A51A57-608F-4A96-8C1A-3CD711060497}"/>
    <cellStyle name="Normal 33 9" xfId="2100" xr:uid="{1120A449-E803-4C53-90DF-B130D75AB18C}"/>
    <cellStyle name="Normal 34" xfId="2101" xr:uid="{57BC3C0C-C938-4B57-A3B4-3BDB2A615E77}"/>
    <cellStyle name="Normal 34 2" xfId="2102" xr:uid="{6416649D-B113-4DE7-AF29-146BD43FF6FE}"/>
    <cellStyle name="Normal 34 2 2" xfId="2103" xr:uid="{7CA910BE-36AE-4830-BF23-932004164C2D}"/>
    <cellStyle name="Normal 34 3" xfId="2104" xr:uid="{E6ED5C05-FCCD-4F05-80C1-682CB3EA4BE6}"/>
    <cellStyle name="Normal 34 3 2" xfId="2105" xr:uid="{4E0F9507-43F6-4742-B041-EDC37B6D138D}"/>
    <cellStyle name="Normal 34 4" xfId="2106" xr:uid="{2AB132AA-A20F-436D-BACC-F9EF71315298}"/>
    <cellStyle name="Normal 34 4 2" xfId="2107" xr:uid="{7EAB7935-2C3F-48F6-A228-DA230FC6970C}"/>
    <cellStyle name="Normal 34 5" xfId="2108" xr:uid="{B5220F5A-1EDE-421E-9DF1-5CD1A2D1797E}"/>
    <cellStyle name="Normal 34 5 2" xfId="2109" xr:uid="{35C25CBF-1DBD-48B3-BFC9-ED3D54AE0829}"/>
    <cellStyle name="Normal 34 6" xfId="2110" xr:uid="{15C64193-7825-47AD-83CB-32FC911021FB}"/>
    <cellStyle name="Normal 34 6 2" xfId="2111" xr:uid="{3592FD82-02E4-4341-864B-F86D5A6AA884}"/>
    <cellStyle name="Normal 34 7" xfId="2112" xr:uid="{60099C57-8955-41A0-9599-5DF76B0F8098}"/>
    <cellStyle name="Normal 34 7 2" xfId="2113" xr:uid="{4652EC6D-B4F0-494E-BD00-1BD431EBD2FD}"/>
    <cellStyle name="Normal 34 8" xfId="2114" xr:uid="{21919E49-945B-4221-9EC2-C32C6981EDA3}"/>
    <cellStyle name="Normal 34 8 2" xfId="2115" xr:uid="{33195262-38A5-43F0-9222-D7B6B3583417}"/>
    <cellStyle name="Normal 34 9" xfId="2116" xr:uid="{20B5855F-0183-4B80-9F99-74B8D0B17956}"/>
    <cellStyle name="Normal 35" xfId="2117" xr:uid="{B8AA8444-02B0-457F-8091-C9928437B154}"/>
    <cellStyle name="Normal 35 2" xfId="2118" xr:uid="{173B4FE0-2A12-4459-803A-2FE4D59D4D9A}"/>
    <cellStyle name="Normal 35 2 2" xfId="2119" xr:uid="{5A91062B-D43B-47C5-978C-DC0B0BBC5D1F}"/>
    <cellStyle name="Normal 35 3" xfId="2120" xr:uid="{0E125879-E3D1-45CB-A2AF-02DAADB253AB}"/>
    <cellStyle name="Normal 35 3 2" xfId="2121" xr:uid="{7C440818-2C1D-4685-AE83-9B9601809E35}"/>
    <cellStyle name="Normal 35 4" xfId="2122" xr:uid="{0A40AB07-B3F4-4FC0-9680-3640B8CBCC7F}"/>
    <cellStyle name="Normal 35 4 2" xfId="2123" xr:uid="{081936A4-D203-41ED-B180-492FC6D739B1}"/>
    <cellStyle name="Normal 35 5" xfId="2124" xr:uid="{73D1A628-67F6-41D6-A40C-2BFCEC8022F0}"/>
    <cellStyle name="Normal 35 5 2" xfId="2125" xr:uid="{DCC92450-BC06-4EC5-B8FD-C5F110AFC923}"/>
    <cellStyle name="Normal 35 6" xfId="2126" xr:uid="{3CA06A4C-4D80-4D9B-ACF0-F8DAC60F5BEB}"/>
    <cellStyle name="Normal 35 6 2" xfId="2127" xr:uid="{9274829A-E041-4F2C-B0BA-7AACE27D60C7}"/>
    <cellStyle name="Normal 35 7" xfId="2128" xr:uid="{F86AE47D-355A-4F94-9F7A-864911BA0705}"/>
    <cellStyle name="Normal 35 7 2" xfId="2129" xr:uid="{5E43E560-C6E8-479B-9FDB-16AB69070946}"/>
    <cellStyle name="Normal 35 8" xfId="2130" xr:uid="{CA3E2141-DB61-462E-8690-48EF2D2F4C13}"/>
    <cellStyle name="Normal 35 8 2" xfId="2131" xr:uid="{A6580DFF-6604-424A-840B-2565A5C01314}"/>
    <cellStyle name="Normal 35 9" xfId="2132" xr:uid="{92F20081-603A-42A2-B24C-B38E77519A7D}"/>
    <cellStyle name="Normal 36" xfId="2133" xr:uid="{8507DEBF-0F46-45A8-924C-DB01B77F53AC}"/>
    <cellStyle name="Normal 37" xfId="2134" xr:uid="{9239ECB5-082F-45B6-9743-DBB69D3CBF51}"/>
    <cellStyle name="Normal 38" xfId="2135" xr:uid="{22B1915A-28F4-4793-904E-98C7A08991E1}"/>
    <cellStyle name="Normal 39" xfId="2136" xr:uid="{D1D8D837-BF95-4610-8D26-E3D8BDD457F2}"/>
    <cellStyle name="Normal 4" xfId="2137" xr:uid="{C58F75A8-424A-40D7-991C-9751503BB3B5}"/>
    <cellStyle name="Normal 4 16" xfId="2138" xr:uid="{2ADBB5A3-A2CA-4853-B3F4-FAB446EC3F27}"/>
    <cellStyle name="Normal 4 2" xfId="2139" xr:uid="{20C355F5-9B6F-46BC-99B9-9114C21C4B78}"/>
    <cellStyle name="Normal 4 2 10" xfId="6018" xr:uid="{56E82BCF-C59C-48C1-ABE5-8F4A1868AB70}"/>
    <cellStyle name="Normal 4 2 10 2" xfId="6019" xr:uid="{31F24931-0AEB-4C34-A47E-21F88FCEF9B8}"/>
    <cellStyle name="Normal 4 2 10 3" xfId="6020" xr:uid="{4E052E48-22FC-409D-B4BC-714528D81541}"/>
    <cellStyle name="Normal 4 2 11" xfId="6021" xr:uid="{C3871BA0-A4C9-4401-AC1E-E9D101C1E51D}"/>
    <cellStyle name="Normal 4 2 12" xfId="6022" xr:uid="{CE15D82B-9E4F-4FFC-A481-D7503A9F65FC}"/>
    <cellStyle name="Normal 4 2 2" xfId="2140" xr:uid="{4E934C62-8061-4ABA-9ADF-5A03C12EF55B}"/>
    <cellStyle name="Normal 4 2 2 2" xfId="2141" xr:uid="{A81A7DBC-F804-402D-B566-2DF8BF535592}"/>
    <cellStyle name="Normal 4 2 3" xfId="2142" xr:uid="{52802C71-3D94-4AB1-B4E4-9F853F94F693}"/>
    <cellStyle name="Normal 4 2 3 10" xfId="6023" xr:uid="{BC675063-CD9A-4F6A-BB34-8901D8AF2341}"/>
    <cellStyle name="Normal 4 2 3 11" xfId="6024" xr:uid="{463B6878-1158-48C3-93E7-6D2DF0BD0E8D}"/>
    <cellStyle name="Normal 4 2 3 2" xfId="2143" xr:uid="{3A3A3290-12F9-4126-B840-6ED3618E1CFA}"/>
    <cellStyle name="Normal 4 2 3 2 10" xfId="6025" xr:uid="{84809329-1DA4-4FC6-A8D7-7230F04D6626}"/>
    <cellStyle name="Normal 4 2 3 2 2" xfId="2144" xr:uid="{8CB12370-D1CD-4BC5-A190-D26DBB2C1176}"/>
    <cellStyle name="Normal 4 2 3 2 2 2" xfId="6026" xr:uid="{EAF3BEDD-C396-4924-936A-08EEF8F49F48}"/>
    <cellStyle name="Normal 4 2 3 2 2 2 2" xfId="6027" xr:uid="{89ECF973-5908-4093-94E6-B18792E1B0EE}"/>
    <cellStyle name="Normal 4 2 3 2 2 2 2 2" xfId="6028" xr:uid="{56CAA9BE-17AB-4DC4-903C-5373F4551F75}"/>
    <cellStyle name="Normal 4 2 3 2 2 2 2 3" xfId="6029" xr:uid="{529E20E7-36FE-4396-9AF1-0C4ABE90E477}"/>
    <cellStyle name="Normal 4 2 3 2 2 2 3" xfId="6030" xr:uid="{BC86BDC7-FE7C-4B1F-B354-B12D8520C127}"/>
    <cellStyle name="Normal 4 2 3 2 2 2 3 2" xfId="6031" xr:uid="{F206439F-192A-4C7F-99EC-B3FC0FF72A4F}"/>
    <cellStyle name="Normal 4 2 3 2 2 2 3 3" xfId="6032" xr:uid="{8EEA1FBD-A732-4D11-97AF-8F9DAD583C0C}"/>
    <cellStyle name="Normal 4 2 3 2 2 2 4" xfId="6033" xr:uid="{84910862-FA02-426E-B210-61B59A128BB3}"/>
    <cellStyle name="Normal 4 2 3 2 2 2 4 2" xfId="6034" xr:uid="{44D3B3E2-24F7-4959-B21B-88165EE5BF32}"/>
    <cellStyle name="Normal 4 2 3 2 2 2 4 3" xfId="6035" xr:uid="{A8CF3527-FCF5-47C8-8BDF-5C13D26A9A66}"/>
    <cellStyle name="Normal 4 2 3 2 2 2 5" xfId="6036" xr:uid="{208BF493-2D3A-4801-A1E4-7FB7435DFF0C}"/>
    <cellStyle name="Normal 4 2 3 2 2 2 6" xfId="6037" xr:uid="{56CD8338-6C8E-4DDD-8F81-3AC4EAA027B3}"/>
    <cellStyle name="Normal 4 2 3 2 2 2 7" xfId="6038" xr:uid="{12737A4C-9523-442B-A0E5-D3F407EF624A}"/>
    <cellStyle name="Normal 4 2 3 2 2 2 8" xfId="6039" xr:uid="{BA77E01D-94AB-4AE7-9FB7-3B7886FCFCDB}"/>
    <cellStyle name="Normal 4 2 3 2 2 3" xfId="6040" xr:uid="{90E69C58-4AF3-440F-9B41-818BCEA79D1C}"/>
    <cellStyle name="Normal 4 2 3 2 2 3 2" xfId="6041" xr:uid="{A607B6F6-6DB3-4ED1-BF57-E23283DB66D4}"/>
    <cellStyle name="Normal 4 2 3 2 2 3 3" xfId="6042" xr:uid="{2947E90E-0026-47A2-BEF9-B54D862B6CAC}"/>
    <cellStyle name="Normal 4 2 3 2 2 4" xfId="6043" xr:uid="{6D8615A7-BE5C-4938-9C73-E6BA0410BC1D}"/>
    <cellStyle name="Normal 4 2 3 2 2 4 2" xfId="6044" xr:uid="{E691583F-1C35-467D-938F-225F3949AE40}"/>
    <cellStyle name="Normal 4 2 3 2 2 4 3" xfId="6045" xr:uid="{2402F3B0-ADD4-482A-B234-600FFACAFB13}"/>
    <cellStyle name="Normal 4 2 3 2 2 5" xfId="6046" xr:uid="{E222E772-3DFF-4DC4-9D33-4E74BF8A421A}"/>
    <cellStyle name="Normal 4 2 3 2 2 5 2" xfId="6047" xr:uid="{AE584F31-8462-4209-9B39-F3415EF81692}"/>
    <cellStyle name="Normal 4 2 3 2 2 5 3" xfId="6048" xr:uid="{32754428-367B-4D77-8F77-5A164F891381}"/>
    <cellStyle name="Normal 4 2 3 2 2 6" xfId="6049" xr:uid="{80CC913F-997C-4DFE-AFF9-0AB129C48F3F}"/>
    <cellStyle name="Normal 4 2 3 2 2 7" xfId="6050" xr:uid="{65332888-22C6-4DE4-9E61-B49768E2F07A}"/>
    <cellStyle name="Normal 4 2 3 2 2 8" xfId="6051" xr:uid="{8C232297-715C-4DF3-88D9-71B3CF917653}"/>
    <cellStyle name="Normal 4 2 3 2 2 9" xfId="6052" xr:uid="{A045821F-73F4-47AC-A1D4-E8410B7C408B}"/>
    <cellStyle name="Normal 4 2 3 2 3" xfId="6053" xr:uid="{CEC9BE52-F31B-46EA-8E72-2224A979B5AB}"/>
    <cellStyle name="Normal 4 2 3 2 3 2" xfId="6054" xr:uid="{562DC1D8-90E7-472E-A15E-8D2C6D9BCDC9}"/>
    <cellStyle name="Normal 4 2 3 2 3 2 2" xfId="6055" xr:uid="{F8C1184C-719F-48CD-BE5D-D46BD04EFA4E}"/>
    <cellStyle name="Normal 4 2 3 2 3 2 3" xfId="6056" xr:uid="{A5BBA530-8952-4A09-8A92-FE118243717A}"/>
    <cellStyle name="Normal 4 2 3 2 3 3" xfId="6057" xr:uid="{A8B45343-F7EB-4B2B-98DB-15028FC97425}"/>
    <cellStyle name="Normal 4 2 3 2 3 3 2" xfId="6058" xr:uid="{2ECDFD81-5920-465C-86FC-A3FA636CEDC0}"/>
    <cellStyle name="Normal 4 2 3 2 3 3 3" xfId="6059" xr:uid="{53724B7F-8FC5-48D3-A69F-8A78F0D2D410}"/>
    <cellStyle name="Normal 4 2 3 2 3 4" xfId="6060" xr:uid="{304D8B63-8CA1-4568-BE0A-4F72F7E22163}"/>
    <cellStyle name="Normal 4 2 3 2 3 4 2" xfId="6061" xr:uid="{16E376FB-3C66-49AF-9B50-542CFFA52A11}"/>
    <cellStyle name="Normal 4 2 3 2 3 4 3" xfId="6062" xr:uid="{944BFACE-43C9-43EE-BFCB-A25216D5A60F}"/>
    <cellStyle name="Normal 4 2 3 2 3 5" xfId="6063" xr:uid="{2EF65A04-FD15-4F96-94EA-3AF953E47A3F}"/>
    <cellStyle name="Normal 4 2 3 2 3 6" xfId="6064" xr:uid="{515463DF-009D-4696-9254-FF4082D3814A}"/>
    <cellStyle name="Normal 4 2 3 2 3 7" xfId="6065" xr:uid="{20E64C59-05A8-492E-A02D-562667E62DCD}"/>
    <cellStyle name="Normal 4 2 3 2 3 8" xfId="6066" xr:uid="{05C2788A-DBE1-455C-911B-EEDE16F9DE3F}"/>
    <cellStyle name="Normal 4 2 3 2 4" xfId="6067" xr:uid="{79D9E869-C66B-4B08-A009-197CB2493A50}"/>
    <cellStyle name="Normal 4 2 3 2 4 2" xfId="6068" xr:uid="{37DFAE7C-C9DA-47B7-AA74-F83F61F17AEF}"/>
    <cellStyle name="Normal 4 2 3 2 4 3" xfId="6069" xr:uid="{031D4B4A-68A5-4EBB-8980-42AB68457D7F}"/>
    <cellStyle name="Normal 4 2 3 2 5" xfId="6070" xr:uid="{2F611F40-5D8E-4249-8CA1-D3E6981E394F}"/>
    <cellStyle name="Normal 4 2 3 2 5 2" xfId="6071" xr:uid="{E12C39DC-C71D-49F9-932A-F1C2A26BDC4E}"/>
    <cellStyle name="Normal 4 2 3 2 5 3" xfId="6072" xr:uid="{F820EC7F-A2EE-4687-84E9-F11BC5B971EC}"/>
    <cellStyle name="Normal 4 2 3 2 6" xfId="6073" xr:uid="{CCECF555-C5D7-41C0-8E13-E3E4C3AD071A}"/>
    <cellStyle name="Normal 4 2 3 2 6 2" xfId="6074" xr:uid="{3E3E2D2A-9C82-463B-B6FA-25CC8A120B2F}"/>
    <cellStyle name="Normal 4 2 3 2 6 3" xfId="6075" xr:uid="{2E77848C-2312-4D1D-9896-B8A73B2EF3B4}"/>
    <cellStyle name="Normal 4 2 3 2 7" xfId="6076" xr:uid="{EA7B6180-E871-4889-BA5B-9DF3FAAF66EF}"/>
    <cellStyle name="Normal 4 2 3 2 8" xfId="6077" xr:uid="{5429048B-B7FD-41D4-B68F-E777CAFE8C9F}"/>
    <cellStyle name="Normal 4 2 3 2 9" xfId="6078" xr:uid="{BB2E5196-AC47-4596-B9C8-4E46A5A9044C}"/>
    <cellStyle name="Normal 4 2 3 3" xfId="2145" xr:uid="{64CD8A86-BFF0-40C8-87FD-7E62A55DA04A}"/>
    <cellStyle name="Normal 4 2 3 3 2" xfId="6079" xr:uid="{C81B9322-C5AB-413A-B7E4-882D1C57C7F9}"/>
    <cellStyle name="Normal 4 2 3 3 2 2" xfId="6080" xr:uid="{5CE329FE-45A6-4F2C-828A-C532C453D498}"/>
    <cellStyle name="Normal 4 2 3 3 2 2 2" xfId="6081" xr:uid="{3A2CDF17-66EB-4E91-805C-AD4DF69F9817}"/>
    <cellStyle name="Normal 4 2 3 3 2 2 3" xfId="6082" xr:uid="{05A265E5-38D4-4AAF-B75B-2EED5F8BA6F4}"/>
    <cellStyle name="Normal 4 2 3 3 2 3" xfId="6083" xr:uid="{B5D4ED96-7406-41D5-978A-E23A2A4E1F1C}"/>
    <cellStyle name="Normal 4 2 3 3 2 3 2" xfId="6084" xr:uid="{D0BD75C2-2F90-4AB8-8A98-C286B53C6C1F}"/>
    <cellStyle name="Normal 4 2 3 3 2 3 3" xfId="6085" xr:uid="{FB29B778-B907-453A-ACCB-1B3C11260DDF}"/>
    <cellStyle name="Normal 4 2 3 3 2 4" xfId="6086" xr:uid="{A2198F0F-F9A4-40D9-BC07-32FD09475CE4}"/>
    <cellStyle name="Normal 4 2 3 3 2 4 2" xfId="6087" xr:uid="{362BD5DC-009E-4162-A5EA-448C8A663D1F}"/>
    <cellStyle name="Normal 4 2 3 3 2 4 3" xfId="6088" xr:uid="{90916A15-C32F-4568-9D81-6E95118A6907}"/>
    <cellStyle name="Normal 4 2 3 3 2 5" xfId="6089" xr:uid="{9DB96877-3A6B-47C1-A15A-B27952234569}"/>
    <cellStyle name="Normal 4 2 3 3 2 6" xfId="6090" xr:uid="{9880AF54-417F-42DB-9CFC-E1F6B142A6D6}"/>
    <cellStyle name="Normal 4 2 3 3 2 7" xfId="6091" xr:uid="{90CF3C0E-CA03-4C97-9181-00C5B7D64583}"/>
    <cellStyle name="Normal 4 2 3 3 2 8" xfId="6092" xr:uid="{26C02E99-DEE6-4970-AEA7-7BF744C107EB}"/>
    <cellStyle name="Normal 4 2 3 3 3" xfId="6093" xr:uid="{8AA36EC2-29E6-4D2F-8D9B-46FBA648139E}"/>
    <cellStyle name="Normal 4 2 3 3 3 2" xfId="6094" xr:uid="{755B6237-B6EA-4D39-AE59-A02308A5CD9C}"/>
    <cellStyle name="Normal 4 2 3 3 3 3" xfId="6095" xr:uid="{6A9D034E-2EDC-463D-9846-019ADD82EF07}"/>
    <cellStyle name="Normal 4 2 3 3 4" xfId="6096" xr:uid="{45B20A55-541C-4FC6-9733-F2FC0AEE8E7B}"/>
    <cellStyle name="Normal 4 2 3 3 4 2" xfId="6097" xr:uid="{AAA4A473-7076-4B76-8924-31FE071CD638}"/>
    <cellStyle name="Normal 4 2 3 3 4 3" xfId="6098" xr:uid="{CE0159C3-48F1-4F4F-9AB8-E07FE44A3A59}"/>
    <cellStyle name="Normal 4 2 3 3 5" xfId="6099" xr:uid="{670A8D9D-83E9-49D4-AC17-97FF57A09581}"/>
    <cellStyle name="Normal 4 2 3 3 5 2" xfId="6100" xr:uid="{2BE76633-0CEC-45C1-A820-658B1C04F1F6}"/>
    <cellStyle name="Normal 4 2 3 3 5 3" xfId="6101" xr:uid="{5155BA70-A924-4091-9CFE-FD6BDE0A5DED}"/>
    <cellStyle name="Normal 4 2 3 3 6" xfId="6102" xr:uid="{93465518-3C64-489E-BEDE-88E410913C1E}"/>
    <cellStyle name="Normal 4 2 3 3 7" xfId="6103" xr:uid="{C5E3029C-5D27-46A1-9D93-4B333D7E1E38}"/>
    <cellStyle name="Normal 4 2 3 3 8" xfId="6104" xr:uid="{9A5BD86A-C811-412A-8C6D-F34AD648E45B}"/>
    <cellStyle name="Normal 4 2 3 3 9" xfId="6105" xr:uid="{1F926861-3D04-4787-90FA-6054ABA76246}"/>
    <cellStyle name="Normal 4 2 3 4" xfId="6106" xr:uid="{6CBAD270-B24E-4824-A305-8F4F23F99BBA}"/>
    <cellStyle name="Normal 4 2 3 4 2" xfId="6107" xr:uid="{D998566E-0584-4B3E-AC0A-DE87681D1A7E}"/>
    <cellStyle name="Normal 4 2 3 4 2 2" xfId="6108" xr:uid="{357974FC-E6F5-4569-9908-24A51CCD2E01}"/>
    <cellStyle name="Normal 4 2 3 4 2 3" xfId="6109" xr:uid="{CC4E6CA7-2E7E-4E38-B14A-DA071321D646}"/>
    <cellStyle name="Normal 4 2 3 4 3" xfId="6110" xr:uid="{3C96F9AC-B844-4FC6-9800-8BFAEEC409CD}"/>
    <cellStyle name="Normal 4 2 3 4 3 2" xfId="6111" xr:uid="{8CEFE7AA-6BC6-4D8C-8D5C-55ADBA171247}"/>
    <cellStyle name="Normal 4 2 3 4 3 3" xfId="6112" xr:uid="{932DE096-0D47-400E-92CC-A8414B674743}"/>
    <cellStyle name="Normal 4 2 3 4 4" xfId="6113" xr:uid="{CB93752D-9315-4E0C-9B51-43553D536040}"/>
    <cellStyle name="Normal 4 2 3 4 4 2" xfId="6114" xr:uid="{C9BDFD6A-6B9E-4084-B84D-0D5D40330D41}"/>
    <cellStyle name="Normal 4 2 3 4 4 3" xfId="6115" xr:uid="{82AFCD65-9098-4732-92CD-D28C58DFBD58}"/>
    <cellStyle name="Normal 4 2 3 4 5" xfId="6116" xr:uid="{28C28F04-1767-495E-9BE7-A087B511ED63}"/>
    <cellStyle name="Normal 4 2 3 4 6" xfId="6117" xr:uid="{269E9917-D3F3-4F14-AA81-3BA723969D04}"/>
    <cellStyle name="Normal 4 2 3 4 7" xfId="6118" xr:uid="{2AD6C306-EC36-4167-8E15-4DF63D2FFC2F}"/>
    <cellStyle name="Normal 4 2 3 4 8" xfId="6119" xr:uid="{1B129555-8AD9-4C64-9F6E-BA473B16880A}"/>
    <cellStyle name="Normal 4 2 3 5" xfId="6120" xr:uid="{2DB59794-65FC-49A5-83C8-1F7C0B7B1ACA}"/>
    <cellStyle name="Normal 4 2 3 5 2" xfId="6121" xr:uid="{A251FE97-10C0-45C4-AD8D-7996DC54FCD8}"/>
    <cellStyle name="Normal 4 2 3 5 3" xfId="6122" xr:uid="{A1D0D710-4BA8-42C8-A897-671963045839}"/>
    <cellStyle name="Normal 4 2 3 6" xfId="6123" xr:uid="{07F48A05-D820-4BD8-A62E-FCDC785AFA40}"/>
    <cellStyle name="Normal 4 2 3 6 2" xfId="6124" xr:uid="{CD656447-F46D-4D8B-B08B-9FB5BB756B02}"/>
    <cellStyle name="Normal 4 2 3 6 3" xfId="6125" xr:uid="{EA8128E6-FEF6-4883-9416-0A9C6A535DD6}"/>
    <cellStyle name="Normal 4 2 3 7" xfId="6126" xr:uid="{3C4FEC2F-0236-4826-8DA6-C409DC5952DB}"/>
    <cellStyle name="Normal 4 2 3 7 2" xfId="6127" xr:uid="{9002C429-0000-4E3F-A80D-E469BB73E52B}"/>
    <cellStyle name="Normal 4 2 3 7 3" xfId="6128" xr:uid="{5A1F20E4-F28D-447E-80C6-D00C89283EAC}"/>
    <cellStyle name="Normal 4 2 3 8" xfId="6129" xr:uid="{45A5C4DD-3162-4F2F-A637-F0E506F3D492}"/>
    <cellStyle name="Normal 4 2 3 9" xfId="6130" xr:uid="{083DB06B-57B8-47FD-AAC2-F3E221B74482}"/>
    <cellStyle name="Normal 4 2 4" xfId="2146" xr:uid="{8529571C-E156-4907-AF44-0971D253C2BC}"/>
    <cellStyle name="Normal 4 2 4 10" xfId="6131" xr:uid="{A2D50600-E528-4C60-8DD9-D1A6417EBB11}"/>
    <cellStyle name="Normal 4 2 4 11" xfId="6132" xr:uid="{8C748676-BCE9-496A-8591-08D627B37F33}"/>
    <cellStyle name="Normal 4 2 4 2" xfId="2147" xr:uid="{44700703-9B55-4486-93C7-9DB543E12263}"/>
    <cellStyle name="Normal 4 2 4 2 10" xfId="6133" xr:uid="{3677DAD1-7121-4D71-B6CF-68804A6DBBDB}"/>
    <cellStyle name="Normal 4 2 4 2 2" xfId="2148" xr:uid="{56B34FA7-FA42-4D2D-9EF9-B630A46268E5}"/>
    <cellStyle name="Normal 4 2 4 2 2 2" xfId="6134" xr:uid="{86149375-D663-4EE2-9190-F559EC8EAED8}"/>
    <cellStyle name="Normal 4 2 4 2 2 2 2" xfId="6135" xr:uid="{90007026-A07F-4DA0-B204-1C8352AA0782}"/>
    <cellStyle name="Normal 4 2 4 2 2 2 2 2" xfId="6136" xr:uid="{2781E478-94F5-4ED5-9A3D-6DF689CCD0ED}"/>
    <cellStyle name="Normal 4 2 4 2 2 2 2 3" xfId="6137" xr:uid="{492528CC-09D0-4A22-90CC-561304915675}"/>
    <cellStyle name="Normal 4 2 4 2 2 2 3" xfId="6138" xr:uid="{8F38C159-20F2-4218-8E1E-F265EB263FB3}"/>
    <cellStyle name="Normal 4 2 4 2 2 2 3 2" xfId="6139" xr:uid="{3A3E19B3-5A31-4E45-A5CC-0642A37DCA4F}"/>
    <cellStyle name="Normal 4 2 4 2 2 2 3 3" xfId="6140" xr:uid="{E333C3F5-8C1A-4EF4-927C-390FC7ACE589}"/>
    <cellStyle name="Normal 4 2 4 2 2 2 4" xfId="6141" xr:uid="{A6398175-958C-4C2B-AC9E-C8A13A36BD0A}"/>
    <cellStyle name="Normal 4 2 4 2 2 2 4 2" xfId="6142" xr:uid="{E8E757ED-1301-4A6E-9CBF-CAE33AE8307E}"/>
    <cellStyle name="Normal 4 2 4 2 2 2 4 3" xfId="6143" xr:uid="{DCF960D0-E7CB-4C8F-8BB2-5D7816F2D9BF}"/>
    <cellStyle name="Normal 4 2 4 2 2 2 5" xfId="6144" xr:uid="{D099F5F3-B4EE-4709-9F31-A0CE1C84D68D}"/>
    <cellStyle name="Normal 4 2 4 2 2 2 6" xfId="6145" xr:uid="{EA5C7D81-EBFF-4964-89F4-7E4C17C18C4A}"/>
    <cellStyle name="Normal 4 2 4 2 2 2 7" xfId="6146" xr:uid="{A098492A-A502-491C-901C-5F531FFFB0F0}"/>
    <cellStyle name="Normal 4 2 4 2 2 2 8" xfId="6147" xr:uid="{118CBE3F-5368-4F31-9E7C-15189946E490}"/>
    <cellStyle name="Normal 4 2 4 2 2 3" xfId="6148" xr:uid="{D54ED654-0685-4638-990F-6043F2E1DF0B}"/>
    <cellStyle name="Normal 4 2 4 2 2 3 2" xfId="6149" xr:uid="{ECE575CB-9CD8-49F6-BCF7-F566F8A510AC}"/>
    <cellStyle name="Normal 4 2 4 2 2 3 3" xfId="6150" xr:uid="{B17E8103-FC0B-48A6-AA93-8E7E5F97F396}"/>
    <cellStyle name="Normal 4 2 4 2 2 4" xfId="6151" xr:uid="{4191F5B5-5E54-4FE5-90B0-DD9251B6387D}"/>
    <cellStyle name="Normal 4 2 4 2 2 4 2" xfId="6152" xr:uid="{17CEB222-DB95-4831-923F-B8171BC861AB}"/>
    <cellStyle name="Normal 4 2 4 2 2 4 3" xfId="6153" xr:uid="{38881C74-D788-4436-AB42-B9B9E29C5C71}"/>
    <cellStyle name="Normal 4 2 4 2 2 5" xfId="6154" xr:uid="{B6DDD2B7-76C2-496A-9AFA-CCE8ABC2C50D}"/>
    <cellStyle name="Normal 4 2 4 2 2 5 2" xfId="6155" xr:uid="{80A3BC15-59B9-4936-9FB7-61799C4596D6}"/>
    <cellStyle name="Normal 4 2 4 2 2 5 3" xfId="6156" xr:uid="{889F3A09-98B9-48FA-B759-A70BC2186753}"/>
    <cellStyle name="Normal 4 2 4 2 2 6" xfId="6157" xr:uid="{9C7866BA-1B53-4C3C-915D-6B4CF35B36CF}"/>
    <cellStyle name="Normal 4 2 4 2 2 7" xfId="6158" xr:uid="{490616B4-9489-40AC-9FF3-CBC3D4D774E4}"/>
    <cellStyle name="Normal 4 2 4 2 2 8" xfId="6159" xr:uid="{38804EF7-9201-4BA8-8EEE-81FEBA09D5CE}"/>
    <cellStyle name="Normal 4 2 4 2 2 9" xfId="6160" xr:uid="{DABC6094-D22B-4365-A039-B189A60F1399}"/>
    <cellStyle name="Normal 4 2 4 2 3" xfId="6161" xr:uid="{028D3400-1BC4-452F-A9DD-3C9C39566A9E}"/>
    <cellStyle name="Normal 4 2 4 2 3 2" xfId="6162" xr:uid="{7B44F839-B0EC-41BC-9B87-D1B75134FF35}"/>
    <cellStyle name="Normal 4 2 4 2 3 2 2" xfId="6163" xr:uid="{F72E2BEF-2123-4CDA-A073-BA6D5FF1E35D}"/>
    <cellStyle name="Normal 4 2 4 2 3 2 3" xfId="6164" xr:uid="{155C32EE-F6AF-4988-83D9-089F54946CE2}"/>
    <cellStyle name="Normal 4 2 4 2 3 3" xfId="6165" xr:uid="{83C51243-A9B5-477D-8EA9-6B863823D113}"/>
    <cellStyle name="Normal 4 2 4 2 3 3 2" xfId="6166" xr:uid="{EA527D8E-9E89-41AC-9956-EBF137B738FD}"/>
    <cellStyle name="Normal 4 2 4 2 3 3 3" xfId="6167" xr:uid="{2AB222DB-3A9B-430F-888D-C171EA88B4E8}"/>
    <cellStyle name="Normal 4 2 4 2 3 4" xfId="6168" xr:uid="{4E275881-9E81-4106-A8B5-EE36669934CC}"/>
    <cellStyle name="Normal 4 2 4 2 3 4 2" xfId="6169" xr:uid="{000AFD47-1D5D-4D60-9853-ADD687580FD3}"/>
    <cellStyle name="Normal 4 2 4 2 3 4 3" xfId="6170" xr:uid="{289CE752-4355-409B-A01B-B202A76BF633}"/>
    <cellStyle name="Normal 4 2 4 2 3 5" xfId="6171" xr:uid="{800E8D1C-EE9E-40CA-8199-EB0A110214F9}"/>
    <cellStyle name="Normal 4 2 4 2 3 6" xfId="6172" xr:uid="{96A2F940-48B8-454F-9FEA-8B287AE484DA}"/>
    <cellStyle name="Normal 4 2 4 2 3 7" xfId="6173" xr:uid="{080F7389-95E5-47AA-8B51-29A315D078EE}"/>
    <cellStyle name="Normal 4 2 4 2 3 8" xfId="6174" xr:uid="{2A4B807F-80EA-4CA1-B352-B694DAAF2200}"/>
    <cellStyle name="Normal 4 2 4 2 4" xfId="6175" xr:uid="{B7248888-AC23-4B2F-8DFC-60E9B596339B}"/>
    <cellStyle name="Normal 4 2 4 2 4 2" xfId="6176" xr:uid="{D5FB7FF1-B8D1-4132-8A0B-3AE2AF66EE8D}"/>
    <cellStyle name="Normal 4 2 4 2 4 3" xfId="6177" xr:uid="{B24FF7FF-AB3B-4287-80D7-1F27E4A01EC3}"/>
    <cellStyle name="Normal 4 2 4 2 5" xfId="6178" xr:uid="{09C93213-AFC2-4E12-A215-9A0E1CF8437B}"/>
    <cellStyle name="Normal 4 2 4 2 5 2" xfId="6179" xr:uid="{90FDB96C-3839-4CCD-8B66-C58C7A1C39CE}"/>
    <cellStyle name="Normal 4 2 4 2 5 3" xfId="6180" xr:uid="{6DBE32C9-1997-4A1E-99ED-78A456EE08A7}"/>
    <cellStyle name="Normal 4 2 4 2 6" xfId="6181" xr:uid="{E15F71D9-8B69-41DB-B3E5-27D39EF7A66A}"/>
    <cellStyle name="Normal 4 2 4 2 6 2" xfId="6182" xr:uid="{6DB3478E-CC5C-4912-8C21-193F3CB0E75E}"/>
    <cellStyle name="Normal 4 2 4 2 6 3" xfId="6183" xr:uid="{4C2EF741-9681-4852-81FC-8CC4874EBB34}"/>
    <cellStyle name="Normal 4 2 4 2 7" xfId="6184" xr:uid="{A2545D66-BB86-4444-B9AA-7C8B02A3A6D6}"/>
    <cellStyle name="Normal 4 2 4 2 8" xfId="6185" xr:uid="{71A56219-6A0C-4B97-8C14-FF38C0F6E28D}"/>
    <cellStyle name="Normal 4 2 4 2 9" xfId="6186" xr:uid="{D601F65C-8E55-4A32-A7F7-B9C0C1363BFF}"/>
    <cellStyle name="Normal 4 2 4 3" xfId="2149" xr:uid="{ED79CBBA-F610-4FE2-9C66-33E533B3A51B}"/>
    <cellStyle name="Normal 4 2 4 3 2" xfId="6187" xr:uid="{9576909E-1C76-4D10-89E3-A3F2FDB58061}"/>
    <cellStyle name="Normal 4 2 4 3 2 2" xfId="6188" xr:uid="{CEBFD170-7404-4756-8708-97AC43156F36}"/>
    <cellStyle name="Normal 4 2 4 3 2 2 2" xfId="6189" xr:uid="{274B424B-7BBD-44A2-BC66-06EAD9F15E83}"/>
    <cellStyle name="Normal 4 2 4 3 2 2 3" xfId="6190" xr:uid="{A366E0CB-1F62-4C1C-8814-8998D8C03825}"/>
    <cellStyle name="Normal 4 2 4 3 2 3" xfId="6191" xr:uid="{BE11F4D5-BAEF-42AD-ACB9-BE2B5898225C}"/>
    <cellStyle name="Normal 4 2 4 3 2 3 2" xfId="6192" xr:uid="{781BDD97-39AD-4D3E-AD1C-B38EDB625D1D}"/>
    <cellStyle name="Normal 4 2 4 3 2 3 3" xfId="6193" xr:uid="{1DF44792-77B6-4599-B430-CF971A680F38}"/>
    <cellStyle name="Normal 4 2 4 3 2 4" xfId="6194" xr:uid="{98D55233-F1EF-4371-A215-236C9EC2454A}"/>
    <cellStyle name="Normal 4 2 4 3 2 4 2" xfId="6195" xr:uid="{B4268036-E590-4468-8821-99110202A289}"/>
    <cellStyle name="Normal 4 2 4 3 2 4 3" xfId="6196" xr:uid="{EAEC2309-9626-4B7D-B786-5EF5D1DE6161}"/>
    <cellStyle name="Normal 4 2 4 3 2 5" xfId="6197" xr:uid="{EEDA52B4-4E20-44B5-94A8-6CAB16D4278D}"/>
    <cellStyle name="Normal 4 2 4 3 2 6" xfId="6198" xr:uid="{0C8AA287-E492-42DA-ADF2-2A95447CD9D8}"/>
    <cellStyle name="Normal 4 2 4 3 2 7" xfId="6199" xr:uid="{7470BEE9-9D2F-42C2-8397-64CF19D96448}"/>
    <cellStyle name="Normal 4 2 4 3 2 8" xfId="6200" xr:uid="{CA75DC82-5B33-483E-BB87-6C6BEA1A02AF}"/>
    <cellStyle name="Normal 4 2 4 3 3" xfId="6201" xr:uid="{181C47AD-52C7-4DB1-93A0-0A0B9A880526}"/>
    <cellStyle name="Normal 4 2 4 3 3 2" xfId="6202" xr:uid="{6F7738D1-0A83-42E9-A20B-7191F1F0820C}"/>
    <cellStyle name="Normal 4 2 4 3 3 3" xfId="6203" xr:uid="{69A7C8E5-359D-49D0-8D75-BBF3F9D0817E}"/>
    <cellStyle name="Normal 4 2 4 3 4" xfId="6204" xr:uid="{4B28AB78-93E6-40C3-94B1-CAA4E489E6EB}"/>
    <cellStyle name="Normal 4 2 4 3 4 2" xfId="6205" xr:uid="{797CD01D-91CD-4FC0-8303-D1C1201C6E8D}"/>
    <cellStyle name="Normal 4 2 4 3 4 3" xfId="6206" xr:uid="{4E6E6361-194B-484E-9397-E051B0E023BB}"/>
    <cellStyle name="Normal 4 2 4 3 5" xfId="6207" xr:uid="{F713E082-EB17-4B30-8166-3AB9F89677A5}"/>
    <cellStyle name="Normal 4 2 4 3 5 2" xfId="6208" xr:uid="{FC475A2C-C12B-4E60-A586-8072549CD4E9}"/>
    <cellStyle name="Normal 4 2 4 3 5 3" xfId="6209" xr:uid="{E70E94E8-EB4E-4A61-92E3-172B6529018D}"/>
    <cellStyle name="Normal 4 2 4 3 6" xfId="6210" xr:uid="{A107536E-3126-4C30-9CFA-8C9F43931392}"/>
    <cellStyle name="Normal 4 2 4 3 7" xfId="6211" xr:uid="{FFDFF267-11A6-4A63-8A3F-2E8785D56664}"/>
    <cellStyle name="Normal 4 2 4 3 8" xfId="6212" xr:uid="{7C9C631A-CE5F-42BF-9240-018E804309BB}"/>
    <cellStyle name="Normal 4 2 4 3 9" xfId="6213" xr:uid="{4B909256-D913-4FDE-87E6-CDDBBAB04CF9}"/>
    <cellStyle name="Normal 4 2 4 4" xfId="6214" xr:uid="{DEBE8406-E43A-4F70-B601-D71A5D6F086B}"/>
    <cellStyle name="Normal 4 2 4 4 2" xfId="6215" xr:uid="{6F373D7A-E2F6-4C91-BD18-9CF6259660D5}"/>
    <cellStyle name="Normal 4 2 4 4 2 2" xfId="6216" xr:uid="{669A5952-EA07-4AEA-8C8A-E90432D58613}"/>
    <cellStyle name="Normal 4 2 4 4 2 3" xfId="6217" xr:uid="{8A4A4EA4-3759-4722-AEB9-5CAF2BC2AD51}"/>
    <cellStyle name="Normal 4 2 4 4 3" xfId="6218" xr:uid="{FEAC6F3A-CAD0-42B1-AE4A-245797BF0D85}"/>
    <cellStyle name="Normal 4 2 4 4 3 2" xfId="6219" xr:uid="{48D50E8F-4A51-406C-8CD5-77D2A91BDD5E}"/>
    <cellStyle name="Normal 4 2 4 4 3 3" xfId="6220" xr:uid="{CB75F6FE-850D-43FC-BAD5-26D87072E930}"/>
    <cellStyle name="Normal 4 2 4 4 4" xfId="6221" xr:uid="{5FAD2234-E0B1-4BFA-8E84-61E2413F8503}"/>
    <cellStyle name="Normal 4 2 4 4 4 2" xfId="6222" xr:uid="{4526D2B9-60F5-4AD9-811E-8CFC99583534}"/>
    <cellStyle name="Normal 4 2 4 4 4 3" xfId="6223" xr:uid="{371E91FB-A039-43A2-9AA6-505AFF0888E8}"/>
    <cellStyle name="Normal 4 2 4 4 5" xfId="6224" xr:uid="{3262555B-9879-421E-B381-1835C7E8FB28}"/>
    <cellStyle name="Normal 4 2 4 4 6" xfId="6225" xr:uid="{C8329301-F2BA-4BF0-92D4-ECE3A06F7C69}"/>
    <cellStyle name="Normal 4 2 4 4 7" xfId="6226" xr:uid="{DEE9CACE-13FF-41CC-97D4-C7686F1B4D9C}"/>
    <cellStyle name="Normal 4 2 4 4 8" xfId="6227" xr:uid="{55EFC20F-470D-4420-9768-86609978ED5C}"/>
    <cellStyle name="Normal 4 2 4 5" xfId="6228" xr:uid="{3450EE7E-E42E-40BD-96F4-A22786609C0B}"/>
    <cellStyle name="Normal 4 2 4 5 2" xfId="6229" xr:uid="{69662B8D-5F2D-4778-94D7-93960F1F0D11}"/>
    <cellStyle name="Normal 4 2 4 5 3" xfId="6230" xr:uid="{184D7801-1F5B-412D-8C36-7E5453817341}"/>
    <cellStyle name="Normal 4 2 4 6" xfId="6231" xr:uid="{590420A2-5A06-4996-A926-BFC20D4AD235}"/>
    <cellStyle name="Normal 4 2 4 6 2" xfId="6232" xr:uid="{840FF259-0846-49FD-933C-9E143A1C727B}"/>
    <cellStyle name="Normal 4 2 4 6 3" xfId="6233" xr:uid="{18AB43E5-5382-40B1-B0AF-A62B581FDAD8}"/>
    <cellStyle name="Normal 4 2 4 7" xfId="6234" xr:uid="{18FF2864-E7ED-404B-A43D-7C5CF25A437E}"/>
    <cellStyle name="Normal 4 2 4 7 2" xfId="6235" xr:uid="{6E165D68-E3FF-49E2-A2A8-14E9F3C3895B}"/>
    <cellStyle name="Normal 4 2 4 7 3" xfId="6236" xr:uid="{81043B5D-CFB6-4A95-86A2-810050AA45B5}"/>
    <cellStyle name="Normal 4 2 4 8" xfId="6237" xr:uid="{FCC67162-FE9E-4008-89E2-9FD179C89E88}"/>
    <cellStyle name="Normal 4 2 4 9" xfId="6238" xr:uid="{BD4A4E72-5FF1-41C1-8937-F067BF143708}"/>
    <cellStyle name="Normal 4 2 5" xfId="2150" xr:uid="{DABDDF91-CBBE-4D9D-8A08-8FC625527D04}"/>
    <cellStyle name="Normal 4 2 6" xfId="6239" xr:uid="{6FA0C4E7-CC9E-4CB5-B407-EEE36BEE76E5}"/>
    <cellStyle name="Normal 4 2 6 2" xfId="6240" xr:uid="{6C3FEFAE-69A2-4198-9952-2993BEAA312E}"/>
    <cellStyle name="Normal 4 2 6 2 2" xfId="6241" xr:uid="{2843D143-70BC-4DAD-BDEF-4F01FF15F728}"/>
    <cellStyle name="Normal 4 2 6 2 2 2" xfId="6242" xr:uid="{153CC3FD-6B67-42B8-8BAA-D40030213882}"/>
    <cellStyle name="Normal 4 2 6 2 2 3" xfId="6243" xr:uid="{0533F8CA-761D-4BC6-811A-E517175855D4}"/>
    <cellStyle name="Normal 4 2 6 2 3" xfId="6244" xr:uid="{DE63E6AB-B2DF-4B1F-8255-9A58CA829F6E}"/>
    <cellStyle name="Normal 4 2 6 2 3 2" xfId="6245" xr:uid="{7B1E2231-810D-4369-828F-5760DAA77631}"/>
    <cellStyle name="Normal 4 2 6 2 3 3" xfId="6246" xr:uid="{B01AAA18-5C3E-425F-B525-E2ADE4216928}"/>
    <cellStyle name="Normal 4 2 6 2 4" xfId="6247" xr:uid="{521409D6-5B38-4D23-9FBD-4AD6B4A02375}"/>
    <cellStyle name="Normal 4 2 6 2 4 2" xfId="6248" xr:uid="{DCE88189-7301-46F9-AC96-00FC9F884ED9}"/>
    <cellStyle name="Normal 4 2 6 2 4 3" xfId="6249" xr:uid="{743A2380-3AE2-494E-8D33-560CD89A1C76}"/>
    <cellStyle name="Normal 4 2 6 2 5" xfId="6250" xr:uid="{0CC91675-0CE7-40B4-A668-6CFAEF53349C}"/>
    <cellStyle name="Normal 4 2 6 2 6" xfId="6251" xr:uid="{B0230E62-FFAB-458B-A705-89ECA08FD2CE}"/>
    <cellStyle name="Normal 4 2 6 2 7" xfId="6252" xr:uid="{36AC25F4-C4AA-4F2D-8C0A-09D9F880628B}"/>
    <cellStyle name="Normal 4 2 6 2 8" xfId="6253" xr:uid="{2E5A2428-EC33-4CDD-8086-37E6317100C8}"/>
    <cellStyle name="Normal 4 2 6 3" xfId="6254" xr:uid="{3C321785-0AC8-4714-B5E4-4AED7D10EAD3}"/>
    <cellStyle name="Normal 4 2 6 3 2" xfId="6255" xr:uid="{6F14B4DF-1373-41F4-9B8E-02765CAEE3F2}"/>
    <cellStyle name="Normal 4 2 6 3 3" xfId="6256" xr:uid="{867899A7-45C8-466F-A6CE-AE7D03F0CE71}"/>
    <cellStyle name="Normal 4 2 6 4" xfId="6257" xr:uid="{B898359C-1761-49D4-A730-96D529DBD3C5}"/>
    <cellStyle name="Normal 4 2 6 4 2" xfId="6258" xr:uid="{C5DC411E-89F2-4414-96F7-3914959F160B}"/>
    <cellStyle name="Normal 4 2 6 4 3" xfId="6259" xr:uid="{ABE0BDFA-205B-4D73-A893-A36758D976DF}"/>
    <cellStyle name="Normal 4 2 6 5" xfId="6260" xr:uid="{05DA7169-1F9A-4784-96B0-0AEBA39EBE6C}"/>
    <cellStyle name="Normal 4 2 6 5 2" xfId="6261" xr:uid="{D9E692D2-DD6E-4992-9195-F6A58FA39BF4}"/>
    <cellStyle name="Normal 4 2 6 5 3" xfId="6262" xr:uid="{7EF1D522-A6D0-4915-8695-0C9248E83A18}"/>
    <cellStyle name="Normal 4 2 6 6" xfId="6263" xr:uid="{BA2A1ECE-E2EC-4AAE-9FDD-EE56C157A8A8}"/>
    <cellStyle name="Normal 4 2 6 7" xfId="6264" xr:uid="{5653D7DB-4C45-4D66-A44F-C40AFA78831D}"/>
    <cellStyle name="Normal 4 2 6 8" xfId="6265" xr:uid="{D61836F5-4CA4-420D-8ADE-5935505D64DC}"/>
    <cellStyle name="Normal 4 2 6 9" xfId="6266" xr:uid="{61B4A454-500B-4755-ADBC-5509BCAD9539}"/>
    <cellStyle name="Normal 4 2 7" xfId="6267" xr:uid="{642585E2-57EC-4199-BA59-6843343D4913}"/>
    <cellStyle name="Normal 4 2 7 2" xfId="6268" xr:uid="{E69334CE-DA4C-4C64-B60F-46F668A887DC}"/>
    <cellStyle name="Normal 4 2 7 2 2" xfId="6269" xr:uid="{81A21D5E-4BB4-42C3-9E6C-EB7718F88258}"/>
    <cellStyle name="Normal 4 2 7 2 3" xfId="6270" xr:uid="{9860378C-978D-4C28-8923-3D89470FB2E9}"/>
    <cellStyle name="Normal 4 2 7 3" xfId="6271" xr:uid="{66A1282D-CB75-4893-8A20-AF62D08C84FD}"/>
    <cellStyle name="Normal 4 2 7 3 2" xfId="6272" xr:uid="{349C960E-D756-40CE-B279-8DB836D7C087}"/>
    <cellStyle name="Normal 4 2 7 3 3" xfId="6273" xr:uid="{82C8600C-CED7-4000-BC47-8C48ABDFCE91}"/>
    <cellStyle name="Normal 4 2 7 4" xfId="6274" xr:uid="{DAB373F8-0660-4326-A4A9-206A0F466255}"/>
    <cellStyle name="Normal 4 2 7 4 2" xfId="6275" xr:uid="{0492CF13-89F2-4EAE-BEB8-A63665F0CB84}"/>
    <cellStyle name="Normal 4 2 7 4 3" xfId="6276" xr:uid="{61FBC1C2-98C2-4A46-AE8D-3281D511D4BC}"/>
    <cellStyle name="Normal 4 2 7 5" xfId="6277" xr:uid="{17C5C91C-4A42-473B-A24D-E20E694515DD}"/>
    <cellStyle name="Normal 4 2 7 6" xfId="6278" xr:uid="{F666B0A0-F01C-49FB-AF76-9EBCB4010DC3}"/>
    <cellStyle name="Normal 4 2 7 7" xfId="6279" xr:uid="{B648263C-0C6C-4156-B86D-46A58EBEDD86}"/>
    <cellStyle name="Normal 4 2 7 8" xfId="6280" xr:uid="{19040670-E5AF-4D3B-BB9D-3ED8F772087F}"/>
    <cellStyle name="Normal 4 2 8" xfId="6281" xr:uid="{DE848931-B059-4062-B0C9-3BA573C2FBC8}"/>
    <cellStyle name="Normal 4 2 8 2" xfId="6282" xr:uid="{99BD73B8-7E80-4AD6-90A4-BCF3695FD39D}"/>
    <cellStyle name="Normal 4 2 8 3" xfId="6283" xr:uid="{4B9F4797-C71F-4570-9274-29F67000724B}"/>
    <cellStyle name="Normal 4 2 8 4" xfId="6284" xr:uid="{22FA3C34-9BFE-4E10-A945-145C3F800D64}"/>
    <cellStyle name="Normal 4 2 9" xfId="6285" xr:uid="{6D860887-1FFE-40B0-9AB7-89CB06022E18}"/>
    <cellStyle name="Normal 4 2 9 2" xfId="6286" xr:uid="{046EF48B-9F4C-4B0F-914D-4D4FB799ACC3}"/>
    <cellStyle name="Normal 4 2 9 3" xfId="6287" xr:uid="{548103E2-694E-48E9-87CE-0CF56FB60FE4}"/>
    <cellStyle name="Normal 4 3" xfId="2151" xr:uid="{3C1720EC-C40B-49DC-A668-060CD9DE2F64}"/>
    <cellStyle name="Normal 4 3 10" xfId="6288" xr:uid="{E647DE2E-97DA-4CBB-A429-E16D93A861C1}"/>
    <cellStyle name="Normal 4 3 11" xfId="6289" xr:uid="{6203A32F-E31F-4E2A-937F-D7957C30DF33}"/>
    <cellStyle name="Normal 4 3 2" xfId="2152" xr:uid="{733AC456-C129-45A8-8EE1-E33108F75D1A}"/>
    <cellStyle name="Normal 4 3 2 10" xfId="6290" xr:uid="{AB87A7AD-3525-440C-95D1-498327769DCD}"/>
    <cellStyle name="Normal 4 3 2 11" xfId="6291" xr:uid="{7E74BC0F-28FC-40CA-93EB-4C3A0F7BC0BB}"/>
    <cellStyle name="Normal 4 3 2 2" xfId="2153" xr:uid="{BA5659B8-3061-4D67-AD21-F4EB128257AA}"/>
    <cellStyle name="Normal 4 3 2 2 10" xfId="6292" xr:uid="{D9DF9787-42C9-4D4F-9E45-A4450EB2649D}"/>
    <cellStyle name="Normal 4 3 2 2 2" xfId="2154" xr:uid="{1330FCFA-62D1-4266-88CA-CB09A1D9FE32}"/>
    <cellStyle name="Normal 4 3 2 2 2 2" xfId="6293" xr:uid="{F246FEAF-DF70-4C57-825C-67FA247C6CE3}"/>
    <cellStyle name="Normal 4 3 2 2 2 2 2" xfId="6294" xr:uid="{3BFFF7C3-1FB3-44A8-88F9-0E827CA7D5DA}"/>
    <cellStyle name="Normal 4 3 2 2 2 2 2 2" xfId="6295" xr:uid="{30888DC5-348B-4AC4-B88A-539E20128E0A}"/>
    <cellStyle name="Normal 4 3 2 2 2 2 2 3" xfId="6296" xr:uid="{37AD3836-3C7D-4120-A867-17546A4017A9}"/>
    <cellStyle name="Normal 4 3 2 2 2 2 3" xfId="6297" xr:uid="{33E5CB5D-F8A7-4219-A6D5-B506ACD12702}"/>
    <cellStyle name="Normal 4 3 2 2 2 2 3 2" xfId="6298" xr:uid="{87F25E4C-223C-4172-8FD8-ED10D6DD77C1}"/>
    <cellStyle name="Normal 4 3 2 2 2 2 3 3" xfId="6299" xr:uid="{6BCA94BB-DB08-4B0D-9087-15B072BA7A4F}"/>
    <cellStyle name="Normal 4 3 2 2 2 2 4" xfId="6300" xr:uid="{0E1C1061-BEAA-4310-B661-10F64A679056}"/>
    <cellStyle name="Normal 4 3 2 2 2 2 4 2" xfId="6301" xr:uid="{99D006AF-B80C-4D1B-A138-3E7FE7FCBEF5}"/>
    <cellStyle name="Normal 4 3 2 2 2 2 4 3" xfId="6302" xr:uid="{85B40856-8CC6-4204-96D5-910BDDC1CDE1}"/>
    <cellStyle name="Normal 4 3 2 2 2 2 5" xfId="6303" xr:uid="{77E42AB4-489B-4937-93DA-AF9A984BCE24}"/>
    <cellStyle name="Normal 4 3 2 2 2 2 6" xfId="6304" xr:uid="{F3C058CB-B9C2-450A-97E0-549BD16FEE83}"/>
    <cellStyle name="Normal 4 3 2 2 2 2 7" xfId="6305" xr:uid="{6AD0B194-0E65-4DE6-A5DC-10FABDB89E67}"/>
    <cellStyle name="Normal 4 3 2 2 2 2 8" xfId="6306" xr:uid="{A0953504-D1CC-4FF9-B3D4-20C3EC84E3B7}"/>
    <cellStyle name="Normal 4 3 2 2 2 3" xfId="6307" xr:uid="{B2ABFCCF-721B-49A7-942C-C22055B501B3}"/>
    <cellStyle name="Normal 4 3 2 2 2 3 2" xfId="6308" xr:uid="{32154603-7ED9-4F3B-A088-404B55FF3982}"/>
    <cellStyle name="Normal 4 3 2 2 2 3 3" xfId="6309" xr:uid="{34EF4518-3174-49E1-9722-2B735BD5126C}"/>
    <cellStyle name="Normal 4 3 2 2 2 4" xfId="6310" xr:uid="{33417A12-DD57-4956-A693-F38DAA954050}"/>
    <cellStyle name="Normal 4 3 2 2 2 4 2" xfId="6311" xr:uid="{EEDA682A-90B6-44E8-A035-322FF76DE45F}"/>
    <cellStyle name="Normal 4 3 2 2 2 4 3" xfId="6312" xr:uid="{8CA43C9F-C7EC-408A-87FA-F5EA37EE4F46}"/>
    <cellStyle name="Normal 4 3 2 2 2 5" xfId="6313" xr:uid="{1AB09A03-5EA8-4EF9-9D74-8CE272A1EA2E}"/>
    <cellStyle name="Normal 4 3 2 2 2 5 2" xfId="6314" xr:uid="{54FAD2A7-DA16-4488-A460-60E9A0BFFCBF}"/>
    <cellStyle name="Normal 4 3 2 2 2 5 3" xfId="6315" xr:uid="{6158FF72-3D51-4AFF-974D-45E375D088E5}"/>
    <cellStyle name="Normal 4 3 2 2 2 6" xfId="6316" xr:uid="{3105394C-1821-4902-919D-7F91CC97BDA3}"/>
    <cellStyle name="Normal 4 3 2 2 2 7" xfId="6317" xr:uid="{B241C6E4-D617-472C-AAAB-EDDF8AB2E3AE}"/>
    <cellStyle name="Normal 4 3 2 2 2 8" xfId="6318" xr:uid="{DA5CCE8F-E9D5-4683-B020-6172B240CB73}"/>
    <cellStyle name="Normal 4 3 2 2 2 9" xfId="6319" xr:uid="{289BF312-45DE-4212-BCEE-171D8E99373D}"/>
    <cellStyle name="Normal 4 3 2 2 3" xfId="6320" xr:uid="{BB68CD17-E5FD-43E8-9771-D9418685C911}"/>
    <cellStyle name="Normal 4 3 2 2 3 2" xfId="6321" xr:uid="{8749B829-6A5E-4C18-86B0-37EE85115A9D}"/>
    <cellStyle name="Normal 4 3 2 2 3 2 2" xfId="6322" xr:uid="{7FD2DCEF-4191-4A88-9CFC-32C9914D6C42}"/>
    <cellStyle name="Normal 4 3 2 2 3 2 3" xfId="6323" xr:uid="{9F4FE304-3C2B-4BC7-BA50-75B16A8D8B0F}"/>
    <cellStyle name="Normal 4 3 2 2 3 3" xfId="6324" xr:uid="{2A12E791-EF70-4B42-93B4-91493AC98433}"/>
    <cellStyle name="Normal 4 3 2 2 3 3 2" xfId="6325" xr:uid="{E665B760-3692-4DC8-9C3B-0241A9B57AF3}"/>
    <cellStyle name="Normal 4 3 2 2 3 3 3" xfId="6326" xr:uid="{B12BE641-AB05-4749-A875-2C423EFBE341}"/>
    <cellStyle name="Normal 4 3 2 2 3 4" xfId="6327" xr:uid="{C80887DE-6613-4C40-820B-EB1FEBB36298}"/>
    <cellStyle name="Normal 4 3 2 2 3 4 2" xfId="6328" xr:uid="{0C1D0333-4C26-4B62-9F11-36666FFD4A65}"/>
    <cellStyle name="Normal 4 3 2 2 3 4 3" xfId="6329" xr:uid="{6301DD6E-44CC-4DC1-BA88-7D576FC39D0D}"/>
    <cellStyle name="Normal 4 3 2 2 3 5" xfId="6330" xr:uid="{9022375E-D4AC-4C9C-9BE4-6C3FAF0A816C}"/>
    <cellStyle name="Normal 4 3 2 2 3 6" xfId="6331" xr:uid="{998918B3-D777-41DC-B7A4-1AF0A496A8A0}"/>
    <cellStyle name="Normal 4 3 2 2 3 7" xfId="6332" xr:uid="{86395B2D-4A2A-41EF-86A5-E74870C9CC06}"/>
    <cellStyle name="Normal 4 3 2 2 3 8" xfId="6333" xr:uid="{CFBD5D3F-603F-43E8-90D8-11A6EBCD87FB}"/>
    <cellStyle name="Normal 4 3 2 2 4" xfId="6334" xr:uid="{05D9FF7C-F159-471A-B336-B508DC0F7FD2}"/>
    <cellStyle name="Normal 4 3 2 2 4 2" xfId="6335" xr:uid="{0F8D8494-B911-4DC6-AF08-17BB5A198AB3}"/>
    <cellStyle name="Normal 4 3 2 2 4 3" xfId="6336" xr:uid="{0A53A3CD-1CA6-4969-AA77-E02475F5E41E}"/>
    <cellStyle name="Normal 4 3 2 2 5" xfId="6337" xr:uid="{F49EE25F-784E-4BF3-9081-91D72C0934B7}"/>
    <cellStyle name="Normal 4 3 2 2 5 2" xfId="6338" xr:uid="{91959EBA-4C97-4EFA-B09F-74884FA64396}"/>
    <cellStyle name="Normal 4 3 2 2 5 3" xfId="6339" xr:uid="{2B79E34C-112A-45E2-AD46-758529C2F46A}"/>
    <cellStyle name="Normal 4 3 2 2 6" xfId="6340" xr:uid="{EF6627F8-EBF7-4451-B6DD-C4B64CF4DE1B}"/>
    <cellStyle name="Normal 4 3 2 2 6 2" xfId="6341" xr:uid="{A03AC836-E859-4BFE-A833-6979B1FB6FC8}"/>
    <cellStyle name="Normal 4 3 2 2 6 3" xfId="6342" xr:uid="{8F548B20-07DF-4738-87E1-8F2815D0518F}"/>
    <cellStyle name="Normal 4 3 2 2 7" xfId="6343" xr:uid="{20ED917C-AE44-47C0-91DF-9CD8729A9F96}"/>
    <cellStyle name="Normal 4 3 2 2 8" xfId="6344" xr:uid="{2511F119-8CA5-44EA-9F03-F2740AAAF350}"/>
    <cellStyle name="Normal 4 3 2 2 9" xfId="6345" xr:uid="{B1EBD248-DCDD-4237-B1C7-FDDB2109EE9E}"/>
    <cellStyle name="Normal 4 3 2 3" xfId="2155" xr:uid="{F6E348E0-22DF-4C3F-B195-F95C9D72DD83}"/>
    <cellStyle name="Normal 4 3 2 3 2" xfId="6346" xr:uid="{9688E8A0-B778-4B55-B6CC-9C1EBCD393D5}"/>
    <cellStyle name="Normal 4 3 2 3 2 2" xfId="6347" xr:uid="{4A702E7A-060D-4C5F-B184-EB222B4D6E78}"/>
    <cellStyle name="Normal 4 3 2 3 2 2 2" xfId="6348" xr:uid="{038513E4-F834-4496-86CD-31D28213DC90}"/>
    <cellStyle name="Normal 4 3 2 3 2 2 3" xfId="6349" xr:uid="{BB9F06EF-FB94-4167-8762-4A09671C0898}"/>
    <cellStyle name="Normal 4 3 2 3 2 3" xfId="6350" xr:uid="{D5F60509-B2CC-4491-B990-89B5F176280E}"/>
    <cellStyle name="Normal 4 3 2 3 2 3 2" xfId="6351" xr:uid="{F8079231-ABE0-46B8-9B51-7E2483C4E6A5}"/>
    <cellStyle name="Normal 4 3 2 3 2 3 3" xfId="6352" xr:uid="{7CE175AE-E4CD-4958-86C3-B1AF637BC47F}"/>
    <cellStyle name="Normal 4 3 2 3 2 4" xfId="6353" xr:uid="{439FC220-E235-4ADC-8D24-C4E6AB69FD76}"/>
    <cellStyle name="Normal 4 3 2 3 2 4 2" xfId="6354" xr:uid="{D90B8E30-EE84-4048-8E24-279077EBAFCF}"/>
    <cellStyle name="Normal 4 3 2 3 2 4 3" xfId="6355" xr:uid="{CAFB87AB-3279-4568-9BA0-4C05E59C51DA}"/>
    <cellStyle name="Normal 4 3 2 3 2 5" xfId="6356" xr:uid="{275A9442-3F17-4EB9-A66F-ABCE0AE83250}"/>
    <cellStyle name="Normal 4 3 2 3 2 6" xfId="6357" xr:uid="{11CCE01C-4611-4892-94DF-0E8ED96F3617}"/>
    <cellStyle name="Normal 4 3 2 3 2 7" xfId="6358" xr:uid="{885CCB4D-00CF-4360-98EE-058A41EAD87A}"/>
    <cellStyle name="Normal 4 3 2 3 2 8" xfId="6359" xr:uid="{315A9C15-EF31-46DB-AAF0-BD268F825B7A}"/>
    <cellStyle name="Normal 4 3 2 3 3" xfId="6360" xr:uid="{628F4D8E-651E-4030-97C4-3FEC3B8E052D}"/>
    <cellStyle name="Normal 4 3 2 3 3 2" xfId="6361" xr:uid="{C5C94B32-0763-4EB4-8477-5DFC431E05E8}"/>
    <cellStyle name="Normal 4 3 2 3 3 3" xfId="6362" xr:uid="{E8F61FB4-274F-4605-BBCA-37DB095B18D5}"/>
    <cellStyle name="Normal 4 3 2 3 4" xfId="6363" xr:uid="{0F6CBB50-438A-47D6-9B72-6A18639907A0}"/>
    <cellStyle name="Normal 4 3 2 3 4 2" xfId="6364" xr:uid="{D2B954F3-3990-4E21-A591-F07A6ADAB7EB}"/>
    <cellStyle name="Normal 4 3 2 3 4 3" xfId="6365" xr:uid="{BD5B61DF-1D3F-4628-AB00-DE8150149696}"/>
    <cellStyle name="Normal 4 3 2 3 5" xfId="6366" xr:uid="{58599BFB-67B4-468A-B597-B27E12CF0B23}"/>
    <cellStyle name="Normal 4 3 2 3 5 2" xfId="6367" xr:uid="{DCD5E8AD-EEF1-4814-A161-4DE7BFAB12C7}"/>
    <cellStyle name="Normal 4 3 2 3 5 3" xfId="6368" xr:uid="{869DD2AB-A797-48A0-B376-1ECE677E64A8}"/>
    <cellStyle name="Normal 4 3 2 3 6" xfId="6369" xr:uid="{3130AA97-0FBF-4802-B164-F2C7FA7EB661}"/>
    <cellStyle name="Normal 4 3 2 3 7" xfId="6370" xr:uid="{E0106AD2-0C20-41C6-9FFF-4CCC618DB9FB}"/>
    <cellStyle name="Normal 4 3 2 3 8" xfId="6371" xr:uid="{7057990B-27D0-410E-B9D0-107644486E32}"/>
    <cellStyle name="Normal 4 3 2 3 9" xfId="6372" xr:uid="{59BC3CF3-4421-4DB3-B178-8B95BD45BEBB}"/>
    <cellStyle name="Normal 4 3 2 4" xfId="6373" xr:uid="{94202935-B13A-4944-A52A-23E11159AAC4}"/>
    <cellStyle name="Normal 4 3 2 4 2" xfId="6374" xr:uid="{F7DDF7EB-2A9C-4921-A11C-07FE2822EF42}"/>
    <cellStyle name="Normal 4 3 2 4 2 2" xfId="6375" xr:uid="{62CDD077-221A-42BA-BDFD-56232A6AA82E}"/>
    <cellStyle name="Normal 4 3 2 4 2 3" xfId="6376" xr:uid="{DC3844F8-F099-4001-A013-D356C74062B0}"/>
    <cellStyle name="Normal 4 3 2 4 3" xfId="6377" xr:uid="{1FE67F6D-6DC5-4B76-BF59-A3BBEDAFDD45}"/>
    <cellStyle name="Normal 4 3 2 4 3 2" xfId="6378" xr:uid="{56EF9A6D-523A-4FDC-B515-DB6ED183C82D}"/>
    <cellStyle name="Normal 4 3 2 4 3 3" xfId="6379" xr:uid="{A5E9156A-3A48-4671-84C1-38435D1E2F12}"/>
    <cellStyle name="Normal 4 3 2 4 4" xfId="6380" xr:uid="{7BB75AD4-A2C8-4D0D-B480-27BEA5BF30AF}"/>
    <cellStyle name="Normal 4 3 2 4 4 2" xfId="6381" xr:uid="{AD2F80FF-B26F-44E9-9DDA-7CF09A22C552}"/>
    <cellStyle name="Normal 4 3 2 4 4 3" xfId="6382" xr:uid="{48D61A1A-5018-4AB5-AA2E-D1E9CE5F648E}"/>
    <cellStyle name="Normal 4 3 2 4 5" xfId="6383" xr:uid="{24581D5E-AD08-42CE-8EC6-41D1B5AB8C63}"/>
    <cellStyle name="Normal 4 3 2 4 6" xfId="6384" xr:uid="{3857F5E0-9449-448B-9EB2-7B8F498E3CDC}"/>
    <cellStyle name="Normal 4 3 2 4 7" xfId="6385" xr:uid="{AA3C5671-4551-402B-B734-0D1F77A4689A}"/>
    <cellStyle name="Normal 4 3 2 4 8" xfId="6386" xr:uid="{A0D9E506-0252-4B21-A419-66B2A061EA5A}"/>
    <cellStyle name="Normal 4 3 2 5" xfId="6387" xr:uid="{5B6A2E33-5448-4125-9E75-D5C3DAE78261}"/>
    <cellStyle name="Normal 4 3 2 5 2" xfId="6388" xr:uid="{974B1D5F-F978-48AA-AD11-9C5D756174D1}"/>
    <cellStyle name="Normal 4 3 2 5 3" xfId="6389" xr:uid="{F3640DAD-6221-4AB9-8A39-A6D0EA8604AF}"/>
    <cellStyle name="Normal 4 3 2 6" xfId="6390" xr:uid="{48CAC5CC-A862-4C34-B1FD-A5B716EA52F6}"/>
    <cellStyle name="Normal 4 3 2 6 2" xfId="6391" xr:uid="{EFEA6CA8-2A96-48CF-891E-82AF4679DF17}"/>
    <cellStyle name="Normal 4 3 2 6 3" xfId="6392" xr:uid="{BEA439EE-45E2-4EB7-87AC-11B96481C8E3}"/>
    <cellStyle name="Normal 4 3 2 7" xfId="6393" xr:uid="{EA5C59AB-94ED-499C-AB78-CF4E647D03CA}"/>
    <cellStyle name="Normal 4 3 2 7 2" xfId="6394" xr:uid="{827A99B0-4411-4AE4-9291-DD3DB5B05098}"/>
    <cellStyle name="Normal 4 3 2 7 3" xfId="6395" xr:uid="{6E608B2B-5094-42D0-AB6B-C93D82F3EFEB}"/>
    <cellStyle name="Normal 4 3 2 8" xfId="6396" xr:uid="{0F531403-1442-40F4-8F0F-A32791EEBD79}"/>
    <cellStyle name="Normal 4 3 2 9" xfId="6397" xr:uid="{76E340C8-0D8D-4719-B09F-E7A71130157F}"/>
    <cellStyle name="Normal 4 3 3" xfId="2156" xr:uid="{975B8131-1344-4048-98B3-7796CF569BDB}"/>
    <cellStyle name="Normal 4 3 3 10" xfId="6398" xr:uid="{D60C87A7-0116-4B60-9AEE-0161827DC434}"/>
    <cellStyle name="Normal 4 3 3 11" xfId="6399" xr:uid="{E9E42264-2496-427D-B607-7A0C836F1149}"/>
    <cellStyle name="Normal 4 3 3 2" xfId="2157" xr:uid="{C54769D1-EE9B-4D25-A6C4-A330E95E001A}"/>
    <cellStyle name="Normal 4 3 3 2 10" xfId="6400" xr:uid="{E65077D3-9770-4178-B381-EDA6F9BDECCE}"/>
    <cellStyle name="Normal 4 3 3 2 2" xfId="2158" xr:uid="{A934CA78-A7BA-402F-A242-FB3D659AA847}"/>
    <cellStyle name="Normal 4 3 3 2 2 2" xfId="6401" xr:uid="{4F666F7D-DD29-4BE5-B813-2C44964806D9}"/>
    <cellStyle name="Normal 4 3 3 2 2 2 2" xfId="6402" xr:uid="{6FB1D539-0B50-4F2C-88E0-6A1102DE051F}"/>
    <cellStyle name="Normal 4 3 3 2 2 2 2 2" xfId="6403" xr:uid="{6C0B1A40-AB2C-41F9-81AE-CFD06B3392DB}"/>
    <cellStyle name="Normal 4 3 3 2 2 2 2 3" xfId="6404" xr:uid="{49C1798E-1AB9-459C-8D22-6F01F7D1D35A}"/>
    <cellStyle name="Normal 4 3 3 2 2 2 3" xfId="6405" xr:uid="{0ACF6CEA-AFE9-4E0E-829E-16761284DC68}"/>
    <cellStyle name="Normal 4 3 3 2 2 2 3 2" xfId="6406" xr:uid="{277842E3-1DB7-407F-940C-AA3FB0BCDC4E}"/>
    <cellStyle name="Normal 4 3 3 2 2 2 3 3" xfId="6407" xr:uid="{0D3624B2-6428-4B00-BE13-1265394A96AD}"/>
    <cellStyle name="Normal 4 3 3 2 2 2 4" xfId="6408" xr:uid="{E99AF1F7-8CC1-4C64-B295-93B285B54A6D}"/>
    <cellStyle name="Normal 4 3 3 2 2 2 4 2" xfId="6409" xr:uid="{EDDC3892-E106-4DCC-B2C8-EEA7503E1C08}"/>
    <cellStyle name="Normal 4 3 3 2 2 2 4 3" xfId="6410" xr:uid="{C6808D9B-D1AC-4461-B851-AB846D049F2E}"/>
    <cellStyle name="Normal 4 3 3 2 2 2 5" xfId="6411" xr:uid="{19EDD63A-020D-4DBB-9192-2184B359A87F}"/>
    <cellStyle name="Normal 4 3 3 2 2 2 6" xfId="6412" xr:uid="{403C986F-0B36-4CA8-9709-E90430655A2F}"/>
    <cellStyle name="Normal 4 3 3 2 2 2 7" xfId="6413" xr:uid="{0E98EF9A-3E5F-4F5D-9203-1C6DD4230DE7}"/>
    <cellStyle name="Normal 4 3 3 2 2 2 8" xfId="6414" xr:uid="{3426EFDE-342A-4A38-88FB-2C5E2FA82C13}"/>
    <cellStyle name="Normal 4 3 3 2 2 3" xfId="6415" xr:uid="{767D0349-4B9A-438E-BFB2-26EA24BEEF98}"/>
    <cellStyle name="Normal 4 3 3 2 2 3 2" xfId="6416" xr:uid="{126E0A38-CF31-4192-B5F9-F6ECA91B206B}"/>
    <cellStyle name="Normal 4 3 3 2 2 3 3" xfId="6417" xr:uid="{23F5E842-501E-47F5-8D05-68D0DDCB994C}"/>
    <cellStyle name="Normal 4 3 3 2 2 4" xfId="6418" xr:uid="{5F47A851-0B75-4F51-8A60-13340DDD57D1}"/>
    <cellStyle name="Normal 4 3 3 2 2 4 2" xfId="6419" xr:uid="{B36A6531-9CBA-40FE-B9F3-9AFBEF2B9302}"/>
    <cellStyle name="Normal 4 3 3 2 2 4 3" xfId="6420" xr:uid="{DFA50AD9-3A3B-4290-AB0C-824D6A0F5C01}"/>
    <cellStyle name="Normal 4 3 3 2 2 5" xfId="6421" xr:uid="{205984D7-41FA-4D66-8D9A-0D84BCB4BCCA}"/>
    <cellStyle name="Normal 4 3 3 2 2 5 2" xfId="6422" xr:uid="{3E4947C3-4103-49B0-B961-0C38D9CD3848}"/>
    <cellStyle name="Normal 4 3 3 2 2 5 3" xfId="6423" xr:uid="{7AB119C2-8DEC-4129-AB88-D731541C3E9E}"/>
    <cellStyle name="Normal 4 3 3 2 2 6" xfId="6424" xr:uid="{396E9972-7313-47E1-8244-B8217828ADDC}"/>
    <cellStyle name="Normal 4 3 3 2 2 7" xfId="6425" xr:uid="{4039DF04-6E86-45BF-B49E-89820CCFF503}"/>
    <cellStyle name="Normal 4 3 3 2 2 8" xfId="6426" xr:uid="{3DF651D5-BD9C-41A8-950C-E745C7B36A3F}"/>
    <cellStyle name="Normal 4 3 3 2 2 9" xfId="6427" xr:uid="{DCAC65F7-4497-4D35-AA53-7E7245E087DB}"/>
    <cellStyle name="Normal 4 3 3 2 3" xfId="6428" xr:uid="{AC28EB6C-A87C-43C4-ABF4-0CB297491748}"/>
    <cellStyle name="Normal 4 3 3 2 3 2" xfId="6429" xr:uid="{5D0A9577-66F8-4A16-BFD1-3A97F8822E5F}"/>
    <cellStyle name="Normal 4 3 3 2 3 2 2" xfId="6430" xr:uid="{50678A7A-D479-46FF-92DE-306931D38EA6}"/>
    <cellStyle name="Normal 4 3 3 2 3 2 3" xfId="6431" xr:uid="{EDB4FF4D-468D-40FD-BB36-D85E655F843E}"/>
    <cellStyle name="Normal 4 3 3 2 3 3" xfId="6432" xr:uid="{E7EAEDF9-8538-4078-A9B6-6F6486B7611B}"/>
    <cellStyle name="Normal 4 3 3 2 3 3 2" xfId="6433" xr:uid="{A77C7F74-57A7-4D46-9100-A530C2EE61FA}"/>
    <cellStyle name="Normal 4 3 3 2 3 3 3" xfId="6434" xr:uid="{E785306F-612D-462D-B214-17FB4CFD59B7}"/>
    <cellStyle name="Normal 4 3 3 2 3 4" xfId="6435" xr:uid="{9DA88EA7-D9C1-4B6D-9401-C4B286D0489B}"/>
    <cellStyle name="Normal 4 3 3 2 3 4 2" xfId="6436" xr:uid="{21BA8DFA-6C1A-476C-984F-D1191DFB0F56}"/>
    <cellStyle name="Normal 4 3 3 2 3 4 3" xfId="6437" xr:uid="{EF522B12-F05D-4F30-8060-4E1390FF96AE}"/>
    <cellStyle name="Normal 4 3 3 2 3 5" xfId="6438" xr:uid="{6A64406A-E4BE-43F0-BE46-DF0D0E89B0E7}"/>
    <cellStyle name="Normal 4 3 3 2 3 6" xfId="6439" xr:uid="{298B37CC-0929-409B-83B6-FBA940FC9E4E}"/>
    <cellStyle name="Normal 4 3 3 2 3 7" xfId="6440" xr:uid="{8CD2BC96-E2C2-4C82-8806-089C6CE91EEF}"/>
    <cellStyle name="Normal 4 3 3 2 3 8" xfId="6441" xr:uid="{D2288861-F5FF-474E-A70F-CD2E416D5AF3}"/>
    <cellStyle name="Normal 4 3 3 2 4" xfId="6442" xr:uid="{50B4B92A-DA0E-4684-9EFC-F932D7516429}"/>
    <cellStyle name="Normal 4 3 3 2 4 2" xfId="6443" xr:uid="{806559C9-2EA6-4883-BAC7-0DBBBD763EF7}"/>
    <cellStyle name="Normal 4 3 3 2 4 3" xfId="6444" xr:uid="{05351407-3E4E-471B-8854-CD9B706E419F}"/>
    <cellStyle name="Normal 4 3 3 2 5" xfId="6445" xr:uid="{99F4601A-09AF-4F2A-BCF9-FDD3F55094D5}"/>
    <cellStyle name="Normal 4 3 3 2 5 2" xfId="6446" xr:uid="{A33545DE-84C1-4866-8DA3-A31FC86D2040}"/>
    <cellStyle name="Normal 4 3 3 2 5 3" xfId="6447" xr:uid="{81938875-ABCA-46CC-B507-64B15DC490C9}"/>
    <cellStyle name="Normal 4 3 3 2 6" xfId="6448" xr:uid="{06AE8288-9A80-4915-A76D-D3F02D1A8C19}"/>
    <cellStyle name="Normal 4 3 3 2 6 2" xfId="6449" xr:uid="{6E2FCDFD-4F86-42F1-B1C9-6D54CB3CF357}"/>
    <cellStyle name="Normal 4 3 3 2 6 3" xfId="6450" xr:uid="{34F805D5-43F4-40CF-8812-2660909ED7A8}"/>
    <cellStyle name="Normal 4 3 3 2 7" xfId="6451" xr:uid="{F45824E3-6A35-4916-A096-B525BDBB2B4D}"/>
    <cellStyle name="Normal 4 3 3 2 8" xfId="6452" xr:uid="{4BD0ABA2-F078-40A9-A3EA-FC3611A9EA97}"/>
    <cellStyle name="Normal 4 3 3 2 9" xfId="6453" xr:uid="{BD18467B-8E73-4EC4-B769-701587F30E05}"/>
    <cellStyle name="Normal 4 3 3 3" xfId="2159" xr:uid="{4C7AD6F1-182B-42E8-A13D-8A0F66C5B6ED}"/>
    <cellStyle name="Normal 4 3 3 3 2" xfId="6454" xr:uid="{5E702BDD-3239-462D-9FCE-9FDC7C7F5587}"/>
    <cellStyle name="Normal 4 3 3 3 2 2" xfId="6455" xr:uid="{60209A9A-EECB-450D-93D6-32CE536F9876}"/>
    <cellStyle name="Normal 4 3 3 3 2 2 2" xfId="6456" xr:uid="{87B6ED86-0F5F-4C20-9432-B1F39FB80992}"/>
    <cellStyle name="Normal 4 3 3 3 2 2 3" xfId="6457" xr:uid="{86CA686A-8D8D-4D9E-B5F1-4958713C7251}"/>
    <cellStyle name="Normal 4 3 3 3 2 3" xfId="6458" xr:uid="{43ADC603-5B62-4AA5-9A84-AF9DCE83DBE5}"/>
    <cellStyle name="Normal 4 3 3 3 2 3 2" xfId="6459" xr:uid="{B02A2284-89E3-4636-B3B8-A75864529DEC}"/>
    <cellStyle name="Normal 4 3 3 3 2 3 3" xfId="6460" xr:uid="{0F27CF8A-FFBB-4CD7-A8EE-75B42186C7D3}"/>
    <cellStyle name="Normal 4 3 3 3 2 4" xfId="6461" xr:uid="{CA16AAB8-523C-4840-970B-7A846147DFEF}"/>
    <cellStyle name="Normal 4 3 3 3 2 4 2" xfId="6462" xr:uid="{18109D03-6634-4F59-B8AB-C38A973D599B}"/>
    <cellStyle name="Normal 4 3 3 3 2 4 3" xfId="6463" xr:uid="{A782548A-6654-4F15-BB36-CB63C7A8A4B6}"/>
    <cellStyle name="Normal 4 3 3 3 2 5" xfId="6464" xr:uid="{8DD90BAE-0017-4037-9B36-643C3FCB5FA1}"/>
    <cellStyle name="Normal 4 3 3 3 2 6" xfId="6465" xr:uid="{9A6F1E31-249D-4171-AE71-D75B983977E8}"/>
    <cellStyle name="Normal 4 3 3 3 2 7" xfId="6466" xr:uid="{AB23AFD9-8C70-40F3-B0BE-1D136064FB2E}"/>
    <cellStyle name="Normal 4 3 3 3 2 8" xfId="6467" xr:uid="{4833ABBB-20D9-4625-BB46-AFA6ACC06449}"/>
    <cellStyle name="Normal 4 3 3 3 3" xfId="6468" xr:uid="{17883BA3-1189-40B7-817B-74A0D1DA8A2C}"/>
    <cellStyle name="Normal 4 3 3 3 3 2" xfId="6469" xr:uid="{59F65062-4C20-4EFF-8386-7E9078A1C597}"/>
    <cellStyle name="Normal 4 3 3 3 3 3" xfId="6470" xr:uid="{154D0247-F7BE-49CA-B48F-DE47BC49B06D}"/>
    <cellStyle name="Normal 4 3 3 3 4" xfId="6471" xr:uid="{0E7E25CD-20E2-4EA8-8282-05DBCA7AE469}"/>
    <cellStyle name="Normal 4 3 3 3 4 2" xfId="6472" xr:uid="{083BC4A9-A413-450B-9C13-00B211DCB2DD}"/>
    <cellStyle name="Normal 4 3 3 3 4 3" xfId="6473" xr:uid="{40EBDF42-DA7F-4DCB-88C3-996E054356BC}"/>
    <cellStyle name="Normal 4 3 3 3 5" xfId="6474" xr:uid="{6561F268-0CB1-4592-8219-8D7C0FB366EB}"/>
    <cellStyle name="Normal 4 3 3 3 5 2" xfId="6475" xr:uid="{9A411C5F-1D25-45F0-94B6-D67C6482A333}"/>
    <cellStyle name="Normal 4 3 3 3 5 3" xfId="6476" xr:uid="{15714005-343E-43DD-92FC-ED16CE69EE2E}"/>
    <cellStyle name="Normal 4 3 3 3 6" xfId="6477" xr:uid="{C7E7B173-6E7F-47C5-A2A9-FD5929F458E1}"/>
    <cellStyle name="Normal 4 3 3 3 7" xfId="6478" xr:uid="{F45F9363-3774-4E61-A8CE-9DF014C6C8AC}"/>
    <cellStyle name="Normal 4 3 3 3 8" xfId="6479" xr:uid="{68A836C5-EC95-4589-8587-BC9EACF68C77}"/>
    <cellStyle name="Normal 4 3 3 3 9" xfId="6480" xr:uid="{2468A06F-A1BB-4746-8CB4-F913FF97BFF4}"/>
    <cellStyle name="Normal 4 3 3 4" xfId="6481" xr:uid="{B6EC5A34-5651-4B80-9EF1-D5EE5112592B}"/>
    <cellStyle name="Normal 4 3 3 4 2" xfId="6482" xr:uid="{256F6054-2267-4119-9638-222EC407EB8F}"/>
    <cellStyle name="Normal 4 3 3 4 2 2" xfId="6483" xr:uid="{6EF1E11E-3923-4B29-90CE-50933FABF5EF}"/>
    <cellStyle name="Normal 4 3 3 4 2 3" xfId="6484" xr:uid="{66B24BF9-E9E7-48DD-8DDD-3A6DB33505CC}"/>
    <cellStyle name="Normal 4 3 3 4 3" xfId="6485" xr:uid="{531B1B5B-7CEA-4873-B27E-C7D8463980DF}"/>
    <cellStyle name="Normal 4 3 3 4 3 2" xfId="6486" xr:uid="{E392CD42-20AF-4281-B5A7-E399F34DB2A0}"/>
    <cellStyle name="Normal 4 3 3 4 3 3" xfId="6487" xr:uid="{6BCC3308-6F17-4E9A-ADC1-7F4D0DA9E2B0}"/>
    <cellStyle name="Normal 4 3 3 4 4" xfId="6488" xr:uid="{8D7A3277-C252-4325-9479-A2D973A01C69}"/>
    <cellStyle name="Normal 4 3 3 4 4 2" xfId="6489" xr:uid="{FFDD0722-BC3A-426E-85E2-7576B9DDA959}"/>
    <cellStyle name="Normal 4 3 3 4 4 3" xfId="6490" xr:uid="{FC3B7765-52AD-44F8-9C23-8348DDD8F950}"/>
    <cellStyle name="Normal 4 3 3 4 5" xfId="6491" xr:uid="{7E525263-66F6-417A-9A18-F3CFE4FB620A}"/>
    <cellStyle name="Normal 4 3 3 4 6" xfId="6492" xr:uid="{B12CD305-87D7-4D36-BD44-348592A989BF}"/>
    <cellStyle name="Normal 4 3 3 4 7" xfId="6493" xr:uid="{8B5DD259-4011-4D3D-8349-686458C597A7}"/>
    <cellStyle name="Normal 4 3 3 4 8" xfId="6494" xr:uid="{3BE2B170-7882-48BA-95E3-6F93FE5F4C8C}"/>
    <cellStyle name="Normal 4 3 3 5" xfId="6495" xr:uid="{A3847B6A-8C3C-4D6B-B046-B80B3E2D5628}"/>
    <cellStyle name="Normal 4 3 3 5 2" xfId="6496" xr:uid="{30B726CF-B2EC-43D3-A68E-FC7739FD2B95}"/>
    <cellStyle name="Normal 4 3 3 5 3" xfId="6497" xr:uid="{85CF59D2-9AE6-472B-8A2D-37A99C4DCF03}"/>
    <cellStyle name="Normal 4 3 3 6" xfId="6498" xr:uid="{DD99A6FB-96C9-4877-99CB-72AC64102D97}"/>
    <cellStyle name="Normal 4 3 3 6 2" xfId="6499" xr:uid="{2ADA9D28-A4BA-4B0F-823B-3843EE7C24E6}"/>
    <cellStyle name="Normal 4 3 3 6 3" xfId="6500" xr:uid="{69D4EA45-BFAC-4B52-8DA2-9D650029AA43}"/>
    <cellStyle name="Normal 4 3 3 7" xfId="6501" xr:uid="{66160C8B-495A-4B1F-800F-F91E5E714E19}"/>
    <cellStyle name="Normal 4 3 3 7 2" xfId="6502" xr:uid="{71E71C8B-3558-4104-9404-79192765A52B}"/>
    <cellStyle name="Normal 4 3 3 7 3" xfId="6503" xr:uid="{613FC348-263E-4DF1-8790-2EE982C671E3}"/>
    <cellStyle name="Normal 4 3 3 8" xfId="6504" xr:uid="{29FD5CBC-4335-4E7D-83E3-F4F279B4ADC7}"/>
    <cellStyle name="Normal 4 3 3 9" xfId="6505" xr:uid="{DAEB277E-D2E5-4250-AAB8-F14C98DBC8C1}"/>
    <cellStyle name="Normal 4 3 4" xfId="6506" xr:uid="{E75419C2-C7B4-4F34-B2B4-3D5F9BF4E923}"/>
    <cellStyle name="Normal 4 3 5" xfId="6507" xr:uid="{A70F78B7-F182-4276-8A5E-F2E28BEBD015}"/>
    <cellStyle name="Normal 4 3 5 2" xfId="6508" xr:uid="{19AEE4B6-0239-42FD-8B04-1CA7DB27E216}"/>
    <cellStyle name="Normal 4 3 5 2 2" xfId="6509" xr:uid="{024DC5E0-78BE-40D3-BD2B-750DDD1751EF}"/>
    <cellStyle name="Normal 4 3 5 2 2 2" xfId="6510" xr:uid="{890B1785-E55F-4C57-BABD-4681F5127A34}"/>
    <cellStyle name="Normal 4 3 5 2 2 3" xfId="6511" xr:uid="{C90EF5FC-FA77-4DA3-9A26-AE2E233DA55B}"/>
    <cellStyle name="Normal 4 3 5 2 3" xfId="6512" xr:uid="{E7E9D70C-54D4-481F-A453-B6FE051AA15F}"/>
    <cellStyle name="Normal 4 3 5 2 3 2" xfId="6513" xr:uid="{E9E65FFB-C052-45B1-B01A-8545DB79193A}"/>
    <cellStyle name="Normal 4 3 5 2 3 3" xfId="6514" xr:uid="{99A1E081-C24B-46ED-B791-9F05FE8FCFB9}"/>
    <cellStyle name="Normal 4 3 5 2 4" xfId="6515" xr:uid="{CA8EA922-DF95-4962-93EF-CA0B8A5B370C}"/>
    <cellStyle name="Normal 4 3 5 2 4 2" xfId="6516" xr:uid="{A820E96C-B27A-4983-8590-AB5E8F6B442C}"/>
    <cellStyle name="Normal 4 3 5 2 4 3" xfId="6517" xr:uid="{B2AC5CEB-A0C5-4EB1-A276-A6D6379F82AD}"/>
    <cellStyle name="Normal 4 3 5 2 5" xfId="6518" xr:uid="{7FFB960A-8F43-4742-9D7C-242C30F0262C}"/>
    <cellStyle name="Normal 4 3 5 2 6" xfId="6519" xr:uid="{93C05ED7-BBA1-4145-A2D7-1D046158C539}"/>
    <cellStyle name="Normal 4 3 5 2 7" xfId="6520" xr:uid="{AF9AEDC7-31F9-4475-8C2C-7130F780A071}"/>
    <cellStyle name="Normal 4 3 5 2 8" xfId="6521" xr:uid="{8474B91B-F0DB-41F6-9D76-9B3E9102EC96}"/>
    <cellStyle name="Normal 4 3 5 3" xfId="6522" xr:uid="{B0EE1DCA-0B0D-4976-96E6-D33DE12D3E2A}"/>
    <cellStyle name="Normal 4 3 5 3 2" xfId="6523" xr:uid="{7CE090D3-219A-4E19-9346-F44D01C68138}"/>
    <cellStyle name="Normal 4 3 5 3 3" xfId="6524" xr:uid="{4CDAC299-2EA5-4D32-9F77-748B0B0D7E48}"/>
    <cellStyle name="Normal 4 3 5 4" xfId="6525" xr:uid="{1BBCCA24-A5DD-4B5F-93F2-AA0EFF79A6E7}"/>
    <cellStyle name="Normal 4 3 5 4 2" xfId="6526" xr:uid="{83ACC296-0237-43EB-9B7B-B5F374440344}"/>
    <cellStyle name="Normal 4 3 5 4 3" xfId="6527" xr:uid="{2F62E3EB-12A2-4481-840D-8ADDB6B14D88}"/>
    <cellStyle name="Normal 4 3 5 5" xfId="6528" xr:uid="{78054353-0D15-4BB5-8890-71AA114DE715}"/>
    <cellStyle name="Normal 4 3 5 5 2" xfId="6529" xr:uid="{FD81C168-6590-4EBC-AE52-E2EB5FC46C13}"/>
    <cellStyle name="Normal 4 3 5 5 3" xfId="6530" xr:uid="{6D227855-B577-44A0-9BD8-6DDB7B741CB0}"/>
    <cellStyle name="Normal 4 3 5 6" xfId="6531" xr:uid="{C6782250-129F-474C-A6EB-82ACDE2BACF5}"/>
    <cellStyle name="Normal 4 3 5 7" xfId="6532" xr:uid="{C28E8612-7D00-4C8C-B3A8-01A62EF52E32}"/>
    <cellStyle name="Normal 4 3 5 8" xfId="6533" xr:uid="{A1242740-11A9-44E1-831C-9ED2B810F426}"/>
    <cellStyle name="Normal 4 3 5 9" xfId="6534" xr:uid="{7D04B97E-1DF1-4297-861D-007D63C2147F}"/>
    <cellStyle name="Normal 4 3 6" xfId="6535" xr:uid="{002E88F7-4C48-4C6B-B7FD-A0C747D20018}"/>
    <cellStyle name="Normal 4 3 6 2" xfId="6536" xr:uid="{AD7ED6A5-3BC2-420E-A3A3-3AE18C111357}"/>
    <cellStyle name="Normal 4 3 6 2 2" xfId="6537" xr:uid="{C9FCA8CE-D0DF-441D-B579-E0036AAD5442}"/>
    <cellStyle name="Normal 4 3 6 2 3" xfId="6538" xr:uid="{C65B2B75-8388-4F51-AFB8-0694EC8B529F}"/>
    <cellStyle name="Normal 4 3 6 3" xfId="6539" xr:uid="{5A602C55-C4EC-4232-A091-4FFA2F8B21A1}"/>
    <cellStyle name="Normal 4 3 6 3 2" xfId="6540" xr:uid="{F43F42B9-CEA8-426C-825A-5292260AA234}"/>
    <cellStyle name="Normal 4 3 6 3 3" xfId="6541" xr:uid="{71C9FF91-678F-4DF5-9776-0B4C9A0E1CC3}"/>
    <cellStyle name="Normal 4 3 6 4" xfId="6542" xr:uid="{4387C99F-4B1D-4D6F-B162-669CA7DA7A9F}"/>
    <cellStyle name="Normal 4 3 6 4 2" xfId="6543" xr:uid="{3B59DCF1-E8F0-4EBC-B8BB-870DCDE7B7F2}"/>
    <cellStyle name="Normal 4 3 6 4 3" xfId="6544" xr:uid="{EF97BA15-F0DD-4CFE-8664-728C3739BB34}"/>
    <cellStyle name="Normal 4 3 6 5" xfId="6545" xr:uid="{6723DD85-DDB8-4E7A-B419-59CCF074C511}"/>
    <cellStyle name="Normal 4 3 6 6" xfId="6546" xr:uid="{CFB0818B-CEA3-45A9-AE73-FBB10DCC638B}"/>
    <cellStyle name="Normal 4 3 6 7" xfId="6547" xr:uid="{454DDFE6-B6C7-4202-AFEC-3E289DAAECFB}"/>
    <cellStyle name="Normal 4 3 6 8" xfId="6548" xr:uid="{1781431A-22B2-4D8C-8F08-D0DADEB21BA2}"/>
    <cellStyle name="Normal 4 3 7" xfId="6549" xr:uid="{C2D94023-3F9E-4E07-8576-667C2CB9E182}"/>
    <cellStyle name="Normal 4 3 7 2" xfId="6550" xr:uid="{A417ECC5-A38F-4100-AE1C-25AEB12EB967}"/>
    <cellStyle name="Normal 4 3 7 3" xfId="6551" xr:uid="{DC63343F-867A-4C55-B999-D691444F4E1E}"/>
    <cellStyle name="Normal 4 3 8" xfId="6552" xr:uid="{55E5F1E0-C5C4-45D7-9F00-6EAB79610C1A}"/>
    <cellStyle name="Normal 4 3 8 2" xfId="6553" xr:uid="{D3C8EAD5-6CB1-42F9-A420-3CC77029867F}"/>
    <cellStyle name="Normal 4 3 8 3" xfId="6554" xr:uid="{5BCB774A-56C2-4999-A4C8-E2921D6681AD}"/>
    <cellStyle name="Normal 4 3 9" xfId="6555" xr:uid="{DE77BE67-F56E-4002-B33A-39C35672D07A}"/>
    <cellStyle name="Normal 4 3 9 2" xfId="6556" xr:uid="{C69F73E1-90DD-469E-8A89-9185DFCE41AD}"/>
    <cellStyle name="Normal 4 3 9 3" xfId="6557" xr:uid="{351BE089-FD9A-4A8B-8CA6-F01D2B5719F4}"/>
    <cellStyle name="Normal 4 4" xfId="2160" xr:uid="{9BDA75AC-0540-4D14-A43A-1B36F779DD25}"/>
    <cellStyle name="Normal 4 4 10" xfId="6558" xr:uid="{1122A852-197C-43B4-AD94-373C281FBABD}"/>
    <cellStyle name="Normal 4 4 11" xfId="6559" xr:uid="{4798C267-412D-4E91-B141-0F3E5A2DA064}"/>
    <cellStyle name="Normal 4 4 2" xfId="2161" xr:uid="{790B0169-0D96-49B6-ACF7-599D19AF1D73}"/>
    <cellStyle name="Normal 4 4 2 10" xfId="6560" xr:uid="{A5CF169B-1BA2-4B41-B1D6-353AFE54933D}"/>
    <cellStyle name="Normal 4 4 2 11" xfId="6561" xr:uid="{A56EE78C-7245-4508-89EB-DB9CAB4B864D}"/>
    <cellStyle name="Normal 4 4 2 2" xfId="2162" xr:uid="{BE4019F5-5945-4FF5-9B84-130B28DFDF1B}"/>
    <cellStyle name="Normal 4 4 2 2 10" xfId="6562" xr:uid="{975727CB-0905-4F00-8A7C-49F7F6860221}"/>
    <cellStyle name="Normal 4 4 2 2 2" xfId="2163" xr:uid="{E311A384-D30C-4272-BBA9-415C623D5DF3}"/>
    <cellStyle name="Normal 4 4 2 2 2 2" xfId="6563" xr:uid="{73A6D1C4-CFF4-4514-AA6B-E15A6E7A7535}"/>
    <cellStyle name="Normal 4 4 2 2 2 2 2" xfId="6564" xr:uid="{193B2760-0A95-439B-8248-85BCA7549FB5}"/>
    <cellStyle name="Normal 4 4 2 2 2 2 2 2" xfId="6565" xr:uid="{760B1CDF-1D8E-40D9-9E3A-3EAE9D903C75}"/>
    <cellStyle name="Normal 4 4 2 2 2 2 2 3" xfId="6566" xr:uid="{B1EE39C3-3DAD-40A4-A2E9-EA34C0B3888E}"/>
    <cellStyle name="Normal 4 4 2 2 2 2 3" xfId="6567" xr:uid="{DBC7DEFE-A870-40B6-8C20-FA87EFB05A88}"/>
    <cellStyle name="Normal 4 4 2 2 2 2 3 2" xfId="6568" xr:uid="{9B6808B5-E493-42F5-A38F-DC466E37413B}"/>
    <cellStyle name="Normal 4 4 2 2 2 2 3 3" xfId="6569" xr:uid="{09208938-93D5-464E-8A0C-75D033A9117E}"/>
    <cellStyle name="Normal 4 4 2 2 2 2 4" xfId="6570" xr:uid="{2B880B01-A22C-4588-B434-A2EB143C1706}"/>
    <cellStyle name="Normal 4 4 2 2 2 2 4 2" xfId="6571" xr:uid="{77FB9DA0-64B7-4D0F-972D-4A01FF27E26F}"/>
    <cellStyle name="Normal 4 4 2 2 2 2 4 3" xfId="6572" xr:uid="{D1BD850C-B543-404C-A203-C22C7D3CB5F3}"/>
    <cellStyle name="Normal 4 4 2 2 2 2 5" xfId="6573" xr:uid="{F2A03C64-6435-4801-AEB7-812F60305AFD}"/>
    <cellStyle name="Normal 4 4 2 2 2 2 6" xfId="6574" xr:uid="{2CF3382A-4B33-49A3-BC4F-82D24DC226E6}"/>
    <cellStyle name="Normal 4 4 2 2 2 2 7" xfId="6575" xr:uid="{51BAD29D-BFFB-48FF-8D7F-5EA0F770A9F0}"/>
    <cellStyle name="Normal 4 4 2 2 2 2 8" xfId="6576" xr:uid="{36C1A7CD-A92F-4E26-B91B-D7E13DBB37EF}"/>
    <cellStyle name="Normal 4 4 2 2 2 3" xfId="6577" xr:uid="{6776D69E-073D-4297-9DDC-C5EAC6B50D76}"/>
    <cellStyle name="Normal 4 4 2 2 2 3 2" xfId="6578" xr:uid="{C614B579-684F-4CAB-BC35-8A4F9D8895E0}"/>
    <cellStyle name="Normal 4 4 2 2 2 3 3" xfId="6579" xr:uid="{82489C8F-03D3-4392-ABDB-30FF2BD52ABF}"/>
    <cellStyle name="Normal 4 4 2 2 2 4" xfId="6580" xr:uid="{56B33CCD-1CC0-4D42-AC4F-9C4C85D5E25F}"/>
    <cellStyle name="Normal 4 4 2 2 2 4 2" xfId="6581" xr:uid="{D75A96EF-FDC2-44FA-8D04-DA52AB773DB8}"/>
    <cellStyle name="Normal 4 4 2 2 2 4 3" xfId="6582" xr:uid="{B9F82C2A-2267-4475-B343-0EC6E6AB194D}"/>
    <cellStyle name="Normal 4 4 2 2 2 5" xfId="6583" xr:uid="{DCF0C5A8-EDF9-4291-8E34-B1B466171784}"/>
    <cellStyle name="Normal 4 4 2 2 2 5 2" xfId="6584" xr:uid="{8D7F705A-E253-4DD8-A81F-2B81B615AF44}"/>
    <cellStyle name="Normal 4 4 2 2 2 5 3" xfId="6585" xr:uid="{42E43F9A-8937-46F8-B860-17616FD628AF}"/>
    <cellStyle name="Normal 4 4 2 2 2 6" xfId="6586" xr:uid="{FE30926B-248E-498B-B33E-22CE6FC4DE8E}"/>
    <cellStyle name="Normal 4 4 2 2 2 7" xfId="6587" xr:uid="{21823AB3-1337-4F1D-94CC-E8EC49FB21F3}"/>
    <cellStyle name="Normal 4 4 2 2 2 8" xfId="6588" xr:uid="{9A5EF1B1-6B73-404E-9203-72E439577153}"/>
    <cellStyle name="Normal 4 4 2 2 2 9" xfId="6589" xr:uid="{FB7D09FC-D9D0-4BFB-B8CC-A86D5F14B06C}"/>
    <cellStyle name="Normal 4 4 2 2 3" xfId="6590" xr:uid="{801641AE-659E-4DD7-A2A7-7DC6F44CAEA7}"/>
    <cellStyle name="Normal 4 4 2 2 3 2" xfId="6591" xr:uid="{AEAA732A-CD0F-48A2-8C15-D8750BD1E0CA}"/>
    <cellStyle name="Normal 4 4 2 2 3 2 2" xfId="6592" xr:uid="{DE9AFBC4-9B12-41F7-962C-A41736842385}"/>
    <cellStyle name="Normal 4 4 2 2 3 2 3" xfId="6593" xr:uid="{CCF0AECE-2B41-4274-87CB-E0935606ABAC}"/>
    <cellStyle name="Normal 4 4 2 2 3 3" xfId="6594" xr:uid="{64F9C8C8-4302-43E5-8F0B-CA32C71060AA}"/>
    <cellStyle name="Normal 4 4 2 2 3 3 2" xfId="6595" xr:uid="{94A4B2EF-EBAF-4827-B090-694D106FB3F6}"/>
    <cellStyle name="Normal 4 4 2 2 3 3 3" xfId="6596" xr:uid="{EC395CD7-154A-4A44-AEB8-88AEDD3D0710}"/>
    <cellStyle name="Normal 4 4 2 2 3 4" xfId="6597" xr:uid="{EB55CDB5-96DA-43B3-9F49-B600F0B3CD8F}"/>
    <cellStyle name="Normal 4 4 2 2 3 4 2" xfId="6598" xr:uid="{568480B4-CF10-481E-9DF9-CD13D0A0673B}"/>
    <cellStyle name="Normal 4 4 2 2 3 4 3" xfId="6599" xr:uid="{2194027F-4F17-4A3D-AF2C-348D6D6A1AFF}"/>
    <cellStyle name="Normal 4 4 2 2 3 5" xfId="6600" xr:uid="{338B4E3C-1EAF-4687-B056-F4D2C0A03851}"/>
    <cellStyle name="Normal 4 4 2 2 3 6" xfId="6601" xr:uid="{9D93E697-06D8-482B-8891-F89C42E847AE}"/>
    <cellStyle name="Normal 4 4 2 2 3 7" xfId="6602" xr:uid="{85F3DED1-143A-427B-B9D1-EC2E15F530AB}"/>
    <cellStyle name="Normal 4 4 2 2 3 8" xfId="6603" xr:uid="{DD3D5F1D-0CFA-4B3B-9DF9-F674E206E889}"/>
    <cellStyle name="Normal 4 4 2 2 4" xfId="6604" xr:uid="{49FAA319-BE7E-4B4E-9206-8BC0A86AA0E4}"/>
    <cellStyle name="Normal 4 4 2 2 4 2" xfId="6605" xr:uid="{45E28FD0-B595-4B09-B031-FA59440906D5}"/>
    <cellStyle name="Normal 4 4 2 2 4 3" xfId="6606" xr:uid="{629868D7-5FA4-4A6D-8436-52C88A81BA29}"/>
    <cellStyle name="Normal 4 4 2 2 5" xfId="6607" xr:uid="{2194D240-F048-4B36-A2C6-4EE3E11BC01B}"/>
    <cellStyle name="Normal 4 4 2 2 5 2" xfId="6608" xr:uid="{258AA59D-B981-4805-A625-B5294A503BDC}"/>
    <cellStyle name="Normal 4 4 2 2 5 3" xfId="6609" xr:uid="{23D37A3E-F165-409A-9A53-9D83D9E747BA}"/>
    <cellStyle name="Normal 4 4 2 2 6" xfId="6610" xr:uid="{86A11AF8-53A1-4A03-95CE-11253035D544}"/>
    <cellStyle name="Normal 4 4 2 2 6 2" xfId="6611" xr:uid="{BFECD4A7-9895-4341-969D-BB9725D4D822}"/>
    <cellStyle name="Normal 4 4 2 2 6 3" xfId="6612" xr:uid="{7A38DC49-FD9B-4613-B85C-3D66FF045F74}"/>
    <cellStyle name="Normal 4 4 2 2 7" xfId="6613" xr:uid="{A2262D3C-5895-4F67-B739-6D5E37CFBB17}"/>
    <cellStyle name="Normal 4 4 2 2 8" xfId="6614" xr:uid="{E36E805F-39BE-4A8B-8FD8-0A8C60DCA178}"/>
    <cellStyle name="Normal 4 4 2 2 9" xfId="6615" xr:uid="{8B6FDDF3-9A87-4E56-8C90-C2C88B4C5971}"/>
    <cellStyle name="Normal 4 4 2 3" xfId="2164" xr:uid="{13B1EC0E-5B6D-466B-8C8E-889626F86825}"/>
    <cellStyle name="Normal 4 4 2 3 2" xfId="6616" xr:uid="{E1CFA5CD-C078-4496-BF79-88A27A889104}"/>
    <cellStyle name="Normal 4 4 2 3 2 2" xfId="6617" xr:uid="{8C31C2A9-4B67-4064-8B59-28AA6106C746}"/>
    <cellStyle name="Normal 4 4 2 3 2 2 2" xfId="6618" xr:uid="{3D2C1FDA-86B8-4C0F-A7F7-25D6F9B19A09}"/>
    <cellStyle name="Normal 4 4 2 3 2 2 3" xfId="6619" xr:uid="{3E7C9A11-74B3-4319-8A9D-7557A31A2C6C}"/>
    <cellStyle name="Normal 4 4 2 3 2 3" xfId="6620" xr:uid="{5112F022-B6E8-4C1C-B8C8-BB6D159D7E7F}"/>
    <cellStyle name="Normal 4 4 2 3 2 3 2" xfId="6621" xr:uid="{50C62A36-0D19-41B5-B5D9-0313429F4173}"/>
    <cellStyle name="Normal 4 4 2 3 2 3 3" xfId="6622" xr:uid="{D4D1BDA2-878F-42A0-A828-BCEC602D2280}"/>
    <cellStyle name="Normal 4 4 2 3 2 4" xfId="6623" xr:uid="{9A3DBC68-DA15-451D-AB06-A172F4D0CC1C}"/>
    <cellStyle name="Normal 4 4 2 3 2 4 2" xfId="6624" xr:uid="{1A6F5CDF-B5DB-4BB6-960B-BBBF882103BE}"/>
    <cellStyle name="Normal 4 4 2 3 2 4 3" xfId="6625" xr:uid="{17E8BA63-E68B-45BD-97F9-21F36E623C92}"/>
    <cellStyle name="Normal 4 4 2 3 2 5" xfId="6626" xr:uid="{DB57A30E-7F75-44D1-A86E-B4ED6DE73B4A}"/>
    <cellStyle name="Normal 4 4 2 3 2 6" xfId="6627" xr:uid="{AF2FDF69-86DF-4AE5-936C-DC9663ED715C}"/>
    <cellStyle name="Normal 4 4 2 3 2 7" xfId="6628" xr:uid="{6BCFD370-1235-4644-B831-069BAE1E1AC8}"/>
    <cellStyle name="Normal 4 4 2 3 2 8" xfId="6629" xr:uid="{082F56C4-A7BD-499E-8844-F13F1AF08693}"/>
    <cellStyle name="Normal 4 4 2 3 3" xfId="6630" xr:uid="{C5281328-E183-4307-A9E1-899752F8365B}"/>
    <cellStyle name="Normal 4 4 2 3 3 2" xfId="6631" xr:uid="{499AB994-BE2E-439B-9A54-935E77DEE5A9}"/>
    <cellStyle name="Normal 4 4 2 3 3 3" xfId="6632" xr:uid="{6635FF3C-CDA2-4EAC-A0A4-E0F81F4AB2FE}"/>
    <cellStyle name="Normal 4 4 2 3 4" xfId="6633" xr:uid="{2C564FD4-9607-4767-9198-2922869F008E}"/>
    <cellStyle name="Normal 4 4 2 3 4 2" xfId="6634" xr:uid="{139E9135-84EE-4F11-B397-AD365D3375CC}"/>
    <cellStyle name="Normal 4 4 2 3 4 3" xfId="6635" xr:uid="{B53126F3-DF19-4A43-A846-BFAA9BB9E9CF}"/>
    <cellStyle name="Normal 4 4 2 3 5" xfId="6636" xr:uid="{13D7CB6F-B766-41AB-816E-2BDFECEA18F3}"/>
    <cellStyle name="Normal 4 4 2 3 5 2" xfId="6637" xr:uid="{80B27CED-64F4-4C20-957B-85C34445B46C}"/>
    <cellStyle name="Normal 4 4 2 3 5 3" xfId="6638" xr:uid="{FBFC8552-0C3D-4BF8-A408-7FF52B7C0537}"/>
    <cellStyle name="Normal 4 4 2 3 6" xfId="6639" xr:uid="{F292CA8C-ACB3-42F9-97F4-575E9C56E331}"/>
    <cellStyle name="Normal 4 4 2 3 7" xfId="6640" xr:uid="{027B864A-713A-43AE-854E-606E4D7EE8A2}"/>
    <cellStyle name="Normal 4 4 2 3 8" xfId="6641" xr:uid="{0D1EF4CA-6820-4476-815A-B30E085D9FDF}"/>
    <cellStyle name="Normal 4 4 2 3 9" xfId="6642" xr:uid="{F411BBA0-C530-4E72-9DAD-37E6F7F58B3E}"/>
    <cellStyle name="Normal 4 4 2 4" xfId="6643" xr:uid="{13F2D21E-F3E9-4D31-AD33-E992D4084A75}"/>
    <cellStyle name="Normal 4 4 2 4 2" xfId="6644" xr:uid="{6634ADDA-7EFB-4391-96FE-DDAA8CE3A09D}"/>
    <cellStyle name="Normal 4 4 2 4 2 2" xfId="6645" xr:uid="{73B67AAA-E0C6-4C2F-AF83-9A270CCCA130}"/>
    <cellStyle name="Normal 4 4 2 4 2 3" xfId="6646" xr:uid="{965D5D82-B6C5-4D32-82A1-F2D3D5955A70}"/>
    <cellStyle name="Normal 4 4 2 4 3" xfId="6647" xr:uid="{CD03B6AE-52DE-4B81-80F5-3EC8D7273575}"/>
    <cellStyle name="Normal 4 4 2 4 3 2" xfId="6648" xr:uid="{6775937B-8AB4-4CD5-84F0-FE3347BEBDD9}"/>
    <cellStyle name="Normal 4 4 2 4 3 3" xfId="6649" xr:uid="{14D3B9B8-00F0-471C-BEE7-84F5B99309AD}"/>
    <cellStyle name="Normal 4 4 2 4 4" xfId="6650" xr:uid="{52818413-024A-42B0-8800-802684BE52A9}"/>
    <cellStyle name="Normal 4 4 2 4 4 2" xfId="6651" xr:uid="{B4C06222-54C8-42B1-8E5F-DD348486DCE6}"/>
    <cellStyle name="Normal 4 4 2 4 4 3" xfId="6652" xr:uid="{9A12814A-A668-4276-AB21-5FC527018980}"/>
    <cellStyle name="Normal 4 4 2 4 5" xfId="6653" xr:uid="{35DCD468-3AF0-4F53-A722-2CF4DFE5B649}"/>
    <cellStyle name="Normal 4 4 2 4 6" xfId="6654" xr:uid="{CBF92DC0-599A-423C-BBDB-0C2F661DD324}"/>
    <cellStyle name="Normal 4 4 2 4 7" xfId="6655" xr:uid="{54E3DE7B-D2B4-4E66-85FC-B6B77305AC9C}"/>
    <cellStyle name="Normal 4 4 2 4 8" xfId="6656" xr:uid="{6CAEB148-DE23-458D-9B0A-64F95967D14B}"/>
    <cellStyle name="Normal 4 4 2 5" xfId="6657" xr:uid="{E7997802-2216-4F3F-8D7D-68C414FB33CB}"/>
    <cellStyle name="Normal 4 4 2 5 2" xfId="6658" xr:uid="{7D9684A1-AEB9-4C5E-99FB-CF5C7C4BB56A}"/>
    <cellStyle name="Normal 4 4 2 5 3" xfId="6659" xr:uid="{27E0502D-F835-47D0-ADC8-7E41B57BEACF}"/>
    <cellStyle name="Normal 4 4 2 6" xfId="6660" xr:uid="{14E5AA68-8CBE-4CA5-A3D4-EBA2062CDE8F}"/>
    <cellStyle name="Normal 4 4 2 6 2" xfId="6661" xr:uid="{72A82D69-47AC-4D90-B0FA-65F05F5369F6}"/>
    <cellStyle name="Normal 4 4 2 6 3" xfId="6662" xr:uid="{1DF4E5A9-1F4D-493A-83A3-3E1AA0DEED62}"/>
    <cellStyle name="Normal 4 4 2 7" xfId="6663" xr:uid="{93BC8F3F-D724-4563-9176-C2D544C6CC46}"/>
    <cellStyle name="Normal 4 4 2 7 2" xfId="6664" xr:uid="{AB8C741B-631F-4E1A-B553-88CF5E36CB09}"/>
    <cellStyle name="Normal 4 4 2 7 3" xfId="6665" xr:uid="{4A68DB2A-B78A-4FEF-B2C4-300D2FD07CBB}"/>
    <cellStyle name="Normal 4 4 2 8" xfId="6666" xr:uid="{21216DCB-92E3-4170-95F3-3C1FAA3805CB}"/>
    <cellStyle name="Normal 4 4 2 9" xfId="6667" xr:uid="{17E2D316-4641-42FB-96A4-44301B39E145}"/>
    <cellStyle name="Normal 4 4 3" xfId="2165" xr:uid="{24A1FF8E-FCFF-4AF9-A57E-8A37C51048C1}"/>
    <cellStyle name="Normal 4 4 3 10" xfId="6668" xr:uid="{C5DF1EA9-454A-4305-B6CD-3FB98ED7F397}"/>
    <cellStyle name="Normal 4 4 3 11" xfId="6669" xr:uid="{CCC5B0F7-B350-452D-B4C8-79CC5F505D48}"/>
    <cellStyle name="Normal 4 4 3 2" xfId="2166" xr:uid="{F7D3936D-AC32-433C-BE2C-598BFBC710D9}"/>
    <cellStyle name="Normal 4 4 3 2 10" xfId="6670" xr:uid="{C4CADD70-7F3E-4FC0-9A10-EC36586B5BA0}"/>
    <cellStyle name="Normal 4 4 3 2 2" xfId="2167" xr:uid="{6F9BEF34-FA22-4025-ACF9-5B688D5280B1}"/>
    <cellStyle name="Normal 4 4 3 2 2 2" xfId="6671" xr:uid="{A6A01AD9-B2BC-4E18-8406-AD24BF7690F9}"/>
    <cellStyle name="Normal 4 4 3 2 2 2 2" xfId="6672" xr:uid="{7787B7F4-E589-4DC0-82EF-C4D29B85D150}"/>
    <cellStyle name="Normal 4 4 3 2 2 2 2 2" xfId="6673" xr:uid="{0998CD9A-40E2-49D2-BA7B-9C3D54E3B721}"/>
    <cellStyle name="Normal 4 4 3 2 2 2 2 3" xfId="6674" xr:uid="{31EC582B-271E-4DF0-96BE-2A65DE932249}"/>
    <cellStyle name="Normal 4 4 3 2 2 2 3" xfId="6675" xr:uid="{15AB6839-866E-49F8-82FB-8A9AAC05BEED}"/>
    <cellStyle name="Normal 4 4 3 2 2 2 3 2" xfId="6676" xr:uid="{84CDB57D-E74E-4FF1-AA78-85693F1785AC}"/>
    <cellStyle name="Normal 4 4 3 2 2 2 3 3" xfId="6677" xr:uid="{FDA21F79-8123-4AC1-95E5-DC4CC7B37B61}"/>
    <cellStyle name="Normal 4 4 3 2 2 2 4" xfId="6678" xr:uid="{13BB3C44-8715-46A3-838E-D486150C9385}"/>
    <cellStyle name="Normal 4 4 3 2 2 2 4 2" xfId="6679" xr:uid="{FA57C94A-6F37-499C-9D28-FE98E467AA8F}"/>
    <cellStyle name="Normal 4 4 3 2 2 2 4 3" xfId="6680" xr:uid="{A765DC59-ADF4-48ED-865B-8D4A701B5973}"/>
    <cellStyle name="Normal 4 4 3 2 2 2 5" xfId="6681" xr:uid="{EE16C315-AA10-4EA4-AC21-238C27550532}"/>
    <cellStyle name="Normal 4 4 3 2 2 2 6" xfId="6682" xr:uid="{CA0C7979-0C1F-428E-AC71-15885CB294D3}"/>
    <cellStyle name="Normal 4 4 3 2 2 2 7" xfId="6683" xr:uid="{CCBF1857-00E5-4647-A7F3-625807A4A796}"/>
    <cellStyle name="Normal 4 4 3 2 2 2 8" xfId="6684" xr:uid="{99F0FDA6-3C3A-42E3-B93F-DF04D4AC74E6}"/>
    <cellStyle name="Normal 4 4 3 2 2 3" xfId="6685" xr:uid="{80CB66FB-9980-43DD-81D5-9CA2FADBE845}"/>
    <cellStyle name="Normal 4 4 3 2 2 3 2" xfId="6686" xr:uid="{BF380221-1991-433E-890F-76BF7BF4CFF1}"/>
    <cellStyle name="Normal 4 4 3 2 2 3 3" xfId="6687" xr:uid="{3B3EE224-6C97-4597-A140-56B776508836}"/>
    <cellStyle name="Normal 4 4 3 2 2 4" xfId="6688" xr:uid="{F0A595EC-9CAB-4135-A841-AA1589010946}"/>
    <cellStyle name="Normal 4 4 3 2 2 4 2" xfId="6689" xr:uid="{28F18159-10AD-4530-80F2-06F948F5A6E8}"/>
    <cellStyle name="Normal 4 4 3 2 2 4 3" xfId="6690" xr:uid="{C4EA12B6-9507-4A43-84DE-1C4EC0CA61E9}"/>
    <cellStyle name="Normal 4 4 3 2 2 5" xfId="6691" xr:uid="{F586A2A5-5583-4243-AD49-02F47EFD659E}"/>
    <cellStyle name="Normal 4 4 3 2 2 5 2" xfId="6692" xr:uid="{CA587721-A5A0-4A31-9A01-CE6772931654}"/>
    <cellStyle name="Normal 4 4 3 2 2 5 3" xfId="6693" xr:uid="{024AAFA5-5E3E-4542-BE9C-B506E4A88F12}"/>
    <cellStyle name="Normal 4 4 3 2 2 6" xfId="6694" xr:uid="{7DE7E3B6-5BE9-4F2F-8439-C267E4CC4903}"/>
    <cellStyle name="Normal 4 4 3 2 2 7" xfId="6695" xr:uid="{8325484B-4CB2-4470-AAAC-F81FC8C71293}"/>
    <cellStyle name="Normal 4 4 3 2 2 8" xfId="6696" xr:uid="{9AB0F31A-6420-4F01-A413-214DB3B8F829}"/>
    <cellStyle name="Normal 4 4 3 2 2 9" xfId="6697" xr:uid="{43AF491E-CB17-4FCB-8AE3-C1C2AE98789A}"/>
    <cellStyle name="Normal 4 4 3 2 3" xfId="6698" xr:uid="{10898076-262C-4A37-82D1-90138DAFB6BF}"/>
    <cellStyle name="Normal 4 4 3 2 3 2" xfId="6699" xr:uid="{4A63120F-E3EB-4B0F-AB87-58FCEF2ABDF7}"/>
    <cellStyle name="Normal 4 4 3 2 3 2 2" xfId="6700" xr:uid="{D5813658-B3CF-4A6C-92BB-A2D851CDECA4}"/>
    <cellStyle name="Normal 4 4 3 2 3 2 3" xfId="6701" xr:uid="{4F24AAFC-3C93-4EE6-8D75-FAA00E9640EC}"/>
    <cellStyle name="Normal 4 4 3 2 3 3" xfId="6702" xr:uid="{30178CFC-E9C0-494A-AF7B-35D14F09FE34}"/>
    <cellStyle name="Normal 4 4 3 2 3 3 2" xfId="6703" xr:uid="{69F7C825-0525-44F7-A3E9-31F917974112}"/>
    <cellStyle name="Normal 4 4 3 2 3 3 3" xfId="6704" xr:uid="{9434FB09-C4B4-4CB3-A75D-D2514DE8B7DC}"/>
    <cellStyle name="Normal 4 4 3 2 3 4" xfId="6705" xr:uid="{A06EC034-C4B1-4DC2-9035-BCE6B80648F2}"/>
    <cellStyle name="Normal 4 4 3 2 3 4 2" xfId="6706" xr:uid="{282EBACC-3306-4B43-B57F-B4927ECE3EF7}"/>
    <cellStyle name="Normal 4 4 3 2 3 4 3" xfId="6707" xr:uid="{13100774-BCE2-4876-BA9F-9BFE701F025C}"/>
    <cellStyle name="Normal 4 4 3 2 3 5" xfId="6708" xr:uid="{875AA268-6B06-453A-BCAC-D2542776C156}"/>
    <cellStyle name="Normal 4 4 3 2 3 6" xfId="6709" xr:uid="{DA91497D-1390-411B-ACA3-17DF7E16826D}"/>
    <cellStyle name="Normal 4 4 3 2 3 7" xfId="6710" xr:uid="{5F8EBC1C-1970-406D-9EC6-AFF27DCBD430}"/>
    <cellStyle name="Normal 4 4 3 2 3 8" xfId="6711" xr:uid="{388ECA12-500B-4419-9453-DA0D561BF7A6}"/>
    <cellStyle name="Normal 4 4 3 2 4" xfId="6712" xr:uid="{411E868E-3837-49EF-84AA-75862B91E81E}"/>
    <cellStyle name="Normal 4 4 3 2 4 2" xfId="6713" xr:uid="{DBD270E7-8362-4894-BB06-CEEA0F40B063}"/>
    <cellStyle name="Normal 4 4 3 2 4 3" xfId="6714" xr:uid="{F26F082F-4569-4B46-9EA0-77EABDB1D6D9}"/>
    <cellStyle name="Normal 4 4 3 2 5" xfId="6715" xr:uid="{CEE28A10-FB3F-417D-AA64-1E81B92F767F}"/>
    <cellStyle name="Normal 4 4 3 2 5 2" xfId="6716" xr:uid="{CEFA07B4-EB1C-4D3E-A9B6-6D5F9D91AFD1}"/>
    <cellStyle name="Normal 4 4 3 2 5 3" xfId="6717" xr:uid="{36168644-CBBD-43BB-B303-BDCBC6313F5F}"/>
    <cellStyle name="Normal 4 4 3 2 6" xfId="6718" xr:uid="{19AD50D2-F7BA-4CB7-A0E3-D8FE56BF12CC}"/>
    <cellStyle name="Normal 4 4 3 2 6 2" xfId="6719" xr:uid="{DAF02124-7DF9-4559-ADED-84DD2E7407A0}"/>
    <cellStyle name="Normal 4 4 3 2 6 3" xfId="6720" xr:uid="{1E399028-5D48-4B9C-B775-70AEFD7497B9}"/>
    <cellStyle name="Normal 4 4 3 2 7" xfId="6721" xr:uid="{620D781D-6087-4399-BA66-445F657A8C31}"/>
    <cellStyle name="Normal 4 4 3 2 8" xfId="6722" xr:uid="{74940ABA-5448-4DF5-87C7-1A60538E5C71}"/>
    <cellStyle name="Normal 4 4 3 2 9" xfId="6723" xr:uid="{B6D0DC93-403C-4C2E-8E1E-F4CD233B343B}"/>
    <cellStyle name="Normal 4 4 3 3" xfId="2168" xr:uid="{53F42BD2-91F7-49E4-BC7F-F479470F1B3C}"/>
    <cellStyle name="Normal 4 4 3 3 2" xfId="6724" xr:uid="{3090125C-6B2A-4FD2-A77D-5B46701B0050}"/>
    <cellStyle name="Normal 4 4 3 3 2 2" xfId="6725" xr:uid="{001DA22A-A21F-486F-8EE2-B41199AB59AE}"/>
    <cellStyle name="Normal 4 4 3 3 2 2 2" xfId="6726" xr:uid="{C4F0E82B-A0F6-441B-AE9D-7B137F5DE6E6}"/>
    <cellStyle name="Normal 4 4 3 3 2 2 3" xfId="6727" xr:uid="{65638432-7E1C-407B-B108-A6563FE7243B}"/>
    <cellStyle name="Normal 4 4 3 3 2 3" xfId="6728" xr:uid="{86882FD7-BF62-43EE-90F1-DBFB37937FC3}"/>
    <cellStyle name="Normal 4 4 3 3 2 3 2" xfId="6729" xr:uid="{8CD73003-BEE7-4649-AE50-7CCB26DBBB99}"/>
    <cellStyle name="Normal 4 4 3 3 2 3 3" xfId="6730" xr:uid="{85E09A9B-B952-4B8D-A3C3-70058EAA424D}"/>
    <cellStyle name="Normal 4 4 3 3 2 4" xfId="6731" xr:uid="{173C015B-5689-48B2-AF0F-A9EC05990BC9}"/>
    <cellStyle name="Normal 4 4 3 3 2 4 2" xfId="6732" xr:uid="{CEAE64A3-02F7-4430-B87C-A3C17CBF7431}"/>
    <cellStyle name="Normal 4 4 3 3 2 4 3" xfId="6733" xr:uid="{AF05B4B7-3576-4047-86B2-9CF9BDEAF5E6}"/>
    <cellStyle name="Normal 4 4 3 3 2 5" xfId="6734" xr:uid="{51901F98-7E4D-47EF-913B-E1DF7B1BE8D9}"/>
    <cellStyle name="Normal 4 4 3 3 2 6" xfId="6735" xr:uid="{E5BE179B-7BA2-4F1C-A879-F4775969085D}"/>
    <cellStyle name="Normal 4 4 3 3 2 7" xfId="6736" xr:uid="{C401BDC6-944E-419E-8A1F-ED15D37EB05D}"/>
    <cellStyle name="Normal 4 4 3 3 2 8" xfId="6737" xr:uid="{5982090A-84EE-4C72-A186-48D30A447E46}"/>
    <cellStyle name="Normal 4 4 3 3 3" xfId="6738" xr:uid="{D94ADDCB-4D07-485B-B564-45C20F7E81EF}"/>
    <cellStyle name="Normal 4 4 3 3 3 2" xfId="6739" xr:uid="{01029AFC-0913-4601-9250-ED97E54EF021}"/>
    <cellStyle name="Normal 4 4 3 3 3 3" xfId="6740" xr:uid="{5435B06A-EECA-4E39-A18D-85F06A168A5E}"/>
    <cellStyle name="Normal 4 4 3 3 4" xfId="6741" xr:uid="{E7F5365A-1C7B-4385-B90E-F718D482689C}"/>
    <cellStyle name="Normal 4 4 3 3 4 2" xfId="6742" xr:uid="{8328EABC-AAFE-40AC-89BC-D9C68BB07D6E}"/>
    <cellStyle name="Normal 4 4 3 3 4 3" xfId="6743" xr:uid="{F65D5EDA-F757-471D-9E56-380BBABB9C61}"/>
    <cellStyle name="Normal 4 4 3 3 5" xfId="6744" xr:uid="{37C1D04F-16EC-4603-9F4B-B16A1BE57C38}"/>
    <cellStyle name="Normal 4 4 3 3 5 2" xfId="6745" xr:uid="{99EFFF89-861D-48C2-BB61-701FDC517DEA}"/>
    <cellStyle name="Normal 4 4 3 3 5 3" xfId="6746" xr:uid="{6BA756E1-43EC-40F2-8476-E7D35F79D9B8}"/>
    <cellStyle name="Normal 4 4 3 3 6" xfId="6747" xr:uid="{F3EA685D-31C2-48DD-9E3F-0863D3373198}"/>
    <cellStyle name="Normal 4 4 3 3 7" xfId="6748" xr:uid="{3D1DFF64-5A16-4F7A-9C32-DCC08330D04B}"/>
    <cellStyle name="Normal 4 4 3 3 8" xfId="6749" xr:uid="{9B3AB591-347B-442F-AE3D-E59E4129B77F}"/>
    <cellStyle name="Normal 4 4 3 3 9" xfId="6750" xr:uid="{9F521376-390C-4B7A-9022-EBFE9F294AD9}"/>
    <cellStyle name="Normal 4 4 3 4" xfId="6751" xr:uid="{8821BAC0-A397-4DC0-B2A2-7B85BB84402F}"/>
    <cellStyle name="Normal 4 4 3 4 2" xfId="6752" xr:uid="{170F6815-5F04-487B-9061-311D980052DB}"/>
    <cellStyle name="Normal 4 4 3 4 2 2" xfId="6753" xr:uid="{0215F717-5B26-4B28-A9D1-1C2263531442}"/>
    <cellStyle name="Normal 4 4 3 4 2 3" xfId="6754" xr:uid="{9145CBD1-BDBB-441E-BA14-6095B00F224C}"/>
    <cellStyle name="Normal 4 4 3 4 3" xfId="6755" xr:uid="{B767F934-35A8-4485-B5A6-365EB63AB525}"/>
    <cellStyle name="Normal 4 4 3 4 3 2" xfId="6756" xr:uid="{CEE77B85-93DC-48F3-B909-06D7B7B1AF03}"/>
    <cellStyle name="Normal 4 4 3 4 3 3" xfId="6757" xr:uid="{220CE6AF-434E-4EA5-B23E-16E662ACAE0D}"/>
    <cellStyle name="Normal 4 4 3 4 4" xfId="6758" xr:uid="{DBDAF972-F97F-4770-B87E-DC33777C8222}"/>
    <cellStyle name="Normal 4 4 3 4 4 2" xfId="6759" xr:uid="{FAD22358-1088-442A-B5AD-87B5B04A76FE}"/>
    <cellStyle name="Normal 4 4 3 4 4 3" xfId="6760" xr:uid="{2B640C15-8C22-4A62-993B-2573216C9897}"/>
    <cellStyle name="Normal 4 4 3 4 5" xfId="6761" xr:uid="{5E911D58-E3CE-4DCE-BC04-AB3ACECDDA9F}"/>
    <cellStyle name="Normal 4 4 3 4 6" xfId="6762" xr:uid="{ED405A66-34B9-4762-BFBF-C8ED269C6DCA}"/>
    <cellStyle name="Normal 4 4 3 4 7" xfId="6763" xr:uid="{9AFFF088-32D5-4CE0-8CFA-2DE294BD8E2B}"/>
    <cellStyle name="Normal 4 4 3 4 8" xfId="6764" xr:uid="{178D3666-24D4-4189-BC06-15C265BB5F1E}"/>
    <cellStyle name="Normal 4 4 3 5" xfId="6765" xr:uid="{A1F89C74-AF71-4A30-8152-62F5A5B8C7F2}"/>
    <cellStyle name="Normal 4 4 3 5 2" xfId="6766" xr:uid="{534C6844-D93E-4C5C-ACCF-6F34D9C0751B}"/>
    <cellStyle name="Normal 4 4 3 5 3" xfId="6767" xr:uid="{C4D382E9-4697-4A5C-8D9D-6F5E7D9A0AE3}"/>
    <cellStyle name="Normal 4 4 3 6" xfId="6768" xr:uid="{D801DF8F-803F-4550-8F42-7D89B5861AC1}"/>
    <cellStyle name="Normal 4 4 3 6 2" xfId="6769" xr:uid="{8A2EB5C9-8FFC-47D7-8B1C-26AB367D9AC4}"/>
    <cellStyle name="Normal 4 4 3 6 3" xfId="6770" xr:uid="{C7FFF157-742B-48CF-87BA-62A77EAEE365}"/>
    <cellStyle name="Normal 4 4 3 7" xfId="6771" xr:uid="{9BDBB7A1-9688-4247-B85E-3630B59E5FA5}"/>
    <cellStyle name="Normal 4 4 3 7 2" xfId="6772" xr:uid="{587524DE-D409-4E26-8103-C49A5D5D77C5}"/>
    <cellStyle name="Normal 4 4 3 7 3" xfId="6773" xr:uid="{797EBC67-835A-4728-8FF2-B69131390A56}"/>
    <cellStyle name="Normal 4 4 3 8" xfId="6774" xr:uid="{4F32C134-2C61-4354-BC84-85074ACFDE8D}"/>
    <cellStyle name="Normal 4 4 3 9" xfId="6775" xr:uid="{14206D83-7E2F-4A54-9940-9FD5F00BC1B3}"/>
    <cellStyle name="Normal 4 4 4" xfId="6776" xr:uid="{329DDC73-1B36-4F08-A1D8-CF6D68BAA28E}"/>
    <cellStyle name="Normal 4 4 5" xfId="6777" xr:uid="{AA560476-88B2-4FD6-99B1-53359B6D3A97}"/>
    <cellStyle name="Normal 4 4 5 2" xfId="6778" xr:uid="{E8E9515A-FB91-4F75-A546-5D51646AFA05}"/>
    <cellStyle name="Normal 4 4 5 2 2" xfId="6779" xr:uid="{48C5B8C3-532E-4E1A-AA3E-F32C6713F777}"/>
    <cellStyle name="Normal 4 4 5 2 2 2" xfId="6780" xr:uid="{1A1B3695-7902-4FC4-8CCE-61C550D1EF10}"/>
    <cellStyle name="Normal 4 4 5 2 2 3" xfId="6781" xr:uid="{227E1E06-7FB3-4E8C-9597-1A6900852BDA}"/>
    <cellStyle name="Normal 4 4 5 2 3" xfId="6782" xr:uid="{1F7EB2B0-165B-4504-9C9B-63E928FF0AA5}"/>
    <cellStyle name="Normal 4 4 5 2 3 2" xfId="6783" xr:uid="{B4F4D0DA-C59F-4F72-8F5C-6DADF676685F}"/>
    <cellStyle name="Normal 4 4 5 2 3 3" xfId="6784" xr:uid="{DFCAD3B1-96B5-408F-87A9-7E16AD429950}"/>
    <cellStyle name="Normal 4 4 5 2 4" xfId="6785" xr:uid="{A8365045-F099-4976-BC22-7C672CF0A77E}"/>
    <cellStyle name="Normal 4 4 5 2 4 2" xfId="6786" xr:uid="{D7695451-3948-4DBF-8FD6-A65AA1B95214}"/>
    <cellStyle name="Normal 4 4 5 2 4 3" xfId="6787" xr:uid="{69F42DBC-9D8D-430B-BDE1-1CFC9A91ECC8}"/>
    <cellStyle name="Normal 4 4 5 2 5" xfId="6788" xr:uid="{D4D01BC3-A64E-417E-85C4-5BE846909A97}"/>
    <cellStyle name="Normal 4 4 5 2 6" xfId="6789" xr:uid="{30B93CE7-EB62-4BAE-A202-666BCE58D2C2}"/>
    <cellStyle name="Normal 4 4 5 2 7" xfId="6790" xr:uid="{2FC2235C-FCF8-44A4-AD44-EDD539D30CF4}"/>
    <cellStyle name="Normal 4 4 5 2 8" xfId="6791" xr:uid="{6BCD053D-E58D-4E07-9793-4E74DB9DE372}"/>
    <cellStyle name="Normal 4 4 5 3" xfId="6792" xr:uid="{8338C481-5A95-4840-BA07-3A626A922D41}"/>
    <cellStyle name="Normal 4 4 5 3 2" xfId="6793" xr:uid="{7238E561-741E-402E-A3A5-D17690137802}"/>
    <cellStyle name="Normal 4 4 5 3 3" xfId="6794" xr:uid="{266CBB86-7682-4B98-8C9C-0D0B3489F87C}"/>
    <cellStyle name="Normal 4 4 5 4" xfId="6795" xr:uid="{9096E557-4560-46E1-BE02-A1F4199CF264}"/>
    <cellStyle name="Normal 4 4 5 4 2" xfId="6796" xr:uid="{3904DEE8-3A32-4C8B-A480-1E642BF159A8}"/>
    <cellStyle name="Normal 4 4 5 4 3" xfId="6797" xr:uid="{99B8FFBA-6CF4-47C8-A52B-0E12B4FF7B50}"/>
    <cellStyle name="Normal 4 4 5 5" xfId="6798" xr:uid="{F002047A-9F17-495C-89A1-4BFA84952AE7}"/>
    <cellStyle name="Normal 4 4 5 5 2" xfId="6799" xr:uid="{F88E3B8A-6C7F-4181-9B29-FF8F840E487C}"/>
    <cellStyle name="Normal 4 4 5 5 3" xfId="6800" xr:uid="{D92568F6-9023-4AB5-9E66-74EE46E7565C}"/>
    <cellStyle name="Normal 4 4 5 6" xfId="6801" xr:uid="{8D272E87-74B8-45C9-B603-B0DF8032B8C7}"/>
    <cellStyle name="Normal 4 4 5 7" xfId="6802" xr:uid="{91224D5D-08C8-477D-8C93-8FCFC86627DC}"/>
    <cellStyle name="Normal 4 4 5 8" xfId="6803" xr:uid="{744170B4-15DA-4794-BE55-DA104CB2F961}"/>
    <cellStyle name="Normal 4 4 5 9" xfId="6804" xr:uid="{F1E56E84-9A5B-47CD-9B4C-92CDB7D9DD3C}"/>
    <cellStyle name="Normal 4 4 6" xfId="6805" xr:uid="{1738C4F5-C04C-448E-BD89-7D60B0B70C78}"/>
    <cellStyle name="Normal 4 4 6 2" xfId="6806" xr:uid="{B522712A-5DCB-46C1-A05C-48AA97614E95}"/>
    <cellStyle name="Normal 4 4 6 2 2" xfId="6807" xr:uid="{E6D0FFBC-7F06-495B-9AA3-36E097E5796B}"/>
    <cellStyle name="Normal 4 4 6 2 3" xfId="6808" xr:uid="{3D290012-3BFB-460E-9831-6865BFB5D3C7}"/>
    <cellStyle name="Normal 4 4 6 3" xfId="6809" xr:uid="{1DF779D4-01F2-46B4-8AD1-7B74F98E5633}"/>
    <cellStyle name="Normal 4 4 6 3 2" xfId="6810" xr:uid="{AA3DEBF1-9E1F-43B7-ABCA-F4009AB951D6}"/>
    <cellStyle name="Normal 4 4 6 3 3" xfId="6811" xr:uid="{199D08D6-FA9D-4A89-ABFA-3F707364A48E}"/>
    <cellStyle name="Normal 4 4 6 4" xfId="6812" xr:uid="{16227678-FF46-4925-9D43-31135E10B813}"/>
    <cellStyle name="Normal 4 4 6 4 2" xfId="6813" xr:uid="{98485076-5471-4077-B603-031F2D29A985}"/>
    <cellStyle name="Normal 4 4 6 4 3" xfId="6814" xr:uid="{3B67E9D3-C1C4-472B-A1AD-1D6BDBE808BF}"/>
    <cellStyle name="Normal 4 4 6 5" xfId="6815" xr:uid="{F91D7AC5-2E99-4019-A453-78A055FE5F92}"/>
    <cellStyle name="Normal 4 4 6 6" xfId="6816" xr:uid="{D9C92B79-1D2C-4EB8-914F-E292087A701F}"/>
    <cellStyle name="Normal 4 4 6 7" xfId="6817" xr:uid="{AE493858-DF2F-46FA-902E-5215D68F9B54}"/>
    <cellStyle name="Normal 4 4 6 8" xfId="6818" xr:uid="{1953B935-D99E-4515-89CF-07512EFA42DB}"/>
    <cellStyle name="Normal 4 4 7" xfId="6819" xr:uid="{FBD6A465-B0CC-4CF8-9898-4365E0D3C852}"/>
    <cellStyle name="Normal 4 4 7 2" xfId="6820" xr:uid="{296D72DD-7BF1-440A-97BE-474166A8C75F}"/>
    <cellStyle name="Normal 4 4 7 3" xfId="6821" xr:uid="{BD1CFA53-61C4-443E-99D4-C9BB99C1173A}"/>
    <cellStyle name="Normal 4 4 8" xfId="6822" xr:uid="{6C4EA589-A0B0-4269-9853-6B332C142B9B}"/>
    <cellStyle name="Normal 4 4 8 2" xfId="6823" xr:uid="{5E1559B2-FFD3-4A3A-869B-1D8AF90CADE3}"/>
    <cellStyle name="Normal 4 4 8 3" xfId="6824" xr:uid="{734E8529-A864-49A8-A69B-00834AD95BC3}"/>
    <cellStyle name="Normal 4 4 9" xfId="6825" xr:uid="{0DC3858F-8EA5-430A-9927-BCD696830D6E}"/>
    <cellStyle name="Normal 4 4 9 2" xfId="6826" xr:uid="{1549BCA4-38DB-4BB0-B8E1-545371EEF2E3}"/>
    <cellStyle name="Normal 4 4 9 3" xfId="6827" xr:uid="{2ED5CA19-4026-40ED-BDEC-271B25BADBDB}"/>
    <cellStyle name="Normal 4 5" xfId="2169" xr:uid="{E91301E2-2D6A-4738-924B-0F4D7A62E8F8}"/>
    <cellStyle name="Normal 4 5 10" xfId="6828" xr:uid="{549032C9-F3B9-4060-8CE6-315C1CFAFD7A}"/>
    <cellStyle name="Normal 4 5 11" xfId="6829" xr:uid="{55D9746A-F67E-40A6-944D-9CC194C32B65}"/>
    <cellStyle name="Normal 4 5 2" xfId="2170" xr:uid="{F6953924-EE61-4A49-8CB4-25513BA678FD}"/>
    <cellStyle name="Normal 4 5 2 10" xfId="6830" xr:uid="{606FD948-A082-4FF0-8BF8-4B7AB75EB3AE}"/>
    <cellStyle name="Normal 4 5 2 11" xfId="6831" xr:uid="{DBED000B-1635-46F0-9CB4-2E1E3A74A0F7}"/>
    <cellStyle name="Normal 4 5 2 2" xfId="2171" xr:uid="{7B9F552E-6615-4A5C-87A5-63559031A8B2}"/>
    <cellStyle name="Normal 4 5 2 2 10" xfId="6832" xr:uid="{6553FE0A-081F-49D1-A610-73D6F6FCD134}"/>
    <cellStyle name="Normal 4 5 2 2 2" xfId="2172" xr:uid="{8FEFE674-8BDB-4652-AECE-C0441FECB45E}"/>
    <cellStyle name="Normal 4 5 2 2 2 2" xfId="6833" xr:uid="{E7C862F2-FA72-446B-86FE-975A9CC9BFE5}"/>
    <cellStyle name="Normal 4 5 2 2 2 2 2" xfId="6834" xr:uid="{770E370F-69BB-46FB-8989-5E0B07A00EE9}"/>
    <cellStyle name="Normal 4 5 2 2 2 2 2 2" xfId="6835" xr:uid="{D3423C5E-B1D5-444F-8C69-F3E4023899FA}"/>
    <cellStyle name="Normal 4 5 2 2 2 2 2 3" xfId="6836" xr:uid="{5B8C3337-7C66-417D-9B43-7D1B1E076B83}"/>
    <cellStyle name="Normal 4 5 2 2 2 2 3" xfId="6837" xr:uid="{F71B8153-9BF9-4960-A6EE-15F2D29DA716}"/>
    <cellStyle name="Normal 4 5 2 2 2 2 3 2" xfId="6838" xr:uid="{A5397E66-957D-410F-B75B-83AA231848B5}"/>
    <cellStyle name="Normal 4 5 2 2 2 2 3 3" xfId="6839" xr:uid="{86A79A8A-1312-4A8B-A0F0-CE4C7CB98F3E}"/>
    <cellStyle name="Normal 4 5 2 2 2 2 4" xfId="6840" xr:uid="{94083F4B-518A-4197-BFD8-DB0A251DC8B9}"/>
    <cellStyle name="Normal 4 5 2 2 2 2 4 2" xfId="6841" xr:uid="{7D83D976-FA49-488C-9D53-D409EB32A849}"/>
    <cellStyle name="Normal 4 5 2 2 2 2 4 3" xfId="6842" xr:uid="{A2451821-FB5F-4591-9CD3-C9E66657226B}"/>
    <cellStyle name="Normal 4 5 2 2 2 2 5" xfId="6843" xr:uid="{9BE103E5-CAC7-4C34-9B91-482DBFA8C0C9}"/>
    <cellStyle name="Normal 4 5 2 2 2 2 6" xfId="6844" xr:uid="{9B9CD64A-F3BB-4A48-BDCC-D6715D3D9195}"/>
    <cellStyle name="Normal 4 5 2 2 2 2 7" xfId="6845" xr:uid="{FE9B8DC1-2B44-429C-8BA9-F4FF2854C5B1}"/>
    <cellStyle name="Normal 4 5 2 2 2 2 8" xfId="6846" xr:uid="{509D45CF-C59C-4EDA-8F5A-D8B0508E8092}"/>
    <cellStyle name="Normal 4 5 2 2 2 3" xfId="6847" xr:uid="{E8150C4E-EDCA-4B14-9B52-37E388B5E364}"/>
    <cellStyle name="Normal 4 5 2 2 2 3 2" xfId="6848" xr:uid="{ECF15123-50D3-4E43-828C-092E427845D1}"/>
    <cellStyle name="Normal 4 5 2 2 2 3 3" xfId="6849" xr:uid="{05781482-CFE6-4BDC-815C-55F50D29C619}"/>
    <cellStyle name="Normal 4 5 2 2 2 4" xfId="6850" xr:uid="{83AE4DE8-EEE1-4A9E-A0E2-F7284F91D92E}"/>
    <cellStyle name="Normal 4 5 2 2 2 4 2" xfId="6851" xr:uid="{17B7E6B6-DE3F-4DF0-B798-E2A3446FDB9E}"/>
    <cellStyle name="Normal 4 5 2 2 2 4 3" xfId="6852" xr:uid="{168AC1FA-CDA3-4A80-8332-84B252ABECD8}"/>
    <cellStyle name="Normal 4 5 2 2 2 5" xfId="6853" xr:uid="{B903C70A-1456-4FE6-9606-D05C583057F1}"/>
    <cellStyle name="Normal 4 5 2 2 2 5 2" xfId="6854" xr:uid="{6FF573ED-723D-484A-8A82-9425CE875C63}"/>
    <cellStyle name="Normal 4 5 2 2 2 5 3" xfId="6855" xr:uid="{48F941FD-3126-4716-AD32-53EB87D58C8C}"/>
    <cellStyle name="Normal 4 5 2 2 2 6" xfId="6856" xr:uid="{144072EA-A7F6-4D6E-A858-4C7C5EDE8D5F}"/>
    <cellStyle name="Normal 4 5 2 2 2 7" xfId="6857" xr:uid="{7DA56E88-8494-4759-A240-EB8AF06CBDD0}"/>
    <cellStyle name="Normal 4 5 2 2 2 8" xfId="6858" xr:uid="{0D909227-9BF4-489A-B8ED-26185414842A}"/>
    <cellStyle name="Normal 4 5 2 2 2 9" xfId="6859" xr:uid="{0271FC6E-0F9D-46C7-A933-AE0D8003DC10}"/>
    <cellStyle name="Normal 4 5 2 2 3" xfId="6860" xr:uid="{ED3A4CB1-CC98-4A93-BFEF-50CDA2AAAEA6}"/>
    <cellStyle name="Normal 4 5 2 2 3 2" xfId="6861" xr:uid="{28F0DF12-BE81-44D5-B35D-8F77D47230C4}"/>
    <cellStyle name="Normal 4 5 2 2 3 2 2" xfId="6862" xr:uid="{747D0C8E-7915-46D4-90C3-86D4D42D6FF8}"/>
    <cellStyle name="Normal 4 5 2 2 3 2 3" xfId="6863" xr:uid="{C6158F5E-2887-4299-A78C-C15C5131FEB9}"/>
    <cellStyle name="Normal 4 5 2 2 3 3" xfId="6864" xr:uid="{E4788E4D-84E5-4359-B5F3-56BE7AE25E44}"/>
    <cellStyle name="Normal 4 5 2 2 3 3 2" xfId="6865" xr:uid="{E6EE4E93-7750-4CFE-ABEF-C75F1B68F1A0}"/>
    <cellStyle name="Normal 4 5 2 2 3 3 3" xfId="6866" xr:uid="{7FA4E981-2112-4813-9E65-4DF166F66317}"/>
    <cellStyle name="Normal 4 5 2 2 3 4" xfId="6867" xr:uid="{907A2A16-27A8-4200-9C88-EDEC1F67F1D6}"/>
    <cellStyle name="Normal 4 5 2 2 3 4 2" xfId="6868" xr:uid="{C866FE78-9F34-4DEA-9EBB-6BB8A7140473}"/>
    <cellStyle name="Normal 4 5 2 2 3 4 3" xfId="6869" xr:uid="{8A5C53F4-C9A5-4475-BF81-0B4DD8C2ADEC}"/>
    <cellStyle name="Normal 4 5 2 2 3 5" xfId="6870" xr:uid="{CABDC3A2-9BE3-4B60-864C-21A32A57D345}"/>
    <cellStyle name="Normal 4 5 2 2 3 6" xfId="6871" xr:uid="{075E2B7C-AB40-43A4-8ADD-5B28F7201721}"/>
    <cellStyle name="Normal 4 5 2 2 3 7" xfId="6872" xr:uid="{E228652A-4D69-47C2-9839-7A5D3C29A505}"/>
    <cellStyle name="Normal 4 5 2 2 3 8" xfId="6873" xr:uid="{A0A98708-22E8-4CD5-A9F9-498F63B29AF9}"/>
    <cellStyle name="Normal 4 5 2 2 4" xfId="6874" xr:uid="{9A24DDD9-B493-4B5A-826D-B18236051910}"/>
    <cellStyle name="Normal 4 5 2 2 4 2" xfId="6875" xr:uid="{0CF1082C-3067-4C82-881D-08BD428414BD}"/>
    <cellStyle name="Normal 4 5 2 2 4 3" xfId="6876" xr:uid="{689390C0-906F-4287-92CC-320CBF2225D6}"/>
    <cellStyle name="Normal 4 5 2 2 5" xfId="6877" xr:uid="{E41EE686-7E53-4131-858B-99EDC679B7B8}"/>
    <cellStyle name="Normal 4 5 2 2 5 2" xfId="6878" xr:uid="{185C10D0-49D0-4C65-A993-B42E6E07610D}"/>
    <cellStyle name="Normal 4 5 2 2 5 3" xfId="6879" xr:uid="{DF7F0AE5-4A75-4AF7-BAC7-3A3D98379045}"/>
    <cellStyle name="Normal 4 5 2 2 6" xfId="6880" xr:uid="{E33FA875-394D-4921-9263-C9684D563D15}"/>
    <cellStyle name="Normal 4 5 2 2 6 2" xfId="6881" xr:uid="{21886467-EA4D-4645-8A92-8F6460862693}"/>
    <cellStyle name="Normal 4 5 2 2 6 3" xfId="6882" xr:uid="{8EA271C8-63DD-45EE-B0FE-621B5FF2E2D0}"/>
    <cellStyle name="Normal 4 5 2 2 7" xfId="6883" xr:uid="{2E05BCAF-1B9A-4645-8A87-7F44E5DDCCE8}"/>
    <cellStyle name="Normal 4 5 2 2 8" xfId="6884" xr:uid="{A23DE9F8-058B-4703-9005-DF613F7FE903}"/>
    <cellStyle name="Normal 4 5 2 2 9" xfId="6885" xr:uid="{FF80694E-C92E-453D-902A-0DF330F0C9C5}"/>
    <cellStyle name="Normal 4 5 2 3" xfId="2173" xr:uid="{A83C4CC4-C7ED-4A80-9CB2-BEE31169EBF4}"/>
    <cellStyle name="Normal 4 5 2 3 2" xfId="6886" xr:uid="{065E4E13-13E5-49F2-840B-26640FE8E2B5}"/>
    <cellStyle name="Normal 4 5 2 3 2 2" xfId="6887" xr:uid="{BB01D283-5B8F-4BC2-955A-F79BBB7E6E75}"/>
    <cellStyle name="Normal 4 5 2 3 2 2 2" xfId="6888" xr:uid="{B9B6BB57-CF1C-4530-82D5-0F593E110F45}"/>
    <cellStyle name="Normal 4 5 2 3 2 2 3" xfId="6889" xr:uid="{2D755DC1-EA32-4455-AD7F-4AD560FD40EF}"/>
    <cellStyle name="Normal 4 5 2 3 2 3" xfId="6890" xr:uid="{4C816589-F621-4507-A982-2CACEC3524EE}"/>
    <cellStyle name="Normal 4 5 2 3 2 3 2" xfId="6891" xr:uid="{73F32E2D-E1CB-4434-B1CF-77053FFAE5B0}"/>
    <cellStyle name="Normal 4 5 2 3 2 3 3" xfId="6892" xr:uid="{699AF9B9-9EDC-4E7D-B1B4-8ED86E951958}"/>
    <cellStyle name="Normal 4 5 2 3 2 4" xfId="6893" xr:uid="{C3073059-300B-4D1C-ACE7-2B4994469193}"/>
    <cellStyle name="Normal 4 5 2 3 2 4 2" xfId="6894" xr:uid="{C909CE1E-D1BD-42BE-9BC6-74733156B5FB}"/>
    <cellStyle name="Normal 4 5 2 3 2 4 3" xfId="6895" xr:uid="{6EE9818F-3B13-4AD5-89FF-49FB594B6700}"/>
    <cellStyle name="Normal 4 5 2 3 2 5" xfId="6896" xr:uid="{4FE2E774-8921-496E-9B00-6DC016406807}"/>
    <cellStyle name="Normal 4 5 2 3 2 6" xfId="6897" xr:uid="{2DCD63C9-6EB0-4CC8-9C8F-A237EAAC16C4}"/>
    <cellStyle name="Normal 4 5 2 3 2 7" xfId="6898" xr:uid="{EE298B5E-3B45-47D6-887E-C5DF2170DD09}"/>
    <cellStyle name="Normal 4 5 2 3 2 8" xfId="6899" xr:uid="{91F13675-D71C-432A-9E61-C4DDE47B0A6A}"/>
    <cellStyle name="Normal 4 5 2 3 3" xfId="6900" xr:uid="{6E932FC1-8E57-439C-904D-05A26140FD31}"/>
    <cellStyle name="Normal 4 5 2 3 3 2" xfId="6901" xr:uid="{53592AB9-4560-4065-BCD8-F872CE5B5BFE}"/>
    <cellStyle name="Normal 4 5 2 3 3 3" xfId="6902" xr:uid="{45FCFAF3-9A58-4F68-B601-01231991BDF9}"/>
    <cellStyle name="Normal 4 5 2 3 4" xfId="6903" xr:uid="{AE46E5BF-2EBF-4559-96A9-3EDBF38453D1}"/>
    <cellStyle name="Normal 4 5 2 3 4 2" xfId="6904" xr:uid="{ABD13158-0450-4B4A-B849-78377DD54404}"/>
    <cellStyle name="Normal 4 5 2 3 4 3" xfId="6905" xr:uid="{E41A5957-F0C7-40D0-AC8F-8A6786861C25}"/>
    <cellStyle name="Normal 4 5 2 3 5" xfId="6906" xr:uid="{909537FE-9DDB-4B39-9684-C36FEB500677}"/>
    <cellStyle name="Normal 4 5 2 3 5 2" xfId="6907" xr:uid="{5F771C36-7A14-43AD-91A5-1B1F0EED2FFE}"/>
    <cellStyle name="Normal 4 5 2 3 5 3" xfId="6908" xr:uid="{C3B88F84-6C0E-4B13-A226-E38B6EE7CE27}"/>
    <cellStyle name="Normal 4 5 2 3 6" xfId="6909" xr:uid="{E86EF593-4879-491F-83AE-9F853A1DBE45}"/>
    <cellStyle name="Normal 4 5 2 3 7" xfId="6910" xr:uid="{0FFE3C89-113F-4BD1-BA68-1BC408933A7E}"/>
    <cellStyle name="Normal 4 5 2 3 8" xfId="6911" xr:uid="{850C0D03-F8F5-4F25-B835-606903E3BBBF}"/>
    <cellStyle name="Normal 4 5 2 3 9" xfId="6912" xr:uid="{E9CE6BF9-FF93-470A-AB09-24D6C41639F9}"/>
    <cellStyle name="Normal 4 5 2 4" xfId="6913" xr:uid="{3950EAC4-8032-4A13-8D9B-2391E9B577B1}"/>
    <cellStyle name="Normal 4 5 2 4 2" xfId="6914" xr:uid="{993624ED-24B1-45A1-B637-AC180AF5A3E5}"/>
    <cellStyle name="Normal 4 5 2 4 2 2" xfId="6915" xr:uid="{D0F37418-25DE-44F0-84D7-C9D3E2FBE5A1}"/>
    <cellStyle name="Normal 4 5 2 4 2 3" xfId="6916" xr:uid="{9C612EA6-F31B-4ABA-B9D2-CADBA5C3A254}"/>
    <cellStyle name="Normal 4 5 2 4 3" xfId="6917" xr:uid="{39FC5AE3-5B5C-4E72-BBDC-7A505D6E468F}"/>
    <cellStyle name="Normal 4 5 2 4 3 2" xfId="6918" xr:uid="{EB26D92B-C4D8-4D78-89F9-41CECF9C0B66}"/>
    <cellStyle name="Normal 4 5 2 4 3 3" xfId="6919" xr:uid="{C1C14643-D1BE-40A6-956A-6D7D520B0B9B}"/>
    <cellStyle name="Normal 4 5 2 4 4" xfId="6920" xr:uid="{1AD54336-1A8D-4435-875D-00B32D4B5EEB}"/>
    <cellStyle name="Normal 4 5 2 4 4 2" xfId="6921" xr:uid="{D42466F0-AC77-4B26-BB65-6E5AB9A02ADC}"/>
    <cellStyle name="Normal 4 5 2 4 4 3" xfId="6922" xr:uid="{DB5B8FFE-824A-4532-8DDA-E1CA3312F885}"/>
    <cellStyle name="Normal 4 5 2 4 5" xfId="6923" xr:uid="{CC9CCB85-2B88-446F-A84B-182A10D33A9A}"/>
    <cellStyle name="Normal 4 5 2 4 6" xfId="6924" xr:uid="{141E9504-9AC9-4253-AA51-4F5943DE1AC8}"/>
    <cellStyle name="Normal 4 5 2 4 7" xfId="6925" xr:uid="{1E879AE7-EF21-4AA5-8845-B856AFDAA9B0}"/>
    <cellStyle name="Normal 4 5 2 4 8" xfId="6926" xr:uid="{6449F3C6-BF7B-4C76-BE7A-61546640D1DF}"/>
    <cellStyle name="Normal 4 5 2 5" xfId="6927" xr:uid="{482490E7-A32E-4D19-837A-41D07E584817}"/>
    <cellStyle name="Normal 4 5 2 5 2" xfId="6928" xr:uid="{001B7B9B-7410-4659-94B5-52863719644C}"/>
    <cellStyle name="Normal 4 5 2 5 3" xfId="6929" xr:uid="{CF952A1E-751C-4F6B-BA50-EDEFECA3D254}"/>
    <cellStyle name="Normal 4 5 2 6" xfId="6930" xr:uid="{2D8A8A35-6153-45EA-B320-635730BBB110}"/>
    <cellStyle name="Normal 4 5 2 6 2" xfId="6931" xr:uid="{0C43A99C-0AD2-4AA4-8D6A-F8971D0D7EEB}"/>
    <cellStyle name="Normal 4 5 2 6 3" xfId="6932" xr:uid="{55B2A734-14A3-43B3-AC0B-29F8742E9A5F}"/>
    <cellStyle name="Normal 4 5 2 7" xfId="6933" xr:uid="{8AFDAFD3-D23A-4EE1-B8D1-3DC37A894C96}"/>
    <cellStyle name="Normal 4 5 2 7 2" xfId="6934" xr:uid="{F3A939AB-2E1A-4B4F-98D7-434D8A91D4BD}"/>
    <cellStyle name="Normal 4 5 2 7 3" xfId="6935" xr:uid="{A730374D-EF55-466C-957E-1E86FBA7B43C}"/>
    <cellStyle name="Normal 4 5 2 8" xfId="6936" xr:uid="{52E148DD-0FED-4FDF-B865-58EC273E8CC2}"/>
    <cellStyle name="Normal 4 5 2 9" xfId="6937" xr:uid="{D8B18932-C54D-4AD8-AD65-7B9287CCE109}"/>
    <cellStyle name="Normal 4 5 3" xfId="2174" xr:uid="{EE68337D-FED8-45D2-B662-AACB1A4BE691}"/>
    <cellStyle name="Normal 4 5 3 10" xfId="6938" xr:uid="{78E31A17-63E1-43FE-91FB-1FDD2290003A}"/>
    <cellStyle name="Normal 4 5 3 11" xfId="6939" xr:uid="{327593B1-9030-48BE-BC07-8F64A84959AF}"/>
    <cellStyle name="Normal 4 5 3 2" xfId="2175" xr:uid="{003C5F51-7BD6-49A9-B45B-EDB27760EB97}"/>
    <cellStyle name="Normal 4 5 3 2 10" xfId="6940" xr:uid="{D17F1826-9F3E-4FAD-8905-EDB9390705A4}"/>
    <cellStyle name="Normal 4 5 3 2 2" xfId="2176" xr:uid="{2D001646-D42E-4BF3-9DDB-C476A3F5D91D}"/>
    <cellStyle name="Normal 4 5 3 2 2 2" xfId="6941" xr:uid="{3A8272DE-6AD6-41A3-8912-50BB4835DF5C}"/>
    <cellStyle name="Normal 4 5 3 2 2 2 2" xfId="6942" xr:uid="{E7F7572B-8149-4F5C-A80C-9D3D0BFA212A}"/>
    <cellStyle name="Normal 4 5 3 2 2 2 2 2" xfId="6943" xr:uid="{14272AF5-D806-4822-9729-C9FFD0D1510A}"/>
    <cellStyle name="Normal 4 5 3 2 2 2 2 3" xfId="6944" xr:uid="{DF80C8C0-6246-4A24-A311-449DE31D0650}"/>
    <cellStyle name="Normal 4 5 3 2 2 2 3" xfId="6945" xr:uid="{2A94DD9D-C4AB-410F-B621-E9F8A0BD7059}"/>
    <cellStyle name="Normal 4 5 3 2 2 2 3 2" xfId="6946" xr:uid="{E1783629-A050-47D0-8FB8-4DEF1575793F}"/>
    <cellStyle name="Normal 4 5 3 2 2 2 3 3" xfId="6947" xr:uid="{51E755A1-324F-4625-B4A8-9C7CEFF6CC0B}"/>
    <cellStyle name="Normal 4 5 3 2 2 2 4" xfId="6948" xr:uid="{7CA0E490-225B-463F-BD49-97F32A1D3C5B}"/>
    <cellStyle name="Normal 4 5 3 2 2 2 4 2" xfId="6949" xr:uid="{7C4E175B-88CF-430D-AC2E-A0BF24D75EEC}"/>
    <cellStyle name="Normal 4 5 3 2 2 2 4 3" xfId="6950" xr:uid="{8F73BA41-A31F-4B76-93FE-34CC49C37FF9}"/>
    <cellStyle name="Normal 4 5 3 2 2 2 5" xfId="6951" xr:uid="{9C4ED7D9-55EB-49E6-A3E9-B3803C167BDD}"/>
    <cellStyle name="Normal 4 5 3 2 2 2 6" xfId="6952" xr:uid="{748269A7-7370-4F02-BF77-9BB1A6352155}"/>
    <cellStyle name="Normal 4 5 3 2 2 2 7" xfId="6953" xr:uid="{D90B092E-131C-4324-8058-ED09F9952A33}"/>
    <cellStyle name="Normal 4 5 3 2 2 2 8" xfId="6954" xr:uid="{B899C3FD-57E3-4C75-B0F3-E5250C3BF106}"/>
    <cellStyle name="Normal 4 5 3 2 2 3" xfId="6955" xr:uid="{2948C713-480C-4551-98FF-BD04DB030CB9}"/>
    <cellStyle name="Normal 4 5 3 2 2 3 2" xfId="6956" xr:uid="{DF638BAA-D62E-4974-B517-771801FBE8A1}"/>
    <cellStyle name="Normal 4 5 3 2 2 3 3" xfId="6957" xr:uid="{9EC3E2F2-2EE1-4DF7-A0F9-65EC504FAC4B}"/>
    <cellStyle name="Normal 4 5 3 2 2 4" xfId="6958" xr:uid="{ED50F521-BB1B-43EC-8AD6-A073828216D3}"/>
    <cellStyle name="Normal 4 5 3 2 2 4 2" xfId="6959" xr:uid="{4335E608-BE09-463E-8CA8-D5468819E7B4}"/>
    <cellStyle name="Normal 4 5 3 2 2 4 3" xfId="6960" xr:uid="{B9DD28D1-C1E2-4DDF-89D1-C010B8DC2748}"/>
    <cellStyle name="Normal 4 5 3 2 2 5" xfId="6961" xr:uid="{8A039BF6-BCDD-4D66-B42A-2868333CE98E}"/>
    <cellStyle name="Normal 4 5 3 2 2 5 2" xfId="6962" xr:uid="{29E97E6B-A195-4530-8D95-B7598160B5EE}"/>
    <cellStyle name="Normal 4 5 3 2 2 5 3" xfId="6963" xr:uid="{741F5084-15F9-4D2F-9C56-A4EDD90B2499}"/>
    <cellStyle name="Normal 4 5 3 2 2 6" xfId="6964" xr:uid="{B4D9E29C-1E3E-4209-90A6-4235CED30704}"/>
    <cellStyle name="Normal 4 5 3 2 2 7" xfId="6965" xr:uid="{DD0FFAD3-2F70-425C-85DD-60E98923F7B5}"/>
    <cellStyle name="Normal 4 5 3 2 2 8" xfId="6966" xr:uid="{610D0D53-F6C0-4CF5-ACB0-ACFF287A8A45}"/>
    <cellStyle name="Normal 4 5 3 2 2 9" xfId="6967" xr:uid="{C24FCFA3-1C20-4B57-A0AD-CD43A915484E}"/>
    <cellStyle name="Normal 4 5 3 2 3" xfId="6968" xr:uid="{27B823DB-07B4-4729-8B7D-21E19042A6C1}"/>
    <cellStyle name="Normal 4 5 3 2 3 2" xfId="6969" xr:uid="{39AE8430-594B-4863-84C5-8436466AE26B}"/>
    <cellStyle name="Normal 4 5 3 2 3 2 2" xfId="6970" xr:uid="{F6525709-4775-4C9D-88B4-EC26E58F6452}"/>
    <cellStyle name="Normal 4 5 3 2 3 2 3" xfId="6971" xr:uid="{A50F530D-6C0E-42D9-8B8A-47BCA27243A8}"/>
    <cellStyle name="Normal 4 5 3 2 3 3" xfId="6972" xr:uid="{551FDE51-CF19-4B23-8B1C-D8E3C0520AE4}"/>
    <cellStyle name="Normal 4 5 3 2 3 3 2" xfId="6973" xr:uid="{218714A5-CD27-4ABC-9EB1-CD3591644748}"/>
    <cellStyle name="Normal 4 5 3 2 3 3 3" xfId="6974" xr:uid="{74657444-9BD1-4C8F-BBD9-327F76AC7A02}"/>
    <cellStyle name="Normal 4 5 3 2 3 4" xfId="6975" xr:uid="{7A8B5998-C4D7-436C-8EF2-4CACF2CB74A9}"/>
    <cellStyle name="Normal 4 5 3 2 3 4 2" xfId="6976" xr:uid="{6FDBE33E-441A-41E6-AC41-8654761FD1CF}"/>
    <cellStyle name="Normal 4 5 3 2 3 4 3" xfId="6977" xr:uid="{ADBD9503-F817-4992-B38F-BE06ACB6A597}"/>
    <cellStyle name="Normal 4 5 3 2 3 5" xfId="6978" xr:uid="{CE1D6844-817D-4BFA-B10C-BF902B997119}"/>
    <cellStyle name="Normal 4 5 3 2 3 6" xfId="6979" xr:uid="{6D138526-FD7E-43E8-AF63-F55385837E4C}"/>
    <cellStyle name="Normal 4 5 3 2 3 7" xfId="6980" xr:uid="{C6EC4B80-D6E7-4162-8292-3A0046BF8B04}"/>
    <cellStyle name="Normal 4 5 3 2 3 8" xfId="6981" xr:uid="{62A14EBA-3E7C-49C6-B281-878479775ECE}"/>
    <cellStyle name="Normal 4 5 3 2 4" xfId="6982" xr:uid="{27D00500-1AA4-4261-BCC8-C95F6EE4E2FA}"/>
    <cellStyle name="Normal 4 5 3 2 4 2" xfId="6983" xr:uid="{03C6A868-1A91-4CC6-BA1F-0D9CC2647F9D}"/>
    <cellStyle name="Normal 4 5 3 2 4 3" xfId="6984" xr:uid="{6D603161-B5F2-4697-9D9D-3C95A6A41035}"/>
    <cellStyle name="Normal 4 5 3 2 5" xfId="6985" xr:uid="{B1DD99F2-2818-422E-B0B6-B74CAB0DF197}"/>
    <cellStyle name="Normal 4 5 3 2 5 2" xfId="6986" xr:uid="{0214127E-164F-4787-979E-3A8BF00ECD47}"/>
    <cellStyle name="Normal 4 5 3 2 5 3" xfId="6987" xr:uid="{CCF71FB6-8F66-4077-91B8-AF8306CFD665}"/>
    <cellStyle name="Normal 4 5 3 2 6" xfId="6988" xr:uid="{860F846A-8973-44C5-A7B1-34607115AA26}"/>
    <cellStyle name="Normal 4 5 3 2 6 2" xfId="6989" xr:uid="{7E3EF212-CCD3-425D-83FB-966CB0B3B8F1}"/>
    <cellStyle name="Normal 4 5 3 2 6 3" xfId="6990" xr:uid="{691D9DC6-1D12-44A6-A114-088ACED79D4F}"/>
    <cellStyle name="Normal 4 5 3 2 7" xfId="6991" xr:uid="{A5C13518-D8BE-46EB-A497-B7115D72FD06}"/>
    <cellStyle name="Normal 4 5 3 2 8" xfId="6992" xr:uid="{E1347287-3F03-49AA-A651-CCFBA1B0B285}"/>
    <cellStyle name="Normal 4 5 3 2 9" xfId="6993" xr:uid="{147FDE17-3698-444E-BB6E-28BE6A57E040}"/>
    <cellStyle name="Normal 4 5 3 3" xfId="2177" xr:uid="{DBB9C20D-0C24-4E96-B9A2-EB190C4F5727}"/>
    <cellStyle name="Normal 4 5 3 3 2" xfId="6994" xr:uid="{C71A58C8-5F4A-4AD3-9167-0A7FD5572C0D}"/>
    <cellStyle name="Normal 4 5 3 3 2 2" xfId="6995" xr:uid="{3540B026-FB1F-400D-BEDA-C1B1A23F0958}"/>
    <cellStyle name="Normal 4 5 3 3 2 2 2" xfId="6996" xr:uid="{5C695AE4-5805-44D4-853D-ABFDE70A2109}"/>
    <cellStyle name="Normal 4 5 3 3 2 2 3" xfId="6997" xr:uid="{2B57081F-7D46-4014-96FB-B2BF4D052411}"/>
    <cellStyle name="Normal 4 5 3 3 2 3" xfId="6998" xr:uid="{90C47F9E-02C6-4BDB-84E9-5DE926E77991}"/>
    <cellStyle name="Normal 4 5 3 3 2 3 2" xfId="6999" xr:uid="{522DC572-37C7-456F-8BD4-5E783FAB9F28}"/>
    <cellStyle name="Normal 4 5 3 3 2 3 3" xfId="7000" xr:uid="{81B5A204-77A7-46EB-9C2A-7FAC951C9318}"/>
    <cellStyle name="Normal 4 5 3 3 2 4" xfId="7001" xr:uid="{D46F6ACF-E38D-4E38-A235-CE5C5C4AED38}"/>
    <cellStyle name="Normal 4 5 3 3 2 4 2" xfId="7002" xr:uid="{0A52B84D-CD9C-4BDF-825E-25C6645447A6}"/>
    <cellStyle name="Normal 4 5 3 3 2 4 3" xfId="7003" xr:uid="{DE7317EE-978A-4864-A26A-73AA59940330}"/>
    <cellStyle name="Normal 4 5 3 3 2 5" xfId="7004" xr:uid="{D2C45991-445A-4B07-9870-1F9DE0B6E983}"/>
    <cellStyle name="Normal 4 5 3 3 2 6" xfId="7005" xr:uid="{D8CE2E9C-4A57-41AA-BD6F-88CE19569689}"/>
    <cellStyle name="Normal 4 5 3 3 2 7" xfId="7006" xr:uid="{629A63CD-259F-4846-AF40-CFEA6E424ACA}"/>
    <cellStyle name="Normal 4 5 3 3 2 8" xfId="7007" xr:uid="{A6E193E9-2AC6-4C25-B38C-B554C6B259E2}"/>
    <cellStyle name="Normal 4 5 3 3 3" xfId="7008" xr:uid="{5D1E68B7-1280-4D33-86F9-2D1E64C26891}"/>
    <cellStyle name="Normal 4 5 3 3 3 2" xfId="7009" xr:uid="{351DAB62-D90D-4CD7-B33E-5E1CA484C5B5}"/>
    <cellStyle name="Normal 4 5 3 3 3 3" xfId="7010" xr:uid="{237A1794-F82D-4322-815A-917DF1055D2F}"/>
    <cellStyle name="Normal 4 5 3 3 4" xfId="7011" xr:uid="{5BE654B8-1E3C-42FA-8D18-1256C8C1B97C}"/>
    <cellStyle name="Normal 4 5 3 3 4 2" xfId="7012" xr:uid="{698ED8D3-326E-4F3D-A7EA-9D7CAAB60D62}"/>
    <cellStyle name="Normal 4 5 3 3 4 3" xfId="7013" xr:uid="{A5A822A0-38C7-463E-B1A5-2ADBC474BEA8}"/>
    <cellStyle name="Normal 4 5 3 3 5" xfId="7014" xr:uid="{5613EC48-07BF-4558-A530-42FAAADD3704}"/>
    <cellStyle name="Normal 4 5 3 3 5 2" xfId="7015" xr:uid="{9754E46D-0FC0-4E50-A643-91533C2DB998}"/>
    <cellStyle name="Normal 4 5 3 3 5 3" xfId="7016" xr:uid="{80003FB9-556F-4BE4-8777-B222B37C63D4}"/>
    <cellStyle name="Normal 4 5 3 3 6" xfId="7017" xr:uid="{1A4FE81F-E784-4CDE-86BD-A869464CA4B7}"/>
    <cellStyle name="Normal 4 5 3 3 7" xfId="7018" xr:uid="{ACB98CFB-C21D-42E5-8C3F-3635A59AF140}"/>
    <cellStyle name="Normal 4 5 3 3 8" xfId="7019" xr:uid="{D2FB4183-C2B8-419E-A0E2-727C580673A9}"/>
    <cellStyle name="Normal 4 5 3 3 9" xfId="7020" xr:uid="{8E60118C-7A04-48F2-AA35-320C599EAAB1}"/>
    <cellStyle name="Normal 4 5 3 4" xfId="7021" xr:uid="{32635B47-D2A8-4A44-B233-D30C3D8F05DD}"/>
    <cellStyle name="Normal 4 5 3 4 2" xfId="7022" xr:uid="{E39837FE-E479-43EF-9CDF-39926527D035}"/>
    <cellStyle name="Normal 4 5 3 4 2 2" xfId="7023" xr:uid="{44314484-E314-410D-B6C2-583686275454}"/>
    <cellStyle name="Normal 4 5 3 4 2 3" xfId="7024" xr:uid="{4D9B71E2-1915-419C-8A80-FE5A1C88CF74}"/>
    <cellStyle name="Normal 4 5 3 4 3" xfId="7025" xr:uid="{A9C73746-286C-4588-BE98-F1F85D27CDB0}"/>
    <cellStyle name="Normal 4 5 3 4 3 2" xfId="7026" xr:uid="{ADD77086-E6BA-47BA-93F8-1DAA6BF6999F}"/>
    <cellStyle name="Normal 4 5 3 4 3 3" xfId="7027" xr:uid="{2AFCB5E7-AA13-4B5E-8DC9-2B5F597517B1}"/>
    <cellStyle name="Normal 4 5 3 4 4" xfId="7028" xr:uid="{D0A1BF66-046A-49BC-BCC0-A8441A6E38DA}"/>
    <cellStyle name="Normal 4 5 3 4 4 2" xfId="7029" xr:uid="{405C8949-38CB-449B-9EDB-A04D80A25C07}"/>
    <cellStyle name="Normal 4 5 3 4 4 3" xfId="7030" xr:uid="{BAB068E1-E828-4EF5-8CAD-44499A08C89C}"/>
    <cellStyle name="Normal 4 5 3 4 5" xfId="7031" xr:uid="{8F48E83D-7BF6-4533-9DDF-80C82FC06F29}"/>
    <cellStyle name="Normal 4 5 3 4 6" xfId="7032" xr:uid="{2276B5C3-7EF8-407A-AE83-C9B0BC7D2BCF}"/>
    <cellStyle name="Normal 4 5 3 4 7" xfId="7033" xr:uid="{5954C833-D59C-4916-B892-DFBBCD28F8AB}"/>
    <cellStyle name="Normal 4 5 3 4 8" xfId="7034" xr:uid="{A2B4CE57-BCB4-4B6A-B69B-68E2DAE151A9}"/>
    <cellStyle name="Normal 4 5 3 5" xfId="7035" xr:uid="{3042C241-8A60-40F8-B081-DCC20C2AF4E0}"/>
    <cellStyle name="Normal 4 5 3 5 2" xfId="7036" xr:uid="{1A64CD4F-E9AA-4BDB-ADD9-1921F247AC56}"/>
    <cellStyle name="Normal 4 5 3 5 3" xfId="7037" xr:uid="{32B9E6C6-E481-40E0-911F-FE3FF8EFCD23}"/>
    <cellStyle name="Normal 4 5 3 6" xfId="7038" xr:uid="{2B3AC7E8-EDD8-4E31-8DA5-29E4AB67F052}"/>
    <cellStyle name="Normal 4 5 3 6 2" xfId="7039" xr:uid="{E9C35EB6-9DD6-44F8-8665-F94FF61E2C78}"/>
    <cellStyle name="Normal 4 5 3 6 3" xfId="7040" xr:uid="{75374E4B-AFB0-46B6-9F74-C0599243BB9F}"/>
    <cellStyle name="Normal 4 5 3 7" xfId="7041" xr:uid="{99B5057B-B0B8-4C63-BE71-E101EAF0FEFF}"/>
    <cellStyle name="Normal 4 5 3 7 2" xfId="7042" xr:uid="{3CA00233-8638-429A-AFE9-E25E570602EF}"/>
    <cellStyle name="Normal 4 5 3 7 3" xfId="7043" xr:uid="{945F1E52-FCE5-41FE-8A2F-3A570DE95809}"/>
    <cellStyle name="Normal 4 5 3 8" xfId="7044" xr:uid="{6F90530E-DB32-438F-BC64-F04184EFA89F}"/>
    <cellStyle name="Normal 4 5 3 9" xfId="7045" xr:uid="{793AE289-365B-4898-AC20-A446847462AC}"/>
    <cellStyle name="Normal 4 5 4" xfId="7046" xr:uid="{78BAE2D0-C20B-4917-867F-459407290D84}"/>
    <cellStyle name="Normal 4 5 5" xfId="7047" xr:uid="{4C7A5F55-3DFD-4797-9B48-C6E799B30029}"/>
    <cellStyle name="Normal 4 5 5 2" xfId="7048" xr:uid="{04FD416E-DA42-4785-B9F5-4059BBFD0E9C}"/>
    <cellStyle name="Normal 4 5 5 2 2" xfId="7049" xr:uid="{0EAAC7C6-48B7-46E0-82FF-E87D88BDDAC8}"/>
    <cellStyle name="Normal 4 5 5 2 2 2" xfId="7050" xr:uid="{680FAB61-B43E-475A-9447-00A23B75C5D4}"/>
    <cellStyle name="Normal 4 5 5 2 2 3" xfId="7051" xr:uid="{2990F6CC-3144-48E4-899C-8683E69163CD}"/>
    <cellStyle name="Normal 4 5 5 2 3" xfId="7052" xr:uid="{72EA0D54-3702-45E8-BC87-AE3842DDCA49}"/>
    <cellStyle name="Normal 4 5 5 2 3 2" xfId="7053" xr:uid="{1FDAE3F5-16E8-4013-900B-49303CF33829}"/>
    <cellStyle name="Normal 4 5 5 2 3 3" xfId="7054" xr:uid="{F8AED5FB-8840-4F52-844D-0453B3AC3A78}"/>
    <cellStyle name="Normal 4 5 5 2 4" xfId="7055" xr:uid="{2B969D41-DD75-47A2-B7D2-4E0CC22CFB30}"/>
    <cellStyle name="Normal 4 5 5 2 4 2" xfId="7056" xr:uid="{5B787CB2-D33E-4896-BF85-84FAB8FA950C}"/>
    <cellStyle name="Normal 4 5 5 2 4 3" xfId="7057" xr:uid="{D62C34A4-3A50-4175-B7A7-816EE99D46BF}"/>
    <cellStyle name="Normal 4 5 5 2 5" xfId="7058" xr:uid="{F6DD487A-D732-4C76-9658-0D88150F16B1}"/>
    <cellStyle name="Normal 4 5 5 2 6" xfId="7059" xr:uid="{6CA49BEA-8756-4C0F-9E74-D2B8D8E388EE}"/>
    <cellStyle name="Normal 4 5 5 2 7" xfId="7060" xr:uid="{10F1CDE9-E7F8-4BA7-8588-94809F275CEB}"/>
    <cellStyle name="Normal 4 5 5 2 8" xfId="7061" xr:uid="{6F4D0DE4-F64B-4533-AE05-F8A5F71F3398}"/>
    <cellStyle name="Normal 4 5 5 3" xfId="7062" xr:uid="{BDA45674-150F-44F4-864F-57AEABA9327C}"/>
    <cellStyle name="Normal 4 5 5 3 2" xfId="7063" xr:uid="{0784631C-3952-4470-B49E-E88A5E5CBA5E}"/>
    <cellStyle name="Normal 4 5 5 3 3" xfId="7064" xr:uid="{76416456-AC53-4030-9B23-4B64522FBC95}"/>
    <cellStyle name="Normal 4 5 5 4" xfId="7065" xr:uid="{96DDAE5E-12A2-4464-9AE8-4F8AF5E0D0A2}"/>
    <cellStyle name="Normal 4 5 5 4 2" xfId="7066" xr:uid="{E58CDA08-6994-4A18-B01D-6EF84C0E1888}"/>
    <cellStyle name="Normal 4 5 5 4 3" xfId="7067" xr:uid="{FE2ACF93-B648-45F7-A0FB-757019D1E6ED}"/>
    <cellStyle name="Normal 4 5 5 5" xfId="7068" xr:uid="{0085FC7A-55FE-4302-B66E-0E324B2260F4}"/>
    <cellStyle name="Normal 4 5 5 5 2" xfId="7069" xr:uid="{2EC85DF7-8713-4541-9C6A-DD67ED4AE49D}"/>
    <cellStyle name="Normal 4 5 5 5 3" xfId="7070" xr:uid="{AA20EC7B-2CC3-4B3F-A977-22BDCD36A73E}"/>
    <cellStyle name="Normal 4 5 5 6" xfId="7071" xr:uid="{70B565DC-644C-49ED-8BA7-0220E3370DA4}"/>
    <cellStyle name="Normal 4 5 5 7" xfId="7072" xr:uid="{37956857-6C08-4DE0-A922-B253AAD9E4EB}"/>
    <cellStyle name="Normal 4 5 5 8" xfId="7073" xr:uid="{BB962AFB-F758-4D92-957D-770AB8B655C6}"/>
    <cellStyle name="Normal 4 5 5 9" xfId="7074" xr:uid="{143ECC99-6027-4FC5-B405-29849E3FCFA2}"/>
    <cellStyle name="Normal 4 5 6" xfId="7075" xr:uid="{8A1F6F59-604F-49BF-94C5-640E37F7D701}"/>
    <cellStyle name="Normal 4 5 6 2" xfId="7076" xr:uid="{116DF0EB-9E59-405A-8C35-455B99F4FF57}"/>
    <cellStyle name="Normal 4 5 6 2 2" xfId="7077" xr:uid="{2056C32C-F3CB-4535-A2D6-D4B8C470BFF5}"/>
    <cellStyle name="Normal 4 5 6 2 3" xfId="7078" xr:uid="{29924DFF-4CFD-45B2-B1F9-3E3A5D28C6DD}"/>
    <cellStyle name="Normal 4 5 6 3" xfId="7079" xr:uid="{E130FB01-3276-4455-B19D-4B3540B20C3B}"/>
    <cellStyle name="Normal 4 5 6 3 2" xfId="7080" xr:uid="{0E463B25-B52A-4F3B-95EE-5A15E8EFB495}"/>
    <cellStyle name="Normal 4 5 6 3 3" xfId="7081" xr:uid="{783AC482-CBB0-4EC2-8743-15A98696DCE3}"/>
    <cellStyle name="Normal 4 5 6 4" xfId="7082" xr:uid="{156BA907-C0F6-4C89-8E33-CE1DF2A656CA}"/>
    <cellStyle name="Normal 4 5 6 4 2" xfId="7083" xr:uid="{3D548FE7-D166-4B29-9560-E1573F78C157}"/>
    <cellStyle name="Normal 4 5 6 4 3" xfId="7084" xr:uid="{1AEC57D7-33A7-4278-8C65-014DD8DC4827}"/>
    <cellStyle name="Normal 4 5 6 5" xfId="7085" xr:uid="{07D83424-1881-4D07-A2F8-718BCF576AC4}"/>
    <cellStyle name="Normal 4 5 6 6" xfId="7086" xr:uid="{C4332B8D-638D-49D4-8F1A-9351AA2ED4F8}"/>
    <cellStyle name="Normal 4 5 6 7" xfId="7087" xr:uid="{DF132E65-9ABC-4BAD-9D8B-A0539C814E39}"/>
    <cellStyle name="Normal 4 5 6 8" xfId="7088" xr:uid="{06FF03B2-FCBE-46D5-B332-36165C5894BC}"/>
    <cellStyle name="Normal 4 5 7" xfId="7089" xr:uid="{8D29AEA8-83C1-4275-AFBB-81B5877331F3}"/>
    <cellStyle name="Normal 4 5 7 2" xfId="7090" xr:uid="{B8A19E6D-4767-4594-B67C-B3A7CB74006C}"/>
    <cellStyle name="Normal 4 5 7 3" xfId="7091" xr:uid="{CA3E1B3B-8FF6-494F-A2FA-82C188EA4A30}"/>
    <cellStyle name="Normal 4 5 8" xfId="7092" xr:uid="{F4C43AE2-B93B-44DC-B2AB-EF96AF93CD6B}"/>
    <cellStyle name="Normal 4 5 8 2" xfId="7093" xr:uid="{719F7FB9-A16E-4B0A-9B23-A0147711A5FD}"/>
    <cellStyle name="Normal 4 5 8 3" xfId="7094" xr:uid="{6C99EF44-749A-450F-9033-462A3E9D8F20}"/>
    <cellStyle name="Normal 4 5 9" xfId="7095" xr:uid="{BB6C2179-6E2C-4966-A253-04F1A4B8F41D}"/>
    <cellStyle name="Normal 4 5 9 2" xfId="7096" xr:uid="{26C11919-2153-41D3-92ED-33589C990B4C}"/>
    <cellStyle name="Normal 4 5 9 3" xfId="7097" xr:uid="{DA43173E-5BA9-48DC-A672-F29423F079AB}"/>
    <cellStyle name="Normal 4 6" xfId="2178" xr:uid="{F2FC4A91-1AC6-4353-9219-3CF119A95E9A}"/>
    <cellStyle name="Normal 4 6 2" xfId="2179" xr:uid="{C6AD0CD1-08E2-41AF-BB00-D282D060CB04}"/>
    <cellStyle name="Normal 4 7" xfId="2180" xr:uid="{7920586F-B918-4DC3-AC2D-3D36200C15F8}"/>
    <cellStyle name="Normal 4 7 2" xfId="2181" xr:uid="{76984A8D-730B-4286-B727-A99D76AE77C4}"/>
    <cellStyle name="Normal 4 8" xfId="2182" xr:uid="{B9419862-606B-4824-881A-3AC7290B24E7}"/>
    <cellStyle name="Normal 4 8 2" xfId="2183" xr:uid="{93CACE4A-500A-4454-9F05-C47D44C543FD}"/>
    <cellStyle name="Normal 4 9" xfId="2184" xr:uid="{7B645E91-AA72-477A-A368-D16C286FEFDB}"/>
    <cellStyle name="Normal 4 9 2" xfId="3611" xr:uid="{7170906E-836B-459B-A99A-CA2D04F35CC8}"/>
    <cellStyle name="Normal 4_1.0 HFM data" xfId="7098" xr:uid="{C00C62DD-3A71-4612-B047-5953CA6E9BB6}"/>
    <cellStyle name="Normal 40" xfId="2185" xr:uid="{8B3A9D3B-CB70-4FFC-8E25-B670858E4CFD}"/>
    <cellStyle name="Normal 40 2" xfId="7099" xr:uid="{7A2F59C9-7E1C-49BD-B96F-4B5C94EBA163}"/>
    <cellStyle name="Normal 40 2 2" xfId="7100" xr:uid="{7398FEE8-5B13-4814-B67F-38F0E341E293}"/>
    <cellStyle name="Normal 40 2 2 2" xfId="7101" xr:uid="{400A13D7-A868-4773-BE15-30CE0D8D3E0D}"/>
    <cellStyle name="Normal 40 2 2 2 2" xfId="7102" xr:uid="{09C2808B-36C3-401F-934F-8D1B25CF2D1C}"/>
    <cellStyle name="Normal 40 2 2 2 2 2" xfId="7103" xr:uid="{F62195A6-92DF-4ACB-AA13-24643602EAE7}"/>
    <cellStyle name="Normal 40 2 2 2 2 3" xfId="7104" xr:uid="{ED3D41B0-A1B0-4A39-BCE9-AADDB622D302}"/>
    <cellStyle name="Normal 40 2 2 2 3" xfId="7105" xr:uid="{B21DE9C9-2234-44B1-B387-20F951F1C6DE}"/>
    <cellStyle name="Normal 40 2 2 2 4" xfId="7106" xr:uid="{AC9A0924-6EE7-453D-95B3-09EF92258100}"/>
    <cellStyle name="Normal 40 2 2 3" xfId="7107" xr:uid="{D454F06B-82D8-41BD-8236-EC07F670EAA8}"/>
    <cellStyle name="Normal 40 2 2 3 2" xfId="7108" xr:uid="{E534923E-D3A1-431A-A5E3-F6C0B079FEB3}"/>
    <cellStyle name="Normal 40 2 2 3 3" xfId="7109" xr:uid="{26BC132B-0D03-4CC3-BA8C-BC7BD1746DC3}"/>
    <cellStyle name="Normal 40 2 2 4" xfId="7110" xr:uid="{28E6B36E-952C-4832-A8E7-844CAC83D48B}"/>
    <cellStyle name="Normal 40 2 2 5" xfId="7111" xr:uid="{91BF8D43-BC23-4085-A739-3DF63A2C1BA5}"/>
    <cellStyle name="Normal 40 2 3" xfId="7112" xr:uid="{A09AFB4D-F637-4D58-BCFE-E02512525FC5}"/>
    <cellStyle name="Normal 40 2 3 2" xfId="7113" xr:uid="{AA4ECFB3-E763-450D-98B3-385A81900E95}"/>
    <cellStyle name="Normal 40 2 3 2 2" xfId="7114" xr:uid="{B6476FAC-8E3A-4C0F-BDEC-92BC18725F9D}"/>
    <cellStyle name="Normal 40 2 3 2 3" xfId="7115" xr:uid="{6FFCC8FA-A4E8-485E-ABDC-6A26AAEF2C19}"/>
    <cellStyle name="Normal 40 2 3 3" xfId="7116" xr:uid="{E688781C-6EA0-4C0B-A469-C9E3F8D3B863}"/>
    <cellStyle name="Normal 40 2 3 4" xfId="7117" xr:uid="{3BA39667-27EF-4949-B5E5-4CAEF4FEDE68}"/>
    <cellStyle name="Normal 40 2 4" xfId="7118" xr:uid="{6041CBC0-1623-4C8A-B8BB-C078E37D02CE}"/>
    <cellStyle name="Normal 40 2 4 2" xfId="7119" xr:uid="{14F99EF9-433B-40C4-835A-0505539BD4D3}"/>
    <cellStyle name="Normal 40 2 4 3" xfId="7120" xr:uid="{21252187-E676-4724-988B-A8241D101CF6}"/>
    <cellStyle name="Normal 40 2 5" xfId="7121" xr:uid="{53E024CD-E60D-4649-82AD-C8330F14A300}"/>
    <cellStyle name="Normal 40 2 6" xfId="7122" xr:uid="{74CDCB2A-825D-4B97-84B8-201C72E0378E}"/>
    <cellStyle name="Normal 40 3" xfId="7123" xr:uid="{89400ECC-82FA-4AD4-BC73-49C6E6FAF92F}"/>
    <cellStyle name="Normal 40 3 2" xfId="7124" xr:uid="{5C26495F-3337-4313-8401-B1D05EDB5D26}"/>
    <cellStyle name="Normal 40 3 2 2" xfId="7125" xr:uid="{FEBD4995-6DB6-498F-AF57-24C697C23723}"/>
    <cellStyle name="Normal 40 3 2 2 2" xfId="7126" xr:uid="{A8264B3A-AB31-4B88-B0D8-CDC9DF0CBF34}"/>
    <cellStyle name="Normal 40 3 2 2 3" xfId="7127" xr:uid="{2FF1AF89-81B9-44FB-A8E6-8FAA60B8EA8B}"/>
    <cellStyle name="Normal 40 3 2 3" xfId="7128" xr:uid="{1FCA1625-081D-4ABA-82B7-A44123AB273A}"/>
    <cellStyle name="Normal 40 3 2 4" xfId="7129" xr:uid="{4C4B8197-D803-43ED-9879-1EAA886FDC76}"/>
    <cellStyle name="Normal 40 3 3" xfId="7130" xr:uid="{F7585D94-A3F9-4FD6-BD04-5DE3EDF20AA1}"/>
    <cellStyle name="Normal 40 3 3 2" xfId="7131" xr:uid="{EC995C42-BE3A-4E42-A1D5-FC323A703D8E}"/>
    <cellStyle name="Normal 40 3 3 3" xfId="7132" xr:uid="{AEFD536E-623C-4AE5-AE08-C28846DECD51}"/>
    <cellStyle name="Normal 40 3 4" xfId="7133" xr:uid="{DCBBAC7E-3679-4F85-AA51-5B81B78DD13D}"/>
    <cellStyle name="Normal 40 3 5" xfId="7134" xr:uid="{D9629A4C-B265-42BF-8398-8AE13C0EFF22}"/>
    <cellStyle name="Normal 40 4" xfId="7135" xr:uid="{9620881C-3841-42DA-A56F-B4D02F33E01C}"/>
    <cellStyle name="Normal 40 4 2" xfId="7136" xr:uid="{509336C8-B84F-4004-9EAB-720DE52FA76F}"/>
    <cellStyle name="Normal 40 4 2 2" xfId="7137" xr:uid="{49C96BA8-3E60-4A7C-B4D4-12774F89DE35}"/>
    <cellStyle name="Normal 40 4 2 3" xfId="7138" xr:uid="{CB9FDA39-ED94-46F0-AAE3-1A23C4612681}"/>
    <cellStyle name="Normal 40 4 3" xfId="7139" xr:uid="{69F88264-F095-4B8E-A16D-7A4645768E7D}"/>
    <cellStyle name="Normal 40 4 4" xfId="7140" xr:uid="{523FB845-6FE9-48AD-8EB1-02A365726AD1}"/>
    <cellStyle name="Normal 40 5" xfId="7141" xr:uid="{62B9B25F-9BB5-42AC-9C20-CC6E76CCE06D}"/>
    <cellStyle name="Normal 40 5 2" xfId="7142" xr:uid="{6E1A291F-64FC-4A89-A371-2E310B76F4B2}"/>
    <cellStyle name="Normal 40 5 3" xfId="7143" xr:uid="{26987065-BB2C-4C49-9D29-56ED16F2CA21}"/>
    <cellStyle name="Normal 40 6" xfId="7144" xr:uid="{BBEC1F1B-6AF2-42F1-B54E-304FF4DCC751}"/>
    <cellStyle name="Normal 40 7" xfId="7145" xr:uid="{5EAB7C05-AFB7-4C63-9C80-5DB4F06414AB}"/>
    <cellStyle name="Normal 41" xfId="2186" xr:uid="{83E3E6E8-8527-49A4-B4DF-2A6BA683D665}"/>
    <cellStyle name="Normal 41 2" xfId="7146" xr:uid="{4BA200AA-23A8-4D83-99C0-EF5E28E63D5E}"/>
    <cellStyle name="Normal 41 2 2" xfId="7147" xr:uid="{5E25E333-CC9C-4548-ADDB-7F91A1FE6FB1}"/>
    <cellStyle name="Normal 41 2 2 2" xfId="7148" xr:uid="{D76BCDA0-989C-41E7-BF3F-888C9F181473}"/>
    <cellStyle name="Normal 41 2 2 2 2" xfId="7149" xr:uid="{CBC396A8-3A01-4059-BA15-57D7E93D24F5}"/>
    <cellStyle name="Normal 41 2 2 2 2 2" xfId="7150" xr:uid="{E9F2EC8C-82A6-4754-8F3C-E842304B1F13}"/>
    <cellStyle name="Normal 41 2 2 2 2 3" xfId="7151" xr:uid="{DC81882F-52E7-413E-9C0B-DD3D67F60145}"/>
    <cellStyle name="Normal 41 2 2 2 3" xfId="7152" xr:uid="{97BE50CC-6F0B-4BEE-BC34-706D3FD5A157}"/>
    <cellStyle name="Normal 41 2 2 2 4" xfId="7153" xr:uid="{60DBA073-4422-4726-B3CE-A1A30DE55F44}"/>
    <cellStyle name="Normal 41 2 2 3" xfId="7154" xr:uid="{1028E926-B759-4909-A515-272676314EBB}"/>
    <cellStyle name="Normal 41 2 2 3 2" xfId="7155" xr:uid="{71922EE3-2575-42E1-A5C7-748D626BEC7B}"/>
    <cellStyle name="Normal 41 2 2 3 3" xfId="7156" xr:uid="{170D19E3-2177-43F5-A8D5-74213735D1E6}"/>
    <cellStyle name="Normal 41 2 2 4" xfId="7157" xr:uid="{A7D300B5-9A44-445F-93A0-785F8B693CBE}"/>
    <cellStyle name="Normal 41 2 2 5" xfId="7158" xr:uid="{34A352A4-1A36-475D-B54A-0DFB9CF10784}"/>
    <cellStyle name="Normal 41 2 3" xfId="7159" xr:uid="{86D342B1-094E-47A5-9852-A42AC6D80249}"/>
    <cellStyle name="Normal 41 2 3 2" xfId="7160" xr:uid="{7FA7A3A9-7056-4A38-A43C-C53710888486}"/>
    <cellStyle name="Normal 41 2 3 2 2" xfId="7161" xr:uid="{446C8169-25ED-40B2-BE56-9A968337D3A1}"/>
    <cellStyle name="Normal 41 2 3 2 3" xfId="7162" xr:uid="{56F32135-3161-4432-8C99-D65BB42A2E48}"/>
    <cellStyle name="Normal 41 2 3 3" xfId="7163" xr:uid="{3D42319D-F2DD-408E-AB2B-74AEEE0EB355}"/>
    <cellStyle name="Normal 41 2 3 4" xfId="7164" xr:uid="{D5BE1392-635D-4770-8932-29D930B6AB11}"/>
    <cellStyle name="Normal 41 2 4" xfId="7165" xr:uid="{03FA328F-2704-4404-8C17-1625512D79EC}"/>
    <cellStyle name="Normal 41 2 4 2" xfId="7166" xr:uid="{5AD680CE-9AEC-4280-8414-5D5C52E02896}"/>
    <cellStyle name="Normal 41 2 4 3" xfId="7167" xr:uid="{FD2341B4-93F0-4B2C-B0A3-77D2153275C3}"/>
    <cellStyle name="Normal 41 2 5" xfId="7168" xr:uid="{B549F6E9-BF3A-4168-8CB4-79A8249ED2A3}"/>
    <cellStyle name="Normal 41 2 6" xfId="7169" xr:uid="{6F13634F-E674-4066-B069-6AF6A87B5D4F}"/>
    <cellStyle name="Normal 41 3" xfId="7170" xr:uid="{EACC9315-87DD-43D4-ACAD-001EF280A515}"/>
    <cellStyle name="Normal 41 3 2" xfId="7171" xr:uid="{9CEEDEE1-8923-41FD-821C-6AA027851860}"/>
    <cellStyle name="Normal 41 3 2 2" xfId="7172" xr:uid="{BFBCA456-D191-4D6D-AF8B-91A3ECE82918}"/>
    <cellStyle name="Normal 41 3 2 2 2" xfId="7173" xr:uid="{56F0C9BD-57D4-48FF-9F35-76367E09B986}"/>
    <cellStyle name="Normal 41 3 2 2 3" xfId="7174" xr:uid="{605EF12F-F948-4C38-94EC-193618E36707}"/>
    <cellStyle name="Normal 41 3 2 3" xfId="7175" xr:uid="{31A12EFF-ADA0-42E5-9244-A78BD6E8C6B9}"/>
    <cellStyle name="Normal 41 3 2 4" xfId="7176" xr:uid="{79AC59E9-3879-47F9-99BA-F1F1D042BDE2}"/>
    <cellStyle name="Normal 41 3 3" xfId="7177" xr:uid="{23AB62D5-2512-466E-9C16-5F8175A5C689}"/>
    <cellStyle name="Normal 41 3 3 2" xfId="7178" xr:uid="{D9B75D14-A42A-4647-BE1F-1CC18E166289}"/>
    <cellStyle name="Normal 41 3 3 3" xfId="7179" xr:uid="{2C81A4F9-EA45-4790-A132-9635352B4345}"/>
    <cellStyle name="Normal 41 3 4" xfId="7180" xr:uid="{34B9A0F0-28B8-46DD-93E6-FF7392DC39AD}"/>
    <cellStyle name="Normal 41 3 5" xfId="7181" xr:uid="{49B0A79A-31F5-4519-9BA6-37FA87E2FCAC}"/>
    <cellStyle name="Normal 41 4" xfId="7182" xr:uid="{5A156E03-3BB7-4CCC-ABAB-C92CBDF796D8}"/>
    <cellStyle name="Normal 41 4 2" xfId="7183" xr:uid="{3E4E8C9D-C070-4A6C-96DA-67718CAD196D}"/>
    <cellStyle name="Normal 41 4 2 2" xfId="7184" xr:uid="{E0B0E770-CAD9-403E-B68D-1401A4E70180}"/>
    <cellStyle name="Normal 41 4 2 3" xfId="7185" xr:uid="{03B15584-46AC-41AF-AFBD-1688DE13B714}"/>
    <cellStyle name="Normal 41 4 3" xfId="7186" xr:uid="{B834B930-78A5-4F3B-B54A-F60E59F45B03}"/>
    <cellStyle name="Normal 41 4 4" xfId="7187" xr:uid="{B064AF13-7D08-4539-814F-3ABD5226F324}"/>
    <cellStyle name="Normal 41 5" xfId="7188" xr:uid="{68415DD1-50A6-4436-967C-DDC355A70B26}"/>
    <cellStyle name="Normal 41 5 2" xfId="7189" xr:uid="{9FB39292-283F-4C06-A1DC-9DA4F5128CEF}"/>
    <cellStyle name="Normal 41 5 3" xfId="7190" xr:uid="{2D83A9D8-4924-44EE-A924-A80DA311817F}"/>
    <cellStyle name="Normal 41 6" xfId="7191" xr:uid="{715C473E-BDCE-4EB2-BEC3-3865E83C746F}"/>
    <cellStyle name="Normal 41 7" xfId="7192" xr:uid="{C61B3095-1235-44FF-AA19-2BE060C36E0E}"/>
    <cellStyle name="Normal 42" xfId="2187" xr:uid="{F6540CF3-27CE-4E2B-B680-D4DAEE53B9EF}"/>
    <cellStyle name="Normal 42 2" xfId="7193" xr:uid="{6E431FBB-A91E-4088-BCD6-2F6E40A5031D}"/>
    <cellStyle name="Normal 42 2 2" xfId="7194" xr:uid="{C504616A-9552-4973-BBC9-0AF8FD4262CE}"/>
    <cellStyle name="Normal 42 2 2 2" xfId="7195" xr:uid="{42B12CD0-7A54-486C-BB99-5EDE3EAD4D8A}"/>
    <cellStyle name="Normal 42 2 2 2 2" xfId="7196" xr:uid="{248861F8-F9F5-400F-9DF6-7546DEA4C774}"/>
    <cellStyle name="Normal 42 2 2 2 2 2" xfId="7197" xr:uid="{2E6882E4-5C16-4669-9BBF-2753C7948734}"/>
    <cellStyle name="Normal 42 2 2 2 2 3" xfId="7198" xr:uid="{9152D96A-E813-4F1F-AB78-B5DE1338409E}"/>
    <cellStyle name="Normal 42 2 2 2 3" xfId="7199" xr:uid="{C15826B5-3BDF-4E3C-9BF3-E9823DFC040D}"/>
    <cellStyle name="Normal 42 2 2 2 4" xfId="7200" xr:uid="{9C99B359-276D-4F1B-9B8E-92C6BB2E7D8E}"/>
    <cellStyle name="Normal 42 2 2 3" xfId="7201" xr:uid="{A69C922E-884E-4BD2-8158-B13CED36A243}"/>
    <cellStyle name="Normal 42 2 2 3 2" xfId="7202" xr:uid="{A2913FD7-0DDD-40C0-B80A-377A5649144B}"/>
    <cellStyle name="Normal 42 2 2 3 3" xfId="7203" xr:uid="{832BFAD7-81B5-4B83-8903-B4B279508E36}"/>
    <cellStyle name="Normal 42 2 2 4" xfId="7204" xr:uid="{15D782CE-11AB-4C3F-8962-1CC40F66ABB8}"/>
    <cellStyle name="Normal 42 2 2 5" xfId="7205" xr:uid="{0F45E172-6823-4316-8C17-77083875728D}"/>
    <cellStyle name="Normal 42 2 3" xfId="7206" xr:uid="{B5562EAB-9851-4B9C-9B31-5DCB8612912B}"/>
    <cellStyle name="Normal 42 2 3 2" xfId="7207" xr:uid="{E7F8056B-0815-41F8-B353-8FF1A130E4FD}"/>
    <cellStyle name="Normal 42 2 3 2 2" xfId="7208" xr:uid="{07E3B945-1C7A-45ED-94B9-F10DA61435A5}"/>
    <cellStyle name="Normal 42 2 3 2 3" xfId="7209" xr:uid="{07F0A595-8B10-466F-AA46-CBB47BC13A95}"/>
    <cellStyle name="Normal 42 2 3 3" xfId="7210" xr:uid="{DEBA6D63-B41B-4FE6-B343-24494E498101}"/>
    <cellStyle name="Normal 42 2 3 4" xfId="7211" xr:uid="{E7E1D282-391B-4147-B2F2-BB6A293C9C2D}"/>
    <cellStyle name="Normal 42 2 4" xfId="7212" xr:uid="{1BFCA48F-91A9-4673-AA25-E6390C760C99}"/>
    <cellStyle name="Normal 42 2 4 2" xfId="7213" xr:uid="{7F9257E2-351B-40D5-B6C9-5DCDF8430453}"/>
    <cellStyle name="Normal 42 2 4 3" xfId="7214" xr:uid="{E2567FB1-6D9A-4D7F-BEF3-6A9CD6D1DBD1}"/>
    <cellStyle name="Normal 42 2 5" xfId="7215" xr:uid="{BF8804AD-C215-409A-BE9B-58AAA6643C40}"/>
    <cellStyle name="Normal 42 2 6" xfId="7216" xr:uid="{018B5257-9F66-4D63-9874-AD78CA0F5AA2}"/>
    <cellStyle name="Normal 42 3" xfId="7217" xr:uid="{FD082E9D-D50B-4144-8230-487F8F8EDE55}"/>
    <cellStyle name="Normal 42 3 2" xfId="7218" xr:uid="{491C41A4-4730-46ED-B34C-F53AE2391F8D}"/>
    <cellStyle name="Normal 42 3 2 2" xfId="7219" xr:uid="{4EB4F75D-C464-4A38-8ABD-6871B1C472DC}"/>
    <cellStyle name="Normal 42 3 2 2 2" xfId="7220" xr:uid="{A31E387A-AE0E-4B35-9B35-A2A84D38C70B}"/>
    <cellStyle name="Normal 42 3 2 2 3" xfId="7221" xr:uid="{61C72147-57C5-40B1-A8EB-5E6BB90B804F}"/>
    <cellStyle name="Normal 42 3 2 3" xfId="7222" xr:uid="{07F7BF66-199E-4012-BA30-0462BAE3FC42}"/>
    <cellStyle name="Normal 42 3 2 4" xfId="7223" xr:uid="{A55239FF-F4AA-4AE2-B7A5-637A094EDDD2}"/>
    <cellStyle name="Normal 42 3 3" xfId="7224" xr:uid="{CB5B12E6-62CD-4143-A19B-25E07D1591A7}"/>
    <cellStyle name="Normal 42 3 3 2" xfId="7225" xr:uid="{F8CF3787-51E3-4A94-BF3E-B645B6F38760}"/>
    <cellStyle name="Normal 42 3 3 3" xfId="7226" xr:uid="{AEE8ABB5-CC29-4765-90F4-BA741306E8AB}"/>
    <cellStyle name="Normal 42 3 4" xfId="7227" xr:uid="{C8768D8F-49F5-4BB9-A128-757AC2F7DCAB}"/>
    <cellStyle name="Normal 42 3 5" xfId="7228" xr:uid="{A387532C-C04A-4C9A-8863-4C18BB2E67BA}"/>
    <cellStyle name="Normal 42 4" xfId="7229" xr:uid="{79C0E95F-AED5-480F-B1E9-2E814526333E}"/>
    <cellStyle name="Normal 42 4 2" xfId="7230" xr:uid="{35199322-2270-4F2A-8F69-C145B57E9188}"/>
    <cellStyle name="Normal 42 4 2 2" xfId="7231" xr:uid="{D22B28B0-E23D-47D1-A29C-258A8C8E49FC}"/>
    <cellStyle name="Normal 42 4 2 3" xfId="7232" xr:uid="{09C0B829-5DB8-4871-AAE7-2E13AF8CA0C2}"/>
    <cellStyle name="Normal 42 4 3" xfId="7233" xr:uid="{9C0C8A8E-1C8F-4FBA-B2B4-475C76668FE6}"/>
    <cellStyle name="Normal 42 4 4" xfId="7234" xr:uid="{863993BF-6C47-4D65-8E8B-ED016E2B19FF}"/>
    <cellStyle name="Normal 42 5" xfId="7235" xr:uid="{6DB54EDB-7AFB-44C3-AC08-7FA01E3A1E7A}"/>
    <cellStyle name="Normal 42 5 2" xfId="7236" xr:uid="{D0371394-F5C9-4805-886D-8152138B604A}"/>
    <cellStyle name="Normal 42 5 3" xfId="7237" xr:uid="{BD6A76BB-6FB2-4FFC-A809-E36E6E6A75AC}"/>
    <cellStyle name="Normal 42 6" xfId="7238" xr:uid="{4047D129-0389-46A4-BEFE-A5BE505DB772}"/>
    <cellStyle name="Normal 42 7" xfId="7239" xr:uid="{8D67FC22-7B4E-4F2F-AD02-69CFDFDA7350}"/>
    <cellStyle name="Normal 43" xfId="2188" xr:uid="{FAD451F6-FB09-4E09-A980-797B2883CD4F}"/>
    <cellStyle name="Normal 43 2" xfId="7240" xr:uid="{5C8DC83A-1159-41B8-ABFD-723565C2EE8B}"/>
    <cellStyle name="Normal 43 2 2" xfId="7241" xr:uid="{910CB4CE-7883-45D0-9A21-6E823240C7AA}"/>
    <cellStyle name="Normal 43 2 2 2" xfId="7242" xr:uid="{76873A13-DCDA-4BE3-BF43-453579E20412}"/>
    <cellStyle name="Normal 43 2 2 2 2" xfId="7243" xr:uid="{84823CEE-B55B-4BE2-90CC-1394DA96A834}"/>
    <cellStyle name="Normal 43 2 2 2 2 2" xfId="7244" xr:uid="{AFEC543E-326F-474E-A1AB-6DBFA7A75501}"/>
    <cellStyle name="Normal 43 2 2 2 2 3" xfId="7245" xr:uid="{3846388E-7C96-493C-BAE2-BCF6634A5CC0}"/>
    <cellStyle name="Normal 43 2 2 2 3" xfId="7246" xr:uid="{7B89F4F1-D32E-4AB7-AD67-237532CAFF02}"/>
    <cellStyle name="Normal 43 2 2 2 4" xfId="7247" xr:uid="{B819CA78-3352-47D9-BA61-DBC0C4639178}"/>
    <cellStyle name="Normal 43 2 2 3" xfId="7248" xr:uid="{FF430E1F-8C8D-42CC-970C-629C3C7E5311}"/>
    <cellStyle name="Normal 43 2 2 3 2" xfId="7249" xr:uid="{FDBBD199-2761-4EF9-AC15-A4BD43385270}"/>
    <cellStyle name="Normal 43 2 2 3 3" xfId="7250" xr:uid="{27B531A7-A253-4179-B59C-FFE896832F91}"/>
    <cellStyle name="Normal 43 2 2 4" xfId="7251" xr:uid="{0FFF70C5-8A2E-4720-8940-B8EC46314A7E}"/>
    <cellStyle name="Normal 43 2 2 5" xfId="7252" xr:uid="{6E669AD7-D9A6-4585-AB54-07F321ECB63F}"/>
    <cellStyle name="Normal 43 2 3" xfId="7253" xr:uid="{88E87474-9853-4EA5-9027-2437F3AA22A6}"/>
    <cellStyle name="Normal 43 2 3 2" xfId="7254" xr:uid="{F933C6F7-FE32-4B5E-B750-1EB01046BB1F}"/>
    <cellStyle name="Normal 43 2 3 2 2" xfId="7255" xr:uid="{752FF5FA-7D51-4959-9542-6669EF4399EF}"/>
    <cellStyle name="Normal 43 2 3 2 3" xfId="7256" xr:uid="{892C3D6D-0492-4968-8C12-09E24012E3B7}"/>
    <cellStyle name="Normal 43 2 3 3" xfId="7257" xr:uid="{618522B5-2C09-425A-BD6F-F9940D7AE238}"/>
    <cellStyle name="Normal 43 2 3 4" xfId="7258" xr:uid="{DECA1AC5-FDF3-4B38-83CB-7E3B65595116}"/>
    <cellStyle name="Normal 43 2 4" xfId="7259" xr:uid="{0F3A1682-CF72-4DC5-A123-FCCE088EA160}"/>
    <cellStyle name="Normal 43 2 4 2" xfId="7260" xr:uid="{295191A8-D776-42AD-9341-F4261AAF1491}"/>
    <cellStyle name="Normal 43 2 4 3" xfId="7261" xr:uid="{43C272C4-CA07-4215-9C32-FFE971D090F0}"/>
    <cellStyle name="Normal 43 2 5" xfId="7262" xr:uid="{98B07966-BA22-491F-B724-6C6951D5E6B2}"/>
    <cellStyle name="Normal 43 2 6" xfId="7263" xr:uid="{4C6C71D4-E470-479A-901F-E2AC1149EF17}"/>
    <cellStyle name="Normal 43 3" xfId="7264" xr:uid="{DAC6D3BF-A8DC-4689-BEA8-91F8A6C00889}"/>
    <cellStyle name="Normal 43 3 2" xfId="7265" xr:uid="{ED8986A8-7680-447B-9286-44584FB64E00}"/>
    <cellStyle name="Normal 43 3 2 2" xfId="7266" xr:uid="{9574EFFB-2B9A-47C6-9E48-65C7F8020538}"/>
    <cellStyle name="Normal 43 3 2 2 2" xfId="7267" xr:uid="{B69F16F0-2517-4214-8152-8F30C8B29691}"/>
    <cellStyle name="Normal 43 3 2 2 3" xfId="7268" xr:uid="{81FEE364-0194-41A8-B7D5-EFD7273C55BB}"/>
    <cellStyle name="Normal 43 3 2 3" xfId="7269" xr:uid="{633C6A62-6E84-436A-8CD0-A21B70F9B261}"/>
    <cellStyle name="Normal 43 3 2 4" xfId="7270" xr:uid="{4FC883F6-0163-49BA-BBCC-906AB2B6292B}"/>
    <cellStyle name="Normal 43 3 3" xfId="7271" xr:uid="{5D7A1440-3194-4D76-ABF3-9AE292E8BE5F}"/>
    <cellStyle name="Normal 43 3 3 2" xfId="7272" xr:uid="{F6935735-A83E-4205-8525-5A267F753CDB}"/>
    <cellStyle name="Normal 43 3 3 3" xfId="7273" xr:uid="{A3002937-9FFE-4D92-88DE-0FF58960D3C9}"/>
    <cellStyle name="Normal 43 3 4" xfId="7274" xr:uid="{40E2A2A5-A6FB-417D-AE52-B8B7CFA23C70}"/>
    <cellStyle name="Normal 43 3 5" xfId="7275" xr:uid="{A425DEA9-7424-4777-815B-1EDD85624D04}"/>
    <cellStyle name="Normal 43 4" xfId="7276" xr:uid="{C65B425C-6D9D-4B5C-890E-F0F7EDD58966}"/>
    <cellStyle name="Normal 43 4 2" xfId="7277" xr:uid="{EE3E5CD2-5BB1-4489-8628-377885F4DC5D}"/>
    <cellStyle name="Normal 43 4 2 2" xfId="7278" xr:uid="{3DA31F4F-835E-49A9-A12B-AB4C39327013}"/>
    <cellStyle name="Normal 43 4 2 3" xfId="7279" xr:uid="{D9EAEB1F-18BB-4DC7-98BE-24DCE30714E7}"/>
    <cellStyle name="Normal 43 4 3" xfId="7280" xr:uid="{61171C43-7EF3-4303-9C08-578A41BB35BB}"/>
    <cellStyle name="Normal 43 4 4" xfId="7281" xr:uid="{73BD4FE2-8C25-46DC-8BF1-D2302C0E9921}"/>
    <cellStyle name="Normal 43 5" xfId="7282" xr:uid="{12177D39-D8A6-4445-B256-7357A27D57B8}"/>
    <cellStyle name="Normal 43 5 2" xfId="7283" xr:uid="{7B0B53BE-7C3C-4762-8A24-756C4C57E0BA}"/>
    <cellStyle name="Normal 43 5 3" xfId="7284" xr:uid="{A3E06A2E-66BC-44D0-8CF7-1C8D0B32F1B1}"/>
    <cellStyle name="Normal 43 6" xfId="7285" xr:uid="{454DA3E6-5DFD-4048-B03D-D993895C9894}"/>
    <cellStyle name="Normal 43 7" xfId="7286" xr:uid="{79DFA4F5-BC9D-47F1-B16C-A414DB7B927A}"/>
    <cellStyle name="Normal 44" xfId="2189" xr:uid="{0FC82673-8096-4476-81B6-F2468062633F}"/>
    <cellStyle name="Normal 44 2" xfId="2190" xr:uid="{A4BC1339-CEA2-49AC-A3DE-E031B9580E0B}"/>
    <cellStyle name="Normal 44 3" xfId="2191" xr:uid="{0D5D36D6-F086-4A9C-9AA7-60F782A819BB}"/>
    <cellStyle name="Normal 44_30" xfId="2192" xr:uid="{A9D40AD1-F183-41FA-9876-EC7B9193BA1A}"/>
    <cellStyle name="Normal 45" xfId="2193" xr:uid="{8941B3A4-CA0C-47E6-9281-564AECEF322F}"/>
    <cellStyle name="Normal 45 2" xfId="2194" xr:uid="{DAFF1D25-40AD-40C1-8B5B-2BAAD2172E6F}"/>
    <cellStyle name="Normal 45 2 2" xfId="7287" xr:uid="{D33C22D8-3734-43A0-A6F1-68B35C9DD3C6}"/>
    <cellStyle name="Normal 45 2 2 2" xfId="7288" xr:uid="{F1EDCAB9-126E-4DAD-8DD6-30F56558E821}"/>
    <cellStyle name="Normal 45 2 2 2 2" xfId="7289" xr:uid="{4E6050BC-3332-4986-ABA3-75A974036F0C}"/>
    <cellStyle name="Normal 45 2 2 2 2 2" xfId="7290" xr:uid="{C50E05CE-0A4B-4EA1-8C78-EFAAFA1AECFD}"/>
    <cellStyle name="Normal 45 2 2 2 2 3" xfId="7291" xr:uid="{1953A41A-9D47-4D56-9B42-7BD69C069BA8}"/>
    <cellStyle name="Normal 45 2 2 2 3" xfId="7292" xr:uid="{5B42B51E-64B2-4A9B-83F4-4A6A31978C1A}"/>
    <cellStyle name="Normal 45 2 2 2 4" xfId="7293" xr:uid="{717AA4DA-7732-46AB-BFAF-96211CC3E2AA}"/>
    <cellStyle name="Normal 45 2 2 3" xfId="7294" xr:uid="{920254B9-2B35-41BE-A499-E949D3973E2B}"/>
    <cellStyle name="Normal 45 2 2 3 2" xfId="7295" xr:uid="{A8D6067F-CE58-44A7-B92B-D1EFAB853582}"/>
    <cellStyle name="Normal 45 2 2 3 3" xfId="7296" xr:uid="{5E6D266A-739F-43FF-94A4-E462E8297928}"/>
    <cellStyle name="Normal 45 2 2 4" xfId="7297" xr:uid="{5C77C8C6-2E4D-4F8F-9887-5431027B216B}"/>
    <cellStyle name="Normal 45 2 2 5" xfId="7298" xr:uid="{9F26971B-BBD9-42B8-B371-25253A4F813E}"/>
    <cellStyle name="Normal 45 2 3" xfId="7299" xr:uid="{41F7ABDD-FB44-4A37-AAF4-AAA758057E99}"/>
    <cellStyle name="Normal 45 2 3 2" xfId="7300" xr:uid="{E7477580-B144-4B79-B28E-2346814107C1}"/>
    <cellStyle name="Normal 45 2 3 2 2" xfId="7301" xr:uid="{A5095814-0937-4517-93B7-463713331BC4}"/>
    <cellStyle name="Normal 45 2 3 2 3" xfId="7302" xr:uid="{F5860971-DB47-4D38-AC33-D9EC88DD6863}"/>
    <cellStyle name="Normal 45 2 3 3" xfId="7303" xr:uid="{705D77F2-5ED4-4D13-8F19-7B17E3C0C429}"/>
    <cellStyle name="Normal 45 2 3 4" xfId="7304" xr:uid="{797DF267-1C5A-4BF7-AF7B-6F6960953800}"/>
    <cellStyle name="Normal 45 2 4" xfId="7305" xr:uid="{39772484-9C23-4ACE-885C-3A5644BDF704}"/>
    <cellStyle name="Normal 45 2 4 2" xfId="7306" xr:uid="{073149AF-F1E7-4C35-A881-CE03C1E008AB}"/>
    <cellStyle name="Normal 45 2 4 3" xfId="7307" xr:uid="{4E99AC28-A7F2-4D7D-A185-6C3DE99036C0}"/>
    <cellStyle name="Normal 45 2 5" xfId="7308" xr:uid="{4488C6D9-3B3F-4C92-8E4C-6DD9627686E8}"/>
    <cellStyle name="Normal 45 2 6" xfId="7309" xr:uid="{996563C8-316B-4F5D-A4DA-6F76C991F0F8}"/>
    <cellStyle name="Normal 45 3" xfId="7310" xr:uid="{CC93498A-B357-4FCA-9219-01812256FBDA}"/>
    <cellStyle name="Normal 45 3 2" xfId="7311" xr:uid="{09A592C7-A8A2-4D5D-A229-9533E179DA7A}"/>
    <cellStyle name="Normal 45 3 2 2" xfId="7312" xr:uid="{B94B0F8D-1388-4C88-9441-F3E0E4BAF332}"/>
    <cellStyle name="Normal 45 3 2 2 2" xfId="7313" xr:uid="{3FFCB510-F459-41FA-97F3-C28C20F90342}"/>
    <cellStyle name="Normal 45 3 2 2 3" xfId="7314" xr:uid="{22B15952-D39B-4BBF-92D8-159F5865C1D3}"/>
    <cellStyle name="Normal 45 3 2 3" xfId="7315" xr:uid="{2301D477-44A1-4841-A939-EE0A58696649}"/>
    <cellStyle name="Normal 45 3 2 4" xfId="7316" xr:uid="{F159B13B-B100-4171-968F-89299402D7E2}"/>
    <cellStyle name="Normal 45 3 3" xfId="7317" xr:uid="{FA5B516C-1D09-437C-9AAE-B0AB508AC8C8}"/>
    <cellStyle name="Normal 45 3 3 2" xfId="7318" xr:uid="{34995001-DD38-4D74-BCC0-0E738F3B89ED}"/>
    <cellStyle name="Normal 45 3 3 3" xfId="7319" xr:uid="{78A3AEA4-C15B-4DAF-B572-555087023480}"/>
    <cellStyle name="Normal 45 3 4" xfId="7320" xr:uid="{26F5E69B-5C4D-4D3C-91A3-2E345C33B896}"/>
    <cellStyle name="Normal 45 3 5" xfId="7321" xr:uid="{7CC42F21-1344-4B20-91D6-1BD71F6EB77C}"/>
    <cellStyle name="Normal 45 4" xfId="7322" xr:uid="{E759DBD0-A0BE-48CF-8A5F-3492DC26E32E}"/>
    <cellStyle name="Normal 45 4 2" xfId="7323" xr:uid="{2CCEB8CE-728A-4EE4-BEC4-27B298E795EC}"/>
    <cellStyle name="Normal 45 4 2 2" xfId="7324" xr:uid="{DC4FAAB7-A4F3-490F-88BC-A0153F5E12A1}"/>
    <cellStyle name="Normal 45 4 2 3" xfId="7325" xr:uid="{F23C9331-386C-4D51-88E8-B8A9BCC8DB7C}"/>
    <cellStyle name="Normal 45 4 3" xfId="7326" xr:uid="{0B6DC51F-59F1-45A4-A854-DF9EDAFA1AA2}"/>
    <cellStyle name="Normal 45 4 4" xfId="7327" xr:uid="{7BCC4956-649B-4010-BC43-295E42CCDA63}"/>
    <cellStyle name="Normal 45 5" xfId="7328" xr:uid="{7620E04D-1131-4E3D-B066-C564858C2DC1}"/>
    <cellStyle name="Normal 45 5 2" xfId="7329" xr:uid="{1A3D8734-1334-492B-B99E-2FAED3697E0F}"/>
    <cellStyle name="Normal 45 5 3" xfId="7330" xr:uid="{992C909E-E0EA-463E-8814-60BB42594B2A}"/>
    <cellStyle name="Normal 45 6" xfId="7331" xr:uid="{720E0664-2A72-4408-92E4-B45FCAD187A0}"/>
    <cellStyle name="Normal 45 7" xfId="7332" xr:uid="{F28DCB47-7579-47B1-98EA-4AB86E9E8CD5}"/>
    <cellStyle name="Normal 46" xfId="2195" xr:uid="{D271ADED-E402-47CD-A35C-9C1DE3CDB9BC}"/>
    <cellStyle name="Normal 46 2" xfId="2196" xr:uid="{22F96A52-1C11-42FC-80E1-2ACC10A1E51B}"/>
    <cellStyle name="Normal 46 2 2" xfId="7333" xr:uid="{84EB426A-6068-443F-856E-C0D1016C5612}"/>
    <cellStyle name="Normal 46 3" xfId="2197" xr:uid="{82F11DBF-0A78-4BA9-8960-F19A69F76F48}"/>
    <cellStyle name="Normal 47" xfId="2198" xr:uid="{B21A4539-AD62-42BE-B5B1-87BE1D697CD3}"/>
    <cellStyle name="Normal 47 2" xfId="2199" xr:uid="{6F067320-2E57-4F24-8CA4-29D53ABA23E5}"/>
    <cellStyle name="Normal 47 2 2" xfId="7334" xr:uid="{7CC8D7A1-74BC-4551-AF2E-93D9E1611783}"/>
    <cellStyle name="Normal 47 3" xfId="2200" xr:uid="{C6ECCEC6-A1BA-47F4-AAEA-F8CDBFFFC673}"/>
    <cellStyle name="Normal 48" xfId="2201" xr:uid="{0E5D2707-2383-4909-AF1C-BD6C69E3A12C}"/>
    <cellStyle name="Normal 48 2" xfId="2202" xr:uid="{2D7B3D12-7305-4694-B105-E6BFDE82DA23}"/>
    <cellStyle name="Normal 48 2 2" xfId="7335" xr:uid="{92A1CF4C-9B00-4515-8CF6-79186EC022C1}"/>
    <cellStyle name="Normal 48 3" xfId="2203" xr:uid="{892E0125-065A-490B-A007-9AD88C8250DB}"/>
    <cellStyle name="Normal 49" xfId="2204" xr:uid="{C799D31D-1088-42AF-BF20-6B88CD395824}"/>
    <cellStyle name="Normal 49 2" xfId="2205" xr:uid="{93C215EC-F72E-4983-B1CE-59459D5CFB48}"/>
    <cellStyle name="Normal 49 2 2" xfId="7336" xr:uid="{926DA89E-06CB-43FB-9257-B92975EB455E}"/>
    <cellStyle name="Normal 49 2 2 2" xfId="7337" xr:uid="{8AB1EE0E-F57A-4795-AFE2-31B7D66C559D}"/>
    <cellStyle name="Normal 49 2 2 2 2" xfId="7338" xr:uid="{F706CC79-5988-4BC0-BD73-FACAF39D87C9}"/>
    <cellStyle name="Normal 49 2 2 2 2 2" xfId="7339" xr:uid="{CBB2471D-FF28-419E-B01F-A0C51482E28B}"/>
    <cellStyle name="Normal 49 2 2 2 2 3" xfId="7340" xr:uid="{1719F762-9FF1-43DD-9117-9274D6CBC4B0}"/>
    <cellStyle name="Normal 49 2 2 2 3" xfId="7341" xr:uid="{21867FBF-9938-4AC7-9A35-2D9C28C09988}"/>
    <cellStyle name="Normal 49 2 2 2 4" xfId="7342" xr:uid="{83A14BA1-E1DC-4D30-86F6-4A73ECB5B2E1}"/>
    <cellStyle name="Normal 49 2 2 3" xfId="7343" xr:uid="{B8F734DE-FD42-488B-A3D1-9C9305198550}"/>
    <cellStyle name="Normal 49 2 2 3 2" xfId="7344" xr:uid="{FCC21464-20E9-41AD-B4E9-024E989A4619}"/>
    <cellStyle name="Normal 49 2 2 3 3" xfId="7345" xr:uid="{FAA0D050-1E5E-4964-8F5B-2D9563D1D73E}"/>
    <cellStyle name="Normal 49 2 2 4" xfId="7346" xr:uid="{C6D4620B-9DEA-474F-901B-FBD87B82EC81}"/>
    <cellStyle name="Normal 49 2 2 5" xfId="7347" xr:uid="{C7297AEC-3B08-4573-A896-B0B077F97F9F}"/>
    <cellStyle name="Normal 49 2 3" xfId="7348" xr:uid="{24DE1896-E899-43EE-A60C-6B7B268FFB28}"/>
    <cellStyle name="Normal 49 2 3 2" xfId="7349" xr:uid="{32877B35-E8C3-437D-BE49-6418A1EA3106}"/>
    <cellStyle name="Normal 49 2 3 2 2" xfId="7350" xr:uid="{0BA43BD3-0C28-4E15-9508-CF58566C0357}"/>
    <cellStyle name="Normal 49 2 3 2 3" xfId="7351" xr:uid="{51A7672A-5207-4EEF-B467-153B772799C3}"/>
    <cellStyle name="Normal 49 2 3 3" xfId="7352" xr:uid="{36EF9ADD-56E5-43EC-9B53-78E245E822AB}"/>
    <cellStyle name="Normal 49 2 3 4" xfId="7353" xr:uid="{7B2B7225-F2BD-4D81-9369-68BF58A0C68C}"/>
    <cellStyle name="Normal 49 2 4" xfId="7354" xr:uid="{ADFF67E0-9E08-4DE0-86C9-D24B9EA310B7}"/>
    <cellStyle name="Normal 49 2 4 2" xfId="7355" xr:uid="{5CE1DDDC-1DFD-477C-B855-54E4C580332A}"/>
    <cellStyle name="Normal 49 2 4 3" xfId="7356" xr:uid="{D3A2D3DC-B2D6-46DC-B139-34E13899D040}"/>
    <cellStyle name="Normal 49 2 5" xfId="7357" xr:uid="{88343DEA-C47C-4B87-92EA-C715F5628CC3}"/>
    <cellStyle name="Normal 49 2 6" xfId="7358" xr:uid="{28F08AD7-8878-4517-BDF0-3511ADD8BB5D}"/>
    <cellStyle name="Normal 49 3" xfId="7359" xr:uid="{1104109F-4C45-4C20-BA14-1248948C7501}"/>
    <cellStyle name="Normal 49 3 2" xfId="7360" xr:uid="{BE06DE27-E735-423E-9A0D-88E50709253F}"/>
    <cellStyle name="Normal 49 3 2 2" xfId="7361" xr:uid="{4061B5D8-48A4-4E42-821D-973BA8989268}"/>
    <cellStyle name="Normal 49 3 2 2 2" xfId="7362" xr:uid="{5CA2396D-2B52-4C50-B959-CC0737F10E42}"/>
    <cellStyle name="Normal 49 3 2 2 3" xfId="7363" xr:uid="{75EB312C-274F-4CDD-BBE3-6ABAE8AB21CB}"/>
    <cellStyle name="Normal 49 3 2 3" xfId="7364" xr:uid="{88C415B8-DB8C-410D-8954-7E9C364680B0}"/>
    <cellStyle name="Normal 49 3 2 4" xfId="7365" xr:uid="{922EFFBE-0FF2-40BE-9E86-7EE2655FDCCF}"/>
    <cellStyle name="Normal 49 3 3" xfId="7366" xr:uid="{25A68901-B3CA-439C-A8D0-582767F26784}"/>
    <cellStyle name="Normal 49 3 3 2" xfId="7367" xr:uid="{AF61ED16-EC05-40C8-8C5D-0A2FFAF6F475}"/>
    <cellStyle name="Normal 49 3 3 3" xfId="7368" xr:uid="{7B8E9A63-BD89-4B7D-9878-1DBE0A178032}"/>
    <cellStyle name="Normal 49 3 4" xfId="7369" xr:uid="{86F1DBC9-5194-48F9-8012-1CA3F7CA2430}"/>
    <cellStyle name="Normal 49 3 5" xfId="7370" xr:uid="{8A1A9D77-030D-41A6-B0CC-FF668AEEF3E7}"/>
    <cellStyle name="Normal 49 4" xfId="7371" xr:uid="{1CEDBF43-8256-41C0-84BD-E938FAC03A72}"/>
    <cellStyle name="Normal 49 4 2" xfId="7372" xr:uid="{5E848B05-C06C-48B2-AB2F-48AFB689794B}"/>
    <cellStyle name="Normal 49 4 2 2" xfId="7373" xr:uid="{069500FF-6309-4717-9FD4-777F5CFA2BE7}"/>
    <cellStyle name="Normal 49 4 2 3" xfId="7374" xr:uid="{7AF88469-F25B-4346-A4C8-B5CFAFFCC8CB}"/>
    <cellStyle name="Normal 49 4 3" xfId="7375" xr:uid="{9B36FA3E-5ADA-496B-BA9D-9F50FBDFC9A2}"/>
    <cellStyle name="Normal 49 4 4" xfId="7376" xr:uid="{52A10659-6A1C-43DB-A56F-E6B35F996AEF}"/>
    <cellStyle name="Normal 49 5" xfId="7377" xr:uid="{CE930500-A5DC-440F-8F1C-78968B63297D}"/>
    <cellStyle name="Normal 49 5 2" xfId="7378" xr:uid="{8F056904-16C6-45EF-A9D8-325D6459B98D}"/>
    <cellStyle name="Normal 49 5 3" xfId="7379" xr:uid="{1B8189F2-1A40-4C0A-A443-044BACEF78EA}"/>
    <cellStyle name="Normal 49 6" xfId="7380" xr:uid="{7AD0A78B-51D2-47A6-9EEF-1E247C961494}"/>
    <cellStyle name="Normal 49 7" xfId="7381" xr:uid="{24FA00A9-F2BB-4D96-9E37-282A2DC2E384}"/>
    <cellStyle name="Normal 5" xfId="2206" xr:uid="{D356AE17-8A95-4288-84FB-C861B81B3B49}"/>
    <cellStyle name="Normal 5 10" xfId="2207" xr:uid="{F7C80DA7-329F-4548-999F-E8F2B1AA4A0F}"/>
    <cellStyle name="Normal 5 2" xfId="2208" xr:uid="{E57E4744-144C-49D8-81D0-5CBFB9051C04}"/>
    <cellStyle name="Normal 5 2 2" xfId="2209" xr:uid="{07A6D7AE-8427-4C98-9962-82723AE76041}"/>
    <cellStyle name="Normal 5 2 2 2" xfId="7382" xr:uid="{E8516D69-5ADA-4F66-AF89-A4745611166C}"/>
    <cellStyle name="Normal 5 2 3" xfId="2210" xr:uid="{89230B65-DCA4-4A94-9919-3645A6332458}"/>
    <cellStyle name="Normal 5 3" xfId="2211" xr:uid="{41C3EAD0-FA2D-4132-AE4A-73ED01297ACA}"/>
    <cellStyle name="Normal 5 3 2" xfId="2212" xr:uid="{523C9FDC-842E-4F3E-A803-338AD7EA5234}"/>
    <cellStyle name="Normal 5 4" xfId="2213" xr:uid="{86960C3B-63A7-42A6-9BFC-71D91AE387B9}"/>
    <cellStyle name="Normal 5 4 2" xfId="2214" xr:uid="{8D6F6266-1005-4ACF-A147-5C2C8D591C62}"/>
    <cellStyle name="Normal 5 5" xfId="2215" xr:uid="{20C827CC-1C48-44C5-AF95-E4412AA4B240}"/>
    <cellStyle name="Normal 5 5 2" xfId="2216" xr:uid="{D81E8E4D-4FF3-48DD-8313-103CF247E3E2}"/>
    <cellStyle name="Normal 5 6" xfId="2217" xr:uid="{8B1992DD-6997-4EB7-B31B-8E1EAD2E2A6E}"/>
    <cellStyle name="Normal 5 6 2" xfId="2218" xr:uid="{E10762EF-9087-4192-88F1-7C329AB45A85}"/>
    <cellStyle name="Normal 5 7" xfId="2219" xr:uid="{EC380AED-249B-4EB5-93DF-6B3F1FFB1C6E}"/>
    <cellStyle name="Normal 5 7 2" xfId="2220" xr:uid="{4C5437DC-D72E-417D-A829-BFB1DAD7B8EF}"/>
    <cellStyle name="Normal 5 8" xfId="2221" xr:uid="{80621F4A-44B5-42C6-B150-3248BC6C27AB}"/>
    <cellStyle name="Normal 5 8 2" xfId="2222" xr:uid="{32DC3AE5-4312-427F-92EB-39A47765604F}"/>
    <cellStyle name="Normal 5 9" xfId="2223" xr:uid="{EA22DAA9-3CAD-43EB-87F7-41A84F3A8C67}"/>
    <cellStyle name="Normal 5 9 2" xfId="3612" xr:uid="{F6461241-A647-4998-A34E-5739BCF8C13A}"/>
    <cellStyle name="Normal 5_1.0 HFM data" xfId="7383" xr:uid="{F43EE175-4CA6-4532-88F7-BA332EEA2AD1}"/>
    <cellStyle name="Normal 50" xfId="2224" xr:uid="{414262B3-A8CD-4A3C-8007-0AF78B78A831}"/>
    <cellStyle name="Normal 50 2" xfId="2225" xr:uid="{86084847-0171-4EAA-A9BB-DA4C7F8CF6D7}"/>
    <cellStyle name="Normal 50 2 2" xfId="7384" xr:uid="{AC7731D8-C6CF-4178-BD51-71EBAB1649DB}"/>
    <cellStyle name="Normal 50 2 2 2" xfId="7385" xr:uid="{990E506A-2E09-45A9-9658-0C9DF444C230}"/>
    <cellStyle name="Normal 50 2 2 2 2" xfId="7386" xr:uid="{3A07FBCE-4347-494D-96CC-223D5B38B194}"/>
    <cellStyle name="Normal 50 2 2 2 2 2" xfId="7387" xr:uid="{BFAB8B6D-388D-4B52-ABE5-E024DE013B24}"/>
    <cellStyle name="Normal 50 2 2 2 2 3" xfId="7388" xr:uid="{9A1FA7BA-4995-4B03-ABCC-A0CBB43A1891}"/>
    <cellStyle name="Normal 50 2 2 2 3" xfId="7389" xr:uid="{4DA78E13-1913-418C-BF76-96EA2B3B0E7A}"/>
    <cellStyle name="Normal 50 2 2 2 4" xfId="7390" xr:uid="{F51F311F-D312-4E01-8C69-17F45AB51715}"/>
    <cellStyle name="Normal 50 2 2 3" xfId="7391" xr:uid="{BD48099E-BD4C-4717-BF9F-2E05BF57C34F}"/>
    <cellStyle name="Normal 50 2 2 3 2" xfId="7392" xr:uid="{EBEAFF6A-C5AE-4257-9182-D17538C56EFA}"/>
    <cellStyle name="Normal 50 2 2 3 3" xfId="7393" xr:uid="{76DF0FE3-7C0B-4BE2-8667-C2CB933F57FC}"/>
    <cellStyle name="Normal 50 2 2 4" xfId="7394" xr:uid="{B7FA608A-2F86-425F-939D-5E1EE3E5EF58}"/>
    <cellStyle name="Normal 50 2 2 5" xfId="7395" xr:uid="{BC3D92DC-626F-4CFA-B8DB-F081DBC9A008}"/>
    <cellStyle name="Normal 50 2 3" xfId="7396" xr:uid="{FA2F1778-C4E1-4FDF-AE25-1CBB2247700D}"/>
    <cellStyle name="Normal 50 2 3 2" xfId="7397" xr:uid="{50049E22-E17B-4455-9879-4339913BD332}"/>
    <cellStyle name="Normal 50 2 3 2 2" xfId="7398" xr:uid="{8B8949B0-425B-44C8-BC3D-42CC39F09858}"/>
    <cellStyle name="Normal 50 2 3 2 3" xfId="7399" xr:uid="{6C726BB2-018A-4D13-A6C2-DFC2E84C9583}"/>
    <cellStyle name="Normal 50 2 3 3" xfId="7400" xr:uid="{94F24AE5-CE8E-4B7C-AF67-3CB97B45E629}"/>
    <cellStyle name="Normal 50 2 3 4" xfId="7401" xr:uid="{88DD22AE-441F-447C-B44A-ACFEB39BDF40}"/>
    <cellStyle name="Normal 50 2 4" xfId="7402" xr:uid="{2E20EDA2-19E6-4327-AB4C-22B3F80A0729}"/>
    <cellStyle name="Normal 50 2 4 2" xfId="7403" xr:uid="{3E741BA5-4614-4400-84A2-9D1FFEA265D6}"/>
    <cellStyle name="Normal 50 2 4 3" xfId="7404" xr:uid="{470906DC-4925-4713-BB8D-FD0AA16F7C96}"/>
    <cellStyle name="Normal 50 2 5" xfId="7405" xr:uid="{36408FB0-A199-43F9-B2FA-EA651010FE2D}"/>
    <cellStyle name="Normal 50 2 6" xfId="7406" xr:uid="{1328047B-9C86-40EC-9F20-1F2E2EFA4245}"/>
    <cellStyle name="Normal 50 3" xfId="7407" xr:uid="{9193B17D-83E2-42F1-80F8-6ED1426C0616}"/>
    <cellStyle name="Normal 50 3 2" xfId="7408" xr:uid="{82EF6F61-06C9-4099-8A39-F863BCACDC2F}"/>
    <cellStyle name="Normal 50 3 2 2" xfId="7409" xr:uid="{ADF9BDA3-0572-4EF4-AF15-0683051F39A3}"/>
    <cellStyle name="Normal 50 3 2 2 2" xfId="7410" xr:uid="{00606D66-5CF7-48F5-854E-D6BDEDCDBB2F}"/>
    <cellStyle name="Normal 50 3 2 2 3" xfId="7411" xr:uid="{471F7050-8D71-4684-9426-2894166FA39C}"/>
    <cellStyle name="Normal 50 3 2 3" xfId="7412" xr:uid="{B81696A4-6066-4F01-8423-C8D860B1F64E}"/>
    <cellStyle name="Normal 50 3 2 4" xfId="7413" xr:uid="{4AC15153-792C-400A-8B36-F5A007576555}"/>
    <cellStyle name="Normal 50 3 3" xfId="7414" xr:uid="{EBB80C1D-71CD-45CD-914C-E0F2EC621C81}"/>
    <cellStyle name="Normal 50 3 3 2" xfId="7415" xr:uid="{0F272013-0880-41EA-8849-2228FD0364FD}"/>
    <cellStyle name="Normal 50 3 3 3" xfId="7416" xr:uid="{921FCF1D-8F0A-4233-973D-5213D0DB64B1}"/>
    <cellStyle name="Normal 50 3 4" xfId="7417" xr:uid="{2F2DADDE-16D8-4A30-92FA-79B519AB5465}"/>
    <cellStyle name="Normal 50 3 5" xfId="7418" xr:uid="{D8E82F57-4409-4EB4-BC52-F018AC11CD4A}"/>
    <cellStyle name="Normal 50 4" xfId="7419" xr:uid="{656503DD-A70B-43BE-BB5A-2E6402E70706}"/>
    <cellStyle name="Normal 50 4 2" xfId="7420" xr:uid="{4E388BDB-C216-4D69-BD50-D6D91B2D87F1}"/>
    <cellStyle name="Normal 50 4 2 2" xfId="7421" xr:uid="{8C0E67E7-30A1-4FF9-BEA7-7F7C7FD05F30}"/>
    <cellStyle name="Normal 50 4 2 3" xfId="7422" xr:uid="{695961C9-4ED4-459C-A64A-8B40F33B16F4}"/>
    <cellStyle name="Normal 50 4 3" xfId="7423" xr:uid="{F3F33606-83E9-4DD2-BD81-AAFEA2165213}"/>
    <cellStyle name="Normal 50 4 4" xfId="7424" xr:uid="{96088281-937C-414A-8F4A-147A4B5D3608}"/>
    <cellStyle name="Normal 50 5" xfId="7425" xr:uid="{8676A448-9DA9-4C26-BBBE-AA5996E01C14}"/>
    <cellStyle name="Normal 50 5 2" xfId="7426" xr:uid="{07236C63-55C5-4665-BCA8-A36235246EAE}"/>
    <cellStyle name="Normal 50 5 3" xfId="7427" xr:uid="{775DAF14-5959-468A-BF8C-F857F6338ED9}"/>
    <cellStyle name="Normal 50 6" xfId="7428" xr:uid="{47EE4FE5-E416-40AB-932A-F7CF3737B606}"/>
    <cellStyle name="Normal 50 7" xfId="7429" xr:uid="{E1123748-AC9A-415D-AC42-64729518799D}"/>
    <cellStyle name="Normal 51" xfId="2226" xr:uid="{046916F3-ABC2-4E68-ACCD-B875C406C95F}"/>
    <cellStyle name="Normal 51 2" xfId="2227" xr:uid="{1A2527BA-75EB-4020-B812-02171055EC35}"/>
    <cellStyle name="Normal 51 2 2" xfId="7430" xr:uid="{B1E2A8F1-6B42-437C-BD99-1AB229A21967}"/>
    <cellStyle name="Normal 51 2 2 2" xfId="7431" xr:uid="{AAE8B035-3F99-4099-8F37-A0F0C095C434}"/>
    <cellStyle name="Normal 51 2 2 2 2" xfId="7432" xr:uid="{D9516157-5AB1-4632-8ABE-9443A5B08DC7}"/>
    <cellStyle name="Normal 51 2 2 2 2 2" xfId="7433" xr:uid="{64A01C22-E692-477F-837A-B324A595689E}"/>
    <cellStyle name="Normal 51 2 2 2 2 3" xfId="7434" xr:uid="{A7956DCE-AFE8-42B6-B03B-1E4BF1DBDA69}"/>
    <cellStyle name="Normal 51 2 2 2 3" xfId="7435" xr:uid="{C7624D9C-CA3F-475C-9F22-8081C85F5700}"/>
    <cellStyle name="Normal 51 2 2 2 4" xfId="7436" xr:uid="{28EFBD99-2B7F-46F6-8A48-F874A41757FE}"/>
    <cellStyle name="Normal 51 2 2 3" xfId="7437" xr:uid="{C3ED4467-A2F0-42B2-9D81-1D8D6F15F46E}"/>
    <cellStyle name="Normal 51 2 2 3 2" xfId="7438" xr:uid="{9623FEF2-D10E-4D01-9F1B-C75CE4CD1D16}"/>
    <cellStyle name="Normal 51 2 2 3 3" xfId="7439" xr:uid="{32C929E5-47CF-47A6-9325-FE40DE44571E}"/>
    <cellStyle name="Normal 51 2 2 4" xfId="7440" xr:uid="{03D211C5-B84F-4760-BC7A-55FCFB8BDF30}"/>
    <cellStyle name="Normal 51 2 2 5" xfId="7441" xr:uid="{48E92D5C-35CC-4CA6-A848-276A42BAA8C5}"/>
    <cellStyle name="Normal 51 2 3" xfId="7442" xr:uid="{F645A84E-AA71-4339-9A1A-4AD5EA186826}"/>
    <cellStyle name="Normal 51 2 3 2" xfId="7443" xr:uid="{A6AC7A1F-635A-410C-832A-13509B87BA7E}"/>
    <cellStyle name="Normal 51 2 3 2 2" xfId="7444" xr:uid="{E401B94B-3790-443C-B534-D9942AE52C7B}"/>
    <cellStyle name="Normal 51 2 3 2 3" xfId="7445" xr:uid="{25115DF4-A9FF-4555-8AE7-CD62E22EBF4A}"/>
    <cellStyle name="Normal 51 2 3 3" xfId="7446" xr:uid="{C558DB54-6C4F-4D90-B0F6-5932F6F7492D}"/>
    <cellStyle name="Normal 51 2 3 4" xfId="7447" xr:uid="{CD9AEEDC-0740-4072-BED0-4F82BD72B808}"/>
    <cellStyle name="Normal 51 2 4" xfId="7448" xr:uid="{63CA4ADA-B868-42DB-9CBA-A8A1F4F0D6C7}"/>
    <cellStyle name="Normal 51 2 4 2" xfId="7449" xr:uid="{5BF9EBC0-D0A4-4CC8-991A-95A2F98C1AF3}"/>
    <cellStyle name="Normal 51 2 4 3" xfId="7450" xr:uid="{274C2D5A-E348-425F-ADDD-C4E32B1DFEA9}"/>
    <cellStyle name="Normal 51 2 5" xfId="7451" xr:uid="{F06E054C-4C08-4B8D-8A8F-C23CBF4386FD}"/>
    <cellStyle name="Normal 51 2 6" xfId="7452" xr:uid="{D35CFC64-1837-4F8B-915F-70BC442F6AB2}"/>
    <cellStyle name="Normal 51 3" xfId="7453" xr:uid="{F8A5D04B-1DDD-44C0-A453-87B148E49808}"/>
    <cellStyle name="Normal 51 3 2" xfId="7454" xr:uid="{891B9005-EE28-4DE1-BB0E-27F44C4BB813}"/>
    <cellStyle name="Normal 51 3 2 2" xfId="7455" xr:uid="{AD34795E-4E53-4B22-83C6-ED351D290481}"/>
    <cellStyle name="Normal 51 3 2 2 2" xfId="7456" xr:uid="{B91291FB-0625-41EF-A545-E014AE28A905}"/>
    <cellStyle name="Normal 51 3 2 2 3" xfId="7457" xr:uid="{FA9A6055-CC20-4377-A598-72D7743032BA}"/>
    <cellStyle name="Normal 51 3 2 3" xfId="7458" xr:uid="{C0772A88-7B5E-4F95-9220-C52885BC54B5}"/>
    <cellStyle name="Normal 51 3 2 4" xfId="7459" xr:uid="{5E926D82-9CB7-426D-B094-91ABB045F01A}"/>
    <cellStyle name="Normal 51 3 3" xfId="7460" xr:uid="{2FFFC8F3-AA20-44D1-A7DE-22CD6DAE82EB}"/>
    <cellStyle name="Normal 51 3 3 2" xfId="7461" xr:uid="{4A4A4D51-8968-4F20-A0D3-623AC035C744}"/>
    <cellStyle name="Normal 51 3 3 3" xfId="7462" xr:uid="{4A12283B-61C4-46EC-A66D-0CB2D2D92596}"/>
    <cellStyle name="Normal 51 3 4" xfId="7463" xr:uid="{641ACFC8-F9DD-442B-9B3A-6E59A37F1790}"/>
    <cellStyle name="Normal 51 3 5" xfId="7464" xr:uid="{4289446F-9705-446D-9CF9-273CB35F350F}"/>
    <cellStyle name="Normal 51 4" xfId="7465" xr:uid="{66A38E48-28B4-4E9F-A07F-C96CA62759D7}"/>
    <cellStyle name="Normal 51 4 2" xfId="7466" xr:uid="{B1748B77-D265-4F12-BF47-8453B361C866}"/>
    <cellStyle name="Normal 51 4 2 2" xfId="7467" xr:uid="{1DA8DF33-7D8B-4364-A7E3-D7818CA9CD8E}"/>
    <cellStyle name="Normal 51 4 2 3" xfId="7468" xr:uid="{FD848109-FA3B-4BD2-B485-AEE7D0908BF1}"/>
    <cellStyle name="Normal 51 4 3" xfId="7469" xr:uid="{C07B8056-5D78-45A8-88AF-661A3A406BEE}"/>
    <cellStyle name="Normal 51 4 4" xfId="7470" xr:uid="{B35CF728-27E0-4992-9F2D-2B393FCA4AC7}"/>
    <cellStyle name="Normal 51 5" xfId="7471" xr:uid="{201C293E-9F20-4C43-A441-AB5796F5F83A}"/>
    <cellStyle name="Normal 51 5 2" xfId="7472" xr:uid="{95B8D48E-AFDC-4DE1-80FB-CE70F1D0C90F}"/>
    <cellStyle name="Normal 51 5 3" xfId="7473" xr:uid="{95192E4E-9FAA-4E46-AE84-342E2EECF1B9}"/>
    <cellStyle name="Normal 51 6" xfId="7474" xr:uid="{AD4D6FF2-D68C-478F-BF9B-71815DC84242}"/>
    <cellStyle name="Normal 51 7" xfId="7475" xr:uid="{56051311-CF2B-4395-A9D9-9F361D84CE3B}"/>
    <cellStyle name="Normal 52" xfId="2228" xr:uid="{F592EC5D-076D-41D4-AA25-F4F888B192B8}"/>
    <cellStyle name="Normal 52 2" xfId="2229" xr:uid="{D4BBC85D-5A78-4208-8C19-B04C4740CDD1}"/>
    <cellStyle name="Normal 53" xfId="2230" xr:uid="{476E2AD2-18C6-416B-B73E-DA8810094C0D}"/>
    <cellStyle name="Normal 53 2" xfId="2231" xr:uid="{AC3DD75E-61A6-49D3-A3A9-DC5B52EBC816}"/>
    <cellStyle name="Normal 53 2 2" xfId="7476" xr:uid="{7DE957F2-4985-4501-947A-80D9D8A59D16}"/>
    <cellStyle name="Normal 53 3" xfId="2232" xr:uid="{85F4CC23-60D1-4423-BC10-528BDA36421F}"/>
    <cellStyle name="Normal 54" xfId="2233" xr:uid="{E7E2914E-2053-4618-ACB2-A8B3FBF4A114}"/>
    <cellStyle name="Normal 54 2" xfId="2234" xr:uid="{21E284EE-3391-42EF-9A0E-75F3A59DE88C}"/>
    <cellStyle name="Normal 54 2 2" xfId="3613" xr:uid="{88B623D9-3A35-4987-A181-9152023B4761}"/>
    <cellStyle name="Normal 54 3" xfId="2235" xr:uid="{6C8A7BBB-2AC1-4A29-92A1-CA4FA945C65C}"/>
    <cellStyle name="Normal 54 4" xfId="7477" xr:uid="{1D04CEA0-07B7-43E3-81D5-631545C3FFF0}"/>
    <cellStyle name="Normal 55" xfId="2236" xr:uid="{67628CB7-E0AD-45E9-A901-E8E8207696E1}"/>
    <cellStyle name="Normal 55 2" xfId="2237" xr:uid="{7851FC59-A23B-4D43-A857-4E034A2595F4}"/>
    <cellStyle name="Normal 55 2 10" xfId="7478" xr:uid="{EA3F5BF3-B941-4B98-AEB5-C8D6E53AF469}"/>
    <cellStyle name="Normal 55 2 10 2" xfId="7479" xr:uid="{96752620-B477-40E2-8D6A-87D5B3D7AB59}"/>
    <cellStyle name="Normal 55 2 10 3" xfId="7480" xr:uid="{3A1F40DC-1BCC-4897-879A-57C38CDB76BC}"/>
    <cellStyle name="Normal 55 2 11" xfId="7481" xr:uid="{79CD4B48-5A2C-4C1B-BC0C-A05A37240BB4}"/>
    <cellStyle name="Normal 55 2 12" xfId="7482" xr:uid="{462DC5A4-5936-4FFF-8636-0E5E9B01538E}"/>
    <cellStyle name="Normal 55 2 13" xfId="7483" xr:uid="{2994B6FE-E4B5-4BF3-B217-449FB0BE1DC4}"/>
    <cellStyle name="Normal 55 2 14" xfId="7484" xr:uid="{879DBF98-1261-4D73-99E9-D5A11407830D}"/>
    <cellStyle name="Normal 55 2 2" xfId="2238" xr:uid="{C9AF6622-C8FF-4A50-A447-8A84CC51DEA2}"/>
    <cellStyle name="Normal 55 2 2 10" xfId="7485" xr:uid="{243EB8B6-3A3A-4919-98BB-6B70457FDC2B}"/>
    <cellStyle name="Normal 55 2 2 11" xfId="7486" xr:uid="{FD38B76A-96D8-4113-A6B7-C6E78DD13AA5}"/>
    <cellStyle name="Normal 55 2 2 12" xfId="7487" xr:uid="{8D342193-D180-4A92-B2B5-E2A95A4E6492}"/>
    <cellStyle name="Normal 55 2 2 2" xfId="2239" xr:uid="{DD82E0C2-3395-4368-87F2-475F09571519}"/>
    <cellStyle name="Normal 55 2 2 2 10" xfId="7488" xr:uid="{A1FF21DC-776B-4ED1-9A54-577C22FC3362}"/>
    <cellStyle name="Normal 55 2 2 2 11" xfId="7489" xr:uid="{F7DCD93A-C2DE-4114-9D9C-BF607BA35A87}"/>
    <cellStyle name="Normal 55 2 2 2 2" xfId="2240" xr:uid="{81DB056A-9662-4B7F-980E-9CD535A78A2C}"/>
    <cellStyle name="Normal 55 2 2 2 2 10" xfId="7490" xr:uid="{824FD3B1-2B68-470E-AC2B-1383FE89650D}"/>
    <cellStyle name="Normal 55 2 2 2 2 2" xfId="2241" xr:uid="{F787EF0C-2F75-4960-AF2E-D53348D9D5F9}"/>
    <cellStyle name="Normal 55 2 2 2 2 2 2" xfId="7491" xr:uid="{DDB246C6-9FD4-407F-AD2C-276E2CB2E95C}"/>
    <cellStyle name="Normal 55 2 2 2 2 2 2 2" xfId="7492" xr:uid="{74EF3BF6-609C-42B1-BC87-7808696B11B7}"/>
    <cellStyle name="Normal 55 2 2 2 2 2 2 2 2" xfId="7493" xr:uid="{D7D035E5-2EB5-4821-8ECC-3C7B10EDDA49}"/>
    <cellStyle name="Normal 55 2 2 2 2 2 2 2 3" xfId="7494" xr:uid="{11D7C730-A427-4017-97C7-FC9BE9AAC038}"/>
    <cellStyle name="Normal 55 2 2 2 2 2 2 3" xfId="7495" xr:uid="{5053CD36-BEE1-4674-ABDA-6282531264E8}"/>
    <cellStyle name="Normal 55 2 2 2 2 2 2 3 2" xfId="7496" xr:uid="{C64E040F-10C3-4D67-BB03-F2861C2FD1C5}"/>
    <cellStyle name="Normal 55 2 2 2 2 2 2 3 3" xfId="7497" xr:uid="{98631BC8-3481-49A7-8544-2E100218B6B6}"/>
    <cellStyle name="Normal 55 2 2 2 2 2 2 4" xfId="7498" xr:uid="{8911C0F9-5DBC-4B1B-B8D0-10D22D58BB46}"/>
    <cellStyle name="Normal 55 2 2 2 2 2 2 4 2" xfId="7499" xr:uid="{05FDBEE6-7905-44AD-92D1-FD199D51E9BE}"/>
    <cellStyle name="Normal 55 2 2 2 2 2 2 4 3" xfId="7500" xr:uid="{E0D9F171-4538-413F-9CC9-CF824E0BCC57}"/>
    <cellStyle name="Normal 55 2 2 2 2 2 2 5" xfId="7501" xr:uid="{3D797310-3BBB-4912-8FB1-F4D8072FD4EE}"/>
    <cellStyle name="Normal 55 2 2 2 2 2 2 6" xfId="7502" xr:uid="{A52936E7-31B6-4C2B-B3F5-53E374AFE699}"/>
    <cellStyle name="Normal 55 2 2 2 2 2 2 7" xfId="7503" xr:uid="{0A489B9F-EDC6-461C-B711-2719AD50B0FC}"/>
    <cellStyle name="Normal 55 2 2 2 2 2 2 8" xfId="7504" xr:uid="{BB630CA7-158F-4973-8AFF-3F81CEAD05AE}"/>
    <cellStyle name="Normal 55 2 2 2 2 2 3" xfId="7505" xr:uid="{EC245AD9-3B81-44D4-AC6C-DEA00ED28334}"/>
    <cellStyle name="Normal 55 2 2 2 2 2 3 2" xfId="7506" xr:uid="{CE5F43FA-ED9C-40ED-8D89-D3F765B4CD69}"/>
    <cellStyle name="Normal 55 2 2 2 2 2 3 3" xfId="7507" xr:uid="{80A6A4F1-FBE3-46D7-A21E-0392D2888407}"/>
    <cellStyle name="Normal 55 2 2 2 2 2 4" xfId="7508" xr:uid="{30EE757A-DE65-4A60-BA4C-6D27BA633AAF}"/>
    <cellStyle name="Normal 55 2 2 2 2 2 4 2" xfId="7509" xr:uid="{4A90BBBC-BC58-46BD-B0C3-0B8FB0083716}"/>
    <cellStyle name="Normal 55 2 2 2 2 2 4 3" xfId="7510" xr:uid="{5BE4DF6E-AAA7-4727-A85C-0036083BDC6D}"/>
    <cellStyle name="Normal 55 2 2 2 2 2 5" xfId="7511" xr:uid="{6A9D47B6-8CEE-4D58-AF73-FD3D8FE7F421}"/>
    <cellStyle name="Normal 55 2 2 2 2 2 5 2" xfId="7512" xr:uid="{D63E1AAE-0198-429C-8A77-49E2BE203F8C}"/>
    <cellStyle name="Normal 55 2 2 2 2 2 5 3" xfId="7513" xr:uid="{DD2A7D13-DCD8-403F-AD0A-744266665AA9}"/>
    <cellStyle name="Normal 55 2 2 2 2 2 6" xfId="7514" xr:uid="{4B5487C4-3CF1-41AA-B82A-B7366D7A41FB}"/>
    <cellStyle name="Normal 55 2 2 2 2 2 7" xfId="7515" xr:uid="{CA53F719-0197-425E-BBCC-CD90024857CA}"/>
    <cellStyle name="Normal 55 2 2 2 2 2 8" xfId="7516" xr:uid="{1A4C60B3-0061-4860-AEE0-424E5C731961}"/>
    <cellStyle name="Normal 55 2 2 2 2 2 9" xfId="7517" xr:uid="{0EC0A287-7612-4B18-8BF6-DF47323787AE}"/>
    <cellStyle name="Normal 55 2 2 2 2 3" xfId="7518" xr:uid="{9D41193B-2964-403B-9E35-14E2F705783F}"/>
    <cellStyle name="Normal 55 2 2 2 2 3 2" xfId="7519" xr:uid="{10980DFF-F0BD-49C1-9D44-0E92626018A6}"/>
    <cellStyle name="Normal 55 2 2 2 2 3 2 2" xfId="7520" xr:uid="{D2ACD116-F13B-4FF4-945E-EB49D97A6518}"/>
    <cellStyle name="Normal 55 2 2 2 2 3 2 3" xfId="7521" xr:uid="{72E32985-F921-43F3-AED6-B015C60DCB11}"/>
    <cellStyle name="Normal 55 2 2 2 2 3 3" xfId="7522" xr:uid="{3481A70F-D45D-42E3-99F9-4FF67308FFA0}"/>
    <cellStyle name="Normal 55 2 2 2 2 3 3 2" xfId="7523" xr:uid="{D69A8A4C-3C6A-4C2E-B837-BF19772A1713}"/>
    <cellStyle name="Normal 55 2 2 2 2 3 3 3" xfId="7524" xr:uid="{DA9E127F-CA92-42C5-A93A-489E93D2AC20}"/>
    <cellStyle name="Normal 55 2 2 2 2 3 4" xfId="7525" xr:uid="{41F195E3-F6A2-47D6-B714-71FE17CEE92A}"/>
    <cellStyle name="Normal 55 2 2 2 2 3 4 2" xfId="7526" xr:uid="{B3907649-DA24-4378-BB67-746C7C44B335}"/>
    <cellStyle name="Normal 55 2 2 2 2 3 4 3" xfId="7527" xr:uid="{8AD33FD0-DA8D-415F-9063-914C23BF0E2C}"/>
    <cellStyle name="Normal 55 2 2 2 2 3 5" xfId="7528" xr:uid="{C2CD9EB5-6683-4F94-A9DF-9BD7BFD5629D}"/>
    <cellStyle name="Normal 55 2 2 2 2 3 6" xfId="7529" xr:uid="{AB3264D9-E1A8-4FA1-9913-719EC810509A}"/>
    <cellStyle name="Normal 55 2 2 2 2 3 7" xfId="7530" xr:uid="{B624CB5E-A3EE-4E34-8553-5D215E6AC4D4}"/>
    <cellStyle name="Normal 55 2 2 2 2 3 8" xfId="7531" xr:uid="{C59B0A85-5F5B-4DEA-A494-9905256618FD}"/>
    <cellStyle name="Normal 55 2 2 2 2 4" xfId="7532" xr:uid="{6634DEA7-D0E6-4A0D-B0C8-6650A2EEE058}"/>
    <cellStyle name="Normal 55 2 2 2 2 4 2" xfId="7533" xr:uid="{E907A54F-E071-4307-B84B-CDC0DA023031}"/>
    <cellStyle name="Normal 55 2 2 2 2 4 3" xfId="7534" xr:uid="{992343AF-9BAD-4796-81E2-B9452D5FE54D}"/>
    <cellStyle name="Normal 55 2 2 2 2 5" xfId="7535" xr:uid="{85C6FE2C-7083-4E03-854D-93D7F47318CE}"/>
    <cellStyle name="Normal 55 2 2 2 2 5 2" xfId="7536" xr:uid="{BEF7DA17-39AC-40DC-A9B3-504D9EBBA9CF}"/>
    <cellStyle name="Normal 55 2 2 2 2 5 3" xfId="7537" xr:uid="{075B0CA0-8F12-48EF-A3CE-AA18745AA4C6}"/>
    <cellStyle name="Normal 55 2 2 2 2 6" xfId="7538" xr:uid="{5F93F17F-A2AA-4BF4-9013-64242A883BC5}"/>
    <cellStyle name="Normal 55 2 2 2 2 6 2" xfId="7539" xr:uid="{90885083-79E2-4CBC-9208-C7578C1246CF}"/>
    <cellStyle name="Normal 55 2 2 2 2 6 3" xfId="7540" xr:uid="{022527D7-F6F2-4969-934B-76A5650A5204}"/>
    <cellStyle name="Normal 55 2 2 2 2 7" xfId="7541" xr:uid="{C982E55A-586C-4DF5-8D01-5F82D05185C8}"/>
    <cellStyle name="Normal 55 2 2 2 2 8" xfId="7542" xr:uid="{BA36AD89-F197-49DF-A3D9-0E92FAD2AC39}"/>
    <cellStyle name="Normal 55 2 2 2 2 9" xfId="7543" xr:uid="{00508128-70AB-47A9-BD1E-FED3849AF14D}"/>
    <cellStyle name="Normal 55 2 2 2 3" xfId="2242" xr:uid="{39F86915-FDE9-43ED-88DB-4E459060878B}"/>
    <cellStyle name="Normal 55 2 2 2 3 2" xfId="7544" xr:uid="{133B62C3-DC16-49A1-A7F3-F3420B53EB4E}"/>
    <cellStyle name="Normal 55 2 2 2 3 2 2" xfId="7545" xr:uid="{1654969F-5ED3-4D49-AFFE-2014164F2D9A}"/>
    <cellStyle name="Normal 55 2 2 2 3 2 2 2" xfId="7546" xr:uid="{6FE58869-E774-4791-8EBC-7E030850EB9C}"/>
    <cellStyle name="Normal 55 2 2 2 3 2 2 3" xfId="7547" xr:uid="{10B64033-8596-490C-8DF6-087588000CDB}"/>
    <cellStyle name="Normal 55 2 2 2 3 2 3" xfId="7548" xr:uid="{701BA8AF-4031-47AD-A567-A8BE9C530B92}"/>
    <cellStyle name="Normal 55 2 2 2 3 2 3 2" xfId="7549" xr:uid="{AD5C271C-86EA-4C48-9FA1-96276C1704D4}"/>
    <cellStyle name="Normal 55 2 2 2 3 2 3 3" xfId="7550" xr:uid="{957233A8-DFB4-4B2C-A75E-02ED31A779C4}"/>
    <cellStyle name="Normal 55 2 2 2 3 2 4" xfId="7551" xr:uid="{C8D6B24B-591F-4260-8F0E-A7E4173AE03A}"/>
    <cellStyle name="Normal 55 2 2 2 3 2 4 2" xfId="7552" xr:uid="{0FABBECE-77CA-494E-ADDD-56C1183F256C}"/>
    <cellStyle name="Normal 55 2 2 2 3 2 4 3" xfId="7553" xr:uid="{55EFB09A-9BCD-4849-BE2C-68A8D84D5617}"/>
    <cellStyle name="Normal 55 2 2 2 3 2 5" xfId="7554" xr:uid="{9403E79C-6421-4C2C-9798-377A99EB648E}"/>
    <cellStyle name="Normal 55 2 2 2 3 2 6" xfId="7555" xr:uid="{18558EAC-9506-4675-8809-E970A8B86F47}"/>
    <cellStyle name="Normal 55 2 2 2 3 2 7" xfId="7556" xr:uid="{3C69C0A8-BF35-4DA5-92B4-8256630C84B2}"/>
    <cellStyle name="Normal 55 2 2 2 3 2 8" xfId="7557" xr:uid="{CA7C1457-2F69-4892-8F16-2DA6336BB688}"/>
    <cellStyle name="Normal 55 2 2 2 3 3" xfId="7558" xr:uid="{6847DC8A-9742-4D47-B795-87D608FF5952}"/>
    <cellStyle name="Normal 55 2 2 2 3 3 2" xfId="7559" xr:uid="{A1D086B7-F164-4A8E-8F3E-1793A20DF6B4}"/>
    <cellStyle name="Normal 55 2 2 2 3 3 3" xfId="7560" xr:uid="{C58CF9E8-F6C6-417C-B437-66E7AA505ECF}"/>
    <cellStyle name="Normal 55 2 2 2 3 4" xfId="7561" xr:uid="{37308FA2-803B-47AA-9C7E-1A59C76C28CA}"/>
    <cellStyle name="Normal 55 2 2 2 3 4 2" xfId="7562" xr:uid="{5958D291-F081-4621-9135-E6F927ED6770}"/>
    <cellStyle name="Normal 55 2 2 2 3 4 3" xfId="7563" xr:uid="{81AB8372-FE64-4769-A1D9-DF0FB86FA71F}"/>
    <cellStyle name="Normal 55 2 2 2 3 5" xfId="7564" xr:uid="{A5AE1608-8E5C-41AD-8A7B-9914711FFC9F}"/>
    <cellStyle name="Normal 55 2 2 2 3 5 2" xfId="7565" xr:uid="{1A4F66AF-5101-4E68-A06F-F8E4F2471058}"/>
    <cellStyle name="Normal 55 2 2 2 3 5 3" xfId="7566" xr:uid="{CC370303-376E-4929-AA18-E2D1CC0C9629}"/>
    <cellStyle name="Normal 55 2 2 2 3 6" xfId="7567" xr:uid="{C6A1E015-7081-4286-9F33-C4D829A13EB8}"/>
    <cellStyle name="Normal 55 2 2 2 3 7" xfId="7568" xr:uid="{F04F42FA-F956-4D83-A330-C0F00BFD22FB}"/>
    <cellStyle name="Normal 55 2 2 2 3 8" xfId="7569" xr:uid="{DC3C7B23-90B2-4E40-B5FF-6EAC26281701}"/>
    <cellStyle name="Normal 55 2 2 2 3 9" xfId="7570" xr:uid="{AA48BF0C-AB03-444F-BB2F-2230384DB5E8}"/>
    <cellStyle name="Normal 55 2 2 2 4" xfId="7571" xr:uid="{111B3C98-CD77-4E89-993D-A48DE8FB38C5}"/>
    <cellStyle name="Normal 55 2 2 2 4 2" xfId="7572" xr:uid="{D05BE39E-0805-48BF-B78E-C1DC2B56D6CF}"/>
    <cellStyle name="Normal 55 2 2 2 4 2 2" xfId="7573" xr:uid="{5011022F-B25E-4FB7-A532-871AEEC1C617}"/>
    <cellStyle name="Normal 55 2 2 2 4 2 3" xfId="7574" xr:uid="{F2910B52-F634-4049-8EC0-653F565A79D8}"/>
    <cellStyle name="Normal 55 2 2 2 4 3" xfId="7575" xr:uid="{BC09BC8A-7B7D-42A4-821B-CDEC0EFD2F72}"/>
    <cellStyle name="Normal 55 2 2 2 4 3 2" xfId="7576" xr:uid="{6444445C-5DE8-4F87-9B66-5E10329646E0}"/>
    <cellStyle name="Normal 55 2 2 2 4 3 3" xfId="7577" xr:uid="{503ED52A-9207-4A20-AA80-9C49F6F35DB3}"/>
    <cellStyle name="Normal 55 2 2 2 4 4" xfId="7578" xr:uid="{DE2A549C-FA88-4A12-B197-BB8A034151A3}"/>
    <cellStyle name="Normal 55 2 2 2 4 4 2" xfId="7579" xr:uid="{1971931B-C3D7-4238-B3B5-59B92A43A433}"/>
    <cellStyle name="Normal 55 2 2 2 4 4 3" xfId="7580" xr:uid="{6EA187A1-DBFF-4D3E-BA51-44819566C419}"/>
    <cellStyle name="Normal 55 2 2 2 4 5" xfId="7581" xr:uid="{61816A34-30F4-4DA6-BB72-BE611668F31C}"/>
    <cellStyle name="Normal 55 2 2 2 4 6" xfId="7582" xr:uid="{36FA5A1A-3DF4-4950-A177-53D5CB28F5C9}"/>
    <cellStyle name="Normal 55 2 2 2 4 7" xfId="7583" xr:uid="{48DE376B-0CE9-4016-B26A-0F343D72282F}"/>
    <cellStyle name="Normal 55 2 2 2 4 8" xfId="7584" xr:uid="{A1D95B00-1AED-46A3-ABF8-BFB658D1B3F4}"/>
    <cellStyle name="Normal 55 2 2 2 5" xfId="7585" xr:uid="{80E3D126-251D-4A80-AB59-FBAD51E253CA}"/>
    <cellStyle name="Normal 55 2 2 2 5 2" xfId="7586" xr:uid="{D4712D34-AE90-42A8-A6D9-23E8063E3380}"/>
    <cellStyle name="Normal 55 2 2 2 5 3" xfId="7587" xr:uid="{AA574BFD-B9FC-41E5-A5B3-E62B13FA43BF}"/>
    <cellStyle name="Normal 55 2 2 2 6" xfId="7588" xr:uid="{69185E06-7520-483D-AB4A-07991847BAB0}"/>
    <cellStyle name="Normal 55 2 2 2 6 2" xfId="7589" xr:uid="{D1897A40-3B9F-4483-8096-1C2FF8A10EEB}"/>
    <cellStyle name="Normal 55 2 2 2 6 3" xfId="7590" xr:uid="{015F136E-C7D6-418B-B0A7-CCD932765F0B}"/>
    <cellStyle name="Normal 55 2 2 2 7" xfId="7591" xr:uid="{3BC2C521-59C5-4B2B-8C18-92AE2167C88F}"/>
    <cellStyle name="Normal 55 2 2 2 7 2" xfId="7592" xr:uid="{9D3274B3-ACF9-43B8-A77C-3540344EE7CB}"/>
    <cellStyle name="Normal 55 2 2 2 7 3" xfId="7593" xr:uid="{BCA2E00F-6078-47A1-BD9E-76249B4EF407}"/>
    <cellStyle name="Normal 55 2 2 2 8" xfId="7594" xr:uid="{02F2F4A9-EA17-4363-86C8-D7900C8CFB33}"/>
    <cellStyle name="Normal 55 2 2 2 9" xfId="7595" xr:uid="{DC5403E2-FB3D-4CF2-AE24-AF9A11913A9D}"/>
    <cellStyle name="Normal 55 2 2 3" xfId="2243" xr:uid="{044BC017-ECDD-4E5F-9969-B68E505C750A}"/>
    <cellStyle name="Normal 55 2 2 3 10" xfId="7596" xr:uid="{23919F49-66F9-4928-8E0A-881617BAF415}"/>
    <cellStyle name="Normal 55 2 2 3 2" xfId="2244" xr:uid="{F0649DA7-7102-480A-80E9-C24C71F8FC4C}"/>
    <cellStyle name="Normal 55 2 2 3 2 2" xfId="7597" xr:uid="{61EFC7F9-47E0-49B3-9C8B-54BBD164D11B}"/>
    <cellStyle name="Normal 55 2 2 3 2 2 2" xfId="7598" xr:uid="{11388737-CF53-4D65-85D6-B5AFEAB7633A}"/>
    <cellStyle name="Normal 55 2 2 3 2 2 2 2" xfId="7599" xr:uid="{92FB8E32-F91B-4744-AD20-BB1A30A1EDC0}"/>
    <cellStyle name="Normal 55 2 2 3 2 2 2 3" xfId="7600" xr:uid="{7D03F675-FE1A-4662-84DF-87880114420F}"/>
    <cellStyle name="Normal 55 2 2 3 2 2 3" xfId="7601" xr:uid="{B0159BD5-B823-46C5-8082-C6AD0566C828}"/>
    <cellStyle name="Normal 55 2 2 3 2 2 3 2" xfId="7602" xr:uid="{6B12732C-C80A-4ECE-BCD5-A7281E106D2B}"/>
    <cellStyle name="Normal 55 2 2 3 2 2 3 3" xfId="7603" xr:uid="{B261604E-3A0C-45DD-BE71-C9DB70FAD2BE}"/>
    <cellStyle name="Normal 55 2 2 3 2 2 4" xfId="7604" xr:uid="{08F09929-E4E9-4511-A9F7-D0E6E120229D}"/>
    <cellStyle name="Normal 55 2 2 3 2 2 4 2" xfId="7605" xr:uid="{A87FD0BF-39B6-4D07-A5EA-90D422C67B39}"/>
    <cellStyle name="Normal 55 2 2 3 2 2 4 3" xfId="7606" xr:uid="{54EF14A5-8827-4786-9EC3-6F1C6AC2D7F2}"/>
    <cellStyle name="Normal 55 2 2 3 2 2 5" xfId="7607" xr:uid="{68250500-0849-4467-93A6-CDAE7CFF3315}"/>
    <cellStyle name="Normal 55 2 2 3 2 2 6" xfId="7608" xr:uid="{6BF63B70-E71E-499C-872E-9A46947550A5}"/>
    <cellStyle name="Normal 55 2 2 3 2 2 7" xfId="7609" xr:uid="{11A558EB-9C6F-4B86-A84C-027235863938}"/>
    <cellStyle name="Normal 55 2 2 3 2 2 8" xfId="7610" xr:uid="{F698898F-4621-442B-80A9-6BC4A6D11994}"/>
    <cellStyle name="Normal 55 2 2 3 2 3" xfId="7611" xr:uid="{BB70D67B-7B6A-42B8-A708-EDF16F5B9DA6}"/>
    <cellStyle name="Normal 55 2 2 3 2 3 2" xfId="7612" xr:uid="{3CB00902-F8D9-4898-9ABB-50C4ED04C94D}"/>
    <cellStyle name="Normal 55 2 2 3 2 3 3" xfId="7613" xr:uid="{04E512D2-9D07-4D25-A0EF-9B2F4441859F}"/>
    <cellStyle name="Normal 55 2 2 3 2 4" xfId="7614" xr:uid="{0A02788E-A0BE-4FC9-A966-1A2F65360BF6}"/>
    <cellStyle name="Normal 55 2 2 3 2 4 2" xfId="7615" xr:uid="{232125D6-5BD4-445E-83BC-2EFD8A72327B}"/>
    <cellStyle name="Normal 55 2 2 3 2 4 3" xfId="7616" xr:uid="{79C4902B-8F93-4E3A-9921-A0A320B816B9}"/>
    <cellStyle name="Normal 55 2 2 3 2 5" xfId="7617" xr:uid="{D7F873C8-D092-4A65-8EFE-4E7CDD3BAEA3}"/>
    <cellStyle name="Normal 55 2 2 3 2 5 2" xfId="7618" xr:uid="{2B3C413B-B3A3-4B47-A88E-BF5203DAEE6B}"/>
    <cellStyle name="Normal 55 2 2 3 2 5 3" xfId="7619" xr:uid="{3F36DBF7-A774-44D0-990E-9183EA84AE1D}"/>
    <cellStyle name="Normal 55 2 2 3 2 6" xfId="7620" xr:uid="{3AFB4272-ED88-4E1E-98C5-6505E649F1C2}"/>
    <cellStyle name="Normal 55 2 2 3 2 7" xfId="7621" xr:uid="{B05B17DA-707C-4347-8ABB-BE476789C680}"/>
    <cellStyle name="Normal 55 2 2 3 2 8" xfId="7622" xr:uid="{8CE4E8EB-5E27-4596-8573-69B78665CFFD}"/>
    <cellStyle name="Normal 55 2 2 3 2 9" xfId="7623" xr:uid="{04EAE134-21A1-4A27-987A-E8C07C3AB9C1}"/>
    <cellStyle name="Normal 55 2 2 3 3" xfId="7624" xr:uid="{0DA3009A-957D-464C-93CE-CF5239CE48B5}"/>
    <cellStyle name="Normal 55 2 2 3 3 2" xfId="7625" xr:uid="{E808F3B0-87F3-444C-AF1A-30EC72A1E8D1}"/>
    <cellStyle name="Normal 55 2 2 3 3 2 2" xfId="7626" xr:uid="{14381679-4B19-4569-809C-B9D247CC01E4}"/>
    <cellStyle name="Normal 55 2 2 3 3 2 3" xfId="7627" xr:uid="{85C7C1AE-D3AD-402C-92D3-576E6E4A0BFB}"/>
    <cellStyle name="Normal 55 2 2 3 3 3" xfId="7628" xr:uid="{E8FA46D8-BF5B-4674-AB9C-EF2C9D72B132}"/>
    <cellStyle name="Normal 55 2 2 3 3 3 2" xfId="7629" xr:uid="{5AA25EDA-0276-41A1-86E9-4F90F9572BB5}"/>
    <cellStyle name="Normal 55 2 2 3 3 3 3" xfId="7630" xr:uid="{04A33517-6B9E-4BF5-B8FB-1191522E15DE}"/>
    <cellStyle name="Normal 55 2 2 3 3 4" xfId="7631" xr:uid="{0586FC10-6E6C-4105-B0B2-BB74AB98B22D}"/>
    <cellStyle name="Normal 55 2 2 3 3 4 2" xfId="7632" xr:uid="{164EDB5F-F3F5-4408-8636-193B7275FCD6}"/>
    <cellStyle name="Normal 55 2 2 3 3 4 3" xfId="7633" xr:uid="{C8D52F10-94EC-4AC3-9DDC-3F06152C67E3}"/>
    <cellStyle name="Normal 55 2 2 3 3 5" xfId="7634" xr:uid="{936E3EEE-5188-4E50-A6E5-BA85D1E9B73C}"/>
    <cellStyle name="Normal 55 2 2 3 3 6" xfId="7635" xr:uid="{8CCEEBCC-8F30-4D99-B111-0AC0B96BBB85}"/>
    <cellStyle name="Normal 55 2 2 3 3 7" xfId="7636" xr:uid="{83DAE12D-6D85-4A06-AF81-97F378F6F787}"/>
    <cellStyle name="Normal 55 2 2 3 3 8" xfId="7637" xr:uid="{8AB2A634-7BA9-4462-998A-97E992EA4FA1}"/>
    <cellStyle name="Normal 55 2 2 3 4" xfId="7638" xr:uid="{5644F19D-38D7-43BD-A188-B334AD22D2E1}"/>
    <cellStyle name="Normal 55 2 2 3 4 2" xfId="7639" xr:uid="{73B78B90-2FB4-4B1A-8195-6879986D896F}"/>
    <cellStyle name="Normal 55 2 2 3 4 3" xfId="7640" xr:uid="{B9D6D19D-EA98-4B65-96F1-C0BEDFA7EBDE}"/>
    <cellStyle name="Normal 55 2 2 3 5" xfId="7641" xr:uid="{C9B97FE3-9DF3-45F2-B59F-C03AD2B67F76}"/>
    <cellStyle name="Normal 55 2 2 3 5 2" xfId="7642" xr:uid="{D038D144-A3CD-40D4-BCE3-144D4AF97C33}"/>
    <cellStyle name="Normal 55 2 2 3 5 3" xfId="7643" xr:uid="{110C347F-5512-4DA1-AAD2-0BFEB6277135}"/>
    <cellStyle name="Normal 55 2 2 3 6" xfId="7644" xr:uid="{622E376E-0F59-4F53-A641-02720FC4830A}"/>
    <cellStyle name="Normal 55 2 2 3 6 2" xfId="7645" xr:uid="{E40D7314-40B3-4831-8C0F-1EC10AA49B4A}"/>
    <cellStyle name="Normal 55 2 2 3 6 3" xfId="7646" xr:uid="{F0F13195-3184-4EF0-920E-60E3051055E1}"/>
    <cellStyle name="Normal 55 2 2 3 7" xfId="7647" xr:uid="{A4D62A92-1F9C-4F28-89BE-C42485147114}"/>
    <cellStyle name="Normal 55 2 2 3 8" xfId="7648" xr:uid="{7468EB7E-504D-43DF-848F-299424C006A5}"/>
    <cellStyle name="Normal 55 2 2 3 9" xfId="7649" xr:uid="{FFFC3F5D-286E-45C0-846D-C05692B7C50C}"/>
    <cellStyle name="Normal 55 2 2 4" xfId="2245" xr:uid="{04E9173B-5C6F-4EEF-8D59-0F16A571A225}"/>
    <cellStyle name="Normal 55 2 2 4 2" xfId="7650" xr:uid="{7D703F44-01D3-445B-B766-9935931871D0}"/>
    <cellStyle name="Normal 55 2 2 4 2 2" xfId="7651" xr:uid="{246878E0-9F3D-4164-8CDC-F62EC2168D96}"/>
    <cellStyle name="Normal 55 2 2 4 2 2 2" xfId="7652" xr:uid="{944F15B2-D46E-415F-9F95-EDE32A200A9D}"/>
    <cellStyle name="Normal 55 2 2 4 2 2 3" xfId="7653" xr:uid="{1CBE1951-D753-4C35-968E-D1B96BB13030}"/>
    <cellStyle name="Normal 55 2 2 4 2 3" xfId="7654" xr:uid="{1F400407-D676-45FB-B114-137D46D19474}"/>
    <cellStyle name="Normal 55 2 2 4 2 3 2" xfId="7655" xr:uid="{8FC9420A-6EE1-4B20-805E-54643A480052}"/>
    <cellStyle name="Normal 55 2 2 4 2 3 3" xfId="7656" xr:uid="{91E46BE8-44BE-403A-B00C-8DD4407DB5CB}"/>
    <cellStyle name="Normal 55 2 2 4 2 4" xfId="7657" xr:uid="{E5059F37-E05F-4981-A667-85C4178CBBFB}"/>
    <cellStyle name="Normal 55 2 2 4 2 4 2" xfId="7658" xr:uid="{A4FE89A4-4BE9-46B7-886E-90B509DD34C2}"/>
    <cellStyle name="Normal 55 2 2 4 2 4 3" xfId="7659" xr:uid="{E3841183-7E38-4232-96E3-494C1E80BCEF}"/>
    <cellStyle name="Normal 55 2 2 4 2 5" xfId="7660" xr:uid="{671E7EAD-9473-4553-9068-BC53872097B1}"/>
    <cellStyle name="Normal 55 2 2 4 2 6" xfId="7661" xr:uid="{99EDE857-672F-4990-A450-E226EEDA56A8}"/>
    <cellStyle name="Normal 55 2 2 4 2 7" xfId="7662" xr:uid="{D141A9E4-B72E-4E28-BB73-F0DC07DE1790}"/>
    <cellStyle name="Normal 55 2 2 4 2 8" xfId="7663" xr:uid="{307C656D-1082-482D-9CDF-72D983B81E0D}"/>
    <cellStyle name="Normal 55 2 2 4 3" xfId="7664" xr:uid="{E7D46145-314A-4B4B-88FB-54D9E2141646}"/>
    <cellStyle name="Normal 55 2 2 4 3 2" xfId="7665" xr:uid="{D8BED7AA-DE80-4A51-BD42-E063522C3C2F}"/>
    <cellStyle name="Normal 55 2 2 4 3 3" xfId="7666" xr:uid="{46B53FA1-5367-47FE-BB98-051BCDF0F465}"/>
    <cellStyle name="Normal 55 2 2 4 4" xfId="7667" xr:uid="{1358EE55-2954-4334-B8C4-63FE0A73ED78}"/>
    <cellStyle name="Normal 55 2 2 4 4 2" xfId="7668" xr:uid="{F659613E-1AB5-4828-93B9-77DF0F617036}"/>
    <cellStyle name="Normal 55 2 2 4 4 3" xfId="7669" xr:uid="{CC5CB697-A4A9-4280-98F8-F8A55BF47B63}"/>
    <cellStyle name="Normal 55 2 2 4 5" xfId="7670" xr:uid="{04A5DCBE-C5CC-4FF7-B75D-97442618E750}"/>
    <cellStyle name="Normal 55 2 2 4 5 2" xfId="7671" xr:uid="{FFEE2F0F-6451-4A6E-AF47-A716F9384DC5}"/>
    <cellStyle name="Normal 55 2 2 4 5 3" xfId="7672" xr:uid="{269EE459-76B9-4554-80D5-45241F7738F5}"/>
    <cellStyle name="Normal 55 2 2 4 6" xfId="7673" xr:uid="{74E0D46D-B86E-4997-973C-3BBBEF044AF6}"/>
    <cellStyle name="Normal 55 2 2 4 7" xfId="7674" xr:uid="{D0B17EAE-CDC8-4D17-86D9-D0B7367BC67A}"/>
    <cellStyle name="Normal 55 2 2 4 8" xfId="7675" xr:uid="{63AB439C-BE73-451F-BF57-1F502E813C6C}"/>
    <cellStyle name="Normal 55 2 2 4 9" xfId="7676" xr:uid="{B50EABA3-BEA2-43E0-A50A-50BAE2A756EF}"/>
    <cellStyle name="Normal 55 2 2 5" xfId="7677" xr:uid="{0969F077-67A6-4EAB-9D45-71778A82AC3D}"/>
    <cellStyle name="Normal 55 2 2 5 2" xfId="7678" xr:uid="{D1FA132B-9763-4CBA-982A-D0F8A9340727}"/>
    <cellStyle name="Normal 55 2 2 5 2 2" xfId="7679" xr:uid="{9E732710-16B3-4D9D-8028-AD067B6F37D4}"/>
    <cellStyle name="Normal 55 2 2 5 2 3" xfId="7680" xr:uid="{3A6F5076-321B-4EDE-BDB9-533B5B82F981}"/>
    <cellStyle name="Normal 55 2 2 5 3" xfId="7681" xr:uid="{9341A4BA-F081-4ADB-93A6-EC4F6EC8715F}"/>
    <cellStyle name="Normal 55 2 2 5 3 2" xfId="7682" xr:uid="{EF9674CC-8D54-4AFD-85AF-F55F05FF1DF6}"/>
    <cellStyle name="Normal 55 2 2 5 3 3" xfId="7683" xr:uid="{CD9FDFAE-2B65-436E-BEBC-0682672B2270}"/>
    <cellStyle name="Normal 55 2 2 5 4" xfId="7684" xr:uid="{3EEE2DBD-2278-4B92-80CD-77C872DAA19F}"/>
    <cellStyle name="Normal 55 2 2 5 4 2" xfId="7685" xr:uid="{B9648FF1-4967-4C19-B82B-E2058D4D4EA5}"/>
    <cellStyle name="Normal 55 2 2 5 4 3" xfId="7686" xr:uid="{2F2652CF-97B9-4339-BC31-07A952C9C9F9}"/>
    <cellStyle name="Normal 55 2 2 5 5" xfId="7687" xr:uid="{48E19FF3-D90D-44CC-9BB2-ECD8B6AD9DD3}"/>
    <cellStyle name="Normal 55 2 2 5 6" xfId="7688" xr:uid="{695A58B8-C7E6-49EF-90BE-2CB4C8CFFD67}"/>
    <cellStyle name="Normal 55 2 2 5 7" xfId="7689" xr:uid="{BC1D32F9-B55D-4E3C-A2F1-E151C6B07EE0}"/>
    <cellStyle name="Normal 55 2 2 5 8" xfId="7690" xr:uid="{DCE84653-9347-4210-8C0C-DAF306523CB0}"/>
    <cellStyle name="Normal 55 2 2 6" xfId="7691" xr:uid="{59A77E85-8AC0-4601-BEB5-A05F3803385A}"/>
    <cellStyle name="Normal 55 2 2 6 2" xfId="7692" xr:uid="{27A1C874-87C4-4793-A525-90C0CD042A08}"/>
    <cellStyle name="Normal 55 2 2 6 3" xfId="7693" xr:uid="{FB907DFA-2604-4B0D-BD07-692DC7C91490}"/>
    <cellStyle name="Normal 55 2 2 7" xfId="7694" xr:uid="{FA402BA0-3FEE-42F9-89BA-5800896EDC78}"/>
    <cellStyle name="Normal 55 2 2 7 2" xfId="7695" xr:uid="{F0F19DD8-98F1-4ADC-8EEA-DAFE886C6F24}"/>
    <cellStyle name="Normal 55 2 2 7 3" xfId="7696" xr:uid="{0E5D1A0C-8E47-422D-AC82-F615A192E80D}"/>
    <cellStyle name="Normal 55 2 2 8" xfId="7697" xr:uid="{9C4C6DEF-D43A-46D2-9D6C-E080785B8E2F}"/>
    <cellStyle name="Normal 55 2 2 8 2" xfId="7698" xr:uid="{D2AD606A-52C7-4D3F-87FD-720287ABA42D}"/>
    <cellStyle name="Normal 55 2 2 8 3" xfId="7699" xr:uid="{CD82A367-5622-464C-94A7-268B4D4ECDF3}"/>
    <cellStyle name="Normal 55 2 2 9" xfId="7700" xr:uid="{7F9181BA-A537-4203-90AC-F9C9DCED946C}"/>
    <cellStyle name="Normal 55 2 3" xfId="2246" xr:uid="{CECA7EB8-C2F6-4A51-A9A8-0DA3CA02E7FC}"/>
    <cellStyle name="Normal 55 2 3 10" xfId="7701" xr:uid="{9F4AFA64-EC01-4652-8216-3F01CAB3B6C0}"/>
    <cellStyle name="Normal 55 2 3 11" xfId="7702" xr:uid="{DC2D8708-9663-452B-8A37-ABD6E3BC63A7}"/>
    <cellStyle name="Normal 55 2 3 12" xfId="7703" xr:uid="{26A7F064-595F-45EB-97A9-4C0B21933E92}"/>
    <cellStyle name="Normal 55 2 3 2" xfId="2247" xr:uid="{845B83CA-70A3-404D-B3E9-94CE8027831A}"/>
    <cellStyle name="Normal 55 2 3 2 10" xfId="7704" xr:uid="{BFD99BA3-9417-4E94-A817-9A1427F4956E}"/>
    <cellStyle name="Normal 55 2 3 2 11" xfId="7705" xr:uid="{2B863071-DD2C-4F40-99A4-4824CE4407B2}"/>
    <cellStyle name="Normal 55 2 3 2 2" xfId="2248" xr:uid="{EC30CDFA-6354-4F38-B80D-C13F444C9E89}"/>
    <cellStyle name="Normal 55 2 3 2 2 10" xfId="7706" xr:uid="{B01426E1-0D26-4169-8CB8-250E04F3271A}"/>
    <cellStyle name="Normal 55 2 3 2 2 2" xfId="2249" xr:uid="{784401DA-FEF5-415D-BAEE-6FB81CDCA519}"/>
    <cellStyle name="Normal 55 2 3 2 2 2 2" xfId="7707" xr:uid="{7F97E9E0-95A2-4AE5-96D8-4D8DD933C856}"/>
    <cellStyle name="Normal 55 2 3 2 2 2 2 2" xfId="7708" xr:uid="{C68189D6-3434-46D8-8464-70C591217835}"/>
    <cellStyle name="Normal 55 2 3 2 2 2 2 2 2" xfId="7709" xr:uid="{DDA3707A-2DF8-4B8F-8AB6-C17763A3FB62}"/>
    <cellStyle name="Normal 55 2 3 2 2 2 2 2 3" xfId="7710" xr:uid="{9329A702-C0D4-407E-A06B-A2A18C4264E9}"/>
    <cellStyle name="Normal 55 2 3 2 2 2 2 3" xfId="7711" xr:uid="{DB0EC7DE-8986-4901-BB16-1440CBBFACFE}"/>
    <cellStyle name="Normal 55 2 3 2 2 2 2 3 2" xfId="7712" xr:uid="{6EE51D8F-5D65-4E7D-A3D8-6A4DE3FA512F}"/>
    <cellStyle name="Normal 55 2 3 2 2 2 2 3 3" xfId="7713" xr:uid="{F5B66AC9-DA08-4351-92B1-4849EC726EDE}"/>
    <cellStyle name="Normal 55 2 3 2 2 2 2 4" xfId="7714" xr:uid="{64D48FEC-56E5-4022-BF81-59CE3CD3188D}"/>
    <cellStyle name="Normal 55 2 3 2 2 2 2 4 2" xfId="7715" xr:uid="{D9E55325-8B02-4D0A-8414-C48178A56AA9}"/>
    <cellStyle name="Normal 55 2 3 2 2 2 2 4 3" xfId="7716" xr:uid="{3E2E3C04-E991-4089-8910-0396BBE640C4}"/>
    <cellStyle name="Normal 55 2 3 2 2 2 2 5" xfId="7717" xr:uid="{2CC093D2-0E81-427B-8FBD-B78D07C51D77}"/>
    <cellStyle name="Normal 55 2 3 2 2 2 2 6" xfId="7718" xr:uid="{ABBAE6E6-E38F-47D1-82DF-5FE7492C39E1}"/>
    <cellStyle name="Normal 55 2 3 2 2 2 2 7" xfId="7719" xr:uid="{BCA162ED-24AE-4240-A87E-D10DD7671A8F}"/>
    <cellStyle name="Normal 55 2 3 2 2 2 2 8" xfId="7720" xr:uid="{80DEBE53-A1C6-44DD-B717-D28EF5A161A8}"/>
    <cellStyle name="Normal 55 2 3 2 2 2 3" xfId="7721" xr:uid="{385CA1BA-E759-481E-B4B0-C9594EFA8350}"/>
    <cellStyle name="Normal 55 2 3 2 2 2 3 2" xfId="7722" xr:uid="{78DD1B00-4C6B-430C-AAD0-162688016D5C}"/>
    <cellStyle name="Normal 55 2 3 2 2 2 3 3" xfId="7723" xr:uid="{DC52BE62-1131-4626-8EB7-9A317F25435C}"/>
    <cellStyle name="Normal 55 2 3 2 2 2 4" xfId="7724" xr:uid="{90AB4509-5679-4355-A815-161AC2ACC556}"/>
    <cellStyle name="Normal 55 2 3 2 2 2 4 2" xfId="7725" xr:uid="{7B95FA46-2581-436C-AF90-9215878B7E06}"/>
    <cellStyle name="Normal 55 2 3 2 2 2 4 3" xfId="7726" xr:uid="{321EE3B1-27ED-4AE6-9928-66AB2916F3B1}"/>
    <cellStyle name="Normal 55 2 3 2 2 2 5" xfId="7727" xr:uid="{798AC613-38C9-477F-9293-B8E164E143CD}"/>
    <cellStyle name="Normal 55 2 3 2 2 2 5 2" xfId="7728" xr:uid="{7A3BC1D5-63AC-4075-8BF7-5FBD5F81C520}"/>
    <cellStyle name="Normal 55 2 3 2 2 2 5 3" xfId="7729" xr:uid="{4812D044-6E4A-4871-9076-DC817F5A111E}"/>
    <cellStyle name="Normal 55 2 3 2 2 2 6" xfId="7730" xr:uid="{2DCC458D-DF67-4DAF-8107-EC75205A608B}"/>
    <cellStyle name="Normal 55 2 3 2 2 2 7" xfId="7731" xr:uid="{15756F77-9102-47D2-8F2F-C0A374A89B75}"/>
    <cellStyle name="Normal 55 2 3 2 2 2 8" xfId="7732" xr:uid="{20020C01-0F75-414E-BC35-CA91C2EF94C8}"/>
    <cellStyle name="Normal 55 2 3 2 2 2 9" xfId="7733" xr:uid="{DD0DE16D-A918-4EA9-813C-7322C983D773}"/>
    <cellStyle name="Normal 55 2 3 2 2 3" xfId="7734" xr:uid="{FFD86CAA-2406-4C51-982A-BECEE54A9241}"/>
    <cellStyle name="Normal 55 2 3 2 2 3 2" xfId="7735" xr:uid="{D421D10D-DEE8-4BE8-B8CD-68C26914CDA1}"/>
    <cellStyle name="Normal 55 2 3 2 2 3 2 2" xfId="7736" xr:uid="{79017E2C-755B-405E-B11D-388694BD71CC}"/>
    <cellStyle name="Normal 55 2 3 2 2 3 2 3" xfId="7737" xr:uid="{0EB5CEA8-D9B1-46D3-9764-008D8A3166AD}"/>
    <cellStyle name="Normal 55 2 3 2 2 3 3" xfId="7738" xr:uid="{037679D8-5049-4ECA-BD81-F39F86EEB5F8}"/>
    <cellStyle name="Normal 55 2 3 2 2 3 3 2" xfId="7739" xr:uid="{653D9941-B7D6-4D4B-81D8-6F3A34E0F6D5}"/>
    <cellStyle name="Normal 55 2 3 2 2 3 3 3" xfId="7740" xr:uid="{1BBC58C9-CCDE-4764-9747-B0AF8EA63D70}"/>
    <cellStyle name="Normal 55 2 3 2 2 3 4" xfId="7741" xr:uid="{F93E3908-7D1A-45DC-AF7A-7A3979DB4139}"/>
    <cellStyle name="Normal 55 2 3 2 2 3 4 2" xfId="7742" xr:uid="{2F8BED2E-6A24-4435-A902-D8C3FEF72B0F}"/>
    <cellStyle name="Normal 55 2 3 2 2 3 4 3" xfId="7743" xr:uid="{A4BA366F-D9E4-4404-80EB-56D91743265D}"/>
    <cellStyle name="Normal 55 2 3 2 2 3 5" xfId="7744" xr:uid="{2B941067-C6E5-4134-8297-0F30063C053E}"/>
    <cellStyle name="Normal 55 2 3 2 2 3 6" xfId="7745" xr:uid="{0AC5567F-DA61-45D6-9722-B0773DE31885}"/>
    <cellStyle name="Normal 55 2 3 2 2 3 7" xfId="7746" xr:uid="{73240847-ACCF-48FB-83F1-EDD0B23212CE}"/>
    <cellStyle name="Normal 55 2 3 2 2 3 8" xfId="7747" xr:uid="{0058D4CE-C39F-472E-B987-B2B5D0C2CC3B}"/>
    <cellStyle name="Normal 55 2 3 2 2 4" xfId="7748" xr:uid="{634C7879-31F9-41B5-A019-183B9F267649}"/>
    <cellStyle name="Normal 55 2 3 2 2 4 2" xfId="7749" xr:uid="{DF23AF28-A4D4-4229-A4C5-796FE6B7AAEE}"/>
    <cellStyle name="Normal 55 2 3 2 2 4 3" xfId="7750" xr:uid="{E16E07C1-C120-4685-8E3C-FF2F1F5563BA}"/>
    <cellStyle name="Normal 55 2 3 2 2 5" xfId="7751" xr:uid="{390499F5-3480-4D13-9EED-E7DD255E13C2}"/>
    <cellStyle name="Normal 55 2 3 2 2 5 2" xfId="7752" xr:uid="{785FB5F3-FB0E-4284-830F-DD43FB312669}"/>
    <cellStyle name="Normal 55 2 3 2 2 5 3" xfId="7753" xr:uid="{7967B9AC-D55B-4D91-8451-053291B5BD40}"/>
    <cellStyle name="Normal 55 2 3 2 2 6" xfId="7754" xr:uid="{2BC7B90D-4747-4D36-9F01-01DA7EB741AB}"/>
    <cellStyle name="Normal 55 2 3 2 2 6 2" xfId="7755" xr:uid="{9673554E-9854-4428-BF60-ECCFEB5BAAB8}"/>
    <cellStyle name="Normal 55 2 3 2 2 6 3" xfId="7756" xr:uid="{A6E9F3F0-FA62-4DB2-99A5-23A0775C68D9}"/>
    <cellStyle name="Normal 55 2 3 2 2 7" xfId="7757" xr:uid="{7F76A15A-25D3-4AE2-8A71-2FD415B94208}"/>
    <cellStyle name="Normal 55 2 3 2 2 8" xfId="7758" xr:uid="{EB88440E-86C1-4BB5-BD96-9139860B428A}"/>
    <cellStyle name="Normal 55 2 3 2 2 9" xfId="7759" xr:uid="{5A213BE7-65CD-4738-98AA-460A17BD098F}"/>
    <cellStyle name="Normal 55 2 3 2 3" xfId="2250" xr:uid="{E7E4F7CC-8F06-4792-9B14-7629422B443A}"/>
    <cellStyle name="Normal 55 2 3 2 3 2" xfId="7760" xr:uid="{8B29E425-3052-457B-8445-B3C8ED43575F}"/>
    <cellStyle name="Normal 55 2 3 2 3 2 2" xfId="7761" xr:uid="{0391C6EF-7210-4C25-8BF1-26616DB15D42}"/>
    <cellStyle name="Normal 55 2 3 2 3 2 2 2" xfId="7762" xr:uid="{2DE160D8-8F63-4229-B333-64BAFE43B0D5}"/>
    <cellStyle name="Normal 55 2 3 2 3 2 2 3" xfId="7763" xr:uid="{7872AEC6-A7E6-4DEA-9A28-58B129414CE5}"/>
    <cellStyle name="Normal 55 2 3 2 3 2 3" xfId="7764" xr:uid="{F989BD01-B25B-4CD5-9B54-1974153CB869}"/>
    <cellStyle name="Normal 55 2 3 2 3 2 3 2" xfId="7765" xr:uid="{DBDB8791-AF07-48D7-B318-2855E5896341}"/>
    <cellStyle name="Normal 55 2 3 2 3 2 3 3" xfId="7766" xr:uid="{A9EE0937-5805-46B6-9CDD-0D038C082006}"/>
    <cellStyle name="Normal 55 2 3 2 3 2 4" xfId="7767" xr:uid="{CE1E36D5-91E9-4707-9D24-84466B877158}"/>
    <cellStyle name="Normal 55 2 3 2 3 2 4 2" xfId="7768" xr:uid="{C07BD04A-57E9-4CD4-AD94-3EC40415F7FF}"/>
    <cellStyle name="Normal 55 2 3 2 3 2 4 3" xfId="7769" xr:uid="{FB102002-222D-4115-B57E-8E16FE9A7737}"/>
    <cellStyle name="Normal 55 2 3 2 3 2 5" xfId="7770" xr:uid="{DDB119E3-2553-445E-B2B7-226F636234E9}"/>
    <cellStyle name="Normal 55 2 3 2 3 2 6" xfId="7771" xr:uid="{AE061DBF-68EA-44B6-81A2-59560D6E7427}"/>
    <cellStyle name="Normal 55 2 3 2 3 2 7" xfId="7772" xr:uid="{8EB6F304-1273-4688-8D6C-982B481FEDFF}"/>
    <cellStyle name="Normal 55 2 3 2 3 2 8" xfId="7773" xr:uid="{37DF96E3-9DF2-45BF-9F70-73F7701D91A3}"/>
    <cellStyle name="Normal 55 2 3 2 3 3" xfId="7774" xr:uid="{EB69EAFD-50BA-4E1A-9AAF-5A5A2D5F5814}"/>
    <cellStyle name="Normal 55 2 3 2 3 3 2" xfId="7775" xr:uid="{196E6B21-724A-4BC2-8339-A020663C9641}"/>
    <cellStyle name="Normal 55 2 3 2 3 3 3" xfId="7776" xr:uid="{68F29D50-B496-45FB-A94E-61EDD2EBE44B}"/>
    <cellStyle name="Normal 55 2 3 2 3 4" xfId="7777" xr:uid="{4048D54C-6F69-48EC-881A-F6A764702F8C}"/>
    <cellStyle name="Normal 55 2 3 2 3 4 2" xfId="7778" xr:uid="{1C930300-06F9-465D-AE91-5063269F1651}"/>
    <cellStyle name="Normal 55 2 3 2 3 4 3" xfId="7779" xr:uid="{879B76BC-DC0B-4C00-B48B-EF117544A6CD}"/>
    <cellStyle name="Normal 55 2 3 2 3 5" xfId="7780" xr:uid="{58CBCEF4-F5CA-40FA-B8DE-39681F500763}"/>
    <cellStyle name="Normal 55 2 3 2 3 5 2" xfId="7781" xr:uid="{160A430E-839A-4A9D-AADF-953BD82503C4}"/>
    <cellStyle name="Normal 55 2 3 2 3 5 3" xfId="7782" xr:uid="{5E1F157A-FC70-421A-BC72-532C0D0F7072}"/>
    <cellStyle name="Normal 55 2 3 2 3 6" xfId="7783" xr:uid="{DCEF3F3F-6861-455B-9499-40727F3D219A}"/>
    <cellStyle name="Normal 55 2 3 2 3 7" xfId="7784" xr:uid="{AF9D98AB-F5DF-4B26-A60A-A9F079AD3298}"/>
    <cellStyle name="Normal 55 2 3 2 3 8" xfId="7785" xr:uid="{FCA2E27C-F82D-4B8F-AA9B-E262A62B9815}"/>
    <cellStyle name="Normal 55 2 3 2 3 9" xfId="7786" xr:uid="{ADC15797-B77B-4136-8658-64E5E229B941}"/>
    <cellStyle name="Normal 55 2 3 2 4" xfId="7787" xr:uid="{0B9C77E1-9734-4595-9453-D83EFD191D8B}"/>
    <cellStyle name="Normal 55 2 3 2 4 2" xfId="7788" xr:uid="{150AF7DF-703A-45F4-8474-FB27C36E9801}"/>
    <cellStyle name="Normal 55 2 3 2 4 2 2" xfId="7789" xr:uid="{C9AA36BC-4B8A-4DAD-B531-B43F75FE136E}"/>
    <cellStyle name="Normal 55 2 3 2 4 2 3" xfId="7790" xr:uid="{840FB8C6-5FAE-47F5-81C5-75F19EC1C830}"/>
    <cellStyle name="Normal 55 2 3 2 4 3" xfId="7791" xr:uid="{D06FA25C-E7EF-4EBA-8524-3CABCF96EA9E}"/>
    <cellStyle name="Normal 55 2 3 2 4 3 2" xfId="7792" xr:uid="{F76D1517-3679-469C-83A8-37164AE43ECF}"/>
    <cellStyle name="Normal 55 2 3 2 4 3 3" xfId="7793" xr:uid="{F1BDD486-DA52-44F5-88FA-EBCB2AC5E220}"/>
    <cellStyle name="Normal 55 2 3 2 4 4" xfId="7794" xr:uid="{62251667-5D07-45B7-B7C5-0D967A6B778E}"/>
    <cellStyle name="Normal 55 2 3 2 4 4 2" xfId="7795" xr:uid="{335FF534-79A8-4849-BF4C-345EE1CB7644}"/>
    <cellStyle name="Normal 55 2 3 2 4 4 3" xfId="7796" xr:uid="{EEAB9924-A37E-4900-966A-D2AC9B56D308}"/>
    <cellStyle name="Normal 55 2 3 2 4 5" xfId="7797" xr:uid="{71196762-296E-41C3-A852-E79F7CD9FF59}"/>
    <cellStyle name="Normal 55 2 3 2 4 6" xfId="7798" xr:uid="{76995CBA-F054-4118-8C6B-B1059CCE4982}"/>
    <cellStyle name="Normal 55 2 3 2 4 7" xfId="7799" xr:uid="{05680691-B08D-4D52-9042-7926E8849C06}"/>
    <cellStyle name="Normal 55 2 3 2 4 8" xfId="7800" xr:uid="{F4F6E785-E83F-43A6-B30E-5C732BB20355}"/>
    <cellStyle name="Normal 55 2 3 2 5" xfId="7801" xr:uid="{0B0BFD91-750C-4F1A-B0D3-41E2CA41D76F}"/>
    <cellStyle name="Normal 55 2 3 2 5 2" xfId="7802" xr:uid="{4016BA76-8B74-4D3B-9E4D-263D36F4580D}"/>
    <cellStyle name="Normal 55 2 3 2 5 3" xfId="7803" xr:uid="{F74D36D2-2AC4-42C6-A992-0340AE8B8997}"/>
    <cellStyle name="Normal 55 2 3 2 6" xfId="7804" xr:uid="{75994F5D-D223-484B-9319-A2A342DD82A6}"/>
    <cellStyle name="Normal 55 2 3 2 6 2" xfId="7805" xr:uid="{C81361EC-9AF3-40D8-956A-C1ADD06E5612}"/>
    <cellStyle name="Normal 55 2 3 2 6 3" xfId="7806" xr:uid="{C972EFDF-217F-4D64-BEBC-44B48AB86401}"/>
    <cellStyle name="Normal 55 2 3 2 7" xfId="7807" xr:uid="{3239D8FB-BCC4-409E-8DAA-54E91FAD1855}"/>
    <cellStyle name="Normal 55 2 3 2 7 2" xfId="7808" xr:uid="{A2BA3346-8214-4642-892F-4F65634C52F8}"/>
    <cellStyle name="Normal 55 2 3 2 7 3" xfId="7809" xr:uid="{3BD8735C-2251-4EA4-8819-B676D13B7A82}"/>
    <cellStyle name="Normal 55 2 3 2 8" xfId="7810" xr:uid="{F9682359-BFF6-4D42-BAD2-37A1AE7193CD}"/>
    <cellStyle name="Normal 55 2 3 2 9" xfId="7811" xr:uid="{1C367517-02E0-4658-828A-F70E5357B52F}"/>
    <cellStyle name="Normal 55 2 3 3" xfId="2251" xr:uid="{7FD12BCC-F443-4408-A13E-7A46A670F4CB}"/>
    <cellStyle name="Normal 55 2 3 3 10" xfId="7812" xr:uid="{1DC92C14-A2EC-4C7B-BA14-C95508DB618A}"/>
    <cellStyle name="Normal 55 2 3 3 2" xfId="2252" xr:uid="{81002AAF-6CA2-47AA-8F6F-D19F4F210740}"/>
    <cellStyle name="Normal 55 2 3 3 2 2" xfId="7813" xr:uid="{0B62E5A7-7F53-4D1B-AB3A-96320C23C00D}"/>
    <cellStyle name="Normal 55 2 3 3 2 2 2" xfId="7814" xr:uid="{51133114-8D66-474A-BC06-FE38F2E6CC88}"/>
    <cellStyle name="Normal 55 2 3 3 2 2 2 2" xfId="7815" xr:uid="{A0FCF0F8-3571-4B94-8631-46629B5CC231}"/>
    <cellStyle name="Normal 55 2 3 3 2 2 2 3" xfId="7816" xr:uid="{5C74CDBF-2FB9-454F-9056-4C4372953749}"/>
    <cellStyle name="Normal 55 2 3 3 2 2 3" xfId="7817" xr:uid="{75AC52E6-4CE2-431B-A1B2-FB0CA92B47F8}"/>
    <cellStyle name="Normal 55 2 3 3 2 2 3 2" xfId="7818" xr:uid="{3916FB93-FA82-4C69-B108-0C643004041F}"/>
    <cellStyle name="Normal 55 2 3 3 2 2 3 3" xfId="7819" xr:uid="{14CA779C-64D8-45AF-8193-1D39FD812B40}"/>
    <cellStyle name="Normal 55 2 3 3 2 2 4" xfId="7820" xr:uid="{5730EC78-0ECF-4BE7-88B4-FE867D33F2F4}"/>
    <cellStyle name="Normal 55 2 3 3 2 2 4 2" xfId="7821" xr:uid="{442772EC-EF64-4170-994A-141BC9CBCFB6}"/>
    <cellStyle name="Normal 55 2 3 3 2 2 4 3" xfId="7822" xr:uid="{4CBCF9A0-9531-4E11-AA15-EB1B2345E183}"/>
    <cellStyle name="Normal 55 2 3 3 2 2 5" xfId="7823" xr:uid="{528BFF8C-4474-4A72-B23D-3D3F3BFC9A74}"/>
    <cellStyle name="Normal 55 2 3 3 2 2 6" xfId="7824" xr:uid="{FF890B81-B48E-4C2E-80A9-90C2ED3C0CC2}"/>
    <cellStyle name="Normal 55 2 3 3 2 2 7" xfId="7825" xr:uid="{59928CC8-4C0D-40B0-A456-62B9F2636DC9}"/>
    <cellStyle name="Normal 55 2 3 3 2 2 8" xfId="7826" xr:uid="{9CFE8439-5497-4936-8361-9D969A0ADA77}"/>
    <cellStyle name="Normal 55 2 3 3 2 3" xfId="7827" xr:uid="{CEAE5D9D-A4F3-4B40-B57B-F0247AC4556F}"/>
    <cellStyle name="Normal 55 2 3 3 2 3 2" xfId="7828" xr:uid="{49A95729-0E39-4BB7-BD51-5A242066312A}"/>
    <cellStyle name="Normal 55 2 3 3 2 3 3" xfId="7829" xr:uid="{32C2F9EB-7673-4E63-B40F-DA17EDB021EA}"/>
    <cellStyle name="Normal 55 2 3 3 2 4" xfId="7830" xr:uid="{DA46D2CE-303E-49ED-9883-A9AB7B882084}"/>
    <cellStyle name="Normal 55 2 3 3 2 4 2" xfId="7831" xr:uid="{54B899E3-B882-4939-A989-5F0CB39F725D}"/>
    <cellStyle name="Normal 55 2 3 3 2 4 3" xfId="7832" xr:uid="{C54F7F3C-3F3C-4758-86DE-127E42840289}"/>
    <cellStyle name="Normal 55 2 3 3 2 5" xfId="7833" xr:uid="{CB28FFA9-4487-4B4F-923F-064AC383751C}"/>
    <cellStyle name="Normal 55 2 3 3 2 5 2" xfId="7834" xr:uid="{9F3AB778-A553-4111-BB1C-DA0990C4148A}"/>
    <cellStyle name="Normal 55 2 3 3 2 5 3" xfId="7835" xr:uid="{E11BF097-0AD4-406A-826B-CEE7F4707986}"/>
    <cellStyle name="Normal 55 2 3 3 2 6" xfId="7836" xr:uid="{DFEA23B8-45C0-48B4-8873-CBA67460809A}"/>
    <cellStyle name="Normal 55 2 3 3 2 7" xfId="7837" xr:uid="{FE334A39-51F1-4BB7-8202-6659130FC8A7}"/>
    <cellStyle name="Normal 55 2 3 3 2 8" xfId="7838" xr:uid="{A7C9A24D-63BF-4C88-9424-DEFFA23D8446}"/>
    <cellStyle name="Normal 55 2 3 3 2 9" xfId="7839" xr:uid="{4757C8C3-6DD6-4B22-9D6F-CDEDA34A8D1B}"/>
    <cellStyle name="Normal 55 2 3 3 3" xfId="7840" xr:uid="{F5828B92-E814-4495-976D-96321D535ACC}"/>
    <cellStyle name="Normal 55 2 3 3 3 2" xfId="7841" xr:uid="{F8427C31-DC16-4923-9C25-FE4DAFB68AF3}"/>
    <cellStyle name="Normal 55 2 3 3 3 2 2" xfId="7842" xr:uid="{70A1B9B4-054E-4109-8A2D-282C51F485DA}"/>
    <cellStyle name="Normal 55 2 3 3 3 2 3" xfId="7843" xr:uid="{63041185-6529-4D53-B61B-0F8A3C89CEEE}"/>
    <cellStyle name="Normal 55 2 3 3 3 3" xfId="7844" xr:uid="{EDFC0005-42AC-4247-9114-88B06BD893B2}"/>
    <cellStyle name="Normal 55 2 3 3 3 3 2" xfId="7845" xr:uid="{D83C1DA0-DBDA-490E-B957-312775DBD313}"/>
    <cellStyle name="Normal 55 2 3 3 3 3 3" xfId="7846" xr:uid="{8883E14B-CEBB-47B1-844F-406C11844E22}"/>
    <cellStyle name="Normal 55 2 3 3 3 4" xfId="7847" xr:uid="{62A1234C-8A80-4BBD-9BC9-6A022A4E4502}"/>
    <cellStyle name="Normal 55 2 3 3 3 4 2" xfId="7848" xr:uid="{64D3255A-7F6F-4AC8-B5AF-29FF46D3B89A}"/>
    <cellStyle name="Normal 55 2 3 3 3 4 3" xfId="7849" xr:uid="{7E113789-424C-480E-84A5-53C41DBA85A8}"/>
    <cellStyle name="Normal 55 2 3 3 3 5" xfId="7850" xr:uid="{B8FC7E4B-88D9-472B-8553-58E892AB1C12}"/>
    <cellStyle name="Normal 55 2 3 3 3 6" xfId="7851" xr:uid="{DBB02AE7-D65A-4270-9E58-7193D8F47F9C}"/>
    <cellStyle name="Normal 55 2 3 3 3 7" xfId="7852" xr:uid="{5B0AC861-5B8F-4064-B9F1-2C4E4161CF63}"/>
    <cellStyle name="Normal 55 2 3 3 3 8" xfId="7853" xr:uid="{6D40DB3A-B95B-400C-95BA-DC9570EAA894}"/>
    <cellStyle name="Normal 55 2 3 3 4" xfId="7854" xr:uid="{EBF4DCC9-C0E9-43F6-95A3-B5E46D67D3B9}"/>
    <cellStyle name="Normal 55 2 3 3 4 2" xfId="7855" xr:uid="{F187A7F6-EBC7-4998-8DE7-415D76E0AFB1}"/>
    <cellStyle name="Normal 55 2 3 3 4 3" xfId="7856" xr:uid="{F06A3600-1BF5-4566-A3CA-447BFDF02F5B}"/>
    <cellStyle name="Normal 55 2 3 3 5" xfId="7857" xr:uid="{2DE9319C-A4C4-4E3F-9DB9-770B7DACF439}"/>
    <cellStyle name="Normal 55 2 3 3 5 2" xfId="7858" xr:uid="{015D692A-D563-4422-ACBE-AFF7C688C226}"/>
    <cellStyle name="Normal 55 2 3 3 5 3" xfId="7859" xr:uid="{BC6BF034-B125-4814-88AB-8791FDC9F9B8}"/>
    <cellStyle name="Normal 55 2 3 3 6" xfId="7860" xr:uid="{C003F653-FED3-4A24-AE10-C9396C0E0385}"/>
    <cellStyle name="Normal 55 2 3 3 6 2" xfId="7861" xr:uid="{1ED4608D-A66C-48F2-8BF2-2E12F3583A0F}"/>
    <cellStyle name="Normal 55 2 3 3 6 3" xfId="7862" xr:uid="{9760FE2C-574E-472A-A741-147986BCD501}"/>
    <cellStyle name="Normal 55 2 3 3 7" xfId="7863" xr:uid="{EBAAAFE3-B5CE-4B08-97D6-49365EF0DA14}"/>
    <cellStyle name="Normal 55 2 3 3 8" xfId="7864" xr:uid="{887C00F8-26F7-497B-BED8-9DB2BD490CDB}"/>
    <cellStyle name="Normal 55 2 3 3 9" xfId="7865" xr:uid="{96A177F2-BCF4-453F-A0B8-84F2160DF611}"/>
    <cellStyle name="Normal 55 2 3 4" xfId="2253" xr:uid="{5234F5AB-4C17-4A0D-9042-4FB598A1CB7D}"/>
    <cellStyle name="Normal 55 2 3 4 2" xfId="7866" xr:uid="{4F0277B0-E8E7-4722-A3B0-DA18E346A5EE}"/>
    <cellStyle name="Normal 55 2 3 4 2 2" xfId="7867" xr:uid="{2FB52BEC-352C-4C27-A9BF-44EFF9323524}"/>
    <cellStyle name="Normal 55 2 3 4 2 2 2" xfId="7868" xr:uid="{DE043262-D2EC-4F2E-92ED-5AF13D0A81D4}"/>
    <cellStyle name="Normal 55 2 3 4 2 2 3" xfId="7869" xr:uid="{19B985FF-4724-4F77-821B-57B6D1F93522}"/>
    <cellStyle name="Normal 55 2 3 4 2 3" xfId="7870" xr:uid="{2F7BE0B4-C2CE-4712-B089-0066906EE5E5}"/>
    <cellStyle name="Normal 55 2 3 4 2 3 2" xfId="7871" xr:uid="{8ED297BB-C696-4623-864C-C6C88019D03D}"/>
    <cellStyle name="Normal 55 2 3 4 2 3 3" xfId="7872" xr:uid="{19780E1E-57D4-46AB-BBB8-9FFBDF8BAD6C}"/>
    <cellStyle name="Normal 55 2 3 4 2 4" xfId="7873" xr:uid="{A311B070-F6CC-49C2-97B1-3230A059324C}"/>
    <cellStyle name="Normal 55 2 3 4 2 4 2" xfId="7874" xr:uid="{BCA80AAB-AF28-4917-9327-1EB41346142B}"/>
    <cellStyle name="Normal 55 2 3 4 2 4 3" xfId="7875" xr:uid="{8DA5F15D-E2C2-4EAA-BC2D-47E2B6396712}"/>
    <cellStyle name="Normal 55 2 3 4 2 5" xfId="7876" xr:uid="{C73C19F9-2A10-4953-85E0-B930536D4EEC}"/>
    <cellStyle name="Normal 55 2 3 4 2 6" xfId="7877" xr:uid="{4A42017E-C011-4928-90EF-33D533E88A07}"/>
    <cellStyle name="Normal 55 2 3 4 2 7" xfId="7878" xr:uid="{B32013AB-E12A-4CD3-A1D0-90800848F2AA}"/>
    <cellStyle name="Normal 55 2 3 4 2 8" xfId="7879" xr:uid="{CDE4C688-BA2B-40F8-AD93-0D60422F5F7B}"/>
    <cellStyle name="Normal 55 2 3 4 3" xfId="7880" xr:uid="{A16FA3CA-277C-426E-8DBF-3B12EFEAC70E}"/>
    <cellStyle name="Normal 55 2 3 4 3 2" xfId="7881" xr:uid="{44A5277F-E6B0-48DD-8205-9EFD95E24068}"/>
    <cellStyle name="Normal 55 2 3 4 3 3" xfId="7882" xr:uid="{1FEB6984-EC9E-469D-80D9-16D679C356F6}"/>
    <cellStyle name="Normal 55 2 3 4 4" xfId="7883" xr:uid="{C77633E0-0438-455F-B0FF-0DFAA37373F2}"/>
    <cellStyle name="Normal 55 2 3 4 4 2" xfId="7884" xr:uid="{52EEE765-3D69-49D7-BCF0-FF0F07BFDDDA}"/>
    <cellStyle name="Normal 55 2 3 4 4 3" xfId="7885" xr:uid="{ED364931-9162-4F66-9A99-79BD1BE0CD25}"/>
    <cellStyle name="Normal 55 2 3 4 5" xfId="7886" xr:uid="{213384E4-A088-481F-A1F7-8D85B48F359F}"/>
    <cellStyle name="Normal 55 2 3 4 5 2" xfId="7887" xr:uid="{AF950ADA-AD39-4C25-B061-54B7F7A824B1}"/>
    <cellStyle name="Normal 55 2 3 4 5 3" xfId="7888" xr:uid="{5F046385-D92E-41CD-AD3E-1F1C2E049E4E}"/>
    <cellStyle name="Normal 55 2 3 4 6" xfId="7889" xr:uid="{B4F09C20-1EC9-4250-BF29-42C76442BFAB}"/>
    <cellStyle name="Normal 55 2 3 4 7" xfId="7890" xr:uid="{7BC76F21-4E21-42E2-B770-E0976715A889}"/>
    <cellStyle name="Normal 55 2 3 4 8" xfId="7891" xr:uid="{248147E3-5498-4E05-8490-47C4AEE858B3}"/>
    <cellStyle name="Normal 55 2 3 4 9" xfId="7892" xr:uid="{9399708A-7E27-4D98-BF75-C65F520E43B0}"/>
    <cellStyle name="Normal 55 2 3 5" xfId="7893" xr:uid="{A65B81C5-D617-42F9-84D8-82367B8AF877}"/>
    <cellStyle name="Normal 55 2 3 5 2" xfId="7894" xr:uid="{B3D23220-8516-4282-8E62-54308C340112}"/>
    <cellStyle name="Normal 55 2 3 5 2 2" xfId="7895" xr:uid="{613CEA4E-A4CC-48E0-A5C7-90D5D4B091CB}"/>
    <cellStyle name="Normal 55 2 3 5 2 3" xfId="7896" xr:uid="{D8D488B1-5BFD-408B-803C-52D673C21690}"/>
    <cellStyle name="Normal 55 2 3 5 3" xfId="7897" xr:uid="{945DE989-DF31-411F-A05B-1B69CC50036C}"/>
    <cellStyle name="Normal 55 2 3 5 3 2" xfId="7898" xr:uid="{8280BE5E-E4E5-4F6A-AB87-A109DF7BCCB5}"/>
    <cellStyle name="Normal 55 2 3 5 3 3" xfId="7899" xr:uid="{33A74882-67A4-4C67-95F3-7C104DE8BC25}"/>
    <cellStyle name="Normal 55 2 3 5 4" xfId="7900" xr:uid="{ED7F0E56-58D2-4740-86EC-BA73A9EE5597}"/>
    <cellStyle name="Normal 55 2 3 5 4 2" xfId="7901" xr:uid="{3C819373-26F6-48D2-9DE0-28A25EB91432}"/>
    <cellStyle name="Normal 55 2 3 5 4 3" xfId="7902" xr:uid="{5FCF673B-1AC8-4082-A190-311046E5805B}"/>
    <cellStyle name="Normal 55 2 3 5 5" xfId="7903" xr:uid="{F4CAC360-9DB0-48F1-9843-98E8D5103F43}"/>
    <cellStyle name="Normal 55 2 3 5 6" xfId="7904" xr:uid="{2691FA98-CE79-457B-9AA3-1DDF43E81279}"/>
    <cellStyle name="Normal 55 2 3 5 7" xfId="7905" xr:uid="{D4D4751D-3B19-4FAA-8918-B60855A910D2}"/>
    <cellStyle name="Normal 55 2 3 5 8" xfId="7906" xr:uid="{60E8F4C8-F3C7-4665-A7FA-CC8E55448EEF}"/>
    <cellStyle name="Normal 55 2 3 6" xfId="7907" xr:uid="{6B876695-F993-41A6-947B-5E3D6AF92D8B}"/>
    <cellStyle name="Normal 55 2 3 6 2" xfId="7908" xr:uid="{5A3E9191-C5A0-4808-8927-6EE1F514582D}"/>
    <cellStyle name="Normal 55 2 3 6 3" xfId="7909" xr:uid="{EFDE52F4-E0EE-4FF8-B964-448E273198FD}"/>
    <cellStyle name="Normal 55 2 3 7" xfId="7910" xr:uid="{F4B0B786-D008-47E9-99FD-690B5AEF947B}"/>
    <cellStyle name="Normal 55 2 3 7 2" xfId="7911" xr:uid="{420F8375-AFBD-4553-A869-F30FA97DFFB1}"/>
    <cellStyle name="Normal 55 2 3 7 3" xfId="7912" xr:uid="{9234A090-963D-4789-81DF-62BB16A5380F}"/>
    <cellStyle name="Normal 55 2 3 8" xfId="7913" xr:uid="{B7FF9C56-8325-4FE7-80DB-B9B7CC94E672}"/>
    <cellStyle name="Normal 55 2 3 8 2" xfId="7914" xr:uid="{D34C12F2-D601-4158-A37F-994761ED555C}"/>
    <cellStyle name="Normal 55 2 3 8 3" xfId="7915" xr:uid="{BFCEFAB4-8869-41F8-A77E-CD57AD4E1C0F}"/>
    <cellStyle name="Normal 55 2 3 9" xfId="7916" xr:uid="{DCA2FD1F-8FC7-450D-9777-5EEFC9B6D0F9}"/>
    <cellStyle name="Normal 55 2 4" xfId="2254" xr:uid="{16C79C25-A04E-475E-9F6A-9FE956535254}"/>
    <cellStyle name="Normal 55 2 4 10" xfId="7917" xr:uid="{459FCBE2-1EA7-4741-86BF-FC6475F69274}"/>
    <cellStyle name="Normal 55 2 4 11" xfId="7918" xr:uid="{ABB60463-9CDD-4C62-BB1D-0B29CB7B44B3}"/>
    <cellStyle name="Normal 55 2 4 2" xfId="2255" xr:uid="{7609C470-6542-44E0-B562-29482D6F970B}"/>
    <cellStyle name="Normal 55 2 4 2 10" xfId="7919" xr:uid="{29ED3A1B-3B72-4C66-B2DA-A7C0397C7BBA}"/>
    <cellStyle name="Normal 55 2 4 2 2" xfId="2256" xr:uid="{BCCA991A-5CD2-4674-8A84-4C1394349334}"/>
    <cellStyle name="Normal 55 2 4 2 2 2" xfId="7920" xr:uid="{A1A7B869-9993-4E7B-8A28-D1E21EB196BC}"/>
    <cellStyle name="Normal 55 2 4 2 2 2 2" xfId="7921" xr:uid="{78F29F99-E469-4C93-9DB5-1F9E91BDC74D}"/>
    <cellStyle name="Normal 55 2 4 2 2 2 2 2" xfId="7922" xr:uid="{B031907F-D064-4CF5-A928-D1D396DACB65}"/>
    <cellStyle name="Normal 55 2 4 2 2 2 2 3" xfId="7923" xr:uid="{532BCB2E-F232-4130-8B57-AE608AA4C445}"/>
    <cellStyle name="Normal 55 2 4 2 2 2 3" xfId="7924" xr:uid="{E05706FD-B94C-4CA8-9A3C-76196ACB7CE6}"/>
    <cellStyle name="Normal 55 2 4 2 2 2 3 2" xfId="7925" xr:uid="{61AB68CC-6DE7-4596-839F-2E2CA1E74ADE}"/>
    <cellStyle name="Normal 55 2 4 2 2 2 3 3" xfId="7926" xr:uid="{62C14F02-4C25-4179-8CC5-D093ADB1A751}"/>
    <cellStyle name="Normal 55 2 4 2 2 2 4" xfId="7927" xr:uid="{FF3F49C7-5A96-4A03-AFB1-8D117937DD68}"/>
    <cellStyle name="Normal 55 2 4 2 2 2 4 2" xfId="7928" xr:uid="{D36DC610-13F6-4DAF-9B7F-719A15D9AB42}"/>
    <cellStyle name="Normal 55 2 4 2 2 2 4 3" xfId="7929" xr:uid="{84210263-9462-41A5-90D4-8CAC1533A9DE}"/>
    <cellStyle name="Normal 55 2 4 2 2 2 5" xfId="7930" xr:uid="{7AAE5BD1-D087-430C-9F33-5CFAB61B2CD9}"/>
    <cellStyle name="Normal 55 2 4 2 2 2 6" xfId="7931" xr:uid="{630C04E3-E72C-4D71-A22C-816B1403410E}"/>
    <cellStyle name="Normal 55 2 4 2 2 2 7" xfId="7932" xr:uid="{2216BEB6-9FEF-4A6E-8CA0-05608121D090}"/>
    <cellStyle name="Normal 55 2 4 2 2 2 8" xfId="7933" xr:uid="{D49A515A-97E9-4972-AB15-995894B1CDF4}"/>
    <cellStyle name="Normal 55 2 4 2 2 3" xfId="7934" xr:uid="{ACA2AEB4-7946-4E50-B91F-1AA1D284B166}"/>
    <cellStyle name="Normal 55 2 4 2 2 3 2" xfId="7935" xr:uid="{DFE332DD-FAE1-4719-BCB1-3647BBBC91A7}"/>
    <cellStyle name="Normal 55 2 4 2 2 3 3" xfId="7936" xr:uid="{167CFB37-0CE8-48D5-9710-397AF363F4D8}"/>
    <cellStyle name="Normal 55 2 4 2 2 4" xfId="7937" xr:uid="{86786BA9-C185-4212-895C-B371B7B9F570}"/>
    <cellStyle name="Normal 55 2 4 2 2 4 2" xfId="7938" xr:uid="{8124DD34-5E2B-4069-91A6-2E04987E9075}"/>
    <cellStyle name="Normal 55 2 4 2 2 4 3" xfId="7939" xr:uid="{376D0052-543F-4A6D-A2CC-8F33E9D72763}"/>
    <cellStyle name="Normal 55 2 4 2 2 5" xfId="7940" xr:uid="{E03FC3B4-9F7F-4729-9215-45176B0930F8}"/>
    <cellStyle name="Normal 55 2 4 2 2 5 2" xfId="7941" xr:uid="{4B459C0C-4463-47DE-BDAA-DF063B7ACFFE}"/>
    <cellStyle name="Normal 55 2 4 2 2 5 3" xfId="7942" xr:uid="{2D445748-3D82-419D-9BE8-3CB04A218028}"/>
    <cellStyle name="Normal 55 2 4 2 2 6" xfId="7943" xr:uid="{FCD18900-F229-4132-A106-4D006188D0B6}"/>
    <cellStyle name="Normal 55 2 4 2 2 7" xfId="7944" xr:uid="{40B4600E-C2BD-4811-B561-A4C58E389E2B}"/>
    <cellStyle name="Normal 55 2 4 2 2 8" xfId="7945" xr:uid="{72822B85-E865-4018-8853-8B5A5FEE469A}"/>
    <cellStyle name="Normal 55 2 4 2 2 9" xfId="7946" xr:uid="{3BDD6F70-9EBC-434B-AC84-921CD4082BCF}"/>
    <cellStyle name="Normal 55 2 4 2 3" xfId="7947" xr:uid="{4F4DB921-4407-48F7-9C34-0E64B6CC04B5}"/>
    <cellStyle name="Normal 55 2 4 2 3 2" xfId="7948" xr:uid="{C6D2805B-7AE3-4EC3-9130-052EB5484619}"/>
    <cellStyle name="Normal 55 2 4 2 3 2 2" xfId="7949" xr:uid="{6EFD2D25-0A29-4B1B-8666-09AC2B919D4F}"/>
    <cellStyle name="Normal 55 2 4 2 3 2 3" xfId="7950" xr:uid="{47F41F04-7FE2-4E28-AC47-F9DDA29B86F8}"/>
    <cellStyle name="Normal 55 2 4 2 3 3" xfId="7951" xr:uid="{6F434D2F-2D1A-411C-8C5F-CEB301C426DE}"/>
    <cellStyle name="Normal 55 2 4 2 3 3 2" xfId="7952" xr:uid="{1B999EC0-533B-42DF-9575-A6D47D75C253}"/>
    <cellStyle name="Normal 55 2 4 2 3 3 3" xfId="7953" xr:uid="{7CEC7E00-20A1-48D7-B008-29D554D5DF88}"/>
    <cellStyle name="Normal 55 2 4 2 3 4" xfId="7954" xr:uid="{7FB15E6E-AC0A-4248-8714-D9C1DE2C6749}"/>
    <cellStyle name="Normal 55 2 4 2 3 4 2" xfId="7955" xr:uid="{9D30A673-CD57-498C-A4C2-B18835583B99}"/>
    <cellStyle name="Normal 55 2 4 2 3 4 3" xfId="7956" xr:uid="{C0B79729-D6A9-4B18-80A8-615402154ADF}"/>
    <cellStyle name="Normal 55 2 4 2 3 5" xfId="7957" xr:uid="{E2F509A4-2492-4C80-BFDC-439D148D995E}"/>
    <cellStyle name="Normal 55 2 4 2 3 6" xfId="7958" xr:uid="{67F4C8BA-DA05-4DF5-8CA0-03D5DCF28909}"/>
    <cellStyle name="Normal 55 2 4 2 3 7" xfId="7959" xr:uid="{99717452-64A1-42A1-A696-41433DE590BB}"/>
    <cellStyle name="Normal 55 2 4 2 3 8" xfId="7960" xr:uid="{0ADE88F0-7C74-4535-9DF0-FFC6E02FC59E}"/>
    <cellStyle name="Normal 55 2 4 2 4" xfId="7961" xr:uid="{61F337DC-5C4A-479B-B27F-43B703261AFE}"/>
    <cellStyle name="Normal 55 2 4 2 4 2" xfId="7962" xr:uid="{78F7610C-58B6-44A2-AE0A-E1A7385F51FC}"/>
    <cellStyle name="Normal 55 2 4 2 4 3" xfId="7963" xr:uid="{6F5D1826-FC39-4FD1-B27F-4F6B8E3565A7}"/>
    <cellStyle name="Normal 55 2 4 2 5" xfId="7964" xr:uid="{AB99CC1C-C109-4B03-A54F-2FA8AB0C0541}"/>
    <cellStyle name="Normal 55 2 4 2 5 2" xfId="7965" xr:uid="{BDE7F7F8-3FFD-4991-8DC9-B852360E4F8B}"/>
    <cellStyle name="Normal 55 2 4 2 5 3" xfId="7966" xr:uid="{1A9E1089-471C-4D9F-9232-9FC9069B146D}"/>
    <cellStyle name="Normal 55 2 4 2 6" xfId="7967" xr:uid="{1C0CF0A6-B4B0-4140-B139-8EF0A70BE9D7}"/>
    <cellStyle name="Normal 55 2 4 2 6 2" xfId="7968" xr:uid="{690C64F4-100C-4A50-815F-86E237DBEED6}"/>
    <cellStyle name="Normal 55 2 4 2 6 3" xfId="7969" xr:uid="{ADF2CACC-BB95-4306-B3E6-5678A7E7DDFF}"/>
    <cellStyle name="Normal 55 2 4 2 7" xfId="7970" xr:uid="{D0408356-BF02-450B-8BD4-FE4ECA4B477B}"/>
    <cellStyle name="Normal 55 2 4 2 8" xfId="7971" xr:uid="{D7340532-4F9D-45BD-AD69-BAC9BC465010}"/>
    <cellStyle name="Normal 55 2 4 2 9" xfId="7972" xr:uid="{AC6AE4F2-EC5F-4886-BB9D-36DDDC8290D1}"/>
    <cellStyle name="Normal 55 2 4 3" xfId="2257" xr:uid="{439D0437-AC7F-4855-B7F9-AF219FB4DDEC}"/>
    <cellStyle name="Normal 55 2 4 3 2" xfId="7973" xr:uid="{4E7252BC-4B89-4FDD-A515-42F02E3BC537}"/>
    <cellStyle name="Normal 55 2 4 3 2 2" xfId="7974" xr:uid="{140D6310-63CE-4C84-8A63-FBB6DFA01AA7}"/>
    <cellStyle name="Normal 55 2 4 3 2 2 2" xfId="7975" xr:uid="{8CFC3AF4-8168-4429-B92C-1C9FDB5CEDDF}"/>
    <cellStyle name="Normal 55 2 4 3 2 2 3" xfId="7976" xr:uid="{FE196CE8-52B4-4156-BE98-F3A8363DC49F}"/>
    <cellStyle name="Normal 55 2 4 3 2 3" xfId="7977" xr:uid="{9A212EA3-ED90-4A32-954E-469510F94233}"/>
    <cellStyle name="Normal 55 2 4 3 2 3 2" xfId="7978" xr:uid="{0D7B2DC4-5BF7-4E57-AB85-E5F34AB4B76C}"/>
    <cellStyle name="Normal 55 2 4 3 2 3 3" xfId="7979" xr:uid="{65CCB44B-C3E1-4F2D-A095-4EBD4DB19CC3}"/>
    <cellStyle name="Normal 55 2 4 3 2 4" xfId="7980" xr:uid="{59D09B7C-D23D-416C-9E27-076D59C469CE}"/>
    <cellStyle name="Normal 55 2 4 3 2 4 2" xfId="7981" xr:uid="{A3508DDD-A4A2-4E38-9840-788E663DB6E6}"/>
    <cellStyle name="Normal 55 2 4 3 2 4 3" xfId="7982" xr:uid="{1AE81207-7579-41F3-8797-1E5612D47BFC}"/>
    <cellStyle name="Normal 55 2 4 3 2 5" xfId="7983" xr:uid="{6CE50158-162C-43D1-89A0-F3F4BFAF1F22}"/>
    <cellStyle name="Normal 55 2 4 3 2 6" xfId="7984" xr:uid="{1AB39F92-443A-44A6-8153-2A025C2D8B3D}"/>
    <cellStyle name="Normal 55 2 4 3 2 7" xfId="7985" xr:uid="{E004C79E-E11A-430B-AB43-91D49F79AF6C}"/>
    <cellStyle name="Normal 55 2 4 3 2 8" xfId="7986" xr:uid="{18E6230F-D476-4BA3-A645-E9180C29BF60}"/>
    <cellStyle name="Normal 55 2 4 3 3" xfId="7987" xr:uid="{90C4AC9B-9380-4A40-8544-732025DA1710}"/>
    <cellStyle name="Normal 55 2 4 3 3 2" xfId="7988" xr:uid="{4632EFE7-6A9C-4F2E-980A-728A4E9B9E42}"/>
    <cellStyle name="Normal 55 2 4 3 3 3" xfId="7989" xr:uid="{D489452C-36F3-47E4-A6CA-D0DA75ADEEB1}"/>
    <cellStyle name="Normal 55 2 4 3 4" xfId="7990" xr:uid="{BC3701E3-248B-413F-BFF1-9466EF5A3018}"/>
    <cellStyle name="Normal 55 2 4 3 4 2" xfId="7991" xr:uid="{24D6132A-472F-443B-85D6-2F950C501B9D}"/>
    <cellStyle name="Normal 55 2 4 3 4 3" xfId="7992" xr:uid="{8C4A67AE-AA29-4A4B-97A1-28142012C916}"/>
    <cellStyle name="Normal 55 2 4 3 5" xfId="7993" xr:uid="{1D2C92C1-D604-4305-8CB1-71994256EF16}"/>
    <cellStyle name="Normal 55 2 4 3 5 2" xfId="7994" xr:uid="{3D396A1D-042A-45FB-AA3A-6E09A12B514F}"/>
    <cellStyle name="Normal 55 2 4 3 5 3" xfId="7995" xr:uid="{61E62541-6989-4CA4-83FE-082189D25AA7}"/>
    <cellStyle name="Normal 55 2 4 3 6" xfId="7996" xr:uid="{F779E70D-F3B1-458F-B58C-279A45873C19}"/>
    <cellStyle name="Normal 55 2 4 3 7" xfId="7997" xr:uid="{3E8ADAB3-9E50-4935-A80F-25D8B7A772FC}"/>
    <cellStyle name="Normal 55 2 4 3 8" xfId="7998" xr:uid="{E9636C80-72A8-46E3-9443-E9BF638D7826}"/>
    <cellStyle name="Normal 55 2 4 3 9" xfId="7999" xr:uid="{BAD34593-7E83-4719-99E6-8D81D2AF1B04}"/>
    <cellStyle name="Normal 55 2 4 4" xfId="8000" xr:uid="{E6DFFCC5-AE47-4FFD-A850-27849CAF7962}"/>
    <cellStyle name="Normal 55 2 4 4 2" xfId="8001" xr:uid="{8ECD4334-1BDF-4F63-A110-3AEAD8C9D243}"/>
    <cellStyle name="Normal 55 2 4 4 2 2" xfId="8002" xr:uid="{D52B23E6-DFA4-41BC-AE6D-50F3548F91BC}"/>
    <cellStyle name="Normal 55 2 4 4 2 3" xfId="8003" xr:uid="{52BA25D7-CC49-45C7-90DD-8B8498257739}"/>
    <cellStyle name="Normal 55 2 4 4 3" xfId="8004" xr:uid="{1C3F124C-6F9B-41FC-A210-C9E974DBD714}"/>
    <cellStyle name="Normal 55 2 4 4 3 2" xfId="8005" xr:uid="{0B173526-CCFB-4A7C-9386-CEFA0A52F26B}"/>
    <cellStyle name="Normal 55 2 4 4 3 3" xfId="8006" xr:uid="{F166B03D-DBA0-47C4-90F7-C97E884C6FB6}"/>
    <cellStyle name="Normal 55 2 4 4 4" xfId="8007" xr:uid="{ACD64271-A001-4B18-91DA-2949BDBF8D14}"/>
    <cellStyle name="Normal 55 2 4 4 4 2" xfId="8008" xr:uid="{6D03A652-C322-4D6D-884D-52176C416140}"/>
    <cellStyle name="Normal 55 2 4 4 4 3" xfId="8009" xr:uid="{4421DC63-6AB5-4F9F-9AB0-8AEC73577432}"/>
    <cellStyle name="Normal 55 2 4 4 5" xfId="8010" xr:uid="{A5E1A41F-D498-45D5-A555-02752B6744E1}"/>
    <cellStyle name="Normal 55 2 4 4 6" xfId="8011" xr:uid="{8ED41A87-BDAA-43F2-A4F6-9C11508A2D0C}"/>
    <cellStyle name="Normal 55 2 4 4 7" xfId="8012" xr:uid="{2586CC3A-CE98-4736-9087-F9156EB8A248}"/>
    <cellStyle name="Normal 55 2 4 4 8" xfId="8013" xr:uid="{8CFA2E76-0F15-43BE-B2F2-9D1ED0F8965D}"/>
    <cellStyle name="Normal 55 2 4 5" xfId="8014" xr:uid="{CD34025F-4944-44F3-A65F-6A3C80171232}"/>
    <cellStyle name="Normal 55 2 4 5 2" xfId="8015" xr:uid="{A51EC6BA-897D-4CFB-9C0E-D3B9D878B93E}"/>
    <cellStyle name="Normal 55 2 4 5 3" xfId="8016" xr:uid="{36C4873E-C99C-40BA-A49E-82A2CB1DB8AF}"/>
    <cellStyle name="Normal 55 2 4 6" xfId="8017" xr:uid="{10424737-EB31-436F-AE25-1D4C3405DD08}"/>
    <cellStyle name="Normal 55 2 4 6 2" xfId="8018" xr:uid="{6E60BD82-A17D-44BF-A435-A10C04519705}"/>
    <cellStyle name="Normal 55 2 4 6 3" xfId="8019" xr:uid="{397311B9-E65E-4CE2-918B-DDB88CFADF01}"/>
    <cellStyle name="Normal 55 2 4 7" xfId="8020" xr:uid="{A9901C13-0B91-4B27-BCE5-BCB058ED5C75}"/>
    <cellStyle name="Normal 55 2 4 7 2" xfId="8021" xr:uid="{23E24F96-19FB-42A4-98FA-4D58D7E1E2BF}"/>
    <cellStyle name="Normal 55 2 4 7 3" xfId="8022" xr:uid="{8008FD61-A8C1-4E1B-AC6A-25808E1E967B}"/>
    <cellStyle name="Normal 55 2 4 8" xfId="8023" xr:uid="{4CAFD836-7BA3-42BA-869C-309AA72255B0}"/>
    <cellStyle name="Normal 55 2 4 9" xfId="8024" xr:uid="{1E7BBDC6-124D-4E8B-BE4C-70E985EA9869}"/>
    <cellStyle name="Normal 55 2 5" xfId="2258" xr:uid="{9CA9424C-69CE-46C5-8EB5-8774F59806FF}"/>
    <cellStyle name="Normal 55 2 5 10" xfId="8025" xr:uid="{718E9C45-6DD6-4787-B9A2-DA5AE573161F}"/>
    <cellStyle name="Normal 55 2 5 2" xfId="2259" xr:uid="{23D05EA6-927B-40A2-8962-0B95AE590511}"/>
    <cellStyle name="Normal 55 2 5 2 2" xfId="8026" xr:uid="{7AFDBDBC-01A0-4646-87C2-913762653916}"/>
    <cellStyle name="Normal 55 2 5 2 2 2" xfId="8027" xr:uid="{4250C604-FE00-4926-8212-0C9F00230899}"/>
    <cellStyle name="Normal 55 2 5 2 2 2 2" xfId="8028" xr:uid="{9154E67C-3316-413E-8F37-C431DFB7CB2A}"/>
    <cellStyle name="Normal 55 2 5 2 2 2 3" xfId="8029" xr:uid="{FC825DA3-76D9-41E6-8102-4A63A58B9A61}"/>
    <cellStyle name="Normal 55 2 5 2 2 3" xfId="8030" xr:uid="{85233E29-4A1B-4891-97FC-52939D4F846D}"/>
    <cellStyle name="Normal 55 2 5 2 2 3 2" xfId="8031" xr:uid="{AEBBA427-730C-45F2-BC3A-E0C581936216}"/>
    <cellStyle name="Normal 55 2 5 2 2 3 3" xfId="8032" xr:uid="{1CB1D544-FCD6-48EF-8902-EF16CFA3562D}"/>
    <cellStyle name="Normal 55 2 5 2 2 4" xfId="8033" xr:uid="{4C2F4012-C909-4E7A-9BD2-AE77729976A4}"/>
    <cellStyle name="Normal 55 2 5 2 2 4 2" xfId="8034" xr:uid="{3D06915A-2647-4B38-B8D7-11215E9AE842}"/>
    <cellStyle name="Normal 55 2 5 2 2 4 3" xfId="8035" xr:uid="{2DAC97AF-075E-4CCF-A666-513E5B1D9B68}"/>
    <cellStyle name="Normal 55 2 5 2 2 5" xfId="8036" xr:uid="{E19488A9-A35D-40C4-8330-1E443C9AF784}"/>
    <cellStyle name="Normal 55 2 5 2 2 6" xfId="8037" xr:uid="{2AB3E45E-2ADE-4A42-8D0F-4216D63F77BA}"/>
    <cellStyle name="Normal 55 2 5 2 2 7" xfId="8038" xr:uid="{D541C8BF-3D36-40DF-AEF9-D84A137D53D8}"/>
    <cellStyle name="Normal 55 2 5 2 2 8" xfId="8039" xr:uid="{5FD8C420-F3D7-423A-93F3-0A5F7FC6830E}"/>
    <cellStyle name="Normal 55 2 5 2 3" xfId="8040" xr:uid="{550D897A-5BC4-4C45-8865-94AB8BA50319}"/>
    <cellStyle name="Normal 55 2 5 2 3 2" xfId="8041" xr:uid="{045ED1FA-3831-411D-B6C9-9B8C33EB843A}"/>
    <cellStyle name="Normal 55 2 5 2 3 3" xfId="8042" xr:uid="{4AE0AD35-449A-4671-B9F2-9EFBD8F86350}"/>
    <cellStyle name="Normal 55 2 5 2 4" xfId="8043" xr:uid="{46E75DB8-3CAB-4AC4-B028-3D783E6A94C4}"/>
    <cellStyle name="Normal 55 2 5 2 4 2" xfId="8044" xr:uid="{6A9310A7-A72C-42F8-A5C7-BA9B38AE0802}"/>
    <cellStyle name="Normal 55 2 5 2 4 3" xfId="8045" xr:uid="{EA901116-A85F-44BE-BE9C-CA981855C779}"/>
    <cellStyle name="Normal 55 2 5 2 5" xfId="8046" xr:uid="{91147FC1-1250-4B86-8685-47B021247CA8}"/>
    <cellStyle name="Normal 55 2 5 2 5 2" xfId="8047" xr:uid="{873D7439-AF57-4E2E-8CF1-9991499CCC8D}"/>
    <cellStyle name="Normal 55 2 5 2 5 3" xfId="8048" xr:uid="{6D49DA9E-066C-4205-A595-67FF65CACC0F}"/>
    <cellStyle name="Normal 55 2 5 2 6" xfId="8049" xr:uid="{05F075AA-033A-4DC7-8E33-EB4298CC9230}"/>
    <cellStyle name="Normal 55 2 5 2 7" xfId="8050" xr:uid="{99252A41-FBAC-401C-81C4-40997F9C041A}"/>
    <cellStyle name="Normal 55 2 5 2 8" xfId="8051" xr:uid="{570D1E6A-C4C5-4852-9A8F-1FB863837EA1}"/>
    <cellStyle name="Normal 55 2 5 2 9" xfId="8052" xr:uid="{12921DA9-B116-4136-9D96-C957F54FF6C3}"/>
    <cellStyle name="Normal 55 2 5 3" xfId="8053" xr:uid="{CB7A25F3-FAC9-4041-80DC-BDF4193BF0AE}"/>
    <cellStyle name="Normal 55 2 5 3 2" xfId="8054" xr:uid="{BC9C2A0E-28C9-4597-953F-3865BD30D35A}"/>
    <cellStyle name="Normal 55 2 5 3 2 2" xfId="8055" xr:uid="{BC0115E9-2FEB-4507-961F-F2FA3FF12125}"/>
    <cellStyle name="Normal 55 2 5 3 2 3" xfId="8056" xr:uid="{BE55A656-C83D-40C0-A6FC-13F136F9D109}"/>
    <cellStyle name="Normal 55 2 5 3 3" xfId="8057" xr:uid="{310FAED4-96DA-4348-A8F4-14E46E28FAC1}"/>
    <cellStyle name="Normal 55 2 5 3 3 2" xfId="8058" xr:uid="{C16FFDAC-7FF8-4A9B-A50C-56E15C7D743B}"/>
    <cellStyle name="Normal 55 2 5 3 3 3" xfId="8059" xr:uid="{C4F4DB29-BE7A-4C23-960D-6B70C9BFD1FF}"/>
    <cellStyle name="Normal 55 2 5 3 4" xfId="8060" xr:uid="{12D7C9FE-1ADF-485E-95D1-E7C199F723EA}"/>
    <cellStyle name="Normal 55 2 5 3 4 2" xfId="8061" xr:uid="{AEB5E36D-27A2-4F56-AAE6-B5B84757E03C}"/>
    <cellStyle name="Normal 55 2 5 3 4 3" xfId="8062" xr:uid="{E0F873F6-6E5B-4364-9BAD-C55C73B22480}"/>
    <cellStyle name="Normal 55 2 5 3 5" xfId="8063" xr:uid="{A5EF5672-1215-4B3F-B3F4-BDACCBADA783}"/>
    <cellStyle name="Normal 55 2 5 3 6" xfId="8064" xr:uid="{65CF0F99-D867-4442-82AD-4754F03CD9FF}"/>
    <cellStyle name="Normal 55 2 5 3 7" xfId="8065" xr:uid="{B075C937-61E9-4D51-9F8B-C1DAC867E8D6}"/>
    <cellStyle name="Normal 55 2 5 3 8" xfId="8066" xr:uid="{2800F9BB-1E78-43AF-B64A-B49D0EC1A911}"/>
    <cellStyle name="Normal 55 2 5 4" xfId="8067" xr:uid="{C231756B-B477-416A-A85F-401B4DBAD260}"/>
    <cellStyle name="Normal 55 2 5 4 2" xfId="8068" xr:uid="{051F35D4-5063-4BF9-99F6-65C058A0CC0C}"/>
    <cellStyle name="Normal 55 2 5 4 3" xfId="8069" xr:uid="{4AF036DF-7E7F-426B-B74C-30D6782B592B}"/>
    <cellStyle name="Normal 55 2 5 5" xfId="8070" xr:uid="{6B27A1E0-79C5-4CD0-9694-D22CEBBEF99E}"/>
    <cellStyle name="Normal 55 2 5 5 2" xfId="8071" xr:uid="{69045E4C-95C5-4197-A17B-AEFADA2897B4}"/>
    <cellStyle name="Normal 55 2 5 5 3" xfId="8072" xr:uid="{3271BEA4-641C-4E5D-AFE5-03A17264F2A4}"/>
    <cellStyle name="Normal 55 2 5 6" xfId="8073" xr:uid="{ADB3A448-052D-45EA-A785-47F457C53A50}"/>
    <cellStyle name="Normal 55 2 5 6 2" xfId="8074" xr:uid="{78FE7D2A-B4EF-4D07-BD93-B169768C8D3D}"/>
    <cellStyle name="Normal 55 2 5 6 3" xfId="8075" xr:uid="{A8CF27A0-FA0F-424F-8C3E-50326E439781}"/>
    <cellStyle name="Normal 55 2 5 7" xfId="8076" xr:uid="{1D15AE70-EC88-484E-BF19-FDDD34D9C76E}"/>
    <cellStyle name="Normal 55 2 5 8" xfId="8077" xr:uid="{8B2DB02E-E065-4341-9AC4-C6DB109778A3}"/>
    <cellStyle name="Normal 55 2 5 9" xfId="8078" xr:uid="{D8BDB8BE-34FD-4648-B78C-CDF1942A914E}"/>
    <cellStyle name="Normal 55 2 6" xfId="2260" xr:uid="{8913DD35-6240-465D-B67E-292B30B7E1A8}"/>
    <cellStyle name="Normal 55 2 6 2" xfId="8079" xr:uid="{35F5C006-AC69-4354-9CFC-6813E61BAC26}"/>
    <cellStyle name="Normal 55 2 6 2 2" xfId="8080" xr:uid="{7B60D558-00C3-4BFD-ABFD-283FDDCB4E0E}"/>
    <cellStyle name="Normal 55 2 6 2 2 2" xfId="8081" xr:uid="{CC06B99B-94BF-48AF-81FF-A4BF1992F1C1}"/>
    <cellStyle name="Normal 55 2 6 2 2 3" xfId="8082" xr:uid="{8C2A352D-B80B-4CA5-89EF-B3B8F070172E}"/>
    <cellStyle name="Normal 55 2 6 2 3" xfId="8083" xr:uid="{CE93A2A4-AAAA-43C8-9889-F5F321C74E14}"/>
    <cellStyle name="Normal 55 2 6 2 3 2" xfId="8084" xr:uid="{9208ABF1-9E11-4979-BAF1-E700C863433C}"/>
    <cellStyle name="Normal 55 2 6 2 3 3" xfId="8085" xr:uid="{EA1E8F8A-14F7-451B-981D-50AFC090916C}"/>
    <cellStyle name="Normal 55 2 6 2 4" xfId="8086" xr:uid="{EF02BA9E-2B54-473C-85D1-7C08A46D4921}"/>
    <cellStyle name="Normal 55 2 6 2 4 2" xfId="8087" xr:uid="{7472B1DD-E0D3-4361-BB30-1A68C7D64568}"/>
    <cellStyle name="Normal 55 2 6 2 4 3" xfId="8088" xr:uid="{90BE6616-06BF-47CD-BFF7-52824129C9C9}"/>
    <cellStyle name="Normal 55 2 6 2 5" xfId="8089" xr:uid="{CA27A606-FCA2-47AA-B776-D4F147C0A2BD}"/>
    <cellStyle name="Normal 55 2 6 2 6" xfId="8090" xr:uid="{A62D1604-6D55-4A88-9CA1-56CD195422CA}"/>
    <cellStyle name="Normal 55 2 6 2 7" xfId="8091" xr:uid="{56A4C614-7BAD-44FD-9471-2E411549331E}"/>
    <cellStyle name="Normal 55 2 6 2 8" xfId="8092" xr:uid="{A76DA575-0303-43C5-BB7A-9663D0B318A6}"/>
    <cellStyle name="Normal 55 2 6 3" xfId="8093" xr:uid="{602EF2C2-99F2-4ED5-A3C8-5BB3F3ACE2B6}"/>
    <cellStyle name="Normal 55 2 6 3 2" xfId="8094" xr:uid="{4B10BF11-280A-4D39-8488-FC90C24D6571}"/>
    <cellStyle name="Normal 55 2 6 3 3" xfId="8095" xr:uid="{D8277F23-A4E4-4CE7-B3A1-13FD3C2E4815}"/>
    <cellStyle name="Normal 55 2 6 4" xfId="8096" xr:uid="{7A55B0F7-873D-4601-B40C-850E0797A3EA}"/>
    <cellStyle name="Normal 55 2 6 4 2" xfId="8097" xr:uid="{4B515783-A2A2-4FCE-9734-C061327DD752}"/>
    <cellStyle name="Normal 55 2 6 4 3" xfId="8098" xr:uid="{89CDEA71-9FD8-4AA4-A726-6E34D9C6E846}"/>
    <cellStyle name="Normal 55 2 6 5" xfId="8099" xr:uid="{6E969026-76E1-4806-8203-5B4FC9CED4FD}"/>
    <cellStyle name="Normal 55 2 6 5 2" xfId="8100" xr:uid="{3CBFD0E9-7CEE-4429-8612-F75378722852}"/>
    <cellStyle name="Normal 55 2 6 5 3" xfId="8101" xr:uid="{70490E04-339C-4286-B610-C01F55F40708}"/>
    <cellStyle name="Normal 55 2 6 6" xfId="8102" xr:uid="{23EBFD1C-D199-4EE2-9C86-3B50572A5A35}"/>
    <cellStyle name="Normal 55 2 6 7" xfId="8103" xr:uid="{BEB01946-B1EC-4459-A5F7-8B4272870D8E}"/>
    <cellStyle name="Normal 55 2 6 8" xfId="8104" xr:uid="{C62FD93A-C9A3-4368-B524-4CF7D1481679}"/>
    <cellStyle name="Normal 55 2 6 9" xfId="8105" xr:uid="{23A642B8-08C5-4FCC-B382-9B849A859CFF}"/>
    <cellStyle name="Normal 55 2 7" xfId="8106" xr:uid="{8C1763D6-C939-47F9-BE90-3B5C9B3CFDEE}"/>
    <cellStyle name="Normal 55 2 7 2" xfId="8107" xr:uid="{77AC0BCA-9D35-4C11-AA1B-2A12F280A3EC}"/>
    <cellStyle name="Normal 55 2 7 2 2" xfId="8108" xr:uid="{49295C99-45FB-4DDE-AB98-DD1F316D267F}"/>
    <cellStyle name="Normal 55 2 7 2 3" xfId="8109" xr:uid="{7DC38513-BAB9-4FC7-B3D4-DE31957D9440}"/>
    <cellStyle name="Normal 55 2 7 3" xfId="8110" xr:uid="{CB04634D-9E00-4D73-ACE5-431D2ADFDB75}"/>
    <cellStyle name="Normal 55 2 7 3 2" xfId="8111" xr:uid="{669F44AC-7610-4B12-9751-6E070D9E81F7}"/>
    <cellStyle name="Normal 55 2 7 3 3" xfId="8112" xr:uid="{14BC4706-1747-4AB0-9E0D-02FDD983805C}"/>
    <cellStyle name="Normal 55 2 7 4" xfId="8113" xr:uid="{60C38A79-341B-4411-B8CE-862BF7110834}"/>
    <cellStyle name="Normal 55 2 7 4 2" xfId="8114" xr:uid="{F16F1345-1AAF-4EFF-AC5F-05B1EB5D020C}"/>
    <cellStyle name="Normal 55 2 7 4 3" xfId="8115" xr:uid="{ABC8F751-D39E-4516-A2FA-2E7681C8A3D5}"/>
    <cellStyle name="Normal 55 2 7 5" xfId="8116" xr:uid="{767CABB5-D6A4-4CFC-9936-03556A034E06}"/>
    <cellStyle name="Normal 55 2 7 6" xfId="8117" xr:uid="{B7B5CD8D-9437-4285-8B12-70AC8780F8F4}"/>
    <cellStyle name="Normal 55 2 7 7" xfId="8118" xr:uid="{C37585D6-1D5D-43E6-A709-E77F0A7CFA97}"/>
    <cellStyle name="Normal 55 2 7 8" xfId="8119" xr:uid="{9D5525F8-B72A-4811-8E2B-AC049F5E9D84}"/>
    <cellStyle name="Normal 55 2 8" xfId="8120" xr:uid="{F145562D-CA12-44F5-9B1D-76BB5A5DFBC5}"/>
    <cellStyle name="Normal 55 2 8 2" xfId="8121" xr:uid="{FC4B21CA-6892-4965-95FF-BB902DC90939}"/>
    <cellStyle name="Normal 55 2 8 3" xfId="8122" xr:uid="{97AF44C0-9041-4427-97D5-DCCDB85C336E}"/>
    <cellStyle name="Normal 55 2 9" xfId="8123" xr:uid="{A53368C7-1958-43FC-89FA-F1BA1C10A0A5}"/>
    <cellStyle name="Normal 55 2 9 2" xfId="8124" xr:uid="{EEEE9A47-F0A8-4491-8919-1C6BE9575D3A}"/>
    <cellStyle name="Normal 55 2 9 3" xfId="8125" xr:uid="{AAA28F2B-7043-4CCE-B9C3-4844698AAD15}"/>
    <cellStyle name="Normal 55 3" xfId="2261" xr:uid="{70CA9594-4459-4A7E-9995-CF12631E01A3}"/>
    <cellStyle name="Normal 55 3 10" xfId="8126" xr:uid="{7E6182F7-3621-478A-A08B-3BBA7A17F738}"/>
    <cellStyle name="Normal 55 3 11" xfId="8127" xr:uid="{3E11F2C3-6873-4411-BBF3-5E70C85A913B}"/>
    <cellStyle name="Normal 55 3 12" xfId="8128" xr:uid="{88ACFEF6-D0DF-408F-8C0B-990D8DCD7E4A}"/>
    <cellStyle name="Normal 55 3 2" xfId="2262" xr:uid="{542D12FD-7ABA-4AA6-B461-CD24104984AB}"/>
    <cellStyle name="Normal 55 3 2 10" xfId="8129" xr:uid="{F563B56D-2D0C-4D75-AEEC-463D0E7B16E2}"/>
    <cellStyle name="Normal 55 3 2 11" xfId="8130" xr:uid="{ACACEBF9-CCB2-4361-83CC-45AB7052EBFB}"/>
    <cellStyle name="Normal 55 3 2 2" xfId="2263" xr:uid="{B22C176F-A695-41FC-ABB3-4F6891DE6241}"/>
    <cellStyle name="Normal 55 3 2 2 10" xfId="8131" xr:uid="{53B3F0FE-CCCB-4307-A26D-7679E82BE7C3}"/>
    <cellStyle name="Normal 55 3 2 2 2" xfId="2264" xr:uid="{A975E159-B83E-4EE0-8093-F7A43C46E4BE}"/>
    <cellStyle name="Normal 55 3 2 2 2 2" xfId="8132" xr:uid="{932DFCAC-8F3E-4028-8949-735C9613BAE0}"/>
    <cellStyle name="Normal 55 3 2 2 2 2 2" xfId="8133" xr:uid="{0CBAC175-73A5-45C5-AAF5-D911E29182FD}"/>
    <cellStyle name="Normal 55 3 2 2 2 2 2 2" xfId="8134" xr:uid="{492C3927-6E9F-4314-B062-05592AD9476D}"/>
    <cellStyle name="Normal 55 3 2 2 2 2 2 3" xfId="8135" xr:uid="{741EC8D0-E550-43D3-8BD2-A530838F5BFA}"/>
    <cellStyle name="Normal 55 3 2 2 2 2 3" xfId="8136" xr:uid="{17FC50B8-4758-4233-8056-E75045CEF9DC}"/>
    <cellStyle name="Normal 55 3 2 2 2 2 3 2" xfId="8137" xr:uid="{A8CF7178-D5DB-43E7-828F-58278DAD9954}"/>
    <cellStyle name="Normal 55 3 2 2 2 2 3 3" xfId="8138" xr:uid="{9CB5A58B-44E1-4428-BF9B-9D80197B990E}"/>
    <cellStyle name="Normal 55 3 2 2 2 2 4" xfId="8139" xr:uid="{6A834D14-53C3-4413-B5EB-C7A7A9F4E63B}"/>
    <cellStyle name="Normal 55 3 2 2 2 2 4 2" xfId="8140" xr:uid="{726B020E-ED82-4BA5-B2AF-61D1706FA2F2}"/>
    <cellStyle name="Normal 55 3 2 2 2 2 4 3" xfId="8141" xr:uid="{BEFD5EDB-9181-4DA8-8F40-8DC47C884D10}"/>
    <cellStyle name="Normal 55 3 2 2 2 2 5" xfId="8142" xr:uid="{E28366BB-5F14-45F0-B6FB-CD656D6D004E}"/>
    <cellStyle name="Normal 55 3 2 2 2 2 6" xfId="8143" xr:uid="{E00F0ECE-BB70-417D-9ADA-F0C8F05EC3EC}"/>
    <cellStyle name="Normal 55 3 2 2 2 2 7" xfId="8144" xr:uid="{8894B290-4B9F-43E4-8563-F54C87F3E1B4}"/>
    <cellStyle name="Normal 55 3 2 2 2 2 8" xfId="8145" xr:uid="{3413543F-1BA3-465A-84B6-542B504202FB}"/>
    <cellStyle name="Normal 55 3 2 2 2 3" xfId="8146" xr:uid="{3780CE9F-CF04-48C2-940A-55CD856A7104}"/>
    <cellStyle name="Normal 55 3 2 2 2 3 2" xfId="8147" xr:uid="{399FD8B4-B894-489A-9503-E1B7538FEDF5}"/>
    <cellStyle name="Normal 55 3 2 2 2 3 3" xfId="8148" xr:uid="{9E6CE7B6-1A8C-4459-ACE2-C2E99C414F7B}"/>
    <cellStyle name="Normal 55 3 2 2 2 4" xfId="8149" xr:uid="{BAEA36F2-5B8D-4A4A-83D5-BEF764EF45FE}"/>
    <cellStyle name="Normal 55 3 2 2 2 4 2" xfId="8150" xr:uid="{21E80B58-60AD-460C-B863-C211FF438EF2}"/>
    <cellStyle name="Normal 55 3 2 2 2 4 3" xfId="8151" xr:uid="{F210F267-39F1-4A98-A51E-CFAED33767EB}"/>
    <cellStyle name="Normal 55 3 2 2 2 5" xfId="8152" xr:uid="{B3E88BB8-4827-4029-92A9-BA401291B74E}"/>
    <cellStyle name="Normal 55 3 2 2 2 5 2" xfId="8153" xr:uid="{205C24C5-8634-4306-B570-D1966B2655E7}"/>
    <cellStyle name="Normal 55 3 2 2 2 5 3" xfId="8154" xr:uid="{F86B3160-E1EB-464B-BFB7-4346A7CC4216}"/>
    <cellStyle name="Normal 55 3 2 2 2 6" xfId="8155" xr:uid="{786DEB6A-64BA-48A8-B281-EE96D6601230}"/>
    <cellStyle name="Normal 55 3 2 2 2 7" xfId="8156" xr:uid="{640F0BD5-5A75-4CA1-A629-07F85B573C13}"/>
    <cellStyle name="Normal 55 3 2 2 2 8" xfId="8157" xr:uid="{AB7D4D14-230A-4B0A-BC55-7BE2ACD97431}"/>
    <cellStyle name="Normal 55 3 2 2 2 9" xfId="8158" xr:uid="{8A5D8151-2DA2-488B-AAD5-AEAFDA1EBD69}"/>
    <cellStyle name="Normal 55 3 2 2 3" xfId="8159" xr:uid="{210F4D77-55E5-4F33-9BC9-797228721593}"/>
    <cellStyle name="Normal 55 3 2 2 3 2" xfId="8160" xr:uid="{0BFE3D2E-854C-43B4-AC1E-31FA849F2ABA}"/>
    <cellStyle name="Normal 55 3 2 2 3 2 2" xfId="8161" xr:uid="{3C2AFE94-2058-4ED1-AC07-4E58CF9395BE}"/>
    <cellStyle name="Normal 55 3 2 2 3 2 3" xfId="8162" xr:uid="{1E926230-3A20-4452-8B03-058A0A371AE3}"/>
    <cellStyle name="Normal 55 3 2 2 3 3" xfId="8163" xr:uid="{88F42F6F-AC63-480F-977F-EA3D6B22751E}"/>
    <cellStyle name="Normal 55 3 2 2 3 3 2" xfId="8164" xr:uid="{8535F003-9DAF-45E0-9C9A-5E3717334EF4}"/>
    <cellStyle name="Normal 55 3 2 2 3 3 3" xfId="8165" xr:uid="{AE2931F6-96D6-41AC-B6A7-8CF55A0381DF}"/>
    <cellStyle name="Normal 55 3 2 2 3 4" xfId="8166" xr:uid="{1611BE6C-EC62-4B93-95BD-B192EE70642D}"/>
    <cellStyle name="Normal 55 3 2 2 3 4 2" xfId="8167" xr:uid="{978989DD-853E-493A-A8A6-0C58C0C6BEA2}"/>
    <cellStyle name="Normal 55 3 2 2 3 4 3" xfId="8168" xr:uid="{A18C0403-E04E-4BB2-949D-286230247A6C}"/>
    <cellStyle name="Normal 55 3 2 2 3 5" xfId="8169" xr:uid="{F0368FFC-A06E-4B56-8210-D75AF1D4562D}"/>
    <cellStyle name="Normal 55 3 2 2 3 6" xfId="8170" xr:uid="{CDFE70C0-1550-401D-A32F-71298E10EB78}"/>
    <cellStyle name="Normal 55 3 2 2 3 7" xfId="8171" xr:uid="{EA8CDD17-2ADF-4DC8-A87F-DA6CE00466CD}"/>
    <cellStyle name="Normal 55 3 2 2 3 8" xfId="8172" xr:uid="{ADF72B35-4E66-49C6-B3AE-440840F1A6AA}"/>
    <cellStyle name="Normal 55 3 2 2 4" xfId="8173" xr:uid="{CE28B561-184C-47EA-9C23-B852436E87D6}"/>
    <cellStyle name="Normal 55 3 2 2 4 2" xfId="8174" xr:uid="{A6B50789-D992-4EA0-B0D9-80DD22820406}"/>
    <cellStyle name="Normal 55 3 2 2 4 3" xfId="8175" xr:uid="{443CED40-9FC1-4DAB-8FD6-2261272D77CA}"/>
    <cellStyle name="Normal 55 3 2 2 5" xfId="8176" xr:uid="{8FC90999-D9A3-470A-9F83-D31080C309ED}"/>
    <cellStyle name="Normal 55 3 2 2 5 2" xfId="8177" xr:uid="{D8FAF342-67DA-490B-8CC3-AFD370C8B447}"/>
    <cellStyle name="Normal 55 3 2 2 5 3" xfId="8178" xr:uid="{BA61CA14-0C10-46B3-853F-3A467097768D}"/>
    <cellStyle name="Normal 55 3 2 2 6" xfId="8179" xr:uid="{3EF977A3-A06A-4DE6-8989-CCF4154B51E4}"/>
    <cellStyle name="Normal 55 3 2 2 6 2" xfId="8180" xr:uid="{5ED502A7-51AC-43AF-9C99-DFF122AB3B49}"/>
    <cellStyle name="Normal 55 3 2 2 6 3" xfId="8181" xr:uid="{BFAE19B9-F89C-4E11-AD9B-8C8DC6FC9A25}"/>
    <cellStyle name="Normal 55 3 2 2 7" xfId="8182" xr:uid="{46995432-38DF-42CB-9FB0-C91FCADDA611}"/>
    <cellStyle name="Normal 55 3 2 2 8" xfId="8183" xr:uid="{CECB972C-8BE7-40E4-9214-3F6FD6BD8ACF}"/>
    <cellStyle name="Normal 55 3 2 2 9" xfId="8184" xr:uid="{33BF5A0D-2A53-44E4-A62A-DB5E3C90A66E}"/>
    <cellStyle name="Normal 55 3 2 3" xfId="2265" xr:uid="{6EE44855-162B-4E49-B6FE-59A2FF099955}"/>
    <cellStyle name="Normal 55 3 2 3 2" xfId="8185" xr:uid="{50D7E2FD-5C9F-4F33-B7E9-59317BDDDC2E}"/>
    <cellStyle name="Normal 55 3 2 3 2 2" xfId="8186" xr:uid="{1C710E27-767E-4174-8C5A-3F2C0338F179}"/>
    <cellStyle name="Normal 55 3 2 3 2 2 2" xfId="8187" xr:uid="{24A01291-1520-413E-A3AE-74E6F469D070}"/>
    <cellStyle name="Normal 55 3 2 3 2 2 3" xfId="8188" xr:uid="{D0003D2C-3AFC-4904-B846-376430654E33}"/>
    <cellStyle name="Normal 55 3 2 3 2 3" xfId="8189" xr:uid="{E473F22A-CB37-436C-ACE2-65DD418FF042}"/>
    <cellStyle name="Normal 55 3 2 3 2 3 2" xfId="8190" xr:uid="{360C5ED5-5D00-4974-AAAA-FBF197C10827}"/>
    <cellStyle name="Normal 55 3 2 3 2 3 3" xfId="8191" xr:uid="{C0787C60-A30C-4D69-AC72-A5BD467C562A}"/>
    <cellStyle name="Normal 55 3 2 3 2 4" xfId="8192" xr:uid="{43E7961D-CC41-4381-ADEE-9A9F712D4A7A}"/>
    <cellStyle name="Normal 55 3 2 3 2 4 2" xfId="8193" xr:uid="{998B09A6-1BF4-4A4C-B582-E2C3E4A65EDC}"/>
    <cellStyle name="Normal 55 3 2 3 2 4 3" xfId="8194" xr:uid="{FEC4AB32-679C-4497-BA25-1DBEB689695F}"/>
    <cellStyle name="Normal 55 3 2 3 2 5" xfId="8195" xr:uid="{C0BE2169-FFDA-4EE6-A2FB-244E85F86C81}"/>
    <cellStyle name="Normal 55 3 2 3 2 6" xfId="8196" xr:uid="{15C0A925-3D05-4A03-8DB9-36DDAC5FFC12}"/>
    <cellStyle name="Normal 55 3 2 3 2 7" xfId="8197" xr:uid="{87023E37-B291-4507-9AB7-BE264514C098}"/>
    <cellStyle name="Normal 55 3 2 3 2 8" xfId="8198" xr:uid="{2BB351AD-DD7E-4088-9E74-724CBF6B1BAA}"/>
    <cellStyle name="Normal 55 3 2 3 3" xfId="8199" xr:uid="{37A833B2-3769-4256-93C6-AD30A61CB1DB}"/>
    <cellStyle name="Normal 55 3 2 3 3 2" xfId="8200" xr:uid="{F557163B-03F9-4F99-B059-ED2643F4CFB8}"/>
    <cellStyle name="Normal 55 3 2 3 3 3" xfId="8201" xr:uid="{DF68E85F-524C-4948-BB18-133B8E040C4D}"/>
    <cellStyle name="Normal 55 3 2 3 4" xfId="8202" xr:uid="{616E7500-04B7-447F-BEE2-04A22FFE820D}"/>
    <cellStyle name="Normal 55 3 2 3 4 2" xfId="8203" xr:uid="{3FE7F72A-30C2-4687-9E52-41DD3507CC65}"/>
    <cellStyle name="Normal 55 3 2 3 4 3" xfId="8204" xr:uid="{0AD79364-F094-407B-AA99-7E6FCB265333}"/>
    <cellStyle name="Normal 55 3 2 3 5" xfId="8205" xr:uid="{E740C69D-9F5E-4CCE-AD58-3FF4475AEE4B}"/>
    <cellStyle name="Normal 55 3 2 3 5 2" xfId="8206" xr:uid="{0C5D5062-2D2B-44ED-ADC6-31B23418C6C9}"/>
    <cellStyle name="Normal 55 3 2 3 5 3" xfId="8207" xr:uid="{DC3D2D92-898A-489B-B79D-769126755419}"/>
    <cellStyle name="Normal 55 3 2 3 6" xfId="8208" xr:uid="{05888656-95A2-4884-8DE7-577DD31F8850}"/>
    <cellStyle name="Normal 55 3 2 3 7" xfId="8209" xr:uid="{A2EC7F6A-7CE1-41F3-A398-88A51DE08E33}"/>
    <cellStyle name="Normal 55 3 2 3 8" xfId="8210" xr:uid="{3FFFF919-BE9C-4090-8DC9-EB5E3C5471DB}"/>
    <cellStyle name="Normal 55 3 2 3 9" xfId="8211" xr:uid="{3DAC4C46-A087-41EA-B10B-5AA73D55CA2A}"/>
    <cellStyle name="Normal 55 3 2 4" xfId="8212" xr:uid="{9F3C5F6C-B2BC-4343-9A7C-2853C1A4220B}"/>
    <cellStyle name="Normal 55 3 2 4 2" xfId="8213" xr:uid="{10BA34B4-E865-4D04-A7F9-17500B323A19}"/>
    <cellStyle name="Normal 55 3 2 4 2 2" xfId="8214" xr:uid="{75F0299B-416A-42CB-AAD5-8E1057626E5E}"/>
    <cellStyle name="Normal 55 3 2 4 2 3" xfId="8215" xr:uid="{CC956FF9-2161-4E83-A3A5-E981787A4356}"/>
    <cellStyle name="Normal 55 3 2 4 3" xfId="8216" xr:uid="{86B0DAF5-3EB2-4785-9582-62D093CCADC4}"/>
    <cellStyle name="Normal 55 3 2 4 3 2" xfId="8217" xr:uid="{0F85037B-7CC7-4F76-80AF-78DD32CBDF18}"/>
    <cellStyle name="Normal 55 3 2 4 3 3" xfId="8218" xr:uid="{25633563-8E62-45F4-A907-216A07A5CD58}"/>
    <cellStyle name="Normal 55 3 2 4 4" xfId="8219" xr:uid="{7B5D2BD2-1736-48B8-A06B-3F2D51FD09A5}"/>
    <cellStyle name="Normal 55 3 2 4 4 2" xfId="8220" xr:uid="{BE8977F2-B841-41F2-84AF-6F2588994C62}"/>
    <cellStyle name="Normal 55 3 2 4 4 3" xfId="8221" xr:uid="{D7C7FD1F-FD53-4ECE-970F-D1F47FB89BFE}"/>
    <cellStyle name="Normal 55 3 2 4 5" xfId="8222" xr:uid="{D9E4E5C0-458A-4D25-8F3A-FB250D215EBD}"/>
    <cellStyle name="Normal 55 3 2 4 6" xfId="8223" xr:uid="{EC4FCDB9-3445-4CE8-B788-021030862B5E}"/>
    <cellStyle name="Normal 55 3 2 4 7" xfId="8224" xr:uid="{B33403CA-4F7B-4FCC-9638-C2B59B9AC30B}"/>
    <cellStyle name="Normal 55 3 2 4 8" xfId="8225" xr:uid="{DC4388C3-9564-494E-B2C1-D1B95D9A80EE}"/>
    <cellStyle name="Normal 55 3 2 5" xfId="8226" xr:uid="{0FE727D1-E860-4EA7-8D0D-D375E18F424C}"/>
    <cellStyle name="Normal 55 3 2 5 2" xfId="8227" xr:uid="{9F2188DC-A19C-47D2-BCEA-B102712F6387}"/>
    <cellStyle name="Normal 55 3 2 5 3" xfId="8228" xr:uid="{EEC40BC2-9AE0-4AFB-AA94-EB341CD4C070}"/>
    <cellStyle name="Normal 55 3 2 6" xfId="8229" xr:uid="{1532C596-E55D-4947-BF6F-D5BF7A87AA2B}"/>
    <cellStyle name="Normal 55 3 2 6 2" xfId="8230" xr:uid="{A93508C3-43FB-4B4D-9E90-135427B54F9F}"/>
    <cellStyle name="Normal 55 3 2 6 3" xfId="8231" xr:uid="{2EDE8ECE-7BDE-4180-8B66-1EDF5A235936}"/>
    <cellStyle name="Normal 55 3 2 7" xfId="8232" xr:uid="{18A5F979-C559-4324-88A7-D84827D428FE}"/>
    <cellStyle name="Normal 55 3 2 7 2" xfId="8233" xr:uid="{8F60C61D-A9BC-4A2E-91A8-C9E95B0D55C4}"/>
    <cellStyle name="Normal 55 3 2 7 3" xfId="8234" xr:uid="{41809D86-2EBB-46C6-A07C-B18AD464C574}"/>
    <cellStyle name="Normal 55 3 2 8" xfId="8235" xr:uid="{6645BAAD-1DAF-4EEB-9D4F-F786690E889B}"/>
    <cellStyle name="Normal 55 3 2 9" xfId="8236" xr:uid="{06BC60BB-6AA0-4665-971D-D1B5AE7A62B5}"/>
    <cellStyle name="Normal 55 3 3" xfId="2266" xr:uid="{FD625FC6-D420-49FD-AAB0-E8CE09F46D24}"/>
    <cellStyle name="Normal 55 3 3 10" xfId="8237" xr:uid="{BFB283F1-CB01-4C70-95B6-406C1A72ACF3}"/>
    <cellStyle name="Normal 55 3 3 2" xfId="2267" xr:uid="{EF5254AD-5544-4F67-9DE9-8C2BD62910CC}"/>
    <cellStyle name="Normal 55 3 3 2 2" xfId="8238" xr:uid="{C5BB7704-2E71-4CA3-81E6-18697B87B527}"/>
    <cellStyle name="Normal 55 3 3 2 2 2" xfId="8239" xr:uid="{16A52D2E-BE9B-41F7-87BE-63C379636ACF}"/>
    <cellStyle name="Normal 55 3 3 2 2 2 2" xfId="8240" xr:uid="{7880539F-1C49-4DBD-B2AE-88CA3786F7F4}"/>
    <cellStyle name="Normal 55 3 3 2 2 2 3" xfId="8241" xr:uid="{586C18A2-E1EC-4C6E-B249-94171F15E17B}"/>
    <cellStyle name="Normal 55 3 3 2 2 3" xfId="8242" xr:uid="{A49CB087-B00F-489F-ABAC-5A61785661A6}"/>
    <cellStyle name="Normal 55 3 3 2 2 3 2" xfId="8243" xr:uid="{21CA215F-A29C-4BCD-9544-BAEE0BE8344E}"/>
    <cellStyle name="Normal 55 3 3 2 2 3 3" xfId="8244" xr:uid="{2EBF739C-0EF7-4DDE-9970-909FEC2FE776}"/>
    <cellStyle name="Normal 55 3 3 2 2 4" xfId="8245" xr:uid="{1B7444F2-A60A-49D9-B0EE-C619E381DB2B}"/>
    <cellStyle name="Normal 55 3 3 2 2 4 2" xfId="8246" xr:uid="{35468576-3EB5-451B-9663-2F7B7F312A6C}"/>
    <cellStyle name="Normal 55 3 3 2 2 4 3" xfId="8247" xr:uid="{764F0496-02C9-4005-B341-3D9E6D301560}"/>
    <cellStyle name="Normal 55 3 3 2 2 5" xfId="8248" xr:uid="{E0F9CA08-6E8E-4057-B798-128BEF9FDF54}"/>
    <cellStyle name="Normal 55 3 3 2 2 6" xfId="8249" xr:uid="{2611A44D-BA1D-48AE-8259-96075123BE46}"/>
    <cellStyle name="Normal 55 3 3 2 2 7" xfId="8250" xr:uid="{781B36C3-61C6-42DC-B0B6-EFD10135262E}"/>
    <cellStyle name="Normal 55 3 3 2 2 8" xfId="8251" xr:uid="{2D38E004-290C-4D05-AB3B-3A7EB0AAE800}"/>
    <cellStyle name="Normal 55 3 3 2 3" xfId="8252" xr:uid="{4D86D0B2-BC6F-4E1A-ACB8-9449A566062E}"/>
    <cellStyle name="Normal 55 3 3 2 3 2" xfId="8253" xr:uid="{17153465-3EA7-45BF-BAE3-686235E7BCA3}"/>
    <cellStyle name="Normal 55 3 3 2 3 3" xfId="8254" xr:uid="{19D9588E-A353-4979-84CB-A9265542C4D9}"/>
    <cellStyle name="Normal 55 3 3 2 4" xfId="8255" xr:uid="{1B833839-0D53-4450-ACFC-7043573FC73A}"/>
    <cellStyle name="Normal 55 3 3 2 4 2" xfId="8256" xr:uid="{EA6196C7-645D-487B-9895-2BA799C2BE34}"/>
    <cellStyle name="Normal 55 3 3 2 4 3" xfId="8257" xr:uid="{BFA55804-EB01-495A-B0F3-950E2BF9D929}"/>
    <cellStyle name="Normal 55 3 3 2 5" xfId="8258" xr:uid="{A88BAC3D-CBBA-481C-8BB8-343C4BD530CB}"/>
    <cellStyle name="Normal 55 3 3 2 5 2" xfId="8259" xr:uid="{4318205F-A51A-4709-9F50-DC8C16A1B060}"/>
    <cellStyle name="Normal 55 3 3 2 5 3" xfId="8260" xr:uid="{242DD4B0-AAED-4EFD-B6C4-6300D812A71A}"/>
    <cellStyle name="Normal 55 3 3 2 6" xfId="8261" xr:uid="{853D2642-7AD1-4A18-9CD7-21313C8B8C09}"/>
    <cellStyle name="Normal 55 3 3 2 7" xfId="8262" xr:uid="{1F58E42A-09E4-45B4-88EC-D0BFEAD213EE}"/>
    <cellStyle name="Normal 55 3 3 2 8" xfId="8263" xr:uid="{6B202D8C-A505-4F4B-9AD2-3AF36D3F2616}"/>
    <cellStyle name="Normal 55 3 3 2 9" xfId="8264" xr:uid="{767E7362-C88F-48F5-81FA-5D6CD3D271CB}"/>
    <cellStyle name="Normal 55 3 3 3" xfId="8265" xr:uid="{E0EB1098-B6EE-4F31-A4C8-74FEA009E6E3}"/>
    <cellStyle name="Normal 55 3 3 3 2" xfId="8266" xr:uid="{19A8715A-C8BF-4406-AB4A-AB2BF85F3CC4}"/>
    <cellStyle name="Normal 55 3 3 3 2 2" xfId="8267" xr:uid="{D73B6A5C-AE72-4B9C-BE6A-D6FE1C42BA9E}"/>
    <cellStyle name="Normal 55 3 3 3 2 3" xfId="8268" xr:uid="{6C010DA7-2CEA-45BC-8267-D39B547AB317}"/>
    <cellStyle name="Normal 55 3 3 3 3" xfId="8269" xr:uid="{73F1F7C7-E538-4F7C-86FF-7435974B9DB4}"/>
    <cellStyle name="Normal 55 3 3 3 3 2" xfId="8270" xr:uid="{DA02BE6E-C8BC-4C2C-94F4-D5E25EF5C4E0}"/>
    <cellStyle name="Normal 55 3 3 3 3 3" xfId="8271" xr:uid="{5B06CAE2-0E0E-4BBA-AE38-984A19FE86E2}"/>
    <cellStyle name="Normal 55 3 3 3 4" xfId="8272" xr:uid="{533AD630-C3EA-400E-B9A5-6CBD7B72204E}"/>
    <cellStyle name="Normal 55 3 3 3 4 2" xfId="8273" xr:uid="{719DBCE6-3F70-43C5-9946-31063F09C31B}"/>
    <cellStyle name="Normal 55 3 3 3 4 3" xfId="8274" xr:uid="{2DCFA294-15D7-4823-96A5-4E4B8F8466F7}"/>
    <cellStyle name="Normal 55 3 3 3 5" xfId="8275" xr:uid="{9172A5A8-304B-4AAD-B491-31FD37150607}"/>
    <cellStyle name="Normal 55 3 3 3 6" xfId="8276" xr:uid="{A676B13C-234C-47F4-A2D6-59EA5686CFB6}"/>
    <cellStyle name="Normal 55 3 3 3 7" xfId="8277" xr:uid="{DA5235BF-9DE2-4FED-9555-C0BCA27C6EDA}"/>
    <cellStyle name="Normal 55 3 3 3 8" xfId="8278" xr:uid="{9253309D-A5CF-4352-8D2C-EC433D5D837E}"/>
    <cellStyle name="Normal 55 3 3 4" xfId="8279" xr:uid="{0405A767-BC70-40F2-AD6B-E362506E4150}"/>
    <cellStyle name="Normal 55 3 3 4 2" xfId="8280" xr:uid="{EE0BDE10-22CB-4E01-BF18-F95FEB9BD369}"/>
    <cellStyle name="Normal 55 3 3 4 3" xfId="8281" xr:uid="{027D4DE9-94C5-4327-87B8-B8067F149633}"/>
    <cellStyle name="Normal 55 3 3 5" xfId="8282" xr:uid="{0AD4EDA4-BCF6-4A6A-BED1-73BF23B852D7}"/>
    <cellStyle name="Normal 55 3 3 5 2" xfId="8283" xr:uid="{8EB4CCC0-CC04-4BD8-8785-7A95A5BF2584}"/>
    <cellStyle name="Normal 55 3 3 5 3" xfId="8284" xr:uid="{F7C9676B-7C90-485A-A044-66A9CCCFC978}"/>
    <cellStyle name="Normal 55 3 3 6" xfId="8285" xr:uid="{4D3DDFF2-07DB-4101-B1AF-414CAD5CE785}"/>
    <cellStyle name="Normal 55 3 3 6 2" xfId="8286" xr:uid="{A61837EA-8BF6-404B-B4B3-B694DBE24623}"/>
    <cellStyle name="Normal 55 3 3 6 3" xfId="8287" xr:uid="{364142D1-5221-414E-9A36-287AF8508441}"/>
    <cellStyle name="Normal 55 3 3 7" xfId="8288" xr:uid="{7B0B5B04-BCEA-4D2D-9786-7C3B99861C89}"/>
    <cellStyle name="Normal 55 3 3 8" xfId="8289" xr:uid="{42218F13-9707-494D-B643-DBD3F43CFF11}"/>
    <cellStyle name="Normal 55 3 3 9" xfId="8290" xr:uid="{D9C07A73-FFDC-41A1-9C8A-C8D2989270F7}"/>
    <cellStyle name="Normal 55 3 4" xfId="2268" xr:uid="{387AD4D6-31C0-4BFD-A830-7F31544CA75D}"/>
    <cellStyle name="Normal 55 3 4 2" xfId="8291" xr:uid="{6C16EA54-F092-4AB7-A5A0-7AC7186EB1E4}"/>
    <cellStyle name="Normal 55 3 4 2 2" xfId="8292" xr:uid="{32850FE8-7E13-459E-8A1E-9396EFE9D3DA}"/>
    <cellStyle name="Normal 55 3 4 2 2 2" xfId="8293" xr:uid="{721C038E-549B-4597-8B41-C0B8A2BFAE42}"/>
    <cellStyle name="Normal 55 3 4 2 2 3" xfId="8294" xr:uid="{EC4563E7-4EFF-41E8-BEEF-493FEAB150E1}"/>
    <cellStyle name="Normal 55 3 4 2 3" xfId="8295" xr:uid="{73F2CEAC-7A82-4241-B2DC-428C3C7F2179}"/>
    <cellStyle name="Normal 55 3 4 2 3 2" xfId="8296" xr:uid="{7E05B632-E094-44DC-8886-E5FA3DDF22FA}"/>
    <cellStyle name="Normal 55 3 4 2 3 3" xfId="8297" xr:uid="{9EECD3A8-C842-487B-A1C1-4E7090F08F12}"/>
    <cellStyle name="Normal 55 3 4 2 4" xfId="8298" xr:uid="{81421F38-D5D9-42C1-A63A-FDA998524C91}"/>
    <cellStyle name="Normal 55 3 4 2 4 2" xfId="8299" xr:uid="{F41C9678-3350-4165-BDAA-D4E36B042E11}"/>
    <cellStyle name="Normal 55 3 4 2 4 3" xfId="8300" xr:uid="{7F2A0794-FB40-4AD5-973B-22E78419C528}"/>
    <cellStyle name="Normal 55 3 4 2 5" xfId="8301" xr:uid="{68AA944C-B73B-4C65-84AF-CDC6B65204E7}"/>
    <cellStyle name="Normal 55 3 4 2 6" xfId="8302" xr:uid="{2ABDD901-5B9F-4CC5-8640-51C56F1DA1E8}"/>
    <cellStyle name="Normal 55 3 4 2 7" xfId="8303" xr:uid="{322E4AAE-779A-49BC-914E-985C73434708}"/>
    <cellStyle name="Normal 55 3 4 2 8" xfId="8304" xr:uid="{7F1342B3-DB71-4F57-9DFD-E17AD8EBB568}"/>
    <cellStyle name="Normal 55 3 4 3" xfId="8305" xr:uid="{B38BBAC9-47F1-4BF6-B25C-BCF0851B46C2}"/>
    <cellStyle name="Normal 55 3 4 3 2" xfId="8306" xr:uid="{116DE82E-CDC2-475D-8A42-911F4B887591}"/>
    <cellStyle name="Normal 55 3 4 3 3" xfId="8307" xr:uid="{95C1B89A-9678-487C-9013-3D1E84AAF037}"/>
    <cellStyle name="Normal 55 3 4 4" xfId="8308" xr:uid="{5F42C0E7-29F0-4143-92C8-36BBDDC2EACF}"/>
    <cellStyle name="Normal 55 3 4 4 2" xfId="8309" xr:uid="{71E852C7-C953-4D32-B0FE-9920F4185036}"/>
    <cellStyle name="Normal 55 3 4 4 3" xfId="8310" xr:uid="{3ADBEB06-5838-4B96-8FE4-309D762585C1}"/>
    <cellStyle name="Normal 55 3 4 5" xfId="8311" xr:uid="{F212E339-A596-424C-A8A6-2543BE48F655}"/>
    <cellStyle name="Normal 55 3 4 5 2" xfId="8312" xr:uid="{8C92660E-5F6C-403C-9E95-45E95EB2285A}"/>
    <cellStyle name="Normal 55 3 4 5 3" xfId="8313" xr:uid="{1D2863F5-A05B-4390-8C0B-7A6CF908964E}"/>
    <cellStyle name="Normal 55 3 4 6" xfId="8314" xr:uid="{F7C63EF7-F118-4F86-88F6-E0592E46D67B}"/>
    <cellStyle name="Normal 55 3 4 7" xfId="8315" xr:uid="{E7FB2ED4-5108-405C-AAF2-7FAAB762C8E8}"/>
    <cellStyle name="Normal 55 3 4 8" xfId="8316" xr:uid="{6D5E6395-CE57-400A-B3A5-D74355062EA2}"/>
    <cellStyle name="Normal 55 3 4 9" xfId="8317" xr:uid="{D71DCB68-5D94-41E6-BD87-3F3E62CC65A1}"/>
    <cellStyle name="Normal 55 3 5" xfId="8318" xr:uid="{503E2994-0132-44FC-82E1-0A036FC2957A}"/>
    <cellStyle name="Normal 55 3 5 2" xfId="8319" xr:uid="{0C978D9E-5538-43E9-BA95-B564789735AA}"/>
    <cellStyle name="Normal 55 3 5 2 2" xfId="8320" xr:uid="{003D7DFB-5C1A-4727-A500-09DB341BC9CF}"/>
    <cellStyle name="Normal 55 3 5 2 3" xfId="8321" xr:uid="{E0C5484B-D6C3-4DFD-8CCB-59646F8D65EB}"/>
    <cellStyle name="Normal 55 3 5 3" xfId="8322" xr:uid="{88D226AC-93E3-4EBC-A3FD-628C9E33B4F9}"/>
    <cellStyle name="Normal 55 3 5 3 2" xfId="8323" xr:uid="{84B6C86B-D2CB-4F9D-BA51-12EB8EDBF681}"/>
    <cellStyle name="Normal 55 3 5 3 3" xfId="8324" xr:uid="{29A94D08-78E1-4281-B356-E9446D95418C}"/>
    <cellStyle name="Normal 55 3 5 4" xfId="8325" xr:uid="{4BF9C09D-5237-4419-9F16-D86AD11E7548}"/>
    <cellStyle name="Normal 55 3 5 4 2" xfId="8326" xr:uid="{629C7B88-AC5D-4729-9FDC-53E6889BDB78}"/>
    <cellStyle name="Normal 55 3 5 4 3" xfId="8327" xr:uid="{35DE96C0-CFF4-441B-9FBA-D2F4EFC27BE3}"/>
    <cellStyle name="Normal 55 3 5 5" xfId="8328" xr:uid="{24CF70C7-3802-45B4-B48F-5E5D157ADC90}"/>
    <cellStyle name="Normal 55 3 5 6" xfId="8329" xr:uid="{B968090F-ECD2-46D7-A1FA-6C34827F6ABD}"/>
    <cellStyle name="Normal 55 3 5 7" xfId="8330" xr:uid="{7EE404DD-6678-4404-8472-60EBF4D8DB8E}"/>
    <cellStyle name="Normal 55 3 5 8" xfId="8331" xr:uid="{2FB604AD-7C8C-4C5C-A941-51FA948443C6}"/>
    <cellStyle name="Normal 55 3 6" xfId="8332" xr:uid="{1E75BD7D-67EF-4BE2-88E3-CBB682CE37BF}"/>
    <cellStyle name="Normal 55 3 6 2" xfId="8333" xr:uid="{8529486C-305B-40CB-BACF-0617BCF4ED4B}"/>
    <cellStyle name="Normal 55 3 6 3" xfId="8334" xr:uid="{C99220F8-4DDE-4BE8-B68B-21696420B8C6}"/>
    <cellStyle name="Normal 55 3 7" xfId="8335" xr:uid="{A992713B-0C61-4192-8F05-ECC93B9FE046}"/>
    <cellStyle name="Normal 55 3 7 2" xfId="8336" xr:uid="{A0FD7481-A0AC-458E-80C5-8B0162064758}"/>
    <cellStyle name="Normal 55 3 7 3" xfId="8337" xr:uid="{16145134-E89A-4DED-9D3B-1CEDB12C34E5}"/>
    <cellStyle name="Normal 55 3 8" xfId="8338" xr:uid="{638A2610-15F7-49A4-82DB-FD7B4838D302}"/>
    <cellStyle name="Normal 55 3 8 2" xfId="8339" xr:uid="{22A413F3-8C84-400F-A916-1E272C5D491E}"/>
    <cellStyle name="Normal 55 3 8 3" xfId="8340" xr:uid="{57288E84-2219-45A5-8708-1336E759FA72}"/>
    <cellStyle name="Normal 55 3 9" xfId="8341" xr:uid="{B3CF117D-69F3-41D9-A505-CFB1BC8DFB4D}"/>
    <cellStyle name="Normal 55 4" xfId="2269" xr:uid="{7EAD05BA-0BDD-4E8B-A4F7-DC7BCBC48E6E}"/>
    <cellStyle name="Normal 55 4 10" xfId="8342" xr:uid="{F3444BC4-203A-4236-AF9C-52F1AB08FEC0}"/>
    <cellStyle name="Normal 55 4 11" xfId="8343" xr:uid="{169C4481-BE78-4B7B-8633-821561F47F48}"/>
    <cellStyle name="Normal 55 4 12" xfId="8344" xr:uid="{3EBEF892-8B24-4403-8972-BF1B9182BEC7}"/>
    <cellStyle name="Normal 55 4 2" xfId="2270" xr:uid="{1517107A-56C3-4E73-B3D1-1D3BA3C72687}"/>
    <cellStyle name="Normal 55 4 2 10" xfId="8345" xr:uid="{853FC890-1FBC-4647-BC3B-79257A6ACB53}"/>
    <cellStyle name="Normal 55 4 2 11" xfId="8346" xr:uid="{12E8EE95-3230-48FE-AA23-D103BAE56F42}"/>
    <cellStyle name="Normal 55 4 2 2" xfId="2271" xr:uid="{4C31F560-1328-43E4-9E3C-93D91AE8B004}"/>
    <cellStyle name="Normal 55 4 2 2 10" xfId="8347" xr:uid="{6480BC49-5F2B-465F-9662-39F654790713}"/>
    <cellStyle name="Normal 55 4 2 2 2" xfId="2272" xr:uid="{E1F5DC01-2812-4EA7-831B-2E8E69AA1873}"/>
    <cellStyle name="Normal 55 4 2 2 2 2" xfId="8348" xr:uid="{4AFF74B4-9A56-47A0-B573-C086FAC69B41}"/>
    <cellStyle name="Normal 55 4 2 2 2 2 2" xfId="8349" xr:uid="{67FD3EFD-CA0B-4A7F-A331-4101BC1409EF}"/>
    <cellStyle name="Normal 55 4 2 2 2 2 2 2" xfId="8350" xr:uid="{778396F7-3C62-48E6-AE4F-801655E4A6DF}"/>
    <cellStyle name="Normal 55 4 2 2 2 2 2 3" xfId="8351" xr:uid="{9F001820-2E4D-4225-8611-20992A51A66E}"/>
    <cellStyle name="Normal 55 4 2 2 2 2 3" xfId="8352" xr:uid="{4CA0D086-F4F4-48E2-BB82-3F046C61D050}"/>
    <cellStyle name="Normal 55 4 2 2 2 2 3 2" xfId="8353" xr:uid="{CC14B1D9-4CA2-4000-B912-A202048C5050}"/>
    <cellStyle name="Normal 55 4 2 2 2 2 3 3" xfId="8354" xr:uid="{350D10AE-1C8A-47F5-B4D7-010E00CD5259}"/>
    <cellStyle name="Normal 55 4 2 2 2 2 4" xfId="8355" xr:uid="{F07B3E94-AEFF-457A-9FA8-BFA9FA821C87}"/>
    <cellStyle name="Normal 55 4 2 2 2 2 4 2" xfId="8356" xr:uid="{20812D2B-68B6-4A0D-8513-078B189FD2FC}"/>
    <cellStyle name="Normal 55 4 2 2 2 2 4 3" xfId="8357" xr:uid="{ACC18414-53C1-4041-A84F-2C0CEF940AEE}"/>
    <cellStyle name="Normal 55 4 2 2 2 2 5" xfId="8358" xr:uid="{2AB51DD5-4C05-4D20-81CA-716E6B76C726}"/>
    <cellStyle name="Normal 55 4 2 2 2 2 6" xfId="8359" xr:uid="{27AD0337-29B5-4EBF-BCC5-41619E91271B}"/>
    <cellStyle name="Normal 55 4 2 2 2 2 7" xfId="8360" xr:uid="{1967AE6E-5FBB-4A44-8908-973686B2AF59}"/>
    <cellStyle name="Normal 55 4 2 2 2 2 8" xfId="8361" xr:uid="{040AAFAB-4D0E-4437-AA8F-820493417EBB}"/>
    <cellStyle name="Normal 55 4 2 2 2 3" xfId="8362" xr:uid="{7B03C7DF-C949-4DD1-BF6E-813E777FED20}"/>
    <cellStyle name="Normal 55 4 2 2 2 3 2" xfId="8363" xr:uid="{EEF6CEE0-248D-433D-8009-D5A8AD55BFB4}"/>
    <cellStyle name="Normal 55 4 2 2 2 3 3" xfId="8364" xr:uid="{6792986B-1903-499D-BD4F-D6DD1441900E}"/>
    <cellStyle name="Normal 55 4 2 2 2 4" xfId="8365" xr:uid="{832D63BF-BCA1-4E07-897F-44A91809FE6C}"/>
    <cellStyle name="Normal 55 4 2 2 2 4 2" xfId="8366" xr:uid="{ADAC01D5-95B8-4E2D-94B3-4A22F183E30F}"/>
    <cellStyle name="Normal 55 4 2 2 2 4 3" xfId="8367" xr:uid="{6DED967C-2A06-4A3E-8D92-62C1E896BB01}"/>
    <cellStyle name="Normal 55 4 2 2 2 5" xfId="8368" xr:uid="{EBBE4C2C-2DBD-49FE-8B58-CEA8FB3CE898}"/>
    <cellStyle name="Normal 55 4 2 2 2 5 2" xfId="8369" xr:uid="{5233463D-68F5-4AB4-A3F6-A8702B1167B5}"/>
    <cellStyle name="Normal 55 4 2 2 2 5 3" xfId="8370" xr:uid="{71102595-D1C7-4777-A1E7-87B7FED11B92}"/>
    <cellStyle name="Normal 55 4 2 2 2 6" xfId="8371" xr:uid="{D334B9B6-0AE4-4AAF-80AE-5EDA30E7E1A3}"/>
    <cellStyle name="Normal 55 4 2 2 2 7" xfId="8372" xr:uid="{3929D766-4507-4EDA-8DE3-032606DF187E}"/>
    <cellStyle name="Normal 55 4 2 2 2 8" xfId="8373" xr:uid="{81AFF9B5-8CD8-47A2-BF31-9D0C4DBAD9D2}"/>
    <cellStyle name="Normal 55 4 2 2 2 9" xfId="8374" xr:uid="{E674FC2D-B2EC-493D-A268-F5BE874B05DD}"/>
    <cellStyle name="Normal 55 4 2 2 3" xfId="8375" xr:uid="{3AD2CE87-0F18-4441-A053-B78AE36E33F8}"/>
    <cellStyle name="Normal 55 4 2 2 3 2" xfId="8376" xr:uid="{EAEF8B4F-953F-4A14-8349-503615CA5A2B}"/>
    <cellStyle name="Normal 55 4 2 2 3 2 2" xfId="8377" xr:uid="{BE2F5C2B-8C04-42E0-9915-900B1008BF02}"/>
    <cellStyle name="Normal 55 4 2 2 3 2 3" xfId="8378" xr:uid="{BD8D2F08-64AB-4118-9013-34AC5751B118}"/>
    <cellStyle name="Normal 55 4 2 2 3 3" xfId="8379" xr:uid="{B3AA537F-F3BA-4CFE-8B16-D1E35CB4EA60}"/>
    <cellStyle name="Normal 55 4 2 2 3 3 2" xfId="8380" xr:uid="{D22D2079-DBF6-42BE-A499-BDA0A9410B43}"/>
    <cellStyle name="Normal 55 4 2 2 3 3 3" xfId="8381" xr:uid="{954C707D-CB93-4B81-91EF-E76F416874A2}"/>
    <cellStyle name="Normal 55 4 2 2 3 4" xfId="8382" xr:uid="{46785295-6893-4759-9744-F9F9DE199E74}"/>
    <cellStyle name="Normal 55 4 2 2 3 4 2" xfId="8383" xr:uid="{EF893C31-CF17-4E9A-80EB-1E9AF5FDC4DC}"/>
    <cellStyle name="Normal 55 4 2 2 3 4 3" xfId="8384" xr:uid="{AD2892BF-DE0A-457A-A455-9DCCB2C630BE}"/>
    <cellStyle name="Normal 55 4 2 2 3 5" xfId="8385" xr:uid="{A3C5FB6A-B9F7-4CCB-A315-972A0A3D9A39}"/>
    <cellStyle name="Normal 55 4 2 2 3 6" xfId="8386" xr:uid="{1158B8BB-B799-4ED0-A333-301443A3AA26}"/>
    <cellStyle name="Normal 55 4 2 2 3 7" xfId="8387" xr:uid="{814FCC39-8E4E-485A-860B-D986919A6775}"/>
    <cellStyle name="Normal 55 4 2 2 3 8" xfId="8388" xr:uid="{050FC6CC-55CC-45E2-B1B8-AA58342FDCD8}"/>
    <cellStyle name="Normal 55 4 2 2 4" xfId="8389" xr:uid="{136E9824-DB26-4858-AFFD-D18F6D05EBEE}"/>
    <cellStyle name="Normal 55 4 2 2 4 2" xfId="8390" xr:uid="{4C0FA24E-31D4-4FF4-A7BE-C89E4FD500DE}"/>
    <cellStyle name="Normal 55 4 2 2 4 3" xfId="8391" xr:uid="{BC7DD7CD-69CF-48DB-B0F9-023672BDC5DD}"/>
    <cellStyle name="Normal 55 4 2 2 5" xfId="8392" xr:uid="{E4A21B6E-59F6-4ED0-B1E7-FA75F0F6CA9C}"/>
    <cellStyle name="Normal 55 4 2 2 5 2" xfId="8393" xr:uid="{6646768B-09C2-446E-B7A7-793B6D4B34C7}"/>
    <cellStyle name="Normal 55 4 2 2 5 3" xfId="8394" xr:uid="{A713937D-2A0A-4955-A868-C52166C557DD}"/>
    <cellStyle name="Normal 55 4 2 2 6" xfId="8395" xr:uid="{B5D9E61A-3EC1-432F-B58C-B8CCFB86A5FA}"/>
    <cellStyle name="Normal 55 4 2 2 6 2" xfId="8396" xr:uid="{AA8E7D5F-1082-4C38-8E2F-767A1C6A112D}"/>
    <cellStyle name="Normal 55 4 2 2 6 3" xfId="8397" xr:uid="{F260FEDF-C0AF-4FA0-9CCB-227F0A2D93DA}"/>
    <cellStyle name="Normal 55 4 2 2 7" xfId="8398" xr:uid="{07DFA632-182C-493A-8A1F-DCEDA99EFA5F}"/>
    <cellStyle name="Normal 55 4 2 2 8" xfId="8399" xr:uid="{6610C1EE-E289-4C54-9223-B17F94ACB032}"/>
    <cellStyle name="Normal 55 4 2 2 9" xfId="8400" xr:uid="{A427C9DB-4337-4495-9BA6-7A38CF8410A9}"/>
    <cellStyle name="Normal 55 4 2 3" xfId="2273" xr:uid="{9CF2E4A2-999F-4462-A1F6-B4142D6DBE7C}"/>
    <cellStyle name="Normal 55 4 2 3 2" xfId="8401" xr:uid="{44915741-01F5-421C-9DC5-2AA38D494C5A}"/>
    <cellStyle name="Normal 55 4 2 3 2 2" xfId="8402" xr:uid="{1D113343-39CD-4E32-8A65-24F18A4D0A9E}"/>
    <cellStyle name="Normal 55 4 2 3 2 2 2" xfId="8403" xr:uid="{6DDFC268-F2AB-42A8-A9B3-796533CD9899}"/>
    <cellStyle name="Normal 55 4 2 3 2 2 3" xfId="8404" xr:uid="{593FB754-5D4B-4A9B-853C-BC1C34963451}"/>
    <cellStyle name="Normal 55 4 2 3 2 3" xfId="8405" xr:uid="{415EDDA0-84F1-4931-8C63-4D86B2C5DCCF}"/>
    <cellStyle name="Normal 55 4 2 3 2 3 2" xfId="8406" xr:uid="{F986A7BD-1327-4716-8F3F-43C72AF45B53}"/>
    <cellStyle name="Normal 55 4 2 3 2 3 3" xfId="8407" xr:uid="{80DEF43F-3D5D-46A1-9570-77020CB5DF6B}"/>
    <cellStyle name="Normal 55 4 2 3 2 4" xfId="8408" xr:uid="{9B437B7A-259B-4C47-A87D-32B52425AA71}"/>
    <cellStyle name="Normal 55 4 2 3 2 4 2" xfId="8409" xr:uid="{DF016A73-EF20-44AD-9318-35C71120B265}"/>
    <cellStyle name="Normal 55 4 2 3 2 4 3" xfId="8410" xr:uid="{50F5BEA5-B973-470B-BF0F-63DF99622FD5}"/>
    <cellStyle name="Normal 55 4 2 3 2 5" xfId="8411" xr:uid="{67812BD6-2BA4-4860-AC52-69A2C42C0BFC}"/>
    <cellStyle name="Normal 55 4 2 3 2 6" xfId="8412" xr:uid="{4A42B03B-599C-4D64-B5F0-EBCD3713646C}"/>
    <cellStyle name="Normal 55 4 2 3 2 7" xfId="8413" xr:uid="{67986F5F-BE46-4E32-A239-10486D79924A}"/>
    <cellStyle name="Normal 55 4 2 3 2 8" xfId="8414" xr:uid="{670CD1FC-DE6B-4D4F-BB7A-A33C0F3B53DC}"/>
    <cellStyle name="Normal 55 4 2 3 3" xfId="8415" xr:uid="{818EC6F5-0014-4681-ACD1-B64590A1F276}"/>
    <cellStyle name="Normal 55 4 2 3 3 2" xfId="8416" xr:uid="{86926980-F0F4-4CB6-8F98-26ADA57D0475}"/>
    <cellStyle name="Normal 55 4 2 3 3 3" xfId="8417" xr:uid="{57C09460-C743-4C21-8E91-E504E2AD79A4}"/>
    <cellStyle name="Normal 55 4 2 3 4" xfId="8418" xr:uid="{3E95B5C4-07E5-4FC4-8DD3-F459149789E8}"/>
    <cellStyle name="Normal 55 4 2 3 4 2" xfId="8419" xr:uid="{5778B34F-5D45-4A69-82A5-18EE29E42666}"/>
    <cellStyle name="Normal 55 4 2 3 4 3" xfId="8420" xr:uid="{4B84C47B-C7BD-4AB8-8880-BA04380F0240}"/>
    <cellStyle name="Normal 55 4 2 3 5" xfId="8421" xr:uid="{99E093A3-CC57-46E3-8AAD-876D94667685}"/>
    <cellStyle name="Normal 55 4 2 3 5 2" xfId="8422" xr:uid="{1C145726-881D-42E8-B6FA-244442CC2A3E}"/>
    <cellStyle name="Normal 55 4 2 3 5 3" xfId="8423" xr:uid="{94DC56EB-D22C-41C1-AD6A-73A3E092A201}"/>
    <cellStyle name="Normal 55 4 2 3 6" xfId="8424" xr:uid="{96ADC671-A332-45CD-9AE2-B312D3392A70}"/>
    <cellStyle name="Normal 55 4 2 3 7" xfId="8425" xr:uid="{2A062884-8684-45D2-8155-EFD495D195B8}"/>
    <cellStyle name="Normal 55 4 2 3 8" xfId="8426" xr:uid="{FFBE53C1-314C-476E-A6AA-798617683138}"/>
    <cellStyle name="Normal 55 4 2 3 9" xfId="8427" xr:uid="{3C50DF13-02E7-4182-A404-D9A8035C5930}"/>
    <cellStyle name="Normal 55 4 2 4" xfId="8428" xr:uid="{969F8991-EF96-470A-9BD5-C1485A8AF2C6}"/>
    <cellStyle name="Normal 55 4 2 4 2" xfId="8429" xr:uid="{477E1599-CC38-4D53-A1D5-F4F383A94E63}"/>
    <cellStyle name="Normal 55 4 2 4 2 2" xfId="8430" xr:uid="{88B96931-9CF7-4548-8E36-4BCE48724ED9}"/>
    <cellStyle name="Normal 55 4 2 4 2 3" xfId="8431" xr:uid="{40D577B6-3EAD-4420-B5C6-D70390C53215}"/>
    <cellStyle name="Normal 55 4 2 4 3" xfId="8432" xr:uid="{47C3425C-D305-4B4C-91C5-8F6563E839F8}"/>
    <cellStyle name="Normal 55 4 2 4 3 2" xfId="8433" xr:uid="{0655D39A-B3D4-4402-90C8-8153776104A9}"/>
    <cellStyle name="Normal 55 4 2 4 3 3" xfId="8434" xr:uid="{3F9B5486-4944-4EB8-B83E-B1B28D4C8E7E}"/>
    <cellStyle name="Normal 55 4 2 4 4" xfId="8435" xr:uid="{EC72455D-E990-44ED-A0EC-8B0C6ED056AC}"/>
    <cellStyle name="Normal 55 4 2 4 4 2" xfId="8436" xr:uid="{FEFDF450-40A4-4844-8900-D78B30E46485}"/>
    <cellStyle name="Normal 55 4 2 4 4 3" xfId="8437" xr:uid="{F76C9656-CFA1-4D78-B630-AC5CCACD51C7}"/>
    <cellStyle name="Normal 55 4 2 4 5" xfId="8438" xr:uid="{322762C5-8D69-4EEE-9D39-EE655DCEE881}"/>
    <cellStyle name="Normal 55 4 2 4 6" xfId="8439" xr:uid="{54990E3A-2122-4532-BCEF-5E12046FE93B}"/>
    <cellStyle name="Normal 55 4 2 4 7" xfId="8440" xr:uid="{6AEB01D9-4C4E-493F-8A02-88597B84E6AA}"/>
    <cellStyle name="Normal 55 4 2 4 8" xfId="8441" xr:uid="{A3B0CB75-9365-4A3E-99EA-9908E423F213}"/>
    <cellStyle name="Normal 55 4 2 5" xfId="8442" xr:uid="{55D5A6FB-7963-43E1-8375-83647D4A9B39}"/>
    <cellStyle name="Normal 55 4 2 5 2" xfId="8443" xr:uid="{40603DAC-74B7-40D7-9C92-DFF2BC28F090}"/>
    <cellStyle name="Normal 55 4 2 5 3" xfId="8444" xr:uid="{3557D19D-9F6A-4E97-821C-64D92508A1C9}"/>
    <cellStyle name="Normal 55 4 2 6" xfId="8445" xr:uid="{838D1635-E37D-4E3A-9448-2A3977EDACF6}"/>
    <cellStyle name="Normal 55 4 2 6 2" xfId="8446" xr:uid="{E24C4F93-F63A-4845-ABED-1B3C27A0261F}"/>
    <cellStyle name="Normal 55 4 2 6 3" xfId="8447" xr:uid="{8416E17B-E97C-408F-A4C4-C4B692F1F5B3}"/>
    <cellStyle name="Normal 55 4 2 7" xfId="8448" xr:uid="{2FE51918-48B8-4545-B381-7E68498C7831}"/>
    <cellStyle name="Normal 55 4 2 7 2" xfId="8449" xr:uid="{93A91315-B2E9-46C6-8459-31EBCC3AF415}"/>
    <cellStyle name="Normal 55 4 2 7 3" xfId="8450" xr:uid="{3A0F6FE3-3282-4AD8-B7DF-63244B8C9B37}"/>
    <cellStyle name="Normal 55 4 2 8" xfId="8451" xr:uid="{C8F3A4F8-1834-4F58-BA0E-C1410BA4E10F}"/>
    <cellStyle name="Normal 55 4 2 9" xfId="8452" xr:uid="{56FB3671-A34F-4D64-B403-3C64DF7FA88D}"/>
    <cellStyle name="Normal 55 4 3" xfId="2274" xr:uid="{02B2CFF4-ED04-437D-902E-8D33C55C659A}"/>
    <cellStyle name="Normal 55 4 3 10" xfId="8453" xr:uid="{7F02C3E5-AD9A-40C7-A417-6F54857823F3}"/>
    <cellStyle name="Normal 55 4 3 2" xfId="2275" xr:uid="{0D94F8EB-8C4F-43A2-9FBC-A9A3ED19E9B3}"/>
    <cellStyle name="Normal 55 4 3 2 2" xfId="8454" xr:uid="{3CE48AF2-8433-47EE-8117-87121755DB98}"/>
    <cellStyle name="Normal 55 4 3 2 2 2" xfId="8455" xr:uid="{EA7761C8-95C4-4F25-B042-F981ECF56187}"/>
    <cellStyle name="Normal 55 4 3 2 2 2 2" xfId="8456" xr:uid="{940C5604-DA75-4E47-BE5E-30F75733A617}"/>
    <cellStyle name="Normal 55 4 3 2 2 2 3" xfId="8457" xr:uid="{6BA3FD19-205A-413C-A5DF-FEE5EC334BE0}"/>
    <cellStyle name="Normal 55 4 3 2 2 3" xfId="8458" xr:uid="{39E06168-0C9B-4DD8-AA31-329B0A7AF7A7}"/>
    <cellStyle name="Normal 55 4 3 2 2 3 2" xfId="8459" xr:uid="{6A023CCE-A07A-42CC-82C8-EC24ED45AA9B}"/>
    <cellStyle name="Normal 55 4 3 2 2 3 3" xfId="8460" xr:uid="{9BF08288-E175-4EDA-8482-238859E68912}"/>
    <cellStyle name="Normal 55 4 3 2 2 4" xfId="8461" xr:uid="{C971AD5D-C641-43A3-BE11-C31194375C8D}"/>
    <cellStyle name="Normal 55 4 3 2 2 4 2" xfId="8462" xr:uid="{6FB54B28-897A-4E7A-98EF-756CD3BA3F55}"/>
    <cellStyle name="Normal 55 4 3 2 2 4 3" xfId="8463" xr:uid="{746B10F0-7194-49E6-96A5-0594159F9760}"/>
    <cellStyle name="Normal 55 4 3 2 2 5" xfId="8464" xr:uid="{5D48901C-BF50-4BC3-8AB2-515FBDD7598E}"/>
    <cellStyle name="Normal 55 4 3 2 2 6" xfId="8465" xr:uid="{E3567C8D-BCAE-4029-ACBD-28C62807C1F7}"/>
    <cellStyle name="Normal 55 4 3 2 2 7" xfId="8466" xr:uid="{36561381-B7B7-48C5-8DA2-3B399EDC6A4E}"/>
    <cellStyle name="Normal 55 4 3 2 2 8" xfId="8467" xr:uid="{882F85FA-0421-44F3-967E-5F7F2A8D16FC}"/>
    <cellStyle name="Normal 55 4 3 2 3" xfId="8468" xr:uid="{3D00AE75-F251-4EE1-860F-408E9CD2F83D}"/>
    <cellStyle name="Normal 55 4 3 2 3 2" xfId="8469" xr:uid="{904C53CA-C63A-45F8-B6DD-33DF486EBACF}"/>
    <cellStyle name="Normal 55 4 3 2 3 3" xfId="8470" xr:uid="{9885315E-F863-45BA-BDE5-D7AA430D40B5}"/>
    <cellStyle name="Normal 55 4 3 2 4" xfId="8471" xr:uid="{433C43BE-0A3F-44B7-A040-8B0B1B85011D}"/>
    <cellStyle name="Normal 55 4 3 2 4 2" xfId="8472" xr:uid="{014E3C75-B800-4C22-B938-E69396E7F3FA}"/>
    <cellStyle name="Normal 55 4 3 2 4 3" xfId="8473" xr:uid="{71D59530-DF7B-41CF-931D-048F77E34496}"/>
    <cellStyle name="Normal 55 4 3 2 5" xfId="8474" xr:uid="{F28EEC51-416C-458F-8B80-46951A10F634}"/>
    <cellStyle name="Normal 55 4 3 2 5 2" xfId="8475" xr:uid="{6F6A2E7E-B097-4272-864C-1F464B38D589}"/>
    <cellStyle name="Normal 55 4 3 2 5 3" xfId="8476" xr:uid="{8B726871-48B4-466C-9546-ECB0BA744AA0}"/>
    <cellStyle name="Normal 55 4 3 2 6" xfId="8477" xr:uid="{81257EE2-1F5C-4816-A924-3D084BFF5DDB}"/>
    <cellStyle name="Normal 55 4 3 2 7" xfId="8478" xr:uid="{B6D10286-96FD-49DC-8F88-50ACBD2CF3E7}"/>
    <cellStyle name="Normal 55 4 3 2 8" xfId="8479" xr:uid="{10B3BCEC-19E2-4DAA-9ED9-D753CA64010F}"/>
    <cellStyle name="Normal 55 4 3 2 9" xfId="8480" xr:uid="{656C3AAB-D7D5-421C-B4B9-22626463CAFC}"/>
    <cellStyle name="Normal 55 4 3 3" xfId="8481" xr:uid="{C740E0C9-A936-49F1-B51F-09813108DD33}"/>
    <cellStyle name="Normal 55 4 3 3 2" xfId="8482" xr:uid="{214652A2-E3FC-4C78-A795-3AED9ED02A49}"/>
    <cellStyle name="Normal 55 4 3 3 2 2" xfId="8483" xr:uid="{3A04363E-8A16-4B87-ADE4-7B6585CA2771}"/>
    <cellStyle name="Normal 55 4 3 3 2 3" xfId="8484" xr:uid="{5246DF33-677D-4533-944C-66168EB392C3}"/>
    <cellStyle name="Normal 55 4 3 3 3" xfId="8485" xr:uid="{2C10C101-B8FD-47B0-A47D-2BAA3F5E5BF6}"/>
    <cellStyle name="Normal 55 4 3 3 3 2" xfId="8486" xr:uid="{E50062D9-0B4C-4628-93F5-CB2A909C4CFC}"/>
    <cellStyle name="Normal 55 4 3 3 3 3" xfId="8487" xr:uid="{342D757A-D265-46A4-8CC7-6C1AD97F8E1F}"/>
    <cellStyle name="Normal 55 4 3 3 4" xfId="8488" xr:uid="{C69A89A0-4F6B-4294-AD58-E31D21D863B4}"/>
    <cellStyle name="Normal 55 4 3 3 4 2" xfId="8489" xr:uid="{BF9E497D-1B6A-4232-8CB1-0822B67EA93D}"/>
    <cellStyle name="Normal 55 4 3 3 4 3" xfId="8490" xr:uid="{46935FBA-A0FD-4E89-A19A-91F8BF78ACC7}"/>
    <cellStyle name="Normal 55 4 3 3 5" xfId="8491" xr:uid="{3F01E712-2612-4280-87CD-24A5844CDB1D}"/>
    <cellStyle name="Normal 55 4 3 3 6" xfId="8492" xr:uid="{F5576AC1-5A5B-4EFD-BBA1-8FF395824713}"/>
    <cellStyle name="Normal 55 4 3 3 7" xfId="8493" xr:uid="{F1213795-0F4D-4A0E-8CC4-7CA3B974DF63}"/>
    <cellStyle name="Normal 55 4 3 3 8" xfId="8494" xr:uid="{1CF6A861-6CC9-411A-A62A-80AD0E7F831A}"/>
    <cellStyle name="Normal 55 4 3 4" xfId="8495" xr:uid="{EBD1A72F-96C7-415D-834F-0BBDE9E634D7}"/>
    <cellStyle name="Normal 55 4 3 4 2" xfId="8496" xr:uid="{357AEE30-B402-45FE-86C7-473538306C78}"/>
    <cellStyle name="Normal 55 4 3 4 3" xfId="8497" xr:uid="{BD7BF004-E02A-429C-AA51-9B2DE0F0E984}"/>
    <cellStyle name="Normal 55 4 3 5" xfId="8498" xr:uid="{3BFB3DDB-8682-4A97-8D01-8621DF3F7709}"/>
    <cellStyle name="Normal 55 4 3 5 2" xfId="8499" xr:uid="{F73D883B-7871-43FD-8D0F-0BA3023625C5}"/>
    <cellStyle name="Normal 55 4 3 5 3" xfId="8500" xr:uid="{6CB2FE87-9B91-4CF4-A0AF-0051A7853C88}"/>
    <cellStyle name="Normal 55 4 3 6" xfId="8501" xr:uid="{8279FD07-21E5-4221-BDB0-501FDBB6D87C}"/>
    <cellStyle name="Normal 55 4 3 6 2" xfId="8502" xr:uid="{98E50E70-2B73-4617-AA96-5540102DB840}"/>
    <cellStyle name="Normal 55 4 3 6 3" xfId="8503" xr:uid="{7C09BF19-003F-4C33-96A4-B9AA7071E80B}"/>
    <cellStyle name="Normal 55 4 3 7" xfId="8504" xr:uid="{35747603-BDBB-4659-BCCA-43D45F9639DC}"/>
    <cellStyle name="Normal 55 4 3 8" xfId="8505" xr:uid="{D426846A-E723-4EB9-B37C-37DE0B76BD7D}"/>
    <cellStyle name="Normal 55 4 3 9" xfId="8506" xr:uid="{26BA9A32-3357-409D-B2B2-29D0E265735C}"/>
    <cellStyle name="Normal 55 4 4" xfId="2276" xr:uid="{934B837D-4862-43C3-86F0-F1ED3DF5F43C}"/>
    <cellStyle name="Normal 55 4 4 2" xfId="8507" xr:uid="{A34822D1-BF70-43FA-83DC-204FB2CDF14E}"/>
    <cellStyle name="Normal 55 4 4 2 2" xfId="8508" xr:uid="{8987B197-4F82-4DBE-9EED-20D572AA0D23}"/>
    <cellStyle name="Normal 55 4 4 2 2 2" xfId="8509" xr:uid="{86A1C292-EAD7-48FE-9924-5CC9235A50ED}"/>
    <cellStyle name="Normal 55 4 4 2 2 3" xfId="8510" xr:uid="{DE69CD59-85DA-448C-8A2F-8A0A1A6CB968}"/>
    <cellStyle name="Normal 55 4 4 2 3" xfId="8511" xr:uid="{AA1FF728-2BE6-4379-9276-022EBF723413}"/>
    <cellStyle name="Normal 55 4 4 2 3 2" xfId="8512" xr:uid="{3A835D69-7136-42D7-9E88-2DF449868A0C}"/>
    <cellStyle name="Normal 55 4 4 2 3 3" xfId="8513" xr:uid="{0DB25726-498C-4F39-B1F5-4E73D61A8ECB}"/>
    <cellStyle name="Normal 55 4 4 2 4" xfId="8514" xr:uid="{E4FB8EB0-28C0-4D72-827B-50F086550D25}"/>
    <cellStyle name="Normal 55 4 4 2 4 2" xfId="8515" xr:uid="{DF54CE6D-19BE-45A2-9659-FF54242BF5E1}"/>
    <cellStyle name="Normal 55 4 4 2 4 3" xfId="8516" xr:uid="{6DB29499-1902-45C6-B689-9CFA3EE4ADCD}"/>
    <cellStyle name="Normal 55 4 4 2 5" xfId="8517" xr:uid="{AC9B0902-C3F2-481B-9FA0-30519242FF32}"/>
    <cellStyle name="Normal 55 4 4 2 6" xfId="8518" xr:uid="{7B931915-9245-408E-B59A-2DE490E61BD0}"/>
    <cellStyle name="Normal 55 4 4 2 7" xfId="8519" xr:uid="{7E8E530C-15D7-44D2-9807-9A9BACC416D1}"/>
    <cellStyle name="Normal 55 4 4 2 8" xfId="8520" xr:uid="{EB187B02-AB04-4089-A3B8-178B9FFEF3F2}"/>
    <cellStyle name="Normal 55 4 4 3" xfId="8521" xr:uid="{B8BD7217-DEDB-4971-A814-F392AE01240E}"/>
    <cellStyle name="Normal 55 4 4 3 2" xfId="8522" xr:uid="{2DC81AEB-0D8E-4C5F-B4A0-2B6195BD3F28}"/>
    <cellStyle name="Normal 55 4 4 3 3" xfId="8523" xr:uid="{D95FA3E9-F79B-4987-880C-7BF72A9E6FED}"/>
    <cellStyle name="Normal 55 4 4 4" xfId="8524" xr:uid="{29AE56BA-90FB-4350-A535-A056C08751E7}"/>
    <cellStyle name="Normal 55 4 4 4 2" xfId="8525" xr:uid="{6D5103CB-B0A3-4AF7-A90C-B55E8049066C}"/>
    <cellStyle name="Normal 55 4 4 4 3" xfId="8526" xr:uid="{1293914A-6438-4FC3-A3CD-7099CBADA81C}"/>
    <cellStyle name="Normal 55 4 4 5" xfId="8527" xr:uid="{DD26F3F6-D56B-4AEC-8514-631BBA6811B1}"/>
    <cellStyle name="Normal 55 4 4 5 2" xfId="8528" xr:uid="{2CF1280C-65A5-4698-BA8E-4E3D83145615}"/>
    <cellStyle name="Normal 55 4 4 5 3" xfId="8529" xr:uid="{7E1DB1FF-50C3-4D17-A1E5-79B5CCA7A49C}"/>
    <cellStyle name="Normal 55 4 4 6" xfId="8530" xr:uid="{1A3F8562-4F1E-4DA5-B6AA-E7AEC83658DC}"/>
    <cellStyle name="Normal 55 4 4 7" xfId="8531" xr:uid="{7876DB13-10CD-4DE7-8D7D-3FE20B841AEE}"/>
    <cellStyle name="Normal 55 4 4 8" xfId="8532" xr:uid="{DA923FEA-1B15-4714-9410-31FD364F6EC2}"/>
    <cellStyle name="Normal 55 4 4 9" xfId="8533" xr:uid="{595BCB87-45C3-4C7B-9010-981C8DFD38A6}"/>
    <cellStyle name="Normal 55 4 5" xfId="8534" xr:uid="{F48A5F49-37D5-4754-8E7F-0E7BFDB5EDFE}"/>
    <cellStyle name="Normal 55 4 5 2" xfId="8535" xr:uid="{115D0B03-0C8D-4775-95FC-ACDBE2267D92}"/>
    <cellStyle name="Normal 55 4 5 2 2" xfId="8536" xr:uid="{02285AA5-86C1-440C-A6EB-1030B46393BB}"/>
    <cellStyle name="Normal 55 4 5 2 3" xfId="8537" xr:uid="{3B558D63-BDDA-4C6C-BDE5-F8A32152F77F}"/>
    <cellStyle name="Normal 55 4 5 3" xfId="8538" xr:uid="{5F9D2B7B-0826-4004-AD47-BC405FAE4786}"/>
    <cellStyle name="Normal 55 4 5 3 2" xfId="8539" xr:uid="{35E14E80-2E0B-41EB-A104-7DEF39DC5896}"/>
    <cellStyle name="Normal 55 4 5 3 3" xfId="8540" xr:uid="{FB873364-4482-46DD-8B94-DFF28E2FA91C}"/>
    <cellStyle name="Normal 55 4 5 4" xfId="8541" xr:uid="{19E25798-DBB2-435F-9554-110805AE5581}"/>
    <cellStyle name="Normal 55 4 5 4 2" xfId="8542" xr:uid="{442578DB-0CFF-495A-8D68-25D3C48E6B68}"/>
    <cellStyle name="Normal 55 4 5 4 3" xfId="8543" xr:uid="{2891E486-4BC7-4FA5-8F26-7D7839660BC7}"/>
    <cellStyle name="Normal 55 4 5 5" xfId="8544" xr:uid="{760EBB15-BDDC-44EF-9B65-7FDEF63AEC88}"/>
    <cellStyle name="Normal 55 4 5 6" xfId="8545" xr:uid="{2C9CC25D-2F9C-4CD5-B2AD-660E55E84F3E}"/>
    <cellStyle name="Normal 55 4 5 7" xfId="8546" xr:uid="{1FBE98E1-18BA-4272-B346-B56923017901}"/>
    <cellStyle name="Normal 55 4 5 8" xfId="8547" xr:uid="{43DA2CBE-C693-454D-A8EA-7565AD125606}"/>
    <cellStyle name="Normal 55 4 6" xfId="8548" xr:uid="{E3934700-FA68-4426-9306-AAF4AEF2F6EE}"/>
    <cellStyle name="Normal 55 4 6 2" xfId="8549" xr:uid="{53CB64F3-67DB-49D8-A267-737E4E73569F}"/>
    <cellStyle name="Normal 55 4 6 3" xfId="8550" xr:uid="{4BE41678-EFD8-4D07-9146-3DE855F9E71C}"/>
    <cellStyle name="Normal 55 4 7" xfId="8551" xr:uid="{14FBE0E5-3E49-4B32-A68B-3BC880C65091}"/>
    <cellStyle name="Normal 55 4 7 2" xfId="8552" xr:uid="{637B0EE0-D5E3-4D02-81E0-BEE2C502DC8F}"/>
    <cellStyle name="Normal 55 4 7 3" xfId="8553" xr:uid="{C81E28A5-63D0-470D-AAD1-36327CF6CF0D}"/>
    <cellStyle name="Normal 55 4 8" xfId="8554" xr:uid="{2DB4B8FE-81FF-4E76-BFD9-2C45172A2D8F}"/>
    <cellStyle name="Normal 55 4 8 2" xfId="8555" xr:uid="{0F9F3FBA-3841-49F5-979A-8DEA3CA100FE}"/>
    <cellStyle name="Normal 55 4 8 3" xfId="8556" xr:uid="{D838B7BA-B95C-4C4A-A975-DE884422612F}"/>
    <cellStyle name="Normal 55 4 9" xfId="8557" xr:uid="{ABA17968-0BA8-453A-B9D8-412B04D53871}"/>
    <cellStyle name="Normal 55 5" xfId="8558" xr:uid="{5F6CC875-A9B3-4084-BFD3-80C2E7D2E739}"/>
    <cellStyle name="Normal 55 5 2" xfId="8559" xr:uid="{0FDA8D01-171A-4E14-82ED-AB20816197E5}"/>
    <cellStyle name="Normal 55 6" xfId="8560" xr:uid="{D1E1DA27-04CE-46ED-8DAD-5CF2255DFA28}"/>
    <cellStyle name="Normal 55 7" xfId="8561" xr:uid="{37DAF2D2-6329-47FF-9734-846AA5D1FCE6}"/>
    <cellStyle name="Normal 55 8" xfId="8562" xr:uid="{FEC9B69E-8FF4-4CA1-AA68-2320242A9C0A}"/>
    <cellStyle name="Normal 56" xfId="2277" xr:uid="{F740244B-0F13-4C7E-A430-4CA066FC1FD0}"/>
    <cellStyle name="Normal 56 2" xfId="2278" xr:uid="{14FFF362-9D2D-45C7-BBF9-0032BC14E91E}"/>
    <cellStyle name="Normal 57" xfId="2279" xr:uid="{68DB716E-3AD5-4375-8B56-3F12E9CC3E76}"/>
    <cellStyle name="Normal 57 2" xfId="2280" xr:uid="{481A227E-ECE1-41DB-97C9-6B8501BA8565}"/>
    <cellStyle name="Normal 58" xfId="2281" xr:uid="{064D38ED-0000-43AB-98AE-1FBDFD42DDE4}"/>
    <cellStyle name="Normal 58 2" xfId="2282" xr:uid="{ACC44A9C-ABFA-43CE-851A-D9827046EF14}"/>
    <cellStyle name="Normal 59" xfId="2283" xr:uid="{D97E961A-B423-41DD-A524-4F6BF8BE7820}"/>
    <cellStyle name="Normal 59 2" xfId="2284" xr:uid="{EB43981F-040C-4715-AFB5-5E7F88D125F3}"/>
    <cellStyle name="Normal 6" xfId="2285" xr:uid="{493E72EF-75CB-4AC7-AAEE-F9CC86FC732B}"/>
    <cellStyle name="Normal 6 10" xfId="2286" xr:uid="{48197009-835C-480A-BC23-607A6F495CEC}"/>
    <cellStyle name="Normal 6 2" xfId="2287" xr:uid="{C3CE4A53-9A85-49A7-9A0A-CBBACDE9E3FD}"/>
    <cellStyle name="Normal 6 2 2" xfId="2288" xr:uid="{268D1AB7-9EB0-4013-B808-B6A5A0711884}"/>
    <cellStyle name="Normal 6 2 3" xfId="8563" xr:uid="{5A2799E0-F16E-4AB0-A38A-76762421A41B}"/>
    <cellStyle name="Normal 6 3" xfId="2289" xr:uid="{A3EEAF64-31A4-4D46-9F19-7F21D297A7A0}"/>
    <cellStyle name="Normal 6 3 2" xfId="2290" xr:uid="{DC615432-7529-4CB8-8CDE-C1F4503CD843}"/>
    <cellStyle name="Normal 6 4" xfId="2291" xr:uid="{8BDE274C-4934-4EB9-9D7A-D5926979711A}"/>
    <cellStyle name="Normal 6 4 2" xfId="2292" xr:uid="{325208D5-7198-4775-94B9-7576BD5FE243}"/>
    <cellStyle name="Normal 6 5" xfId="2293" xr:uid="{4F604573-FC72-44FA-9BDA-BEBE710534D6}"/>
    <cellStyle name="Normal 6 5 2" xfId="2294" xr:uid="{818770D9-98AA-4507-B9AF-55D7548E23FE}"/>
    <cellStyle name="Normal 6 6" xfId="2295" xr:uid="{B54F1D7A-39AD-4F0A-94A4-76A1655B1B85}"/>
    <cellStyle name="Normal 6 6 2" xfId="2296" xr:uid="{5A0A78E2-467A-4A05-8754-9CDDCA64C1C1}"/>
    <cellStyle name="Normal 6 7" xfId="2297" xr:uid="{DB2BFDE4-59FE-4AC9-9A9F-2D25F7B0A45A}"/>
    <cellStyle name="Normal 6 7 2" xfId="2298" xr:uid="{69639A90-93D8-41EC-BC32-AFEA19B01416}"/>
    <cellStyle name="Normal 6 8" xfId="2299" xr:uid="{EEEB5439-13A6-4DB7-BF9D-61B504F33A84}"/>
    <cellStyle name="Normal 6 8 2" xfId="2300" xr:uid="{53163D3A-D433-4A3D-8C46-E544E359C6E0}"/>
    <cellStyle name="Normal 6 9" xfId="2301" xr:uid="{FFB0E2B8-B100-4B01-B000-76650B07DDD1}"/>
    <cellStyle name="Normal 6 9 10" xfId="8564" xr:uid="{FE0E745A-C6A8-4FF6-9989-FDA9A644F968}"/>
    <cellStyle name="Normal 6 9 10 2" xfId="8565" xr:uid="{6B453008-AEC1-404A-B2AD-A8D2DE694EF4}"/>
    <cellStyle name="Normal 6 9 10 3" xfId="8566" xr:uid="{0B3ACF2B-6CED-40B0-954C-3E3736EFC781}"/>
    <cellStyle name="Normal 6 9 11" xfId="8567" xr:uid="{F12223E1-9656-4816-8969-9D67252DA326}"/>
    <cellStyle name="Normal 6 9 11 2" xfId="8568" xr:uid="{CF972BE9-D262-46FF-99B5-7656354A5063}"/>
    <cellStyle name="Normal 6 9 11 3" xfId="8569" xr:uid="{59B1F9C1-DD00-45AA-8838-1161818CA7A1}"/>
    <cellStyle name="Normal 6 9 12" xfId="8570" xr:uid="{C895CFDA-5B82-49C0-A70A-6AE64AB1CC0D}"/>
    <cellStyle name="Normal 6 9 13" xfId="8571" xr:uid="{77ECBA8B-C95C-4340-BE16-757CF190EA54}"/>
    <cellStyle name="Normal 6 9 14" xfId="8572" xr:uid="{039876D9-C306-490B-887A-1EB1F4330BB7}"/>
    <cellStyle name="Normal 6 9 15" xfId="8573" xr:uid="{8250B5DB-D437-46A8-A0AA-1384879D4194}"/>
    <cellStyle name="Normal 6 9 16" xfId="3614" xr:uid="{24E14AC0-7324-489F-8AF3-8E4F62BC4A02}"/>
    <cellStyle name="Normal 6 9 2" xfId="2302" xr:uid="{B028FD59-DBDF-498E-A75E-ABBD6F82C628}"/>
    <cellStyle name="Normal 6 9 2 10" xfId="8574" xr:uid="{ED05C44D-6772-4BE1-86A0-AB631BD3F3A5}"/>
    <cellStyle name="Normal 6 9 2 10 2" xfId="8575" xr:uid="{1B8E8A07-CAD7-4CCF-9B42-58BE3FC7A603}"/>
    <cellStyle name="Normal 6 9 2 10 3" xfId="8576" xr:uid="{B86DAEEE-38ED-415F-9017-83484B704B8B}"/>
    <cellStyle name="Normal 6 9 2 11" xfId="8577" xr:uid="{1016B404-9893-4C9D-9126-6714DA63212A}"/>
    <cellStyle name="Normal 6 9 2 12" xfId="8578" xr:uid="{0407DD2A-16CD-4DE4-82B0-5FEAC28922F7}"/>
    <cellStyle name="Normal 6 9 2 13" xfId="8579" xr:uid="{7B4A9D31-DB1D-45B5-B8E9-C87767FF9CF6}"/>
    <cellStyle name="Normal 6 9 2 14" xfId="8580" xr:uid="{9D8B8D58-A8BE-45F3-82CC-3378F7FBA2E6}"/>
    <cellStyle name="Normal 6 9 2 2" xfId="2303" xr:uid="{067CDF2D-88B5-45E2-B350-66119EFCAF98}"/>
    <cellStyle name="Normal 6 9 2 2 10" xfId="8581" xr:uid="{F83EBEA6-FA72-4F66-BF35-A5CDB25898CE}"/>
    <cellStyle name="Normal 6 9 2 2 11" xfId="8582" xr:uid="{68A5F745-EAAE-4CEA-A898-610312A234FD}"/>
    <cellStyle name="Normal 6 9 2 2 12" xfId="8583" xr:uid="{AA11914D-95F6-436C-91C2-3A589774C95C}"/>
    <cellStyle name="Normal 6 9 2 2 2" xfId="2304" xr:uid="{420D4202-5EE6-4A37-8D4C-E2AD38E03623}"/>
    <cellStyle name="Normal 6 9 2 2 2 10" xfId="8584" xr:uid="{F2639ED8-EF7F-4340-90CF-E8A4E5EEAB08}"/>
    <cellStyle name="Normal 6 9 2 2 2 11" xfId="8585" xr:uid="{466BA8FA-58AB-4B02-97E0-D4F5422C0A95}"/>
    <cellStyle name="Normal 6 9 2 2 2 2" xfId="2305" xr:uid="{51448F7D-9B66-4DD5-BE1C-4428F12FC9CF}"/>
    <cellStyle name="Normal 6 9 2 2 2 2 10" xfId="8586" xr:uid="{9427E8AD-3C9A-4525-A45B-6A48D65480CE}"/>
    <cellStyle name="Normal 6 9 2 2 2 2 2" xfId="2306" xr:uid="{C484305D-E972-448E-B20A-33821C62802B}"/>
    <cellStyle name="Normal 6 9 2 2 2 2 2 2" xfId="8587" xr:uid="{D86C1FF6-A74A-4BC6-B72E-360E4D755567}"/>
    <cellStyle name="Normal 6 9 2 2 2 2 2 2 2" xfId="8588" xr:uid="{1F77FB1E-1162-4F85-BC76-2B9451E0B41D}"/>
    <cellStyle name="Normal 6 9 2 2 2 2 2 2 2 2" xfId="8589" xr:uid="{A7734930-6A3F-4F8C-BE20-DBCC7A253A9C}"/>
    <cellStyle name="Normal 6 9 2 2 2 2 2 2 2 3" xfId="8590" xr:uid="{DFBC02AD-A537-49F2-B5D2-C41529FF3E3C}"/>
    <cellStyle name="Normal 6 9 2 2 2 2 2 2 3" xfId="8591" xr:uid="{40125294-706A-458A-A142-37522B0EE4D4}"/>
    <cellStyle name="Normal 6 9 2 2 2 2 2 2 3 2" xfId="8592" xr:uid="{8F480895-B61B-4E87-B686-F00BE2F78A5D}"/>
    <cellStyle name="Normal 6 9 2 2 2 2 2 2 3 3" xfId="8593" xr:uid="{281AF348-8C22-45A8-85F7-48FA71D0E0E0}"/>
    <cellStyle name="Normal 6 9 2 2 2 2 2 2 4" xfId="8594" xr:uid="{DA11931B-D1C3-48DB-AF71-30BDD41C096D}"/>
    <cellStyle name="Normal 6 9 2 2 2 2 2 2 4 2" xfId="8595" xr:uid="{9F737C2F-44E5-4FFD-BF1A-5CF51F59D0DA}"/>
    <cellStyle name="Normal 6 9 2 2 2 2 2 2 4 3" xfId="8596" xr:uid="{40004075-D86F-44C7-B142-4A47005B31B5}"/>
    <cellStyle name="Normal 6 9 2 2 2 2 2 2 5" xfId="8597" xr:uid="{F5A4FF10-3318-4CAE-BCC9-37BE19C4A387}"/>
    <cellStyle name="Normal 6 9 2 2 2 2 2 2 6" xfId="8598" xr:uid="{DEAA46D6-902C-4A34-ADBB-A1A9306AEB5F}"/>
    <cellStyle name="Normal 6 9 2 2 2 2 2 2 7" xfId="8599" xr:uid="{FCA420E5-2D3F-4D65-B316-814A0BD56631}"/>
    <cellStyle name="Normal 6 9 2 2 2 2 2 2 8" xfId="8600" xr:uid="{DE281EEC-547F-49A8-A454-C066F42BDA92}"/>
    <cellStyle name="Normal 6 9 2 2 2 2 2 3" xfId="8601" xr:uid="{42AC9579-9B81-4723-BC88-63B45EEE5EAF}"/>
    <cellStyle name="Normal 6 9 2 2 2 2 2 3 2" xfId="8602" xr:uid="{C0EA544D-187F-4B2D-B3C1-76A11D0B2827}"/>
    <cellStyle name="Normal 6 9 2 2 2 2 2 3 3" xfId="8603" xr:uid="{0964C6E5-F20D-420C-A404-2714881B77D1}"/>
    <cellStyle name="Normal 6 9 2 2 2 2 2 4" xfId="8604" xr:uid="{7D85773A-BD9F-44EB-BDE7-BBC2A0EFE9D8}"/>
    <cellStyle name="Normal 6 9 2 2 2 2 2 4 2" xfId="8605" xr:uid="{323FE730-B7F3-43D7-9492-9D19E756D50D}"/>
    <cellStyle name="Normal 6 9 2 2 2 2 2 4 3" xfId="8606" xr:uid="{28FF3A09-9612-476A-88A2-69521875F243}"/>
    <cellStyle name="Normal 6 9 2 2 2 2 2 5" xfId="8607" xr:uid="{FD2D6EED-3BB3-4EA9-8442-EBDC45B931D3}"/>
    <cellStyle name="Normal 6 9 2 2 2 2 2 5 2" xfId="8608" xr:uid="{7F27D145-ED1A-4582-8622-AF636360B813}"/>
    <cellStyle name="Normal 6 9 2 2 2 2 2 5 3" xfId="8609" xr:uid="{8D732E3A-1766-461C-B19C-32436567A87C}"/>
    <cellStyle name="Normal 6 9 2 2 2 2 2 6" xfId="8610" xr:uid="{4A13AC23-0223-403F-B68D-25F255828D66}"/>
    <cellStyle name="Normal 6 9 2 2 2 2 2 7" xfId="8611" xr:uid="{C1FC8C17-1711-4BD9-A20A-A652C1FE6250}"/>
    <cellStyle name="Normal 6 9 2 2 2 2 2 8" xfId="8612" xr:uid="{2A12DAD4-CE48-4702-A143-7DF603FEBA03}"/>
    <cellStyle name="Normal 6 9 2 2 2 2 2 9" xfId="8613" xr:uid="{2C4D227B-019D-4C44-9D60-EC3B435FA191}"/>
    <cellStyle name="Normal 6 9 2 2 2 2 3" xfId="8614" xr:uid="{C3241160-F49E-44BA-BE18-FCB589504EB2}"/>
    <cellStyle name="Normal 6 9 2 2 2 2 3 2" xfId="8615" xr:uid="{12FD5D65-BE67-4C13-8F0F-41CB2B2F6A0F}"/>
    <cellStyle name="Normal 6 9 2 2 2 2 3 2 2" xfId="8616" xr:uid="{24FBA033-74C4-41CD-AF80-E32F006FB4F8}"/>
    <cellStyle name="Normal 6 9 2 2 2 2 3 2 3" xfId="8617" xr:uid="{2778A5F3-5686-49F3-A2D4-B4543ECB206A}"/>
    <cellStyle name="Normal 6 9 2 2 2 2 3 3" xfId="8618" xr:uid="{EB81D56B-A405-4978-8D4C-EE3D9BB3D08C}"/>
    <cellStyle name="Normal 6 9 2 2 2 2 3 3 2" xfId="8619" xr:uid="{90D3EAF4-0659-403E-94C9-09FBF2D969A4}"/>
    <cellStyle name="Normal 6 9 2 2 2 2 3 3 3" xfId="8620" xr:uid="{5EA0CB7C-C934-4602-9720-532E45F60C56}"/>
    <cellStyle name="Normal 6 9 2 2 2 2 3 4" xfId="8621" xr:uid="{B9182F8E-B98C-4EB9-938C-4B514B969344}"/>
    <cellStyle name="Normal 6 9 2 2 2 2 3 4 2" xfId="8622" xr:uid="{6B2F824C-7572-4D41-B38E-4F77381B8738}"/>
    <cellStyle name="Normal 6 9 2 2 2 2 3 4 3" xfId="8623" xr:uid="{948268E2-7755-4E3D-BDC2-6E49B8027930}"/>
    <cellStyle name="Normal 6 9 2 2 2 2 3 5" xfId="8624" xr:uid="{8CAFF198-5B27-411F-90E6-31F950DB9E50}"/>
    <cellStyle name="Normal 6 9 2 2 2 2 3 6" xfId="8625" xr:uid="{EACE83E0-F455-47A3-AAC4-3BA39661C74E}"/>
    <cellStyle name="Normal 6 9 2 2 2 2 3 7" xfId="8626" xr:uid="{AEBD1601-BA3F-42E0-87B8-9FA77AAB4E30}"/>
    <cellStyle name="Normal 6 9 2 2 2 2 3 8" xfId="8627" xr:uid="{5CFA89FD-E7EA-4F11-AF8A-9340E58FD60A}"/>
    <cellStyle name="Normal 6 9 2 2 2 2 4" xfId="8628" xr:uid="{01F75AC8-2D0C-4805-9A2B-4991DE936369}"/>
    <cellStyle name="Normal 6 9 2 2 2 2 4 2" xfId="8629" xr:uid="{4FDA482F-13A0-4CDC-A70E-38F1E81C3A5E}"/>
    <cellStyle name="Normal 6 9 2 2 2 2 4 3" xfId="8630" xr:uid="{5F24FE62-67FC-4038-B8C7-2CA492459914}"/>
    <cellStyle name="Normal 6 9 2 2 2 2 5" xfId="8631" xr:uid="{62EA769D-EEE1-44E1-AA97-359484636561}"/>
    <cellStyle name="Normal 6 9 2 2 2 2 5 2" xfId="8632" xr:uid="{F1074C50-FDD2-47FC-B866-787386E85D80}"/>
    <cellStyle name="Normal 6 9 2 2 2 2 5 3" xfId="8633" xr:uid="{8A7C8AF5-51C5-47D3-A426-0B198D325E40}"/>
    <cellStyle name="Normal 6 9 2 2 2 2 6" xfId="8634" xr:uid="{A86529FF-549F-4B36-AFF6-F45847F58CC8}"/>
    <cellStyle name="Normal 6 9 2 2 2 2 6 2" xfId="8635" xr:uid="{15958023-1F55-41E3-9270-846B3117A5E3}"/>
    <cellStyle name="Normal 6 9 2 2 2 2 6 3" xfId="8636" xr:uid="{15848FD5-9F0E-42E8-B3C5-BD00B19C7105}"/>
    <cellStyle name="Normal 6 9 2 2 2 2 7" xfId="8637" xr:uid="{805F8A70-E2DD-46EC-BB94-6E74DCBF4931}"/>
    <cellStyle name="Normal 6 9 2 2 2 2 8" xfId="8638" xr:uid="{1FE511C9-20CD-4D4F-8F38-00FB8AB979E7}"/>
    <cellStyle name="Normal 6 9 2 2 2 2 9" xfId="8639" xr:uid="{E2BBDD58-A501-40BC-96E0-F5A624EA7853}"/>
    <cellStyle name="Normal 6 9 2 2 2 3" xfId="2307" xr:uid="{3A7634ED-4B42-48D8-8A23-D89FDE6214CA}"/>
    <cellStyle name="Normal 6 9 2 2 2 3 2" xfId="8640" xr:uid="{A2187EDB-297D-4510-8227-DE221104C9D5}"/>
    <cellStyle name="Normal 6 9 2 2 2 3 2 2" xfId="8641" xr:uid="{8FFC7DB0-B915-47BF-9986-33131EE00C36}"/>
    <cellStyle name="Normal 6 9 2 2 2 3 2 2 2" xfId="8642" xr:uid="{665E2B32-D810-4D24-866A-1A6E4FE68465}"/>
    <cellStyle name="Normal 6 9 2 2 2 3 2 2 3" xfId="8643" xr:uid="{AFBBC0B0-FEB6-465F-B098-5EA5390BEB00}"/>
    <cellStyle name="Normal 6 9 2 2 2 3 2 3" xfId="8644" xr:uid="{A260F18B-11DD-4F40-9C52-946B0B55F634}"/>
    <cellStyle name="Normal 6 9 2 2 2 3 2 3 2" xfId="8645" xr:uid="{BA733A68-E878-42CE-9F7D-81EBF5FB1DB5}"/>
    <cellStyle name="Normal 6 9 2 2 2 3 2 3 3" xfId="8646" xr:uid="{45E26A11-014D-4C05-8AF1-2AE2DE003DF0}"/>
    <cellStyle name="Normal 6 9 2 2 2 3 2 4" xfId="8647" xr:uid="{6E6BB246-6D5D-4DB2-8CED-1D970A5D5FDB}"/>
    <cellStyle name="Normal 6 9 2 2 2 3 2 4 2" xfId="8648" xr:uid="{CBF82E8B-9FA9-4572-81A9-23F1D42193B3}"/>
    <cellStyle name="Normal 6 9 2 2 2 3 2 4 3" xfId="8649" xr:uid="{0DE9872F-9C95-4E8C-8718-244E0A8B9FAE}"/>
    <cellStyle name="Normal 6 9 2 2 2 3 2 5" xfId="8650" xr:uid="{8DB7B14F-B738-4B41-AEA2-FB92AB427F72}"/>
    <cellStyle name="Normal 6 9 2 2 2 3 2 6" xfId="8651" xr:uid="{9E5FE2B9-A107-409D-B12D-CCD9A77D9848}"/>
    <cellStyle name="Normal 6 9 2 2 2 3 2 7" xfId="8652" xr:uid="{3B16655B-C469-4BC1-A407-BB7CF115A888}"/>
    <cellStyle name="Normal 6 9 2 2 2 3 2 8" xfId="8653" xr:uid="{7B0E3AEE-6FCA-4D2E-AA8D-5B9664191951}"/>
    <cellStyle name="Normal 6 9 2 2 2 3 3" xfId="8654" xr:uid="{AE243FBC-5AE4-4A35-91D2-9B414E950AA4}"/>
    <cellStyle name="Normal 6 9 2 2 2 3 3 2" xfId="8655" xr:uid="{9CE62D40-EB9C-4EE1-AAAA-B2F0D66DAAA3}"/>
    <cellStyle name="Normal 6 9 2 2 2 3 3 3" xfId="8656" xr:uid="{37807CB6-2063-4D4D-B4CC-4BEA3EA23709}"/>
    <cellStyle name="Normal 6 9 2 2 2 3 4" xfId="8657" xr:uid="{20567EA5-29DC-4C25-98B8-928C7EEE4D5C}"/>
    <cellStyle name="Normal 6 9 2 2 2 3 4 2" xfId="8658" xr:uid="{F8888FDB-B2B1-45F9-A9A5-B4BFDDEBE577}"/>
    <cellStyle name="Normal 6 9 2 2 2 3 4 3" xfId="8659" xr:uid="{241CF568-ECCB-43F9-83DD-C6644EBB62E2}"/>
    <cellStyle name="Normal 6 9 2 2 2 3 5" xfId="8660" xr:uid="{65FC9984-3895-4B6A-9A2A-FFD74C77286E}"/>
    <cellStyle name="Normal 6 9 2 2 2 3 5 2" xfId="8661" xr:uid="{5E85C29C-8C4E-42D4-A61F-9D7A3D8AFD69}"/>
    <cellStyle name="Normal 6 9 2 2 2 3 5 3" xfId="8662" xr:uid="{B6DA2BB7-ADD9-4C54-97C4-A84B00EFD881}"/>
    <cellStyle name="Normal 6 9 2 2 2 3 6" xfId="8663" xr:uid="{424318B0-474F-43A2-8AF6-E7F4570BC9BC}"/>
    <cellStyle name="Normal 6 9 2 2 2 3 7" xfId="8664" xr:uid="{D1CAF238-F910-44BA-9896-D1AC31EBCFDE}"/>
    <cellStyle name="Normal 6 9 2 2 2 3 8" xfId="8665" xr:uid="{0AFEA379-DE11-49D6-BC54-5CD59B7ACBD3}"/>
    <cellStyle name="Normal 6 9 2 2 2 3 9" xfId="8666" xr:uid="{E86B5A76-CCCD-4C34-86B1-923A3B021BB2}"/>
    <cellStyle name="Normal 6 9 2 2 2 4" xfId="8667" xr:uid="{641C555A-49ED-4C38-8784-16CCE49B146D}"/>
    <cellStyle name="Normal 6 9 2 2 2 4 2" xfId="8668" xr:uid="{994652C9-0D36-451C-9D70-1CFF36CBFF27}"/>
    <cellStyle name="Normal 6 9 2 2 2 4 2 2" xfId="8669" xr:uid="{924835FB-8C00-4D46-BD32-BBF7C4D82CF5}"/>
    <cellStyle name="Normal 6 9 2 2 2 4 2 3" xfId="8670" xr:uid="{7214D16A-CB5D-49C9-AC5F-167479C63EA3}"/>
    <cellStyle name="Normal 6 9 2 2 2 4 3" xfId="8671" xr:uid="{5908B330-654A-491F-AD92-969F692BBCB1}"/>
    <cellStyle name="Normal 6 9 2 2 2 4 3 2" xfId="8672" xr:uid="{19CA22B8-1F52-4AC6-B576-5AA438316267}"/>
    <cellStyle name="Normal 6 9 2 2 2 4 3 3" xfId="8673" xr:uid="{9108E5E7-4470-4214-8A6B-B0D885DA7343}"/>
    <cellStyle name="Normal 6 9 2 2 2 4 4" xfId="8674" xr:uid="{7BD14993-1A7E-49FE-8A86-F9D6F4DB6D95}"/>
    <cellStyle name="Normal 6 9 2 2 2 4 4 2" xfId="8675" xr:uid="{7CA175AA-3D95-413D-A7F0-C2707ECF899C}"/>
    <cellStyle name="Normal 6 9 2 2 2 4 4 3" xfId="8676" xr:uid="{619BA792-AB2D-4538-9370-4C15B1AFF608}"/>
    <cellStyle name="Normal 6 9 2 2 2 4 5" xfId="8677" xr:uid="{DCEAA863-AB0E-440A-BC49-4241B5BB51BB}"/>
    <cellStyle name="Normal 6 9 2 2 2 4 6" xfId="8678" xr:uid="{E5A2979B-FDBF-4F0A-B630-15C3C194134D}"/>
    <cellStyle name="Normal 6 9 2 2 2 4 7" xfId="8679" xr:uid="{FB42DE4A-8356-481C-B2B5-66DE70ECB7E4}"/>
    <cellStyle name="Normal 6 9 2 2 2 4 8" xfId="8680" xr:uid="{323C934E-F5EF-4D4F-BA04-F30AD560B34A}"/>
    <cellStyle name="Normal 6 9 2 2 2 5" xfId="8681" xr:uid="{D99C1B54-61F6-4E50-B8FE-525D5144177C}"/>
    <cellStyle name="Normal 6 9 2 2 2 5 2" xfId="8682" xr:uid="{13567C93-A4AE-4D45-9A95-AC2CF7DB475A}"/>
    <cellStyle name="Normal 6 9 2 2 2 5 3" xfId="8683" xr:uid="{F4B9E0C7-B321-409E-B09D-C41846F05D1F}"/>
    <cellStyle name="Normal 6 9 2 2 2 6" xfId="8684" xr:uid="{42E85F8A-07C2-4D9F-9C45-89277C43560C}"/>
    <cellStyle name="Normal 6 9 2 2 2 6 2" xfId="8685" xr:uid="{E3FD1B09-9636-486B-9F0F-BAA078377FC7}"/>
    <cellStyle name="Normal 6 9 2 2 2 6 3" xfId="8686" xr:uid="{5DCF5058-13C8-4795-8589-FB324B856520}"/>
    <cellStyle name="Normal 6 9 2 2 2 7" xfId="8687" xr:uid="{501FE999-37E8-4EA2-8EB0-0335FAF21475}"/>
    <cellStyle name="Normal 6 9 2 2 2 7 2" xfId="8688" xr:uid="{6E7217D3-BE7E-404B-B19E-CE05A894AE2E}"/>
    <cellStyle name="Normal 6 9 2 2 2 7 3" xfId="8689" xr:uid="{2B3BDE34-1E14-4674-8D25-64F840F3CD97}"/>
    <cellStyle name="Normal 6 9 2 2 2 8" xfId="8690" xr:uid="{D471D136-A27D-4A8C-9C9A-E1FCEEBA9441}"/>
    <cellStyle name="Normal 6 9 2 2 2 9" xfId="8691" xr:uid="{B0DE7222-DE7C-42EB-B15D-1007D8245AF8}"/>
    <cellStyle name="Normal 6 9 2 2 3" xfId="2308" xr:uid="{7EDAECE1-736B-45D5-BE4D-3C4888550A03}"/>
    <cellStyle name="Normal 6 9 2 2 3 10" xfId="8692" xr:uid="{AE2BCB9C-1EF7-493F-B2B2-C88DEE004420}"/>
    <cellStyle name="Normal 6 9 2 2 3 2" xfId="2309" xr:uid="{766514D9-B283-4327-891D-02CEE20458F2}"/>
    <cellStyle name="Normal 6 9 2 2 3 2 2" xfId="8693" xr:uid="{493A8523-3A4B-40E8-945C-FC99421975B3}"/>
    <cellStyle name="Normal 6 9 2 2 3 2 2 2" xfId="8694" xr:uid="{14407AF6-5F06-48B1-9364-A493AF7AC972}"/>
    <cellStyle name="Normal 6 9 2 2 3 2 2 2 2" xfId="8695" xr:uid="{FEA2BCF9-B883-4D42-83B7-CC4DD3533892}"/>
    <cellStyle name="Normal 6 9 2 2 3 2 2 2 3" xfId="8696" xr:uid="{21E00FEC-0B3F-457A-A878-D6CA8A68AD47}"/>
    <cellStyle name="Normal 6 9 2 2 3 2 2 3" xfId="8697" xr:uid="{7853D37C-6830-4156-86F0-9DD8D40375D6}"/>
    <cellStyle name="Normal 6 9 2 2 3 2 2 3 2" xfId="8698" xr:uid="{49A99133-5E74-43BC-917D-5120353B9B6F}"/>
    <cellStyle name="Normal 6 9 2 2 3 2 2 3 3" xfId="8699" xr:uid="{179AE62D-38FC-490B-86A7-AFE2A55B2EA6}"/>
    <cellStyle name="Normal 6 9 2 2 3 2 2 4" xfId="8700" xr:uid="{C9E2D5D5-741F-4C2E-BC65-67EA93749AA5}"/>
    <cellStyle name="Normal 6 9 2 2 3 2 2 4 2" xfId="8701" xr:uid="{8D9952F8-0A2E-45BA-A873-C7F3CD9ED78E}"/>
    <cellStyle name="Normal 6 9 2 2 3 2 2 4 3" xfId="8702" xr:uid="{94296E9B-75A3-4C9C-985C-F8FBB248BDCD}"/>
    <cellStyle name="Normal 6 9 2 2 3 2 2 5" xfId="8703" xr:uid="{B2A8AD4D-B373-4BA8-89F5-22917E89BE54}"/>
    <cellStyle name="Normal 6 9 2 2 3 2 2 6" xfId="8704" xr:uid="{2B736AB5-7FE5-4FB2-AE77-60E7802CB559}"/>
    <cellStyle name="Normal 6 9 2 2 3 2 2 7" xfId="8705" xr:uid="{0D0451B2-5D67-4243-A18C-905C69C52D2A}"/>
    <cellStyle name="Normal 6 9 2 2 3 2 2 8" xfId="8706" xr:uid="{3CD85CCF-882F-4B2A-A9D2-025EEF637625}"/>
    <cellStyle name="Normal 6 9 2 2 3 2 3" xfId="8707" xr:uid="{1B5B1167-11D2-401F-821C-E331EFB29F44}"/>
    <cellStyle name="Normal 6 9 2 2 3 2 3 2" xfId="8708" xr:uid="{036E1D87-7872-4B37-B995-E0977A7D88AF}"/>
    <cellStyle name="Normal 6 9 2 2 3 2 3 3" xfId="8709" xr:uid="{6947B976-1C63-4E1E-8FFB-A559D4108AB1}"/>
    <cellStyle name="Normal 6 9 2 2 3 2 4" xfId="8710" xr:uid="{D0FD7712-815B-4010-96D4-14A7832F9443}"/>
    <cellStyle name="Normal 6 9 2 2 3 2 4 2" xfId="8711" xr:uid="{9138F10B-DC67-473C-BA48-583FD1F3EEB7}"/>
    <cellStyle name="Normal 6 9 2 2 3 2 4 3" xfId="8712" xr:uid="{AEFDFB45-6EBD-475F-A696-7D1F3D099728}"/>
    <cellStyle name="Normal 6 9 2 2 3 2 5" xfId="8713" xr:uid="{14695111-4369-4C8E-833A-A13EEEAB3C6D}"/>
    <cellStyle name="Normal 6 9 2 2 3 2 5 2" xfId="8714" xr:uid="{AD3C89F7-08DE-49EA-BC42-39612C6B0097}"/>
    <cellStyle name="Normal 6 9 2 2 3 2 5 3" xfId="8715" xr:uid="{E36F05A7-1989-4BFA-99EC-12E328934C49}"/>
    <cellStyle name="Normal 6 9 2 2 3 2 6" xfId="8716" xr:uid="{8064DDDE-C6EC-4109-8EB7-ABED81F5FEAB}"/>
    <cellStyle name="Normal 6 9 2 2 3 2 7" xfId="8717" xr:uid="{05BF6C53-328C-46AD-96C5-AC3D40603AC6}"/>
    <cellStyle name="Normal 6 9 2 2 3 2 8" xfId="8718" xr:uid="{1EE7C18B-9734-4622-92AE-8CEE6362F056}"/>
    <cellStyle name="Normal 6 9 2 2 3 2 9" xfId="8719" xr:uid="{033D268A-1C20-4018-B08C-81B65A53FC7C}"/>
    <cellStyle name="Normal 6 9 2 2 3 3" xfId="8720" xr:uid="{58E74625-4A90-40AB-A465-1B2F121E8D30}"/>
    <cellStyle name="Normal 6 9 2 2 3 3 2" xfId="8721" xr:uid="{D647EF1D-F739-4E3E-A1B6-DBF14DB22C26}"/>
    <cellStyle name="Normal 6 9 2 2 3 3 2 2" xfId="8722" xr:uid="{1613C0F0-3181-46E6-A440-88FCB720032F}"/>
    <cellStyle name="Normal 6 9 2 2 3 3 2 3" xfId="8723" xr:uid="{EAB2DB7D-B4CA-4A60-9A29-0E249B70D03C}"/>
    <cellStyle name="Normal 6 9 2 2 3 3 3" xfId="8724" xr:uid="{403C00CE-7081-4897-9BB9-35923F73F6AC}"/>
    <cellStyle name="Normal 6 9 2 2 3 3 3 2" xfId="8725" xr:uid="{308FA150-F7F2-4B65-A9E8-1EE4B16D6DF7}"/>
    <cellStyle name="Normal 6 9 2 2 3 3 3 3" xfId="8726" xr:uid="{8941E01A-57E3-4D5C-8769-D4A8E733CCCB}"/>
    <cellStyle name="Normal 6 9 2 2 3 3 4" xfId="8727" xr:uid="{9EA1F64D-2CEB-4CF8-95AE-7B08762A99BA}"/>
    <cellStyle name="Normal 6 9 2 2 3 3 4 2" xfId="8728" xr:uid="{79A41CEA-207B-4EAE-86B1-7CA590D78141}"/>
    <cellStyle name="Normal 6 9 2 2 3 3 4 3" xfId="8729" xr:uid="{2DBA6D1A-D4EB-4F60-AD17-D4BE7D5BAF46}"/>
    <cellStyle name="Normal 6 9 2 2 3 3 5" xfId="8730" xr:uid="{EE551F93-B720-4782-815D-657595296329}"/>
    <cellStyle name="Normal 6 9 2 2 3 3 6" xfId="8731" xr:uid="{3D597BE1-81A1-4E4B-B3CA-9FB3AD7789E4}"/>
    <cellStyle name="Normal 6 9 2 2 3 3 7" xfId="8732" xr:uid="{082DDBF6-8184-4FA3-8659-178F0A20C3B0}"/>
    <cellStyle name="Normal 6 9 2 2 3 3 8" xfId="8733" xr:uid="{CB3E00C1-C70C-4F04-A0D9-464F6AF150B8}"/>
    <cellStyle name="Normal 6 9 2 2 3 4" xfId="8734" xr:uid="{27A79FAE-77B9-47A0-B45B-BA61B31F4373}"/>
    <cellStyle name="Normal 6 9 2 2 3 4 2" xfId="8735" xr:uid="{A826454F-2949-4B13-98E1-32E01175BA83}"/>
    <cellStyle name="Normal 6 9 2 2 3 4 3" xfId="8736" xr:uid="{8FB22A6B-BF62-463E-BEC9-A0417DE1DB1E}"/>
    <cellStyle name="Normal 6 9 2 2 3 5" xfId="8737" xr:uid="{2AF9C4B8-FE6B-435E-AA53-F30D74BD63AD}"/>
    <cellStyle name="Normal 6 9 2 2 3 5 2" xfId="8738" xr:uid="{9CB39798-422C-48E7-9C1B-AE21F2BBB456}"/>
    <cellStyle name="Normal 6 9 2 2 3 5 3" xfId="8739" xr:uid="{17C9D944-3B79-457D-84F5-915CB48ECB47}"/>
    <cellStyle name="Normal 6 9 2 2 3 6" xfId="8740" xr:uid="{C8CE10BF-C819-4821-9AFF-B05669561D94}"/>
    <cellStyle name="Normal 6 9 2 2 3 6 2" xfId="8741" xr:uid="{32994E13-B3B0-4596-81BE-F67633D95ECC}"/>
    <cellStyle name="Normal 6 9 2 2 3 6 3" xfId="8742" xr:uid="{C04513E6-272D-4627-8B81-49D2C5066E64}"/>
    <cellStyle name="Normal 6 9 2 2 3 7" xfId="8743" xr:uid="{50F5E7FC-869F-4B9B-B9C6-DDC849F2221E}"/>
    <cellStyle name="Normal 6 9 2 2 3 8" xfId="8744" xr:uid="{E764F7DE-7776-45FE-ACA6-D970BB8DA04A}"/>
    <cellStyle name="Normal 6 9 2 2 3 9" xfId="8745" xr:uid="{90ACB391-5B77-4141-B1FE-D498438E93EF}"/>
    <cellStyle name="Normal 6 9 2 2 4" xfId="2310" xr:uid="{723D9594-C1D6-41EA-9357-208B6584E24A}"/>
    <cellStyle name="Normal 6 9 2 2 4 2" xfId="8746" xr:uid="{B1DC9919-9CC8-4B5A-BFD8-D420931A5750}"/>
    <cellStyle name="Normal 6 9 2 2 4 2 2" xfId="8747" xr:uid="{82ACEF87-55F8-4DE9-AF75-C386CE3A9EBB}"/>
    <cellStyle name="Normal 6 9 2 2 4 2 2 2" xfId="8748" xr:uid="{E73FC2A9-032F-421E-98F1-6210BEF1F7AA}"/>
    <cellStyle name="Normal 6 9 2 2 4 2 2 3" xfId="8749" xr:uid="{B9B90E7E-B1AF-4694-B526-7DBA72B2F5E4}"/>
    <cellStyle name="Normal 6 9 2 2 4 2 3" xfId="8750" xr:uid="{CBDF2FE4-1C57-4B96-A953-3CFEFF235B64}"/>
    <cellStyle name="Normal 6 9 2 2 4 2 3 2" xfId="8751" xr:uid="{C46681AF-20DB-4373-86E2-7B42E75F9630}"/>
    <cellStyle name="Normal 6 9 2 2 4 2 3 3" xfId="8752" xr:uid="{71535EDF-D08A-48CB-9C08-DA1B6FA4F739}"/>
    <cellStyle name="Normal 6 9 2 2 4 2 4" xfId="8753" xr:uid="{07DD5CF9-8AEF-4CEC-97E3-06E99205F08F}"/>
    <cellStyle name="Normal 6 9 2 2 4 2 4 2" xfId="8754" xr:uid="{51ED3CA8-994A-4DD3-8472-1F2EED6F58D5}"/>
    <cellStyle name="Normal 6 9 2 2 4 2 4 3" xfId="8755" xr:uid="{94EB17CC-0DA6-485C-B8CA-581D9D6D679A}"/>
    <cellStyle name="Normal 6 9 2 2 4 2 5" xfId="8756" xr:uid="{C66927B6-D891-4730-8D53-E38566A213A3}"/>
    <cellStyle name="Normal 6 9 2 2 4 2 6" xfId="8757" xr:uid="{2B033CD7-F511-4FE1-8941-5C383F0E5B3B}"/>
    <cellStyle name="Normal 6 9 2 2 4 2 7" xfId="8758" xr:uid="{C99C8CAD-8BE7-41DD-B7C5-DD37EC46D067}"/>
    <cellStyle name="Normal 6 9 2 2 4 2 8" xfId="8759" xr:uid="{2E6FA47B-F907-4B4A-B62E-DD5A89EAF5F0}"/>
    <cellStyle name="Normal 6 9 2 2 4 3" xfId="8760" xr:uid="{FD73EA81-FA55-4E3F-9E82-5F33FFE5C135}"/>
    <cellStyle name="Normal 6 9 2 2 4 3 2" xfId="8761" xr:uid="{43EAE463-77CD-4607-91E1-89A5CE36223D}"/>
    <cellStyle name="Normal 6 9 2 2 4 3 3" xfId="8762" xr:uid="{05022EC4-9505-424B-AA02-5962A10AB15C}"/>
    <cellStyle name="Normal 6 9 2 2 4 4" xfId="8763" xr:uid="{E78C5D62-D358-4458-B81D-2059E5508995}"/>
    <cellStyle name="Normal 6 9 2 2 4 4 2" xfId="8764" xr:uid="{012F7950-AC0F-4B41-8846-CA1B2CFDB2C9}"/>
    <cellStyle name="Normal 6 9 2 2 4 4 3" xfId="8765" xr:uid="{B34424BE-0EC0-46DB-9399-9353E33465A1}"/>
    <cellStyle name="Normal 6 9 2 2 4 5" xfId="8766" xr:uid="{A0D5FDD8-9C26-4F05-8949-83A13383E74F}"/>
    <cellStyle name="Normal 6 9 2 2 4 5 2" xfId="8767" xr:uid="{26D18952-E7B2-490E-A85F-F3D6DCC96E57}"/>
    <cellStyle name="Normal 6 9 2 2 4 5 3" xfId="8768" xr:uid="{D223970C-3C43-42CB-BC64-6E945FF85B90}"/>
    <cellStyle name="Normal 6 9 2 2 4 6" xfId="8769" xr:uid="{B7212312-7104-4B9E-A8FB-3665DD9757DD}"/>
    <cellStyle name="Normal 6 9 2 2 4 7" xfId="8770" xr:uid="{E3C016FF-9042-4F9A-8829-5034D33F33D6}"/>
    <cellStyle name="Normal 6 9 2 2 4 8" xfId="8771" xr:uid="{26A64AC8-33B1-4078-9CB9-D9CD37C1DDE8}"/>
    <cellStyle name="Normal 6 9 2 2 4 9" xfId="8772" xr:uid="{27B9280D-3F2F-44D1-9339-43FA6359C72B}"/>
    <cellStyle name="Normal 6 9 2 2 5" xfId="8773" xr:uid="{A5113683-A48C-417B-ACF9-563E32BF3CC2}"/>
    <cellStyle name="Normal 6 9 2 2 5 2" xfId="8774" xr:uid="{8541738E-2FB1-4DB3-8033-FE670CFCF8B9}"/>
    <cellStyle name="Normal 6 9 2 2 5 2 2" xfId="8775" xr:uid="{3EF572FA-59D3-441C-B946-11E3141279D0}"/>
    <cellStyle name="Normal 6 9 2 2 5 2 3" xfId="8776" xr:uid="{3560F833-FADB-43FE-849A-A35D3B9536F1}"/>
    <cellStyle name="Normal 6 9 2 2 5 3" xfId="8777" xr:uid="{F396904D-A452-4A74-89D4-62EE3B2B82AD}"/>
    <cellStyle name="Normal 6 9 2 2 5 3 2" xfId="8778" xr:uid="{6152A8F1-2B94-4BD6-8F20-47FCE02FEF08}"/>
    <cellStyle name="Normal 6 9 2 2 5 3 3" xfId="8779" xr:uid="{A7C4AF0C-0BBA-4785-9EE2-FF22C5781638}"/>
    <cellStyle name="Normal 6 9 2 2 5 4" xfId="8780" xr:uid="{125F680D-6B14-4F33-A722-128F5758EE79}"/>
    <cellStyle name="Normal 6 9 2 2 5 4 2" xfId="8781" xr:uid="{0C2547D4-48A8-47BC-A6DA-17B48DBC2A6A}"/>
    <cellStyle name="Normal 6 9 2 2 5 4 3" xfId="8782" xr:uid="{603261D2-5BE5-4B4B-B4C0-F128F5E15057}"/>
    <cellStyle name="Normal 6 9 2 2 5 5" xfId="8783" xr:uid="{6A11C0C2-AA9B-4727-ADED-57E2605A9833}"/>
    <cellStyle name="Normal 6 9 2 2 5 6" xfId="8784" xr:uid="{CA7A3E5D-88B9-4D62-83AF-25EBA10374A1}"/>
    <cellStyle name="Normal 6 9 2 2 5 7" xfId="8785" xr:uid="{24337F0C-179E-48F1-B80B-72FF6AC84223}"/>
    <cellStyle name="Normal 6 9 2 2 5 8" xfId="8786" xr:uid="{A5A31048-53F4-4E32-8B67-9BEEDD490DB4}"/>
    <cellStyle name="Normal 6 9 2 2 6" xfId="8787" xr:uid="{430BAF91-B1D8-4C2D-BA7C-85F717E0A319}"/>
    <cellStyle name="Normal 6 9 2 2 6 2" xfId="8788" xr:uid="{4C5C3676-6E77-47E3-89EA-8535057380B8}"/>
    <cellStyle name="Normal 6 9 2 2 6 3" xfId="8789" xr:uid="{8035E648-13AE-442C-B7DD-E1F9A84C64C1}"/>
    <cellStyle name="Normal 6 9 2 2 7" xfId="8790" xr:uid="{2A8C4098-E94F-47C8-9030-1409EE5FEB62}"/>
    <cellStyle name="Normal 6 9 2 2 7 2" xfId="8791" xr:uid="{5EA9D20A-ACFB-454F-BA9A-B1401A2514FC}"/>
    <cellStyle name="Normal 6 9 2 2 7 3" xfId="8792" xr:uid="{32242518-074C-4C5E-9043-06DEB34DFC64}"/>
    <cellStyle name="Normal 6 9 2 2 8" xfId="8793" xr:uid="{7C9EFEBD-CF6A-41A1-A056-EF14B03F48A0}"/>
    <cellStyle name="Normal 6 9 2 2 8 2" xfId="8794" xr:uid="{6618695C-F745-4363-9110-7C08D63FF5E4}"/>
    <cellStyle name="Normal 6 9 2 2 8 3" xfId="8795" xr:uid="{ED36F25D-B488-43EB-BD9F-15FE486ACAB9}"/>
    <cellStyle name="Normal 6 9 2 2 9" xfId="8796" xr:uid="{80AF3E89-977D-4084-9C4E-D7BE173CA998}"/>
    <cellStyle name="Normal 6 9 2 3" xfId="2311" xr:uid="{A4ED5DBF-87C2-4AB6-93B6-293C509880EF}"/>
    <cellStyle name="Normal 6 9 2 3 10" xfId="8797" xr:uid="{89C65263-0E02-4A34-BBB2-55235B54C7EC}"/>
    <cellStyle name="Normal 6 9 2 3 11" xfId="8798" xr:uid="{E573BEAA-ABD8-4DEA-A3B5-DA7A61C1F120}"/>
    <cellStyle name="Normal 6 9 2 3 12" xfId="8799" xr:uid="{A11D9C4D-02BD-4AA3-83AC-0E6B5ACBE032}"/>
    <cellStyle name="Normal 6 9 2 3 2" xfId="2312" xr:uid="{83912079-36C1-4F4A-B2FA-8D1B266F22F1}"/>
    <cellStyle name="Normal 6 9 2 3 2 10" xfId="8800" xr:uid="{F411C6AD-D618-4E6D-81EA-54204C44B029}"/>
    <cellStyle name="Normal 6 9 2 3 2 11" xfId="8801" xr:uid="{715F0096-E89B-4E86-93E5-87ABBB17B10E}"/>
    <cellStyle name="Normal 6 9 2 3 2 2" xfId="2313" xr:uid="{18466A2A-7894-44C1-A491-67CF881749DB}"/>
    <cellStyle name="Normal 6 9 2 3 2 2 10" xfId="8802" xr:uid="{5D1EAA29-B33A-47A6-9109-E83AC8591ECE}"/>
    <cellStyle name="Normal 6 9 2 3 2 2 2" xfId="2314" xr:uid="{5E6E2679-0EE2-44FC-8D7D-7205CD9A295E}"/>
    <cellStyle name="Normal 6 9 2 3 2 2 2 2" xfId="8803" xr:uid="{FE9B5A02-5C9D-410E-8F72-363AD9C40733}"/>
    <cellStyle name="Normal 6 9 2 3 2 2 2 2 2" xfId="8804" xr:uid="{E0FB300E-360E-43F8-A6AE-77F1141F8398}"/>
    <cellStyle name="Normal 6 9 2 3 2 2 2 2 2 2" xfId="8805" xr:uid="{137D54E4-F2EE-48DE-9C90-BD2B8282B378}"/>
    <cellStyle name="Normal 6 9 2 3 2 2 2 2 2 3" xfId="8806" xr:uid="{1C4DA690-3E39-4EC7-AC98-DA1728DFD869}"/>
    <cellStyle name="Normal 6 9 2 3 2 2 2 2 3" xfId="8807" xr:uid="{0B868393-51BF-4519-AA08-0FD6C4AA4FD6}"/>
    <cellStyle name="Normal 6 9 2 3 2 2 2 2 3 2" xfId="8808" xr:uid="{DF613051-335B-42D1-89D5-4966D5A15CFB}"/>
    <cellStyle name="Normal 6 9 2 3 2 2 2 2 3 3" xfId="8809" xr:uid="{35DA1478-FF27-438D-84C7-F6C16E5EB450}"/>
    <cellStyle name="Normal 6 9 2 3 2 2 2 2 4" xfId="8810" xr:uid="{9457BD07-669E-47D6-9CAB-1EBC04D8C7C6}"/>
    <cellStyle name="Normal 6 9 2 3 2 2 2 2 4 2" xfId="8811" xr:uid="{3B07CD18-CD9E-4435-B8D9-110F6F3FF748}"/>
    <cellStyle name="Normal 6 9 2 3 2 2 2 2 4 3" xfId="8812" xr:uid="{8D7E379E-7CD7-4E67-82E3-3689272FE9D8}"/>
    <cellStyle name="Normal 6 9 2 3 2 2 2 2 5" xfId="8813" xr:uid="{C3EB7835-DB13-4A0C-8B5B-1A84CC747B21}"/>
    <cellStyle name="Normal 6 9 2 3 2 2 2 2 6" xfId="8814" xr:uid="{254464A6-318C-4A35-92A1-3226993A5070}"/>
    <cellStyle name="Normal 6 9 2 3 2 2 2 2 7" xfId="8815" xr:uid="{642176E0-FD72-4F51-8E7E-32D175EB7945}"/>
    <cellStyle name="Normal 6 9 2 3 2 2 2 2 8" xfId="8816" xr:uid="{F55C1C78-B46C-492C-88DB-8C96E15D02A2}"/>
    <cellStyle name="Normal 6 9 2 3 2 2 2 3" xfId="8817" xr:uid="{0AC04920-F1C1-4EE7-BF9C-30008C354BEF}"/>
    <cellStyle name="Normal 6 9 2 3 2 2 2 3 2" xfId="8818" xr:uid="{0038F973-6786-4D00-9211-6F678C872EE6}"/>
    <cellStyle name="Normal 6 9 2 3 2 2 2 3 3" xfId="8819" xr:uid="{2EDB23AF-FCEB-49BC-A2F9-BAB9EEDBC736}"/>
    <cellStyle name="Normal 6 9 2 3 2 2 2 4" xfId="8820" xr:uid="{58BB226E-3D83-4716-AA03-F9C3494F2269}"/>
    <cellStyle name="Normal 6 9 2 3 2 2 2 4 2" xfId="8821" xr:uid="{00A68278-624C-41D3-9974-F4D165E11C9F}"/>
    <cellStyle name="Normal 6 9 2 3 2 2 2 4 3" xfId="8822" xr:uid="{C8BA01E4-BC44-40ED-9EE3-3D128A4F6631}"/>
    <cellStyle name="Normal 6 9 2 3 2 2 2 5" xfId="8823" xr:uid="{C64306A7-F183-4D21-A9B8-C652B352500F}"/>
    <cellStyle name="Normal 6 9 2 3 2 2 2 5 2" xfId="8824" xr:uid="{4D593A53-4900-48FC-8195-2E85CB92640B}"/>
    <cellStyle name="Normal 6 9 2 3 2 2 2 5 3" xfId="8825" xr:uid="{B0A1E31E-55B1-4677-8C89-B64AD44DE987}"/>
    <cellStyle name="Normal 6 9 2 3 2 2 2 6" xfId="8826" xr:uid="{6BE0E0AA-5270-43F7-B9CA-2619F0B53063}"/>
    <cellStyle name="Normal 6 9 2 3 2 2 2 7" xfId="8827" xr:uid="{6A87E806-DB4D-451B-9181-D997F717213B}"/>
    <cellStyle name="Normal 6 9 2 3 2 2 2 8" xfId="8828" xr:uid="{E7250E33-E354-4BB6-9685-172823C5D81D}"/>
    <cellStyle name="Normal 6 9 2 3 2 2 2 9" xfId="8829" xr:uid="{E25A5D89-3F3D-4678-AD9C-2AB335C315F2}"/>
    <cellStyle name="Normal 6 9 2 3 2 2 3" xfId="8830" xr:uid="{D6437227-FBEB-416C-80BA-E93C30F13A7E}"/>
    <cellStyle name="Normal 6 9 2 3 2 2 3 2" xfId="8831" xr:uid="{121C6020-25EE-4B74-93B2-F816AC4ACC40}"/>
    <cellStyle name="Normal 6 9 2 3 2 2 3 2 2" xfId="8832" xr:uid="{E135068B-068E-4EC9-84DB-D41FAB77FB6E}"/>
    <cellStyle name="Normal 6 9 2 3 2 2 3 2 3" xfId="8833" xr:uid="{0DD54520-BEC0-4DB2-BF52-F87F7897765E}"/>
    <cellStyle name="Normal 6 9 2 3 2 2 3 3" xfId="8834" xr:uid="{9E27C4AF-BD64-4B8F-8C5C-FA3EA9402D92}"/>
    <cellStyle name="Normal 6 9 2 3 2 2 3 3 2" xfId="8835" xr:uid="{DE75CF33-E58D-4551-88E9-E26131A5E047}"/>
    <cellStyle name="Normal 6 9 2 3 2 2 3 3 3" xfId="8836" xr:uid="{2D483DE7-DDCB-4F5B-998E-A6DBE63A06B2}"/>
    <cellStyle name="Normal 6 9 2 3 2 2 3 4" xfId="8837" xr:uid="{72B8CAEF-04A8-40F0-B92D-C0D36CF8D6F0}"/>
    <cellStyle name="Normal 6 9 2 3 2 2 3 4 2" xfId="8838" xr:uid="{0156A31C-1BE7-49B8-B6E9-8A43F8CA0970}"/>
    <cellStyle name="Normal 6 9 2 3 2 2 3 4 3" xfId="8839" xr:uid="{12F11BDC-4C1F-481C-AF6D-08D3F815C1F3}"/>
    <cellStyle name="Normal 6 9 2 3 2 2 3 5" xfId="8840" xr:uid="{215164C6-CB3C-47BB-8625-BECBB011A007}"/>
    <cellStyle name="Normal 6 9 2 3 2 2 3 6" xfId="8841" xr:uid="{7A812052-C0B6-438E-B19B-976195D4E817}"/>
    <cellStyle name="Normal 6 9 2 3 2 2 3 7" xfId="8842" xr:uid="{E12E62EA-0ECA-4D34-B84A-59E4929756BE}"/>
    <cellStyle name="Normal 6 9 2 3 2 2 3 8" xfId="8843" xr:uid="{D07F1225-3C72-4DC0-9EC6-7BD52E96C526}"/>
    <cellStyle name="Normal 6 9 2 3 2 2 4" xfId="8844" xr:uid="{7C4BFCDA-173C-4A84-A87D-E8F290309987}"/>
    <cellStyle name="Normal 6 9 2 3 2 2 4 2" xfId="8845" xr:uid="{2F1458EF-2C31-4A3D-930C-B7D4A1E38898}"/>
    <cellStyle name="Normal 6 9 2 3 2 2 4 3" xfId="8846" xr:uid="{3803E98B-95E4-4491-83E3-277B80913AC3}"/>
    <cellStyle name="Normal 6 9 2 3 2 2 5" xfId="8847" xr:uid="{C33D617F-17CB-46BB-96DE-3BD84945A44F}"/>
    <cellStyle name="Normal 6 9 2 3 2 2 5 2" xfId="8848" xr:uid="{079570C1-4755-4E07-A1C3-A887CCA9EC29}"/>
    <cellStyle name="Normal 6 9 2 3 2 2 5 3" xfId="8849" xr:uid="{E4D7DE65-56EB-4702-AA23-2A98AD7BD54D}"/>
    <cellStyle name="Normal 6 9 2 3 2 2 6" xfId="8850" xr:uid="{BD9B4521-02D2-4D01-9E27-B5358F3BE913}"/>
    <cellStyle name="Normal 6 9 2 3 2 2 6 2" xfId="8851" xr:uid="{DFFC48C3-2777-4091-BE07-FF77CCBCF245}"/>
    <cellStyle name="Normal 6 9 2 3 2 2 6 3" xfId="8852" xr:uid="{32986F4B-C6E3-4459-AA72-87E744711B4E}"/>
    <cellStyle name="Normal 6 9 2 3 2 2 7" xfId="8853" xr:uid="{FD8C272E-BC81-48F1-A17C-8CBEB4AACEB5}"/>
    <cellStyle name="Normal 6 9 2 3 2 2 8" xfId="8854" xr:uid="{BB7C98AF-B75B-4448-9664-B59116F2B279}"/>
    <cellStyle name="Normal 6 9 2 3 2 2 9" xfId="8855" xr:uid="{965FFD8F-7C64-4EF8-97B3-99AB97767491}"/>
    <cellStyle name="Normal 6 9 2 3 2 3" xfId="2315" xr:uid="{3390DC3E-C9BA-407F-8722-6AE2108B0768}"/>
    <cellStyle name="Normal 6 9 2 3 2 3 2" xfId="8856" xr:uid="{19945691-6A31-4037-A451-6EB3F31C3053}"/>
    <cellStyle name="Normal 6 9 2 3 2 3 2 2" xfId="8857" xr:uid="{BA3D456A-C2EC-428B-93B0-8FD9A1849BBC}"/>
    <cellStyle name="Normal 6 9 2 3 2 3 2 2 2" xfId="8858" xr:uid="{5077222C-BF33-437E-9AE9-0A3B995572FF}"/>
    <cellStyle name="Normal 6 9 2 3 2 3 2 2 3" xfId="8859" xr:uid="{5565A0E5-8BC3-4A28-9B83-75C3F1B7D714}"/>
    <cellStyle name="Normal 6 9 2 3 2 3 2 3" xfId="8860" xr:uid="{8E8D7023-B011-4A13-B4AA-EF0E07456416}"/>
    <cellStyle name="Normal 6 9 2 3 2 3 2 3 2" xfId="8861" xr:uid="{BBBFB2AD-3304-428B-A623-2CD330602309}"/>
    <cellStyle name="Normal 6 9 2 3 2 3 2 3 3" xfId="8862" xr:uid="{71638123-AE09-4387-9921-238BD70DD767}"/>
    <cellStyle name="Normal 6 9 2 3 2 3 2 4" xfId="8863" xr:uid="{5F32BEA4-0902-4C3D-BAF8-92021FF1615F}"/>
    <cellStyle name="Normal 6 9 2 3 2 3 2 4 2" xfId="8864" xr:uid="{1723C812-9CBE-4EA8-B493-4B3DD5ABF489}"/>
    <cellStyle name="Normal 6 9 2 3 2 3 2 4 3" xfId="8865" xr:uid="{01577CF0-B4D1-4B23-AF76-BF29F713A526}"/>
    <cellStyle name="Normal 6 9 2 3 2 3 2 5" xfId="8866" xr:uid="{58641F8B-E30B-44CA-BFB9-81F05FBA3B22}"/>
    <cellStyle name="Normal 6 9 2 3 2 3 2 6" xfId="8867" xr:uid="{36CD30ED-B041-4E1C-8184-9A8DAEE98716}"/>
    <cellStyle name="Normal 6 9 2 3 2 3 2 7" xfId="8868" xr:uid="{58306552-BBE8-4C64-BEFB-BEC2DAC6B6AE}"/>
    <cellStyle name="Normal 6 9 2 3 2 3 2 8" xfId="8869" xr:uid="{4567F459-951E-46CA-B69E-D8EC4ACE16D7}"/>
    <cellStyle name="Normal 6 9 2 3 2 3 3" xfId="8870" xr:uid="{71AF9B40-CFAA-41CB-83E6-D8929A17FC3C}"/>
    <cellStyle name="Normal 6 9 2 3 2 3 3 2" xfId="8871" xr:uid="{5D972A51-2D9B-4192-A525-6433350EDA3F}"/>
    <cellStyle name="Normal 6 9 2 3 2 3 3 3" xfId="8872" xr:uid="{7B0B094A-0095-45BC-9D62-D580105ADBFC}"/>
    <cellStyle name="Normal 6 9 2 3 2 3 4" xfId="8873" xr:uid="{61CEA6F3-4D4A-4B96-9AA3-73F016C6DD9E}"/>
    <cellStyle name="Normal 6 9 2 3 2 3 4 2" xfId="8874" xr:uid="{C08BF866-EB3E-469B-9BF0-61A146CE6FD7}"/>
    <cellStyle name="Normal 6 9 2 3 2 3 4 3" xfId="8875" xr:uid="{17706ECA-A336-4F0C-9A98-B9FAADE40BF3}"/>
    <cellStyle name="Normal 6 9 2 3 2 3 5" xfId="8876" xr:uid="{2D178025-3AE7-41A1-B131-4D24837311FF}"/>
    <cellStyle name="Normal 6 9 2 3 2 3 5 2" xfId="8877" xr:uid="{8FEEC204-1504-4B3B-AE81-97FEDE77C86E}"/>
    <cellStyle name="Normal 6 9 2 3 2 3 5 3" xfId="8878" xr:uid="{CBADC5A5-E199-4C23-A276-C5D2617A470B}"/>
    <cellStyle name="Normal 6 9 2 3 2 3 6" xfId="8879" xr:uid="{25D04C55-3461-4281-A8FE-6A2BF8E02E03}"/>
    <cellStyle name="Normal 6 9 2 3 2 3 7" xfId="8880" xr:uid="{1842DA0E-1FF6-443D-BB6F-C796FAC16515}"/>
    <cellStyle name="Normal 6 9 2 3 2 3 8" xfId="8881" xr:uid="{050FD802-D3BF-4FEC-8381-B348E77ED36C}"/>
    <cellStyle name="Normal 6 9 2 3 2 3 9" xfId="8882" xr:uid="{38F15134-BF44-433B-B904-D213C655F744}"/>
    <cellStyle name="Normal 6 9 2 3 2 4" xfId="8883" xr:uid="{FD82C9F2-77D2-4418-A7F2-1E550EB33CC5}"/>
    <cellStyle name="Normal 6 9 2 3 2 4 2" xfId="8884" xr:uid="{5EE3557E-9D4D-4906-80AA-D452E86150EE}"/>
    <cellStyle name="Normal 6 9 2 3 2 4 2 2" xfId="8885" xr:uid="{8821BC80-4483-4DE1-9AA7-BDFA1E1FC90E}"/>
    <cellStyle name="Normal 6 9 2 3 2 4 2 3" xfId="8886" xr:uid="{83C28E54-67D4-4F47-8D8C-F589CA6A65F7}"/>
    <cellStyle name="Normal 6 9 2 3 2 4 3" xfId="8887" xr:uid="{630B6FCD-2485-4DE8-94C5-92C5B870B1F4}"/>
    <cellStyle name="Normal 6 9 2 3 2 4 3 2" xfId="8888" xr:uid="{467E8DFB-C590-4033-BE3F-36FEBDAC5AC6}"/>
    <cellStyle name="Normal 6 9 2 3 2 4 3 3" xfId="8889" xr:uid="{9C511CC7-D492-450C-9CAB-6C5F86FD2145}"/>
    <cellStyle name="Normal 6 9 2 3 2 4 4" xfId="8890" xr:uid="{65A28B9F-946D-4FD4-85F2-C1F0B9544EBE}"/>
    <cellStyle name="Normal 6 9 2 3 2 4 4 2" xfId="8891" xr:uid="{02C6986F-843F-4033-9E6C-40BABC8239B2}"/>
    <cellStyle name="Normal 6 9 2 3 2 4 4 3" xfId="8892" xr:uid="{A37C15C8-AAA3-4BF7-8CDD-B0112F234ABA}"/>
    <cellStyle name="Normal 6 9 2 3 2 4 5" xfId="8893" xr:uid="{3B9BD4C1-8709-44B6-825A-21E18C98A69D}"/>
    <cellStyle name="Normal 6 9 2 3 2 4 6" xfId="8894" xr:uid="{E20DBDA8-3071-472F-89FD-FF0B06F19210}"/>
    <cellStyle name="Normal 6 9 2 3 2 4 7" xfId="8895" xr:uid="{D4E9AECB-9430-4D08-B02D-155BA9015048}"/>
    <cellStyle name="Normal 6 9 2 3 2 4 8" xfId="8896" xr:uid="{1FB58742-C021-469A-BDCB-6A679A3E9B01}"/>
    <cellStyle name="Normal 6 9 2 3 2 5" xfId="8897" xr:uid="{9DAD0B45-4F88-40D6-A04E-B94A083B718F}"/>
    <cellStyle name="Normal 6 9 2 3 2 5 2" xfId="8898" xr:uid="{1C1115E1-676C-4E0E-B6EC-BBD4B991C023}"/>
    <cellStyle name="Normal 6 9 2 3 2 5 3" xfId="8899" xr:uid="{ADCA0B48-CE65-47DD-82E4-61CB46949A8C}"/>
    <cellStyle name="Normal 6 9 2 3 2 6" xfId="8900" xr:uid="{E0D48E27-0ECF-4551-A616-D97BB39E49E6}"/>
    <cellStyle name="Normal 6 9 2 3 2 6 2" xfId="8901" xr:uid="{43CE497E-4045-45F2-A938-320CCE93811E}"/>
    <cellStyle name="Normal 6 9 2 3 2 6 3" xfId="8902" xr:uid="{50FCDC29-CB15-4904-B677-6762DD038CFF}"/>
    <cellStyle name="Normal 6 9 2 3 2 7" xfId="8903" xr:uid="{EF22546E-274B-40BC-8215-6892DE87364A}"/>
    <cellStyle name="Normal 6 9 2 3 2 7 2" xfId="8904" xr:uid="{A1415937-87B5-4B5C-B84E-4114045B6A9E}"/>
    <cellStyle name="Normal 6 9 2 3 2 7 3" xfId="8905" xr:uid="{B0BACAF9-ED8C-4048-B5B0-4E40D0BCD8A6}"/>
    <cellStyle name="Normal 6 9 2 3 2 8" xfId="8906" xr:uid="{B7274060-6452-4795-B6B1-4B4D2B9DA500}"/>
    <cellStyle name="Normal 6 9 2 3 2 9" xfId="8907" xr:uid="{44931844-92A0-4E6C-8F12-FE78FCD97542}"/>
    <cellStyle name="Normal 6 9 2 3 3" xfId="2316" xr:uid="{5BB9B4F3-511C-48D7-8906-474F1936F2EE}"/>
    <cellStyle name="Normal 6 9 2 3 3 10" xfId="8908" xr:uid="{6302E8B2-2EC6-4F0F-A01C-B420FA6281BA}"/>
    <cellStyle name="Normal 6 9 2 3 3 2" xfId="2317" xr:uid="{C316FA1F-D032-4B73-AED3-2F1A3861729F}"/>
    <cellStyle name="Normal 6 9 2 3 3 2 2" xfId="8909" xr:uid="{EB4A714D-9D9B-4E0E-879E-407F15AE7249}"/>
    <cellStyle name="Normal 6 9 2 3 3 2 2 2" xfId="8910" xr:uid="{08C37B04-17F2-4259-B57B-AB93B17F4637}"/>
    <cellStyle name="Normal 6 9 2 3 3 2 2 2 2" xfId="8911" xr:uid="{EED1EF32-7909-4F3A-B5AD-1AF884E2E686}"/>
    <cellStyle name="Normal 6 9 2 3 3 2 2 2 3" xfId="8912" xr:uid="{E812B853-AC68-4DAD-B76E-60FB615C2BF8}"/>
    <cellStyle name="Normal 6 9 2 3 3 2 2 3" xfId="8913" xr:uid="{D50EFC79-E281-45C1-B696-E1271F21C023}"/>
    <cellStyle name="Normal 6 9 2 3 3 2 2 3 2" xfId="8914" xr:uid="{AB9870A7-9C88-4B94-9469-F84CD6BED2EE}"/>
    <cellStyle name="Normal 6 9 2 3 3 2 2 3 3" xfId="8915" xr:uid="{D6438877-6C29-4147-B3C6-673585F3E90B}"/>
    <cellStyle name="Normal 6 9 2 3 3 2 2 4" xfId="8916" xr:uid="{DC5B90ED-8E03-4003-AF66-0377002DE105}"/>
    <cellStyle name="Normal 6 9 2 3 3 2 2 4 2" xfId="8917" xr:uid="{52C4CAB2-1010-4444-97AD-ABB7ED0F7F38}"/>
    <cellStyle name="Normal 6 9 2 3 3 2 2 4 3" xfId="8918" xr:uid="{22F2A7CA-A5A7-4C6B-85F9-8DC242964589}"/>
    <cellStyle name="Normal 6 9 2 3 3 2 2 5" xfId="8919" xr:uid="{BE26F5A9-9952-4409-AB4D-5C1FCA519CD8}"/>
    <cellStyle name="Normal 6 9 2 3 3 2 2 6" xfId="8920" xr:uid="{016516CA-42B9-406E-9F85-4256801FE582}"/>
    <cellStyle name="Normal 6 9 2 3 3 2 2 7" xfId="8921" xr:uid="{97698514-F6A8-4460-8FC4-6D767D942123}"/>
    <cellStyle name="Normal 6 9 2 3 3 2 2 8" xfId="8922" xr:uid="{62E405EE-457F-4151-9C3C-CD581FE09EE3}"/>
    <cellStyle name="Normal 6 9 2 3 3 2 3" xfId="8923" xr:uid="{B2910E95-AE27-4900-81EE-49089F46232A}"/>
    <cellStyle name="Normal 6 9 2 3 3 2 3 2" xfId="8924" xr:uid="{C0447503-406A-478D-96F1-BBD4773FCD6A}"/>
    <cellStyle name="Normal 6 9 2 3 3 2 3 3" xfId="8925" xr:uid="{4C56D3B3-657F-4686-8016-9E3A470501F3}"/>
    <cellStyle name="Normal 6 9 2 3 3 2 4" xfId="8926" xr:uid="{33072633-5E95-4548-83F9-EB3E81F2E831}"/>
    <cellStyle name="Normal 6 9 2 3 3 2 4 2" xfId="8927" xr:uid="{48EC661A-FCE7-4222-ABF6-AA99EC13496F}"/>
    <cellStyle name="Normal 6 9 2 3 3 2 4 3" xfId="8928" xr:uid="{C7F9DCFC-211D-4D3B-A84F-B83AD7C0FCD8}"/>
    <cellStyle name="Normal 6 9 2 3 3 2 5" xfId="8929" xr:uid="{C70E01B5-6E76-40B7-972D-ABF42A963F4F}"/>
    <cellStyle name="Normal 6 9 2 3 3 2 5 2" xfId="8930" xr:uid="{1117A33C-76E4-4296-BF24-E4089B42DD1D}"/>
    <cellStyle name="Normal 6 9 2 3 3 2 5 3" xfId="8931" xr:uid="{0991AE66-D093-4E04-B23D-3FDE47F9E85A}"/>
    <cellStyle name="Normal 6 9 2 3 3 2 6" xfId="8932" xr:uid="{0456067E-4EF4-433F-81BD-D6F42481FFBC}"/>
    <cellStyle name="Normal 6 9 2 3 3 2 7" xfId="8933" xr:uid="{9868B4C2-27FE-4F8C-BCE3-4A49AA7ECDA8}"/>
    <cellStyle name="Normal 6 9 2 3 3 2 8" xfId="8934" xr:uid="{431512C8-D2EB-4C95-AAA2-5F2493EA331B}"/>
    <cellStyle name="Normal 6 9 2 3 3 2 9" xfId="8935" xr:uid="{DA97FE98-49B6-45ED-91EE-8FBABA60825A}"/>
    <cellStyle name="Normal 6 9 2 3 3 3" xfId="8936" xr:uid="{BDEA58F8-1D48-42A5-8EE9-59CB8B4339C8}"/>
    <cellStyle name="Normal 6 9 2 3 3 3 2" xfId="8937" xr:uid="{02A353E9-A2BF-4890-A22D-5D4B4C86ED7E}"/>
    <cellStyle name="Normal 6 9 2 3 3 3 2 2" xfId="8938" xr:uid="{48F642E9-F6BB-4FC3-BDE9-3E43621A3471}"/>
    <cellStyle name="Normal 6 9 2 3 3 3 2 3" xfId="8939" xr:uid="{C59C3005-AB2A-4314-9446-9FA3401B4936}"/>
    <cellStyle name="Normal 6 9 2 3 3 3 3" xfId="8940" xr:uid="{1BC0356C-2A41-47E4-90FE-39702709A720}"/>
    <cellStyle name="Normal 6 9 2 3 3 3 3 2" xfId="8941" xr:uid="{8E10D193-8930-4A5B-8F82-82E9A9E6CD61}"/>
    <cellStyle name="Normal 6 9 2 3 3 3 3 3" xfId="8942" xr:uid="{ADE7E27A-E339-4A14-91B9-1AD98731E5B7}"/>
    <cellStyle name="Normal 6 9 2 3 3 3 4" xfId="8943" xr:uid="{0CAAD499-8504-4F8E-B206-5DEA3878F12F}"/>
    <cellStyle name="Normal 6 9 2 3 3 3 4 2" xfId="8944" xr:uid="{7A38D3FE-6CA1-4F35-842F-713126745905}"/>
    <cellStyle name="Normal 6 9 2 3 3 3 4 3" xfId="8945" xr:uid="{07522E72-1861-4130-BBE9-298840ADB0BF}"/>
    <cellStyle name="Normal 6 9 2 3 3 3 5" xfId="8946" xr:uid="{6A6A828D-386F-4B52-AF85-5526FC44BF61}"/>
    <cellStyle name="Normal 6 9 2 3 3 3 6" xfId="8947" xr:uid="{3C3B5342-091F-4DB3-B2CB-F3E82B085E25}"/>
    <cellStyle name="Normal 6 9 2 3 3 3 7" xfId="8948" xr:uid="{DBFA82C1-C83F-424F-9087-6B149A3CF309}"/>
    <cellStyle name="Normal 6 9 2 3 3 3 8" xfId="8949" xr:uid="{6DA0DE1A-616C-47E9-A7F6-BDA657513FA9}"/>
    <cellStyle name="Normal 6 9 2 3 3 4" xfId="8950" xr:uid="{19821C76-EFA7-4DB5-A82A-D2B8784B4E8C}"/>
    <cellStyle name="Normal 6 9 2 3 3 4 2" xfId="8951" xr:uid="{88D9AF1B-9E1B-4170-9A19-5F7486BE587A}"/>
    <cellStyle name="Normal 6 9 2 3 3 4 3" xfId="8952" xr:uid="{2D863BCA-BA1D-420E-ABD3-02EC6ADBEE20}"/>
    <cellStyle name="Normal 6 9 2 3 3 5" xfId="8953" xr:uid="{60C9D932-C16A-4101-AE46-AEA22D35B1C1}"/>
    <cellStyle name="Normal 6 9 2 3 3 5 2" xfId="8954" xr:uid="{DCAF18D5-E77C-416B-AB1E-009EC027C18E}"/>
    <cellStyle name="Normal 6 9 2 3 3 5 3" xfId="8955" xr:uid="{96AC4650-42FA-4513-8E7C-88DDB01FD940}"/>
    <cellStyle name="Normal 6 9 2 3 3 6" xfId="8956" xr:uid="{50263AC9-49AE-4FD0-B53E-2FC1CF8A0747}"/>
    <cellStyle name="Normal 6 9 2 3 3 6 2" xfId="8957" xr:uid="{9FA93000-0B9B-416E-9A07-EB3E009C69EF}"/>
    <cellStyle name="Normal 6 9 2 3 3 6 3" xfId="8958" xr:uid="{14C59964-472A-4D3B-9A16-69C4737BB62D}"/>
    <cellStyle name="Normal 6 9 2 3 3 7" xfId="8959" xr:uid="{0286DAE8-F22E-4B6A-84F5-0225592C4C1A}"/>
    <cellStyle name="Normal 6 9 2 3 3 8" xfId="8960" xr:uid="{2270B609-DE80-4D29-BA73-9A5B383EFE34}"/>
    <cellStyle name="Normal 6 9 2 3 3 9" xfId="8961" xr:uid="{E3655E85-FDF4-4CF3-B421-59FD5EF5F41A}"/>
    <cellStyle name="Normal 6 9 2 3 4" xfId="2318" xr:uid="{E3EFE4B6-3494-4CA5-8AC9-FE62EC0624B6}"/>
    <cellStyle name="Normal 6 9 2 3 4 2" xfId="8962" xr:uid="{130EE909-85E6-4C55-BFD4-B969E8F77E29}"/>
    <cellStyle name="Normal 6 9 2 3 4 2 2" xfId="8963" xr:uid="{8C2B3697-2FE0-4756-9BA4-734ACE134832}"/>
    <cellStyle name="Normal 6 9 2 3 4 2 2 2" xfId="8964" xr:uid="{5E17D823-95E1-4CEB-A543-DED175F79A66}"/>
    <cellStyle name="Normal 6 9 2 3 4 2 2 3" xfId="8965" xr:uid="{2CFB2F8B-7445-4C67-9229-286E2FB44A1C}"/>
    <cellStyle name="Normal 6 9 2 3 4 2 3" xfId="8966" xr:uid="{D33C1848-E1B3-4F17-ABD5-6ADD35E97B2A}"/>
    <cellStyle name="Normal 6 9 2 3 4 2 3 2" xfId="8967" xr:uid="{C282C604-D2E6-42C0-B58A-4F7EE04F954C}"/>
    <cellStyle name="Normal 6 9 2 3 4 2 3 3" xfId="8968" xr:uid="{662495BB-9793-47F0-8746-51BDA759B44A}"/>
    <cellStyle name="Normal 6 9 2 3 4 2 4" xfId="8969" xr:uid="{1ACD25A6-D3B4-4C7C-A3BF-462FF5B13E50}"/>
    <cellStyle name="Normal 6 9 2 3 4 2 4 2" xfId="8970" xr:uid="{E18D0005-98E9-44F5-BF9C-AFC0084B0DC9}"/>
    <cellStyle name="Normal 6 9 2 3 4 2 4 3" xfId="8971" xr:uid="{61A3222D-A11A-48AC-930F-347EE69E3B4F}"/>
    <cellStyle name="Normal 6 9 2 3 4 2 5" xfId="8972" xr:uid="{FF58ABB2-1DED-433B-8CDE-5269E75062FE}"/>
    <cellStyle name="Normal 6 9 2 3 4 2 6" xfId="8973" xr:uid="{DEB5BAB1-AAAB-4BF6-9DD3-DF2FB8B09E10}"/>
    <cellStyle name="Normal 6 9 2 3 4 2 7" xfId="8974" xr:uid="{324BF41C-E4FF-45C4-A836-C61D1C8D7F30}"/>
    <cellStyle name="Normal 6 9 2 3 4 2 8" xfId="8975" xr:uid="{342D5311-7358-4FF8-98BA-D18575BD5CDA}"/>
    <cellStyle name="Normal 6 9 2 3 4 3" xfId="8976" xr:uid="{ED23AB4C-065C-4EAF-9423-6D57598EE923}"/>
    <cellStyle name="Normal 6 9 2 3 4 3 2" xfId="8977" xr:uid="{A8FC30F0-9573-481C-A5F0-2D3F35D49FE7}"/>
    <cellStyle name="Normal 6 9 2 3 4 3 3" xfId="8978" xr:uid="{909493F4-5CC7-48E0-B092-072F73219DC7}"/>
    <cellStyle name="Normal 6 9 2 3 4 4" xfId="8979" xr:uid="{48C8E3CA-AB30-47E5-AB24-2BF8E7ABFF80}"/>
    <cellStyle name="Normal 6 9 2 3 4 4 2" xfId="8980" xr:uid="{2F6F4D4A-F2F2-4C69-BF76-5B57E36C6FCA}"/>
    <cellStyle name="Normal 6 9 2 3 4 4 3" xfId="8981" xr:uid="{27F80657-F22B-4169-9043-8247A47F1539}"/>
    <cellStyle name="Normal 6 9 2 3 4 5" xfId="8982" xr:uid="{A2DD4508-0609-4BFC-84B4-19379CC000C7}"/>
    <cellStyle name="Normal 6 9 2 3 4 5 2" xfId="8983" xr:uid="{D18F066B-55B5-49F9-B00D-6663B339C42A}"/>
    <cellStyle name="Normal 6 9 2 3 4 5 3" xfId="8984" xr:uid="{FEF0B90F-F503-4177-A27F-0C1D91FDCD08}"/>
    <cellStyle name="Normal 6 9 2 3 4 6" xfId="8985" xr:uid="{A748E641-0CC0-445D-81C2-36F1875D1476}"/>
    <cellStyle name="Normal 6 9 2 3 4 7" xfId="8986" xr:uid="{B795CA8D-8DA1-40B5-8F58-243860B7A9AD}"/>
    <cellStyle name="Normal 6 9 2 3 4 8" xfId="8987" xr:uid="{766DE625-1AEA-4F9C-AFD1-B0C96F2D2905}"/>
    <cellStyle name="Normal 6 9 2 3 4 9" xfId="8988" xr:uid="{A2BAA22A-145D-47F8-B2AB-772F8864E805}"/>
    <cellStyle name="Normal 6 9 2 3 5" xfId="8989" xr:uid="{D8593286-ACFB-4968-AB9F-FB7AADBFC9FA}"/>
    <cellStyle name="Normal 6 9 2 3 5 2" xfId="8990" xr:uid="{A5A93315-DCEF-4FE4-BB7B-F23C2E7AE9B4}"/>
    <cellStyle name="Normal 6 9 2 3 5 2 2" xfId="8991" xr:uid="{5C369E6A-D223-44E3-A745-1E635657A339}"/>
    <cellStyle name="Normal 6 9 2 3 5 2 3" xfId="8992" xr:uid="{2936A655-4B75-4190-9303-D8192E9A5634}"/>
    <cellStyle name="Normal 6 9 2 3 5 3" xfId="8993" xr:uid="{87166E24-D2CF-4779-A397-5991D4458CB6}"/>
    <cellStyle name="Normal 6 9 2 3 5 3 2" xfId="8994" xr:uid="{D4F91236-093E-4E24-BE1A-2CE213BFED55}"/>
    <cellStyle name="Normal 6 9 2 3 5 3 3" xfId="8995" xr:uid="{E9C7EF4D-AC37-4F7A-9124-4014900AAF26}"/>
    <cellStyle name="Normal 6 9 2 3 5 4" xfId="8996" xr:uid="{C3A98A4E-C378-46E0-8131-A32AE54D8486}"/>
    <cellStyle name="Normal 6 9 2 3 5 4 2" xfId="8997" xr:uid="{847A05A3-2B87-4E91-A5F8-FE79E26A82FC}"/>
    <cellStyle name="Normal 6 9 2 3 5 4 3" xfId="8998" xr:uid="{76B5B12B-675E-40B8-AB88-FD77F6E30AAF}"/>
    <cellStyle name="Normal 6 9 2 3 5 5" xfId="8999" xr:uid="{D71AF1CD-151A-4BDA-98CB-D39C8A6258C1}"/>
    <cellStyle name="Normal 6 9 2 3 5 6" xfId="9000" xr:uid="{85A1A7B8-D204-47BA-BB6B-BD16607B8BF0}"/>
    <cellStyle name="Normal 6 9 2 3 5 7" xfId="9001" xr:uid="{E7E7D43C-1963-496E-A759-B83AEC45E855}"/>
    <cellStyle name="Normal 6 9 2 3 5 8" xfId="9002" xr:uid="{53744268-5410-40BA-802E-2F5E6758BC2D}"/>
    <cellStyle name="Normal 6 9 2 3 6" xfId="9003" xr:uid="{6620F1B0-E1EF-44AA-A106-E5E81F6724A1}"/>
    <cellStyle name="Normal 6 9 2 3 6 2" xfId="9004" xr:uid="{1414D0E7-A98E-4D58-A83F-E9135471E064}"/>
    <cellStyle name="Normal 6 9 2 3 6 3" xfId="9005" xr:uid="{F7BD4E78-E2B0-43CE-AC8D-207E6320CF40}"/>
    <cellStyle name="Normal 6 9 2 3 7" xfId="9006" xr:uid="{3BA5F339-8B3C-440C-AC2F-A96F0529D999}"/>
    <cellStyle name="Normal 6 9 2 3 7 2" xfId="9007" xr:uid="{B285356C-564E-48A4-987F-B88639C7F240}"/>
    <cellStyle name="Normal 6 9 2 3 7 3" xfId="9008" xr:uid="{B93E81E9-D8B9-4471-A3FD-2FF96274174C}"/>
    <cellStyle name="Normal 6 9 2 3 8" xfId="9009" xr:uid="{B4B28E53-E300-4816-9930-48F335964FF1}"/>
    <cellStyle name="Normal 6 9 2 3 8 2" xfId="9010" xr:uid="{F80D2DAD-948E-4C74-9184-FB179CACEEC4}"/>
    <cellStyle name="Normal 6 9 2 3 8 3" xfId="9011" xr:uid="{C435525E-A553-498D-83D6-847C3479A22D}"/>
    <cellStyle name="Normal 6 9 2 3 9" xfId="9012" xr:uid="{5BDAE2C9-101C-423C-B7C4-7AE907AEC5A9}"/>
    <cellStyle name="Normal 6 9 2 4" xfId="2319" xr:uid="{D21A7066-5BAE-478E-98D0-176365D5241C}"/>
    <cellStyle name="Normal 6 9 2 4 10" xfId="9013" xr:uid="{4C381795-F6FD-4CF9-BEEC-3CFC7E02665E}"/>
    <cellStyle name="Normal 6 9 2 4 11" xfId="9014" xr:uid="{35E0E8D6-82F3-4083-89EF-28542ACBCE65}"/>
    <cellStyle name="Normal 6 9 2 4 2" xfId="2320" xr:uid="{65C89E3E-D644-4B23-8B65-EE75F372FCCC}"/>
    <cellStyle name="Normal 6 9 2 4 2 10" xfId="9015" xr:uid="{6D037304-08B4-493C-8BE4-6314E4C1A74F}"/>
    <cellStyle name="Normal 6 9 2 4 2 2" xfId="2321" xr:uid="{CDE7032C-BF83-48DA-9FB3-0E624D97E3D7}"/>
    <cellStyle name="Normal 6 9 2 4 2 2 2" xfId="9016" xr:uid="{88F46423-DCEC-4B2C-8B7F-68FE2A05B722}"/>
    <cellStyle name="Normal 6 9 2 4 2 2 2 2" xfId="9017" xr:uid="{DA529623-607F-48E1-8BC9-69A27C322A81}"/>
    <cellStyle name="Normal 6 9 2 4 2 2 2 2 2" xfId="9018" xr:uid="{60501F48-A94B-42EA-89BD-4CF011E89E49}"/>
    <cellStyle name="Normal 6 9 2 4 2 2 2 2 3" xfId="9019" xr:uid="{CD37C8C7-A0B8-41CA-8AA2-8DFB27B666D7}"/>
    <cellStyle name="Normal 6 9 2 4 2 2 2 3" xfId="9020" xr:uid="{CEF7D85F-5C78-4CED-9673-1831796EED07}"/>
    <cellStyle name="Normal 6 9 2 4 2 2 2 3 2" xfId="9021" xr:uid="{DCD62F9F-683D-4306-9C09-CB9E354A0653}"/>
    <cellStyle name="Normal 6 9 2 4 2 2 2 3 3" xfId="9022" xr:uid="{F7E7513F-641E-4856-81FE-20DEBF48503C}"/>
    <cellStyle name="Normal 6 9 2 4 2 2 2 4" xfId="9023" xr:uid="{B4D837D3-E6A3-4BCF-AAEA-BE093E184875}"/>
    <cellStyle name="Normal 6 9 2 4 2 2 2 4 2" xfId="9024" xr:uid="{C4826696-D7B8-40C8-BE06-3DBC94189EAD}"/>
    <cellStyle name="Normal 6 9 2 4 2 2 2 4 3" xfId="9025" xr:uid="{B7B0C438-9742-4CEB-940F-0E093328ED00}"/>
    <cellStyle name="Normal 6 9 2 4 2 2 2 5" xfId="9026" xr:uid="{588CEEEC-43E1-470C-9538-8F6472E95035}"/>
    <cellStyle name="Normal 6 9 2 4 2 2 2 6" xfId="9027" xr:uid="{E9F6841F-867A-4517-A079-88FA8D74C7F0}"/>
    <cellStyle name="Normal 6 9 2 4 2 2 2 7" xfId="9028" xr:uid="{AADE1D3F-685F-4BA8-9041-5B5E4373A91E}"/>
    <cellStyle name="Normal 6 9 2 4 2 2 2 8" xfId="9029" xr:uid="{6A8A568B-21C5-48A2-82EA-652A38680DEC}"/>
    <cellStyle name="Normal 6 9 2 4 2 2 3" xfId="9030" xr:uid="{A2805EFF-23B4-4CF1-AEE2-3B5CC15953A5}"/>
    <cellStyle name="Normal 6 9 2 4 2 2 3 2" xfId="9031" xr:uid="{B5221288-7237-4A6B-A8E5-E719B96E34B2}"/>
    <cellStyle name="Normal 6 9 2 4 2 2 3 3" xfId="9032" xr:uid="{3B7C566D-72EE-4912-997D-5B6423376679}"/>
    <cellStyle name="Normal 6 9 2 4 2 2 4" xfId="9033" xr:uid="{41008CD9-0D5F-4547-9CE0-09F82CF41636}"/>
    <cellStyle name="Normal 6 9 2 4 2 2 4 2" xfId="9034" xr:uid="{4448D7EA-A4EA-4D6D-8E76-3B319E25ADC3}"/>
    <cellStyle name="Normal 6 9 2 4 2 2 4 3" xfId="9035" xr:uid="{3B508928-9EAE-427F-A2BC-6FEF5467E8C9}"/>
    <cellStyle name="Normal 6 9 2 4 2 2 5" xfId="9036" xr:uid="{2D2E89B1-064C-4F18-A80E-1D83BD75DCC2}"/>
    <cellStyle name="Normal 6 9 2 4 2 2 5 2" xfId="9037" xr:uid="{FF818238-2317-4F47-BEAD-71C10FA05929}"/>
    <cellStyle name="Normal 6 9 2 4 2 2 5 3" xfId="9038" xr:uid="{9ECA7049-9145-4807-84C2-A32DBACE6D7A}"/>
    <cellStyle name="Normal 6 9 2 4 2 2 6" xfId="9039" xr:uid="{398B5988-2C10-4E63-AAC3-56A936986E46}"/>
    <cellStyle name="Normal 6 9 2 4 2 2 7" xfId="9040" xr:uid="{009F288B-BB8E-451E-9367-5C3CB1229164}"/>
    <cellStyle name="Normal 6 9 2 4 2 2 8" xfId="9041" xr:uid="{5AC2803E-6567-47C5-A889-BDE0ADE6D2B7}"/>
    <cellStyle name="Normal 6 9 2 4 2 2 9" xfId="9042" xr:uid="{7238D423-77D5-4C58-B0F4-28A0FEE97C8F}"/>
    <cellStyle name="Normal 6 9 2 4 2 3" xfId="9043" xr:uid="{DB063EF3-4105-4D5E-A5AA-401AE474F5AB}"/>
    <cellStyle name="Normal 6 9 2 4 2 3 2" xfId="9044" xr:uid="{514C784B-08D2-4A35-A8C7-4F8A2E3D4205}"/>
    <cellStyle name="Normal 6 9 2 4 2 3 2 2" xfId="9045" xr:uid="{9533B7BD-6F15-41AF-B4A8-FA21FD6D011C}"/>
    <cellStyle name="Normal 6 9 2 4 2 3 2 3" xfId="9046" xr:uid="{F8D25367-C6D5-48E0-BD80-FDD776FD2D76}"/>
    <cellStyle name="Normal 6 9 2 4 2 3 3" xfId="9047" xr:uid="{7D3FA3E9-1650-47F0-9110-B146C4EF8481}"/>
    <cellStyle name="Normal 6 9 2 4 2 3 3 2" xfId="9048" xr:uid="{DC59761F-E7C2-433E-8F03-A89A78913A06}"/>
    <cellStyle name="Normal 6 9 2 4 2 3 3 3" xfId="9049" xr:uid="{6DB9A750-32AA-4E2D-8416-6EC7DFC1063D}"/>
    <cellStyle name="Normal 6 9 2 4 2 3 4" xfId="9050" xr:uid="{E42CD02C-D4A8-410A-B901-AD8114F0B848}"/>
    <cellStyle name="Normal 6 9 2 4 2 3 4 2" xfId="9051" xr:uid="{A092041B-0144-43A0-BAC8-D8755C5EB913}"/>
    <cellStyle name="Normal 6 9 2 4 2 3 4 3" xfId="9052" xr:uid="{BF69E44E-40CE-44D1-BF8B-BCA0EEBBEEB8}"/>
    <cellStyle name="Normal 6 9 2 4 2 3 5" xfId="9053" xr:uid="{2F62E668-DB5A-4BCB-9E81-0125B8E8BB85}"/>
    <cellStyle name="Normal 6 9 2 4 2 3 6" xfId="9054" xr:uid="{3BFDEAD0-56A6-45F5-BD56-31904487F257}"/>
    <cellStyle name="Normal 6 9 2 4 2 3 7" xfId="9055" xr:uid="{7094D76C-DBE0-475C-B7A1-E58F72F63BFE}"/>
    <cellStyle name="Normal 6 9 2 4 2 3 8" xfId="9056" xr:uid="{5866DBE6-3F5B-43E6-BA16-8E7399006B3A}"/>
    <cellStyle name="Normal 6 9 2 4 2 4" xfId="9057" xr:uid="{8DF19330-AE55-4A53-B7A7-DCBB563B5CFF}"/>
    <cellStyle name="Normal 6 9 2 4 2 4 2" xfId="9058" xr:uid="{0CA4FF61-5191-482A-BB8D-59C9E8941B50}"/>
    <cellStyle name="Normal 6 9 2 4 2 4 3" xfId="9059" xr:uid="{977B1799-6C48-4788-B88E-5422303C3E9F}"/>
    <cellStyle name="Normal 6 9 2 4 2 5" xfId="9060" xr:uid="{08AB89E2-91EE-49A6-AEF2-EA9F6016E6CB}"/>
    <cellStyle name="Normal 6 9 2 4 2 5 2" xfId="9061" xr:uid="{51CD2E69-EA9D-489B-B0E9-D602BF393A86}"/>
    <cellStyle name="Normal 6 9 2 4 2 5 3" xfId="9062" xr:uid="{4BAF51E2-EEC9-40FD-A982-59A41447D786}"/>
    <cellStyle name="Normal 6 9 2 4 2 6" xfId="9063" xr:uid="{1C4FF339-D585-4DA2-943F-ED75E4346A0F}"/>
    <cellStyle name="Normal 6 9 2 4 2 6 2" xfId="9064" xr:uid="{1EB31987-CA14-4052-B3FF-131892A8E8D4}"/>
    <cellStyle name="Normal 6 9 2 4 2 6 3" xfId="9065" xr:uid="{B64C3814-2D73-4AF2-8D16-3013FD6A7C38}"/>
    <cellStyle name="Normal 6 9 2 4 2 7" xfId="9066" xr:uid="{C92550A9-4C0F-4197-8FED-4B849D557DA6}"/>
    <cellStyle name="Normal 6 9 2 4 2 8" xfId="9067" xr:uid="{46C310BF-FCFF-4978-A09E-1F2C6A4AEDEC}"/>
    <cellStyle name="Normal 6 9 2 4 2 9" xfId="9068" xr:uid="{B7D25E72-9553-4EAF-826F-1A57121393F3}"/>
    <cellStyle name="Normal 6 9 2 4 3" xfId="2322" xr:uid="{85B08A15-030C-4903-92BB-CA53C2415474}"/>
    <cellStyle name="Normal 6 9 2 4 3 2" xfId="9069" xr:uid="{B65E8E9A-091E-40DE-A7B3-D57BA837456A}"/>
    <cellStyle name="Normal 6 9 2 4 3 2 2" xfId="9070" xr:uid="{C0612C11-DF5A-4645-B4E3-2575037D082C}"/>
    <cellStyle name="Normal 6 9 2 4 3 2 2 2" xfId="9071" xr:uid="{E1B8EFC1-EFC7-4229-9967-4EF9925B5BE3}"/>
    <cellStyle name="Normal 6 9 2 4 3 2 2 3" xfId="9072" xr:uid="{C3D7B831-F69F-4F58-9B74-04E50276FC9F}"/>
    <cellStyle name="Normal 6 9 2 4 3 2 3" xfId="9073" xr:uid="{1BAED63A-8CFB-445B-9864-BA421B8040A0}"/>
    <cellStyle name="Normal 6 9 2 4 3 2 3 2" xfId="9074" xr:uid="{41552987-1D97-4875-9DD0-29D622F96242}"/>
    <cellStyle name="Normal 6 9 2 4 3 2 3 3" xfId="9075" xr:uid="{B793D6C0-DC19-4413-87B2-317CB2B8C883}"/>
    <cellStyle name="Normal 6 9 2 4 3 2 4" xfId="9076" xr:uid="{34E3B8DF-EB9A-4271-B0F9-23B57C71CF9F}"/>
    <cellStyle name="Normal 6 9 2 4 3 2 4 2" xfId="9077" xr:uid="{F9DAB3E9-E48B-422B-9F18-1C83121B5B79}"/>
    <cellStyle name="Normal 6 9 2 4 3 2 4 3" xfId="9078" xr:uid="{9D29E5CB-BDD3-4EE5-A93D-44183C021A55}"/>
    <cellStyle name="Normal 6 9 2 4 3 2 5" xfId="9079" xr:uid="{72EA6474-B41C-424C-8229-8B770A622E2C}"/>
    <cellStyle name="Normal 6 9 2 4 3 2 6" xfId="9080" xr:uid="{51F02111-8D85-45BB-BC2D-BA9E0FB8414C}"/>
    <cellStyle name="Normal 6 9 2 4 3 2 7" xfId="9081" xr:uid="{D833DB93-7A28-45DD-AFB5-D5EFE449A58B}"/>
    <cellStyle name="Normal 6 9 2 4 3 2 8" xfId="9082" xr:uid="{2D1E48C7-713A-4EA1-AAE0-900067A1D853}"/>
    <cellStyle name="Normal 6 9 2 4 3 3" xfId="9083" xr:uid="{6F055BA3-B6DB-45A8-9E74-0915087A885C}"/>
    <cellStyle name="Normal 6 9 2 4 3 3 2" xfId="9084" xr:uid="{999CCF17-C62A-4D10-B8B9-50B9EFB851E7}"/>
    <cellStyle name="Normal 6 9 2 4 3 3 3" xfId="9085" xr:uid="{E98474D2-8C1E-400C-8E14-ADC35C9EAA2C}"/>
    <cellStyle name="Normal 6 9 2 4 3 4" xfId="9086" xr:uid="{C908C560-C211-4F14-BB06-B8D642C215E8}"/>
    <cellStyle name="Normal 6 9 2 4 3 4 2" xfId="9087" xr:uid="{AD4C1306-0CF8-44A3-AC18-20B6820DDA8B}"/>
    <cellStyle name="Normal 6 9 2 4 3 4 3" xfId="9088" xr:uid="{0DB21D69-5DF4-4D6D-8494-3E137C13AE6C}"/>
    <cellStyle name="Normal 6 9 2 4 3 5" xfId="9089" xr:uid="{904007D3-72CB-459B-9F71-7DB4B6B5D0B1}"/>
    <cellStyle name="Normal 6 9 2 4 3 5 2" xfId="9090" xr:uid="{E9342282-33AC-408C-9249-DE384313349D}"/>
    <cellStyle name="Normal 6 9 2 4 3 5 3" xfId="9091" xr:uid="{9426E919-B786-4641-8AEC-F94856E111EA}"/>
    <cellStyle name="Normal 6 9 2 4 3 6" xfId="9092" xr:uid="{2B135047-90D5-4258-91EC-B004DFFD5B07}"/>
    <cellStyle name="Normal 6 9 2 4 3 7" xfId="9093" xr:uid="{02CA915A-6946-40CC-8AB9-F38531D875E8}"/>
    <cellStyle name="Normal 6 9 2 4 3 8" xfId="9094" xr:uid="{9C38352E-AC31-43F9-9CF8-0AE4CECC7CB8}"/>
    <cellStyle name="Normal 6 9 2 4 3 9" xfId="9095" xr:uid="{C3B24161-A468-4A28-A31B-C8B59744B1DE}"/>
    <cellStyle name="Normal 6 9 2 4 4" xfId="9096" xr:uid="{B607157A-DC8A-490C-BEC4-70E0809D5B0E}"/>
    <cellStyle name="Normal 6 9 2 4 4 2" xfId="9097" xr:uid="{BDC621E4-AC56-4271-8270-8C1E5E59B2D2}"/>
    <cellStyle name="Normal 6 9 2 4 4 2 2" xfId="9098" xr:uid="{43FBF3A3-F517-479B-9A85-EE708D1BD6CF}"/>
    <cellStyle name="Normal 6 9 2 4 4 2 3" xfId="9099" xr:uid="{CBFC6E18-B4E3-4FAC-BAE9-D606312DFA65}"/>
    <cellStyle name="Normal 6 9 2 4 4 3" xfId="9100" xr:uid="{5F08F1D0-453E-40BE-B7C8-FCCA74A1BF00}"/>
    <cellStyle name="Normal 6 9 2 4 4 3 2" xfId="9101" xr:uid="{82AFC9D0-67F2-41A2-BC2D-4ED458E76CD9}"/>
    <cellStyle name="Normal 6 9 2 4 4 3 3" xfId="9102" xr:uid="{EF5AC3A5-6781-45E5-BC07-E6BBA248ADE7}"/>
    <cellStyle name="Normal 6 9 2 4 4 4" xfId="9103" xr:uid="{2A1746E3-D5E1-473A-B50A-ED0FDC256F57}"/>
    <cellStyle name="Normal 6 9 2 4 4 4 2" xfId="9104" xr:uid="{B8027697-9867-4242-B0DE-FA519CF10D72}"/>
    <cellStyle name="Normal 6 9 2 4 4 4 3" xfId="9105" xr:uid="{D00723EE-58B4-492F-903C-574ED1F42EEB}"/>
    <cellStyle name="Normal 6 9 2 4 4 5" xfId="9106" xr:uid="{CB411E4E-EEA4-4BF3-87F9-5A944A21EB3D}"/>
    <cellStyle name="Normal 6 9 2 4 4 6" xfId="9107" xr:uid="{D9730B4F-2A24-4DB2-A5EA-D1DC25C6D9D8}"/>
    <cellStyle name="Normal 6 9 2 4 4 7" xfId="9108" xr:uid="{6C38DE0E-6A2C-4588-A0D3-32F0CB80A799}"/>
    <cellStyle name="Normal 6 9 2 4 4 8" xfId="9109" xr:uid="{197BE51C-A1A0-4320-B194-19DB734059CA}"/>
    <cellStyle name="Normal 6 9 2 4 5" xfId="9110" xr:uid="{ADFC2095-8C5F-42A0-8FEF-735E5E5F978F}"/>
    <cellStyle name="Normal 6 9 2 4 5 2" xfId="9111" xr:uid="{1A0BDAF4-E3F6-4F24-8D22-6105BD7E556E}"/>
    <cellStyle name="Normal 6 9 2 4 5 3" xfId="9112" xr:uid="{2944E6A9-53A7-4F49-BD6B-4622B111EC87}"/>
    <cellStyle name="Normal 6 9 2 4 6" xfId="9113" xr:uid="{4816ABBF-8AA5-4F79-8D06-3C929759CAD0}"/>
    <cellStyle name="Normal 6 9 2 4 6 2" xfId="9114" xr:uid="{6ED05305-DBD1-4CE4-8551-A53EF4C0F578}"/>
    <cellStyle name="Normal 6 9 2 4 6 3" xfId="9115" xr:uid="{69E15C17-B8EA-46D9-ABEB-1B7E43014855}"/>
    <cellStyle name="Normal 6 9 2 4 7" xfId="9116" xr:uid="{AD3A9EE6-67CF-40E3-A039-061A216CA360}"/>
    <cellStyle name="Normal 6 9 2 4 7 2" xfId="9117" xr:uid="{931379DC-224F-44F1-BE0D-DA70188696BB}"/>
    <cellStyle name="Normal 6 9 2 4 7 3" xfId="9118" xr:uid="{5F84D7B4-81CE-494B-B069-461E65773D6C}"/>
    <cellStyle name="Normal 6 9 2 4 8" xfId="9119" xr:uid="{40AA9CAC-EEB1-4AD0-AA54-1B8171F02D14}"/>
    <cellStyle name="Normal 6 9 2 4 9" xfId="9120" xr:uid="{139FB9FB-D57F-4D56-95B9-CAB803C0B5FC}"/>
    <cellStyle name="Normal 6 9 2 5" xfId="2323" xr:uid="{2895EE42-0CA3-4DEC-B8D2-8CAEB668F9CC}"/>
    <cellStyle name="Normal 6 9 2 5 10" xfId="9121" xr:uid="{F77C1EAC-07B4-4481-B8F2-E15EBB7D7760}"/>
    <cellStyle name="Normal 6 9 2 5 2" xfId="2324" xr:uid="{9418CC1C-635E-43B3-ADF5-4722D80A1EEA}"/>
    <cellStyle name="Normal 6 9 2 5 2 2" xfId="9122" xr:uid="{49176E1F-AD3D-4C2C-8E18-4440570E7D29}"/>
    <cellStyle name="Normal 6 9 2 5 2 2 2" xfId="9123" xr:uid="{3E741BC8-57AF-4430-80A2-3C8093AB6BCC}"/>
    <cellStyle name="Normal 6 9 2 5 2 2 2 2" xfId="9124" xr:uid="{756DB58C-017F-471F-947C-9CC840A308E9}"/>
    <cellStyle name="Normal 6 9 2 5 2 2 2 3" xfId="9125" xr:uid="{A03A87DE-1A70-46F0-80A2-413ECF4F535C}"/>
    <cellStyle name="Normal 6 9 2 5 2 2 3" xfId="9126" xr:uid="{64E20A00-C79C-4DEF-B98E-D5A09BAB25E9}"/>
    <cellStyle name="Normal 6 9 2 5 2 2 3 2" xfId="9127" xr:uid="{5DDA3B2A-B2C1-47AA-A584-BB13E1D665B3}"/>
    <cellStyle name="Normal 6 9 2 5 2 2 3 3" xfId="9128" xr:uid="{79D946CF-0CC0-44FF-8E84-D1445789D7BA}"/>
    <cellStyle name="Normal 6 9 2 5 2 2 4" xfId="9129" xr:uid="{DEB5AA96-F033-481E-B70E-69F6CBDD50CA}"/>
    <cellStyle name="Normal 6 9 2 5 2 2 4 2" xfId="9130" xr:uid="{D76F52F0-EDC8-4018-89C2-E9A0D372C259}"/>
    <cellStyle name="Normal 6 9 2 5 2 2 4 3" xfId="9131" xr:uid="{E489CAF9-2FD7-4CC5-A99A-0936C1D95CA2}"/>
    <cellStyle name="Normal 6 9 2 5 2 2 5" xfId="9132" xr:uid="{ABB6DAAC-2B7E-4B67-B05B-360F03755F90}"/>
    <cellStyle name="Normal 6 9 2 5 2 2 6" xfId="9133" xr:uid="{EB53D064-8A3E-48A7-8801-2345875CD41E}"/>
    <cellStyle name="Normal 6 9 2 5 2 2 7" xfId="9134" xr:uid="{9DE67F41-D53D-4D82-A593-3CF565F41C93}"/>
    <cellStyle name="Normal 6 9 2 5 2 2 8" xfId="9135" xr:uid="{2B7A69DB-4154-43CF-A7A8-E17193A73712}"/>
    <cellStyle name="Normal 6 9 2 5 2 3" xfId="9136" xr:uid="{0A8871C3-BA56-473C-8992-21DA680229C0}"/>
    <cellStyle name="Normal 6 9 2 5 2 3 2" xfId="9137" xr:uid="{EE8A3F36-81C8-4CDB-B0E9-5E6AE61DA476}"/>
    <cellStyle name="Normal 6 9 2 5 2 3 3" xfId="9138" xr:uid="{4ED90F87-8CFA-4FF2-BE3E-AF3AEF5D30DF}"/>
    <cellStyle name="Normal 6 9 2 5 2 4" xfId="9139" xr:uid="{BE07DC0A-4ADC-45B8-932A-59974014659B}"/>
    <cellStyle name="Normal 6 9 2 5 2 4 2" xfId="9140" xr:uid="{264C1A04-36E0-47B7-B217-B09EC1E202C6}"/>
    <cellStyle name="Normal 6 9 2 5 2 4 3" xfId="9141" xr:uid="{BF813E6C-8A9C-4DCF-800C-6ECFBB22D8E7}"/>
    <cellStyle name="Normal 6 9 2 5 2 5" xfId="9142" xr:uid="{AB521E2C-9D83-462A-931E-7046108BF246}"/>
    <cellStyle name="Normal 6 9 2 5 2 5 2" xfId="9143" xr:uid="{D3EA07C7-EB13-4F5C-91E0-4EC58A10B267}"/>
    <cellStyle name="Normal 6 9 2 5 2 5 3" xfId="9144" xr:uid="{7EE0FF8D-7712-446D-8975-65E87C127EE5}"/>
    <cellStyle name="Normal 6 9 2 5 2 6" xfId="9145" xr:uid="{694D1AA9-9CDC-4A81-86F1-3C6E70077BE6}"/>
    <cellStyle name="Normal 6 9 2 5 2 7" xfId="9146" xr:uid="{1CB89EEC-877D-4F8E-9407-9DCB2642E17C}"/>
    <cellStyle name="Normal 6 9 2 5 2 8" xfId="9147" xr:uid="{B318CFD7-9F99-468B-9BFD-0DBBAF78DFE5}"/>
    <cellStyle name="Normal 6 9 2 5 2 9" xfId="9148" xr:uid="{B58DECA9-D189-4074-904B-5E050C19595E}"/>
    <cellStyle name="Normal 6 9 2 5 3" xfId="9149" xr:uid="{ACE0AC5E-F2C0-4B17-94E2-E9F8E120D1E8}"/>
    <cellStyle name="Normal 6 9 2 5 3 2" xfId="9150" xr:uid="{809E6660-A9F0-47E8-BCC8-B807B4ACDCBE}"/>
    <cellStyle name="Normal 6 9 2 5 3 2 2" xfId="9151" xr:uid="{7517B404-365D-4152-B8A5-4A48BDB5092B}"/>
    <cellStyle name="Normal 6 9 2 5 3 2 3" xfId="9152" xr:uid="{BC7210ED-AD0C-4630-906C-9A42B6A0CEDD}"/>
    <cellStyle name="Normal 6 9 2 5 3 3" xfId="9153" xr:uid="{69337316-CF72-43BF-9FFF-8A15757927D6}"/>
    <cellStyle name="Normal 6 9 2 5 3 3 2" xfId="9154" xr:uid="{FBD51D2F-F242-44B9-9880-18F204B119E6}"/>
    <cellStyle name="Normal 6 9 2 5 3 3 3" xfId="9155" xr:uid="{20BEC477-D3DD-4B43-BA49-2148A45DCAAB}"/>
    <cellStyle name="Normal 6 9 2 5 3 4" xfId="9156" xr:uid="{60F01906-A478-4DFB-989A-DFCF3008334F}"/>
    <cellStyle name="Normal 6 9 2 5 3 4 2" xfId="9157" xr:uid="{3242FBE4-D618-41BD-B139-217629C44208}"/>
    <cellStyle name="Normal 6 9 2 5 3 4 3" xfId="9158" xr:uid="{1BACDFE7-5CAA-494D-AB5B-6CEE3326C06C}"/>
    <cellStyle name="Normal 6 9 2 5 3 5" xfId="9159" xr:uid="{CC5B088A-27E7-4EBE-9468-BF4C31913EC3}"/>
    <cellStyle name="Normal 6 9 2 5 3 6" xfId="9160" xr:uid="{76D3B51E-2061-410F-9737-36FBF21FFCAB}"/>
    <cellStyle name="Normal 6 9 2 5 3 7" xfId="9161" xr:uid="{4D2F5CCA-2A52-4B8B-8C48-39C3FA1365D6}"/>
    <cellStyle name="Normal 6 9 2 5 3 8" xfId="9162" xr:uid="{1BBDA333-CD28-4E6A-B456-AF8906D9F951}"/>
    <cellStyle name="Normal 6 9 2 5 4" xfId="9163" xr:uid="{E949BD05-01C1-46D3-BC2D-1DC6EE35C05D}"/>
    <cellStyle name="Normal 6 9 2 5 4 2" xfId="9164" xr:uid="{826E0A1C-25B6-4665-8990-31F6BB6AD62B}"/>
    <cellStyle name="Normal 6 9 2 5 4 3" xfId="9165" xr:uid="{FE5F1AB6-2D8C-40BE-A76F-C45715F689D5}"/>
    <cellStyle name="Normal 6 9 2 5 5" xfId="9166" xr:uid="{C43331EA-A784-41E8-8E47-4518BFC49E1F}"/>
    <cellStyle name="Normal 6 9 2 5 5 2" xfId="9167" xr:uid="{7CCF4892-49A4-41E0-842D-36F8564271FA}"/>
    <cellStyle name="Normal 6 9 2 5 5 3" xfId="9168" xr:uid="{80941134-8023-434C-BF94-7645F75FC95C}"/>
    <cellStyle name="Normal 6 9 2 5 6" xfId="9169" xr:uid="{DB7B1093-6637-4883-BF13-5CF6D4B23243}"/>
    <cellStyle name="Normal 6 9 2 5 6 2" xfId="9170" xr:uid="{5B46A636-6D05-46EE-B7CE-C0CCAE7A7A3D}"/>
    <cellStyle name="Normal 6 9 2 5 6 3" xfId="9171" xr:uid="{064AF1EF-44FC-43B3-B21F-475D416FA1DA}"/>
    <cellStyle name="Normal 6 9 2 5 7" xfId="9172" xr:uid="{6FB7C97C-8A46-48EB-A2C5-39D95B426585}"/>
    <cellStyle name="Normal 6 9 2 5 8" xfId="9173" xr:uid="{78D96B77-A11F-4EA0-978E-381A212D799C}"/>
    <cellStyle name="Normal 6 9 2 5 9" xfId="9174" xr:uid="{C315D7CA-74EF-438B-B2CD-39F4907474FE}"/>
    <cellStyle name="Normal 6 9 2 6" xfId="2325" xr:uid="{E9D4F6F7-FCAD-4972-90E2-A014408D6D5A}"/>
    <cellStyle name="Normal 6 9 2 6 2" xfId="9175" xr:uid="{1F99E249-CFEB-4062-AEE3-9CB5EA9FFCFE}"/>
    <cellStyle name="Normal 6 9 2 6 2 2" xfId="9176" xr:uid="{D314A95E-2772-4A1C-9A78-B66A7A77E2CB}"/>
    <cellStyle name="Normal 6 9 2 6 2 2 2" xfId="9177" xr:uid="{F15082C9-881E-4BF4-831C-1D1F5736EA9F}"/>
    <cellStyle name="Normal 6 9 2 6 2 2 3" xfId="9178" xr:uid="{E5A73048-8A12-446A-8E99-16FF6A3E36A8}"/>
    <cellStyle name="Normal 6 9 2 6 2 3" xfId="9179" xr:uid="{4AF1E6AD-185D-48A3-9F07-FA7E75E02E12}"/>
    <cellStyle name="Normal 6 9 2 6 2 3 2" xfId="9180" xr:uid="{80AE22DA-0C76-4FF7-B3A0-9A9BD587A1FD}"/>
    <cellStyle name="Normal 6 9 2 6 2 3 3" xfId="9181" xr:uid="{831ABF31-D218-4AF5-8F51-C01C25157EEB}"/>
    <cellStyle name="Normal 6 9 2 6 2 4" xfId="9182" xr:uid="{9DA6C2FF-2F07-4833-A8C8-ECD18023DE7D}"/>
    <cellStyle name="Normal 6 9 2 6 2 4 2" xfId="9183" xr:uid="{43D56742-F90D-4209-A6D6-B14F09664807}"/>
    <cellStyle name="Normal 6 9 2 6 2 4 3" xfId="9184" xr:uid="{AC0266AB-EE6C-44F6-968A-9C17402880CB}"/>
    <cellStyle name="Normal 6 9 2 6 2 5" xfId="9185" xr:uid="{FD230332-23B4-4FA5-8677-CEB97A6EAF45}"/>
    <cellStyle name="Normal 6 9 2 6 2 6" xfId="9186" xr:uid="{E0EF9C77-D208-4C9D-A767-75E1B6126279}"/>
    <cellStyle name="Normal 6 9 2 6 2 7" xfId="9187" xr:uid="{B277AB16-B227-4D3D-AB6E-93ADE076D3D2}"/>
    <cellStyle name="Normal 6 9 2 6 2 8" xfId="9188" xr:uid="{70494148-2343-4AD0-AB4F-FEE214C194E1}"/>
    <cellStyle name="Normal 6 9 2 6 3" xfId="9189" xr:uid="{76EC03FD-D4BC-47D3-9531-5797C0C4BAEB}"/>
    <cellStyle name="Normal 6 9 2 6 3 2" xfId="9190" xr:uid="{9E020688-6C6E-4B8B-8E4C-3805A3E08791}"/>
    <cellStyle name="Normal 6 9 2 6 3 3" xfId="9191" xr:uid="{0587B4F9-1EA7-4F02-A2DC-17A05C12FE9E}"/>
    <cellStyle name="Normal 6 9 2 6 4" xfId="9192" xr:uid="{DF9D29D9-D1B1-4BD0-8691-C1E61A6BA7F2}"/>
    <cellStyle name="Normal 6 9 2 6 4 2" xfId="9193" xr:uid="{B20DFEBE-B05A-4C85-9B07-2185CA60BF17}"/>
    <cellStyle name="Normal 6 9 2 6 4 3" xfId="9194" xr:uid="{3225D831-F8F8-44EE-97BC-7DA0975A4C7B}"/>
    <cellStyle name="Normal 6 9 2 6 5" xfId="9195" xr:uid="{96EEA8D3-CA76-46FE-B3B7-2ADC9C1C3EDD}"/>
    <cellStyle name="Normal 6 9 2 6 5 2" xfId="9196" xr:uid="{FA2D5904-1AEE-429C-989C-8CFBC378C1D5}"/>
    <cellStyle name="Normal 6 9 2 6 5 3" xfId="9197" xr:uid="{27485304-1998-47DD-9885-A8D4FA75691E}"/>
    <cellStyle name="Normal 6 9 2 6 6" xfId="9198" xr:uid="{ECFC8786-9197-420C-932A-675CF59A451B}"/>
    <cellStyle name="Normal 6 9 2 6 7" xfId="9199" xr:uid="{B95338F9-1344-4490-A5AC-E78157F9D0C5}"/>
    <cellStyle name="Normal 6 9 2 6 8" xfId="9200" xr:uid="{87C527CB-7EF0-466B-B140-710689EC8953}"/>
    <cellStyle name="Normal 6 9 2 6 9" xfId="9201" xr:uid="{F26CFBE3-96D1-4702-A136-BCA30526E027}"/>
    <cellStyle name="Normal 6 9 2 7" xfId="9202" xr:uid="{2288018B-7114-4DB2-B5B1-EC374A4D6A36}"/>
    <cellStyle name="Normal 6 9 2 7 2" xfId="9203" xr:uid="{212E4D39-AA53-45E0-BA73-3818CCDBB055}"/>
    <cellStyle name="Normal 6 9 2 7 2 2" xfId="9204" xr:uid="{74FBA1B9-EE23-4EB2-AFBE-F5CE7834AEE0}"/>
    <cellStyle name="Normal 6 9 2 7 2 3" xfId="9205" xr:uid="{4C213B46-B402-484E-9B62-D3F4AC038C37}"/>
    <cellStyle name="Normal 6 9 2 7 3" xfId="9206" xr:uid="{1D0E637D-7831-47B5-8780-5E0150F7C4CE}"/>
    <cellStyle name="Normal 6 9 2 7 3 2" xfId="9207" xr:uid="{4F2FD87C-384A-40A2-8151-6C634AC77835}"/>
    <cellStyle name="Normal 6 9 2 7 3 3" xfId="9208" xr:uid="{BE821D66-2C12-4641-9F96-DD1CE6693193}"/>
    <cellStyle name="Normal 6 9 2 7 4" xfId="9209" xr:uid="{D08F79B6-87FB-4D8A-9312-66C816A8EBEA}"/>
    <cellStyle name="Normal 6 9 2 7 4 2" xfId="9210" xr:uid="{5BBE1D15-4E51-4C72-886E-FAF8FE1933B1}"/>
    <cellStyle name="Normal 6 9 2 7 4 3" xfId="9211" xr:uid="{DA9669E6-C6E1-4FFD-8DFD-982BEAD51215}"/>
    <cellStyle name="Normal 6 9 2 7 5" xfId="9212" xr:uid="{1C32C44A-C925-4B02-BD60-2C88F1A6DCA1}"/>
    <cellStyle name="Normal 6 9 2 7 6" xfId="9213" xr:uid="{CED4874B-F0F2-4289-97F9-666428D66CCC}"/>
    <cellStyle name="Normal 6 9 2 7 7" xfId="9214" xr:uid="{4553227F-9D6A-4A2A-9301-7B9EE3F713B6}"/>
    <cellStyle name="Normal 6 9 2 7 8" xfId="9215" xr:uid="{F1DD720B-8F68-443A-8E1B-CB1A09783F73}"/>
    <cellStyle name="Normal 6 9 2 8" xfId="9216" xr:uid="{4473EF88-A66E-4092-A549-D69D0E560D73}"/>
    <cellStyle name="Normal 6 9 2 8 2" xfId="9217" xr:uid="{F5695067-FF49-4901-ACBC-F7BD818030AD}"/>
    <cellStyle name="Normal 6 9 2 8 3" xfId="9218" xr:uid="{40857587-4F5E-4390-9070-82E49CD24D2B}"/>
    <cellStyle name="Normal 6 9 2 9" xfId="9219" xr:uid="{8D34FA1E-B457-4C8D-B612-AFF1F31E5F04}"/>
    <cellStyle name="Normal 6 9 2 9 2" xfId="9220" xr:uid="{E20F1FBC-956D-480F-9E3B-FD3C237FA65E}"/>
    <cellStyle name="Normal 6 9 2 9 3" xfId="9221" xr:uid="{9B5BBF1F-577A-46E0-A4F5-C85E7D2F0C56}"/>
    <cellStyle name="Normal 6 9 3" xfId="2326" xr:uid="{0FE865AB-9457-4290-A38D-7C31BC3949A7}"/>
    <cellStyle name="Normal 6 9 3 10" xfId="9222" xr:uid="{F212D693-E64B-42BE-B3A7-470D96E05994}"/>
    <cellStyle name="Normal 6 9 3 11" xfId="9223" xr:uid="{3240C9CD-129B-4DB3-B3F9-550216C24829}"/>
    <cellStyle name="Normal 6 9 3 12" xfId="9224" xr:uid="{75C31420-2BF8-43C7-8CFD-6C52B6557CB1}"/>
    <cellStyle name="Normal 6 9 3 2" xfId="2327" xr:uid="{B1BBDA2E-EF3C-4744-A2BB-CC4673CF7FD3}"/>
    <cellStyle name="Normal 6 9 3 2 10" xfId="9225" xr:uid="{59044A43-EE2E-4871-BD0B-B5C5D04A3A65}"/>
    <cellStyle name="Normal 6 9 3 2 11" xfId="9226" xr:uid="{75FECB8F-211E-4EC0-8EC1-1721F25C57F0}"/>
    <cellStyle name="Normal 6 9 3 2 2" xfId="2328" xr:uid="{85A155CD-8FCE-4721-B56F-51929ABC8468}"/>
    <cellStyle name="Normal 6 9 3 2 2 10" xfId="9227" xr:uid="{10ABBFF6-805D-431D-B7D2-2BE603760044}"/>
    <cellStyle name="Normal 6 9 3 2 2 2" xfId="2329" xr:uid="{3376C6E7-A138-499D-9DE9-806B96EFDA3F}"/>
    <cellStyle name="Normal 6 9 3 2 2 2 2" xfId="9228" xr:uid="{51885058-0262-4CAD-989E-309E29A37C17}"/>
    <cellStyle name="Normal 6 9 3 2 2 2 2 2" xfId="9229" xr:uid="{18E269A8-F98C-4E94-9981-E42F275200C5}"/>
    <cellStyle name="Normal 6 9 3 2 2 2 2 2 2" xfId="9230" xr:uid="{B5D8C3DA-D297-4D71-8A09-596550E2B387}"/>
    <cellStyle name="Normal 6 9 3 2 2 2 2 2 3" xfId="9231" xr:uid="{2017B944-27F6-432E-BF30-6AD81DC299D8}"/>
    <cellStyle name="Normal 6 9 3 2 2 2 2 3" xfId="9232" xr:uid="{1A6AC1A3-6174-4926-AC9E-EB1F9624B8CB}"/>
    <cellStyle name="Normal 6 9 3 2 2 2 2 3 2" xfId="9233" xr:uid="{125F9109-2A2D-4F01-B54E-E837CC32E590}"/>
    <cellStyle name="Normal 6 9 3 2 2 2 2 3 3" xfId="9234" xr:uid="{7ADE9ACF-7D01-4C13-B57A-B91BD08D3B76}"/>
    <cellStyle name="Normal 6 9 3 2 2 2 2 4" xfId="9235" xr:uid="{DD4ED487-A991-427A-A971-A133E4DA3332}"/>
    <cellStyle name="Normal 6 9 3 2 2 2 2 4 2" xfId="9236" xr:uid="{27E9D488-3E05-4F86-9F5A-ACB7523F4814}"/>
    <cellStyle name="Normal 6 9 3 2 2 2 2 4 3" xfId="9237" xr:uid="{5DBFF152-E88A-4E24-88DA-44C55601796E}"/>
    <cellStyle name="Normal 6 9 3 2 2 2 2 5" xfId="9238" xr:uid="{30B3D1A9-B704-42CA-BAFE-148FF0A985F2}"/>
    <cellStyle name="Normal 6 9 3 2 2 2 2 6" xfId="9239" xr:uid="{5B25A837-5E56-46A2-9A47-05625A556A56}"/>
    <cellStyle name="Normal 6 9 3 2 2 2 2 7" xfId="9240" xr:uid="{68CF59DF-4C2E-438F-8C0E-8998228FCC10}"/>
    <cellStyle name="Normal 6 9 3 2 2 2 2 8" xfId="9241" xr:uid="{C2EEB216-427C-4BF8-B129-C0AFE57E852A}"/>
    <cellStyle name="Normal 6 9 3 2 2 2 3" xfId="9242" xr:uid="{A6FB3FAA-6DAC-474F-A854-A3B8A630781B}"/>
    <cellStyle name="Normal 6 9 3 2 2 2 3 2" xfId="9243" xr:uid="{C5A3A17A-F976-462B-8258-0CAAF95ABC11}"/>
    <cellStyle name="Normal 6 9 3 2 2 2 3 3" xfId="9244" xr:uid="{994CE102-1C4D-4F40-96C0-8DB584FE7307}"/>
    <cellStyle name="Normal 6 9 3 2 2 2 4" xfId="9245" xr:uid="{AF676264-50AB-4C50-91B8-D47677288F15}"/>
    <cellStyle name="Normal 6 9 3 2 2 2 4 2" xfId="9246" xr:uid="{9F4CBD3D-4FCA-4B42-BF79-5BC38E6C653B}"/>
    <cellStyle name="Normal 6 9 3 2 2 2 4 3" xfId="9247" xr:uid="{9D8C4CF4-A795-4ABE-A716-39C65EEE798A}"/>
    <cellStyle name="Normal 6 9 3 2 2 2 5" xfId="9248" xr:uid="{8BA4F7BF-018C-43C0-BE58-50B55DAEFE01}"/>
    <cellStyle name="Normal 6 9 3 2 2 2 5 2" xfId="9249" xr:uid="{1314DCE7-3220-4876-98F8-55EC62F2DBDE}"/>
    <cellStyle name="Normal 6 9 3 2 2 2 5 3" xfId="9250" xr:uid="{A9489702-AB5E-48A0-AA25-9A7326C0447C}"/>
    <cellStyle name="Normal 6 9 3 2 2 2 6" xfId="9251" xr:uid="{15EFEBE9-ED99-4ED3-BC54-DD657C7A6F59}"/>
    <cellStyle name="Normal 6 9 3 2 2 2 7" xfId="9252" xr:uid="{43551054-319F-4700-9FF5-3BAD963984FF}"/>
    <cellStyle name="Normal 6 9 3 2 2 2 8" xfId="9253" xr:uid="{006D352C-A33F-45EE-9AD3-C5F7A58F8AE4}"/>
    <cellStyle name="Normal 6 9 3 2 2 2 9" xfId="9254" xr:uid="{2452442D-539F-4B03-B569-F5395A477EDC}"/>
    <cellStyle name="Normal 6 9 3 2 2 3" xfId="9255" xr:uid="{6CFCA821-B88C-43EA-9309-EDFF8FCB57A1}"/>
    <cellStyle name="Normal 6 9 3 2 2 3 2" xfId="9256" xr:uid="{15613FFB-F1D8-47C2-B9CE-DE07904F818E}"/>
    <cellStyle name="Normal 6 9 3 2 2 3 2 2" xfId="9257" xr:uid="{600D51A9-8D66-4C63-9520-52BF4B4E9AB3}"/>
    <cellStyle name="Normal 6 9 3 2 2 3 2 3" xfId="9258" xr:uid="{5728D35E-D3DC-4457-987D-0B7816F8C2AE}"/>
    <cellStyle name="Normal 6 9 3 2 2 3 3" xfId="9259" xr:uid="{35571A5B-DC32-4262-B96D-CA9217BB0634}"/>
    <cellStyle name="Normal 6 9 3 2 2 3 3 2" xfId="9260" xr:uid="{6EC92705-C9A8-478F-B507-3483E99A6388}"/>
    <cellStyle name="Normal 6 9 3 2 2 3 3 3" xfId="9261" xr:uid="{F968C807-C7AD-408C-A809-BD8A5395194F}"/>
    <cellStyle name="Normal 6 9 3 2 2 3 4" xfId="9262" xr:uid="{5613D757-6835-4E34-A2FA-B6A856E6F2A3}"/>
    <cellStyle name="Normal 6 9 3 2 2 3 4 2" xfId="9263" xr:uid="{B7293388-5504-4657-958A-8D49FC106242}"/>
    <cellStyle name="Normal 6 9 3 2 2 3 4 3" xfId="9264" xr:uid="{BE66EB11-B56E-49D4-9F40-E07A3EB0E55D}"/>
    <cellStyle name="Normal 6 9 3 2 2 3 5" xfId="9265" xr:uid="{99212B9C-917A-4BE8-A88F-77CB9773DECB}"/>
    <cellStyle name="Normal 6 9 3 2 2 3 6" xfId="9266" xr:uid="{5C4FC183-87FE-416B-AEE9-EF11FBB5639B}"/>
    <cellStyle name="Normal 6 9 3 2 2 3 7" xfId="9267" xr:uid="{A7DF3EBE-BA07-4411-BCFE-D7116289E39F}"/>
    <cellStyle name="Normal 6 9 3 2 2 3 8" xfId="9268" xr:uid="{B4C24E52-2197-4B40-907B-4B5E62FC4641}"/>
    <cellStyle name="Normal 6 9 3 2 2 4" xfId="9269" xr:uid="{9BA91415-3571-4986-8152-F397E769E985}"/>
    <cellStyle name="Normal 6 9 3 2 2 4 2" xfId="9270" xr:uid="{65A4A0F0-9BAA-47E7-9DC0-09A861D9B7B2}"/>
    <cellStyle name="Normal 6 9 3 2 2 4 3" xfId="9271" xr:uid="{C446D6E9-7D84-48E0-88DF-E7C1B5154D4B}"/>
    <cellStyle name="Normal 6 9 3 2 2 5" xfId="9272" xr:uid="{7FB14E5F-F3CE-42AB-BA84-3611D0257A94}"/>
    <cellStyle name="Normal 6 9 3 2 2 5 2" xfId="9273" xr:uid="{F2BD8313-4153-4686-A4CD-BE9112180CC2}"/>
    <cellStyle name="Normal 6 9 3 2 2 5 3" xfId="9274" xr:uid="{1CF875FB-5185-4213-B9A6-A6ED10D6E4F9}"/>
    <cellStyle name="Normal 6 9 3 2 2 6" xfId="9275" xr:uid="{B919DB19-ACC7-4E4D-8C08-C42CD3D3E341}"/>
    <cellStyle name="Normal 6 9 3 2 2 6 2" xfId="9276" xr:uid="{3230F72D-7A0B-46F3-ACBD-CABEDBC034A4}"/>
    <cellStyle name="Normal 6 9 3 2 2 6 3" xfId="9277" xr:uid="{7B66B39C-1EF2-4271-BF22-7D34D9FC7E0E}"/>
    <cellStyle name="Normal 6 9 3 2 2 7" xfId="9278" xr:uid="{370377BE-7E07-40A9-91B6-C54AA6B98CC4}"/>
    <cellStyle name="Normal 6 9 3 2 2 8" xfId="9279" xr:uid="{A7A3BE08-B4D4-4B58-A006-67DC24102B27}"/>
    <cellStyle name="Normal 6 9 3 2 2 9" xfId="9280" xr:uid="{53B4E724-8BD3-4E66-B74B-2676AABB3CD7}"/>
    <cellStyle name="Normal 6 9 3 2 3" xfId="2330" xr:uid="{8AAFC5E6-01A7-4E1A-9DF0-B3814C0CB43E}"/>
    <cellStyle name="Normal 6 9 3 2 3 2" xfId="9281" xr:uid="{4A98CA30-BB17-491E-8327-4A1886813603}"/>
    <cellStyle name="Normal 6 9 3 2 3 2 2" xfId="9282" xr:uid="{00097C41-DA0A-40B6-9160-6DE205096A96}"/>
    <cellStyle name="Normal 6 9 3 2 3 2 2 2" xfId="9283" xr:uid="{A9E3332C-E69E-493C-AB9F-356CEB685FA2}"/>
    <cellStyle name="Normal 6 9 3 2 3 2 2 3" xfId="9284" xr:uid="{27B1EBE6-03FF-46E9-9516-DE80A9913920}"/>
    <cellStyle name="Normal 6 9 3 2 3 2 3" xfId="9285" xr:uid="{2E1B5270-52EB-4C2A-A6FA-E018CAA47EF2}"/>
    <cellStyle name="Normal 6 9 3 2 3 2 3 2" xfId="9286" xr:uid="{37FC0A35-1F54-49BC-AE0F-5EABC9655CF4}"/>
    <cellStyle name="Normal 6 9 3 2 3 2 3 3" xfId="9287" xr:uid="{65E6B76A-2E0A-4816-AA22-8036054C1D66}"/>
    <cellStyle name="Normal 6 9 3 2 3 2 4" xfId="9288" xr:uid="{B486B401-7C75-4C3E-9FD4-D675D0731E0E}"/>
    <cellStyle name="Normal 6 9 3 2 3 2 4 2" xfId="9289" xr:uid="{EDC5DED7-44E5-49CE-B1F2-48CF8CC5DC4E}"/>
    <cellStyle name="Normal 6 9 3 2 3 2 4 3" xfId="9290" xr:uid="{A0A2F558-09D1-4F00-9AD3-7472F1B08728}"/>
    <cellStyle name="Normal 6 9 3 2 3 2 5" xfId="9291" xr:uid="{F4620BEF-8202-454B-8CF8-BD0BFA99179B}"/>
    <cellStyle name="Normal 6 9 3 2 3 2 6" xfId="9292" xr:uid="{1781AB27-5B83-41A5-A219-4E8F37D890AD}"/>
    <cellStyle name="Normal 6 9 3 2 3 2 7" xfId="9293" xr:uid="{874B2FE5-F4A3-4F64-846C-C3EEC039E4AB}"/>
    <cellStyle name="Normal 6 9 3 2 3 2 8" xfId="9294" xr:uid="{1705847E-B124-44DA-83EE-FD5763CAD298}"/>
    <cellStyle name="Normal 6 9 3 2 3 3" xfId="9295" xr:uid="{1582E992-7611-4F9A-94CC-C67CFAE5D39F}"/>
    <cellStyle name="Normal 6 9 3 2 3 3 2" xfId="9296" xr:uid="{BD88E177-7FA1-4009-99B6-22966B876B1C}"/>
    <cellStyle name="Normal 6 9 3 2 3 3 3" xfId="9297" xr:uid="{52EF30EA-0DB6-42C5-885C-86332879AB08}"/>
    <cellStyle name="Normal 6 9 3 2 3 4" xfId="9298" xr:uid="{BF0D5521-7BF8-4E4A-983A-4449C7F258C4}"/>
    <cellStyle name="Normal 6 9 3 2 3 4 2" xfId="9299" xr:uid="{D6ABA0F5-DEB3-453B-804F-BC030EB4D876}"/>
    <cellStyle name="Normal 6 9 3 2 3 4 3" xfId="9300" xr:uid="{0826197A-7D26-4CCD-A4B5-543A0779BD88}"/>
    <cellStyle name="Normal 6 9 3 2 3 5" xfId="9301" xr:uid="{21DDE58F-1097-4A58-9D24-D0960A451A1A}"/>
    <cellStyle name="Normal 6 9 3 2 3 5 2" xfId="9302" xr:uid="{B6CE0C1E-538C-41E5-9DF3-847074422181}"/>
    <cellStyle name="Normal 6 9 3 2 3 5 3" xfId="9303" xr:uid="{28320659-429B-42F5-B9E7-5EA69A201436}"/>
    <cellStyle name="Normal 6 9 3 2 3 6" xfId="9304" xr:uid="{9D70280B-0DE0-4FA3-B643-87E6283F9829}"/>
    <cellStyle name="Normal 6 9 3 2 3 7" xfId="9305" xr:uid="{67E71C29-BE9A-4EAD-9A90-F56B7CA06D18}"/>
    <cellStyle name="Normal 6 9 3 2 3 8" xfId="9306" xr:uid="{D91ACE01-9ECD-440D-8576-55A0A5CFE8E9}"/>
    <cellStyle name="Normal 6 9 3 2 3 9" xfId="9307" xr:uid="{C0B74E9D-6078-41A4-A682-12D9E38F7076}"/>
    <cellStyle name="Normal 6 9 3 2 4" xfId="9308" xr:uid="{D7834DB8-48A2-4701-AB66-E63D6F5F6A27}"/>
    <cellStyle name="Normal 6 9 3 2 4 2" xfId="9309" xr:uid="{51D2AB5D-C541-46A1-846A-9253A4339B86}"/>
    <cellStyle name="Normal 6 9 3 2 4 2 2" xfId="9310" xr:uid="{BBC38764-1CF3-4FAC-B3D3-1292D6D9E246}"/>
    <cellStyle name="Normal 6 9 3 2 4 2 3" xfId="9311" xr:uid="{87A32AA9-984A-47DF-BC4E-014CF234E1FA}"/>
    <cellStyle name="Normal 6 9 3 2 4 3" xfId="9312" xr:uid="{F6828E4C-E968-4D76-867F-5CA8C3548BDE}"/>
    <cellStyle name="Normal 6 9 3 2 4 3 2" xfId="9313" xr:uid="{C7EE6261-9108-4196-8B0D-7B95A4FE89D8}"/>
    <cellStyle name="Normal 6 9 3 2 4 3 3" xfId="9314" xr:uid="{0560CB55-F7F5-4CFE-B665-4086BBDC8B69}"/>
    <cellStyle name="Normal 6 9 3 2 4 4" xfId="9315" xr:uid="{ED85C4C6-DB24-4DC0-85F2-70CDFC6357D9}"/>
    <cellStyle name="Normal 6 9 3 2 4 4 2" xfId="9316" xr:uid="{33F39463-17FD-434B-B190-06D64126DC76}"/>
    <cellStyle name="Normal 6 9 3 2 4 4 3" xfId="9317" xr:uid="{9EC92A9B-636D-40B7-8C80-B164A6CBF4F8}"/>
    <cellStyle name="Normal 6 9 3 2 4 5" xfId="9318" xr:uid="{BFEADD84-1626-404A-9E47-8988E3982DAA}"/>
    <cellStyle name="Normal 6 9 3 2 4 6" xfId="9319" xr:uid="{A77C2480-6646-40CD-B4D7-32AC8E97B40B}"/>
    <cellStyle name="Normal 6 9 3 2 4 7" xfId="9320" xr:uid="{6F1BBE65-DCF6-4921-8F68-03A1A6B2A752}"/>
    <cellStyle name="Normal 6 9 3 2 4 8" xfId="9321" xr:uid="{9C6B9070-449D-4693-BBFC-3EBC3A691C66}"/>
    <cellStyle name="Normal 6 9 3 2 5" xfId="9322" xr:uid="{CF2BC0EC-8BA5-4F7F-AA3B-51DE473A137C}"/>
    <cellStyle name="Normal 6 9 3 2 5 2" xfId="9323" xr:uid="{0E16F82D-9F6B-47B4-8561-6FADEB41DB0A}"/>
    <cellStyle name="Normal 6 9 3 2 5 3" xfId="9324" xr:uid="{8CD71D8F-97A6-4127-AE76-93073ED51A94}"/>
    <cellStyle name="Normal 6 9 3 2 6" xfId="9325" xr:uid="{233C82D9-1FC6-4613-9B34-F4A312DFE48B}"/>
    <cellStyle name="Normal 6 9 3 2 6 2" xfId="9326" xr:uid="{B422CE36-99B1-4447-B562-5B05F772C126}"/>
    <cellStyle name="Normal 6 9 3 2 6 3" xfId="9327" xr:uid="{1C35E0FA-6A74-43A7-9A06-BA2B935B7FA0}"/>
    <cellStyle name="Normal 6 9 3 2 7" xfId="9328" xr:uid="{D40D8390-D78C-4495-9253-76DE9D6585FE}"/>
    <cellStyle name="Normal 6 9 3 2 7 2" xfId="9329" xr:uid="{DD1009D5-B5DD-462A-856B-5DD783EF09EF}"/>
    <cellStyle name="Normal 6 9 3 2 7 3" xfId="9330" xr:uid="{8FA3B625-BFF1-43E3-BD1A-16B84F95B9DD}"/>
    <cellStyle name="Normal 6 9 3 2 8" xfId="9331" xr:uid="{B6BCA52B-7862-4938-89B3-CAE20FA12AD7}"/>
    <cellStyle name="Normal 6 9 3 2 9" xfId="9332" xr:uid="{21074AB8-4BE4-4A36-962F-B535DD468829}"/>
    <cellStyle name="Normal 6 9 3 3" xfId="2331" xr:uid="{4F7C6E67-B734-4AB3-B440-4C865A32E1C5}"/>
    <cellStyle name="Normal 6 9 3 3 10" xfId="9333" xr:uid="{A790E23D-DD46-4DA6-8463-34B9C7329C37}"/>
    <cellStyle name="Normal 6 9 3 3 2" xfId="2332" xr:uid="{B4A16E15-4EAF-469A-9156-D2349129BC86}"/>
    <cellStyle name="Normal 6 9 3 3 2 2" xfId="9334" xr:uid="{349AEAE8-D492-428F-8358-C837561FF072}"/>
    <cellStyle name="Normal 6 9 3 3 2 2 2" xfId="9335" xr:uid="{984CD77B-797D-4917-93AB-6682EF6588A1}"/>
    <cellStyle name="Normal 6 9 3 3 2 2 2 2" xfId="9336" xr:uid="{3F5ADB4D-0FE9-48EF-9DE8-DCB714C3D297}"/>
    <cellStyle name="Normal 6 9 3 3 2 2 2 3" xfId="9337" xr:uid="{BF0B2C47-750D-40AB-970F-A6AA9E59B634}"/>
    <cellStyle name="Normal 6 9 3 3 2 2 3" xfId="9338" xr:uid="{6E299F06-2E8D-4FEB-8251-291E1DCD20BD}"/>
    <cellStyle name="Normal 6 9 3 3 2 2 3 2" xfId="9339" xr:uid="{5172CA0B-CE89-4B6B-8A8D-EAF43DEC2A1A}"/>
    <cellStyle name="Normal 6 9 3 3 2 2 3 3" xfId="9340" xr:uid="{09AAA4E7-3EBC-4DAA-A74B-4A5140F4F082}"/>
    <cellStyle name="Normal 6 9 3 3 2 2 4" xfId="9341" xr:uid="{FFEB1CBB-8F8F-4934-B782-342881D10BC3}"/>
    <cellStyle name="Normal 6 9 3 3 2 2 4 2" xfId="9342" xr:uid="{0B164039-F28F-4C86-B369-9C8B236C97E6}"/>
    <cellStyle name="Normal 6 9 3 3 2 2 4 3" xfId="9343" xr:uid="{9B1C8489-8936-435B-85B4-E5A6E6A2DAF2}"/>
    <cellStyle name="Normal 6 9 3 3 2 2 5" xfId="9344" xr:uid="{560304F1-D537-4594-8CA6-9AAD367895A5}"/>
    <cellStyle name="Normal 6 9 3 3 2 2 6" xfId="9345" xr:uid="{67BCB281-3FCD-4E1B-86FB-D645BD203F57}"/>
    <cellStyle name="Normal 6 9 3 3 2 2 7" xfId="9346" xr:uid="{E6B8B84F-A3D2-40AA-B9EF-B74DCEA6E6A7}"/>
    <cellStyle name="Normal 6 9 3 3 2 2 8" xfId="9347" xr:uid="{A1C4AE0D-6E9F-4EC6-9D99-D93C866FD8B9}"/>
    <cellStyle name="Normal 6 9 3 3 2 3" xfId="9348" xr:uid="{ABDFC444-D17B-4FB4-82DF-788DF0D1620F}"/>
    <cellStyle name="Normal 6 9 3 3 2 3 2" xfId="9349" xr:uid="{1C724F13-43D3-410F-BB61-37D9A85188E7}"/>
    <cellStyle name="Normal 6 9 3 3 2 3 3" xfId="9350" xr:uid="{FEA3E09B-2587-464A-9CD2-B28364B96457}"/>
    <cellStyle name="Normal 6 9 3 3 2 4" xfId="9351" xr:uid="{3D882C0D-FC52-48E1-8D5C-F40A3FB6493B}"/>
    <cellStyle name="Normal 6 9 3 3 2 4 2" xfId="9352" xr:uid="{E95B4386-B098-4499-A22F-8071A1942F7C}"/>
    <cellStyle name="Normal 6 9 3 3 2 4 3" xfId="9353" xr:uid="{6821F2CB-8496-4F88-A691-0F02867B2F56}"/>
    <cellStyle name="Normal 6 9 3 3 2 5" xfId="9354" xr:uid="{5DF8A56F-C15F-498D-8372-EEE2FF045E02}"/>
    <cellStyle name="Normal 6 9 3 3 2 5 2" xfId="9355" xr:uid="{9BE7EAF8-8B84-4A1E-8EA5-CBB4E2EBAD18}"/>
    <cellStyle name="Normal 6 9 3 3 2 5 3" xfId="9356" xr:uid="{6EC10072-21D5-4CCE-B091-4F086D05F036}"/>
    <cellStyle name="Normal 6 9 3 3 2 6" xfId="9357" xr:uid="{767ABF13-82D1-488D-82AE-C080F182E834}"/>
    <cellStyle name="Normal 6 9 3 3 2 7" xfId="9358" xr:uid="{BA2366E2-4895-4BC9-ABB1-EB9E3BFDF2BF}"/>
    <cellStyle name="Normal 6 9 3 3 2 8" xfId="9359" xr:uid="{942FF860-8834-48F5-8282-3F6B303ECBA9}"/>
    <cellStyle name="Normal 6 9 3 3 2 9" xfId="9360" xr:uid="{2009E83C-39C2-4584-8C56-C1D220ED07E9}"/>
    <cellStyle name="Normal 6 9 3 3 3" xfId="9361" xr:uid="{70B689DA-A0D2-4F1F-B1AC-341DBF9E6196}"/>
    <cellStyle name="Normal 6 9 3 3 3 2" xfId="9362" xr:uid="{44EBE5A4-1767-4F9C-AE07-D5441F7FE965}"/>
    <cellStyle name="Normal 6 9 3 3 3 2 2" xfId="9363" xr:uid="{4A1476A1-CA3F-4FDE-92A1-EDD83741F411}"/>
    <cellStyle name="Normal 6 9 3 3 3 2 3" xfId="9364" xr:uid="{0E01C7D1-E978-4E64-9B32-AEDF0822F563}"/>
    <cellStyle name="Normal 6 9 3 3 3 3" xfId="9365" xr:uid="{8965E06F-CC93-428A-A7A2-90C4A8A48EFE}"/>
    <cellStyle name="Normal 6 9 3 3 3 3 2" xfId="9366" xr:uid="{ED3413A8-9A39-4A2E-8234-B21A43FDE10B}"/>
    <cellStyle name="Normal 6 9 3 3 3 3 3" xfId="9367" xr:uid="{B9047D00-AF85-42F5-8478-EA85D6C01B97}"/>
    <cellStyle name="Normal 6 9 3 3 3 4" xfId="9368" xr:uid="{F3A73A7F-30D2-4BAA-B48B-CF33741421EC}"/>
    <cellStyle name="Normal 6 9 3 3 3 4 2" xfId="9369" xr:uid="{9C16C4EB-2AE9-4BA4-8BD3-751A4A5B60CF}"/>
    <cellStyle name="Normal 6 9 3 3 3 4 3" xfId="9370" xr:uid="{4BF3B178-EE8D-4EB8-BC49-DB56FF9ADFA4}"/>
    <cellStyle name="Normal 6 9 3 3 3 5" xfId="9371" xr:uid="{EA692886-FDBB-4EE6-9561-826892C5800A}"/>
    <cellStyle name="Normal 6 9 3 3 3 6" xfId="9372" xr:uid="{7A04CD01-A447-4481-9ADF-019C85E3E3CA}"/>
    <cellStyle name="Normal 6 9 3 3 3 7" xfId="9373" xr:uid="{FA871AB5-081F-411B-8A73-DF4D34E5C2EF}"/>
    <cellStyle name="Normal 6 9 3 3 3 8" xfId="9374" xr:uid="{47616A67-1243-4AAA-924C-DC28FD097F3F}"/>
    <cellStyle name="Normal 6 9 3 3 4" xfId="9375" xr:uid="{6E852DE8-4759-4769-8D6A-EBCA83437368}"/>
    <cellStyle name="Normal 6 9 3 3 4 2" xfId="9376" xr:uid="{AA4F533D-1215-4F72-AFAE-812C44170760}"/>
    <cellStyle name="Normal 6 9 3 3 4 3" xfId="9377" xr:uid="{F0D62BB0-1148-433D-A5EF-B7B1AF51833D}"/>
    <cellStyle name="Normal 6 9 3 3 5" xfId="9378" xr:uid="{2025E40B-A511-422C-A1BD-A5C4A64C1469}"/>
    <cellStyle name="Normal 6 9 3 3 5 2" xfId="9379" xr:uid="{3E3D993E-451E-496B-AAF3-40D59D82ABAF}"/>
    <cellStyle name="Normal 6 9 3 3 5 3" xfId="9380" xr:uid="{D219A350-8E51-4F80-ACB5-68DD648AB282}"/>
    <cellStyle name="Normal 6 9 3 3 6" xfId="9381" xr:uid="{815FFE50-7FC9-4937-99E6-D4260BC9B901}"/>
    <cellStyle name="Normal 6 9 3 3 6 2" xfId="9382" xr:uid="{B7D9EB09-7BDF-4286-B019-FF58EEAF49C5}"/>
    <cellStyle name="Normal 6 9 3 3 6 3" xfId="9383" xr:uid="{9F6159C6-2240-4893-90DE-F55FE1EF6AE5}"/>
    <cellStyle name="Normal 6 9 3 3 7" xfId="9384" xr:uid="{B82DD312-0F82-4CC2-ACBB-E26E348E1BD7}"/>
    <cellStyle name="Normal 6 9 3 3 8" xfId="9385" xr:uid="{BE9C6670-61FF-4AF8-9941-FA7021F9F6EE}"/>
    <cellStyle name="Normal 6 9 3 3 9" xfId="9386" xr:uid="{EBE1552F-20EC-4611-AD40-E9BC0FAE43F2}"/>
    <cellStyle name="Normal 6 9 3 4" xfId="2333" xr:uid="{A4E65DEC-AAD1-4B84-BC14-48ECAB89A55C}"/>
    <cellStyle name="Normal 6 9 3 4 2" xfId="9387" xr:uid="{D84DFCC6-B578-4536-8B57-F2A9538CFC76}"/>
    <cellStyle name="Normal 6 9 3 4 2 2" xfId="9388" xr:uid="{56569BFB-740F-4BA8-A052-70BB4252C9CF}"/>
    <cellStyle name="Normal 6 9 3 4 2 2 2" xfId="9389" xr:uid="{2D93B7CC-C34F-4F05-B912-0FCA9640DC82}"/>
    <cellStyle name="Normal 6 9 3 4 2 2 3" xfId="9390" xr:uid="{5C56E502-E672-496D-A678-57EFA144E052}"/>
    <cellStyle name="Normal 6 9 3 4 2 3" xfId="9391" xr:uid="{81E740E8-428A-442F-8997-0B533A460255}"/>
    <cellStyle name="Normal 6 9 3 4 2 3 2" xfId="9392" xr:uid="{C13527F6-8ABF-422B-BF6F-1D5391BCDA2A}"/>
    <cellStyle name="Normal 6 9 3 4 2 3 3" xfId="9393" xr:uid="{052B6599-CF25-4D90-AFE8-ADC21A8A536F}"/>
    <cellStyle name="Normal 6 9 3 4 2 4" xfId="9394" xr:uid="{255A904D-C08F-4ADA-B8AE-AA7153F07874}"/>
    <cellStyle name="Normal 6 9 3 4 2 4 2" xfId="9395" xr:uid="{21A7789C-12B5-471B-A288-FA3DD8A904AA}"/>
    <cellStyle name="Normal 6 9 3 4 2 4 3" xfId="9396" xr:uid="{1C92C29E-BD8C-408E-A6D6-CFACA42EF033}"/>
    <cellStyle name="Normal 6 9 3 4 2 5" xfId="9397" xr:uid="{1A755BFC-D25C-41EE-9157-B9AA92D3C280}"/>
    <cellStyle name="Normal 6 9 3 4 2 6" xfId="9398" xr:uid="{929818E1-6ACF-4FAE-BCCC-157ABCB78931}"/>
    <cellStyle name="Normal 6 9 3 4 2 7" xfId="9399" xr:uid="{112EB621-EB2F-4D65-955A-92758B555832}"/>
    <cellStyle name="Normal 6 9 3 4 2 8" xfId="9400" xr:uid="{EBCF3838-8677-4A33-8C4B-9B352AF35C37}"/>
    <cellStyle name="Normal 6 9 3 4 3" xfId="9401" xr:uid="{44C531BF-630E-4440-8240-C9CE9D738A3B}"/>
    <cellStyle name="Normal 6 9 3 4 3 2" xfId="9402" xr:uid="{44A464C7-F562-48D6-BF03-E71CE0D7EA77}"/>
    <cellStyle name="Normal 6 9 3 4 3 3" xfId="9403" xr:uid="{813F297F-F810-4BCD-9C1F-22E44E977FFC}"/>
    <cellStyle name="Normal 6 9 3 4 4" xfId="9404" xr:uid="{5D4B5B32-4341-4D31-8031-F80AB9B960B9}"/>
    <cellStyle name="Normal 6 9 3 4 4 2" xfId="9405" xr:uid="{EFC61E1E-1A6E-4012-BC59-5E0B0540FEFF}"/>
    <cellStyle name="Normal 6 9 3 4 4 3" xfId="9406" xr:uid="{541B4583-0C7E-457F-83C7-80C4FCDF20FC}"/>
    <cellStyle name="Normal 6 9 3 4 5" xfId="9407" xr:uid="{29C8EBD3-9288-4A66-B44E-144509D88B78}"/>
    <cellStyle name="Normal 6 9 3 4 5 2" xfId="9408" xr:uid="{82691625-D11F-48B9-A1A3-A79204C6C6D0}"/>
    <cellStyle name="Normal 6 9 3 4 5 3" xfId="9409" xr:uid="{00458EEF-EFAB-40BD-A044-A94D467B9BD8}"/>
    <cellStyle name="Normal 6 9 3 4 6" xfId="9410" xr:uid="{52DAD000-7DA3-4E09-9AE1-1487272D0FB7}"/>
    <cellStyle name="Normal 6 9 3 4 7" xfId="9411" xr:uid="{AA56F937-945D-4C9A-97AF-CC3ACFF77FEA}"/>
    <cellStyle name="Normal 6 9 3 4 8" xfId="9412" xr:uid="{BBB2060E-1C36-4513-8ACD-9E3E1549C96E}"/>
    <cellStyle name="Normal 6 9 3 4 9" xfId="9413" xr:uid="{B6C71990-DDAA-48C8-B5AB-288DC0ECB2CA}"/>
    <cellStyle name="Normal 6 9 3 5" xfId="9414" xr:uid="{36537D68-D872-444E-BC9B-57ED5A6E9C74}"/>
    <cellStyle name="Normal 6 9 3 5 2" xfId="9415" xr:uid="{42152EA5-8C43-40E8-9743-2395461C8687}"/>
    <cellStyle name="Normal 6 9 3 5 2 2" xfId="9416" xr:uid="{3D22AA8A-4635-4544-B98C-72966F85DCEA}"/>
    <cellStyle name="Normal 6 9 3 5 2 3" xfId="9417" xr:uid="{0426B247-454B-4416-A7D7-1EAE1E530741}"/>
    <cellStyle name="Normal 6 9 3 5 3" xfId="9418" xr:uid="{4505E169-CA31-456F-9B1D-0B89E3008ADA}"/>
    <cellStyle name="Normal 6 9 3 5 3 2" xfId="9419" xr:uid="{6658422A-ADA7-4386-9F7E-04D9DFCFB7FD}"/>
    <cellStyle name="Normal 6 9 3 5 3 3" xfId="9420" xr:uid="{EDDEE7FD-4B48-4F64-9636-708BA8046D1A}"/>
    <cellStyle name="Normal 6 9 3 5 4" xfId="9421" xr:uid="{7B5C89C7-0AB7-4FF7-BCFC-C12AF68E8C23}"/>
    <cellStyle name="Normal 6 9 3 5 4 2" xfId="9422" xr:uid="{A8BD12BC-AB15-4D80-BF4A-28B5D6E15B94}"/>
    <cellStyle name="Normal 6 9 3 5 4 3" xfId="9423" xr:uid="{579EACD3-C5A6-494E-AC3D-98754CAF3AA9}"/>
    <cellStyle name="Normal 6 9 3 5 5" xfId="9424" xr:uid="{81C556AC-252B-404A-B6D7-71783D6CD1C3}"/>
    <cellStyle name="Normal 6 9 3 5 6" xfId="9425" xr:uid="{B26B9483-2C80-4BA1-A5FC-CB8B3B26061A}"/>
    <cellStyle name="Normal 6 9 3 5 7" xfId="9426" xr:uid="{689C7325-FE8D-484E-A470-FEDFBAE6A7BA}"/>
    <cellStyle name="Normal 6 9 3 5 8" xfId="9427" xr:uid="{08521B7B-F986-4DC6-A7CA-13B240222B62}"/>
    <cellStyle name="Normal 6 9 3 6" xfId="9428" xr:uid="{AAD63731-EDE9-49E6-808F-C1729F552134}"/>
    <cellStyle name="Normal 6 9 3 6 2" xfId="9429" xr:uid="{F20ED950-1E22-4763-92BA-95C826183698}"/>
    <cellStyle name="Normal 6 9 3 6 3" xfId="9430" xr:uid="{ED0FA397-B34E-497E-B926-63B1E2DF0570}"/>
    <cellStyle name="Normal 6 9 3 7" xfId="9431" xr:uid="{111E11DF-1E08-4E72-A88A-19732E838DE0}"/>
    <cellStyle name="Normal 6 9 3 7 2" xfId="9432" xr:uid="{D23B434D-BB27-4E1A-88F1-FFDF248AA20B}"/>
    <cellStyle name="Normal 6 9 3 7 3" xfId="9433" xr:uid="{14FF0210-893E-433D-9EF3-666621C5C050}"/>
    <cellStyle name="Normal 6 9 3 8" xfId="9434" xr:uid="{690EA3A1-A95B-43AA-80F3-204EE9B7F7E6}"/>
    <cellStyle name="Normal 6 9 3 8 2" xfId="9435" xr:uid="{B44D0112-BA48-46E3-9085-C25ABCB23F58}"/>
    <cellStyle name="Normal 6 9 3 8 3" xfId="9436" xr:uid="{7BFEF8A2-8507-4383-A2C6-BE480F402FD5}"/>
    <cellStyle name="Normal 6 9 3 9" xfId="9437" xr:uid="{77F0841A-AE04-4BCE-8A24-4F2A0AFB468C}"/>
    <cellStyle name="Normal 6 9 4" xfId="2334" xr:uid="{5F64DA22-3E57-4062-9080-6BD120B3A579}"/>
    <cellStyle name="Normal 6 9 4 10" xfId="9438" xr:uid="{D8CAB9E8-BA1C-4351-8E36-A24FB9D1E738}"/>
    <cellStyle name="Normal 6 9 4 11" xfId="9439" xr:uid="{1E1E4030-1081-456F-B050-7D89C965C9E0}"/>
    <cellStyle name="Normal 6 9 4 12" xfId="9440" xr:uid="{4A002DC0-442F-4AA5-A6C4-907FF2C49C87}"/>
    <cellStyle name="Normal 6 9 4 2" xfId="2335" xr:uid="{2FB24867-90BE-46F8-AFE4-328182B9F0BB}"/>
    <cellStyle name="Normal 6 9 4 2 10" xfId="9441" xr:uid="{CAF6ECE9-BF50-47D5-A99A-16541C547920}"/>
    <cellStyle name="Normal 6 9 4 2 11" xfId="9442" xr:uid="{21660C89-93B2-4812-B772-8F5A96A6EBFA}"/>
    <cellStyle name="Normal 6 9 4 2 2" xfId="2336" xr:uid="{C33F5073-2E1E-4BEA-8BE4-ED0AFA7C8ADF}"/>
    <cellStyle name="Normal 6 9 4 2 2 10" xfId="9443" xr:uid="{725E17ED-5023-45E7-AC4A-6EC1028CACB3}"/>
    <cellStyle name="Normal 6 9 4 2 2 2" xfId="2337" xr:uid="{79BCFCD4-CB9B-48C4-9FA3-BF1236DADF0D}"/>
    <cellStyle name="Normal 6 9 4 2 2 2 2" xfId="9444" xr:uid="{AC499253-B02F-4731-A760-5FF66360EAD8}"/>
    <cellStyle name="Normal 6 9 4 2 2 2 2 2" xfId="9445" xr:uid="{9ED3DFFD-DB02-4837-84B5-0B26F5C9659A}"/>
    <cellStyle name="Normal 6 9 4 2 2 2 2 2 2" xfId="9446" xr:uid="{05AE2FB5-170A-435E-A4EF-68C4035BC21F}"/>
    <cellStyle name="Normal 6 9 4 2 2 2 2 2 3" xfId="9447" xr:uid="{2206E9D7-964E-4BE7-A44D-842E27E41CAA}"/>
    <cellStyle name="Normal 6 9 4 2 2 2 2 3" xfId="9448" xr:uid="{5460A62F-2251-410D-84EF-482854849215}"/>
    <cellStyle name="Normal 6 9 4 2 2 2 2 3 2" xfId="9449" xr:uid="{7D595000-45BE-42B5-A291-97E757A0DCA7}"/>
    <cellStyle name="Normal 6 9 4 2 2 2 2 3 3" xfId="9450" xr:uid="{7109E3D3-33DC-4526-A16B-3807FCBCA9C6}"/>
    <cellStyle name="Normal 6 9 4 2 2 2 2 4" xfId="9451" xr:uid="{3B7BCF31-61B6-4DC9-8677-E6DFBB7A8AD8}"/>
    <cellStyle name="Normal 6 9 4 2 2 2 2 4 2" xfId="9452" xr:uid="{DF9EEE37-1566-4F98-BBC5-CB7D557BD103}"/>
    <cellStyle name="Normal 6 9 4 2 2 2 2 4 3" xfId="9453" xr:uid="{5399DBCE-525D-46FD-8A01-B0AEFF8692F8}"/>
    <cellStyle name="Normal 6 9 4 2 2 2 2 5" xfId="9454" xr:uid="{E5A802F3-ED8E-453D-BC04-2C20CF1A0E71}"/>
    <cellStyle name="Normal 6 9 4 2 2 2 2 6" xfId="9455" xr:uid="{C7CB3F82-4A79-4D85-B79F-5F59C86721E2}"/>
    <cellStyle name="Normal 6 9 4 2 2 2 2 7" xfId="9456" xr:uid="{09BAB1FA-A0F1-4A72-B0B6-84ADE836EEDC}"/>
    <cellStyle name="Normal 6 9 4 2 2 2 2 8" xfId="9457" xr:uid="{1552EB6F-75D8-4975-8C75-64A3689A89E5}"/>
    <cellStyle name="Normal 6 9 4 2 2 2 3" xfId="9458" xr:uid="{97688751-0323-4658-8567-2D61F18F8446}"/>
    <cellStyle name="Normal 6 9 4 2 2 2 3 2" xfId="9459" xr:uid="{4F088277-50E6-4AD0-8369-C4231DD48683}"/>
    <cellStyle name="Normal 6 9 4 2 2 2 3 3" xfId="9460" xr:uid="{F6FAAABB-80A5-4823-85D5-2C4B452F114C}"/>
    <cellStyle name="Normal 6 9 4 2 2 2 4" xfId="9461" xr:uid="{7AF03330-7BE8-412F-A5EF-61D5C37977ED}"/>
    <cellStyle name="Normal 6 9 4 2 2 2 4 2" xfId="9462" xr:uid="{80A757B9-01CB-4EE1-A093-91B176C371CD}"/>
    <cellStyle name="Normal 6 9 4 2 2 2 4 3" xfId="9463" xr:uid="{DAFDA435-524B-4BF7-849B-1926CCE6FBC5}"/>
    <cellStyle name="Normal 6 9 4 2 2 2 5" xfId="9464" xr:uid="{BB4F8C6F-F3A1-44AC-9CD1-51F4D6EBB64E}"/>
    <cellStyle name="Normal 6 9 4 2 2 2 5 2" xfId="9465" xr:uid="{8D8C3768-EAF7-4C23-8808-B8650B2D2894}"/>
    <cellStyle name="Normal 6 9 4 2 2 2 5 3" xfId="9466" xr:uid="{4BFF30BF-41A5-42B0-86A2-A7B91B27CD22}"/>
    <cellStyle name="Normal 6 9 4 2 2 2 6" xfId="9467" xr:uid="{550A5B74-AEF2-4285-BB43-80525304E8D3}"/>
    <cellStyle name="Normal 6 9 4 2 2 2 7" xfId="9468" xr:uid="{5CEBC668-14C9-4E9C-89C5-8AE4E6AAFB09}"/>
    <cellStyle name="Normal 6 9 4 2 2 2 8" xfId="9469" xr:uid="{2AAB5D7D-15C7-472B-B95E-2E7EB4324E4A}"/>
    <cellStyle name="Normal 6 9 4 2 2 2 9" xfId="9470" xr:uid="{2DF2DCB1-1FF9-47A7-AB31-C83A5AFD7C30}"/>
    <cellStyle name="Normal 6 9 4 2 2 3" xfId="9471" xr:uid="{A2F4B103-F312-4B0B-B9E3-3D399BD19144}"/>
    <cellStyle name="Normal 6 9 4 2 2 3 2" xfId="9472" xr:uid="{A2787CB8-D2FA-4904-B4E3-3CB18658D5C1}"/>
    <cellStyle name="Normal 6 9 4 2 2 3 2 2" xfId="9473" xr:uid="{E5212E27-0528-4C6F-B897-A63C8BA397FA}"/>
    <cellStyle name="Normal 6 9 4 2 2 3 2 3" xfId="9474" xr:uid="{FB5B182D-B9A1-488A-B583-0B4739FF369E}"/>
    <cellStyle name="Normal 6 9 4 2 2 3 3" xfId="9475" xr:uid="{D1F0535A-740A-4F9C-8009-BFBF4F47A1AC}"/>
    <cellStyle name="Normal 6 9 4 2 2 3 3 2" xfId="9476" xr:uid="{E9E5F5F2-F22A-4570-A7CD-B11E30F4A7C5}"/>
    <cellStyle name="Normal 6 9 4 2 2 3 3 3" xfId="9477" xr:uid="{DBBE6407-59A1-42BD-9C0D-AA3326F83DD6}"/>
    <cellStyle name="Normal 6 9 4 2 2 3 4" xfId="9478" xr:uid="{8F268188-1C96-4DE1-AB66-13CC9A66A678}"/>
    <cellStyle name="Normal 6 9 4 2 2 3 4 2" xfId="9479" xr:uid="{087CD404-DD6C-4B7F-ACA0-508B21DB1C96}"/>
    <cellStyle name="Normal 6 9 4 2 2 3 4 3" xfId="9480" xr:uid="{34AE330E-7CBB-4778-96A7-4B014C6B19FE}"/>
    <cellStyle name="Normal 6 9 4 2 2 3 5" xfId="9481" xr:uid="{1B7B6D52-58D0-41D3-8794-7D518A101E33}"/>
    <cellStyle name="Normal 6 9 4 2 2 3 6" xfId="9482" xr:uid="{EA6D32CA-20F9-4AA5-8C46-0816475CC1C2}"/>
    <cellStyle name="Normal 6 9 4 2 2 3 7" xfId="9483" xr:uid="{3BC4D1C9-F97E-49C1-B8FA-170F61444F11}"/>
    <cellStyle name="Normal 6 9 4 2 2 3 8" xfId="9484" xr:uid="{1193F9CF-71E8-4A3B-917A-4A6C72A84C07}"/>
    <cellStyle name="Normal 6 9 4 2 2 4" xfId="9485" xr:uid="{CFD61DA5-8DCF-4C17-9723-56D03F947161}"/>
    <cellStyle name="Normal 6 9 4 2 2 4 2" xfId="9486" xr:uid="{8CCCA5B6-66C3-4F9B-BFA3-0157ABE71A2F}"/>
    <cellStyle name="Normal 6 9 4 2 2 4 3" xfId="9487" xr:uid="{F0E89ED8-8C3E-4F14-8904-4DE505BBBB55}"/>
    <cellStyle name="Normal 6 9 4 2 2 5" xfId="9488" xr:uid="{10ECDE2D-5759-42B6-979C-13A703A901BC}"/>
    <cellStyle name="Normal 6 9 4 2 2 5 2" xfId="9489" xr:uid="{C460B6CB-3AB1-4F8C-8A38-3C42EF481407}"/>
    <cellStyle name="Normal 6 9 4 2 2 5 3" xfId="9490" xr:uid="{4B9103FD-E1D8-4425-9C2C-37F3FE85CE19}"/>
    <cellStyle name="Normal 6 9 4 2 2 6" xfId="9491" xr:uid="{E3BE03A5-11FF-4622-AD7E-462C173282BB}"/>
    <cellStyle name="Normal 6 9 4 2 2 6 2" xfId="9492" xr:uid="{D47D7706-7615-4167-BC12-A301D55B0295}"/>
    <cellStyle name="Normal 6 9 4 2 2 6 3" xfId="9493" xr:uid="{BAE86104-AAC0-4B39-AC15-498E1A144C39}"/>
    <cellStyle name="Normal 6 9 4 2 2 7" xfId="9494" xr:uid="{250CBF78-5775-4BD0-AC2E-7EBF88F6E0F3}"/>
    <cellStyle name="Normal 6 9 4 2 2 8" xfId="9495" xr:uid="{FB112967-E3A7-4042-932C-5B65077D4A88}"/>
    <cellStyle name="Normal 6 9 4 2 2 9" xfId="9496" xr:uid="{E2C20EF4-B86F-460D-90B7-E8E0455DFD42}"/>
    <cellStyle name="Normal 6 9 4 2 3" xfId="2338" xr:uid="{8802784A-DF31-4176-A9C3-EBB7CECEC3E5}"/>
    <cellStyle name="Normal 6 9 4 2 3 2" xfId="9497" xr:uid="{59A08424-177B-4215-B724-D5E8CB42D565}"/>
    <cellStyle name="Normal 6 9 4 2 3 2 2" xfId="9498" xr:uid="{8A1A8AAC-05C3-4EE3-AB5B-95FCB7D1605B}"/>
    <cellStyle name="Normal 6 9 4 2 3 2 2 2" xfId="9499" xr:uid="{84A491F6-66B8-4045-A0AD-A85202E87353}"/>
    <cellStyle name="Normal 6 9 4 2 3 2 2 3" xfId="9500" xr:uid="{70D96487-C9AE-4A37-90DC-B04AF745B4F2}"/>
    <cellStyle name="Normal 6 9 4 2 3 2 3" xfId="9501" xr:uid="{30E6A7C2-9505-4470-AF12-E5DAA69FA846}"/>
    <cellStyle name="Normal 6 9 4 2 3 2 3 2" xfId="9502" xr:uid="{1E360DB9-6FBD-4232-9EA2-E40D7D6B07A9}"/>
    <cellStyle name="Normal 6 9 4 2 3 2 3 3" xfId="9503" xr:uid="{9D58FBD2-17AB-4789-9F99-622CB0F08099}"/>
    <cellStyle name="Normal 6 9 4 2 3 2 4" xfId="9504" xr:uid="{B2F3D299-EE93-4615-B116-41FCAEB704CE}"/>
    <cellStyle name="Normal 6 9 4 2 3 2 4 2" xfId="9505" xr:uid="{17DBA028-07F2-4D89-BB20-FE05B47AB81A}"/>
    <cellStyle name="Normal 6 9 4 2 3 2 4 3" xfId="9506" xr:uid="{C84031EE-6D81-47BA-9D00-CBD55A8B067E}"/>
    <cellStyle name="Normal 6 9 4 2 3 2 5" xfId="9507" xr:uid="{10F52BD4-EDCB-429A-AD25-5A3B783F07D9}"/>
    <cellStyle name="Normal 6 9 4 2 3 2 6" xfId="9508" xr:uid="{B3AD7D00-AB7A-4090-9F69-8FB12A696A25}"/>
    <cellStyle name="Normal 6 9 4 2 3 2 7" xfId="9509" xr:uid="{58B35DFF-031A-441E-B829-4926D0EAF215}"/>
    <cellStyle name="Normal 6 9 4 2 3 2 8" xfId="9510" xr:uid="{5AD1093D-3D17-46AF-BB66-94D14F682A31}"/>
    <cellStyle name="Normal 6 9 4 2 3 3" xfId="9511" xr:uid="{D7EF35C9-DBFF-4622-913D-894673D635BD}"/>
    <cellStyle name="Normal 6 9 4 2 3 3 2" xfId="9512" xr:uid="{F02C682D-0E61-43A9-A31E-3E2E3A7A4B82}"/>
    <cellStyle name="Normal 6 9 4 2 3 3 3" xfId="9513" xr:uid="{32DA895E-F9BA-49C9-AF93-0F0FDA1ACDAE}"/>
    <cellStyle name="Normal 6 9 4 2 3 4" xfId="9514" xr:uid="{F8B7DBEF-9D89-4F01-B78E-EB79693239B6}"/>
    <cellStyle name="Normal 6 9 4 2 3 4 2" xfId="9515" xr:uid="{7A796D00-6EE9-43C5-A67F-1E0E0C880503}"/>
    <cellStyle name="Normal 6 9 4 2 3 4 3" xfId="9516" xr:uid="{D95DEC5B-70DA-445B-AE90-FCEC7F1D7E74}"/>
    <cellStyle name="Normal 6 9 4 2 3 5" xfId="9517" xr:uid="{D71FB315-C7E8-447F-96F7-7CE286C1CC8D}"/>
    <cellStyle name="Normal 6 9 4 2 3 5 2" xfId="9518" xr:uid="{F64BF597-8423-4461-B137-73E9B0B02532}"/>
    <cellStyle name="Normal 6 9 4 2 3 5 3" xfId="9519" xr:uid="{419E8D27-190F-4A30-8EE3-9F8A587A300B}"/>
    <cellStyle name="Normal 6 9 4 2 3 6" xfId="9520" xr:uid="{5736E85B-078B-48CE-8148-DB7DDB9FD072}"/>
    <cellStyle name="Normal 6 9 4 2 3 7" xfId="9521" xr:uid="{D6182448-F1D1-46FF-8979-341AE2B13799}"/>
    <cellStyle name="Normal 6 9 4 2 3 8" xfId="9522" xr:uid="{6CE797C7-7FE2-49C3-A59E-33A479B8ECC6}"/>
    <cellStyle name="Normal 6 9 4 2 3 9" xfId="9523" xr:uid="{DA2D534C-F051-41F9-A028-7D24D97B9313}"/>
    <cellStyle name="Normal 6 9 4 2 4" xfId="9524" xr:uid="{A71BC028-D444-4DEF-8EFE-32B144AD79EF}"/>
    <cellStyle name="Normal 6 9 4 2 4 2" xfId="9525" xr:uid="{38509D7C-7F31-409D-A3D5-8EBA1D66E44B}"/>
    <cellStyle name="Normal 6 9 4 2 4 2 2" xfId="9526" xr:uid="{E8E640FC-2A10-46AF-99DD-A816A44EF6BC}"/>
    <cellStyle name="Normal 6 9 4 2 4 2 3" xfId="9527" xr:uid="{5CAE7E42-5055-48A8-BDEA-D9831CB88E76}"/>
    <cellStyle name="Normal 6 9 4 2 4 3" xfId="9528" xr:uid="{46D65401-89B9-4A65-A5EF-C3E728F1DA4D}"/>
    <cellStyle name="Normal 6 9 4 2 4 3 2" xfId="9529" xr:uid="{46C0213F-75D7-4732-A55C-F23B67EB20D8}"/>
    <cellStyle name="Normal 6 9 4 2 4 3 3" xfId="9530" xr:uid="{B87D3288-E589-4CD5-9B5D-50E78492E96A}"/>
    <cellStyle name="Normal 6 9 4 2 4 4" xfId="9531" xr:uid="{0E1EE315-E88E-4DCC-B78D-C5134F8D3D39}"/>
    <cellStyle name="Normal 6 9 4 2 4 4 2" xfId="9532" xr:uid="{32E38720-9C80-419C-A6DB-232F58BA8F44}"/>
    <cellStyle name="Normal 6 9 4 2 4 4 3" xfId="9533" xr:uid="{EB9E26D7-DDD4-4052-9B87-57A4728F9A98}"/>
    <cellStyle name="Normal 6 9 4 2 4 5" xfId="9534" xr:uid="{AFEA703E-A1CD-4D02-8D7F-4731BD486044}"/>
    <cellStyle name="Normal 6 9 4 2 4 6" xfId="9535" xr:uid="{B90A029F-0C8E-4780-88E2-E032FFB4BD1F}"/>
    <cellStyle name="Normal 6 9 4 2 4 7" xfId="9536" xr:uid="{806BF752-C54E-4034-8F68-6475ED6D7A52}"/>
    <cellStyle name="Normal 6 9 4 2 4 8" xfId="9537" xr:uid="{7192AD98-C838-4EBD-9EC7-F5D55FD536CB}"/>
    <cellStyle name="Normal 6 9 4 2 5" xfId="9538" xr:uid="{8072CB6A-5D17-4B9E-A45B-B7C42AA53139}"/>
    <cellStyle name="Normal 6 9 4 2 5 2" xfId="9539" xr:uid="{497A7191-991E-471B-BB1C-A6B22D0ABBC5}"/>
    <cellStyle name="Normal 6 9 4 2 5 3" xfId="9540" xr:uid="{86155D76-25AD-4EA4-8854-553A72BD71A0}"/>
    <cellStyle name="Normal 6 9 4 2 6" xfId="9541" xr:uid="{4B61D178-0692-4A63-994E-8B9CCB94C5DC}"/>
    <cellStyle name="Normal 6 9 4 2 6 2" xfId="9542" xr:uid="{668D1CD4-2B82-4DBF-9286-3A11DEC01CA4}"/>
    <cellStyle name="Normal 6 9 4 2 6 3" xfId="9543" xr:uid="{E80506E6-54E9-470D-89D1-FAF4C0250204}"/>
    <cellStyle name="Normal 6 9 4 2 7" xfId="9544" xr:uid="{E810CA31-8106-46BB-AFE7-75800BB1C4C4}"/>
    <cellStyle name="Normal 6 9 4 2 7 2" xfId="9545" xr:uid="{45ABFDC6-A046-4D6C-9B35-0AB698055D91}"/>
    <cellStyle name="Normal 6 9 4 2 7 3" xfId="9546" xr:uid="{7AB88341-7188-421A-A8D2-A872A8B2C864}"/>
    <cellStyle name="Normal 6 9 4 2 8" xfId="9547" xr:uid="{E21B40AE-79BD-474C-B429-A36DDFB7DFAD}"/>
    <cellStyle name="Normal 6 9 4 2 9" xfId="9548" xr:uid="{27B81AB2-1AE3-4A83-BC66-2D40C6BD0337}"/>
    <cellStyle name="Normal 6 9 4 3" xfId="2339" xr:uid="{0EB60924-A5A6-49E0-8D22-ECECF9C75B4D}"/>
    <cellStyle name="Normal 6 9 4 3 10" xfId="9549" xr:uid="{D631EE90-2490-483E-85E0-D4B6E3F5B8B8}"/>
    <cellStyle name="Normal 6 9 4 3 2" xfId="2340" xr:uid="{8813F1C1-4664-411E-929D-EE9CEBDB0669}"/>
    <cellStyle name="Normal 6 9 4 3 2 2" xfId="9550" xr:uid="{DD0EE86C-E1DE-4CBC-871C-8C17108F843D}"/>
    <cellStyle name="Normal 6 9 4 3 2 2 2" xfId="9551" xr:uid="{7B42E6A8-97BD-4319-9674-F2F3D98041A0}"/>
    <cellStyle name="Normal 6 9 4 3 2 2 2 2" xfId="9552" xr:uid="{6C8170C7-24F4-4104-A027-186CC7340A61}"/>
    <cellStyle name="Normal 6 9 4 3 2 2 2 3" xfId="9553" xr:uid="{464008F8-43FA-4779-85DA-733A6063A8B4}"/>
    <cellStyle name="Normal 6 9 4 3 2 2 3" xfId="9554" xr:uid="{81EE4ABA-D5D2-4FAE-9650-366404E6D73F}"/>
    <cellStyle name="Normal 6 9 4 3 2 2 3 2" xfId="9555" xr:uid="{07EA64AD-DD75-4C19-B9E5-6CDBE05279AC}"/>
    <cellStyle name="Normal 6 9 4 3 2 2 3 3" xfId="9556" xr:uid="{A820D4DA-0A73-4810-A9B0-17F1CC3CBEFD}"/>
    <cellStyle name="Normal 6 9 4 3 2 2 4" xfId="9557" xr:uid="{C5C8A0CE-FBC9-4DFD-87F1-0F544E755564}"/>
    <cellStyle name="Normal 6 9 4 3 2 2 4 2" xfId="9558" xr:uid="{0BC2FB05-7BE2-45C2-BB80-0103BD58AF9F}"/>
    <cellStyle name="Normal 6 9 4 3 2 2 4 3" xfId="9559" xr:uid="{F3CCAF4D-0871-4521-839A-63CBB5900D83}"/>
    <cellStyle name="Normal 6 9 4 3 2 2 5" xfId="9560" xr:uid="{838B7FF6-6ED5-4879-B33B-356471550C97}"/>
    <cellStyle name="Normal 6 9 4 3 2 2 6" xfId="9561" xr:uid="{78279416-5EF1-4393-A281-DAC384D885C9}"/>
    <cellStyle name="Normal 6 9 4 3 2 2 7" xfId="9562" xr:uid="{01EC480D-17C4-45CC-9393-9ADD37E79943}"/>
    <cellStyle name="Normal 6 9 4 3 2 2 8" xfId="9563" xr:uid="{CD84A5FA-7613-49ED-AB4C-3E2C5B5BB7FD}"/>
    <cellStyle name="Normal 6 9 4 3 2 3" xfId="9564" xr:uid="{635CA133-8D85-4B4E-A8E8-2F7BC1F6290D}"/>
    <cellStyle name="Normal 6 9 4 3 2 3 2" xfId="9565" xr:uid="{C46ECAD7-7435-4262-AB0F-268AA2AAE0E9}"/>
    <cellStyle name="Normal 6 9 4 3 2 3 3" xfId="9566" xr:uid="{63982D7A-6BA4-42E0-B340-797085FE695E}"/>
    <cellStyle name="Normal 6 9 4 3 2 4" xfId="9567" xr:uid="{840862AD-8322-4994-BF12-DE7C82A09231}"/>
    <cellStyle name="Normal 6 9 4 3 2 4 2" xfId="9568" xr:uid="{19229B1B-9584-4B63-9BA0-26A01EA07E71}"/>
    <cellStyle name="Normal 6 9 4 3 2 4 3" xfId="9569" xr:uid="{43B56AA8-E61C-4F4B-BD56-BF6766FF4E00}"/>
    <cellStyle name="Normal 6 9 4 3 2 5" xfId="9570" xr:uid="{9D4CC5C3-8B7B-4730-8A26-5ECA175F6A40}"/>
    <cellStyle name="Normal 6 9 4 3 2 5 2" xfId="9571" xr:uid="{7646F6EF-3CB2-4E2E-BB8D-DDF858EFEB43}"/>
    <cellStyle name="Normal 6 9 4 3 2 5 3" xfId="9572" xr:uid="{45044554-A362-41E5-8860-15F2BD1A8BD3}"/>
    <cellStyle name="Normal 6 9 4 3 2 6" xfId="9573" xr:uid="{9F140C30-56CC-40E4-8821-4BEDFDFBFDAA}"/>
    <cellStyle name="Normal 6 9 4 3 2 7" xfId="9574" xr:uid="{69204B8C-BE27-4194-A2EF-63DF8C29A033}"/>
    <cellStyle name="Normal 6 9 4 3 2 8" xfId="9575" xr:uid="{2190731A-03CC-402B-A0B0-72CA152766E3}"/>
    <cellStyle name="Normal 6 9 4 3 2 9" xfId="9576" xr:uid="{3787726A-2B19-43E1-A16E-9C672616493A}"/>
    <cellStyle name="Normal 6 9 4 3 3" xfId="9577" xr:uid="{14407A12-F80B-4CAE-AA33-6B95800D1B82}"/>
    <cellStyle name="Normal 6 9 4 3 3 2" xfId="9578" xr:uid="{5916655C-93A6-4C0B-8E02-3E4D441704F0}"/>
    <cellStyle name="Normal 6 9 4 3 3 2 2" xfId="9579" xr:uid="{956227DF-0C29-4696-A810-25615D41507A}"/>
    <cellStyle name="Normal 6 9 4 3 3 2 3" xfId="9580" xr:uid="{275D1B5E-9C61-4969-9F47-D3415179A1F5}"/>
    <cellStyle name="Normal 6 9 4 3 3 3" xfId="9581" xr:uid="{2690DFD2-3EEC-47E1-9F01-1D24F36722A4}"/>
    <cellStyle name="Normal 6 9 4 3 3 3 2" xfId="9582" xr:uid="{6EDF18D2-E1D9-4AEE-836B-D2A1B2971160}"/>
    <cellStyle name="Normal 6 9 4 3 3 3 3" xfId="9583" xr:uid="{348D93E1-045D-461F-9A3B-BCB1DA8E6B73}"/>
    <cellStyle name="Normal 6 9 4 3 3 4" xfId="9584" xr:uid="{2904F739-8285-4533-A8F6-059C4FC60DEC}"/>
    <cellStyle name="Normal 6 9 4 3 3 4 2" xfId="9585" xr:uid="{F575202A-B1FF-48F6-8736-64B8E381733A}"/>
    <cellStyle name="Normal 6 9 4 3 3 4 3" xfId="9586" xr:uid="{C0834837-69E2-4601-9E6B-0F2A0CCE1305}"/>
    <cellStyle name="Normal 6 9 4 3 3 5" xfId="9587" xr:uid="{0508E901-6BB7-40E4-A413-148B399B9F67}"/>
    <cellStyle name="Normal 6 9 4 3 3 6" xfId="9588" xr:uid="{CAB26920-3270-47A9-9D9B-E7F8A1EF393F}"/>
    <cellStyle name="Normal 6 9 4 3 3 7" xfId="9589" xr:uid="{FF8860DD-D4AC-499E-A3B7-9B92563BB753}"/>
    <cellStyle name="Normal 6 9 4 3 3 8" xfId="9590" xr:uid="{160FCE50-462D-4B39-8873-7CED9000F4F9}"/>
    <cellStyle name="Normal 6 9 4 3 4" xfId="9591" xr:uid="{10C768A5-3E50-4B3C-A4A9-4129F12F6583}"/>
    <cellStyle name="Normal 6 9 4 3 4 2" xfId="9592" xr:uid="{0805AB2A-EAD7-40AE-B01F-FB00F7ABBC56}"/>
    <cellStyle name="Normal 6 9 4 3 4 3" xfId="9593" xr:uid="{FCAC188F-99E3-47C8-A7AE-A094EC29A90F}"/>
    <cellStyle name="Normal 6 9 4 3 5" xfId="9594" xr:uid="{9C258418-93DE-4616-ABFD-1753181A0831}"/>
    <cellStyle name="Normal 6 9 4 3 5 2" xfId="9595" xr:uid="{E091366D-5614-4343-AF59-15597F290715}"/>
    <cellStyle name="Normal 6 9 4 3 5 3" xfId="9596" xr:uid="{4619FE9E-2CB5-490D-9FE2-46B0D2A73A2F}"/>
    <cellStyle name="Normal 6 9 4 3 6" xfId="9597" xr:uid="{3CF96F16-7376-46E1-B7C7-5FCEE3895133}"/>
    <cellStyle name="Normal 6 9 4 3 6 2" xfId="9598" xr:uid="{84A862B0-207B-46A8-A43E-F29AD7E8DCDE}"/>
    <cellStyle name="Normal 6 9 4 3 6 3" xfId="9599" xr:uid="{79E1F460-E162-47B8-8D73-04E43C91D843}"/>
    <cellStyle name="Normal 6 9 4 3 7" xfId="9600" xr:uid="{59B11CF5-958C-4ADA-AF11-B0BCE9FE7BE1}"/>
    <cellStyle name="Normal 6 9 4 3 8" xfId="9601" xr:uid="{E0FFA722-5937-4961-98BA-1A215AE1DDA7}"/>
    <cellStyle name="Normal 6 9 4 3 9" xfId="9602" xr:uid="{B1F85726-BA72-4BF6-BC2A-D3D2E119378E}"/>
    <cellStyle name="Normal 6 9 4 4" xfId="2341" xr:uid="{23850ABC-B710-4E3D-843E-749BB736B1BC}"/>
    <cellStyle name="Normal 6 9 4 4 2" xfId="9603" xr:uid="{062F651E-A81B-4C6A-B85F-06FB5157E200}"/>
    <cellStyle name="Normal 6 9 4 4 2 2" xfId="9604" xr:uid="{0CD6D58D-AB90-4AB2-82F1-30715C195741}"/>
    <cellStyle name="Normal 6 9 4 4 2 2 2" xfId="9605" xr:uid="{6E914062-8038-4E84-BA60-6D3B7B06AB1F}"/>
    <cellStyle name="Normal 6 9 4 4 2 2 3" xfId="9606" xr:uid="{EA3BE325-5F03-45DA-9B2F-3C45E760D8A2}"/>
    <cellStyle name="Normal 6 9 4 4 2 3" xfId="9607" xr:uid="{84C273BF-A12B-4AFE-B44C-910A3A50FA1B}"/>
    <cellStyle name="Normal 6 9 4 4 2 3 2" xfId="9608" xr:uid="{9D375859-2F1C-43B3-8180-81304C61C6A2}"/>
    <cellStyle name="Normal 6 9 4 4 2 3 3" xfId="9609" xr:uid="{44EC466F-37E1-4505-814B-E87CB348A18F}"/>
    <cellStyle name="Normal 6 9 4 4 2 4" xfId="9610" xr:uid="{08D72846-92D4-45F8-A73F-0F657799B504}"/>
    <cellStyle name="Normal 6 9 4 4 2 4 2" xfId="9611" xr:uid="{A8A50B19-DDAA-41DF-A07E-F3F82EEE1BEB}"/>
    <cellStyle name="Normal 6 9 4 4 2 4 3" xfId="9612" xr:uid="{5C7AE652-13E6-43AD-84D9-C9906F5B4265}"/>
    <cellStyle name="Normal 6 9 4 4 2 5" xfId="9613" xr:uid="{A5E04173-3713-4D9E-9F0F-1405C642B02E}"/>
    <cellStyle name="Normal 6 9 4 4 2 6" xfId="9614" xr:uid="{B80BCCF6-1117-4C6D-A551-0033705D8646}"/>
    <cellStyle name="Normal 6 9 4 4 2 7" xfId="9615" xr:uid="{D722C735-DA5E-48D7-A5EF-FA85A6766FCE}"/>
    <cellStyle name="Normal 6 9 4 4 2 8" xfId="9616" xr:uid="{2310FE29-08B3-406B-96F5-C385450BA332}"/>
    <cellStyle name="Normal 6 9 4 4 3" xfId="9617" xr:uid="{7C6B6BA5-F0B2-471E-B14E-350E099D83B7}"/>
    <cellStyle name="Normal 6 9 4 4 3 2" xfId="9618" xr:uid="{AFCE21E8-2367-4EA5-8A3C-DE769F9960FC}"/>
    <cellStyle name="Normal 6 9 4 4 3 3" xfId="9619" xr:uid="{1C4129BD-4C4F-4299-82B3-8D70F5213D5B}"/>
    <cellStyle name="Normal 6 9 4 4 4" xfId="9620" xr:uid="{4DE92320-D544-4412-B840-F1AD17E2030A}"/>
    <cellStyle name="Normal 6 9 4 4 4 2" xfId="9621" xr:uid="{6B33A2F2-5956-4797-BAE2-CD3B86047C92}"/>
    <cellStyle name="Normal 6 9 4 4 4 3" xfId="9622" xr:uid="{3BA159B5-C00E-4E31-AF09-F7989C25D0AA}"/>
    <cellStyle name="Normal 6 9 4 4 5" xfId="9623" xr:uid="{55F2E9E8-0811-46B7-AB0C-6B717CD9D2A2}"/>
    <cellStyle name="Normal 6 9 4 4 5 2" xfId="9624" xr:uid="{F15B6273-AB89-48D3-982D-D9734DA24576}"/>
    <cellStyle name="Normal 6 9 4 4 5 3" xfId="9625" xr:uid="{3C00BB1B-00DD-432D-83ED-3EF162A08E67}"/>
    <cellStyle name="Normal 6 9 4 4 6" xfId="9626" xr:uid="{ED9C469F-7045-4873-8F57-65708B9460E8}"/>
    <cellStyle name="Normal 6 9 4 4 7" xfId="9627" xr:uid="{3CC29128-6B75-448C-94F4-0DAC4B1E2D47}"/>
    <cellStyle name="Normal 6 9 4 4 8" xfId="9628" xr:uid="{9D27AF5A-44C8-479D-9C71-9BE10E677F91}"/>
    <cellStyle name="Normal 6 9 4 4 9" xfId="9629" xr:uid="{AC067EF7-387D-42A5-9DDF-B9DF5E49AEB2}"/>
    <cellStyle name="Normal 6 9 4 5" xfId="9630" xr:uid="{74FD7E70-6773-47C9-AF39-CF95D4FE815E}"/>
    <cellStyle name="Normal 6 9 4 5 2" xfId="9631" xr:uid="{35074A24-15A3-4AD3-9798-3B2C90781AD2}"/>
    <cellStyle name="Normal 6 9 4 5 2 2" xfId="9632" xr:uid="{D6F4AF4A-99B9-47CA-8202-2D78F45FC08F}"/>
    <cellStyle name="Normal 6 9 4 5 2 3" xfId="9633" xr:uid="{51ED92EE-7BD5-4A56-A66C-CCDD8F0BC022}"/>
    <cellStyle name="Normal 6 9 4 5 3" xfId="9634" xr:uid="{F3B37A84-D9C9-40B9-A582-DD424E9CF933}"/>
    <cellStyle name="Normal 6 9 4 5 3 2" xfId="9635" xr:uid="{98F1C843-2961-47A1-A376-DC925D2B71DB}"/>
    <cellStyle name="Normal 6 9 4 5 3 3" xfId="9636" xr:uid="{C723681B-5612-426C-B0A0-10168F0B4B10}"/>
    <cellStyle name="Normal 6 9 4 5 4" xfId="9637" xr:uid="{8FD8E54D-551E-47B6-82D9-7D8BB88DED15}"/>
    <cellStyle name="Normal 6 9 4 5 4 2" xfId="9638" xr:uid="{FCFFA97F-35CF-4034-92E8-21B6636C31B2}"/>
    <cellStyle name="Normal 6 9 4 5 4 3" xfId="9639" xr:uid="{6430FC72-F233-4C45-868A-485030395B34}"/>
    <cellStyle name="Normal 6 9 4 5 5" xfId="9640" xr:uid="{E3B1B059-DDE4-48EF-8763-B002567AD9F7}"/>
    <cellStyle name="Normal 6 9 4 5 6" xfId="9641" xr:uid="{635A61BB-67DA-4F1F-962C-138E7143B00C}"/>
    <cellStyle name="Normal 6 9 4 5 7" xfId="9642" xr:uid="{D56FA507-06C7-436C-AA99-E5F0E0E7B006}"/>
    <cellStyle name="Normal 6 9 4 5 8" xfId="9643" xr:uid="{7AF946AA-99C7-44C2-AC3D-6ADC10967B54}"/>
    <cellStyle name="Normal 6 9 4 6" xfId="9644" xr:uid="{E3C410E9-E90D-4128-B696-B1FF69CDE21D}"/>
    <cellStyle name="Normal 6 9 4 6 2" xfId="9645" xr:uid="{4C7F5486-6137-4D12-9C78-19D238E1ACA4}"/>
    <cellStyle name="Normal 6 9 4 6 3" xfId="9646" xr:uid="{EE294B10-A7C5-4053-9AE8-CA1C289562B9}"/>
    <cellStyle name="Normal 6 9 4 7" xfId="9647" xr:uid="{8E855EA1-64F3-479E-9966-CC5FCDF83E34}"/>
    <cellStyle name="Normal 6 9 4 7 2" xfId="9648" xr:uid="{84F5D067-B8CC-4561-A239-D04375F4F044}"/>
    <cellStyle name="Normal 6 9 4 7 3" xfId="9649" xr:uid="{BBBA6C0A-D83A-4CB2-9682-545047C67EAC}"/>
    <cellStyle name="Normal 6 9 4 8" xfId="9650" xr:uid="{9632B96E-F0A4-441B-AD34-4E6FE6B748FE}"/>
    <cellStyle name="Normal 6 9 4 8 2" xfId="9651" xr:uid="{1DC1DA41-67EC-4297-B5CF-06BB4A419CB5}"/>
    <cellStyle name="Normal 6 9 4 8 3" xfId="9652" xr:uid="{58981B68-13F3-4CAE-B0F6-0F1C497565E2}"/>
    <cellStyle name="Normal 6 9 4 9" xfId="9653" xr:uid="{AC7A6044-86C3-46FB-B3A9-127BCDF23774}"/>
    <cellStyle name="Normal 6 9 5" xfId="2342" xr:uid="{1280C182-4060-4EB8-A3AB-2407750BDFF6}"/>
    <cellStyle name="Normal 6 9 5 10" xfId="9654" xr:uid="{CE404836-7663-4711-A2C4-483311B47BBF}"/>
    <cellStyle name="Normal 6 9 5 11" xfId="9655" xr:uid="{6845CED0-82AD-4876-98FA-6307C8A2A258}"/>
    <cellStyle name="Normal 6 9 5 2" xfId="2343" xr:uid="{4AFD78DB-B865-4F5C-88A3-E61D3200DDAC}"/>
    <cellStyle name="Normal 6 9 5 2 10" xfId="9656" xr:uid="{70A616BD-6C5E-427E-B082-64900AF1022A}"/>
    <cellStyle name="Normal 6 9 5 2 2" xfId="2344" xr:uid="{81177E99-8B37-4581-9CAE-8262F3EC460B}"/>
    <cellStyle name="Normal 6 9 5 2 2 2" xfId="9657" xr:uid="{8299773C-1FD5-464A-A2BD-67B4E96DE90D}"/>
    <cellStyle name="Normal 6 9 5 2 2 2 2" xfId="9658" xr:uid="{1AC8D160-9FA6-4F4E-BA03-9374977C1052}"/>
    <cellStyle name="Normal 6 9 5 2 2 2 2 2" xfId="9659" xr:uid="{2820AEFE-6425-4C9A-BDA6-9B9269379EC7}"/>
    <cellStyle name="Normal 6 9 5 2 2 2 2 3" xfId="9660" xr:uid="{ADC6FC68-3FFB-4569-B6E5-29E032611139}"/>
    <cellStyle name="Normal 6 9 5 2 2 2 3" xfId="9661" xr:uid="{12FB8D9E-81AC-4AE0-B145-553C7B1E7F44}"/>
    <cellStyle name="Normal 6 9 5 2 2 2 3 2" xfId="9662" xr:uid="{168A7DD3-2C3D-4F53-8040-BB633D273063}"/>
    <cellStyle name="Normal 6 9 5 2 2 2 3 3" xfId="9663" xr:uid="{58FDECFE-5D5F-48EF-A1DB-CD0C9DF93BD0}"/>
    <cellStyle name="Normal 6 9 5 2 2 2 4" xfId="9664" xr:uid="{4465A662-4038-4679-9396-F1A803625CBC}"/>
    <cellStyle name="Normal 6 9 5 2 2 2 4 2" xfId="9665" xr:uid="{AA71EB42-26D2-4310-8E13-151584F57E65}"/>
    <cellStyle name="Normal 6 9 5 2 2 2 4 3" xfId="9666" xr:uid="{53F4E393-70EF-4A54-A2D5-ED332054A3C6}"/>
    <cellStyle name="Normal 6 9 5 2 2 2 5" xfId="9667" xr:uid="{C5BCF75D-4C80-44B4-A603-69438DFBE407}"/>
    <cellStyle name="Normal 6 9 5 2 2 2 6" xfId="9668" xr:uid="{B8569ECE-6277-4681-BC9B-2B25CFD83D30}"/>
    <cellStyle name="Normal 6 9 5 2 2 2 7" xfId="9669" xr:uid="{0A75F78F-21D3-4111-8A93-B06BEB493698}"/>
    <cellStyle name="Normal 6 9 5 2 2 2 8" xfId="9670" xr:uid="{66C1A885-038B-4D1D-BD41-3F1F737AEF87}"/>
    <cellStyle name="Normal 6 9 5 2 2 3" xfId="9671" xr:uid="{FAA1EB93-450F-4146-AB80-79BD61B6BB6A}"/>
    <cellStyle name="Normal 6 9 5 2 2 3 2" xfId="9672" xr:uid="{9C01C064-E63A-4283-90FF-D85910036B27}"/>
    <cellStyle name="Normal 6 9 5 2 2 3 3" xfId="9673" xr:uid="{B2E34EF2-F39D-4D5E-B7F5-09361FECC54E}"/>
    <cellStyle name="Normal 6 9 5 2 2 4" xfId="9674" xr:uid="{F666E764-24E6-4DD6-A403-67D88ACD38BE}"/>
    <cellStyle name="Normal 6 9 5 2 2 4 2" xfId="9675" xr:uid="{17C60E4E-F37A-4996-B536-09467F620674}"/>
    <cellStyle name="Normal 6 9 5 2 2 4 3" xfId="9676" xr:uid="{FBA371A8-9931-4500-94BE-B459F0752418}"/>
    <cellStyle name="Normal 6 9 5 2 2 5" xfId="9677" xr:uid="{02893D60-B71E-49A0-895F-A8FB532AB591}"/>
    <cellStyle name="Normal 6 9 5 2 2 5 2" xfId="9678" xr:uid="{9FC05368-372D-4D29-AC40-F2911EE022EE}"/>
    <cellStyle name="Normal 6 9 5 2 2 5 3" xfId="9679" xr:uid="{A9141150-B89C-4FDD-AD30-961844AA5DFF}"/>
    <cellStyle name="Normal 6 9 5 2 2 6" xfId="9680" xr:uid="{476CCF74-728E-4FD5-824B-DF6FF5FC8223}"/>
    <cellStyle name="Normal 6 9 5 2 2 7" xfId="9681" xr:uid="{4361D854-8260-4D06-9FDE-11D00B94DC2D}"/>
    <cellStyle name="Normal 6 9 5 2 2 8" xfId="9682" xr:uid="{FD4C0DC2-2AB9-4CEB-A75B-A1590823D766}"/>
    <cellStyle name="Normal 6 9 5 2 2 9" xfId="9683" xr:uid="{CD29F0F1-6A1B-4B5A-B223-F602636ABBF9}"/>
    <cellStyle name="Normal 6 9 5 2 3" xfId="9684" xr:uid="{FBA6D71B-CAF7-4598-AAB2-70008C83FEDA}"/>
    <cellStyle name="Normal 6 9 5 2 3 2" xfId="9685" xr:uid="{891B170A-E8ED-4012-B2AF-D4B3657BC183}"/>
    <cellStyle name="Normal 6 9 5 2 3 2 2" xfId="9686" xr:uid="{5D155A34-04B1-4E4C-9B6B-9742E002F864}"/>
    <cellStyle name="Normal 6 9 5 2 3 2 3" xfId="9687" xr:uid="{0EB9DC79-0627-40CF-B6F6-521A40681D83}"/>
    <cellStyle name="Normal 6 9 5 2 3 3" xfId="9688" xr:uid="{43799ADD-5718-4661-9702-B0E11F67EF1E}"/>
    <cellStyle name="Normal 6 9 5 2 3 3 2" xfId="9689" xr:uid="{765C1CFB-A56F-4695-9CA7-7D0D30F96453}"/>
    <cellStyle name="Normal 6 9 5 2 3 3 3" xfId="9690" xr:uid="{F118CE96-E43D-46C3-B670-A86913496420}"/>
    <cellStyle name="Normal 6 9 5 2 3 4" xfId="9691" xr:uid="{E513BF1F-0E79-4DF7-B6D4-62B2AAB65AA9}"/>
    <cellStyle name="Normal 6 9 5 2 3 4 2" xfId="9692" xr:uid="{10171F68-D111-4414-A99F-C3C5EB77226A}"/>
    <cellStyle name="Normal 6 9 5 2 3 4 3" xfId="9693" xr:uid="{8EC2C263-0BBE-4931-9EC1-43D4DEE70CF6}"/>
    <cellStyle name="Normal 6 9 5 2 3 5" xfId="9694" xr:uid="{4F88FF63-58F6-4F4F-BCF2-D542D133BCF1}"/>
    <cellStyle name="Normal 6 9 5 2 3 6" xfId="9695" xr:uid="{737779BD-F11E-4DF1-AE74-2F763A3DF773}"/>
    <cellStyle name="Normal 6 9 5 2 3 7" xfId="9696" xr:uid="{E84D6130-BC50-448F-9C7D-D39FBECF85A8}"/>
    <cellStyle name="Normal 6 9 5 2 3 8" xfId="9697" xr:uid="{354B93FB-1118-4801-A2DD-5D5BCBD230D1}"/>
    <cellStyle name="Normal 6 9 5 2 4" xfId="9698" xr:uid="{7C1C4683-6C59-4F90-9273-B10D55500BC0}"/>
    <cellStyle name="Normal 6 9 5 2 4 2" xfId="9699" xr:uid="{AE3F8B72-D791-4C4E-B1B0-D00CC989071B}"/>
    <cellStyle name="Normal 6 9 5 2 4 3" xfId="9700" xr:uid="{0B2C499E-4D5B-4161-B590-EC6B99A5EB67}"/>
    <cellStyle name="Normal 6 9 5 2 5" xfId="9701" xr:uid="{49137780-4388-4C86-8D70-15E3CC8CF388}"/>
    <cellStyle name="Normal 6 9 5 2 5 2" xfId="9702" xr:uid="{D40C7639-7155-4CF2-B88E-64E4495447CB}"/>
    <cellStyle name="Normal 6 9 5 2 5 3" xfId="9703" xr:uid="{8D0EF8EF-C8F9-49CE-BD6E-C21A7878EB95}"/>
    <cellStyle name="Normal 6 9 5 2 6" xfId="9704" xr:uid="{3931D030-55C7-49C9-8770-CF8976F8E3AE}"/>
    <cellStyle name="Normal 6 9 5 2 6 2" xfId="9705" xr:uid="{9D6572F4-E0EB-4401-A103-8A5A4DD82FF2}"/>
    <cellStyle name="Normal 6 9 5 2 6 3" xfId="9706" xr:uid="{CCBBAD78-DDDE-42BC-B2CC-E1FE241604BD}"/>
    <cellStyle name="Normal 6 9 5 2 7" xfId="9707" xr:uid="{69AA58DF-AF05-4BDD-867D-27FCA0D8D320}"/>
    <cellStyle name="Normal 6 9 5 2 8" xfId="9708" xr:uid="{D02D5992-2FCE-4E01-BEF2-C74BB93F98DA}"/>
    <cellStyle name="Normal 6 9 5 2 9" xfId="9709" xr:uid="{59AEC829-63C0-4BE6-88C1-3EC6BE3ADDFC}"/>
    <cellStyle name="Normal 6 9 5 3" xfId="2345" xr:uid="{93164251-A513-414D-A32D-B9C159739D2E}"/>
    <cellStyle name="Normal 6 9 5 3 2" xfId="9710" xr:uid="{D01D7BFC-2319-4C75-96FD-9EAFAC3B9AA0}"/>
    <cellStyle name="Normal 6 9 5 3 2 2" xfId="9711" xr:uid="{B37E5FC1-3E61-4E6B-8271-24F128331BA5}"/>
    <cellStyle name="Normal 6 9 5 3 2 2 2" xfId="9712" xr:uid="{C20A2663-9C12-40C8-BB75-7EA6C617745B}"/>
    <cellStyle name="Normal 6 9 5 3 2 2 3" xfId="9713" xr:uid="{82C21EF0-224E-4FF7-A45B-A15B0D91A883}"/>
    <cellStyle name="Normal 6 9 5 3 2 3" xfId="9714" xr:uid="{7AE8EAA9-DDEC-46BE-BAF4-74FCF11165FB}"/>
    <cellStyle name="Normal 6 9 5 3 2 3 2" xfId="9715" xr:uid="{AB7AEAC9-96C7-4047-8E6D-4431FDB56D2B}"/>
    <cellStyle name="Normal 6 9 5 3 2 3 3" xfId="9716" xr:uid="{721529EC-1599-4C79-A336-5DB4E014CD7D}"/>
    <cellStyle name="Normal 6 9 5 3 2 4" xfId="9717" xr:uid="{BA33C7B3-0596-495C-AC34-27E4C03A68E8}"/>
    <cellStyle name="Normal 6 9 5 3 2 4 2" xfId="9718" xr:uid="{AC35B7C8-163B-4404-BAF7-CCAE93A98A6F}"/>
    <cellStyle name="Normal 6 9 5 3 2 4 3" xfId="9719" xr:uid="{242298C4-E295-40B0-8DE7-9BE5C9F40EB0}"/>
    <cellStyle name="Normal 6 9 5 3 2 5" xfId="9720" xr:uid="{B73E0ED7-4927-4EA9-9468-D80B2397AD8F}"/>
    <cellStyle name="Normal 6 9 5 3 2 6" xfId="9721" xr:uid="{7CBCAAB5-D471-40A2-BDB2-7B0D08FF1229}"/>
    <cellStyle name="Normal 6 9 5 3 2 7" xfId="9722" xr:uid="{2E12D70C-772A-4ACF-8151-43F6FB60A53F}"/>
    <cellStyle name="Normal 6 9 5 3 2 8" xfId="9723" xr:uid="{48D69389-2EB1-4872-BC17-CDB5CABD64AC}"/>
    <cellStyle name="Normal 6 9 5 3 3" xfId="9724" xr:uid="{C0727364-66E1-4E70-863B-1034E48235C8}"/>
    <cellStyle name="Normal 6 9 5 3 3 2" xfId="9725" xr:uid="{5B66DAB2-1527-4ACC-A536-1B352276C323}"/>
    <cellStyle name="Normal 6 9 5 3 3 3" xfId="9726" xr:uid="{98999532-97C3-4DAD-B34A-2B21BBEFF285}"/>
    <cellStyle name="Normal 6 9 5 3 4" xfId="9727" xr:uid="{4FA0B6D0-E279-4708-8547-AAC99A2B9D5F}"/>
    <cellStyle name="Normal 6 9 5 3 4 2" xfId="9728" xr:uid="{D7F5E9D3-1474-4357-B66A-16C44B4F87BD}"/>
    <cellStyle name="Normal 6 9 5 3 4 3" xfId="9729" xr:uid="{E85F8C31-4843-41EB-A60A-0ECA5DD87771}"/>
    <cellStyle name="Normal 6 9 5 3 5" xfId="9730" xr:uid="{FE1B0B36-E475-4383-A856-A11237C6E102}"/>
    <cellStyle name="Normal 6 9 5 3 5 2" xfId="9731" xr:uid="{8A13DDEC-42D4-478C-AF58-F2092AD9D3F2}"/>
    <cellStyle name="Normal 6 9 5 3 5 3" xfId="9732" xr:uid="{9CE61F94-1CF7-4B6E-A083-562A8E2A1575}"/>
    <cellStyle name="Normal 6 9 5 3 6" xfId="9733" xr:uid="{4ADC963C-8E20-43DB-8EAE-1C21D780C747}"/>
    <cellStyle name="Normal 6 9 5 3 7" xfId="9734" xr:uid="{EC402C63-9997-463C-974F-CEB015C0ABC8}"/>
    <cellStyle name="Normal 6 9 5 3 8" xfId="9735" xr:uid="{96FDCDFB-93F2-4C8B-8CAB-711AF246F9DD}"/>
    <cellStyle name="Normal 6 9 5 3 9" xfId="9736" xr:uid="{21A6B581-4F02-43F4-B4D4-F6C466529B51}"/>
    <cellStyle name="Normal 6 9 5 4" xfId="9737" xr:uid="{F91C13CA-D2FB-4E12-A8A3-F343C43FEE07}"/>
    <cellStyle name="Normal 6 9 5 4 2" xfId="9738" xr:uid="{89DF2A09-5D91-4FEB-9B91-FC7C8A3AF7E1}"/>
    <cellStyle name="Normal 6 9 5 4 2 2" xfId="9739" xr:uid="{50CECF10-6389-4B86-B7BA-D3A6EC280030}"/>
    <cellStyle name="Normal 6 9 5 4 2 3" xfId="9740" xr:uid="{3173717D-B538-4022-9F5D-8ABC7FB40E71}"/>
    <cellStyle name="Normal 6 9 5 4 3" xfId="9741" xr:uid="{078DAD87-CB62-4F77-A89F-A151DFF4BBE2}"/>
    <cellStyle name="Normal 6 9 5 4 3 2" xfId="9742" xr:uid="{CAC7C006-0185-439F-B055-6B1441B076D6}"/>
    <cellStyle name="Normal 6 9 5 4 3 3" xfId="9743" xr:uid="{BAA7BEE8-B5FC-4D09-B2D6-FB62A8D94BD7}"/>
    <cellStyle name="Normal 6 9 5 4 4" xfId="9744" xr:uid="{653B4E9B-C479-48AF-AE3B-133078DF9027}"/>
    <cellStyle name="Normal 6 9 5 4 4 2" xfId="9745" xr:uid="{BD5262FF-4D6C-4550-B29D-2C08D0E20E38}"/>
    <cellStyle name="Normal 6 9 5 4 4 3" xfId="9746" xr:uid="{5AC7CD99-E7C4-4C07-B21C-E6EE2BCC4BE4}"/>
    <cellStyle name="Normal 6 9 5 4 5" xfId="9747" xr:uid="{D79F6673-3DF0-4742-B5CD-46DEF02DC169}"/>
    <cellStyle name="Normal 6 9 5 4 6" xfId="9748" xr:uid="{872B6DD3-C70C-464E-9F45-F68EA44A4935}"/>
    <cellStyle name="Normal 6 9 5 4 7" xfId="9749" xr:uid="{24F3A5F6-1E0D-4368-B00A-F83F6EBD3709}"/>
    <cellStyle name="Normal 6 9 5 4 8" xfId="9750" xr:uid="{8FB97370-1B2C-464F-AE64-C0A3A38C5DFD}"/>
    <cellStyle name="Normal 6 9 5 5" xfId="9751" xr:uid="{ABFF9B91-6810-41A0-903E-1C4BD647142C}"/>
    <cellStyle name="Normal 6 9 5 5 2" xfId="9752" xr:uid="{27BEDB6A-94CE-4CA6-9005-2A39E6F3974D}"/>
    <cellStyle name="Normal 6 9 5 5 3" xfId="9753" xr:uid="{8CB6E498-B962-47E7-88B3-E746704426C6}"/>
    <cellStyle name="Normal 6 9 5 6" xfId="9754" xr:uid="{A9469161-6FC9-4957-A7DD-F51B5C719F38}"/>
    <cellStyle name="Normal 6 9 5 6 2" xfId="9755" xr:uid="{0EFA69AD-37C9-4EF2-B664-0E26A951A2C7}"/>
    <cellStyle name="Normal 6 9 5 6 3" xfId="9756" xr:uid="{AB9D7B3F-779D-408C-A3A3-F57F4FD88C33}"/>
    <cellStyle name="Normal 6 9 5 7" xfId="9757" xr:uid="{B6DA09B6-5FA9-41D1-B20E-E619C4B3499A}"/>
    <cellStyle name="Normal 6 9 5 7 2" xfId="9758" xr:uid="{E45630AC-F230-4EF5-A14F-CE0997EE78D8}"/>
    <cellStyle name="Normal 6 9 5 7 3" xfId="9759" xr:uid="{9F2212BC-9E52-4F3A-B944-B519B25309D6}"/>
    <cellStyle name="Normal 6 9 5 8" xfId="9760" xr:uid="{86A225F1-550D-4693-AAE6-CB1CCACA611A}"/>
    <cellStyle name="Normal 6 9 5 9" xfId="9761" xr:uid="{8B356A49-1F2E-42A0-94E4-7AB1BD1856B9}"/>
    <cellStyle name="Normal 6 9 6" xfId="9762" xr:uid="{6DC49263-E682-4D68-95EA-1E5AF8FC99E7}"/>
    <cellStyle name="Normal 6 9 7" xfId="9763" xr:uid="{27BF47D7-EBE8-4DA2-BF79-F5C07182B825}"/>
    <cellStyle name="Normal 6 9 7 2" xfId="9764" xr:uid="{A0CE884A-95AD-45B6-A1C8-DC5B69D0557B}"/>
    <cellStyle name="Normal 6 9 7 2 2" xfId="9765" xr:uid="{08601D4D-13B3-4078-9800-09CBCD75018C}"/>
    <cellStyle name="Normal 6 9 7 2 2 2" xfId="9766" xr:uid="{78089B0A-5F24-4A2A-A246-C0C7820B76E3}"/>
    <cellStyle name="Normal 6 9 7 2 2 3" xfId="9767" xr:uid="{CB085C46-7F73-4904-A8EE-FAA37B9D91CD}"/>
    <cellStyle name="Normal 6 9 7 2 3" xfId="9768" xr:uid="{3C7743E4-BAF5-44DB-80F3-E9297415C4C3}"/>
    <cellStyle name="Normal 6 9 7 2 3 2" xfId="9769" xr:uid="{C7FE1E4E-8FD3-40AE-A317-AE36DEDE74E9}"/>
    <cellStyle name="Normal 6 9 7 2 3 3" xfId="9770" xr:uid="{2165E458-AE6C-4A14-8245-1C85C2DF542A}"/>
    <cellStyle name="Normal 6 9 7 2 4" xfId="9771" xr:uid="{C3AA7696-FFA2-44FE-853C-1FBB8105F423}"/>
    <cellStyle name="Normal 6 9 7 2 4 2" xfId="9772" xr:uid="{574E5C46-76C1-4D6A-B9DD-E23A17C32488}"/>
    <cellStyle name="Normal 6 9 7 2 4 3" xfId="9773" xr:uid="{02D65DA9-B28A-40F0-BBF4-EAF653D44E21}"/>
    <cellStyle name="Normal 6 9 7 2 5" xfId="9774" xr:uid="{E8F245E5-81B1-4C84-9E66-1E963970BAD5}"/>
    <cellStyle name="Normal 6 9 7 2 6" xfId="9775" xr:uid="{8817B434-0F75-4C14-83F5-CC8BC8EF4EF0}"/>
    <cellStyle name="Normal 6 9 7 2 7" xfId="9776" xr:uid="{32B92652-A760-4117-A416-A9B37877D780}"/>
    <cellStyle name="Normal 6 9 7 2 8" xfId="9777" xr:uid="{B97751B8-EEAB-4057-9C81-B50F2D52AC8D}"/>
    <cellStyle name="Normal 6 9 7 3" xfId="9778" xr:uid="{8D5B7A8F-F6A9-4C06-8485-5D7A6FE930E7}"/>
    <cellStyle name="Normal 6 9 7 3 2" xfId="9779" xr:uid="{27105B6E-FAE8-412B-9DE5-61144B014244}"/>
    <cellStyle name="Normal 6 9 7 3 3" xfId="9780" xr:uid="{729D9683-23B8-4481-B7CA-D89A8C38686F}"/>
    <cellStyle name="Normal 6 9 7 4" xfId="9781" xr:uid="{2363F328-5125-4F75-95F2-46F1EA15B8D8}"/>
    <cellStyle name="Normal 6 9 7 4 2" xfId="9782" xr:uid="{E3E3CDAC-4F80-4D4C-A89A-3A905B7287AA}"/>
    <cellStyle name="Normal 6 9 7 4 3" xfId="9783" xr:uid="{FCCC94DE-3058-456D-9694-E51B54BED47C}"/>
    <cellStyle name="Normal 6 9 7 5" xfId="9784" xr:uid="{2610028C-E59D-4B4A-BB0D-2B72B9628491}"/>
    <cellStyle name="Normal 6 9 7 5 2" xfId="9785" xr:uid="{E39E642F-EB07-4501-9AE6-1D356EFF9074}"/>
    <cellStyle name="Normal 6 9 7 5 3" xfId="9786" xr:uid="{786D4231-DA82-4505-8FCE-151822F35F34}"/>
    <cellStyle name="Normal 6 9 7 6" xfId="9787" xr:uid="{0F54E39C-64FA-4E11-A2B3-2B4FAB112706}"/>
    <cellStyle name="Normal 6 9 7 7" xfId="9788" xr:uid="{043EF014-CE58-445E-ABF0-2892EBE36421}"/>
    <cellStyle name="Normal 6 9 7 8" xfId="9789" xr:uid="{C81EEF86-AE63-4CA2-BF5E-23C50B0EFEF9}"/>
    <cellStyle name="Normal 6 9 7 9" xfId="9790" xr:uid="{4F7D07DD-B0B4-4D7A-BEF4-C24F3A2FC2C1}"/>
    <cellStyle name="Normal 6 9 8" xfId="9791" xr:uid="{9BB5A6B4-D153-4AF8-B854-B3FAE052E8AF}"/>
    <cellStyle name="Normal 6 9 8 2" xfId="9792" xr:uid="{CB362811-FF14-401A-A0D6-275CBD70A43B}"/>
    <cellStyle name="Normal 6 9 8 2 2" xfId="9793" xr:uid="{EF53A58F-2A70-4D66-A693-87C8329DAA7C}"/>
    <cellStyle name="Normal 6 9 8 2 3" xfId="9794" xr:uid="{0E50C6AC-F4C3-45F0-8B18-43825C93C375}"/>
    <cellStyle name="Normal 6 9 8 3" xfId="9795" xr:uid="{00FF1A21-62A4-4FE7-850B-7F71E022CA2A}"/>
    <cellStyle name="Normal 6 9 8 3 2" xfId="9796" xr:uid="{54196F83-E38B-41E0-A348-F38FA12F67B1}"/>
    <cellStyle name="Normal 6 9 8 3 3" xfId="9797" xr:uid="{AF7A05A3-7906-43C5-9C55-D3F21824A78B}"/>
    <cellStyle name="Normal 6 9 8 4" xfId="9798" xr:uid="{FA9A3718-CE8C-4ED3-B957-782ACB358CED}"/>
    <cellStyle name="Normal 6 9 8 4 2" xfId="9799" xr:uid="{AC8811A5-37DC-4EEB-B7B5-79646D46A156}"/>
    <cellStyle name="Normal 6 9 8 4 3" xfId="9800" xr:uid="{BE03AD7D-0968-483E-9B3E-EAD88E6C9166}"/>
    <cellStyle name="Normal 6 9 8 5" xfId="9801" xr:uid="{06889492-7269-4C81-A09A-D527B0FDE7A3}"/>
    <cellStyle name="Normal 6 9 8 6" xfId="9802" xr:uid="{348DD66B-BE7F-4E96-A170-F7C8DB444447}"/>
    <cellStyle name="Normal 6 9 8 7" xfId="9803" xr:uid="{0C7B9098-5897-4C6B-BBDE-02748AE569C0}"/>
    <cellStyle name="Normal 6 9 8 8" xfId="9804" xr:uid="{DE2EF57D-F8B1-4BB6-A253-3039A12780E9}"/>
    <cellStyle name="Normal 6 9 9" xfId="9805" xr:uid="{CFD4C8C2-634F-40E7-BCE0-DF609D1BF72A}"/>
    <cellStyle name="Normal 6 9 9 2" xfId="9806" xr:uid="{03A02991-67E7-436D-9C14-0243261AA9E7}"/>
    <cellStyle name="Normal 6 9 9 3" xfId="9807" xr:uid="{334CD6CD-75A2-42F1-AB72-B62F3608CE20}"/>
    <cellStyle name="Normal 6_1.0 HFM data" xfId="9808" xr:uid="{4C90ABE6-D41E-4D2E-9076-532F47F20053}"/>
    <cellStyle name="Normal 60" xfId="2346" xr:uid="{8A601625-0903-43E2-A601-00FA1D3F2791}"/>
    <cellStyle name="Normal 60 2" xfId="2347" xr:uid="{039395D0-45C8-4DBD-B2F7-317BDF9A3A0D}"/>
    <cellStyle name="Normal 61" xfId="2348" xr:uid="{CB9D4BBB-07A0-4D59-A4A4-7B904C2B015B}"/>
    <cellStyle name="Normal 61 2" xfId="2349" xr:uid="{100458F3-CF09-4E40-9CAD-FEFB5C66AC68}"/>
    <cellStyle name="Normal 62" xfId="2350" xr:uid="{CC82A575-B5CB-460E-A180-7ACA380E5DED}"/>
    <cellStyle name="Normal 62 2" xfId="2351" xr:uid="{4DDD42D7-3D83-44DF-BBC0-6754BDD65548}"/>
    <cellStyle name="Normal 63" xfId="2352" xr:uid="{15833E02-7B9D-4FF4-A253-03EF0118CAE0}"/>
    <cellStyle name="Normal 63 2" xfId="2353" xr:uid="{554EE9AD-31EB-4EE3-8374-81C5C8900FC8}"/>
    <cellStyle name="Normal 64" xfId="2354" xr:uid="{E51A9B3D-70CE-47E2-8570-3E583BC54774}"/>
    <cellStyle name="Normal 64 2" xfId="2355" xr:uid="{F53522CB-3EAC-4411-83C8-51C2C4D7BAE6}"/>
    <cellStyle name="Normal 64 2 2" xfId="9809" xr:uid="{61587ED9-553F-4331-95FF-F659554DB473}"/>
    <cellStyle name="Normal 65" xfId="2356" xr:uid="{1F4391F3-B720-4195-BF84-FDFD9B39D0C9}"/>
    <cellStyle name="Normal 65 2" xfId="2357" xr:uid="{7B516525-5551-4277-9B27-9C3F26F27D1C}"/>
    <cellStyle name="Normal 66" xfId="2358" xr:uid="{9CBC3395-AC97-4F5B-8967-46CDE440F237}"/>
    <cellStyle name="Normal 66 2" xfId="2359" xr:uid="{9B506DC6-B05E-47CB-AD12-3C7D1F09949F}"/>
    <cellStyle name="Normal 67" xfId="2360" xr:uid="{83623321-2551-4BA0-B607-D6C510C5D0AD}"/>
    <cellStyle name="Normal 67 2" xfId="2361" xr:uid="{8C062882-D6F0-4F54-A5B1-C5839C466B40}"/>
    <cellStyle name="Normal 68" xfId="2362" xr:uid="{F86507FB-4640-40E6-9E7C-FE18CCAC4FBA}"/>
    <cellStyle name="Normal 68 2" xfId="2363" xr:uid="{6642DD19-5FD9-4D01-B758-92DC44F116C7}"/>
    <cellStyle name="Normal 69" xfId="2364" xr:uid="{A82DA808-B356-4629-97A2-60B2CA5FF815}"/>
    <cellStyle name="Normal 69 2" xfId="2365" xr:uid="{44E082D5-35C6-4F70-8DD0-1DD029718169}"/>
    <cellStyle name="Normal 7" xfId="2366" xr:uid="{3164CA1C-2046-401E-B401-E0EE177DABD7}"/>
    <cellStyle name="Normal 7 2" xfId="2367" xr:uid="{22B7A199-66FB-4409-9D74-10C21D4DD99C}"/>
    <cellStyle name="Normal 7 2 2" xfId="2368" xr:uid="{346D7D05-35B1-491E-81D1-2C0EBED907F9}"/>
    <cellStyle name="Normal 7 2 3" xfId="9810" xr:uid="{13C388E0-EE99-46E7-9CA1-2D35650DAAF8}"/>
    <cellStyle name="Normal 7 3" xfId="2369" xr:uid="{8C6C6CD2-9E7E-4F41-A892-0AFB86DDF6F3}"/>
    <cellStyle name="Normal 7 3 2" xfId="2370" xr:uid="{177B6002-9E86-4A41-9048-9F879F236309}"/>
    <cellStyle name="Normal 7 4" xfId="2371" xr:uid="{B3328F53-2E1A-4BB7-A32D-A601E6EFD5E2}"/>
    <cellStyle name="Normal 7 4 2" xfId="2372" xr:uid="{D72F3ED1-7B80-4281-8344-E80C11C3D6E9}"/>
    <cellStyle name="Normal 7 5" xfId="2373" xr:uid="{A1DAFAD1-7ED1-4ED5-9C5A-952F204B2E3F}"/>
    <cellStyle name="Normal 7 5 2" xfId="2374" xr:uid="{7EB05EBA-6EE5-4199-A943-386EE6E1035E}"/>
    <cellStyle name="Normal 7 6" xfId="2375" xr:uid="{6C837A71-5DDF-4FB9-9D9D-0F0A55D46B7C}"/>
    <cellStyle name="Normal 7 6 2" xfId="2376" xr:uid="{FADD809C-06D6-4458-A2DB-C9395C2D0D4E}"/>
    <cellStyle name="Normal 7 7" xfId="2377" xr:uid="{DEE9B4BF-9C90-4D62-8B51-E0F757BB8BCD}"/>
    <cellStyle name="Normal 7 7 2" xfId="2378" xr:uid="{C39EFBC5-16E2-4F5C-8E6A-68CD4CF4C121}"/>
    <cellStyle name="Normal 7 8" xfId="2379" xr:uid="{74C73BC2-52F1-4480-9FC7-25900E30EF30}"/>
    <cellStyle name="Normal 7 8 2" xfId="2380" xr:uid="{5521F786-AEB4-4831-8D3C-776B0B27455D}"/>
    <cellStyle name="Normal 7 9" xfId="2381" xr:uid="{E6D2D404-438B-4EFD-8C89-EA530B900F12}"/>
    <cellStyle name="Normal 7 9 2" xfId="3615" xr:uid="{CAEE8B6F-8B6E-4EA1-A3E4-5A0676252ECE}"/>
    <cellStyle name="Normal 7_RBA Market Share movements" xfId="9811" xr:uid="{86EC5D00-2E43-4D55-B066-FA15588B160D}"/>
    <cellStyle name="Normal 70" xfId="2382" xr:uid="{33E79707-3108-4CD3-8941-2C524C3EE6CF}"/>
    <cellStyle name="Normal 71" xfId="2383" xr:uid="{5232B390-0F1D-499B-83E5-F20F9E6C8A4E}"/>
    <cellStyle name="Normal 72" xfId="2384" xr:uid="{BE3EE519-7632-4A84-804D-584D5BED8B22}"/>
    <cellStyle name="Normal 72 10" xfId="9812" xr:uid="{E46995E3-EF4A-4172-81E2-352E4B16C161}"/>
    <cellStyle name="Normal 72 11" xfId="9813" xr:uid="{D0DDF35F-ACCA-4677-A214-4B91A8A98ED4}"/>
    <cellStyle name="Normal 72 12" xfId="9814" xr:uid="{927A31D1-F672-4AF5-96E3-54A355E4BF98}"/>
    <cellStyle name="Normal 72 2" xfId="2385" xr:uid="{07776929-8EAD-4908-829D-CC3BBFDB5A6F}"/>
    <cellStyle name="Normal 72 2 10" xfId="9815" xr:uid="{7E130106-FDE7-470A-8611-809EC641DF04}"/>
    <cellStyle name="Normal 72 2 11" xfId="9816" xr:uid="{0B6E759E-BF59-48F6-BE8F-9DBB36CB0D12}"/>
    <cellStyle name="Normal 72 2 2" xfId="2386" xr:uid="{ACF7C675-883B-4B72-B3A2-762147A5B40D}"/>
    <cellStyle name="Normal 72 2 2 10" xfId="9817" xr:uid="{A4B9223D-DBC9-403D-8D2D-9195E477CACD}"/>
    <cellStyle name="Normal 72 2 2 2" xfId="2387" xr:uid="{F8334492-358E-4A5E-B17C-C04C55D6F0B7}"/>
    <cellStyle name="Normal 72 2 2 2 2" xfId="9818" xr:uid="{7628E332-4596-4B02-8241-678879C645A9}"/>
    <cellStyle name="Normal 72 2 2 2 2 2" xfId="9819" xr:uid="{11DE83A1-133F-4862-9F3A-5AB8F646F53E}"/>
    <cellStyle name="Normal 72 2 2 2 2 2 2" xfId="9820" xr:uid="{34E96020-60AD-4A5D-9A1A-E3CB3B9F706B}"/>
    <cellStyle name="Normal 72 2 2 2 2 2 3" xfId="9821" xr:uid="{C71E8796-BC75-4CDC-BEE6-51FC4EC2C9CC}"/>
    <cellStyle name="Normal 72 2 2 2 2 3" xfId="9822" xr:uid="{32974019-C342-450C-9A64-6E1A1E979A8B}"/>
    <cellStyle name="Normal 72 2 2 2 2 3 2" xfId="9823" xr:uid="{BF2D9356-5452-42B2-B4AA-3E878B889A04}"/>
    <cellStyle name="Normal 72 2 2 2 2 3 3" xfId="9824" xr:uid="{2CBF15D8-AEAA-4C28-B77E-28FB31BF627C}"/>
    <cellStyle name="Normal 72 2 2 2 2 4" xfId="9825" xr:uid="{3CD99D5D-AC09-412E-88B9-6A291BD35097}"/>
    <cellStyle name="Normal 72 2 2 2 2 4 2" xfId="9826" xr:uid="{46B8FAAF-025B-488D-8DE8-C557F080247E}"/>
    <cellStyle name="Normal 72 2 2 2 2 4 3" xfId="9827" xr:uid="{597F4DB5-4972-454D-9DB8-24836A846C4C}"/>
    <cellStyle name="Normal 72 2 2 2 2 5" xfId="9828" xr:uid="{8A883CA5-ADD3-40ED-BD7A-50EB1F3E9075}"/>
    <cellStyle name="Normal 72 2 2 2 2 6" xfId="9829" xr:uid="{A22CD58F-61CC-44D6-86B1-E651C5B07BD3}"/>
    <cellStyle name="Normal 72 2 2 2 2 7" xfId="9830" xr:uid="{8B87084F-6CF0-4AE8-A356-8D16B482760B}"/>
    <cellStyle name="Normal 72 2 2 2 2 8" xfId="9831" xr:uid="{FAA1C2CF-99F7-422B-986B-05E3F20DEBC4}"/>
    <cellStyle name="Normal 72 2 2 2 3" xfId="9832" xr:uid="{2E6B90AA-12BB-451B-B2D1-40AD2839A24F}"/>
    <cellStyle name="Normal 72 2 2 2 3 2" xfId="9833" xr:uid="{98C2F9E8-50CA-44BA-948D-A5366689ECAC}"/>
    <cellStyle name="Normal 72 2 2 2 3 3" xfId="9834" xr:uid="{E903B6F2-6935-4207-ABB5-FB95AF5848E3}"/>
    <cellStyle name="Normal 72 2 2 2 4" xfId="9835" xr:uid="{152819C7-CA38-4F52-8843-94FE40017614}"/>
    <cellStyle name="Normal 72 2 2 2 4 2" xfId="9836" xr:uid="{5489654F-59BC-4691-B45B-38698CB2A04C}"/>
    <cellStyle name="Normal 72 2 2 2 4 3" xfId="9837" xr:uid="{2A61A1F3-1BA8-4813-847A-726AA3991B04}"/>
    <cellStyle name="Normal 72 2 2 2 5" xfId="9838" xr:uid="{78A634B1-3093-42F0-8F65-AAAE52EC385B}"/>
    <cellStyle name="Normal 72 2 2 2 5 2" xfId="9839" xr:uid="{A3BBDA49-C5C8-452A-824B-3C7DEAA90A61}"/>
    <cellStyle name="Normal 72 2 2 2 5 3" xfId="9840" xr:uid="{66B5FD68-86D6-43F5-BE70-ECAFC9F9A0DA}"/>
    <cellStyle name="Normal 72 2 2 2 6" xfId="9841" xr:uid="{9115FE90-0A8E-41A8-9708-20FA7FA0067E}"/>
    <cellStyle name="Normal 72 2 2 2 7" xfId="9842" xr:uid="{2BAFE7E8-7FF3-4F77-86A9-4674FB511CD2}"/>
    <cellStyle name="Normal 72 2 2 2 8" xfId="9843" xr:uid="{D631E70D-25D6-4251-A9B5-912617C3E55B}"/>
    <cellStyle name="Normal 72 2 2 2 9" xfId="9844" xr:uid="{70F6DB3B-2F46-4D29-B4E6-229DE2E647D8}"/>
    <cellStyle name="Normal 72 2 2 3" xfId="9845" xr:uid="{48C6DE20-CED9-428A-A6B1-2F2C5F617C14}"/>
    <cellStyle name="Normal 72 2 2 3 2" xfId="9846" xr:uid="{0D92235E-A559-4100-9F03-FAAAB7E37402}"/>
    <cellStyle name="Normal 72 2 2 3 2 2" xfId="9847" xr:uid="{68573ADD-1A60-4396-97DE-4E721957B469}"/>
    <cellStyle name="Normal 72 2 2 3 2 3" xfId="9848" xr:uid="{76F6A5B6-C855-4BDF-BAF1-E36E459534C3}"/>
    <cellStyle name="Normal 72 2 2 3 3" xfId="9849" xr:uid="{0DCB77F9-B3EE-4D84-863C-5F93EF610318}"/>
    <cellStyle name="Normal 72 2 2 3 3 2" xfId="9850" xr:uid="{84118DC9-BE25-4D35-8C2B-29D4E7C802E6}"/>
    <cellStyle name="Normal 72 2 2 3 3 3" xfId="9851" xr:uid="{6685B17F-ADDA-449B-88B4-A52E087B7554}"/>
    <cellStyle name="Normal 72 2 2 3 4" xfId="9852" xr:uid="{6A1EDF0B-F707-439E-98F9-CC76EEBFC021}"/>
    <cellStyle name="Normal 72 2 2 3 4 2" xfId="9853" xr:uid="{2A769DF8-C425-40FC-9CBD-0E495987DEC3}"/>
    <cellStyle name="Normal 72 2 2 3 4 3" xfId="9854" xr:uid="{847EF972-9CB9-4A5E-8697-EB6F3B10B949}"/>
    <cellStyle name="Normal 72 2 2 3 5" xfId="9855" xr:uid="{A107E9D6-CBE4-4A85-82DF-36FFBE13FB71}"/>
    <cellStyle name="Normal 72 2 2 3 6" xfId="9856" xr:uid="{3434A953-361B-4B65-81D3-FDC4BC332101}"/>
    <cellStyle name="Normal 72 2 2 3 7" xfId="9857" xr:uid="{26A17FB4-239B-421E-ADC1-FDED3D001168}"/>
    <cellStyle name="Normal 72 2 2 3 8" xfId="9858" xr:uid="{E09454C9-1FC4-4F7B-A378-64C34D991FA1}"/>
    <cellStyle name="Normal 72 2 2 4" xfId="9859" xr:uid="{5F12CF85-E3AC-4E32-84CC-4F28DBE11DB1}"/>
    <cellStyle name="Normal 72 2 2 4 2" xfId="9860" xr:uid="{CC57D24F-6D48-44F5-B6D2-B0C85FF603C8}"/>
    <cellStyle name="Normal 72 2 2 4 3" xfId="9861" xr:uid="{5A3C72A4-120D-4051-9E6F-5F1435E7005E}"/>
    <cellStyle name="Normal 72 2 2 5" xfId="9862" xr:uid="{D6CA3F5D-C20B-4A39-BC8B-2AABC996B96F}"/>
    <cellStyle name="Normal 72 2 2 5 2" xfId="9863" xr:uid="{A19C76EA-92BE-4BDE-9AD3-F68F1BDC203C}"/>
    <cellStyle name="Normal 72 2 2 5 3" xfId="9864" xr:uid="{BC3163E6-A6D5-4592-9854-695BD097AC85}"/>
    <cellStyle name="Normal 72 2 2 6" xfId="9865" xr:uid="{78C16AAA-174B-45D4-BE13-482F643EBF60}"/>
    <cellStyle name="Normal 72 2 2 6 2" xfId="9866" xr:uid="{DCF06A0C-AC97-4F87-9E45-5062618154BA}"/>
    <cellStyle name="Normal 72 2 2 6 3" xfId="9867" xr:uid="{FFFD96AE-6EEF-4B97-9815-FEA21C9724F6}"/>
    <cellStyle name="Normal 72 2 2 7" xfId="9868" xr:uid="{96E67759-D25B-4BE5-9C41-2EA1F17D3EF3}"/>
    <cellStyle name="Normal 72 2 2 8" xfId="9869" xr:uid="{453D2AC4-8CC3-4F2B-B36B-E0CE79DAE471}"/>
    <cellStyle name="Normal 72 2 2 9" xfId="9870" xr:uid="{EFC15214-6FA1-481A-9505-2113380225DE}"/>
    <cellStyle name="Normal 72 2 3" xfId="2388" xr:uid="{518D0355-836C-438A-805C-513EE971AF05}"/>
    <cellStyle name="Normal 72 2 3 2" xfId="9871" xr:uid="{75F4105A-9B01-4650-8D33-55E924AC0AE4}"/>
    <cellStyle name="Normal 72 2 3 2 2" xfId="9872" xr:uid="{387BF851-C39C-49FB-84F3-4E2ACF74E6EE}"/>
    <cellStyle name="Normal 72 2 3 2 2 2" xfId="9873" xr:uid="{35B957D4-8CC2-4DB2-B482-A330E55B4C8B}"/>
    <cellStyle name="Normal 72 2 3 2 2 3" xfId="9874" xr:uid="{4985F693-3807-405C-B4A4-DBD162472E6D}"/>
    <cellStyle name="Normal 72 2 3 2 3" xfId="9875" xr:uid="{360B8026-84BA-428A-8F40-96D0F411D2CF}"/>
    <cellStyle name="Normal 72 2 3 2 3 2" xfId="9876" xr:uid="{CD26FD84-AB00-4E95-B572-83B9C06F1A4A}"/>
    <cellStyle name="Normal 72 2 3 2 3 3" xfId="9877" xr:uid="{B0C3DE4B-E15C-413F-893F-3C87B0EB7861}"/>
    <cellStyle name="Normal 72 2 3 2 4" xfId="9878" xr:uid="{8B337378-F57C-4A7A-B9C8-F20839F70B52}"/>
    <cellStyle name="Normal 72 2 3 2 4 2" xfId="9879" xr:uid="{81123D97-6703-458B-BF76-4BE3E453387F}"/>
    <cellStyle name="Normal 72 2 3 2 4 3" xfId="9880" xr:uid="{2A6B8247-70DA-48E2-BEC7-98CE37EE1A23}"/>
    <cellStyle name="Normal 72 2 3 2 5" xfId="9881" xr:uid="{5AE545D5-93B8-479F-8469-16FB3C76694E}"/>
    <cellStyle name="Normal 72 2 3 2 6" xfId="9882" xr:uid="{B0DCBA68-FCB1-49A1-86EE-C538E08DDE47}"/>
    <cellStyle name="Normal 72 2 3 2 7" xfId="9883" xr:uid="{7B0580E7-C2A3-4E88-B9FE-539D939719EE}"/>
    <cellStyle name="Normal 72 2 3 2 8" xfId="9884" xr:uid="{FB0079EF-7718-4006-8ABD-87C124A6B796}"/>
    <cellStyle name="Normal 72 2 3 3" xfId="9885" xr:uid="{52B08748-55A9-4A22-B15E-D81BC4C5CA2D}"/>
    <cellStyle name="Normal 72 2 3 3 2" xfId="9886" xr:uid="{E6CD25B4-59C1-4210-9ABE-33996C404B35}"/>
    <cellStyle name="Normal 72 2 3 3 3" xfId="9887" xr:uid="{35DE64C0-01A3-4FC0-B06F-E3BDF9A23AD4}"/>
    <cellStyle name="Normal 72 2 3 4" xfId="9888" xr:uid="{BD53A5E9-D46A-4779-B12F-AB690129D19A}"/>
    <cellStyle name="Normal 72 2 3 4 2" xfId="9889" xr:uid="{1FE2BF2C-0BAF-47CC-8C7A-4001CA4E2039}"/>
    <cellStyle name="Normal 72 2 3 4 3" xfId="9890" xr:uid="{B9AAD8C5-B4FA-4AB8-8FC4-823A8C952F69}"/>
    <cellStyle name="Normal 72 2 3 5" xfId="9891" xr:uid="{B9B106A6-5453-4C1B-8842-CA6F63BE9D77}"/>
    <cellStyle name="Normal 72 2 3 5 2" xfId="9892" xr:uid="{5C705CEF-2734-4F54-8F07-F072DC42B7A5}"/>
    <cellStyle name="Normal 72 2 3 5 3" xfId="9893" xr:uid="{D6C0E05E-C3ED-41B0-95DC-06D36406F805}"/>
    <cellStyle name="Normal 72 2 3 6" xfId="9894" xr:uid="{7318DC8D-615B-43E8-9AC7-2504FA327CEF}"/>
    <cellStyle name="Normal 72 2 3 7" xfId="9895" xr:uid="{941AA70B-20A2-468E-BF26-32718B4A4300}"/>
    <cellStyle name="Normal 72 2 3 8" xfId="9896" xr:uid="{75E609F6-7C99-43DC-829A-86241045F590}"/>
    <cellStyle name="Normal 72 2 3 9" xfId="9897" xr:uid="{8F3433FD-18D6-49FC-AE3B-14C5E9557F4E}"/>
    <cellStyle name="Normal 72 2 4" xfId="9898" xr:uid="{99D45A58-329A-4F07-A471-302B8F26985A}"/>
    <cellStyle name="Normal 72 2 4 2" xfId="9899" xr:uid="{054F5EC9-B841-44DD-AF2B-C6133C2B2025}"/>
    <cellStyle name="Normal 72 2 4 2 2" xfId="9900" xr:uid="{FC7A8142-DB16-4DCA-8487-9D32C425BF5A}"/>
    <cellStyle name="Normal 72 2 4 2 3" xfId="9901" xr:uid="{54014D68-BF07-4156-9930-9FEEAFADD56E}"/>
    <cellStyle name="Normal 72 2 4 3" xfId="9902" xr:uid="{C03EEC51-E917-4BEC-9039-73E13E96B143}"/>
    <cellStyle name="Normal 72 2 4 3 2" xfId="9903" xr:uid="{950BBE81-E3A6-4E35-88E1-E276556A359F}"/>
    <cellStyle name="Normal 72 2 4 3 3" xfId="9904" xr:uid="{02125622-C31B-4705-809F-D3598197FCBE}"/>
    <cellStyle name="Normal 72 2 4 4" xfId="9905" xr:uid="{964E27CE-30B8-49DA-A6D3-D3232BF2BBB3}"/>
    <cellStyle name="Normal 72 2 4 4 2" xfId="9906" xr:uid="{1D319850-C4FA-49A1-AE0D-7F62A0C0E18B}"/>
    <cellStyle name="Normal 72 2 4 4 3" xfId="9907" xr:uid="{49DE9F90-3C8C-4A83-A67A-7AA875E49171}"/>
    <cellStyle name="Normal 72 2 4 5" xfId="9908" xr:uid="{1283195F-2950-42C3-9AB6-25CA86B120D9}"/>
    <cellStyle name="Normal 72 2 4 6" xfId="9909" xr:uid="{4ABC4A41-A767-42F9-8778-17E72CAD694F}"/>
    <cellStyle name="Normal 72 2 4 7" xfId="9910" xr:uid="{7EEA467F-2886-4A9A-A917-8057399CD0F1}"/>
    <cellStyle name="Normal 72 2 4 8" xfId="9911" xr:uid="{CE5CB831-4C42-4D54-B6CE-B69846A7E01B}"/>
    <cellStyle name="Normal 72 2 5" xfId="9912" xr:uid="{27BE387B-2303-4A6E-AAEA-D0210DD09BA6}"/>
    <cellStyle name="Normal 72 2 5 2" xfId="9913" xr:uid="{15BD3457-0EA3-4635-9628-CD18128F06F8}"/>
    <cellStyle name="Normal 72 2 5 3" xfId="9914" xr:uid="{502195D3-19C2-4BDE-BE14-4AA219A152F6}"/>
    <cellStyle name="Normal 72 2 6" xfId="9915" xr:uid="{8A074D89-352E-4B83-8A5A-2B19EA5647BF}"/>
    <cellStyle name="Normal 72 2 6 2" xfId="9916" xr:uid="{2143A54A-1475-4C71-9B59-3D819090D344}"/>
    <cellStyle name="Normal 72 2 6 3" xfId="9917" xr:uid="{349D76A2-9B91-40A9-9A6F-673A1F5F8C27}"/>
    <cellStyle name="Normal 72 2 7" xfId="9918" xr:uid="{D623D19A-B493-44BD-B7A5-F6E827710650}"/>
    <cellStyle name="Normal 72 2 7 2" xfId="9919" xr:uid="{7224D6C9-9729-44FB-B893-D3BB52D72C35}"/>
    <cellStyle name="Normal 72 2 7 3" xfId="9920" xr:uid="{E0CB9199-F71E-4A9E-A807-129000A0D363}"/>
    <cellStyle name="Normal 72 2 8" xfId="9921" xr:uid="{E09325FC-C837-4762-BBBD-111FDE160A46}"/>
    <cellStyle name="Normal 72 2 9" xfId="9922" xr:uid="{EB727FC6-E78B-41ED-9EEE-6C9539D8EF18}"/>
    <cellStyle name="Normal 72 3" xfId="2389" xr:uid="{0E9BD427-25F7-4054-B062-439FFE69D379}"/>
    <cellStyle name="Normal 72 3 10" xfId="9923" xr:uid="{CCB751CC-A05A-4270-B1A7-B9E7AA03C263}"/>
    <cellStyle name="Normal 72 3 2" xfId="2390" xr:uid="{0992BF28-3B8E-4A77-99D4-2DE24E3275E0}"/>
    <cellStyle name="Normal 72 3 2 2" xfId="9924" xr:uid="{981CEDAD-D4F5-4E77-B949-9FA79336D1C7}"/>
    <cellStyle name="Normal 72 3 2 2 2" xfId="9925" xr:uid="{903E9902-3465-40DD-B650-E4A5DEB3CDDE}"/>
    <cellStyle name="Normal 72 3 2 2 2 2" xfId="9926" xr:uid="{654D2635-95D5-432E-9B4F-0654D1D0D927}"/>
    <cellStyle name="Normal 72 3 2 2 2 3" xfId="9927" xr:uid="{FC785D8C-7E52-4466-BC2A-D6063A4583A1}"/>
    <cellStyle name="Normal 72 3 2 2 3" xfId="9928" xr:uid="{B6917D9A-259B-4EFB-8ADB-0CE567C66B92}"/>
    <cellStyle name="Normal 72 3 2 2 3 2" xfId="9929" xr:uid="{3B1F312E-4B96-47A7-9D44-1BD251C39BF6}"/>
    <cellStyle name="Normal 72 3 2 2 3 3" xfId="9930" xr:uid="{F23E68DA-B224-4308-9074-F9463C4AC05C}"/>
    <cellStyle name="Normal 72 3 2 2 4" xfId="9931" xr:uid="{9F54618F-F575-411C-95EE-314A93ED7333}"/>
    <cellStyle name="Normal 72 3 2 2 4 2" xfId="9932" xr:uid="{E5EE2E5A-8940-4DBE-BF84-8D73638F3124}"/>
    <cellStyle name="Normal 72 3 2 2 4 3" xfId="9933" xr:uid="{03A67237-386B-4F0A-B0A1-C5292E6B5D48}"/>
    <cellStyle name="Normal 72 3 2 2 5" xfId="9934" xr:uid="{CAAB5DAC-A3D0-49C4-A670-27A89A3AAEB0}"/>
    <cellStyle name="Normal 72 3 2 2 6" xfId="9935" xr:uid="{5C7682C0-F50C-4623-8196-96A44C6B5C07}"/>
    <cellStyle name="Normal 72 3 2 2 7" xfId="9936" xr:uid="{A13D2BCC-CF9F-4D93-B7DA-25EA42DB9541}"/>
    <cellStyle name="Normal 72 3 2 2 8" xfId="9937" xr:uid="{0EE3AF1B-54AD-4038-9B8A-0A2DB5E43EE2}"/>
    <cellStyle name="Normal 72 3 2 3" xfId="9938" xr:uid="{80C4E9AF-D4A8-4ECF-9A13-E641F4A9C270}"/>
    <cellStyle name="Normal 72 3 2 3 2" xfId="9939" xr:uid="{E6A979B9-1D45-4EEA-A135-CDC6458141BA}"/>
    <cellStyle name="Normal 72 3 2 3 3" xfId="9940" xr:uid="{E88B9133-D510-48CF-9B92-F310AB5A3971}"/>
    <cellStyle name="Normal 72 3 2 4" xfId="9941" xr:uid="{490EFEA3-4DD8-422C-A1B9-1131D60FAC66}"/>
    <cellStyle name="Normal 72 3 2 4 2" xfId="9942" xr:uid="{F63E9867-C38E-43CF-8DCF-1A26E36CB1FF}"/>
    <cellStyle name="Normal 72 3 2 4 3" xfId="9943" xr:uid="{A69446E4-D62D-4EAD-A076-8BDEDC0FF2FA}"/>
    <cellStyle name="Normal 72 3 2 5" xfId="9944" xr:uid="{5E5510B4-E7BC-4FCC-8B53-849F07263C1D}"/>
    <cellStyle name="Normal 72 3 2 5 2" xfId="9945" xr:uid="{996A104D-76DA-4104-A15C-BEC20CD87152}"/>
    <cellStyle name="Normal 72 3 2 5 3" xfId="9946" xr:uid="{E3439706-7E35-4289-99D3-81989A33D873}"/>
    <cellStyle name="Normal 72 3 2 6" xfId="9947" xr:uid="{C26DD28A-339C-4539-A5A5-7A98A961ACAB}"/>
    <cellStyle name="Normal 72 3 2 7" xfId="9948" xr:uid="{E8FF02D0-1CCC-4147-B290-CBB0FCEDECD2}"/>
    <cellStyle name="Normal 72 3 2 8" xfId="9949" xr:uid="{EDE1902B-FDAA-4163-B766-42C74360A61A}"/>
    <cellStyle name="Normal 72 3 2 9" xfId="9950" xr:uid="{4F3690E6-96FB-4445-BF24-9F362C7376C6}"/>
    <cellStyle name="Normal 72 3 3" xfId="9951" xr:uid="{856F6740-8514-49F2-9958-137CB65813A8}"/>
    <cellStyle name="Normal 72 3 3 2" xfId="9952" xr:uid="{38889424-8399-40C9-83A9-2527C3011F26}"/>
    <cellStyle name="Normal 72 3 3 2 2" xfId="9953" xr:uid="{988ED32E-8F6A-4D9E-8C8C-89EB7A3018B4}"/>
    <cellStyle name="Normal 72 3 3 2 3" xfId="9954" xr:uid="{093330FD-49BB-45DA-A191-F5B6260357DE}"/>
    <cellStyle name="Normal 72 3 3 3" xfId="9955" xr:uid="{D315295D-93E7-46BA-9A26-E0241CC2BF26}"/>
    <cellStyle name="Normal 72 3 3 3 2" xfId="9956" xr:uid="{A3E70C69-4F11-472A-A5AD-453037698CC0}"/>
    <cellStyle name="Normal 72 3 3 3 3" xfId="9957" xr:uid="{4685A039-A372-4255-9626-309351785EF0}"/>
    <cellStyle name="Normal 72 3 3 4" xfId="9958" xr:uid="{30F45B51-A9D5-4094-9967-BE62E4AD72F5}"/>
    <cellStyle name="Normal 72 3 3 4 2" xfId="9959" xr:uid="{0F898246-324C-4D7E-ACB2-048B110BDD35}"/>
    <cellStyle name="Normal 72 3 3 4 3" xfId="9960" xr:uid="{E64EA3F7-37AC-4E22-A148-4AAF0AEA5160}"/>
    <cellStyle name="Normal 72 3 3 5" xfId="9961" xr:uid="{2D93C823-8ECD-44B8-BD3F-7D1F025D1DAC}"/>
    <cellStyle name="Normal 72 3 3 6" xfId="9962" xr:uid="{75FE79A1-F368-49F3-8ABE-C0900423FFA6}"/>
    <cellStyle name="Normal 72 3 3 7" xfId="9963" xr:uid="{458FA9F6-7185-47CB-92A4-40B7D6E5B9F0}"/>
    <cellStyle name="Normal 72 3 3 8" xfId="9964" xr:uid="{10544904-EB47-470D-A64A-D5893AA9C064}"/>
    <cellStyle name="Normal 72 3 4" xfId="9965" xr:uid="{3601814C-DD6E-439E-8755-DBF32D1582AF}"/>
    <cellStyle name="Normal 72 3 4 2" xfId="9966" xr:uid="{3B005C38-4625-4E77-B361-5DC2D541B1D9}"/>
    <cellStyle name="Normal 72 3 4 3" xfId="9967" xr:uid="{7692CB2A-6C85-4E49-90A4-6127A722243E}"/>
    <cellStyle name="Normal 72 3 5" xfId="9968" xr:uid="{9DFE746F-52B4-4602-BBD7-DF1C0F63B345}"/>
    <cellStyle name="Normal 72 3 5 2" xfId="9969" xr:uid="{CC83B61D-835E-4D94-9184-B18B5177D479}"/>
    <cellStyle name="Normal 72 3 5 3" xfId="9970" xr:uid="{6F23E074-F61C-4517-B613-7E590DF6F3F6}"/>
    <cellStyle name="Normal 72 3 6" xfId="9971" xr:uid="{478BCB95-A71C-4320-8C4D-648E7E8C4701}"/>
    <cellStyle name="Normal 72 3 6 2" xfId="9972" xr:uid="{D5683CD0-AFC0-4FA5-86FE-0CA8757D6619}"/>
    <cellStyle name="Normal 72 3 6 3" xfId="9973" xr:uid="{1D39AB62-0A4F-43F3-9FFB-766CA71EFCF2}"/>
    <cellStyle name="Normal 72 3 7" xfId="9974" xr:uid="{78C96475-7929-4730-A22E-64C4E2BF39AF}"/>
    <cellStyle name="Normal 72 3 8" xfId="9975" xr:uid="{881AF129-700B-466D-9CD8-E162E4050592}"/>
    <cellStyle name="Normal 72 3 9" xfId="9976" xr:uid="{AB426E39-9D43-4F7F-BD5C-345625F3928B}"/>
    <cellStyle name="Normal 72 4" xfId="2391" xr:uid="{041ACB3A-E68C-4EDF-9422-04CA0CDB2C39}"/>
    <cellStyle name="Normal 72 4 2" xfId="9977" xr:uid="{1B7FA675-16A4-44C1-8C34-C1ABFC8C04C7}"/>
    <cellStyle name="Normal 72 4 2 2" xfId="9978" xr:uid="{F1C41B81-FD93-40AA-941C-7FE7EEFAC012}"/>
    <cellStyle name="Normal 72 4 2 2 2" xfId="9979" xr:uid="{74943F02-4EE8-4339-9D86-A7B6A12AE29D}"/>
    <cellStyle name="Normal 72 4 2 2 3" xfId="9980" xr:uid="{C855F238-733E-4D1E-B7FA-34BBB985F249}"/>
    <cellStyle name="Normal 72 4 2 3" xfId="9981" xr:uid="{E6528CE3-14E9-4526-876F-98E3FCA4914A}"/>
    <cellStyle name="Normal 72 4 2 3 2" xfId="9982" xr:uid="{56113B7F-933B-47EC-9A65-8659656CA0CF}"/>
    <cellStyle name="Normal 72 4 2 3 3" xfId="9983" xr:uid="{F5CAFAD0-D51C-4EAF-AAAB-15AE6ED34689}"/>
    <cellStyle name="Normal 72 4 2 4" xfId="9984" xr:uid="{CAB1EC99-1FA1-48E7-95FD-6E782E6B7F88}"/>
    <cellStyle name="Normal 72 4 2 4 2" xfId="9985" xr:uid="{7A0E7F86-7CD6-4FD9-91D3-A7528D7D07A1}"/>
    <cellStyle name="Normal 72 4 2 4 3" xfId="9986" xr:uid="{A9D35084-83BF-4B37-8D11-996DAA5A71C7}"/>
    <cellStyle name="Normal 72 4 2 5" xfId="9987" xr:uid="{763F1FA3-B3DB-4FA8-814E-C0E9859DB9C4}"/>
    <cellStyle name="Normal 72 4 2 6" xfId="9988" xr:uid="{4581740E-0A30-4EFE-A54A-1BCEB6F52767}"/>
    <cellStyle name="Normal 72 4 2 7" xfId="9989" xr:uid="{3B9BDA85-BA9A-4A44-BBE8-744F404695B9}"/>
    <cellStyle name="Normal 72 4 2 8" xfId="9990" xr:uid="{9DF49407-2E51-4B19-95AD-9D4C6788D5EE}"/>
    <cellStyle name="Normal 72 4 3" xfId="9991" xr:uid="{7D50D1D7-A7E4-4786-90CD-A86A5AD00206}"/>
    <cellStyle name="Normal 72 4 3 2" xfId="9992" xr:uid="{73274B5E-90C8-47B9-A140-E0C7508C655A}"/>
    <cellStyle name="Normal 72 4 3 3" xfId="9993" xr:uid="{4408177A-3E1D-49EF-BE92-5A6A065ACD26}"/>
    <cellStyle name="Normal 72 4 4" xfId="9994" xr:uid="{7CB5540E-4AE3-44DC-B5F1-7B562D863424}"/>
    <cellStyle name="Normal 72 4 4 2" xfId="9995" xr:uid="{17430A54-639B-48D4-B6CE-AE5383DB0A9D}"/>
    <cellStyle name="Normal 72 4 4 3" xfId="9996" xr:uid="{1B0F3F25-745C-41E5-B5B4-78C427B1EE18}"/>
    <cellStyle name="Normal 72 4 5" xfId="9997" xr:uid="{1A911D76-8946-47C1-850F-89B28B2C55A1}"/>
    <cellStyle name="Normal 72 4 5 2" xfId="9998" xr:uid="{02C151E6-9CB3-44C4-9094-C95BAA414E34}"/>
    <cellStyle name="Normal 72 4 5 3" xfId="9999" xr:uid="{C636803D-26DC-4CF4-A7A5-D8723BB21597}"/>
    <cellStyle name="Normal 72 4 6" xfId="10000" xr:uid="{600E07B1-881E-4071-9F05-7B60E2ECE458}"/>
    <cellStyle name="Normal 72 4 7" xfId="10001" xr:uid="{8006D890-2DC1-4125-BB33-797A334B7F33}"/>
    <cellStyle name="Normal 72 4 8" xfId="10002" xr:uid="{76E4FD81-4833-43B4-991A-842100A3731C}"/>
    <cellStyle name="Normal 72 4 9" xfId="10003" xr:uid="{318BDA87-F768-426B-8A11-57EC69D85A4F}"/>
    <cellStyle name="Normal 72 5" xfId="10004" xr:uid="{6B7CAA25-5BAA-490F-857F-F5C175C4516C}"/>
    <cellStyle name="Normal 72 5 2" xfId="10005" xr:uid="{8826E0CA-3AB7-4751-97E0-CDE97C0C2732}"/>
    <cellStyle name="Normal 72 5 2 2" xfId="10006" xr:uid="{1363CBEE-A642-4AAE-9B33-188EED48FB9D}"/>
    <cellStyle name="Normal 72 5 2 3" xfId="10007" xr:uid="{0801EBD2-CD47-4498-9239-69225F57039F}"/>
    <cellStyle name="Normal 72 5 3" xfId="10008" xr:uid="{B89EF8DD-BC8E-4534-A318-45BA64C0099F}"/>
    <cellStyle name="Normal 72 5 3 2" xfId="10009" xr:uid="{AB0608BD-DDC3-4F80-8CB5-01468B788BDB}"/>
    <cellStyle name="Normal 72 5 3 3" xfId="10010" xr:uid="{A9A4C7ED-D801-413F-B49D-FCD573EBB437}"/>
    <cellStyle name="Normal 72 5 4" xfId="10011" xr:uid="{16C92D5F-C842-4BBA-AE5E-8665714C460E}"/>
    <cellStyle name="Normal 72 5 4 2" xfId="10012" xr:uid="{5B6D1104-E80B-4663-B422-FAE27858171E}"/>
    <cellStyle name="Normal 72 5 4 3" xfId="10013" xr:uid="{E6EFDC77-9C01-4811-9130-DC177A1952D6}"/>
    <cellStyle name="Normal 72 5 5" xfId="10014" xr:uid="{24D63A8D-6495-40C3-8BB6-1F285B69D7B9}"/>
    <cellStyle name="Normal 72 5 6" xfId="10015" xr:uid="{1201C7AB-EB74-4B0B-875A-46BEE928335C}"/>
    <cellStyle name="Normal 72 5 7" xfId="10016" xr:uid="{07C1E068-1D78-4461-8B4D-BAD7897A901A}"/>
    <cellStyle name="Normal 72 5 8" xfId="10017" xr:uid="{A4F9B73B-2E9F-4069-89C1-04FC97C0D046}"/>
    <cellStyle name="Normal 72 6" xfId="10018" xr:uid="{2980EBDB-3F49-4D99-8C6E-E52591033870}"/>
    <cellStyle name="Normal 72 6 2" xfId="10019" xr:uid="{9F9D1B9A-BB34-432D-83C5-CD05F5D93205}"/>
    <cellStyle name="Normal 72 6 3" xfId="10020" xr:uid="{AD7C9E8C-6B56-482F-8B72-7F93291298B8}"/>
    <cellStyle name="Normal 72 7" xfId="10021" xr:uid="{FA2787EE-CE3A-4FA2-B75B-70EE08118F08}"/>
    <cellStyle name="Normal 72 7 2" xfId="10022" xr:uid="{CB9BC00F-EA2C-45C8-A173-FEADE5D6142D}"/>
    <cellStyle name="Normal 72 7 3" xfId="10023" xr:uid="{BAF6172D-E55D-4372-A0C1-AA86B977D56B}"/>
    <cellStyle name="Normal 72 8" xfId="10024" xr:uid="{ECD1C085-6D7B-4B77-9468-6F1018780841}"/>
    <cellStyle name="Normal 72 8 2" xfId="10025" xr:uid="{25DC3D07-9B98-476E-99F6-E1517F54F2A4}"/>
    <cellStyle name="Normal 72 8 3" xfId="10026" xr:uid="{0AA2B677-9091-42CB-868C-B5D47844F5C7}"/>
    <cellStyle name="Normal 72 9" xfId="10027" xr:uid="{48F78EFA-2099-4C29-B732-D2D5149AC35B}"/>
    <cellStyle name="Normal 73" xfId="51" xr:uid="{F53057CF-42C5-4CF9-B7B8-E0C8CE02292C}"/>
    <cellStyle name="Normal 73 10" xfId="10028" xr:uid="{39E640D1-7589-4899-B082-065A85130D8A}"/>
    <cellStyle name="Normal 73 11" xfId="10029" xr:uid="{F5AB7D96-43C9-4136-930F-FDE30F89FE19}"/>
    <cellStyle name="Normal 73 12" xfId="10030" xr:uid="{ACBBE479-3C89-4067-83B6-874143C59CD3}"/>
    <cellStyle name="Normal 73 2" xfId="2392" xr:uid="{B218CD18-143B-407C-A745-C977F648ADA2}"/>
    <cellStyle name="Normal 73 2 10" xfId="10031" xr:uid="{91E27400-D839-4E51-9967-CB88D66098F9}"/>
    <cellStyle name="Normal 73 2 11" xfId="10032" xr:uid="{F5CFB5F9-38C7-402D-A6E6-5CB19F88203F}"/>
    <cellStyle name="Normal 73 2 2" xfId="2393" xr:uid="{0394BB49-D95C-4D96-B92D-E577D9D90937}"/>
    <cellStyle name="Normal 73 2 2 10" xfId="10033" xr:uid="{DE7B1622-15DC-4F2D-8515-164A3FF0E1BE}"/>
    <cellStyle name="Normal 73 2 2 2" xfId="2394" xr:uid="{95B175A4-84C1-4F8D-9C71-061AFA5517B1}"/>
    <cellStyle name="Normal 73 2 2 2 2" xfId="10034" xr:uid="{E2893F1C-A729-4D93-9945-1F77A0A8957E}"/>
    <cellStyle name="Normal 73 2 2 2 2 2" xfId="10035" xr:uid="{DC4ECBCB-8BE6-4C86-8CA5-D2CDD6C878E0}"/>
    <cellStyle name="Normal 73 2 2 2 2 2 2" xfId="10036" xr:uid="{2EA34720-E621-441A-B639-FE7B8AD87D8F}"/>
    <cellStyle name="Normal 73 2 2 2 2 2 3" xfId="10037" xr:uid="{286688FB-8F58-433B-9E6F-EFA12E68CEE4}"/>
    <cellStyle name="Normal 73 2 2 2 2 3" xfId="10038" xr:uid="{7A118A42-CC47-40F2-978D-7129B838252C}"/>
    <cellStyle name="Normal 73 2 2 2 2 3 2" xfId="10039" xr:uid="{3FCB8EE9-8B03-4E3D-85FC-1C1E4DB66F09}"/>
    <cellStyle name="Normal 73 2 2 2 2 3 3" xfId="10040" xr:uid="{CF1DAC29-B426-4F69-9C8B-722DE10D2FD1}"/>
    <cellStyle name="Normal 73 2 2 2 2 4" xfId="10041" xr:uid="{07A15982-D092-4AE5-B1FD-950E61B33540}"/>
    <cellStyle name="Normal 73 2 2 2 2 4 2" xfId="10042" xr:uid="{73C9572D-48BD-4D67-8CA5-D42FFAD20631}"/>
    <cellStyle name="Normal 73 2 2 2 2 4 3" xfId="10043" xr:uid="{661C5356-71C4-4FB5-8236-26C1B8A07E01}"/>
    <cellStyle name="Normal 73 2 2 2 2 5" xfId="10044" xr:uid="{995E653D-3204-40AE-9A8A-8522553BAF5F}"/>
    <cellStyle name="Normal 73 2 2 2 2 6" xfId="10045" xr:uid="{CC318633-20E5-4FBD-AFBA-0701DFE010DD}"/>
    <cellStyle name="Normal 73 2 2 2 2 7" xfId="10046" xr:uid="{E0FAE851-C592-48B0-833C-7432B34A08CC}"/>
    <cellStyle name="Normal 73 2 2 2 2 8" xfId="10047" xr:uid="{53EC71B5-72CE-4232-837C-B3E614A98243}"/>
    <cellStyle name="Normal 73 2 2 2 3" xfId="10048" xr:uid="{50560223-3EED-4D63-A405-277C6EF9044C}"/>
    <cellStyle name="Normal 73 2 2 2 3 2" xfId="10049" xr:uid="{78F48A0D-69BE-404E-B1C3-B457AD3BCE42}"/>
    <cellStyle name="Normal 73 2 2 2 3 3" xfId="10050" xr:uid="{6B87376F-DDE6-4617-8994-332B24DEFA05}"/>
    <cellStyle name="Normal 73 2 2 2 4" xfId="10051" xr:uid="{49EF86F0-BFB9-43C0-9AAB-130D5C1FC16A}"/>
    <cellStyle name="Normal 73 2 2 2 4 2" xfId="10052" xr:uid="{EDD12BE8-D885-4915-AF9E-780C6863465D}"/>
    <cellStyle name="Normal 73 2 2 2 4 3" xfId="10053" xr:uid="{892BA49F-C7C6-44DF-A5F7-1264BDF07137}"/>
    <cellStyle name="Normal 73 2 2 2 5" xfId="10054" xr:uid="{124D9393-5343-4865-ABBF-2108AB02E445}"/>
    <cellStyle name="Normal 73 2 2 2 5 2" xfId="10055" xr:uid="{E3744CC6-2137-4A5E-A8D0-04B6461F9C0F}"/>
    <cellStyle name="Normal 73 2 2 2 5 3" xfId="10056" xr:uid="{ED764AA1-7E39-4CB7-86A8-FE64EE9D1763}"/>
    <cellStyle name="Normal 73 2 2 2 6" xfId="10057" xr:uid="{9C62A265-C004-4CFD-8F19-C4299522204A}"/>
    <cellStyle name="Normal 73 2 2 2 7" xfId="10058" xr:uid="{95FDBFFC-CBC2-44F7-80D6-CF37FB0ED0D7}"/>
    <cellStyle name="Normal 73 2 2 2 8" xfId="10059" xr:uid="{FEFA30A1-AB9B-442F-AD6A-89FF1A9F5F17}"/>
    <cellStyle name="Normal 73 2 2 2 9" xfId="10060" xr:uid="{86945C1C-713E-4428-8808-6232D32EF18F}"/>
    <cellStyle name="Normal 73 2 2 3" xfId="10061" xr:uid="{6FC08D88-6AEC-4DDB-9787-46DE60968075}"/>
    <cellStyle name="Normal 73 2 2 3 2" xfId="10062" xr:uid="{B64EE534-11D3-47FA-9F15-BF6C3E42021C}"/>
    <cellStyle name="Normal 73 2 2 3 2 2" xfId="10063" xr:uid="{044034C7-20CB-4118-BEC8-96BA12A39410}"/>
    <cellStyle name="Normal 73 2 2 3 2 3" xfId="10064" xr:uid="{F76B9BE0-2213-423E-B3AD-184EB16307B3}"/>
    <cellStyle name="Normal 73 2 2 3 3" xfId="10065" xr:uid="{30D5E68B-00B0-4566-92EF-B3663645C353}"/>
    <cellStyle name="Normal 73 2 2 3 3 2" xfId="10066" xr:uid="{61DC3DA5-66CF-42F3-B223-FE8918853170}"/>
    <cellStyle name="Normal 73 2 2 3 3 3" xfId="10067" xr:uid="{4C101730-12DA-4D42-9D90-D05468E84B94}"/>
    <cellStyle name="Normal 73 2 2 3 4" xfId="10068" xr:uid="{C5BCC64E-9AC8-4915-A311-C67299A2F3D5}"/>
    <cellStyle name="Normal 73 2 2 3 4 2" xfId="10069" xr:uid="{AAC31FB9-ACF1-413E-9529-D76BC89B59D9}"/>
    <cellStyle name="Normal 73 2 2 3 4 3" xfId="10070" xr:uid="{B8FF8012-D3E3-4B6F-B287-E53028B2C6A6}"/>
    <cellStyle name="Normal 73 2 2 3 5" xfId="10071" xr:uid="{3955D21C-4786-4F7A-B2E1-B6C778C58E39}"/>
    <cellStyle name="Normal 73 2 2 3 6" xfId="10072" xr:uid="{B9A3FE61-F014-4484-9E69-81F0597C1856}"/>
    <cellStyle name="Normal 73 2 2 3 7" xfId="10073" xr:uid="{567D2314-4E8E-4455-80A5-2938D1092C45}"/>
    <cellStyle name="Normal 73 2 2 3 8" xfId="10074" xr:uid="{8F5EB3BF-1D40-4BA9-8D00-2F55C1E1547F}"/>
    <cellStyle name="Normal 73 2 2 4" xfId="10075" xr:uid="{A19080DB-3819-474D-93DC-728B1FE6974A}"/>
    <cellStyle name="Normal 73 2 2 4 2" xfId="10076" xr:uid="{E0D79FCF-6ACD-4637-BE08-8CA2C620074F}"/>
    <cellStyle name="Normal 73 2 2 4 3" xfId="10077" xr:uid="{45463689-5451-4011-BEDB-95B0CD832C55}"/>
    <cellStyle name="Normal 73 2 2 5" xfId="10078" xr:uid="{D6E67C18-8BD4-4499-8AF1-6D7C1451D0DB}"/>
    <cellStyle name="Normal 73 2 2 5 2" xfId="10079" xr:uid="{DA5FF2EC-E03F-4663-BDF7-F20A7190CD74}"/>
    <cellStyle name="Normal 73 2 2 5 3" xfId="10080" xr:uid="{BFA42936-1A5C-4B11-85DA-2611D0404C61}"/>
    <cellStyle name="Normal 73 2 2 6" xfId="10081" xr:uid="{33EA8FD0-7F63-4F01-B3E9-AC4781A431F1}"/>
    <cellStyle name="Normal 73 2 2 6 2" xfId="10082" xr:uid="{7B19CFD2-1CFC-4914-BFCE-FCE87FE48A06}"/>
    <cellStyle name="Normal 73 2 2 6 3" xfId="10083" xr:uid="{A2045E67-668E-44CB-B0F5-C4806A5C783A}"/>
    <cellStyle name="Normal 73 2 2 7" xfId="10084" xr:uid="{EE7CFFBB-3E4A-4A3C-9082-9062FEA5A19A}"/>
    <cellStyle name="Normal 73 2 2 8" xfId="10085" xr:uid="{CA108530-CC60-4104-B70D-C51D547E9665}"/>
    <cellStyle name="Normal 73 2 2 9" xfId="10086" xr:uid="{120270FF-373B-43ED-BD73-0D22C394F3B3}"/>
    <cellStyle name="Normal 73 2 3" xfId="2395" xr:uid="{CAF3E5CD-783B-4766-A2CE-3F4FA840C5D7}"/>
    <cellStyle name="Normal 73 2 3 2" xfId="10087" xr:uid="{D9C263C4-E9EC-4FA8-B42D-13D515E6BAC0}"/>
    <cellStyle name="Normal 73 2 3 2 2" xfId="10088" xr:uid="{DBE7CC2D-EB3F-4703-89B3-46FCE305394D}"/>
    <cellStyle name="Normal 73 2 3 2 2 2" xfId="10089" xr:uid="{2B5F39E9-D3D7-49E7-8773-7FCB3BF36D71}"/>
    <cellStyle name="Normal 73 2 3 2 2 3" xfId="10090" xr:uid="{EB345A54-4EDA-42A5-B8B8-9F57032C422D}"/>
    <cellStyle name="Normal 73 2 3 2 3" xfId="10091" xr:uid="{501A4F45-16DD-4B81-AF89-EABC8700D61C}"/>
    <cellStyle name="Normal 73 2 3 2 3 2" xfId="10092" xr:uid="{CA625218-5DB2-45D5-9D51-659E584AD5D5}"/>
    <cellStyle name="Normal 73 2 3 2 3 3" xfId="10093" xr:uid="{F025BBF8-B08C-4A1F-B2F6-1C9B890B09EF}"/>
    <cellStyle name="Normal 73 2 3 2 4" xfId="10094" xr:uid="{47DE80CE-F4B5-4B10-A105-A686BEA160D0}"/>
    <cellStyle name="Normal 73 2 3 2 4 2" xfId="10095" xr:uid="{F36DB6D6-6893-40D7-AB78-7023547CF335}"/>
    <cellStyle name="Normal 73 2 3 2 4 3" xfId="10096" xr:uid="{13FD008E-14FA-4B3C-8966-C93EF294B6C9}"/>
    <cellStyle name="Normal 73 2 3 2 5" xfId="10097" xr:uid="{26B85F76-6F81-4B38-9A4B-2D62367A00FE}"/>
    <cellStyle name="Normal 73 2 3 2 6" xfId="10098" xr:uid="{F0D65DEC-C8EA-4BF2-89AD-7F479CCF8450}"/>
    <cellStyle name="Normal 73 2 3 2 7" xfId="10099" xr:uid="{EA3B1E26-0D29-4AF4-905A-ADEA71CA6674}"/>
    <cellStyle name="Normal 73 2 3 2 8" xfId="10100" xr:uid="{4485925A-D2EA-45AE-A292-23048693FFB3}"/>
    <cellStyle name="Normal 73 2 3 3" xfId="10101" xr:uid="{9ECAD31D-E3F1-46EA-87E8-3C946C4C0A72}"/>
    <cellStyle name="Normal 73 2 3 3 2" xfId="10102" xr:uid="{54008925-82CA-40EB-B635-13B367D8345D}"/>
    <cellStyle name="Normal 73 2 3 3 3" xfId="10103" xr:uid="{6239B165-FF66-41C9-BB34-4DAA42AB878A}"/>
    <cellStyle name="Normal 73 2 3 4" xfId="10104" xr:uid="{D0D50BAA-4E00-4359-8915-2AF4C615F524}"/>
    <cellStyle name="Normal 73 2 3 4 2" xfId="10105" xr:uid="{6DB058B4-C715-499D-BD47-88995322C081}"/>
    <cellStyle name="Normal 73 2 3 4 3" xfId="10106" xr:uid="{F4C4BD43-2415-4FAA-965B-4F3400E464B0}"/>
    <cellStyle name="Normal 73 2 3 5" xfId="10107" xr:uid="{F2DEB130-01BD-408F-B5BF-DF8DA6D7E415}"/>
    <cellStyle name="Normal 73 2 3 5 2" xfId="10108" xr:uid="{038D3EAB-DE0D-4298-AC2C-45AEDEABC032}"/>
    <cellStyle name="Normal 73 2 3 5 3" xfId="10109" xr:uid="{542B3C11-0578-4196-AB1B-E688BB206B56}"/>
    <cellStyle name="Normal 73 2 3 6" xfId="10110" xr:uid="{029A136B-A247-4D55-BA5C-2F27E3F58ED2}"/>
    <cellStyle name="Normal 73 2 3 7" xfId="10111" xr:uid="{6DD7D674-7A17-4044-B765-E87E616D7FD0}"/>
    <cellStyle name="Normal 73 2 3 8" xfId="10112" xr:uid="{B2055994-F3A8-4029-81E7-19845CF09984}"/>
    <cellStyle name="Normal 73 2 3 9" xfId="10113" xr:uid="{A43271FF-A6B2-4CF8-A3C9-CB38BEB85C5F}"/>
    <cellStyle name="Normal 73 2 4" xfId="10114" xr:uid="{4823000B-5ED6-42C3-9A1E-B91C2D1806B6}"/>
    <cellStyle name="Normal 73 2 4 2" xfId="10115" xr:uid="{084B8206-0D90-4A12-8BC7-3CFEB980CC4C}"/>
    <cellStyle name="Normal 73 2 4 2 2" xfId="10116" xr:uid="{15FF6DDC-8359-436F-8540-208503117121}"/>
    <cellStyle name="Normal 73 2 4 2 3" xfId="10117" xr:uid="{5B8C0E4A-C135-43A2-8498-23ECECAFABE3}"/>
    <cellStyle name="Normal 73 2 4 3" xfId="10118" xr:uid="{D61B026A-2BFA-4095-BCA9-EBB2A99FE766}"/>
    <cellStyle name="Normal 73 2 4 3 2" xfId="10119" xr:uid="{D18460DE-B4A4-4C10-B4BF-7EDE1604A3CE}"/>
    <cellStyle name="Normal 73 2 4 3 3" xfId="10120" xr:uid="{5B6184B6-140E-4EFE-BD2D-ACD00FEA046C}"/>
    <cellStyle name="Normal 73 2 4 4" xfId="10121" xr:uid="{E9106BDE-1121-43EC-BD7D-95FDEE76A3D8}"/>
    <cellStyle name="Normal 73 2 4 4 2" xfId="10122" xr:uid="{A8A560F5-6802-46FE-9830-FF0BD700360F}"/>
    <cellStyle name="Normal 73 2 4 4 3" xfId="10123" xr:uid="{AA2CD0C2-AAAF-490D-AE00-23B8D50A828C}"/>
    <cellStyle name="Normal 73 2 4 5" xfId="10124" xr:uid="{C372B16C-81ED-431A-9595-5646C022ED0E}"/>
    <cellStyle name="Normal 73 2 4 6" xfId="10125" xr:uid="{03BBC99F-8802-4BEA-A7CF-7A96E7A1B2DE}"/>
    <cellStyle name="Normal 73 2 4 7" xfId="10126" xr:uid="{945D98F9-E751-4D11-829C-A0C43D12F3DC}"/>
    <cellStyle name="Normal 73 2 4 8" xfId="10127" xr:uid="{90D4F92E-8FC7-4F9F-9981-A12C670AD52F}"/>
    <cellStyle name="Normal 73 2 5" xfId="10128" xr:uid="{7D03A9AB-D207-476D-8F5E-028016ECE28A}"/>
    <cellStyle name="Normal 73 2 5 2" xfId="10129" xr:uid="{38D9047B-A7B9-430C-9CB2-14F2472E6A4C}"/>
    <cellStyle name="Normal 73 2 5 3" xfId="10130" xr:uid="{4D27D1AC-A972-4583-A1DC-D85D876B9E1F}"/>
    <cellStyle name="Normal 73 2 6" xfId="10131" xr:uid="{E76EDF13-3A76-49C3-B640-32431FF49158}"/>
    <cellStyle name="Normal 73 2 6 2" xfId="10132" xr:uid="{E3681FBF-8B77-4C35-A19E-B791475219AC}"/>
    <cellStyle name="Normal 73 2 6 3" xfId="10133" xr:uid="{770CFC01-A7F1-43CC-A75B-E5AE6DA021A6}"/>
    <cellStyle name="Normal 73 2 7" xfId="10134" xr:uid="{8FB02281-10CE-4CDA-96FF-12B548A011FC}"/>
    <cellStyle name="Normal 73 2 7 2" xfId="10135" xr:uid="{8D09694C-4248-4DB7-A57F-2EE2C5B6E05F}"/>
    <cellStyle name="Normal 73 2 7 3" xfId="10136" xr:uid="{A89F9ECB-6032-4A59-B449-6050A6BB5649}"/>
    <cellStyle name="Normal 73 2 8" xfId="10137" xr:uid="{6EB217FB-1F71-490C-94A3-1A41C49B4FA2}"/>
    <cellStyle name="Normal 73 2 9" xfId="10138" xr:uid="{F4B34F83-1449-4C83-8C04-3D1421869DDC}"/>
    <cellStyle name="Normal 73 3" xfId="2396" xr:uid="{5F905E63-404C-456A-BA9D-CDCF6CE1EB0D}"/>
    <cellStyle name="Normal 73 3 10" xfId="10139" xr:uid="{8B8E64DD-8459-4BC6-AFEA-8039227ED4B6}"/>
    <cellStyle name="Normal 73 3 2" xfId="2397" xr:uid="{41414B55-10CF-415C-9F19-D43432D6FE4D}"/>
    <cellStyle name="Normal 73 3 2 2" xfId="10140" xr:uid="{95BCF704-1DB9-4191-9666-CED9AB4EF3E3}"/>
    <cellStyle name="Normal 73 3 2 2 2" xfId="10141" xr:uid="{EC6121B5-43C0-4A52-BB52-93395CEEF595}"/>
    <cellStyle name="Normal 73 3 2 2 2 2" xfId="10142" xr:uid="{90B3B817-1647-4861-985F-0790C38C465C}"/>
    <cellStyle name="Normal 73 3 2 2 2 3" xfId="10143" xr:uid="{3C39F3FD-FD0B-499B-8822-F036DB4842E9}"/>
    <cellStyle name="Normal 73 3 2 2 3" xfId="10144" xr:uid="{B9029F46-DFF4-43D5-ACC9-DE98FFCE8002}"/>
    <cellStyle name="Normal 73 3 2 2 3 2" xfId="10145" xr:uid="{1D91D285-F387-41AF-BCA7-A956B677CBFF}"/>
    <cellStyle name="Normal 73 3 2 2 3 3" xfId="10146" xr:uid="{F831C147-1C76-4F3F-8436-CA40579CBB9B}"/>
    <cellStyle name="Normal 73 3 2 2 4" xfId="10147" xr:uid="{3B36EEB7-659E-4EDC-9BCA-DED318325FDB}"/>
    <cellStyle name="Normal 73 3 2 2 4 2" xfId="10148" xr:uid="{B6FA534C-B402-4A59-9CDA-FAB80E28C090}"/>
    <cellStyle name="Normal 73 3 2 2 4 3" xfId="10149" xr:uid="{73CDF1AB-6F7A-4D3E-B84C-FA047AA89976}"/>
    <cellStyle name="Normal 73 3 2 2 5" xfId="10150" xr:uid="{E8E441C3-5C28-4A6B-A344-024836DC379B}"/>
    <cellStyle name="Normal 73 3 2 2 6" xfId="10151" xr:uid="{779F164F-A656-4234-9494-1592B1331443}"/>
    <cellStyle name="Normal 73 3 2 2 7" xfId="10152" xr:uid="{3F5ACBBC-D9E1-4F69-B0F4-0256ABEBF0B3}"/>
    <cellStyle name="Normal 73 3 2 2 8" xfId="10153" xr:uid="{E6209EAB-C768-48F8-88FF-58EA40BE6E6C}"/>
    <cellStyle name="Normal 73 3 2 3" xfId="10154" xr:uid="{A16A4F7A-6184-4E47-A8C5-61A591AD2509}"/>
    <cellStyle name="Normal 73 3 2 3 2" xfId="10155" xr:uid="{4ECE1E00-6DFA-41A6-ACC9-C5E9B7407680}"/>
    <cellStyle name="Normal 73 3 2 3 3" xfId="10156" xr:uid="{61830DCE-5C10-4D80-BB20-9059A33FCD82}"/>
    <cellStyle name="Normal 73 3 2 4" xfId="10157" xr:uid="{7E53E2CF-511E-4FA4-B376-0CB31BE43FC1}"/>
    <cellStyle name="Normal 73 3 2 4 2" xfId="10158" xr:uid="{53CEAF89-505B-4082-8C91-CFC61A180EB3}"/>
    <cellStyle name="Normal 73 3 2 4 3" xfId="10159" xr:uid="{B27F44AE-0283-45D6-8DAE-2608F12B5C2B}"/>
    <cellStyle name="Normal 73 3 2 5" xfId="10160" xr:uid="{14934851-D96E-447A-8622-C467D7A3AFB9}"/>
    <cellStyle name="Normal 73 3 2 5 2" xfId="10161" xr:uid="{C5E90C81-C949-47B0-B583-B8B378A37D83}"/>
    <cellStyle name="Normal 73 3 2 5 3" xfId="10162" xr:uid="{80069587-CEC6-47D6-961E-F0A2243D625A}"/>
    <cellStyle name="Normal 73 3 2 6" xfId="10163" xr:uid="{F1E88B68-9FA8-4F8B-9FD2-3A6A55A9D0CF}"/>
    <cellStyle name="Normal 73 3 2 7" xfId="10164" xr:uid="{B6E74B0A-8A80-49A8-BE85-87E1C114E1D5}"/>
    <cellStyle name="Normal 73 3 2 8" xfId="10165" xr:uid="{4A1B2411-5D15-4F76-B028-89708CD8E5E4}"/>
    <cellStyle name="Normal 73 3 2 9" xfId="10166" xr:uid="{00ADA86A-BB96-4594-BA4C-629DEA1905E1}"/>
    <cellStyle name="Normal 73 3 3" xfId="10167" xr:uid="{20BF1CBF-D9BB-4D0F-A079-BB069FD10751}"/>
    <cellStyle name="Normal 73 3 3 2" xfId="10168" xr:uid="{00FA1355-BA37-4802-BBAF-E3EFD453E2CF}"/>
    <cellStyle name="Normal 73 3 3 2 2" xfId="10169" xr:uid="{1B41B7E0-FCED-4057-8C6C-772E67E0F51A}"/>
    <cellStyle name="Normal 73 3 3 2 3" xfId="10170" xr:uid="{22B4807A-6E50-420C-98A8-9C19DBFE0A08}"/>
    <cellStyle name="Normal 73 3 3 3" xfId="10171" xr:uid="{C68D67BB-1BB3-47DD-BA00-13FF4649DD7F}"/>
    <cellStyle name="Normal 73 3 3 3 2" xfId="10172" xr:uid="{1827B92E-82DE-47C0-AA88-22C4111604A5}"/>
    <cellStyle name="Normal 73 3 3 3 3" xfId="10173" xr:uid="{B16E7EFE-DDA5-4D3A-8C11-5B56A980D642}"/>
    <cellStyle name="Normal 73 3 3 4" xfId="10174" xr:uid="{695A7286-4784-4F55-828B-2520318C7A72}"/>
    <cellStyle name="Normal 73 3 3 4 2" xfId="10175" xr:uid="{807F3C21-DFFA-4424-8FF9-A2FCD68ABEC8}"/>
    <cellStyle name="Normal 73 3 3 4 3" xfId="10176" xr:uid="{AFE65D57-2C13-4FD0-895D-E6FB73AF4BE8}"/>
    <cellStyle name="Normal 73 3 3 5" xfId="10177" xr:uid="{1FF619BB-928E-4265-8ED4-11B805F9259B}"/>
    <cellStyle name="Normal 73 3 3 6" xfId="10178" xr:uid="{42FC023F-6F87-4603-ADF3-77D759775390}"/>
    <cellStyle name="Normal 73 3 3 7" xfId="10179" xr:uid="{AB7F421C-740D-433F-A0CB-9A4AEAB39032}"/>
    <cellStyle name="Normal 73 3 3 8" xfId="10180" xr:uid="{A4657CCA-69D1-4C55-BC7A-C4F7ECC27FC9}"/>
    <cellStyle name="Normal 73 3 4" xfId="10181" xr:uid="{7AD6E715-BE62-48FA-82D9-6A25AE679792}"/>
    <cellStyle name="Normal 73 3 4 2" xfId="10182" xr:uid="{583F05C5-C3E5-4621-96F7-01F496C59A0A}"/>
    <cellStyle name="Normal 73 3 4 3" xfId="10183" xr:uid="{1EB23F0A-1EEE-43C0-9650-9133A5823F8E}"/>
    <cellStyle name="Normal 73 3 5" xfId="10184" xr:uid="{A3BDFF18-51BA-495C-9C60-C6BEE737BB36}"/>
    <cellStyle name="Normal 73 3 5 2" xfId="10185" xr:uid="{869BA035-90A7-4580-AB74-01CBCC42C324}"/>
    <cellStyle name="Normal 73 3 5 3" xfId="10186" xr:uid="{BE9783E5-3DD0-4CB2-BF2C-54069EC471CF}"/>
    <cellStyle name="Normal 73 3 6" xfId="10187" xr:uid="{B6F50B8E-9650-4D43-8638-9BBB5AA4CC5A}"/>
    <cellStyle name="Normal 73 3 6 2" xfId="10188" xr:uid="{574B20F3-11AA-4C4F-A182-4774D8CCF6B8}"/>
    <cellStyle name="Normal 73 3 6 3" xfId="10189" xr:uid="{E5CE627E-B46E-4096-B428-3DBB309167EC}"/>
    <cellStyle name="Normal 73 3 7" xfId="10190" xr:uid="{42DF5E4A-35F7-4436-B144-156299F82D62}"/>
    <cellStyle name="Normal 73 3 8" xfId="10191" xr:uid="{05B4882E-B0FA-4220-A86E-4BF8C5A79D07}"/>
    <cellStyle name="Normal 73 3 9" xfId="10192" xr:uid="{87F9AF97-B77B-47D7-B5F7-24602D652519}"/>
    <cellStyle name="Normal 73 4" xfId="2398" xr:uid="{73B3C99B-284A-4EC1-A24D-2EDEE2B1FE69}"/>
    <cellStyle name="Normal 73 4 2" xfId="10193" xr:uid="{EFB04652-36AA-42BC-8F87-D77EB2C5BE60}"/>
    <cellStyle name="Normal 73 4 2 2" xfId="10194" xr:uid="{63B0D6D5-A9DB-4FA9-867C-2E1D5E49F38F}"/>
    <cellStyle name="Normal 73 4 2 2 2" xfId="10195" xr:uid="{B7D58F02-B923-4FC3-998B-0595E130EB9C}"/>
    <cellStyle name="Normal 73 4 2 2 3" xfId="10196" xr:uid="{D8F3BF84-7638-48AC-B5CA-5BA86C41F605}"/>
    <cellStyle name="Normal 73 4 2 3" xfId="10197" xr:uid="{33930B88-2702-44D9-BAB5-2DA4D83E977C}"/>
    <cellStyle name="Normal 73 4 2 3 2" xfId="10198" xr:uid="{5B04A7D8-D859-4068-A014-7ED3812535C9}"/>
    <cellStyle name="Normal 73 4 2 3 3" xfId="10199" xr:uid="{DB77EC80-76DF-4E09-9E30-ED45ADB7B6E5}"/>
    <cellStyle name="Normal 73 4 2 4" xfId="10200" xr:uid="{9960DEDA-EE02-4F4F-88F3-76B7774E3B95}"/>
    <cellStyle name="Normal 73 4 2 4 2" xfId="10201" xr:uid="{AEF3617E-3477-41ED-86A2-83BABD9DD6FC}"/>
    <cellStyle name="Normal 73 4 2 4 3" xfId="10202" xr:uid="{18091D4D-BFEA-4F85-B04D-15B3780B5211}"/>
    <cellStyle name="Normal 73 4 2 5" xfId="10203" xr:uid="{AC6831A8-D355-45B8-88BE-05B5217F4918}"/>
    <cellStyle name="Normal 73 4 2 6" xfId="10204" xr:uid="{DC438B0A-8AF4-418F-8293-CA54D4D46E6A}"/>
    <cellStyle name="Normal 73 4 2 7" xfId="10205" xr:uid="{AEB9D33A-5730-4C7B-AF11-00337967A195}"/>
    <cellStyle name="Normal 73 4 2 8" xfId="10206" xr:uid="{43009FA1-462C-4211-B1CE-8414B6174E21}"/>
    <cellStyle name="Normal 73 4 3" xfId="10207" xr:uid="{600D8A10-2618-4FD8-89A4-421EE10D3088}"/>
    <cellStyle name="Normal 73 4 3 2" xfId="10208" xr:uid="{5DBA2AB7-FEF6-4759-8390-690796DF8B28}"/>
    <cellStyle name="Normal 73 4 3 3" xfId="10209" xr:uid="{13DB4C67-AE33-4107-9E83-24C0CF86B7A5}"/>
    <cellStyle name="Normal 73 4 4" xfId="10210" xr:uid="{47FE0AA5-6569-4674-99DC-C99B62F1AA9C}"/>
    <cellStyle name="Normal 73 4 4 2" xfId="10211" xr:uid="{606929CB-FC7E-4C17-9746-4288D49883DA}"/>
    <cellStyle name="Normal 73 4 4 3" xfId="10212" xr:uid="{3E193982-EFD9-4CF4-AAD8-807E2B1A65D5}"/>
    <cellStyle name="Normal 73 4 5" xfId="10213" xr:uid="{DA8A9D5B-1F12-455C-803C-66B9C67FA9FE}"/>
    <cellStyle name="Normal 73 4 5 2" xfId="10214" xr:uid="{E8C36236-14D2-4E63-AFC6-F351A5F82E2C}"/>
    <cellStyle name="Normal 73 4 5 3" xfId="10215" xr:uid="{27F9E9BA-965F-412C-AF4C-DBEECE1C57DE}"/>
    <cellStyle name="Normal 73 4 6" xfId="10216" xr:uid="{E30719C9-857C-4DC1-84E6-BD06477AD987}"/>
    <cellStyle name="Normal 73 4 7" xfId="10217" xr:uid="{648524A8-6E3B-4A43-8C6A-9F1A098F33ED}"/>
    <cellStyle name="Normal 73 4 8" xfId="10218" xr:uid="{566F5999-3CD0-4B3F-A7B6-C31DF7BDB9A1}"/>
    <cellStyle name="Normal 73 4 9" xfId="10219" xr:uid="{CBF45082-62BE-486C-87A1-D18C85CC85B4}"/>
    <cellStyle name="Normal 73 5" xfId="10220" xr:uid="{8D315989-1D67-4707-B5E9-E41B7E8FECF6}"/>
    <cellStyle name="Normal 73 5 2" xfId="10221" xr:uid="{F5A40593-84E7-49A8-B488-AF647B0189E4}"/>
    <cellStyle name="Normal 73 5 2 2" xfId="10222" xr:uid="{D946900C-C03C-4855-90F3-BE140C85521D}"/>
    <cellStyle name="Normal 73 5 2 3" xfId="10223" xr:uid="{515FAC85-19B2-4E87-841A-98120928E0C0}"/>
    <cellStyle name="Normal 73 5 3" xfId="10224" xr:uid="{C75B967A-0131-4597-BD6E-E943607E8E1F}"/>
    <cellStyle name="Normal 73 5 3 2" xfId="10225" xr:uid="{DF344DDA-90AA-40DA-9F1D-348D15F3297F}"/>
    <cellStyle name="Normal 73 5 3 3" xfId="10226" xr:uid="{78FFE445-A9F7-4D2E-985E-0E4786D2D1A2}"/>
    <cellStyle name="Normal 73 5 4" xfId="10227" xr:uid="{B1996A36-B9B1-4378-87C8-0D5595448D89}"/>
    <cellStyle name="Normal 73 5 4 2" xfId="10228" xr:uid="{09528F71-8442-48C2-9460-9357549154CD}"/>
    <cellStyle name="Normal 73 5 4 3" xfId="10229" xr:uid="{32F50979-F7CD-482E-9508-CB26FC36AEA9}"/>
    <cellStyle name="Normal 73 5 5" xfId="10230" xr:uid="{B16DFF05-8FDE-40EA-937D-4934666EF71F}"/>
    <cellStyle name="Normal 73 5 6" xfId="10231" xr:uid="{75B24866-20C8-4DE5-ACA2-A4B6B261491B}"/>
    <cellStyle name="Normal 73 5 7" xfId="10232" xr:uid="{DFED3027-E2BC-43CD-8393-E691AF9CA682}"/>
    <cellStyle name="Normal 73 5 8" xfId="10233" xr:uid="{103BBBC3-1D34-4D0A-80D6-2D42245FB931}"/>
    <cellStyle name="Normal 73 6" xfId="10234" xr:uid="{6E5BD8C0-90B3-4BF1-8FEF-B73E67EC79E7}"/>
    <cellStyle name="Normal 73 6 2" xfId="10235" xr:uid="{D8B50581-AA27-427B-9A00-27C8BF107DAF}"/>
    <cellStyle name="Normal 73 6 3" xfId="10236" xr:uid="{04CBA399-EF69-46EE-A6E7-D0D9B0303C8C}"/>
    <cellStyle name="Normal 73 7" xfId="10237" xr:uid="{58EDECFE-9AFD-4DD5-AC0C-F350ED5B464F}"/>
    <cellStyle name="Normal 73 7 2" xfId="10238" xr:uid="{C452044A-5F24-4616-A335-EF6090AAADBE}"/>
    <cellStyle name="Normal 73 7 3" xfId="10239" xr:uid="{579DACDC-F016-4BA6-BD85-66CB86C228E0}"/>
    <cellStyle name="Normal 73 8" xfId="10240" xr:uid="{9B2FA010-7471-45CD-8709-6F6570D42006}"/>
    <cellStyle name="Normal 73 8 2" xfId="10241" xr:uid="{801111FB-A7FC-4443-B3D5-CEDC4CAB7F31}"/>
    <cellStyle name="Normal 73 8 3" xfId="10242" xr:uid="{F3C21721-6B42-4576-A7B7-F866F7CD140B}"/>
    <cellStyle name="Normal 73 9" xfId="10243" xr:uid="{6EA8AA37-141A-49D7-805A-92BEFB86C34E}"/>
    <cellStyle name="Normal 74" xfId="2399" xr:uid="{F63575DF-3340-462F-A01B-2C7C2B64B4A5}"/>
    <cellStyle name="Normal 75" xfId="2400" xr:uid="{82F5BF98-AFF3-42DE-BD3B-292F36710B08}"/>
    <cellStyle name="Normal 76" xfId="2401" xr:uid="{12A5D51F-BF69-48F3-871A-A45012B55487}"/>
    <cellStyle name="Normal 77" xfId="2402" xr:uid="{5D0C04EF-A8B9-410C-984B-6316E4D49E86}"/>
    <cellStyle name="Normal 78" xfId="2403" xr:uid="{A49B7652-E78F-46B4-B0B9-B16D4061D0A3}"/>
    <cellStyle name="Normal 78 10" xfId="10244" xr:uid="{A13DD05A-1881-4995-88F2-15FDC7DD90AB}"/>
    <cellStyle name="Normal 78 11" xfId="10245" xr:uid="{30407AE1-4F1E-45CA-A5BC-51DAC447C23B}"/>
    <cellStyle name="Normal 78 12" xfId="10246" xr:uid="{E8603106-95BC-4B4C-9E86-34199B621F97}"/>
    <cellStyle name="Normal 78 2" xfId="2404" xr:uid="{8A0CBC05-88CA-4FD3-8370-64E663E0C18D}"/>
    <cellStyle name="Normal 78 2 10" xfId="10247" xr:uid="{84ECB6CD-079E-4044-847D-AC5D25F46A36}"/>
    <cellStyle name="Normal 78 2 11" xfId="10248" xr:uid="{E25F07FC-A7BE-497D-8E52-819551514856}"/>
    <cellStyle name="Normal 78 2 2" xfId="2405" xr:uid="{3DD3E642-28AF-4B7E-A249-9FD0F6C56FBC}"/>
    <cellStyle name="Normal 78 2 2 10" xfId="10249" xr:uid="{E341BD4E-7D02-4673-8BBD-B9DA94C28B25}"/>
    <cellStyle name="Normal 78 2 2 2" xfId="2406" xr:uid="{B038BE76-1681-484F-ABA5-F1338A41FF0C}"/>
    <cellStyle name="Normal 78 2 2 2 2" xfId="10250" xr:uid="{4935F9D5-0B2B-44CC-84A1-85C030898B64}"/>
    <cellStyle name="Normal 78 2 2 2 2 2" xfId="10251" xr:uid="{40C7255A-C521-44F5-929C-241CD990BB82}"/>
    <cellStyle name="Normal 78 2 2 2 2 2 2" xfId="10252" xr:uid="{A3AB0608-3CDC-44B3-9C40-DE643E93D631}"/>
    <cellStyle name="Normal 78 2 2 2 2 2 3" xfId="10253" xr:uid="{3562FEEA-E2F4-40B5-BF68-5D8ED38E38D8}"/>
    <cellStyle name="Normal 78 2 2 2 2 3" xfId="10254" xr:uid="{9FFC9948-D2E2-4A16-A891-D315FFB4CE6D}"/>
    <cellStyle name="Normal 78 2 2 2 2 3 2" xfId="10255" xr:uid="{61B46108-9DA2-4DB0-BAF6-59F7A7AFD37B}"/>
    <cellStyle name="Normal 78 2 2 2 2 3 3" xfId="10256" xr:uid="{E4FCB29F-3C0C-44AE-BBEF-AD36DF778C91}"/>
    <cellStyle name="Normal 78 2 2 2 2 4" xfId="10257" xr:uid="{ED0B5985-A6CE-4B30-B4B5-D1BC7A7B8C22}"/>
    <cellStyle name="Normal 78 2 2 2 2 4 2" xfId="10258" xr:uid="{D3E6BCFD-0E35-478C-A2C4-F1EBC29884C4}"/>
    <cellStyle name="Normal 78 2 2 2 2 4 3" xfId="10259" xr:uid="{89BB8A4A-241D-452B-916B-50920B4E6BEB}"/>
    <cellStyle name="Normal 78 2 2 2 2 5" xfId="10260" xr:uid="{186A2310-4DA0-4DD7-8B57-828FA8740731}"/>
    <cellStyle name="Normal 78 2 2 2 2 6" xfId="10261" xr:uid="{258D8CAB-8018-4C06-AA2C-8173C48AA19B}"/>
    <cellStyle name="Normal 78 2 2 2 2 7" xfId="10262" xr:uid="{24FD9DE4-7F0A-4B7F-AC59-F504230AD415}"/>
    <cellStyle name="Normal 78 2 2 2 2 8" xfId="10263" xr:uid="{A8020616-C01C-4267-927E-169A1FB9E480}"/>
    <cellStyle name="Normal 78 2 2 2 3" xfId="10264" xr:uid="{60B637C6-B4DA-483C-8606-87977FB84F1D}"/>
    <cellStyle name="Normal 78 2 2 2 3 2" xfId="10265" xr:uid="{86EDDFE2-07FD-4279-AC12-07E2DA4CCDD2}"/>
    <cellStyle name="Normal 78 2 2 2 3 3" xfId="10266" xr:uid="{F1AA34C1-FCCF-4FA9-B14F-D1A19DD80A2D}"/>
    <cellStyle name="Normal 78 2 2 2 4" xfId="10267" xr:uid="{FB9DB8A5-3099-4DE5-A61A-4C8543950FD2}"/>
    <cellStyle name="Normal 78 2 2 2 4 2" xfId="10268" xr:uid="{7B2E3E89-F061-4640-950B-861F1E749B27}"/>
    <cellStyle name="Normal 78 2 2 2 4 3" xfId="10269" xr:uid="{9FB3DF20-BA9E-4051-9A41-7C55D986F631}"/>
    <cellStyle name="Normal 78 2 2 2 5" xfId="10270" xr:uid="{BCC8120D-5C3D-4E54-B0AD-A42554FA3064}"/>
    <cellStyle name="Normal 78 2 2 2 5 2" xfId="10271" xr:uid="{9BAE312C-3E3B-4AC8-981A-0BE1A8D2F056}"/>
    <cellStyle name="Normal 78 2 2 2 5 3" xfId="10272" xr:uid="{F894F7B0-62A1-4B97-8B2C-DC897FC4E863}"/>
    <cellStyle name="Normal 78 2 2 2 6" xfId="10273" xr:uid="{A634D36D-8114-4BC2-8433-B3A99F669C37}"/>
    <cellStyle name="Normal 78 2 2 2 7" xfId="10274" xr:uid="{E4703A94-C0D7-4CFA-A72A-7C69AC1EEA35}"/>
    <cellStyle name="Normal 78 2 2 2 8" xfId="10275" xr:uid="{AC4C6E74-4AE5-42F5-9236-741D2B2860EF}"/>
    <cellStyle name="Normal 78 2 2 2 9" xfId="10276" xr:uid="{C428EC85-30B3-467E-B7A6-BD8F451DCE4B}"/>
    <cellStyle name="Normal 78 2 2 3" xfId="10277" xr:uid="{059B4F39-FD6A-4BAA-A2FB-38D417413CD9}"/>
    <cellStyle name="Normal 78 2 2 3 2" xfId="10278" xr:uid="{39697D18-ED49-4B80-BB36-04CD1BACEA2E}"/>
    <cellStyle name="Normal 78 2 2 3 2 2" xfId="10279" xr:uid="{D039D285-B0F9-4D1A-A00F-A01E47A2B85A}"/>
    <cellStyle name="Normal 78 2 2 3 2 3" xfId="10280" xr:uid="{E64ACBFF-7C2C-472D-BD2C-72A891970EFD}"/>
    <cellStyle name="Normal 78 2 2 3 3" xfId="10281" xr:uid="{346D1515-B0AF-481F-AA9E-915C8F0D56E3}"/>
    <cellStyle name="Normal 78 2 2 3 3 2" xfId="10282" xr:uid="{8DAAE2BF-91A8-4311-8B69-C5603B6184F4}"/>
    <cellStyle name="Normal 78 2 2 3 3 3" xfId="10283" xr:uid="{710BE422-77A1-438E-AFDD-2532C6A38D74}"/>
    <cellStyle name="Normal 78 2 2 3 4" xfId="10284" xr:uid="{C1C3747F-DF37-4DE0-920E-27B1A8ADA9A1}"/>
    <cellStyle name="Normal 78 2 2 3 4 2" xfId="10285" xr:uid="{8C63E5A6-1CCF-454D-9916-CE9460B5C422}"/>
    <cellStyle name="Normal 78 2 2 3 4 3" xfId="10286" xr:uid="{67116ADF-6C85-44C6-A932-9D2908B0BF3C}"/>
    <cellStyle name="Normal 78 2 2 3 5" xfId="10287" xr:uid="{AE1F87A9-B4C3-4DF6-BCC4-D0548285D811}"/>
    <cellStyle name="Normal 78 2 2 3 6" xfId="10288" xr:uid="{81F6C080-1083-4D67-A461-7571F9F45C52}"/>
    <cellStyle name="Normal 78 2 2 3 7" xfId="10289" xr:uid="{3AED00B4-0F67-479C-8ED0-95DDBD494C0C}"/>
    <cellStyle name="Normal 78 2 2 3 8" xfId="10290" xr:uid="{0DA3491B-4D4B-4C4E-BE24-D4DDB9878E77}"/>
    <cellStyle name="Normal 78 2 2 4" xfId="10291" xr:uid="{E070F44E-5295-4AB7-B2D2-64D42A959DAF}"/>
    <cellStyle name="Normal 78 2 2 4 2" xfId="10292" xr:uid="{2BCD5937-997F-456A-8A56-68CF8222360B}"/>
    <cellStyle name="Normal 78 2 2 4 3" xfId="10293" xr:uid="{58331FD7-5DD5-43B8-9D8E-383832A1DE53}"/>
    <cellStyle name="Normal 78 2 2 5" xfId="10294" xr:uid="{F9BE5BAC-1E88-4087-99E0-FAB19194F2E1}"/>
    <cellStyle name="Normal 78 2 2 5 2" xfId="10295" xr:uid="{A4667FC5-4963-4EFA-923B-AD4A0BB6396B}"/>
    <cellStyle name="Normal 78 2 2 5 3" xfId="10296" xr:uid="{22FA1FDD-3635-40B3-9A09-98305098837F}"/>
    <cellStyle name="Normal 78 2 2 6" xfId="10297" xr:uid="{E4130D35-A772-43CF-9EDA-69B85855D861}"/>
    <cellStyle name="Normal 78 2 2 6 2" xfId="10298" xr:uid="{4BEEB5D9-7A92-4CF0-A226-7CA1FE4A4554}"/>
    <cellStyle name="Normal 78 2 2 6 3" xfId="10299" xr:uid="{CF6316E7-39F9-42CA-A31D-D85914967CFD}"/>
    <cellStyle name="Normal 78 2 2 7" xfId="10300" xr:uid="{FD88F608-1649-48FF-BD69-3E34268EC2B5}"/>
    <cellStyle name="Normal 78 2 2 8" xfId="10301" xr:uid="{966395B2-FF7D-4E1A-8C19-BA147E9850A6}"/>
    <cellStyle name="Normal 78 2 2 9" xfId="10302" xr:uid="{0EC93BBE-2711-4EB3-82D8-78CBF3AE4F27}"/>
    <cellStyle name="Normal 78 2 3" xfId="2407" xr:uid="{0B232C48-C859-40F8-A98F-3DCC80D1D05E}"/>
    <cellStyle name="Normal 78 2 3 2" xfId="10303" xr:uid="{FB3BD8E0-E3CC-432F-AD14-BC2C178218FA}"/>
    <cellStyle name="Normal 78 2 3 2 2" xfId="10304" xr:uid="{A8425181-836B-481C-9BB8-F9D894BE6CB5}"/>
    <cellStyle name="Normal 78 2 3 2 2 2" xfId="10305" xr:uid="{78242AB6-B81C-48FC-A15F-E4F287558068}"/>
    <cellStyle name="Normal 78 2 3 2 2 3" xfId="10306" xr:uid="{FF8F39C8-9D9D-4BF5-9CB5-1190D53B8108}"/>
    <cellStyle name="Normal 78 2 3 2 3" xfId="10307" xr:uid="{6FC13E1A-D8A6-40B7-B76E-AB3388927F9E}"/>
    <cellStyle name="Normal 78 2 3 2 3 2" xfId="10308" xr:uid="{0E7411BD-6E56-453D-9A7C-EC60F3F609F1}"/>
    <cellStyle name="Normal 78 2 3 2 3 3" xfId="10309" xr:uid="{735C33C6-B0EC-400A-B744-6DA58FA540D3}"/>
    <cellStyle name="Normal 78 2 3 2 4" xfId="10310" xr:uid="{A509A548-2F15-4086-B5B5-804623058BFC}"/>
    <cellStyle name="Normal 78 2 3 2 4 2" xfId="10311" xr:uid="{1BED58BE-2F82-48BF-8065-A5AE55488EA9}"/>
    <cellStyle name="Normal 78 2 3 2 4 3" xfId="10312" xr:uid="{58DA5638-DEF2-4FAC-8FC8-DFCC3DAE6027}"/>
    <cellStyle name="Normal 78 2 3 2 5" xfId="10313" xr:uid="{AF6F6DF8-BF47-44EB-9A68-D5C597BE1AA9}"/>
    <cellStyle name="Normal 78 2 3 2 6" xfId="10314" xr:uid="{B0F1CA8A-1B02-45B2-BAB3-9859D4C85DDB}"/>
    <cellStyle name="Normal 78 2 3 2 7" xfId="10315" xr:uid="{C828E8F3-8631-40ED-B89C-C02378BE8C17}"/>
    <cellStyle name="Normal 78 2 3 2 8" xfId="10316" xr:uid="{3AF8D203-FC54-4080-9CC2-276EEC224E67}"/>
    <cellStyle name="Normal 78 2 3 3" xfId="10317" xr:uid="{F5492E74-7BCD-4BF9-9A67-2EDC4BF8159B}"/>
    <cellStyle name="Normal 78 2 3 3 2" xfId="10318" xr:uid="{5CC30792-D679-4F9B-A640-65869678B216}"/>
    <cellStyle name="Normal 78 2 3 3 3" xfId="10319" xr:uid="{D84691AA-BE14-430C-BC72-5D6D9E5EC626}"/>
    <cellStyle name="Normal 78 2 3 4" xfId="10320" xr:uid="{66455DC8-2EEC-43FE-9D90-F0D8D8D4BC16}"/>
    <cellStyle name="Normal 78 2 3 4 2" xfId="10321" xr:uid="{5DA2F351-EB38-47D0-BD5D-1D202C9CA45A}"/>
    <cellStyle name="Normal 78 2 3 4 3" xfId="10322" xr:uid="{540BD4F5-F05B-47C7-B891-C25C9AC4FBF0}"/>
    <cellStyle name="Normal 78 2 3 5" xfId="10323" xr:uid="{FBD39A68-3ACC-4226-A3B3-B7B497ED00FF}"/>
    <cellStyle name="Normal 78 2 3 5 2" xfId="10324" xr:uid="{010DABD4-D9BC-4F53-8163-50108BCC1BC4}"/>
    <cellStyle name="Normal 78 2 3 5 3" xfId="10325" xr:uid="{0DD7457D-688C-462E-BFAE-EFE4DA7E827B}"/>
    <cellStyle name="Normal 78 2 3 6" xfId="10326" xr:uid="{7874A054-3324-4346-B7AC-39C4D947C2C8}"/>
    <cellStyle name="Normal 78 2 3 7" xfId="10327" xr:uid="{AA32E743-21EA-4889-A735-642A00C51B66}"/>
    <cellStyle name="Normal 78 2 3 8" xfId="10328" xr:uid="{4B3AC305-58F6-42FC-AF46-692FA3D16210}"/>
    <cellStyle name="Normal 78 2 3 9" xfId="10329" xr:uid="{04AA6B35-A529-4247-8780-2A2762FA066B}"/>
    <cellStyle name="Normal 78 2 4" xfId="10330" xr:uid="{B36B0893-0E6A-4C49-BA4C-3754CC02119B}"/>
    <cellStyle name="Normal 78 2 4 2" xfId="10331" xr:uid="{49EFE7C1-87DB-4763-B468-743734CF7442}"/>
    <cellStyle name="Normal 78 2 4 2 2" xfId="10332" xr:uid="{C73F1094-1E39-46AC-9266-9B03AE8151B1}"/>
    <cellStyle name="Normal 78 2 4 2 3" xfId="10333" xr:uid="{CCED244E-2429-4689-A18A-359BE3952619}"/>
    <cellStyle name="Normal 78 2 4 3" xfId="10334" xr:uid="{4F3A0077-6626-402D-B317-EB44E2C1EEDD}"/>
    <cellStyle name="Normal 78 2 4 3 2" xfId="10335" xr:uid="{CEF066AE-88DD-4EB8-854E-83F593F52EA6}"/>
    <cellStyle name="Normal 78 2 4 3 3" xfId="10336" xr:uid="{7406C8CE-3F98-4565-8ECE-164592784AB0}"/>
    <cellStyle name="Normal 78 2 4 4" xfId="10337" xr:uid="{A025FA3B-C158-4046-BF25-E47270547B80}"/>
    <cellStyle name="Normal 78 2 4 4 2" xfId="10338" xr:uid="{5A15D6A7-3C87-41B6-A407-D25F86DDF29F}"/>
    <cellStyle name="Normal 78 2 4 4 3" xfId="10339" xr:uid="{AA2CECE5-CD95-4AEB-85A6-4B45FE7B6706}"/>
    <cellStyle name="Normal 78 2 4 5" xfId="10340" xr:uid="{7EE99EEE-C7DC-4246-A6A3-79F766F76564}"/>
    <cellStyle name="Normal 78 2 4 6" xfId="10341" xr:uid="{15E436B7-8C08-4A32-AF93-27B9F8F30E8B}"/>
    <cellStyle name="Normal 78 2 4 7" xfId="10342" xr:uid="{524E3412-0526-4965-BBF4-C36E0F8D5C7E}"/>
    <cellStyle name="Normal 78 2 4 8" xfId="10343" xr:uid="{5DD54A9A-EEA8-4170-8798-0BF742EEB45D}"/>
    <cellStyle name="Normal 78 2 5" xfId="10344" xr:uid="{EF6CF3AF-AC5F-4EB5-B3FC-ED3C9A3E6A87}"/>
    <cellStyle name="Normal 78 2 5 2" xfId="10345" xr:uid="{FE13E770-F099-4060-B58B-2D3F405F4FF6}"/>
    <cellStyle name="Normal 78 2 5 3" xfId="10346" xr:uid="{37F75461-C910-43BD-89D1-F0E7A2E4FD86}"/>
    <cellStyle name="Normal 78 2 6" xfId="10347" xr:uid="{CF9DADCA-06C8-4B3A-B7B0-AA1561A9ED3D}"/>
    <cellStyle name="Normal 78 2 6 2" xfId="10348" xr:uid="{9105E9D4-4958-4143-9EAA-5892B25BD440}"/>
    <cellStyle name="Normal 78 2 6 3" xfId="10349" xr:uid="{400B70E5-0E10-4A6F-9B60-885E9DCEA633}"/>
    <cellStyle name="Normal 78 2 7" xfId="10350" xr:uid="{3A20FA22-2A92-4639-930E-B2683F26C87A}"/>
    <cellStyle name="Normal 78 2 7 2" xfId="10351" xr:uid="{39590589-F09E-4596-999C-5E11B2959BDB}"/>
    <cellStyle name="Normal 78 2 7 3" xfId="10352" xr:uid="{5B283030-BBD3-4D26-9093-B69F5064F52A}"/>
    <cellStyle name="Normal 78 2 8" xfId="10353" xr:uid="{046CE61C-418A-425E-A1FA-8121B2C7494C}"/>
    <cellStyle name="Normal 78 2 9" xfId="10354" xr:uid="{D4639041-B3E7-4B5A-B4DC-3DFAE233E28E}"/>
    <cellStyle name="Normal 78 3" xfId="2408" xr:uid="{5854E873-912C-448D-8EBE-3F10A4D414BB}"/>
    <cellStyle name="Normal 78 3 10" xfId="10355" xr:uid="{09D2999F-C673-4798-A35C-D067B16F49E8}"/>
    <cellStyle name="Normal 78 3 2" xfId="2409" xr:uid="{CE9B7E94-0997-4D32-92AF-22AA1529DA71}"/>
    <cellStyle name="Normal 78 3 2 2" xfId="10356" xr:uid="{130AA4C1-025D-4D93-AA59-EA7DD76B7D59}"/>
    <cellStyle name="Normal 78 3 2 2 2" xfId="10357" xr:uid="{DE5FD2A6-D093-4F9A-8C7D-1095FEDD0E11}"/>
    <cellStyle name="Normal 78 3 2 2 2 2" xfId="10358" xr:uid="{0361FBCB-EE42-45C6-AE3E-5510C822F5EC}"/>
    <cellStyle name="Normal 78 3 2 2 2 3" xfId="10359" xr:uid="{9AC68AF9-9B9A-47E1-ABCD-1FC26FDE8038}"/>
    <cellStyle name="Normal 78 3 2 2 3" xfId="10360" xr:uid="{DA80D104-87C8-4AF7-8C27-FE570401F8EB}"/>
    <cellStyle name="Normal 78 3 2 2 3 2" xfId="10361" xr:uid="{437F5151-7242-45E2-BFA6-670D93D40359}"/>
    <cellStyle name="Normal 78 3 2 2 3 3" xfId="10362" xr:uid="{B3DBF435-7566-4D0A-8337-7066484CF15C}"/>
    <cellStyle name="Normal 78 3 2 2 4" xfId="10363" xr:uid="{D5666615-714C-4DF2-A31A-EFC96FDB463E}"/>
    <cellStyle name="Normal 78 3 2 2 4 2" xfId="10364" xr:uid="{DA450525-6856-401B-A8A6-280DAD6FCCB2}"/>
    <cellStyle name="Normal 78 3 2 2 4 3" xfId="10365" xr:uid="{FED11E0E-2BB4-40BF-A8D2-F34262DA945D}"/>
    <cellStyle name="Normal 78 3 2 2 5" xfId="10366" xr:uid="{F2E2E317-8069-4CF0-BA7E-C518DDB39C39}"/>
    <cellStyle name="Normal 78 3 2 2 6" xfId="10367" xr:uid="{0E73B9E5-A699-4587-99B5-6ED9BD7CA520}"/>
    <cellStyle name="Normal 78 3 2 2 7" xfId="10368" xr:uid="{CA249175-5655-4DD2-BBC2-4C41987934F9}"/>
    <cellStyle name="Normal 78 3 2 2 8" xfId="10369" xr:uid="{711F4490-D9A4-48AB-AE0E-74879AE00015}"/>
    <cellStyle name="Normal 78 3 2 3" xfId="10370" xr:uid="{6467BDB2-5977-455F-BF66-02C43998C682}"/>
    <cellStyle name="Normal 78 3 2 3 2" xfId="10371" xr:uid="{F13FB7CD-85F0-475E-8B7E-3871A51286BF}"/>
    <cellStyle name="Normal 78 3 2 3 3" xfId="10372" xr:uid="{EF895B39-9A78-40CB-8BDF-6BAF89A4B597}"/>
    <cellStyle name="Normal 78 3 2 4" xfId="10373" xr:uid="{A2D51941-8299-4635-8006-C3A6E507B3B8}"/>
    <cellStyle name="Normal 78 3 2 4 2" xfId="10374" xr:uid="{9607D72F-7ED8-4770-95D7-FB59B36AEAEA}"/>
    <cellStyle name="Normal 78 3 2 4 3" xfId="10375" xr:uid="{27E6D30A-7836-4A1D-83A4-2E2CA56410D7}"/>
    <cellStyle name="Normal 78 3 2 5" xfId="10376" xr:uid="{829AC3AF-D8E1-4B68-9890-94D762FDA76A}"/>
    <cellStyle name="Normal 78 3 2 5 2" xfId="10377" xr:uid="{27AA74D0-6DFD-4269-B47D-2BEE8595BE79}"/>
    <cellStyle name="Normal 78 3 2 5 3" xfId="10378" xr:uid="{1D20C2BA-EBDC-44C2-936D-406D14024A05}"/>
    <cellStyle name="Normal 78 3 2 6" xfId="10379" xr:uid="{B7F5DFA0-FCB3-4CB9-AEF5-ADEE3A64EE9E}"/>
    <cellStyle name="Normal 78 3 2 7" xfId="10380" xr:uid="{11E62FD5-8F1C-44B3-89FB-AC518B54EE82}"/>
    <cellStyle name="Normal 78 3 2 8" xfId="10381" xr:uid="{C849CA19-1F5C-43AC-992C-C5C6A95509C7}"/>
    <cellStyle name="Normal 78 3 2 9" xfId="10382" xr:uid="{953AF7D2-5CE3-434A-AFE4-98ADFD834C3E}"/>
    <cellStyle name="Normal 78 3 3" xfId="10383" xr:uid="{0750D061-213A-4EA4-AC7A-DDD41D5E421D}"/>
    <cellStyle name="Normal 78 3 3 2" xfId="10384" xr:uid="{2096904F-8872-4BD7-91A0-C819C2B21188}"/>
    <cellStyle name="Normal 78 3 3 2 2" xfId="10385" xr:uid="{4C3418E8-0D4E-4E8B-8480-9D840F0DC009}"/>
    <cellStyle name="Normal 78 3 3 2 3" xfId="10386" xr:uid="{19112518-3E40-493D-AEA1-B0317468C349}"/>
    <cellStyle name="Normal 78 3 3 3" xfId="10387" xr:uid="{43B4FA3A-936D-4438-B54B-27961AEC66B1}"/>
    <cellStyle name="Normal 78 3 3 3 2" xfId="10388" xr:uid="{6797F6C2-F241-4B79-9E3E-D03E841EE259}"/>
    <cellStyle name="Normal 78 3 3 3 3" xfId="10389" xr:uid="{43FEE1DF-5573-4FA5-B2D4-974F18F49A30}"/>
    <cellStyle name="Normal 78 3 3 4" xfId="10390" xr:uid="{7CBB1370-5EC7-4328-8BC1-932D3918B8DA}"/>
    <cellStyle name="Normal 78 3 3 4 2" xfId="10391" xr:uid="{68DAED71-9AC5-40F6-9C11-D5831C72F430}"/>
    <cellStyle name="Normal 78 3 3 4 3" xfId="10392" xr:uid="{C77A39EB-27D9-41A3-BFFD-56FF23C21400}"/>
    <cellStyle name="Normal 78 3 3 5" xfId="10393" xr:uid="{85E5D4AE-269F-4843-9274-9DD0FA05E9AC}"/>
    <cellStyle name="Normal 78 3 3 6" xfId="10394" xr:uid="{BD7D088D-DED4-4956-B260-BDE43312153D}"/>
    <cellStyle name="Normal 78 3 3 7" xfId="10395" xr:uid="{8D5936C4-3555-4F57-B394-830FC7D1186A}"/>
    <cellStyle name="Normal 78 3 3 8" xfId="10396" xr:uid="{B4A3C648-3025-4094-96AC-0EEB9039E38A}"/>
    <cellStyle name="Normal 78 3 4" xfId="10397" xr:uid="{1E9FFED5-6ACF-434E-BCF9-EBADDFC0DCCC}"/>
    <cellStyle name="Normal 78 3 4 2" xfId="10398" xr:uid="{C5D3CE49-4F3B-4B9C-B3B7-274557E12E53}"/>
    <cellStyle name="Normal 78 3 4 3" xfId="10399" xr:uid="{B6D12021-AF09-4096-AF7B-C90E05D86C7A}"/>
    <cellStyle name="Normal 78 3 5" xfId="10400" xr:uid="{3AC53D6A-0A09-4E02-AC17-10874F091294}"/>
    <cellStyle name="Normal 78 3 5 2" xfId="10401" xr:uid="{34795B33-E21D-48D6-A4C7-2CC3EB5CE5AF}"/>
    <cellStyle name="Normal 78 3 5 3" xfId="10402" xr:uid="{A7C9A334-1D48-4A8C-8763-CBC6FB3433EA}"/>
    <cellStyle name="Normal 78 3 6" xfId="10403" xr:uid="{8C7B70F8-F5E1-48D0-BC6A-51E84FBFB7C0}"/>
    <cellStyle name="Normal 78 3 6 2" xfId="10404" xr:uid="{A5344DC0-4EF1-4446-AB79-66775F31C0C3}"/>
    <cellStyle name="Normal 78 3 6 3" xfId="10405" xr:uid="{4E0AAA80-E053-4D4C-9682-71B95DC37FFA}"/>
    <cellStyle name="Normal 78 3 7" xfId="10406" xr:uid="{94C5BA46-953A-4909-9D2F-62ADAEAB9FA6}"/>
    <cellStyle name="Normal 78 3 8" xfId="10407" xr:uid="{B3D7935A-1127-4D58-ABDD-711BD67B97E6}"/>
    <cellStyle name="Normal 78 3 9" xfId="10408" xr:uid="{BCC13866-1C93-4938-B562-E2B553DAA46B}"/>
    <cellStyle name="Normal 78 4" xfId="2410" xr:uid="{DE00B9A1-9765-477B-A92B-73C2C10444FB}"/>
    <cellStyle name="Normal 78 4 2" xfId="10409" xr:uid="{763A73AB-A2CC-4CED-AC9D-049F553081CE}"/>
    <cellStyle name="Normal 78 4 2 2" xfId="10410" xr:uid="{96DFEA4C-DBF9-418C-B726-F66D950E4C3C}"/>
    <cellStyle name="Normal 78 4 2 2 2" xfId="10411" xr:uid="{7B228232-35FF-4E52-AE95-EBF3F24CD1C0}"/>
    <cellStyle name="Normal 78 4 2 2 3" xfId="10412" xr:uid="{BA303B9D-55D1-4F14-8FC0-C006EC41CF1B}"/>
    <cellStyle name="Normal 78 4 2 3" xfId="10413" xr:uid="{E579867A-8C0D-4165-B9BB-400932251A3F}"/>
    <cellStyle name="Normal 78 4 2 3 2" xfId="10414" xr:uid="{FAB4581E-A112-4018-A16A-345873C34DE8}"/>
    <cellStyle name="Normal 78 4 2 3 3" xfId="10415" xr:uid="{FC60E555-83DC-4040-9F02-7D4874533A6E}"/>
    <cellStyle name="Normal 78 4 2 4" xfId="10416" xr:uid="{5DFF0556-8902-4067-A593-A6F003BAAAF9}"/>
    <cellStyle name="Normal 78 4 2 4 2" xfId="10417" xr:uid="{26D73037-06EE-4C11-8E91-82D256907216}"/>
    <cellStyle name="Normal 78 4 2 4 3" xfId="10418" xr:uid="{F70E0B14-F9FA-43BB-8181-0252DF2B8424}"/>
    <cellStyle name="Normal 78 4 2 5" xfId="10419" xr:uid="{5B2C1BA9-4D54-4116-AEFA-D294B3CDD356}"/>
    <cellStyle name="Normal 78 4 2 6" xfId="10420" xr:uid="{ECC64753-43AF-4977-ACB2-4162174BB6E2}"/>
    <cellStyle name="Normal 78 4 2 7" xfId="10421" xr:uid="{F00BF269-D936-4832-BEF4-0D2C32F00FF9}"/>
    <cellStyle name="Normal 78 4 2 8" xfId="10422" xr:uid="{24247CD8-A69C-4329-9C53-123FC1A93659}"/>
    <cellStyle name="Normal 78 4 3" xfId="10423" xr:uid="{422C3476-0CC3-42DF-8AA6-C95D2C49AE03}"/>
    <cellStyle name="Normal 78 4 3 2" xfId="10424" xr:uid="{85C3D66F-E5FE-4BA1-B188-532EE597160A}"/>
    <cellStyle name="Normal 78 4 3 3" xfId="10425" xr:uid="{0D3C33A1-B6B3-42B4-9277-C0A7FD203683}"/>
    <cellStyle name="Normal 78 4 4" xfId="10426" xr:uid="{D0DB2ED0-3ABD-4D81-87D2-EBFCFA50A408}"/>
    <cellStyle name="Normal 78 4 4 2" xfId="10427" xr:uid="{2F0E3F08-7D4C-4612-8ECD-66351D91D7C1}"/>
    <cellStyle name="Normal 78 4 4 3" xfId="10428" xr:uid="{7FF832C0-1D2C-413B-BC18-ABD7CC65FA5B}"/>
    <cellStyle name="Normal 78 4 5" xfId="10429" xr:uid="{1E451FA6-8ED1-4735-AAFC-40FFEB2DD77D}"/>
    <cellStyle name="Normal 78 4 5 2" xfId="10430" xr:uid="{02449DF6-4E9A-4192-AD1A-8E41C5EF710A}"/>
    <cellStyle name="Normal 78 4 5 3" xfId="10431" xr:uid="{B32685FF-D1FC-412A-8D4C-4895E0ECE52F}"/>
    <cellStyle name="Normal 78 4 6" xfId="10432" xr:uid="{CB0BD97B-6047-42DE-93C4-82EB2E2656CD}"/>
    <cellStyle name="Normal 78 4 7" xfId="10433" xr:uid="{E0A7D51E-03CA-46F6-B03C-8C0336AA85B5}"/>
    <cellStyle name="Normal 78 4 8" xfId="10434" xr:uid="{9C7AB23F-9991-4952-8349-DB004F755460}"/>
    <cellStyle name="Normal 78 4 9" xfId="10435" xr:uid="{FB66358E-02E5-4EDD-A7FE-33380563A1C2}"/>
    <cellStyle name="Normal 78 5" xfId="10436" xr:uid="{E2E20F86-D02B-44BE-83E3-1BDC1540264D}"/>
    <cellStyle name="Normal 78 5 2" xfId="10437" xr:uid="{923E5801-70A0-44C5-BB92-604D04A6F390}"/>
    <cellStyle name="Normal 78 5 2 2" xfId="10438" xr:uid="{652EEF8E-6BA3-4323-9A25-732282EEDB15}"/>
    <cellStyle name="Normal 78 5 2 3" xfId="10439" xr:uid="{C1E634E6-F393-4CAC-B24D-C7722C56D3B7}"/>
    <cellStyle name="Normal 78 5 3" xfId="10440" xr:uid="{5EF7D5E7-B29C-49B6-9DF1-EC498E8836F1}"/>
    <cellStyle name="Normal 78 5 3 2" xfId="10441" xr:uid="{3019012B-C1D9-42BE-AB7A-34D54CC9F6F3}"/>
    <cellStyle name="Normal 78 5 3 3" xfId="10442" xr:uid="{D14BA88C-FC03-4F46-9269-80C7201A1807}"/>
    <cellStyle name="Normal 78 5 4" xfId="10443" xr:uid="{48C1F2BD-A688-44BD-BB83-CFB97BB294AF}"/>
    <cellStyle name="Normal 78 5 4 2" xfId="10444" xr:uid="{DAC1643A-5256-4488-AD57-53E994C7E0F6}"/>
    <cellStyle name="Normal 78 5 4 3" xfId="10445" xr:uid="{5BABB700-D840-4C58-B540-9D910488D4BD}"/>
    <cellStyle name="Normal 78 5 5" xfId="10446" xr:uid="{FADA81F0-B2C1-4930-8FE3-6EC45A12D5AC}"/>
    <cellStyle name="Normal 78 5 6" xfId="10447" xr:uid="{A73FAE24-35FA-4083-9BFF-AD70B1CE5CBE}"/>
    <cellStyle name="Normal 78 5 7" xfId="10448" xr:uid="{FEDB9B9D-8633-4789-8B18-4C508DD9ECE2}"/>
    <cellStyle name="Normal 78 5 8" xfId="10449" xr:uid="{828B7AAC-830C-494A-9247-DE89152EC45A}"/>
    <cellStyle name="Normal 78 6" xfId="10450" xr:uid="{915272AF-26D1-4AC6-B355-0994626E95F3}"/>
    <cellStyle name="Normal 78 6 2" xfId="10451" xr:uid="{23959298-19D5-474B-B121-125B7855BEF1}"/>
    <cellStyle name="Normal 78 6 3" xfId="10452" xr:uid="{108CF36F-4B47-45B1-8B5E-1710A58EE276}"/>
    <cellStyle name="Normal 78 7" xfId="10453" xr:uid="{CE816894-6982-4F88-B98B-EF883BF84755}"/>
    <cellStyle name="Normal 78 7 2" xfId="10454" xr:uid="{AA178495-F510-4EC2-BE7F-F0CCF4E0B848}"/>
    <cellStyle name="Normal 78 7 3" xfId="10455" xr:uid="{6C43CC94-CB9E-4DDA-9226-6EC31E7DBB00}"/>
    <cellStyle name="Normal 78 8" xfId="10456" xr:uid="{CB06788B-0B3A-4615-A310-089DDF801FB7}"/>
    <cellStyle name="Normal 78 8 2" xfId="10457" xr:uid="{CFFEA705-B128-4037-B26E-4E3A42FA0DAA}"/>
    <cellStyle name="Normal 78 8 3" xfId="10458" xr:uid="{A6441286-83D0-41FF-B56A-BB12FD07902F}"/>
    <cellStyle name="Normal 78 9" xfId="10459" xr:uid="{3AF3069F-4CAC-4E00-964B-18D255530ECF}"/>
    <cellStyle name="Normal 79" xfId="2411" xr:uid="{45B5701F-74A7-42B9-B095-A588025AC501}"/>
    <cellStyle name="Normal 79 10" xfId="10460" xr:uid="{43BE3CF4-8FD1-43B1-945C-804F749DF4A5}"/>
    <cellStyle name="Normal 79 11" xfId="10461" xr:uid="{17B366A6-E774-4F8B-ABD9-4D6082FFDFC9}"/>
    <cellStyle name="Normal 79 12" xfId="10462" xr:uid="{157B15B3-94A2-44C6-A293-D37608442254}"/>
    <cellStyle name="Normal 79 2" xfId="2412" xr:uid="{B1BE84B4-8E09-496E-A917-3BD6ADA66453}"/>
    <cellStyle name="Normal 79 2 10" xfId="10463" xr:uid="{63797B73-F75F-44C4-94CE-4571A4D1B26D}"/>
    <cellStyle name="Normal 79 2 11" xfId="10464" xr:uid="{274B3F96-1187-4E6B-96AC-884B040D5F2C}"/>
    <cellStyle name="Normal 79 2 2" xfId="2413" xr:uid="{C5A01CDD-D771-41B2-8C2F-F755112805AF}"/>
    <cellStyle name="Normal 79 2 2 10" xfId="10465" xr:uid="{7DC3663F-E8A7-4DCE-94B2-32FC64AB66E1}"/>
    <cellStyle name="Normal 79 2 2 2" xfId="2414" xr:uid="{42357890-C274-4BFB-9CE5-C28E2A5B5097}"/>
    <cellStyle name="Normal 79 2 2 2 2" xfId="10466" xr:uid="{EC56121C-A54E-4A7C-BD53-0769BCB70ED6}"/>
    <cellStyle name="Normal 79 2 2 2 2 2" xfId="10467" xr:uid="{60875A8A-0600-47A8-9C8C-95A640972E94}"/>
    <cellStyle name="Normal 79 2 2 2 2 2 2" xfId="10468" xr:uid="{CE2E8D6B-06C5-4FA7-906E-597B8B942A25}"/>
    <cellStyle name="Normal 79 2 2 2 2 2 3" xfId="10469" xr:uid="{CA4FF4E2-EDA2-4424-BB96-ABE380D73A81}"/>
    <cellStyle name="Normal 79 2 2 2 2 3" xfId="10470" xr:uid="{5B16AE52-2A1B-4F9E-9677-36BF24218AD4}"/>
    <cellStyle name="Normal 79 2 2 2 2 3 2" xfId="10471" xr:uid="{13C56451-8C3E-4BB7-B753-586D7AB9FBE5}"/>
    <cellStyle name="Normal 79 2 2 2 2 3 3" xfId="10472" xr:uid="{B1F0488B-2A6C-42D9-83CF-F28A8C8A5EF3}"/>
    <cellStyle name="Normal 79 2 2 2 2 4" xfId="10473" xr:uid="{A6230DE8-2739-46E0-AA6C-95D06727D8B4}"/>
    <cellStyle name="Normal 79 2 2 2 2 4 2" xfId="10474" xr:uid="{354D1443-DEDA-4D89-9A0D-239743500DD0}"/>
    <cellStyle name="Normal 79 2 2 2 2 4 3" xfId="10475" xr:uid="{F34AE28A-096C-4B8E-A94A-C83F03F7004F}"/>
    <cellStyle name="Normal 79 2 2 2 2 5" xfId="10476" xr:uid="{E567C672-BE5F-435C-8A15-9A517049CDDE}"/>
    <cellStyle name="Normal 79 2 2 2 2 6" xfId="10477" xr:uid="{8DA5E96C-4AB1-4510-98B2-DC66C9AE429D}"/>
    <cellStyle name="Normal 79 2 2 2 2 7" xfId="10478" xr:uid="{FE10DDC4-9426-423B-A90B-2FBCF08AE74F}"/>
    <cellStyle name="Normal 79 2 2 2 2 8" xfId="10479" xr:uid="{642EBF6B-064F-413E-9F01-30AEB9C44985}"/>
    <cellStyle name="Normal 79 2 2 2 3" xfId="10480" xr:uid="{508C6F39-6367-4252-8601-39029F7A33A4}"/>
    <cellStyle name="Normal 79 2 2 2 3 2" xfId="10481" xr:uid="{442B0C6D-029A-4FEE-A5DA-0650955E845F}"/>
    <cellStyle name="Normal 79 2 2 2 3 3" xfId="10482" xr:uid="{B704FC1E-F529-4710-966B-C6B5833A96E1}"/>
    <cellStyle name="Normal 79 2 2 2 4" xfId="10483" xr:uid="{D9878F89-0AA5-4B65-B614-0A2A487340D2}"/>
    <cellStyle name="Normal 79 2 2 2 4 2" xfId="10484" xr:uid="{E18A4B41-44D7-44A2-B822-71A7D51D0F5D}"/>
    <cellStyle name="Normal 79 2 2 2 4 3" xfId="10485" xr:uid="{4174179E-7859-4813-BB8D-790716365E07}"/>
    <cellStyle name="Normal 79 2 2 2 5" xfId="10486" xr:uid="{A62065B6-FAD0-438B-B090-56EE975B55F8}"/>
    <cellStyle name="Normal 79 2 2 2 5 2" xfId="10487" xr:uid="{70E1AC6F-A47A-40E9-9F59-5FD457FC009E}"/>
    <cellStyle name="Normal 79 2 2 2 5 3" xfId="10488" xr:uid="{1921E0DF-5CBD-44D1-B79F-34401A4B4872}"/>
    <cellStyle name="Normal 79 2 2 2 6" xfId="10489" xr:uid="{F2552CB7-B247-4D5B-BFF1-D20F89C61737}"/>
    <cellStyle name="Normal 79 2 2 2 7" xfId="10490" xr:uid="{4C894DC3-23DB-4255-8C04-E97AF0F6A033}"/>
    <cellStyle name="Normal 79 2 2 2 8" xfId="10491" xr:uid="{79026201-54A4-43B1-A21E-DDA5115CA5F8}"/>
    <cellStyle name="Normal 79 2 2 2 9" xfId="10492" xr:uid="{A51695E5-638B-4777-AF5F-9F3862C77ECF}"/>
    <cellStyle name="Normal 79 2 2 3" xfId="10493" xr:uid="{92BA186B-C97A-4A08-9369-A1BA03A3B383}"/>
    <cellStyle name="Normal 79 2 2 3 2" xfId="10494" xr:uid="{DBD0F749-2C73-408F-9847-4107BAED54AE}"/>
    <cellStyle name="Normal 79 2 2 3 2 2" xfId="10495" xr:uid="{E4C5E809-7F16-42F1-B5F3-7CEE50FA952A}"/>
    <cellStyle name="Normal 79 2 2 3 2 3" xfId="10496" xr:uid="{52CCFCB8-6C38-4655-9324-12F1634B96DB}"/>
    <cellStyle name="Normal 79 2 2 3 3" xfId="10497" xr:uid="{E3A0452D-1BC9-4B94-A32F-3A49175C92E6}"/>
    <cellStyle name="Normal 79 2 2 3 3 2" xfId="10498" xr:uid="{B4CC7DFE-A5C1-4F5F-8587-0F91C139A9AB}"/>
    <cellStyle name="Normal 79 2 2 3 3 3" xfId="10499" xr:uid="{A893D95E-919D-4BDB-B263-E3FF197DA062}"/>
    <cellStyle name="Normal 79 2 2 3 4" xfId="10500" xr:uid="{085C0607-87B1-463E-93E4-7A045C198990}"/>
    <cellStyle name="Normal 79 2 2 3 4 2" xfId="10501" xr:uid="{BE4686C1-2754-493C-9E0A-7CA778196440}"/>
    <cellStyle name="Normal 79 2 2 3 4 3" xfId="10502" xr:uid="{33E2F93D-5DEB-47C4-8748-6A0A6099F9DF}"/>
    <cellStyle name="Normal 79 2 2 3 5" xfId="10503" xr:uid="{951C5DBC-EC1A-48E7-BE71-FFED10539D9A}"/>
    <cellStyle name="Normal 79 2 2 3 6" xfId="10504" xr:uid="{27C8E4AE-6E99-4114-9837-7F57ADFA7EAB}"/>
    <cellStyle name="Normal 79 2 2 3 7" xfId="10505" xr:uid="{A108988C-0958-441C-AE01-F8C2182E2658}"/>
    <cellStyle name="Normal 79 2 2 3 8" xfId="10506" xr:uid="{6797E718-2459-4264-8398-14F5548CE60E}"/>
    <cellStyle name="Normal 79 2 2 4" xfId="10507" xr:uid="{617B2068-0D4F-45B0-880F-59C1AF755530}"/>
    <cellStyle name="Normal 79 2 2 4 2" xfId="10508" xr:uid="{9FBA0DC3-2811-463C-81AA-F37E76A2B249}"/>
    <cellStyle name="Normal 79 2 2 4 3" xfId="10509" xr:uid="{56F243C7-37D9-4C5F-BC6C-FBAA77B71423}"/>
    <cellStyle name="Normal 79 2 2 5" xfId="10510" xr:uid="{968DA0A2-2AA6-41EA-8376-C4D75908C948}"/>
    <cellStyle name="Normal 79 2 2 5 2" xfId="10511" xr:uid="{1EA49AFC-ED82-4736-8795-0660FD1CD9C3}"/>
    <cellStyle name="Normal 79 2 2 5 3" xfId="10512" xr:uid="{8890892E-E083-4318-9C1A-2EB7E0C527A5}"/>
    <cellStyle name="Normal 79 2 2 6" xfId="10513" xr:uid="{24B8ACF5-3144-44B6-BA07-8C4DA24ECB33}"/>
    <cellStyle name="Normal 79 2 2 6 2" xfId="10514" xr:uid="{D468E569-34C2-4588-8AF6-DB5C162B09ED}"/>
    <cellStyle name="Normal 79 2 2 6 3" xfId="10515" xr:uid="{7E7A6520-199B-4961-A011-01835B5BB230}"/>
    <cellStyle name="Normal 79 2 2 7" xfId="10516" xr:uid="{6FB98ECD-BA30-4B3D-852E-75D8F532415A}"/>
    <cellStyle name="Normal 79 2 2 8" xfId="10517" xr:uid="{C49F5119-76D4-460E-A3CC-ED303AFD3EB2}"/>
    <cellStyle name="Normal 79 2 2 9" xfId="10518" xr:uid="{4030E9DD-39C1-46B5-BC84-10AB3D0F0F66}"/>
    <cellStyle name="Normal 79 2 3" xfId="2415" xr:uid="{F8513F61-2CDC-4AAC-BD91-40D548E156EE}"/>
    <cellStyle name="Normal 79 2 3 2" xfId="10519" xr:uid="{EA8039D9-D1D6-476F-BC8C-4B130702CB4E}"/>
    <cellStyle name="Normal 79 2 3 2 2" xfId="10520" xr:uid="{2C8C5B6E-C426-47AD-BCC8-F0A34DF4862C}"/>
    <cellStyle name="Normal 79 2 3 2 2 2" xfId="10521" xr:uid="{7C89F4B1-0CA6-4DD7-ADE6-413C47BA8589}"/>
    <cellStyle name="Normal 79 2 3 2 2 3" xfId="10522" xr:uid="{A8D55372-0A0E-4C57-8E13-BF57ACF53B58}"/>
    <cellStyle name="Normal 79 2 3 2 3" xfId="10523" xr:uid="{8A704706-674F-4DC7-A96B-0C4AAF235B57}"/>
    <cellStyle name="Normal 79 2 3 2 3 2" xfId="10524" xr:uid="{714174B3-ACB5-4E36-9F9C-A157C7A59C63}"/>
    <cellStyle name="Normal 79 2 3 2 3 3" xfId="10525" xr:uid="{CED08A75-8664-4499-A07F-FE16CED5E7C8}"/>
    <cellStyle name="Normal 79 2 3 2 4" xfId="10526" xr:uid="{1126CF9B-8DDD-4BDD-8398-02D6F26C0B8F}"/>
    <cellStyle name="Normal 79 2 3 2 4 2" xfId="10527" xr:uid="{3E86D652-213F-4FD0-9944-9B31CF9A7D6D}"/>
    <cellStyle name="Normal 79 2 3 2 4 3" xfId="10528" xr:uid="{6469D5AB-1199-48DE-BFDC-48DB5EC40631}"/>
    <cellStyle name="Normal 79 2 3 2 5" xfId="10529" xr:uid="{EF09BED5-834B-4165-BAE2-C51B60BECDAD}"/>
    <cellStyle name="Normal 79 2 3 2 6" xfId="10530" xr:uid="{E87E1E57-807E-4929-890F-000764B2956A}"/>
    <cellStyle name="Normal 79 2 3 2 7" xfId="10531" xr:uid="{99283580-D3B8-40B7-AE79-D9C4FBF372E3}"/>
    <cellStyle name="Normal 79 2 3 2 8" xfId="10532" xr:uid="{99EFF56E-5307-4451-B6F4-109953E5C2A9}"/>
    <cellStyle name="Normal 79 2 3 3" xfId="10533" xr:uid="{89BD0B36-2D6C-4DDB-AAFD-6A9ABACD32F0}"/>
    <cellStyle name="Normal 79 2 3 3 2" xfId="10534" xr:uid="{1964264A-9EEB-4024-80DD-C151B95E9DBB}"/>
    <cellStyle name="Normal 79 2 3 3 3" xfId="10535" xr:uid="{0934BAE4-134F-4689-9AFA-2C1583BEAD4D}"/>
    <cellStyle name="Normal 79 2 3 4" xfId="10536" xr:uid="{360D0422-44E3-471B-84C6-1200E53708FA}"/>
    <cellStyle name="Normal 79 2 3 4 2" xfId="10537" xr:uid="{6AFC5071-5C87-47E5-BF38-C136743A3111}"/>
    <cellStyle name="Normal 79 2 3 4 3" xfId="10538" xr:uid="{94593040-3836-44D8-9036-47E1EB181557}"/>
    <cellStyle name="Normal 79 2 3 5" xfId="10539" xr:uid="{0E5AB847-2E08-4B55-B544-DA7BF88FAED2}"/>
    <cellStyle name="Normal 79 2 3 5 2" xfId="10540" xr:uid="{543B23D9-B6F6-4825-AED8-809627B9A22E}"/>
    <cellStyle name="Normal 79 2 3 5 3" xfId="10541" xr:uid="{60B39E57-4E94-462B-AAB4-243D314BBC90}"/>
    <cellStyle name="Normal 79 2 3 6" xfId="10542" xr:uid="{7F0214EB-1378-4AFD-BC69-7224A54B2BC2}"/>
    <cellStyle name="Normal 79 2 3 7" xfId="10543" xr:uid="{969FF860-2433-4C4F-B63A-7A7CE483206A}"/>
    <cellStyle name="Normal 79 2 3 8" xfId="10544" xr:uid="{DC56B3C3-EDAD-4C84-A9B3-9E4D8AD2D5D7}"/>
    <cellStyle name="Normal 79 2 3 9" xfId="10545" xr:uid="{C0BE0E0D-DF94-4718-AE14-117B7E6B07F4}"/>
    <cellStyle name="Normal 79 2 4" xfId="10546" xr:uid="{87A784B4-B66A-42A2-860E-F7AB2A8D3FC2}"/>
    <cellStyle name="Normal 79 2 4 2" xfId="10547" xr:uid="{9111A9B3-92F1-415F-BA43-326D2A6952F9}"/>
    <cellStyle name="Normal 79 2 4 2 2" xfId="10548" xr:uid="{AC3A7175-D281-4E92-BEE7-50255235B839}"/>
    <cellStyle name="Normal 79 2 4 2 3" xfId="10549" xr:uid="{C68FBD93-531F-408D-93DC-6A518F74DB7A}"/>
    <cellStyle name="Normal 79 2 4 3" xfId="10550" xr:uid="{137E247D-8EE6-47C9-8CAC-AF0FD138CB56}"/>
    <cellStyle name="Normal 79 2 4 3 2" xfId="10551" xr:uid="{172AF2F5-AD18-489C-B2A3-BBA1C35C8314}"/>
    <cellStyle name="Normal 79 2 4 3 3" xfId="10552" xr:uid="{C0B03DF9-D233-4B88-BCB2-6551271ACB54}"/>
    <cellStyle name="Normal 79 2 4 4" xfId="10553" xr:uid="{C83EF00B-E59A-44D9-B203-61878B2E1537}"/>
    <cellStyle name="Normal 79 2 4 4 2" xfId="10554" xr:uid="{1CA48F11-1D5F-4E61-A01C-C1111B8B5594}"/>
    <cellStyle name="Normal 79 2 4 4 3" xfId="10555" xr:uid="{DF7FC743-55DC-4EDC-9ABC-01D8511E786C}"/>
    <cellStyle name="Normal 79 2 4 5" xfId="10556" xr:uid="{577BFFCF-A916-4AD7-AF6A-D92F638D3D5D}"/>
    <cellStyle name="Normal 79 2 4 6" xfId="10557" xr:uid="{5D3B8BB0-43AB-44AA-B9C4-3351A15B30AB}"/>
    <cellStyle name="Normal 79 2 4 7" xfId="10558" xr:uid="{B8A294E9-E151-47FE-981E-A3696B908064}"/>
    <cellStyle name="Normal 79 2 4 8" xfId="10559" xr:uid="{B0F395BA-CEDC-4E70-B5D7-B496A6878E97}"/>
    <cellStyle name="Normal 79 2 5" xfId="10560" xr:uid="{819193F5-948A-4980-B3C2-D2557C7B9D60}"/>
    <cellStyle name="Normal 79 2 5 2" xfId="10561" xr:uid="{AC8BDDA1-903A-463D-88BB-24EF94892010}"/>
    <cellStyle name="Normal 79 2 5 3" xfId="10562" xr:uid="{82E53BBB-C69C-4472-B31E-EED16CD8F34C}"/>
    <cellStyle name="Normal 79 2 6" xfId="10563" xr:uid="{79E600AD-8EB9-44BF-9E85-70BFEDF79F55}"/>
    <cellStyle name="Normal 79 2 6 2" xfId="10564" xr:uid="{C85E43DA-BD77-4880-8C39-10BE705FB8CD}"/>
    <cellStyle name="Normal 79 2 6 3" xfId="10565" xr:uid="{ED841C7B-14DA-4BAA-B823-1D40078E2D97}"/>
    <cellStyle name="Normal 79 2 7" xfId="10566" xr:uid="{8437EBD6-302D-46C4-BB76-9E470E798BDE}"/>
    <cellStyle name="Normal 79 2 7 2" xfId="10567" xr:uid="{99BBC790-81B8-401A-B38C-0F763FFC527F}"/>
    <cellStyle name="Normal 79 2 7 3" xfId="10568" xr:uid="{F71331A5-6C6E-47EB-B3FE-E86569619394}"/>
    <cellStyle name="Normal 79 2 8" xfId="10569" xr:uid="{354F350E-5AE1-4352-81D6-AA171D46E1BD}"/>
    <cellStyle name="Normal 79 2 9" xfId="10570" xr:uid="{59ECB2F4-D9AA-45A7-8E63-83AB1865CDBD}"/>
    <cellStyle name="Normal 79 3" xfId="2416" xr:uid="{C089CA07-E401-40F3-B6A7-C7BDCA27FC76}"/>
    <cellStyle name="Normal 79 3 10" xfId="10571" xr:uid="{E33957C2-5830-4F05-AA50-A43B8D04B50C}"/>
    <cellStyle name="Normal 79 3 2" xfId="2417" xr:uid="{6044A7BF-6C1E-4AA3-8540-5D6B82EA2BA4}"/>
    <cellStyle name="Normal 79 3 2 2" xfId="10572" xr:uid="{57860F85-6995-4B8E-92D8-24AB251E9277}"/>
    <cellStyle name="Normal 79 3 2 2 2" xfId="10573" xr:uid="{1ACF0468-50D7-44AB-BBDE-C1AA869FADA9}"/>
    <cellStyle name="Normal 79 3 2 2 2 2" xfId="10574" xr:uid="{1F4B0814-32C8-49CE-9927-C0105C39C609}"/>
    <cellStyle name="Normal 79 3 2 2 2 3" xfId="10575" xr:uid="{43A5D73A-87E1-4F83-A250-9419F1F953F8}"/>
    <cellStyle name="Normal 79 3 2 2 3" xfId="10576" xr:uid="{EC0E8108-3E6B-4439-B933-6C80C30D233E}"/>
    <cellStyle name="Normal 79 3 2 2 3 2" xfId="10577" xr:uid="{5CF3C66D-AB4C-4261-8A9B-24DB8D11C960}"/>
    <cellStyle name="Normal 79 3 2 2 3 3" xfId="10578" xr:uid="{A8058E24-B0FC-43AE-8738-305C946BA65D}"/>
    <cellStyle name="Normal 79 3 2 2 4" xfId="10579" xr:uid="{30CFD237-1501-4C81-90FD-7047163CAEB0}"/>
    <cellStyle name="Normal 79 3 2 2 4 2" xfId="10580" xr:uid="{323A55CB-407E-4B9F-8716-C7212614EC4B}"/>
    <cellStyle name="Normal 79 3 2 2 4 3" xfId="10581" xr:uid="{725CB6BD-40D1-4189-BEBA-EC1942AF2A47}"/>
    <cellStyle name="Normal 79 3 2 2 5" xfId="10582" xr:uid="{D829D0E7-0902-45DB-80E7-65F7CFF2F031}"/>
    <cellStyle name="Normal 79 3 2 2 6" xfId="10583" xr:uid="{3E8AE5B0-4CD7-4EAF-BDBF-47163E2C9238}"/>
    <cellStyle name="Normal 79 3 2 2 7" xfId="10584" xr:uid="{9C56DDA8-45ED-4D25-902D-958C3324448A}"/>
    <cellStyle name="Normal 79 3 2 2 8" xfId="10585" xr:uid="{49B1E7C2-8C4C-4894-951D-298CAC315816}"/>
    <cellStyle name="Normal 79 3 2 3" xfId="10586" xr:uid="{F3F376FF-4923-4A5C-8BF9-1530BD6F37E1}"/>
    <cellStyle name="Normal 79 3 2 3 2" xfId="10587" xr:uid="{52DC654B-D799-4534-84B1-EFBBAD74B746}"/>
    <cellStyle name="Normal 79 3 2 3 3" xfId="10588" xr:uid="{A7AD2608-9E63-4ABF-8328-DB26FD989A9B}"/>
    <cellStyle name="Normal 79 3 2 4" xfId="10589" xr:uid="{2D991C93-E099-496F-B4E3-83F1825804B9}"/>
    <cellStyle name="Normal 79 3 2 4 2" xfId="10590" xr:uid="{80ED4838-9D68-4D3F-AB32-FAF424E42714}"/>
    <cellStyle name="Normal 79 3 2 4 3" xfId="10591" xr:uid="{F8262FE5-59DD-4D5E-A3CF-C044BA93E53E}"/>
    <cellStyle name="Normal 79 3 2 5" xfId="10592" xr:uid="{CB641DD8-CA41-4B2B-85B6-A3A9615BC819}"/>
    <cellStyle name="Normal 79 3 2 5 2" xfId="10593" xr:uid="{37F6BFE7-4DBB-40B2-AC99-DFCDE120B6CB}"/>
    <cellStyle name="Normal 79 3 2 5 3" xfId="10594" xr:uid="{C54C6400-8BE3-4B63-946E-7061ED3BC02A}"/>
    <cellStyle name="Normal 79 3 2 6" xfId="10595" xr:uid="{E1FA62BD-742D-4613-A192-127D265E8B69}"/>
    <cellStyle name="Normal 79 3 2 7" xfId="10596" xr:uid="{6F10E536-6962-41B3-8521-AA88EE5A3853}"/>
    <cellStyle name="Normal 79 3 2 8" xfId="10597" xr:uid="{1F697583-ADCE-49B8-A4EE-90DECCE36FEF}"/>
    <cellStyle name="Normal 79 3 2 9" xfId="10598" xr:uid="{72A105C2-35D6-4FFB-A36F-2FF383C2E3B5}"/>
    <cellStyle name="Normal 79 3 3" xfId="10599" xr:uid="{2DB5BF86-4DA2-40B1-ABD9-6C7E79C12E5D}"/>
    <cellStyle name="Normal 79 3 3 2" xfId="10600" xr:uid="{BBD8CEAF-3AA7-476F-8283-C5197BC6823A}"/>
    <cellStyle name="Normal 79 3 3 2 2" xfId="10601" xr:uid="{4B9B5FA2-D2A7-4393-A082-64BC3EC31DEF}"/>
    <cellStyle name="Normal 79 3 3 2 3" xfId="10602" xr:uid="{C8773E0A-ED45-4FC2-9F3E-F361D731F22D}"/>
    <cellStyle name="Normal 79 3 3 3" xfId="10603" xr:uid="{DA621C51-BED1-4910-9829-CE0F71CECF3A}"/>
    <cellStyle name="Normal 79 3 3 3 2" xfId="10604" xr:uid="{606A1209-F87B-4ABC-B9BB-83CF568B7F28}"/>
    <cellStyle name="Normal 79 3 3 3 3" xfId="10605" xr:uid="{8444103B-1167-479F-BD89-370ECFE13CCA}"/>
    <cellStyle name="Normal 79 3 3 4" xfId="10606" xr:uid="{9B74F6B7-AD89-4316-A0B3-CB030EF78BC9}"/>
    <cellStyle name="Normal 79 3 3 4 2" xfId="10607" xr:uid="{E5969156-C59A-4E32-B249-1B446EBF8348}"/>
    <cellStyle name="Normal 79 3 3 4 3" xfId="10608" xr:uid="{591D669C-C413-4761-AE12-536102CEDA6B}"/>
    <cellStyle name="Normal 79 3 3 5" xfId="10609" xr:uid="{FFC203A6-0559-4ED1-B60A-436F45B3EAF9}"/>
    <cellStyle name="Normal 79 3 3 6" xfId="10610" xr:uid="{1A4D1097-A07D-4A58-A303-5AC0A99A4D58}"/>
    <cellStyle name="Normal 79 3 3 7" xfId="10611" xr:uid="{BA355096-BEB4-45DD-98A1-197FE7BB4BA8}"/>
    <cellStyle name="Normal 79 3 3 8" xfId="10612" xr:uid="{019E6756-DDD2-42DD-BEE2-7E20F0F45971}"/>
    <cellStyle name="Normal 79 3 4" xfId="10613" xr:uid="{31E0C8E5-759B-4AC1-BFD3-398522685C62}"/>
    <cellStyle name="Normal 79 3 4 2" xfId="10614" xr:uid="{3E36B899-301A-465F-B0C3-F4D07EF428FF}"/>
    <cellStyle name="Normal 79 3 4 3" xfId="10615" xr:uid="{6AA73D60-724D-4474-A801-DD8AAD66FB3F}"/>
    <cellStyle name="Normal 79 3 5" xfId="10616" xr:uid="{54149735-A7B5-4BDA-B738-572936030E47}"/>
    <cellStyle name="Normal 79 3 5 2" xfId="10617" xr:uid="{3D38FD73-54B2-49D9-A986-D8A51ABA9499}"/>
    <cellStyle name="Normal 79 3 5 3" xfId="10618" xr:uid="{E92DAA09-7A61-47B6-B4D0-47DF705A8F32}"/>
    <cellStyle name="Normal 79 3 6" xfId="10619" xr:uid="{0B458227-979D-4A5A-AFEB-C5D1F3A6D25D}"/>
    <cellStyle name="Normal 79 3 6 2" xfId="10620" xr:uid="{BD9DD1A6-AEC3-48EE-A69B-D3432215E3EA}"/>
    <cellStyle name="Normal 79 3 6 3" xfId="10621" xr:uid="{499F88D5-7806-401D-98FB-1926BC103675}"/>
    <cellStyle name="Normal 79 3 7" xfId="10622" xr:uid="{FB48965B-0079-435A-8DD3-231B332246BF}"/>
    <cellStyle name="Normal 79 3 8" xfId="10623" xr:uid="{A53352FE-8BE9-4AA6-850E-AD4B12463878}"/>
    <cellStyle name="Normal 79 3 9" xfId="10624" xr:uid="{8A84F60E-DDF6-4D54-A75C-95721EC6678D}"/>
    <cellStyle name="Normal 79 4" xfId="2418" xr:uid="{C3E1CA43-44C5-4D2B-8A6E-55F51970B3E6}"/>
    <cellStyle name="Normal 79 4 2" xfId="10625" xr:uid="{96336AEA-439C-4DC5-BA38-EBE8230C6303}"/>
    <cellStyle name="Normal 79 4 2 2" xfId="10626" xr:uid="{60AE7B38-C79F-472E-AA4A-D835628C9A98}"/>
    <cellStyle name="Normal 79 4 2 2 2" xfId="10627" xr:uid="{92267D66-64D8-444E-98C3-7F09A06CDA23}"/>
    <cellStyle name="Normal 79 4 2 2 3" xfId="10628" xr:uid="{3D4C3CAE-001B-49B4-9938-CD52707633E4}"/>
    <cellStyle name="Normal 79 4 2 3" xfId="10629" xr:uid="{80AC1B6E-27E1-49DB-A334-5DB3BF673C3A}"/>
    <cellStyle name="Normal 79 4 2 3 2" xfId="10630" xr:uid="{B0559B00-669D-48A4-BD59-36AC1AFBC276}"/>
    <cellStyle name="Normal 79 4 2 3 3" xfId="10631" xr:uid="{C68246BA-6300-4F1A-B5AA-77F2AEB1F2A3}"/>
    <cellStyle name="Normal 79 4 2 4" xfId="10632" xr:uid="{B4307E42-F4FF-43B6-8867-569F8C15A6B9}"/>
    <cellStyle name="Normal 79 4 2 4 2" xfId="10633" xr:uid="{4B551195-8FFF-4076-A708-AD838E0ACD54}"/>
    <cellStyle name="Normal 79 4 2 4 3" xfId="10634" xr:uid="{C9E91DDF-6491-44E4-B9CA-F2CB5F42F298}"/>
    <cellStyle name="Normal 79 4 2 5" xfId="10635" xr:uid="{769AD604-084C-40C2-9776-C01F2976EF9B}"/>
    <cellStyle name="Normal 79 4 2 6" xfId="10636" xr:uid="{E9A27B15-D420-47E3-B102-3A8C51DDA80B}"/>
    <cellStyle name="Normal 79 4 2 7" xfId="10637" xr:uid="{442FD296-A121-4713-AEE2-1EAAB4692AED}"/>
    <cellStyle name="Normal 79 4 2 8" xfId="10638" xr:uid="{F48A9655-7F9D-467B-8384-3728DCE1362C}"/>
    <cellStyle name="Normal 79 4 3" xfId="10639" xr:uid="{4FDA1DB1-5B5D-4A91-8A19-3397314E0109}"/>
    <cellStyle name="Normal 79 4 3 2" xfId="10640" xr:uid="{316DE55D-EAFC-44C7-956A-8E6460250FB3}"/>
    <cellStyle name="Normal 79 4 3 3" xfId="10641" xr:uid="{759DC646-920D-4FFF-AA37-A58A9E4FBA12}"/>
    <cellStyle name="Normal 79 4 4" xfId="10642" xr:uid="{8E30644B-F313-4ABA-86F5-502063FF9091}"/>
    <cellStyle name="Normal 79 4 4 2" xfId="10643" xr:uid="{62C6BB71-22C9-449E-92BD-DD00A4DB148B}"/>
    <cellStyle name="Normal 79 4 4 3" xfId="10644" xr:uid="{C8A242B2-7B1A-4DF4-9278-38604347B385}"/>
    <cellStyle name="Normal 79 4 5" xfId="10645" xr:uid="{C76A4ED5-36A8-4EFB-900B-2EC7956FDE69}"/>
    <cellStyle name="Normal 79 4 5 2" xfId="10646" xr:uid="{21A2E1E6-FBCA-4368-8D29-5078BE5D081F}"/>
    <cellStyle name="Normal 79 4 5 3" xfId="10647" xr:uid="{5B900C96-6212-422F-87BB-9B7D8E346F08}"/>
    <cellStyle name="Normal 79 4 6" xfId="10648" xr:uid="{1E9E02CD-0332-4752-B51E-AFC52391FB03}"/>
    <cellStyle name="Normal 79 4 7" xfId="10649" xr:uid="{1CD4D0CF-0520-4E97-9E30-10920CF3E582}"/>
    <cellStyle name="Normal 79 4 8" xfId="10650" xr:uid="{31E133F5-FEFC-467C-85F6-5B0C20E079C4}"/>
    <cellStyle name="Normal 79 4 9" xfId="10651" xr:uid="{5658D88E-815B-4F46-BBF0-FC02BE6D76D9}"/>
    <cellStyle name="Normal 79 5" xfId="10652" xr:uid="{E8AE6A58-8DE3-41E7-9DF9-766D9E30D2CB}"/>
    <cellStyle name="Normal 79 5 2" xfId="10653" xr:uid="{F645039B-CD2E-4F48-A933-8B2FB3A6FE4B}"/>
    <cellStyle name="Normal 79 5 2 2" xfId="10654" xr:uid="{1FF4C3ED-1510-424A-A385-1881FDC16C2B}"/>
    <cellStyle name="Normal 79 5 2 3" xfId="10655" xr:uid="{4114F53A-104E-4BDF-A8CD-71CED8C078AD}"/>
    <cellStyle name="Normal 79 5 3" xfId="10656" xr:uid="{2D9E7CEE-70B0-476A-AEE5-AE7928CC5B19}"/>
    <cellStyle name="Normal 79 5 3 2" xfId="10657" xr:uid="{AD27111F-4838-427B-9CFD-7E91A1378CA7}"/>
    <cellStyle name="Normal 79 5 3 3" xfId="10658" xr:uid="{62515810-124F-40B9-9BC9-E3C242409B82}"/>
    <cellStyle name="Normal 79 5 4" xfId="10659" xr:uid="{7064348C-C39F-46EC-A1D7-09F21CDB840C}"/>
    <cellStyle name="Normal 79 5 4 2" xfId="10660" xr:uid="{B1D6749C-CEE9-40B0-80F0-41DE8E13CFE2}"/>
    <cellStyle name="Normal 79 5 4 3" xfId="10661" xr:uid="{94D6DF2A-AF67-416C-82D2-CA43E03F2D35}"/>
    <cellStyle name="Normal 79 5 5" xfId="10662" xr:uid="{E80DF064-D058-4433-9114-534BAF155B28}"/>
    <cellStyle name="Normal 79 5 6" xfId="10663" xr:uid="{BA30E2D4-0CAA-45E4-ADCA-C8F53325D65D}"/>
    <cellStyle name="Normal 79 5 7" xfId="10664" xr:uid="{F33ECE46-3758-4328-B621-2DC97F31DC5F}"/>
    <cellStyle name="Normal 79 5 8" xfId="10665" xr:uid="{7E1B9C1D-4894-4EC2-A81B-6DF76C66B8E0}"/>
    <cellStyle name="Normal 79 6" xfId="10666" xr:uid="{B26B13FF-C997-43A5-88DB-6CE006762E0C}"/>
    <cellStyle name="Normal 79 6 2" xfId="10667" xr:uid="{EDC8472C-C0B3-42CA-B2EE-793B1D6CF639}"/>
    <cellStyle name="Normal 79 6 3" xfId="10668" xr:uid="{936F969F-217E-4AD0-B224-45C190EC1BFE}"/>
    <cellStyle name="Normal 79 7" xfId="10669" xr:uid="{4D8E7317-B7B8-492C-AE14-38CD791C80D8}"/>
    <cellStyle name="Normal 79 7 2" xfId="10670" xr:uid="{1B457FD1-6528-42F7-954A-311B8F4B5285}"/>
    <cellStyle name="Normal 79 7 3" xfId="10671" xr:uid="{8ECD9BDD-7832-4272-B58D-2FF627E0A99B}"/>
    <cellStyle name="Normal 79 8" xfId="10672" xr:uid="{BAD50673-3B88-490E-A51E-6CEB659FBDA3}"/>
    <cellStyle name="Normal 79 8 2" xfId="10673" xr:uid="{B23C28C9-2C44-4E23-846F-F1461433611E}"/>
    <cellStyle name="Normal 79 8 3" xfId="10674" xr:uid="{B30239BF-9F90-465E-A5D5-36B1BCA44E96}"/>
    <cellStyle name="Normal 79 9" xfId="10675" xr:uid="{82F1CFAD-4905-4B23-B9F1-B7ACA5C0DC1A}"/>
    <cellStyle name="Normal 8" xfId="2419" xr:uid="{1E0EF30B-9B66-47E5-AE3D-EF4F91F20F8D}"/>
    <cellStyle name="Normal 8 2" xfId="2420" xr:uid="{00E5DE54-B383-46C3-9DA1-93C9C5E65D98}"/>
    <cellStyle name="Normal 8 2 2" xfId="2421" xr:uid="{996636F5-EE67-49B8-A4C5-317A16F2612D}"/>
    <cellStyle name="Normal 8 3" xfId="2422" xr:uid="{0C00D948-ECB8-4150-9ED5-018A9AFBFD27}"/>
    <cellStyle name="Normal 8 3 2" xfId="2423" xr:uid="{37FEF3C1-1C6F-41BB-ADB9-EF828365D128}"/>
    <cellStyle name="Normal 8 4" xfId="2424" xr:uid="{67DB0833-3644-4E87-A4C0-C680EDCDA131}"/>
    <cellStyle name="Normal 8 4 2" xfId="2425" xr:uid="{D0CD5DD3-458E-472F-BE66-11A7245D1CCD}"/>
    <cellStyle name="Normal 8 5" xfId="2426" xr:uid="{8D7F0F43-C6A1-40D1-AC3C-368F57A3FB1B}"/>
    <cellStyle name="Normal 8 5 2" xfId="2427" xr:uid="{44820E90-F3BB-4B73-B3F6-B35FBB7A78B9}"/>
    <cellStyle name="Normal 8 6" xfId="2428" xr:uid="{B18AFCA0-8F4C-4133-9C71-E6A3010A282A}"/>
    <cellStyle name="Normal 8 6 2" xfId="2429" xr:uid="{4FCD8EEF-C66F-4DE0-8EA4-63DD0466B29B}"/>
    <cellStyle name="Normal 8 7" xfId="2430" xr:uid="{A0BF2A4B-4FD4-455A-AFFE-26EDE01B6E1B}"/>
    <cellStyle name="Normal 8 7 2" xfId="2431" xr:uid="{6F454041-D29B-4DEC-851C-E1227E412070}"/>
    <cellStyle name="Normal 8 8" xfId="2432" xr:uid="{CDDE14F9-DE3A-4C06-9BB2-8EF208B1E82A}"/>
    <cellStyle name="Normal 8 8 2" xfId="2433" xr:uid="{C14CECA0-64E4-4668-BFD1-B1740851986D}"/>
    <cellStyle name="Normal 8 9" xfId="2434" xr:uid="{0F613D56-F75E-43BF-AB97-695F6A6610A7}"/>
    <cellStyle name="Normal 8_1.0 HFM data" xfId="10676" xr:uid="{38619AEB-4F74-41B8-9C1E-0B6BE828337C}"/>
    <cellStyle name="Normal 80" xfId="2435" xr:uid="{EB1CAF2B-4A85-4B25-8159-5FDA163DD9B3}"/>
    <cellStyle name="Normal 80 2" xfId="2436" xr:uid="{DC494830-58AF-4DAF-8F68-71B4ACE7E6FA}"/>
    <cellStyle name="Normal 80 2 2" xfId="10677" xr:uid="{5EFC1F20-5010-4B43-BD7C-4BC636FB8176}"/>
    <cellStyle name="Normal 81" xfId="2437" xr:uid="{57163DF9-C093-465E-8E68-08ED5209D7C6}"/>
    <cellStyle name="Normal 81 2" xfId="2438" xr:uid="{2A243586-A5BE-4256-8DE6-8F991BB585DC}"/>
    <cellStyle name="Normal 81 2 2" xfId="10678" xr:uid="{8903008A-D447-4F23-A429-828B3FF3E095}"/>
    <cellStyle name="Normal 82" xfId="2439" xr:uid="{0A7FCD7E-0198-46FC-99DF-27D8B5384FAF}"/>
    <cellStyle name="Normal 82 2" xfId="2440" xr:uid="{11208668-EED3-4417-ACE4-DD05F60DE21C}"/>
    <cellStyle name="Normal 82 2 2" xfId="10679" xr:uid="{14F52925-BB00-4A2E-996C-E00F53A560CF}"/>
    <cellStyle name="Normal 83" xfId="2441" xr:uid="{9B63648F-0866-4EA5-82C2-0154BD942211}"/>
    <cellStyle name="Normal 83 2" xfId="2442" xr:uid="{84B95D47-A47D-46E0-A3F4-AEA931C3B1D0}"/>
    <cellStyle name="Normal 83 2 2" xfId="10680" xr:uid="{D95332BC-DDE6-41EE-A498-F7D317DC253D}"/>
    <cellStyle name="Normal 83 2 2 2" xfId="10681" xr:uid="{26309614-D1F3-40C0-ADC6-4AA38F119BD9}"/>
    <cellStyle name="Normal 83 2 2 3" xfId="10682" xr:uid="{6B525C35-4234-44F3-9456-4C67F04142FA}"/>
    <cellStyle name="Normal 83 2 3" xfId="10683" xr:uid="{69B32590-EC0F-46EC-B867-194B3987E9AD}"/>
    <cellStyle name="Normal 83 3" xfId="10684" xr:uid="{4E80927F-1A6D-4860-9B15-5CCB2AA654C8}"/>
    <cellStyle name="Normal 84" xfId="2443" xr:uid="{B8FE40BB-3A46-4089-BDFF-A5FD2EB06710}"/>
    <cellStyle name="Normal 84 2" xfId="2444" xr:uid="{ED4B86C8-616C-49CA-8B5F-0236713C42AE}"/>
    <cellStyle name="Normal 84 3" xfId="10685" xr:uid="{C28E6B6D-A279-4CC7-B502-81341373421B}"/>
    <cellStyle name="Normal 84 3 2" xfId="10686" xr:uid="{651157C0-0D16-4CB8-8DC8-8D83DB3B54CD}"/>
    <cellStyle name="Normal 84 3 2 2" xfId="10687" xr:uid="{BF65D545-ADA2-47C5-986E-1C580BFFA3F9}"/>
    <cellStyle name="Normal 84 3 2 3" xfId="10688" xr:uid="{6F3FB4C0-6D9C-4DD8-B86E-5B69812BD4E9}"/>
    <cellStyle name="Normal 84 3 3" xfId="10689" xr:uid="{6E770285-9401-454E-9EC1-8AC42E47F483}"/>
    <cellStyle name="Normal 84 4" xfId="10690" xr:uid="{34FE572A-0CCE-426D-89EE-BFE413CE6AAD}"/>
    <cellStyle name="Normal 85" xfId="2445" xr:uid="{9E5E5EF5-B64C-49CE-BB9E-39BB2A3D6EF0}"/>
    <cellStyle name="Normal 85 2" xfId="2446" xr:uid="{DB1A6463-C5EA-4057-A1C0-99E19C344AFB}"/>
    <cellStyle name="Normal 85 3" xfId="10691" xr:uid="{F36AB598-E96E-4A52-B102-5A8498AAF2F5}"/>
    <cellStyle name="Normal 85 3 2" xfId="10692" xr:uid="{F7506ABA-41B2-42B4-80D9-83C60E87B8FF}"/>
    <cellStyle name="Normal 85 3 2 2" xfId="10693" xr:uid="{29E23AAE-BB30-4C27-9E3F-C9A022D8D111}"/>
    <cellStyle name="Normal 85 3 2 3" xfId="10694" xr:uid="{6F8A2461-8BDA-4941-A551-166C68EAFD79}"/>
    <cellStyle name="Normal 86" xfId="2447" xr:uid="{6A50680B-3937-48C5-BABE-D7D69037BB5C}"/>
    <cellStyle name="Normal 86 2" xfId="2448" xr:uid="{7EA3F3C2-8846-49A8-AE00-70F9A78D4212}"/>
    <cellStyle name="Normal 86 3" xfId="10695" xr:uid="{EBDC1D9A-D45C-442E-8695-394B55506541}"/>
    <cellStyle name="Normal 86 3 2" xfId="10696" xr:uid="{D81A9D3C-8728-4A3E-AA73-4B77DE19A2C3}"/>
    <cellStyle name="Normal 86 3 2 2" xfId="10697" xr:uid="{C6D9F54D-A49F-401D-B7C8-66AFF90BCD9E}"/>
    <cellStyle name="Normal 86 3 2 3" xfId="10698" xr:uid="{7208D7CE-E0B4-4708-99F4-48C956D240C3}"/>
    <cellStyle name="Normal 87" xfId="2449" xr:uid="{B8F3BF2C-F034-47F5-BC02-4C6954424F5D}"/>
    <cellStyle name="Normal 87 2" xfId="2450" xr:uid="{4C913A79-BD60-4ACC-88A3-D6A74F8CA2BC}"/>
    <cellStyle name="Normal 87 2 2" xfId="10699" xr:uid="{E67F8CFA-9D25-4A21-8AEF-E0C48F0BDFC6}"/>
    <cellStyle name="Normal 87 2 3" xfId="10700" xr:uid="{65EA854E-D4DF-4D25-B186-8DEB14AD8F1B}"/>
    <cellStyle name="Normal 87 2 4" xfId="10701" xr:uid="{D20EC5DE-B794-451D-AE25-9E73E5009F09}"/>
    <cellStyle name="Normal 87 2 5" xfId="10702" xr:uid="{06E1DD4C-2B8C-4B5A-86D2-5A168D801A41}"/>
    <cellStyle name="Normal 87 3" xfId="10703" xr:uid="{89BD8E86-3BA5-45E3-88EE-F98B1196BD0A}"/>
    <cellStyle name="Normal 87 3 2" xfId="10704" xr:uid="{F7C2C638-1D5C-4871-870D-F1C980D8AE8F}"/>
    <cellStyle name="Normal 87 3 3" xfId="10705" xr:uid="{CF5AE3D2-E0D6-473C-BC01-7B56E88373D2}"/>
    <cellStyle name="Normal 87 4" xfId="10706" xr:uid="{195FC204-D6F0-432A-99A5-4AFC0890E919}"/>
    <cellStyle name="Normal 87 5" xfId="10707" xr:uid="{4F65F442-41BC-43A1-A5D4-91C79DDAEAAE}"/>
    <cellStyle name="Normal 87 6" xfId="10708" xr:uid="{B50C15E4-6DBC-4296-87B0-0BD56B157AC2}"/>
    <cellStyle name="Normal 88" xfId="2451" xr:uid="{B8BD0C13-6370-4560-BF15-8164FC56188E}"/>
    <cellStyle name="Normal 88 2" xfId="2452" xr:uid="{7EE2CBE5-6F37-45BC-9DFA-1A05B5FA0948}"/>
    <cellStyle name="Normal 88 3" xfId="3634" xr:uid="{ED0C2159-240F-42E6-92CB-A00D383F81A4}"/>
    <cellStyle name="Normal 88 4" xfId="10709" xr:uid="{B7EDA7EE-87B6-4B4E-BA02-AE4FB5A2BED8}"/>
    <cellStyle name="Normal 89" xfId="2453" xr:uid="{5A0586C8-751C-49F4-8ACE-E5B32946F5D9}"/>
    <cellStyle name="Normal 89 2" xfId="2454" xr:uid="{4A9BF442-A8B6-4668-850B-E74F16456D1D}"/>
    <cellStyle name="Normal 89 3" xfId="10710" xr:uid="{9A03EB6D-CE68-4BC7-842D-3FFE8DC36ED9}"/>
    <cellStyle name="Normal 9" xfId="2455" xr:uid="{0804A20B-AA6B-4259-B5A1-A54AB54C5D89}"/>
    <cellStyle name="Normal 9 10" xfId="2456" xr:uid="{23D492A5-5112-4DC0-81D8-789C319A22F7}"/>
    <cellStyle name="Normal 9 2" xfId="2457" xr:uid="{E43047D9-44AA-4B24-BFB8-F612D5AA7A5E}"/>
    <cellStyle name="Normal 9 2 2" xfId="2458" xr:uid="{FB3DC700-66CE-47B5-9C02-B0D0857C87EB}"/>
    <cellStyle name="Normal 9 3" xfId="2459" xr:uid="{7C30A17B-320D-438C-9906-AD02BD773BB1}"/>
    <cellStyle name="Normal 9 3 2" xfId="2460" xr:uid="{79A51983-11CA-4ECD-8FD9-43A71BAF9796}"/>
    <cellStyle name="Normal 9 4" xfId="2461" xr:uid="{DDDA1559-0E33-4E02-B896-C15B4C20B782}"/>
    <cellStyle name="Normal 9 4 2" xfId="2462" xr:uid="{0F5AEB59-9FC5-40D5-9C0D-9DFAE8267E3C}"/>
    <cellStyle name="Normal 9 5" xfId="2463" xr:uid="{36DED036-61DB-4AF5-8DDB-03BB07D90402}"/>
    <cellStyle name="Normal 9 5 2" xfId="2464" xr:uid="{BD77AA82-29E2-410D-B6C9-7EADC2928D10}"/>
    <cellStyle name="Normal 9 6" xfId="2465" xr:uid="{0CE22288-F57D-44AB-8766-4F6CC7C45299}"/>
    <cellStyle name="Normal 9 6 2" xfId="2466" xr:uid="{399530B6-063F-4584-9B72-11543E8A4B12}"/>
    <cellStyle name="Normal 9 7" xfId="2467" xr:uid="{8E0B9852-5279-40BC-B81D-A9AB449F408F}"/>
    <cellStyle name="Normal 9 7 2" xfId="2468" xr:uid="{D787B66A-3094-4453-9C4E-4F2C5C3C91C3}"/>
    <cellStyle name="Normal 9 8" xfId="2469" xr:uid="{526F9F14-1B0F-4175-9D2A-5DD7D7369F22}"/>
    <cellStyle name="Normal 9 8 2" xfId="2470" xr:uid="{7629EEC4-202B-401C-AA42-52732E84B20F}"/>
    <cellStyle name="Normal 9 9" xfId="2471" xr:uid="{DD3C0471-67EE-4F2D-9652-8EE18AED0245}"/>
    <cellStyle name="Normal 9 9 2" xfId="10711" xr:uid="{0B435A85-F237-4C26-BDE1-17E1926FB190}"/>
    <cellStyle name="Normal 90" xfId="2472" xr:uid="{E0885EEC-9652-4BC2-B719-B8759B06DAEA}"/>
    <cellStyle name="Normal 90 2" xfId="2473" xr:uid="{3A6D578C-3C1D-4A0E-8127-43A692D949A3}"/>
    <cellStyle name="Normal 90 3" xfId="10712" xr:uid="{543AC625-9F9A-4128-8607-54B03AD20206}"/>
    <cellStyle name="Normal 91" xfId="2474" xr:uid="{0A033FD5-16E1-4054-ABB6-5AD02FE59A5A}"/>
    <cellStyle name="Normal 91 2" xfId="2475" xr:uid="{400BF046-1621-4ECE-9D83-85971F3949BC}"/>
    <cellStyle name="Normal 91 3" xfId="10713" xr:uid="{4CAB066D-63C3-43CB-A92E-6CE7F3190D33}"/>
    <cellStyle name="Normal 92" xfId="2476" xr:uid="{B6887CFB-B655-49B0-A66F-FB5EBFC63EC4}"/>
    <cellStyle name="Normal 92 2" xfId="2477" xr:uid="{640A885D-73A5-4927-B294-BF297BB8A3B7}"/>
    <cellStyle name="Normal 92 3" xfId="10714" xr:uid="{13DB6556-F1A3-4A5E-B4F8-77F98AAD74E1}"/>
    <cellStyle name="Normal 93" xfId="2478" xr:uid="{E74E83FA-4961-4D90-9F3F-591239CEDBF4}"/>
    <cellStyle name="Normal 93 2" xfId="2479" xr:uid="{5A671D3D-A5AE-4B05-9CB5-52C59B4378AD}"/>
    <cellStyle name="Normal 93 3" xfId="10715" xr:uid="{63589769-C978-4DBB-8B53-9C80F5E81451}"/>
    <cellStyle name="Normal 94" xfId="2480" xr:uid="{7DEED691-82CD-4779-96DE-F45560224A61}"/>
    <cellStyle name="Normal 94 2" xfId="2481" xr:uid="{E4587877-5CC6-4C27-9EF6-EC60DE507E62}"/>
    <cellStyle name="Normal 94 3" xfId="10716" xr:uid="{73F3FA33-0FDB-49C5-B7DD-5A7252A44A52}"/>
    <cellStyle name="Normal 95" xfId="2482" xr:uid="{EB0F5BD3-7864-44D5-98D1-824254B00815}"/>
    <cellStyle name="Normal 96" xfId="10717" xr:uid="{E5A36435-B0AE-494F-912F-9D4A7656AA34}"/>
    <cellStyle name="Normal 97" xfId="10718" xr:uid="{F67EA296-2F76-4C3F-B40C-DE22C2572E27}"/>
    <cellStyle name="Normal 98" xfId="10719" xr:uid="{5CECB021-4571-41B7-9A67-18C8AE86B52D}"/>
    <cellStyle name="Normal 99" xfId="10720" xr:uid="{708A6C7B-3E54-43FE-AF59-36DD54B98C28}"/>
    <cellStyle name="Normalblue_BS" xfId="10721" xr:uid="{1DC42559-1B48-45A6-9EC1-6FDAD7D655B3}"/>
    <cellStyle name="NormalCenteredLocked" xfId="2483" xr:uid="{DD36BC37-6A5F-425F-915B-5F3576BB06E0}"/>
    <cellStyle name="NormalEntry" xfId="2484" xr:uid="{34B35EA5-C194-4D10-84B3-E85A23AD778F}"/>
    <cellStyle name="NormalEntryHidden" xfId="2485" xr:uid="{F61B0FDF-EF7B-47B8-8069-9C7BC3CAB7A2}"/>
    <cellStyle name="NormalLocked" xfId="2486" xr:uid="{B3075354-0151-4DCD-8B88-42CAB1D98A7A}"/>
    <cellStyle name="Normaln" xfId="2487" xr:uid="{0456C101-67C0-4AD6-AABF-0BF3330A215A}"/>
    <cellStyle name="NormalOPrint_Module_E (2)" xfId="10722" xr:uid="{598C9407-FEB0-48C1-98BF-9064452A5313}"/>
    <cellStyle name="Normalred_BS" xfId="10723" xr:uid="{EFC3BFE2-245E-47E7-8771-193FE160DDA1}"/>
    <cellStyle name="Note" xfId="21" builtinId="10" customBuiltin="1"/>
    <cellStyle name="Note 10" xfId="2488" xr:uid="{8F79F43C-0552-4AC6-82B1-BAA062F0CDD6}"/>
    <cellStyle name="Note 10 2" xfId="2489" xr:uid="{5ADA5440-54EE-4769-B126-3E2C51487523}"/>
    <cellStyle name="Note 10 2 2" xfId="2490" xr:uid="{4020CFAD-2970-48D6-91EC-79C653953F23}"/>
    <cellStyle name="Note 10 3" xfId="2491" xr:uid="{FD4854B6-8CA8-4046-82BD-2D519C95BCEB}"/>
    <cellStyle name="Note 10 3 2" xfId="2492" xr:uid="{E36026AB-0035-479C-9337-12B7BE1EA076}"/>
    <cellStyle name="Note 10 4" xfId="2493" xr:uid="{7AE6913D-834A-4A6E-9DAA-BA665F8CBFB6}"/>
    <cellStyle name="Note 10 4 2" xfId="2494" xr:uid="{819CB0BC-18DD-4D5C-8BD1-272CEFAF31DC}"/>
    <cellStyle name="Note 10 5" xfId="2495" xr:uid="{C3F6B754-E4C9-4FCF-A31C-A9AD34CC708A}"/>
    <cellStyle name="Note 10 5 2" xfId="2496" xr:uid="{D2B9F075-796B-40FE-BB9F-4F4DF8DC6B30}"/>
    <cellStyle name="Note 10 6" xfId="2497" xr:uid="{3C8EFFDE-A00C-4CA8-9C4E-2FA9BB0C74DD}"/>
    <cellStyle name="Note 10 6 2" xfId="2498" xr:uid="{1EBB8AE3-1A99-4926-BD29-8DFAB34AB9F6}"/>
    <cellStyle name="Note 10 7" xfId="2499" xr:uid="{87851D2A-E9BA-4B04-B2FE-F3F3A274DEC8}"/>
    <cellStyle name="Note 10 7 2" xfId="2500" xr:uid="{2D19190D-FDA5-475E-A48B-99F8E5E0B271}"/>
    <cellStyle name="Note 10 8" xfId="2501" xr:uid="{A4C11FC7-061D-4564-A92F-4B75D5F386BE}"/>
    <cellStyle name="Note 10 8 2" xfId="2502" xr:uid="{24510822-AB0B-4C90-9A53-51C341ACF050}"/>
    <cellStyle name="Note 10 9" xfId="2503" xr:uid="{0EFD8310-AE75-426A-BC18-967C9A8EB8D5}"/>
    <cellStyle name="Note 10_48" xfId="2504" xr:uid="{097CDAD5-3846-41CD-AD78-968AB07A5767}"/>
    <cellStyle name="Note 11" xfId="2505" xr:uid="{7CCAE6F6-3E05-47B4-B329-AA32E1D5B52A}"/>
    <cellStyle name="Note 11 2" xfId="2506" xr:uid="{908724F3-E672-4277-88C6-305537A56D17}"/>
    <cellStyle name="Note 11 2 2" xfId="2507" xr:uid="{92E91C3B-E1D5-4A8A-A397-B939D367C3D1}"/>
    <cellStyle name="Note 11 3" xfId="2508" xr:uid="{FA344BD3-60A6-4035-AFCD-B11BB0170FB0}"/>
    <cellStyle name="Note 11 3 2" xfId="2509" xr:uid="{9440468E-7A0A-43B7-A9FA-E3AD6675CFF7}"/>
    <cellStyle name="Note 11 4" xfId="2510" xr:uid="{F88462CA-C30F-4021-9E97-65083B738960}"/>
    <cellStyle name="Note 11 4 2" xfId="2511" xr:uid="{D7B7ACBC-6633-4147-B292-5A74A147A2EA}"/>
    <cellStyle name="Note 11 5" xfId="2512" xr:uid="{BC55B9FD-1F55-4937-ABD5-4591B4AC7D6C}"/>
    <cellStyle name="Note 11 5 2" xfId="2513" xr:uid="{725FB22C-3419-4479-88B0-115E10B5552C}"/>
    <cellStyle name="Note 11 6" xfId="2514" xr:uid="{F2A2FD32-9787-4E2A-9699-89A20FB34E90}"/>
    <cellStyle name="Note 11 6 2" xfId="2515" xr:uid="{994727EE-8DE0-4BAD-A558-60671507210A}"/>
    <cellStyle name="Note 11 7" xfId="2516" xr:uid="{A69E97AD-72E1-4C99-8F94-001EDF8DADA6}"/>
    <cellStyle name="Note 11 7 2" xfId="2517" xr:uid="{0EBFB472-A06E-4C6E-A810-DE9DA6BC2B62}"/>
    <cellStyle name="Note 11 8" xfId="2518" xr:uid="{1D9E6B56-F270-400E-A3FF-764B2DBC657F}"/>
    <cellStyle name="Note 11 8 2" xfId="2519" xr:uid="{52C0432F-0E88-4E67-A6AD-33F36D4E6F64}"/>
    <cellStyle name="Note 11 9" xfId="2520" xr:uid="{7C49C63C-E940-46C7-8A39-B17B51D78CB8}"/>
    <cellStyle name="Note 11_48" xfId="2521" xr:uid="{FA5032DB-C477-46F8-83BD-0B869CA1E255}"/>
    <cellStyle name="Note 12" xfId="2522" xr:uid="{17B46983-8BC0-4BC9-B5B8-06839F82EF8F}"/>
    <cellStyle name="Note 12 2" xfId="2523" xr:uid="{F044DD8E-E4BF-4276-85DF-3F0A6F291A29}"/>
    <cellStyle name="Note 12 2 2" xfId="2524" xr:uid="{4194CDB3-8D2A-4AA4-8DFC-64AE10280F50}"/>
    <cellStyle name="Note 12 3" xfId="2525" xr:uid="{1F5054C3-02E0-4BB4-8FFC-2E8969FC71BC}"/>
    <cellStyle name="Note 12 3 2" xfId="2526" xr:uid="{C247DE2D-E168-4BEB-A070-1ABCCE9A4EFF}"/>
    <cellStyle name="Note 12 4" xfId="2527" xr:uid="{0551823E-9666-4ED6-810E-7CDE0307B41E}"/>
    <cellStyle name="Note 12 4 2" xfId="2528" xr:uid="{790334A4-9F66-4466-8A44-E443B94A1677}"/>
    <cellStyle name="Note 12 5" xfId="2529" xr:uid="{8E5A825A-20A6-40AC-86C8-36AC7AB75234}"/>
    <cellStyle name="Note 12 5 2" xfId="2530" xr:uid="{61580DF0-2ECD-48F3-85A1-FA9C16CEFFFE}"/>
    <cellStyle name="Note 12 6" xfId="2531" xr:uid="{56A26DCB-1816-49B6-8BAF-48F142DA3C3D}"/>
    <cellStyle name="Note 12 6 2" xfId="2532" xr:uid="{0D6F4EB3-4A89-4810-8DA0-42BBA61926E3}"/>
    <cellStyle name="Note 12 7" xfId="2533" xr:uid="{F55E7FB3-15B8-4106-9D6E-D2F887B2274A}"/>
    <cellStyle name="Note 12 7 2" xfId="2534" xr:uid="{FEBDA9CF-2C80-4EF6-B73F-366A4C6F8CFD}"/>
    <cellStyle name="Note 12 8" xfId="2535" xr:uid="{3CBF606D-FA29-4DEF-8267-62862380CF39}"/>
    <cellStyle name="Note 12 8 2" xfId="2536" xr:uid="{0B5D9A28-4C1A-4252-8E03-DB7D3FA92B53}"/>
    <cellStyle name="Note 12 9" xfId="2537" xr:uid="{18C5A97E-620F-4733-85A7-5EF0154AB4DE}"/>
    <cellStyle name="Note 12_48" xfId="2538" xr:uid="{DFF8895C-3553-483D-9C6E-6CB1DFF9A1B0}"/>
    <cellStyle name="Note 13" xfId="2539" xr:uid="{56FCED00-8BFC-45E8-BF31-928A7551A658}"/>
    <cellStyle name="Note 13 2" xfId="2540" xr:uid="{A8FCE51C-0E93-4161-96CF-3682E5076BDD}"/>
    <cellStyle name="Note 13 2 2" xfId="2541" xr:uid="{8DB7BCE0-C843-4895-AE4C-4D11804DFFCE}"/>
    <cellStyle name="Note 13 3" xfId="2542" xr:uid="{D386DE3D-CDFC-44A2-81B2-5BD0E39D107E}"/>
    <cellStyle name="Note 13 3 2" xfId="2543" xr:uid="{995F5F70-2620-4E3D-B09D-F4F1812211A2}"/>
    <cellStyle name="Note 13 4" xfId="2544" xr:uid="{018E02B2-FB2B-46B4-8929-DA6BD88FD527}"/>
    <cellStyle name="Note 13 4 2" xfId="2545" xr:uid="{2881BDBA-D390-403E-BD76-17595BBC2184}"/>
    <cellStyle name="Note 13 5" xfId="2546" xr:uid="{AA3EE47B-3236-4EE8-ACDC-10D6F1EC9D9C}"/>
    <cellStyle name="Note 13 5 2" xfId="2547" xr:uid="{F25587C5-230D-45D7-B7BA-5B7059399461}"/>
    <cellStyle name="Note 13 6" xfId="2548" xr:uid="{47228A56-A54A-4119-91E0-1FEAD078B9A9}"/>
    <cellStyle name="Note 13 6 2" xfId="2549" xr:uid="{6C9C6E53-9943-4803-B289-4B974EA8D757}"/>
    <cellStyle name="Note 13 7" xfId="2550" xr:uid="{42653B85-0153-464A-944F-B4D6C8B70EE6}"/>
    <cellStyle name="Note 13 7 2" xfId="2551" xr:uid="{914C1E93-0130-44E8-A10A-472426C00DB9}"/>
    <cellStyle name="Note 13 8" xfId="2552" xr:uid="{FFA9A495-187B-41C5-99D5-7AB478FFB4F3}"/>
    <cellStyle name="Note 13 8 2" xfId="2553" xr:uid="{AC00F2D5-8652-4E9F-8743-9700666B6E33}"/>
    <cellStyle name="Note 13 9" xfId="2554" xr:uid="{1C43912E-05DC-44DB-B602-F87830942E69}"/>
    <cellStyle name="Note 13_48" xfId="2555" xr:uid="{667B176D-CC7F-4D22-A4A6-39C1A2BF3666}"/>
    <cellStyle name="Note 14" xfId="2556" xr:uid="{4FCA7410-E6F7-4867-BA34-EB3B5BB923AE}"/>
    <cellStyle name="Note 14 2" xfId="2557" xr:uid="{5CAA82D2-2696-4E91-88A2-9BDD35271505}"/>
    <cellStyle name="Note 14 2 2" xfId="2558" xr:uid="{4F4B8762-6F90-4998-B5C3-8094D33539AD}"/>
    <cellStyle name="Note 14 3" xfId="2559" xr:uid="{EB04C3D8-20E0-413A-8647-52B0A35ED76A}"/>
    <cellStyle name="Note 14 3 2" xfId="2560" xr:uid="{BEA6706B-2ABD-49D4-A059-EAB4F319C5AB}"/>
    <cellStyle name="Note 14 4" xfId="2561" xr:uid="{9654FE55-B554-4452-8134-F4E13C5F3250}"/>
    <cellStyle name="Note 14 4 2" xfId="2562" xr:uid="{8F5A796B-4E32-46E8-9085-B16EA692837C}"/>
    <cellStyle name="Note 14 5" xfId="2563" xr:uid="{2DBCA134-CA53-421D-B157-DBE84B88E7B7}"/>
    <cellStyle name="Note 14 5 2" xfId="2564" xr:uid="{FAD1DFCA-429F-409B-B6F8-23F374651CCB}"/>
    <cellStyle name="Note 14 6" xfId="2565" xr:uid="{9A777DC3-840C-4031-8F16-4E73898E2A10}"/>
    <cellStyle name="Note 14 6 2" xfId="2566" xr:uid="{E7096325-1E6E-4332-A875-65526C2113C5}"/>
    <cellStyle name="Note 14 7" xfId="2567" xr:uid="{14CC5E5F-3FAF-4CAD-8771-A3F242756DE0}"/>
    <cellStyle name="Note 14 7 2" xfId="2568" xr:uid="{89C77E9F-851C-45D3-A67C-EC2404D86988}"/>
    <cellStyle name="Note 14 8" xfId="2569" xr:uid="{7B2A9B93-C2DF-41C7-9208-4C5A1972F5B7}"/>
    <cellStyle name="Note 14 8 2" xfId="2570" xr:uid="{50B717FC-487E-40DD-AB7C-C605FFBB9E14}"/>
    <cellStyle name="Note 14 9" xfId="2571" xr:uid="{2529EC03-E2CB-4714-A25A-4C287962E7CD}"/>
    <cellStyle name="Note 14_48" xfId="2572" xr:uid="{36E007D8-4408-4689-B391-AD33F42AE1B8}"/>
    <cellStyle name="Note 15" xfId="2573" xr:uid="{327C72A2-2AA9-4FA8-BA17-1E5465922245}"/>
    <cellStyle name="Note 15 2" xfId="2574" xr:uid="{9329DA75-F8C9-4ECE-B002-D47C4C15BB78}"/>
    <cellStyle name="Note 15 2 2" xfId="2575" xr:uid="{441DED39-2CC5-45D6-88A1-5B524A7CF622}"/>
    <cellStyle name="Note 15 3" xfId="2576" xr:uid="{8A7774CB-7C44-41CE-8B44-02C676955292}"/>
    <cellStyle name="Note 15 3 2" xfId="2577" xr:uid="{EDEB5E4B-8380-43A0-AC36-C6CB794594B2}"/>
    <cellStyle name="Note 15 4" xfId="2578" xr:uid="{CF24D401-C356-48DC-AA77-A68814BB224B}"/>
    <cellStyle name="Note 15 4 2" xfId="2579" xr:uid="{A5C012D3-28DD-49EA-B2C2-8749318564DA}"/>
    <cellStyle name="Note 15 5" xfId="2580" xr:uid="{3AE7B605-5932-48AE-95EC-90F316CDB4F1}"/>
    <cellStyle name="Note 15 5 2" xfId="2581" xr:uid="{A0D3B6BF-1C63-41CF-98F1-71DA577AB04B}"/>
    <cellStyle name="Note 15 6" xfId="2582" xr:uid="{2930959C-65C0-42E0-B7D5-763EAEDCD5AF}"/>
    <cellStyle name="Note 15 6 2" xfId="2583" xr:uid="{0DA2E75C-2C07-40D2-910D-EE39BBF01E15}"/>
    <cellStyle name="Note 15 7" xfId="2584" xr:uid="{EDDFA6F2-F63C-43B9-9982-964D553FD6D3}"/>
    <cellStyle name="Note 15 7 2" xfId="2585" xr:uid="{05B9EAA4-BE19-4990-9A5F-A9FC34EE968E}"/>
    <cellStyle name="Note 15 8" xfId="2586" xr:uid="{C45BD8B8-7D97-4E6C-8D80-AFD49D5F85B6}"/>
    <cellStyle name="Note 15 8 2" xfId="2587" xr:uid="{D4A3BCC2-7730-49E4-BF76-20720E9EB17B}"/>
    <cellStyle name="Note 15 9" xfId="2588" xr:uid="{0F2B8F9B-91D7-4576-979E-68C90CE5C9DD}"/>
    <cellStyle name="Note 15_48" xfId="2589" xr:uid="{23A3EF73-5CDF-44B1-985A-C6C4762D6FEC}"/>
    <cellStyle name="Note 16" xfId="2590" xr:uid="{A69BBD71-11D2-4718-8201-B1556812C56E}"/>
    <cellStyle name="Note 16 2" xfId="2591" xr:uid="{4A386987-B4BC-46BF-A587-667D8358C99E}"/>
    <cellStyle name="Note 16 2 2" xfId="2592" xr:uid="{4023D849-3ACC-4895-93A4-DC81E7CC7599}"/>
    <cellStyle name="Note 16 3" xfId="2593" xr:uid="{3DEC2EF9-9622-4070-A164-636FCA474CD1}"/>
    <cellStyle name="Note 16 3 2" xfId="2594" xr:uid="{EFC2FFCA-F4AD-43E5-94D0-ED4328FCE2CB}"/>
    <cellStyle name="Note 16 4" xfId="2595" xr:uid="{413D729D-8D8C-47E2-88ED-5DA026EB20FC}"/>
    <cellStyle name="Note 16 4 2" xfId="2596" xr:uid="{2AF3FD71-A955-43D0-A7FA-8B5FCCBD8A35}"/>
    <cellStyle name="Note 16 5" xfId="2597" xr:uid="{9A1A52E8-59A3-417F-8777-75E91E06C387}"/>
    <cellStyle name="Note 16 5 2" xfId="2598" xr:uid="{08DB2351-5466-44F0-A889-CF2F37F12AB9}"/>
    <cellStyle name="Note 16 6" xfId="2599" xr:uid="{04C50219-3BC8-4F8E-9374-0F248892DCCD}"/>
    <cellStyle name="Note 16 6 2" xfId="2600" xr:uid="{9F0F0702-A6A7-4515-A741-E4509747EA27}"/>
    <cellStyle name="Note 16 7" xfId="2601" xr:uid="{FB0A0E0E-5341-40B5-B568-D4F783F494DC}"/>
    <cellStyle name="Note 16 7 2" xfId="2602" xr:uid="{C0E4D3F5-9B20-4BD5-956E-73DAD4EA9374}"/>
    <cellStyle name="Note 16 8" xfId="2603" xr:uid="{F2694548-28A7-4064-B889-8BE590F445E5}"/>
    <cellStyle name="Note 16 8 2" xfId="2604" xr:uid="{C2094BDE-165A-4DC2-95B9-FC2540D87B67}"/>
    <cellStyle name="Note 16 9" xfId="2605" xr:uid="{94317690-FC9F-4204-8A6C-03453BD51963}"/>
    <cellStyle name="Note 16_48" xfId="2606" xr:uid="{5F3CD95F-FBC7-42B3-B588-0E1C569FDF4B}"/>
    <cellStyle name="Note 17" xfId="2607" xr:uid="{28215A1B-5A4B-4277-BBC6-CA88D724C847}"/>
    <cellStyle name="Note 17 2" xfId="2608" xr:uid="{51623651-332C-4C89-B0F0-48270DC408D4}"/>
    <cellStyle name="Note 17 2 2" xfId="2609" xr:uid="{C1B72B8E-B9B1-410B-A73C-14D2FC499360}"/>
    <cellStyle name="Note 17 3" xfId="2610" xr:uid="{032F7698-836F-4B05-9944-03E066168D36}"/>
    <cellStyle name="Note 17 3 2" xfId="2611" xr:uid="{98ED5C18-8A36-4E3C-9F4D-B2B5DBFCBB33}"/>
    <cellStyle name="Note 17 4" xfId="2612" xr:uid="{69A69ADB-A0FD-4536-9E79-F75501BD04EE}"/>
    <cellStyle name="Note 17 4 2" xfId="2613" xr:uid="{CC9131D4-2101-4332-B4B6-B5690C091FCC}"/>
    <cellStyle name="Note 17 5" xfId="2614" xr:uid="{FA6491F8-F946-4DC2-897B-9EE5EEFC5FB0}"/>
    <cellStyle name="Note 17 5 2" xfId="2615" xr:uid="{2542FBA6-B3DE-4690-81AA-664918CD888B}"/>
    <cellStyle name="Note 17 6" xfId="2616" xr:uid="{22B6ECEE-F1AD-4500-AF8D-27EAB2351085}"/>
    <cellStyle name="Note 17 6 2" xfId="2617" xr:uid="{6045B0C4-F93E-4087-AF47-1089C04C47B4}"/>
    <cellStyle name="Note 17 7" xfId="2618" xr:uid="{F9866E9F-25B2-4CC9-BA23-3BD26AE6C51F}"/>
    <cellStyle name="Note 17 7 2" xfId="2619" xr:uid="{85006C65-38C3-47D2-89C5-3B1E71417363}"/>
    <cellStyle name="Note 17 8" xfId="2620" xr:uid="{D09D1700-D885-418E-9A85-BC794DE0B9AC}"/>
    <cellStyle name="Note 17 8 2" xfId="2621" xr:uid="{3CAA150D-7CC4-4E3A-8408-35512F974BBD}"/>
    <cellStyle name="Note 17 9" xfId="2622" xr:uid="{F8568107-294D-49B1-ACDB-C3859FDEEB72}"/>
    <cellStyle name="Note 17_48" xfId="2623" xr:uid="{547DC6E5-74F2-4D6A-B0EA-67C07750DBFD}"/>
    <cellStyle name="Note 18" xfId="2624" xr:uid="{8641DA4C-CE6B-48DD-BACD-3AC2CC7B8690}"/>
    <cellStyle name="Note 18 2" xfId="2625" xr:uid="{6869A18E-77BE-4CC9-A33D-A753390D0557}"/>
    <cellStyle name="Note 18 2 2" xfId="2626" xr:uid="{9936DC44-9F0E-4037-BC61-FD63FE5FE57F}"/>
    <cellStyle name="Note 18 3" xfId="2627" xr:uid="{5CF6630C-EB43-4632-9350-DDA8CDF8A591}"/>
    <cellStyle name="Note 18 3 2" xfId="2628" xr:uid="{43188D8C-2F37-40E8-8C08-91F751EA6793}"/>
    <cellStyle name="Note 18 4" xfId="2629" xr:uid="{255F50ED-EAFB-4DBF-810A-F9A05F480188}"/>
    <cellStyle name="Note 18 4 2" xfId="2630" xr:uid="{ADE23FBE-4964-44BE-BCFA-9B75C05761C2}"/>
    <cellStyle name="Note 18 5" xfId="2631" xr:uid="{89E19324-6CE8-4708-97F0-A85772E597A5}"/>
    <cellStyle name="Note 18 5 2" xfId="2632" xr:uid="{4D8FF9F8-2D63-42DE-97C6-EFB7EF0B88D8}"/>
    <cellStyle name="Note 18 6" xfId="2633" xr:uid="{862C786E-B10E-433C-A87A-806A8A8D1DE0}"/>
    <cellStyle name="Note 18 6 2" xfId="2634" xr:uid="{A46822F3-A497-4295-B1BC-7D0DFD1462E5}"/>
    <cellStyle name="Note 18 7" xfId="2635" xr:uid="{0844C8E5-1BC7-4018-85C6-8826DFABB1B3}"/>
    <cellStyle name="Note 18 7 2" xfId="2636" xr:uid="{1CE09AAB-5EBC-440A-88A3-B8373AC24907}"/>
    <cellStyle name="Note 18 8" xfId="2637" xr:uid="{47820091-464B-4BD9-8062-3029E4140E8B}"/>
    <cellStyle name="Note 18 8 2" xfId="2638" xr:uid="{593AFDB0-8C10-4E5F-B815-D24D08DE9B84}"/>
    <cellStyle name="Note 18 9" xfId="2639" xr:uid="{54D17B8A-E76E-4EC4-AA12-D0806235D3B2}"/>
    <cellStyle name="Note 18_48" xfId="2640" xr:uid="{7C0C202A-2BAC-448E-8E33-0382689A2E40}"/>
    <cellStyle name="Note 19" xfId="2641" xr:uid="{305BFD6A-0555-4153-A660-90E4E32FDC45}"/>
    <cellStyle name="Note 19 2" xfId="2642" xr:uid="{1E0F80E7-2F67-41AD-A817-963169C470F3}"/>
    <cellStyle name="Note 19 2 2" xfId="2643" xr:uid="{A1AF3826-5799-4C39-8AFB-F82DC6DF535B}"/>
    <cellStyle name="Note 19 3" xfId="2644" xr:uid="{6F82B537-D2AD-4CE0-8B8B-F817C78BEBBF}"/>
    <cellStyle name="Note 19 3 2" xfId="2645" xr:uid="{B488A1E2-06FD-4FDA-B8CB-E8616B28200B}"/>
    <cellStyle name="Note 19 4" xfId="2646" xr:uid="{D3667C43-FD81-4F38-AB38-DB20F292E4DD}"/>
    <cellStyle name="Note 19 4 2" xfId="2647" xr:uid="{28F925DB-0480-405E-BE6B-ADBD1A530F1D}"/>
    <cellStyle name="Note 19 5" xfId="2648" xr:uid="{2CF5D14C-2727-4C06-9DCB-590F10477D26}"/>
    <cellStyle name="Note 19 5 2" xfId="2649" xr:uid="{A06389F7-47DE-47F7-9E40-42E545FB8C91}"/>
    <cellStyle name="Note 19 6" xfId="2650" xr:uid="{4659B9FE-CA43-4D24-9EB3-CAB7BAEC0DF1}"/>
    <cellStyle name="Note 19 6 2" xfId="2651" xr:uid="{EB1ED49A-2C11-499A-AFC4-CCD8440440F9}"/>
    <cellStyle name="Note 19 7" xfId="2652" xr:uid="{DD7F89F3-8096-40A3-82E1-5542F5E17D95}"/>
    <cellStyle name="Note 19 7 2" xfId="2653" xr:uid="{E13C2BB6-F768-4B81-95AA-879DBB7A528D}"/>
    <cellStyle name="Note 19 8" xfId="2654" xr:uid="{E05BD330-92FE-4E68-8987-C65126B35EC3}"/>
    <cellStyle name="Note 19 8 2" xfId="2655" xr:uid="{3F1F1599-3549-4636-99DB-16218D82D0F9}"/>
    <cellStyle name="Note 19 9" xfId="2656" xr:uid="{6AF6BDF6-FE71-4D0B-ACC1-463B576B331C}"/>
    <cellStyle name="Note 19_48" xfId="2657" xr:uid="{B6AFDE2D-D194-4833-9008-374A49A772EC}"/>
    <cellStyle name="Note 2" xfId="2658" xr:uid="{4F2E7022-C99D-4C30-85AF-63CC4B37C280}"/>
    <cellStyle name="Note 2 10" xfId="2659" xr:uid="{C6E16B52-4A56-4E97-BE13-B1B16138795D}"/>
    <cellStyle name="Note 2 10 2" xfId="2660" xr:uid="{4C982A61-8F66-4953-9303-46198A277AD0}"/>
    <cellStyle name="Note 2 11" xfId="2661" xr:uid="{19DC419D-7482-4B3B-BFEB-D043BD6ADA0F}"/>
    <cellStyle name="Note 2 11 2" xfId="3616" xr:uid="{092B531D-A05F-4BFA-A20F-041A65F37A3B}"/>
    <cellStyle name="Note 2 12" xfId="2662" xr:uid="{D7A92ACD-C031-4D57-84A0-2130BA209C0C}"/>
    <cellStyle name="Note 2 12 2" xfId="3617" xr:uid="{68AE22E0-0557-4A83-88EA-3A217E71D371}"/>
    <cellStyle name="Note 2 13" xfId="2663" xr:uid="{5AE57AF6-9269-4134-A5C7-55FAAC73241C}"/>
    <cellStyle name="Note 2 2" xfId="2664" xr:uid="{000A1CDF-7BD2-4DCD-A8CA-5D1AA0E2AF10}"/>
    <cellStyle name="Note 2 2 10" xfId="2665" xr:uid="{9EAE8CC7-F83C-43EF-AF2F-4ECF12F822D2}"/>
    <cellStyle name="Note 2 2 11" xfId="2666" xr:uid="{2B536352-F963-44B8-8EAA-7C3FDF7660CA}"/>
    <cellStyle name="Note 2 2 12" xfId="2667" xr:uid="{E3134EE3-664B-43E7-9717-B9E50C479405}"/>
    <cellStyle name="Note 2 2 2" xfId="2668" xr:uid="{3A51E751-51AE-49DD-99D8-8FB87523D587}"/>
    <cellStyle name="Note 2 2 2 2" xfId="2669" xr:uid="{C01F4D40-55FA-4F2D-ACB2-E136555F4657}"/>
    <cellStyle name="Note 2 2 2 2 2" xfId="2670" xr:uid="{6C9A1F8B-D869-4CB4-8615-3F3C0BD606F4}"/>
    <cellStyle name="Note 2 2 2 3" xfId="2671" xr:uid="{3F99CC86-78A9-4343-936D-5A330E6B5D56}"/>
    <cellStyle name="Note 2 2 2 3 2" xfId="2672" xr:uid="{05DE2003-923B-419D-A144-77F2918F0810}"/>
    <cellStyle name="Note 2 2 2 4" xfId="2673" xr:uid="{33F97C4A-2D34-47F6-8DD3-C29D492816E0}"/>
    <cellStyle name="Note 2 2 2 4 2" xfId="2674" xr:uid="{5F108D20-F722-496D-8792-7C1FF3A58C17}"/>
    <cellStyle name="Note 2 2 2_48" xfId="2675" xr:uid="{1418676C-7921-4852-A452-60D4493C63CC}"/>
    <cellStyle name="Note 2 2 3" xfId="2676" xr:uid="{0F3C050C-0A05-4238-9904-1EE53D1CDDF0}"/>
    <cellStyle name="Note 2 2 3 2" xfId="2677" xr:uid="{BDE1BF76-8A0A-43C4-8D42-66C91CE42A7F}"/>
    <cellStyle name="Note 2 2 4" xfId="2678" xr:uid="{A9500575-CF03-4AF4-90D0-E2FA2E2EF127}"/>
    <cellStyle name="Note 2 2 4 2" xfId="2679" xr:uid="{F444495B-9036-47AA-A738-465E718928DC}"/>
    <cellStyle name="Note 2 2 5" xfId="2680" xr:uid="{14292773-FED4-4734-A6BA-C9BC8AA5C419}"/>
    <cellStyle name="Note 2 2 5 2" xfId="2681" xr:uid="{C8F8B792-4549-4BAF-9599-A99A87BCFB5D}"/>
    <cellStyle name="Note 2 2 6" xfId="2682" xr:uid="{EDB49A22-7658-464F-A396-E75CD4BD5D4B}"/>
    <cellStyle name="Note 2 2 6 2" xfId="2683" xr:uid="{66027871-E2EC-4271-8B3A-84A69757E49C}"/>
    <cellStyle name="Note 2 2 7" xfId="2684" xr:uid="{7C030DC4-73C3-4505-AD14-622876D8085B}"/>
    <cellStyle name="Note 2 2 7 2" xfId="2685" xr:uid="{F1344BDB-8E5A-4353-BA09-64B5CA1DD514}"/>
    <cellStyle name="Note 2 2 8" xfId="2686" xr:uid="{F6CEF722-474F-4C71-A165-62E277709F15}"/>
    <cellStyle name="Note 2 2 8 2" xfId="2687" xr:uid="{4B1ED0C6-EA40-4E1D-9BAB-0C4C3FA4CF99}"/>
    <cellStyle name="Note 2 2 9" xfId="2688" xr:uid="{F73144EB-020C-434D-9BE3-D9FF1A33CFAA}"/>
    <cellStyle name="Note 2 2_41" xfId="2689" xr:uid="{7329644B-9C81-4236-BC46-003BCF9DC280}"/>
    <cellStyle name="Note 2 3" xfId="2690" xr:uid="{060952DF-44CA-4BCE-91C2-4EE9CCA61903}"/>
    <cellStyle name="Note 2 3 2" xfId="2691" xr:uid="{322CA704-EBE2-412A-A45D-B443A696E455}"/>
    <cellStyle name="Note 2 4" xfId="2692" xr:uid="{6CB26DBB-ED64-4B73-9A94-6C75FEC097D7}"/>
    <cellStyle name="Note 2 5" xfId="2693" xr:uid="{45289917-5C87-4A5B-A883-0005AA5C906B}"/>
    <cellStyle name="Note 2 6" xfId="2694" xr:uid="{B87434B0-3B01-48A5-A283-366EEDE44A9D}"/>
    <cellStyle name="Note 2 7" xfId="2695" xr:uid="{7D6E4C94-7366-4227-B902-0B5E6C38AD04}"/>
    <cellStyle name="Note 2 8" xfId="2696" xr:uid="{A6B54795-A7B8-4ED7-97BC-3783874A11A4}"/>
    <cellStyle name="Note 2 9" xfId="2697" xr:uid="{75BD90F6-4D5E-4F4C-8BAA-0764C3F8004D}"/>
    <cellStyle name="Note 2 9 2" xfId="2698" xr:uid="{B99543FE-D9C4-412C-A408-CDF202FBDECB}"/>
    <cellStyle name="Note 20" xfId="2699" xr:uid="{935C5D75-7D85-4AD0-9517-8DC575179796}"/>
    <cellStyle name="Note 20 2" xfId="2700" xr:uid="{1C80B09B-E080-4643-AF91-E2C58321651E}"/>
    <cellStyle name="Note 20 2 2" xfId="2701" xr:uid="{36A9F097-9DF0-4D60-B8FC-2C12D69D36AD}"/>
    <cellStyle name="Note 20 3" xfId="2702" xr:uid="{D9D54A2A-5454-4B24-BAAE-EAE520FB727C}"/>
    <cellStyle name="Note 20 3 2" xfId="2703" xr:uid="{CD2CFB48-A3A1-4C6F-A344-27811A417ED0}"/>
    <cellStyle name="Note 20 4" xfId="2704" xr:uid="{F81A7504-235C-46C5-9A70-6800184BE23F}"/>
    <cellStyle name="Note 20 4 2" xfId="2705" xr:uid="{13043F4A-96AD-4028-AEB8-3A80D6CD6593}"/>
    <cellStyle name="Note 20 5" xfId="2706" xr:uid="{A500F383-951A-4063-A23D-D47FFC24C729}"/>
    <cellStyle name="Note 20 5 2" xfId="2707" xr:uid="{18370CC4-588C-4475-9CB6-CE351CF1F828}"/>
    <cellStyle name="Note 20 6" xfId="2708" xr:uid="{AFE57C1A-918A-4DF5-A759-E610AFA26007}"/>
    <cellStyle name="Note 20 6 2" xfId="2709" xr:uid="{E42B1639-7349-4FAC-B302-5CD390493725}"/>
    <cellStyle name="Note 20 7" xfId="2710" xr:uid="{1739A9D7-ED11-4023-87C1-2A98357BF1C3}"/>
    <cellStyle name="Note 20 7 2" xfId="2711" xr:uid="{6F5CD296-A5E2-4A77-BE7E-90C111CF228D}"/>
    <cellStyle name="Note 20 8" xfId="2712" xr:uid="{2571B427-4745-4BA0-B1D3-A0A34C897226}"/>
    <cellStyle name="Note 20 8 2" xfId="2713" xr:uid="{6FA96737-949A-419D-B27C-8F12BE79D066}"/>
    <cellStyle name="Note 20 9" xfId="2714" xr:uid="{6C8BAE4C-0869-48C9-A215-1F948BC96BD2}"/>
    <cellStyle name="Note 20_48" xfId="2715" xr:uid="{805ED75A-F98A-4ECE-80AF-911B1FB386A7}"/>
    <cellStyle name="Note 21" xfId="2716" xr:uid="{62603560-ABC2-48E7-A696-7CFC73B96964}"/>
    <cellStyle name="Note 21 2" xfId="2717" xr:uid="{3BD7D315-FD97-4C23-83C0-3CE5CACFCF95}"/>
    <cellStyle name="Note 21 2 2" xfId="2718" xr:uid="{99BB383B-3A86-4523-8A70-BB581819A7E2}"/>
    <cellStyle name="Note 21 3" xfId="2719" xr:uid="{82D8A58A-231F-4ECC-9F37-6DC12FB21146}"/>
    <cellStyle name="Note 21 3 2" xfId="2720" xr:uid="{3342E8BA-C06B-4768-ABDE-D10DEC74E29F}"/>
    <cellStyle name="Note 21 4" xfId="2721" xr:uid="{A6543810-DCDF-4758-8212-A02CCB91AA6E}"/>
    <cellStyle name="Note 21 4 2" xfId="2722" xr:uid="{0325C1B2-763A-47F7-B3AC-0298952A4442}"/>
    <cellStyle name="Note 21 5" xfId="2723" xr:uid="{76C69EE7-DB51-4F1F-82F0-EAF723F3D95C}"/>
    <cellStyle name="Note 21 5 2" xfId="2724" xr:uid="{4594B3FD-A49A-4F4E-ACC7-0FB60DCEB452}"/>
    <cellStyle name="Note 21 6" xfId="2725" xr:uid="{3DAF9D75-0C6A-4D6C-907D-E30360472435}"/>
    <cellStyle name="Note 21 6 2" xfId="2726" xr:uid="{E2103801-924A-4E44-9A03-D7D79694127F}"/>
    <cellStyle name="Note 21 7" xfId="2727" xr:uid="{230956B7-10D7-4E30-B03E-7492E6D1FD2B}"/>
    <cellStyle name="Note 21 7 2" xfId="2728" xr:uid="{29E6E575-1D69-493D-809C-1B86C7597D3A}"/>
    <cellStyle name="Note 21 8" xfId="2729" xr:uid="{A83D5574-DEE6-4909-8038-33956BC2DB9B}"/>
    <cellStyle name="Note 21 8 2" xfId="2730" xr:uid="{D5B2C1F6-3F14-4FEE-9F2F-CEE4094E4066}"/>
    <cellStyle name="Note 21 9" xfId="2731" xr:uid="{B5DEBDAE-74E1-4C1B-B963-901C9EC6046F}"/>
    <cellStyle name="Note 21_48" xfId="2732" xr:uid="{C4D17689-7B57-48AE-A534-F7B0BC588468}"/>
    <cellStyle name="Note 22" xfId="2733" xr:uid="{21CB5D16-1445-4FC9-A786-B05E3BCC0DE0}"/>
    <cellStyle name="Note 22 2" xfId="2734" xr:uid="{0D453812-56DE-4454-BE93-1B9B561DBBD8}"/>
    <cellStyle name="Note 22 2 2" xfId="2735" xr:uid="{C18FA0A2-97B7-414A-BCB3-B9DB03790279}"/>
    <cellStyle name="Note 22 3" xfId="2736" xr:uid="{8042B56E-0E5D-409D-9EA9-D1816631F79D}"/>
    <cellStyle name="Note 22 3 2" xfId="2737" xr:uid="{B381344A-FE79-4C5C-AEC3-CFBC87C94B40}"/>
    <cellStyle name="Note 22 4" xfId="2738" xr:uid="{3C8B7222-ECFD-4FD6-83CD-987753A96337}"/>
    <cellStyle name="Note 22 4 2" xfId="2739" xr:uid="{55A7B595-9BE3-4439-969C-B638F19ADCAB}"/>
    <cellStyle name="Note 22 5" xfId="2740" xr:uid="{712ED413-E062-4507-8346-FA82208ED524}"/>
    <cellStyle name="Note 22 5 2" xfId="2741" xr:uid="{0495276F-089B-4612-BC19-99BEDA6003B6}"/>
    <cellStyle name="Note 22 6" xfId="2742" xr:uid="{8B974CD0-3000-4D23-8A3D-72CFEE76E1B6}"/>
    <cellStyle name="Note 22 6 2" xfId="2743" xr:uid="{F6686BDD-081D-4106-A3BD-FD665A9374D5}"/>
    <cellStyle name="Note 22 7" xfId="2744" xr:uid="{46035897-CE0A-4345-A12D-D3FB64DFC1E6}"/>
    <cellStyle name="Note 22 7 2" xfId="2745" xr:uid="{841FE89C-CF3D-4673-97EC-81A98FE4FA44}"/>
    <cellStyle name="Note 22 8" xfId="2746" xr:uid="{5FC0F76F-0982-4104-B5F8-F4221992A250}"/>
    <cellStyle name="Note 22 8 2" xfId="2747" xr:uid="{EF96EEF9-FC05-4F93-91D4-0DF49BB3290E}"/>
    <cellStyle name="Note 22 9" xfId="2748" xr:uid="{FCF722BE-E13C-4702-A535-51132F57BBBB}"/>
    <cellStyle name="Note 22_48" xfId="2749" xr:uid="{29D6C32E-4BE1-4909-B7D4-80FE037779B6}"/>
    <cellStyle name="Note 23" xfId="2750" xr:uid="{3D7BC47E-2822-4652-A5AB-A56BAFA9058D}"/>
    <cellStyle name="Note 23 2" xfId="2751" xr:uid="{7E358890-4833-48BD-99BB-5C157EE6B9E8}"/>
    <cellStyle name="Note 23 2 2" xfId="2752" xr:uid="{184BB21E-9CF4-4B3E-99A9-5075D4E490F1}"/>
    <cellStyle name="Note 23 3" xfId="2753" xr:uid="{D9E7E680-0A4B-4D81-9993-EE9534A4A0D0}"/>
    <cellStyle name="Note 23 3 2" xfId="2754" xr:uid="{2BEF82E7-3D8B-4870-AE6B-EEB06109EB90}"/>
    <cellStyle name="Note 23 4" xfId="2755" xr:uid="{F053DC5C-A9E8-4CBF-944E-D131F6841B3E}"/>
    <cellStyle name="Note 23 4 2" xfId="2756" xr:uid="{A2A94A86-7A7A-4D69-AB67-2CEBF9FF6527}"/>
    <cellStyle name="Note 23 5" xfId="2757" xr:uid="{72775605-A01B-4AEA-A608-18635BFDABF9}"/>
    <cellStyle name="Note 23 5 2" xfId="2758" xr:uid="{3CCDD2E8-3180-429A-8DDE-8869CD02563F}"/>
    <cellStyle name="Note 23 6" xfId="2759" xr:uid="{3981A907-3FE3-461D-93ED-14D9F6D6E6BC}"/>
    <cellStyle name="Note 23 6 2" xfId="2760" xr:uid="{C0F7DD19-87E0-4842-BD95-DF8C78F8005D}"/>
    <cellStyle name="Note 23 7" xfId="2761" xr:uid="{900C1237-B05D-408F-AFF3-960BEC57B88B}"/>
    <cellStyle name="Note 23 7 2" xfId="2762" xr:uid="{69A8352E-C1BD-406C-A7B0-1A9EE2940EB3}"/>
    <cellStyle name="Note 23 8" xfId="2763" xr:uid="{5D97223F-1A09-43D0-AA36-BD87E339862E}"/>
    <cellStyle name="Note 23 8 2" xfId="2764" xr:uid="{B408D23D-FBF4-457E-87A4-2297D004B290}"/>
    <cellStyle name="Note 23 9" xfId="2765" xr:uid="{3C4FEC71-A967-4BDA-A638-200F90FD275C}"/>
    <cellStyle name="Note 23_48" xfId="2766" xr:uid="{634E0373-C66D-48FE-8093-D24C1D2D906F}"/>
    <cellStyle name="Note 24" xfId="2767" xr:uid="{CC625AE1-F85A-4AF2-A15C-4D83687109FC}"/>
    <cellStyle name="Note 24 2" xfId="2768" xr:uid="{BD2CC9AB-2D6A-432D-AD6E-3CC6B53CD979}"/>
    <cellStyle name="Note 24 2 2" xfId="2769" xr:uid="{300F97C1-43E8-4AAC-8EA7-8AD2E6FE7348}"/>
    <cellStyle name="Note 24 3" xfId="2770" xr:uid="{998CCD43-4C35-4FC1-9E31-7290EED9307F}"/>
    <cellStyle name="Note 24 3 2" xfId="2771" xr:uid="{FEAC4AA2-1605-4C38-9BAB-F80D45925918}"/>
    <cellStyle name="Note 24 4" xfId="2772" xr:uid="{3E1956B2-4CF2-45E6-BBE0-D792DD7FAF9E}"/>
    <cellStyle name="Note 24 4 2" xfId="2773" xr:uid="{B5A852FF-B9E3-40C2-86DF-8D0038CA9FEA}"/>
    <cellStyle name="Note 24 5" xfId="2774" xr:uid="{20107CCD-76AE-441B-8E3D-94BCED15B6EB}"/>
    <cellStyle name="Note 24 5 2" xfId="2775" xr:uid="{CD71FEB7-8331-43F1-8D85-388A683FD2DB}"/>
    <cellStyle name="Note 24 6" xfId="2776" xr:uid="{64F4E495-A911-4C94-B11B-309F5C2195CF}"/>
    <cellStyle name="Note 24 6 2" xfId="2777" xr:uid="{9AE199B6-3738-4177-9D1A-FAB24EE9FF74}"/>
    <cellStyle name="Note 24 7" xfId="2778" xr:uid="{3BF63F07-4719-47E4-BED6-74888B0C81E5}"/>
    <cellStyle name="Note 24 7 2" xfId="2779" xr:uid="{CA1412E3-F899-40F0-A86B-8EDBACE3BD80}"/>
    <cellStyle name="Note 24 8" xfId="2780" xr:uid="{D218338B-367B-45AC-B024-663D9BE09933}"/>
    <cellStyle name="Note 24 8 2" xfId="2781" xr:uid="{D6915A9E-4A0A-44CB-B6A0-8E6F87AC82D0}"/>
    <cellStyle name="Note 24 9" xfId="2782" xr:uid="{0FA9F59D-FE78-456D-AB46-E11AB2871A30}"/>
    <cellStyle name="Note 24_48" xfId="2783" xr:uid="{E04B5849-4288-42C6-BF68-91CB9DED4735}"/>
    <cellStyle name="Note 25" xfId="2784" xr:uid="{76D7A232-21EA-4E3B-8C33-0A2E82C59FB5}"/>
    <cellStyle name="Note 25 2" xfId="2785" xr:uid="{27015AA6-3FC8-499C-82B8-4F72C1408097}"/>
    <cellStyle name="Note 25 2 2" xfId="2786" xr:uid="{52DDED89-A7EC-41FB-8117-7EE2D066EA68}"/>
    <cellStyle name="Note 25 3" xfId="2787" xr:uid="{BF65C7BA-E042-41E1-BD00-ACA27E23F0EA}"/>
    <cellStyle name="Note 25 3 2" xfId="2788" xr:uid="{4CCD75ED-15CC-4E38-A0D8-4E8562FE4372}"/>
    <cellStyle name="Note 25 4" xfId="2789" xr:uid="{A9A16D01-BD2B-45A2-8BFA-38126D13121D}"/>
    <cellStyle name="Note 25 4 2" xfId="2790" xr:uid="{88E39089-12CA-4030-A1B8-6694CFD00216}"/>
    <cellStyle name="Note 25 5" xfId="2791" xr:uid="{560BEB74-C8A8-40A5-B958-D3478930BE69}"/>
    <cellStyle name="Note 25 5 2" xfId="2792" xr:uid="{BD355989-CCC8-4A08-982D-6CEC8126C881}"/>
    <cellStyle name="Note 25 6" xfId="2793" xr:uid="{2B2726F3-9B17-4308-8027-584AB6F87E27}"/>
    <cellStyle name="Note 25 6 2" xfId="2794" xr:uid="{392071DA-74BF-464D-864C-306C9D7705DA}"/>
    <cellStyle name="Note 25 7" xfId="2795" xr:uid="{2273F026-D6E8-42AF-8018-79DD60B476C3}"/>
    <cellStyle name="Note 25 7 2" xfId="2796" xr:uid="{64C2614A-CAFD-4235-9CDC-87B997E6E85E}"/>
    <cellStyle name="Note 25 8" xfId="2797" xr:uid="{80C88521-5CC3-4BAC-812A-AEF64A990433}"/>
    <cellStyle name="Note 25 8 2" xfId="2798" xr:uid="{E8D59158-118A-4CB7-8CE2-8A51681C02F4}"/>
    <cellStyle name="Note 25 9" xfId="2799" xr:uid="{6E697B7E-06F8-4791-8794-87B7D593694D}"/>
    <cellStyle name="Note 26" xfId="2800" xr:uid="{CF98A06E-ADAB-4E79-B946-0AB39C487C34}"/>
    <cellStyle name="Note 26 2" xfId="2801" xr:uid="{9EB75422-DDDA-4670-930C-72F97255B983}"/>
    <cellStyle name="Note 26 2 2" xfId="2802" xr:uid="{76E3FE5D-AFCB-4502-92CE-386C3FE4AEC1}"/>
    <cellStyle name="Note 26 3" xfId="2803" xr:uid="{D9EDF32F-E845-4C63-933C-6AA02A65A1B2}"/>
    <cellStyle name="Note 26 3 2" xfId="2804" xr:uid="{86EE4348-80FD-41A6-BF0F-6EE46E45239D}"/>
    <cellStyle name="Note 26 4" xfId="2805" xr:uid="{8AD0754A-DF7C-46E5-91E1-74591788AE9D}"/>
    <cellStyle name="Note 26 4 2" xfId="2806" xr:uid="{BBE5447F-C09E-4D8E-8763-096F0353641E}"/>
    <cellStyle name="Note 26 5" xfId="2807" xr:uid="{B7CA26FA-6B05-4BA4-B3E1-6DAF7D283364}"/>
    <cellStyle name="Note 26 5 2" xfId="2808" xr:uid="{50AC168E-5115-45C5-8EFB-A09519EF13B8}"/>
    <cellStyle name="Note 26 6" xfId="2809" xr:uid="{C9E20280-568F-46BD-AF07-11F2D7226E63}"/>
    <cellStyle name="Note 26 6 2" xfId="2810" xr:uid="{C2C982D9-41CA-440F-8F8A-036E79C285D6}"/>
    <cellStyle name="Note 26 7" xfId="2811" xr:uid="{E455A817-FB4D-489C-9662-F189D357EC42}"/>
    <cellStyle name="Note 26 7 2" xfId="2812" xr:uid="{747E60F7-AB58-4E11-BE8D-407FE7D6BACF}"/>
    <cellStyle name="Note 26 8" xfId="2813" xr:uid="{1CA3934C-BF4D-42BF-90C2-A8FF958FA791}"/>
    <cellStyle name="Note 26 8 2" xfId="2814" xr:uid="{C791805A-BF65-4036-93E4-4724005DEC08}"/>
    <cellStyle name="Note 26 9" xfId="2815" xr:uid="{271C80EB-FCC4-4507-87AD-E11E8D35B7E8}"/>
    <cellStyle name="Note 27" xfId="2816" xr:uid="{9E7A80E4-090E-4DD9-A599-FDF1BAC69CF5}"/>
    <cellStyle name="Note 27 2" xfId="2817" xr:uid="{D1FF63E6-BD7D-4805-9AD4-4BF30EDB911F}"/>
    <cellStyle name="Note 27 2 2" xfId="2818" xr:uid="{00C72E00-8231-4D3F-A24B-B99620735960}"/>
    <cellStyle name="Note 27 3" xfId="2819" xr:uid="{92A5F75B-6BF2-4DA6-A46B-6FC67EA0538E}"/>
    <cellStyle name="Note 27 3 2" xfId="2820" xr:uid="{07F144CE-3158-4DCF-AA7C-B9CC06AB0263}"/>
    <cellStyle name="Note 27 4" xfId="2821" xr:uid="{202156D4-038E-4E4F-96F4-D84715A447CD}"/>
    <cellStyle name="Note 27 4 2" xfId="2822" xr:uid="{C2BF4D71-4B75-4C64-9F4D-6782F83B196C}"/>
    <cellStyle name="Note 27 5" xfId="2823" xr:uid="{D3C44255-C77C-4781-B012-058297A63D43}"/>
    <cellStyle name="Note 27 5 2" xfId="2824" xr:uid="{C4A56FE2-0CC9-4AE7-A744-50D60E0D059F}"/>
    <cellStyle name="Note 27 6" xfId="2825" xr:uid="{F7BB02AE-20F3-4E17-86BC-B137BE7A973C}"/>
    <cellStyle name="Note 27 6 2" xfId="2826" xr:uid="{C23DE1C1-D8BD-4F1A-BA0D-1497502D4AAE}"/>
    <cellStyle name="Note 27 7" xfId="2827" xr:uid="{DC0B616D-DFBF-433D-A5C2-F57A6477C0B8}"/>
    <cellStyle name="Note 27 7 2" xfId="2828" xr:uid="{AE3C141A-CA23-4D84-B2D7-6E8F88B4694E}"/>
    <cellStyle name="Note 27 8" xfId="2829" xr:uid="{3D589AF9-E33C-4B3D-B18A-B0074512F991}"/>
    <cellStyle name="Note 27 8 2" xfId="2830" xr:uid="{C60F5338-E155-45A9-AADE-90EF92D38EA7}"/>
    <cellStyle name="Note 27 9" xfId="2831" xr:uid="{B4179DD2-FC40-4C8A-AD3A-42B70701DD64}"/>
    <cellStyle name="Note 28" xfId="2832" xr:uid="{0A4E014A-7784-4FE6-9836-6DC8B5DBD96F}"/>
    <cellStyle name="Note 28 2" xfId="2833" xr:uid="{77004F63-1839-4862-9446-1843DF745827}"/>
    <cellStyle name="Note 28 2 2" xfId="2834" xr:uid="{05A95F0C-4E64-4B19-9B33-9C4DD2CF88D1}"/>
    <cellStyle name="Note 28 3" xfId="2835" xr:uid="{72838464-8F4A-4CFE-84EE-3B64C77E35DB}"/>
    <cellStyle name="Note 28 3 2" xfId="2836" xr:uid="{6AC243BB-E48E-4A97-8C85-610410128C89}"/>
    <cellStyle name="Note 28 4" xfId="2837" xr:uid="{3541CD8E-EC36-4199-A0BD-EFAA18722E04}"/>
    <cellStyle name="Note 28 4 2" xfId="2838" xr:uid="{7C0DE8E9-AC06-4CA4-8595-29725A7805CC}"/>
    <cellStyle name="Note 28 5" xfId="2839" xr:uid="{FBB550F8-6F0A-4149-A9F3-74AF79F92FCA}"/>
    <cellStyle name="Note 28 5 2" xfId="2840" xr:uid="{B7CBF237-F345-4B1F-AD2A-D569A5235EA6}"/>
    <cellStyle name="Note 28 6" xfId="2841" xr:uid="{8348BAA7-02D4-4114-B9F7-3CE9FC06957A}"/>
    <cellStyle name="Note 28 6 2" xfId="2842" xr:uid="{D48CEDE4-6A96-4C3D-B995-8723AFF22D1C}"/>
    <cellStyle name="Note 28 7" xfId="2843" xr:uid="{0464B94F-2995-4250-B34F-3B5CA53BCB4A}"/>
    <cellStyle name="Note 28 7 2" xfId="2844" xr:uid="{BCE76433-2FD0-483D-B342-9760EFAE8F75}"/>
    <cellStyle name="Note 28 8" xfId="2845" xr:uid="{E10E27B5-40E2-436C-90DD-8E8E0F35C987}"/>
    <cellStyle name="Note 28 8 2" xfId="2846" xr:uid="{4D1D0386-C3AA-4DA9-9FA4-04B75E6707F2}"/>
    <cellStyle name="Note 28 9" xfId="2847" xr:uid="{0265BEAA-5B3C-4E37-B2BF-2662EFA23604}"/>
    <cellStyle name="Note 29" xfId="2848" xr:uid="{8257AD92-B924-442E-A8C7-8E6FB01BAC93}"/>
    <cellStyle name="Note 3" xfId="2849" xr:uid="{6CF0045C-701D-479F-A7E2-2E9DD4C158B9}"/>
    <cellStyle name="Note 3 10" xfId="2850" xr:uid="{ADD3B09A-C663-4ECF-BA1F-2B6E234B4306}"/>
    <cellStyle name="Note 3 2" xfId="2851" xr:uid="{5BBBC2BD-EF1E-4F22-A1EF-7DAE7E0FC5CA}"/>
    <cellStyle name="Note 3 2 2" xfId="2852" xr:uid="{34DE000E-ACE5-4AC4-ADAE-13F1C4278CC5}"/>
    <cellStyle name="Note 3 2 3" xfId="2853" xr:uid="{7D03757C-F746-4E33-B691-83DA5DA475B6}"/>
    <cellStyle name="Note 3 3" xfId="2854" xr:uid="{10CE3812-BB1D-445C-810C-7A171701014B}"/>
    <cellStyle name="Note 3 3 2" xfId="2855" xr:uid="{666B93B3-ABB5-4D11-ACCB-310BCEF9DA6A}"/>
    <cellStyle name="Note 3 4" xfId="2856" xr:uid="{AB86D32E-8F68-4BF7-8D8B-348E5C832393}"/>
    <cellStyle name="Note 3 4 2" xfId="2857" xr:uid="{D8CB9323-4EC1-492C-A03A-F5D6AB4B00C7}"/>
    <cellStyle name="Note 3 5" xfId="2858" xr:uid="{475C377C-5CE1-4BDD-A987-F4D2DAF86DB0}"/>
    <cellStyle name="Note 3 5 2" xfId="2859" xr:uid="{FEA8F84A-A69D-4583-9280-740679E38001}"/>
    <cellStyle name="Note 3 6" xfId="2860" xr:uid="{8B61F933-5B9E-4A9A-8F7C-D7D61FB05FBB}"/>
    <cellStyle name="Note 3 6 2" xfId="2861" xr:uid="{373CC8B2-028F-412D-946F-DF8C9CE62F79}"/>
    <cellStyle name="Note 3 7" xfId="2862" xr:uid="{5D9DA95C-BACC-4E01-9229-111DF542F9AC}"/>
    <cellStyle name="Note 3 7 2" xfId="2863" xr:uid="{9B296274-76AA-4452-9560-86C452A10600}"/>
    <cellStyle name="Note 3 8" xfId="2864" xr:uid="{2444B38D-AF76-4BF2-B24B-37A33928F947}"/>
    <cellStyle name="Note 3 8 2" xfId="2865" xr:uid="{55EEC30C-0B85-41D8-837D-FCB9F045A9D1}"/>
    <cellStyle name="Note 3 9" xfId="2866" xr:uid="{AA33D3FD-1B20-434A-AD55-738F6C0843DE}"/>
    <cellStyle name="Note 3 9 2" xfId="10724" xr:uid="{27C85BD8-A940-45F4-8553-2A7ACFCDCE87}"/>
    <cellStyle name="Note 3_41" xfId="2867" xr:uid="{C2BDF94E-D4AF-44BE-9670-810F01894A08}"/>
    <cellStyle name="Note 4" xfId="2868" xr:uid="{D4A5034D-BCD1-4320-8430-603BB614FF28}"/>
    <cellStyle name="Note 4 2" xfId="2869" xr:uid="{69BE3F02-A2F1-4833-8227-22B4DCE7F926}"/>
    <cellStyle name="Note 4 2 2" xfId="2870" xr:uid="{0267D2E4-A32B-4147-A92C-F1F42DBB2EF4}"/>
    <cellStyle name="Note 4 3" xfId="2871" xr:uid="{6E2D5020-5D15-4A18-9E55-A5E7F7AE2B33}"/>
    <cellStyle name="Note 4 3 2" xfId="2872" xr:uid="{70334659-0C98-4C9B-B0AB-35183F8D3651}"/>
    <cellStyle name="Note 4 4" xfId="2873" xr:uid="{F9936910-5801-4118-A95A-8E8753F331CD}"/>
    <cellStyle name="Note 4 4 2" xfId="2874" xr:uid="{53429667-33C1-46C2-AEFC-68E113DDFC2D}"/>
    <cellStyle name="Note 4 5" xfId="2875" xr:uid="{360433E4-83C5-40B9-A9A5-FD3A709F56A9}"/>
    <cellStyle name="Note 4 5 2" xfId="2876" xr:uid="{63385DEC-E686-4626-A3F6-EC3F51FCF765}"/>
    <cellStyle name="Note 4 6" xfId="2877" xr:uid="{F8A072A6-B4BA-4626-BA99-8B68052F1455}"/>
    <cellStyle name="Note 4 6 2" xfId="2878" xr:uid="{153B2C54-3C38-41EE-92B1-6BC6EF9C272A}"/>
    <cellStyle name="Note 4 7" xfId="2879" xr:uid="{41C4CBC5-1316-42AB-BE47-3DBD430CFE46}"/>
    <cellStyle name="Note 4 7 2" xfId="2880" xr:uid="{A67A63B5-3BB7-4531-8176-D33A36A7C372}"/>
    <cellStyle name="Note 4 8" xfId="2881" xr:uid="{B923CEE1-99E8-476C-AE77-985193349F60}"/>
    <cellStyle name="Note 4 8 2" xfId="2882" xr:uid="{ABEEE160-481A-4C48-B6B9-6B9F8F2F903B}"/>
    <cellStyle name="Note 4 9" xfId="2883" xr:uid="{BC47F40E-7B79-4120-9389-D222C3081DDA}"/>
    <cellStyle name="Note 5" xfId="2884" xr:uid="{7A50D71E-3E52-49C3-A32B-410BBF41AAD7}"/>
    <cellStyle name="Note 5 2" xfId="2885" xr:uid="{088BF375-FE92-474F-B7D0-6970E0AF2F01}"/>
    <cellStyle name="Note 5 2 2" xfId="2886" xr:uid="{DA14C132-93D5-4516-9CBF-D35CA00C0BBA}"/>
    <cellStyle name="Note 5 3" xfId="2887" xr:uid="{A708F354-8F35-41E5-BF60-21D6AFA06427}"/>
    <cellStyle name="Note 5 3 2" xfId="2888" xr:uid="{992D7F21-BE8D-40D4-8944-7F9219F510E3}"/>
    <cellStyle name="Note 5 4" xfId="2889" xr:uid="{C1ABFB22-8BEA-4544-AB72-129C3A79F6E7}"/>
    <cellStyle name="Note 5 4 2" xfId="2890" xr:uid="{8C0C6515-ED0F-49DC-875A-435D2ED6162D}"/>
    <cellStyle name="Note 5 5" xfId="2891" xr:uid="{965EE122-0594-46EF-B123-4852A43FB516}"/>
    <cellStyle name="Note 5 5 2" xfId="2892" xr:uid="{4EBF63A9-36F9-482C-9B40-FD6588A3B19F}"/>
    <cellStyle name="Note 5 6" xfId="2893" xr:uid="{5FAD59E8-F86B-4768-ADE1-B50A19FCF761}"/>
    <cellStyle name="Note 5 6 2" xfId="2894" xr:uid="{8DC92B96-A299-400E-8B82-3D30124AEE18}"/>
    <cellStyle name="Note 5 7" xfId="2895" xr:uid="{4927C5E5-C2C4-4711-843B-AFA139AFC3CF}"/>
    <cellStyle name="Note 5 7 2" xfId="2896" xr:uid="{1912C3A7-0C1D-47B1-91ED-DFBAFA85D51C}"/>
    <cellStyle name="Note 5 8" xfId="2897" xr:uid="{A0A32FFB-FB7E-40F4-AFC4-90F09F2F5EF9}"/>
    <cellStyle name="Note 5 8 2" xfId="2898" xr:uid="{2644FF63-D0BA-4872-A86B-5679C2BAD9CF}"/>
    <cellStyle name="Note 5 9" xfId="2899" xr:uid="{62843160-517C-4E15-A941-B54C9BE2D6B9}"/>
    <cellStyle name="Note 6" xfId="2900" xr:uid="{C0FDEA58-B071-42CD-8CCD-C92B175F83C6}"/>
    <cellStyle name="Note 6 2" xfId="2901" xr:uid="{46AA0C27-E411-4D05-A3B5-E07D6A45B252}"/>
    <cellStyle name="Note 6 2 2" xfId="2902" xr:uid="{8DF02B79-C7A2-45E7-B21E-1B8659CE007D}"/>
    <cellStyle name="Note 6 3" xfId="2903" xr:uid="{96D1BEDF-FC31-4E08-808F-32EA0E644940}"/>
    <cellStyle name="Note 6 3 2" xfId="2904" xr:uid="{30223996-816A-4308-A484-8C9851F38723}"/>
    <cellStyle name="Note 6 4" xfId="2905" xr:uid="{B67EB477-7B17-4BF6-A908-B8EC47938BAF}"/>
    <cellStyle name="Note 6 4 2" xfId="2906" xr:uid="{00534EF1-220F-4B50-AED7-93E827AD5B98}"/>
    <cellStyle name="Note 6 5" xfId="2907" xr:uid="{43B48427-67A8-4E80-9AE1-266D86CED5B9}"/>
    <cellStyle name="Note 6 5 2" xfId="2908" xr:uid="{09B3E091-4AA3-4C9F-8F84-071D17B8EFD1}"/>
    <cellStyle name="Note 6 6" xfId="2909" xr:uid="{A159F222-F1DA-46B7-A681-F7E44A6A278E}"/>
    <cellStyle name="Note 6 6 2" xfId="2910" xr:uid="{42C56626-6F86-4F68-BB15-7EB07B66DDE4}"/>
    <cellStyle name="Note 6 7" xfId="2911" xr:uid="{F78101E5-292A-4EFD-98C5-19881C1E159C}"/>
    <cellStyle name="Note 6 7 2" xfId="2912" xr:uid="{4A4F07A8-34AD-4EDE-A8FE-2527DA1E5DC2}"/>
    <cellStyle name="Note 6 8" xfId="2913" xr:uid="{699B7538-0F21-402C-AB00-7648B2534D0B}"/>
    <cellStyle name="Note 6 8 2" xfId="2914" xr:uid="{DDEEC536-F203-44F9-8476-131C609CBD47}"/>
    <cellStyle name="Note 6 9" xfId="2915" xr:uid="{D400D308-290A-4632-9880-4766FB727D03}"/>
    <cellStyle name="Note 7" xfId="2916" xr:uid="{E304D426-E499-49B5-997D-058F210F43A5}"/>
    <cellStyle name="Note 7 2" xfId="2917" xr:uid="{A040A218-EE7C-4D10-8591-9B668E0D0E43}"/>
    <cellStyle name="Note 7 2 2" xfId="2918" xr:uid="{90CABF52-BD76-4676-9CC5-D06685A50CF1}"/>
    <cellStyle name="Note 7 3" xfId="2919" xr:uid="{8379F2BA-7564-4FA4-83B6-1B6A01EB7C5B}"/>
    <cellStyle name="Note 7 3 2" xfId="2920" xr:uid="{AFF5A608-489A-4D4D-934F-5DC0FE4F14BA}"/>
    <cellStyle name="Note 7 4" xfId="2921" xr:uid="{E3E432C3-EC56-40C0-81DA-9926A66E59DF}"/>
    <cellStyle name="Note 7 4 2" xfId="2922" xr:uid="{00A8D6D9-EA7C-4D85-8CC2-3B64B6944E31}"/>
    <cellStyle name="Note 7 5" xfId="2923" xr:uid="{F6D11D91-91E3-49BD-88DC-D4712B3F11D9}"/>
    <cellStyle name="Note 7 5 2" xfId="2924" xr:uid="{93C4A51B-7347-4888-AB59-9E2527286A8B}"/>
    <cellStyle name="Note 7 6" xfId="2925" xr:uid="{1A6BBB58-293A-40BD-BDCF-6343BB66B82B}"/>
    <cellStyle name="Note 7 6 2" xfId="2926" xr:uid="{9D1ED147-6D61-4B9F-8A53-D3FA2AED9945}"/>
    <cellStyle name="Note 7 7" xfId="2927" xr:uid="{61AD2A20-97EB-4628-A43E-8ECD0C432E4A}"/>
    <cellStyle name="Note 7 7 2" xfId="2928" xr:uid="{25F6F856-8549-46AC-BEA5-F78A5F885A4F}"/>
    <cellStyle name="Note 7 8" xfId="2929" xr:uid="{062552AA-408A-4C65-B6FB-04C2C65F46BD}"/>
    <cellStyle name="Note 7 8 2" xfId="2930" xr:uid="{C6D26F19-5262-4B41-AE2A-28D4765BBB35}"/>
    <cellStyle name="Note 7 9" xfId="2931" xr:uid="{68E8C0ED-4D7E-4C6E-885E-121B0F1D8B12}"/>
    <cellStyle name="Note 8" xfId="2932" xr:uid="{B3D9EC26-0D52-4374-85D6-7B9AB0A4234B}"/>
    <cellStyle name="Note 8 2" xfId="2933" xr:uid="{766041AD-3B88-4642-8530-F0891D377E28}"/>
    <cellStyle name="Note 8 2 2" xfId="2934" xr:uid="{B863F9B0-1596-4D66-9D24-66FD53CB61F5}"/>
    <cellStyle name="Note 8 3" xfId="2935" xr:uid="{4D59470E-6EFB-40D8-8CC5-36182B0C6F7A}"/>
    <cellStyle name="Note 8 3 2" xfId="2936" xr:uid="{2053C164-3A23-4DDA-9F4A-07C3AB1414B7}"/>
    <cellStyle name="Note 8 4" xfId="2937" xr:uid="{44F27005-160A-4A61-810D-0AAC54E9A653}"/>
    <cellStyle name="Note 8 4 2" xfId="2938" xr:uid="{09CCB0DA-5247-4FED-B5DA-43E5E61992ED}"/>
    <cellStyle name="Note 8 5" xfId="2939" xr:uid="{93421B22-1062-4A9A-BD29-B9CDDDD73F3F}"/>
    <cellStyle name="Note 8 5 2" xfId="2940" xr:uid="{52CBF728-3A11-4A50-B456-AA25A8120146}"/>
    <cellStyle name="Note 8 6" xfId="2941" xr:uid="{1DC03569-9FC3-4B47-92C6-46F5CA0D7B9B}"/>
    <cellStyle name="Note 8 6 2" xfId="2942" xr:uid="{B5781B0D-5B51-41A3-9847-E052FC2D69D6}"/>
    <cellStyle name="Note 8 7" xfId="2943" xr:uid="{095D2325-A430-4A46-A3E3-B57270374756}"/>
    <cellStyle name="Note 8 7 2" xfId="2944" xr:uid="{71813507-70EA-48E7-AB24-AAC8EEF2AB82}"/>
    <cellStyle name="Note 8 8" xfId="2945" xr:uid="{124DA00E-AF12-4AB9-988F-E66BD8F5BEF8}"/>
    <cellStyle name="Note 8 8 2" xfId="2946" xr:uid="{B6DA3F7D-9E48-4F96-AE23-B48D575CB556}"/>
    <cellStyle name="Note 8 9" xfId="2947" xr:uid="{10579CEF-2B68-43A4-87D1-4CD11496767C}"/>
    <cellStyle name="Note 9" xfId="2948" xr:uid="{A1CD013E-3906-40F5-ACD3-BE3F3499939C}"/>
    <cellStyle name="Note 9 2" xfId="2949" xr:uid="{89B9CCF3-3F3F-4A9B-A779-0C16CC9798E4}"/>
    <cellStyle name="Note 9 2 2" xfId="2950" xr:uid="{1A99CEAD-9DFD-466C-9FC8-7D43E8CA25B0}"/>
    <cellStyle name="Note 9 3" xfId="2951" xr:uid="{D6943E5B-A02F-4F11-B18A-C3874271087D}"/>
    <cellStyle name="Note 9 3 2" xfId="2952" xr:uid="{7789ADA3-49E5-4F1F-AB7B-24CBBE13E35D}"/>
    <cellStyle name="Note 9 4" xfId="2953" xr:uid="{0D2B32B3-902F-41CC-90D7-A542D19EDA19}"/>
    <cellStyle name="Note 9 4 2" xfId="2954" xr:uid="{351B1F04-AF4C-4C04-875B-A68EA3D19C29}"/>
    <cellStyle name="Note 9 5" xfId="2955" xr:uid="{8F7A2A26-7F34-4D48-BC2B-09B051EFD804}"/>
    <cellStyle name="Note 9 5 2" xfId="2956" xr:uid="{29686FB8-4F3B-43D3-BA85-DCF5DB369B23}"/>
    <cellStyle name="Note 9 6" xfId="2957" xr:uid="{928D2F20-0DBA-4F20-9346-5EC20A57314B}"/>
    <cellStyle name="Note 9 6 2" xfId="2958" xr:uid="{112EAB64-255C-4036-8E45-DF2F0C557C84}"/>
    <cellStyle name="Note 9 7" xfId="2959" xr:uid="{DE2DDB03-2506-4D89-B3FE-FBAE6811C668}"/>
    <cellStyle name="Note 9 7 2" xfId="2960" xr:uid="{BD5AB75C-1342-42B8-B46F-9F2C90E63882}"/>
    <cellStyle name="Note 9 8" xfId="2961" xr:uid="{A0C7BBF5-DD23-4104-94E3-C07A3A02E3C9}"/>
    <cellStyle name="Note 9 8 2" xfId="2962" xr:uid="{E8D14FC2-14A3-4C23-97C9-2450A4EF72B7}"/>
    <cellStyle name="Note 9 9" xfId="2963" xr:uid="{BAB1EA07-B208-43DA-AF73-202C94294B98}"/>
    <cellStyle name="Notehead" xfId="2964" xr:uid="{4B8C40CF-8EB8-459C-83B7-0FF9C0139C31}"/>
    <cellStyle name="Notes" xfId="2965" xr:uid="{63EE50E3-3D64-45B7-B7B5-78A1C9291A24}"/>
    <cellStyle name="Notes 2" xfId="2966" xr:uid="{7EB36E21-5DF4-4BFD-B56F-3EE86F95E5E9}"/>
    <cellStyle name="Notes_~2153298" xfId="10725" xr:uid="{2688B087-018F-421B-A02B-DC1ABD6A0908}"/>
    <cellStyle name="Number" xfId="2967" xr:uid="{CFA221BF-6E43-441F-8C30-58046AA95BD2}"/>
    <cellStyle name="Number4DecimalStyle" xfId="2968" xr:uid="{BFACCBF4-A3A4-40D7-AEA4-FB325F855A66}"/>
    <cellStyle name="Number5DecimalStyle" xfId="2969" xr:uid="{133CB7BC-2F62-42A7-8590-6ABC979F2703}"/>
    <cellStyle name="NZD" xfId="2970" xr:uid="{466DA70B-921B-483D-802C-8DBF3D8E2B85}"/>
    <cellStyle name="NZD 2" xfId="2971" xr:uid="{FE30D24E-C6BE-4F73-B04F-FFD5369E1CB5}"/>
    <cellStyle name="NZD 3" xfId="2972" xr:uid="{E360893A-737C-46D3-A70A-14BEE68135C4}"/>
    <cellStyle name="NZD 4" xfId="10726" xr:uid="{7794DAA9-27B1-48B9-BB4E-091DB9825A6E}"/>
    <cellStyle name="NZD_~2153298" xfId="10727" xr:uid="{0A08C197-C154-4B1C-A32B-F686E1BB1611}"/>
    <cellStyle name="OddBodyShade" xfId="10728" xr:uid="{99A4945E-54D7-4265-819B-2AB100FB4564}"/>
    <cellStyle name="OddBodyShade 2" xfId="10729" xr:uid="{B970560D-DFBC-4AEB-B977-123E5EB3BBBA}"/>
    <cellStyle name="Œ…‹æØ‚è [0.00]_07-96" xfId="2973" xr:uid="{5CC4DCF0-2CA4-4B2E-9C11-9DFEE5C5A900}"/>
    <cellStyle name="Œ…‹æØ‚è_07-96" xfId="2974" xr:uid="{B249E273-E1E8-499C-B003-B0C318922E22}"/>
    <cellStyle name="OfWhich" xfId="2975" xr:uid="{34FCA48E-1F78-4AD8-9184-B8558BD47843}"/>
    <cellStyle name="OfWhich 2" xfId="11440" xr:uid="{67D156FC-BB45-4A46-9151-6AD18A7326D0}"/>
    <cellStyle name="optionalExposure" xfId="10730" xr:uid="{F470984D-CDFD-4AE3-9D65-6A916B336182}"/>
    <cellStyle name="optionalMaturity" xfId="10731" xr:uid="{12328EA8-4A94-46ED-9EC8-8776E390ECCF}"/>
    <cellStyle name="optionalPD" xfId="10732" xr:uid="{74FF9DEB-6124-474F-A562-11C6BEEAD0CA}"/>
    <cellStyle name="optionalPercentage" xfId="10733" xr:uid="{099E1449-AA73-46ED-A1F8-04D33C015C42}"/>
    <cellStyle name="optionalSelection" xfId="10734" xr:uid="{91FB2545-3FD5-4395-9485-F8E7108C55EA}"/>
    <cellStyle name="optionalText" xfId="10735" xr:uid="{29514E62-80E0-46A5-9216-F8D993A64B75}"/>
    <cellStyle name="Output" xfId="16" builtinId="21" customBuiltin="1"/>
    <cellStyle name="Output 2" xfId="2976" xr:uid="{224A155E-FCFD-4F7E-99F5-3F3868532BE2}"/>
    <cellStyle name="Output 2 2" xfId="2977" xr:uid="{705D2EC4-9F24-46CA-8A01-CD2CF14EF02D}"/>
    <cellStyle name="Output 2 2 2" xfId="2978" xr:uid="{C3E9CE16-BAD3-4470-A858-78B4D3A67E78}"/>
    <cellStyle name="Output 2 3" xfId="2979" xr:uid="{B0FA9A38-6C20-43AE-815F-6AF3AAB213E5}"/>
    <cellStyle name="Output 2 4" xfId="2980" xr:uid="{3560B192-BB19-4167-A534-DE48B60F93D0}"/>
    <cellStyle name="Output 2 5" xfId="2981" xr:uid="{FBC6092E-F16F-482E-84F0-5D1783BA4FCA}"/>
    <cellStyle name="Output 2 5 2" xfId="3618" xr:uid="{4784C244-E00E-4FEC-A1C8-13D6EFE322C9}"/>
    <cellStyle name="Output 2 6" xfId="2982" xr:uid="{6BFEACA3-F4CA-4230-B90E-AEC8084BF638}"/>
    <cellStyle name="Output 3" xfId="2983" xr:uid="{44AFB0CB-86D5-4982-83C8-5504E08FE472}"/>
    <cellStyle name="Output 3 2" xfId="2984" xr:uid="{8129FC8D-D23E-45D2-8310-445DC00596A8}"/>
    <cellStyle name="Output 3 3" xfId="3619" xr:uid="{96A3E2FB-8600-47E2-947C-DAC9B7FAD08E}"/>
    <cellStyle name="OUTPUT AMOUNTS" xfId="2985" xr:uid="{A357E3E1-EF79-49BA-8A09-AABDF0B23AB1}"/>
    <cellStyle name="OUTPUT AMOUNTS 2" xfId="10736" xr:uid="{35DE6B8F-B0EA-4EB8-9C38-ED9FB0F831C8}"/>
    <cellStyle name="OUTPUT COLUMN HEADINGS" xfId="2986" xr:uid="{DA029043-9E44-492A-8B25-257AA4E8603E}"/>
    <cellStyle name="OUTPUT COLUMN HEADINGS 2" xfId="10737" xr:uid="{B331DE8E-57D0-49EF-AF5A-962096591412}"/>
    <cellStyle name="Output Company Name" xfId="2987" xr:uid="{E2ABDF13-8E2D-4947-9BF2-8D25CD5FA327}"/>
    <cellStyle name="Output Company Name 2" xfId="10738" xr:uid="{D12FC920-4CFA-4E67-BDFF-CD3F8CD9558F}"/>
    <cellStyle name="Output Company Name 3" xfId="10739" xr:uid="{9AC95B6B-587F-4F3C-BC2E-89AA0C2F05F5}"/>
    <cellStyle name="Output Company Name 3 2" xfId="10740" xr:uid="{3D06F6B9-29B8-47AC-A82B-030BDBA7EBCF}"/>
    <cellStyle name="Output Company Name 4" xfId="10741" xr:uid="{08187D4C-4351-45F2-84C2-C55E0E3AB084}"/>
    <cellStyle name="Output Company Name 5" xfId="10742" xr:uid="{BB39CEDB-7AA0-4FA5-99BC-ED1F24B8FFC8}"/>
    <cellStyle name="Output Company Name_1.0 HFM data" xfId="10743" xr:uid="{480CB16F-61F4-4C29-ACA4-68F0B399977A}"/>
    <cellStyle name="Output Forecast Currency" xfId="2988" xr:uid="{D4300B86-B35E-4C01-816B-649145F94701}"/>
    <cellStyle name="Output Forecast Currency 2" xfId="10744" xr:uid="{6205AE0A-3591-4E50-BD68-278AD9897ED1}"/>
    <cellStyle name="Output Forecast Currency 3" xfId="10745" xr:uid="{54C84E48-9ACF-47E6-8A9B-DCE67FEB27B7}"/>
    <cellStyle name="Output Forecast Currency 3 2" xfId="10746" xr:uid="{F45EE67F-612E-4F76-B08D-BA14EFE7B349}"/>
    <cellStyle name="Output Forecast Currency 4" xfId="10747" xr:uid="{87918685-8DE1-4E8D-9DFD-AFE0530B69CC}"/>
    <cellStyle name="Output Forecast Currency 5" xfId="10748" xr:uid="{C367DBA7-6F02-41B9-800A-0ECAC49A2572}"/>
    <cellStyle name="Output Forecast Currency_1.0 HFM data" xfId="10749" xr:uid="{4A65C418-A897-49AA-B8F5-83ED94C9414D}"/>
    <cellStyle name="Output Forecast Date" xfId="2989" xr:uid="{91A2DDAB-E1E7-4D1C-892E-256C192B46D1}"/>
    <cellStyle name="Output Forecast Date 2" xfId="10750" xr:uid="{EC76BC5F-1B9B-4626-9D3A-4B9900993558}"/>
    <cellStyle name="Output Forecast Date 3" xfId="10751" xr:uid="{E4A77F97-F38D-4CD8-AAB2-90478F0DFDF6}"/>
    <cellStyle name="Output Forecast Date 3 2" xfId="10752" xr:uid="{B6BF634C-CF0A-4928-B7D5-608A7811DF2D}"/>
    <cellStyle name="Output Forecast Date 4" xfId="10753" xr:uid="{DCE291B7-72FE-44BF-B439-74179CC1D170}"/>
    <cellStyle name="Output Forecast Date 5" xfId="10754" xr:uid="{11DF2ED2-AB1B-4677-8C9C-DFB12BDDA376}"/>
    <cellStyle name="Output Forecast Date_1.0 HFM data" xfId="10755" xr:uid="{1817DECA-8E11-4EB3-BD9E-16E9A684D13C}"/>
    <cellStyle name="Output Forecast Multiple" xfId="2990" xr:uid="{A91F8D5D-D528-4DFB-8D34-84F19E254B7D}"/>
    <cellStyle name="Output Forecast Multiple 2" xfId="10756" xr:uid="{180AA0E1-B935-49A0-9B37-EDD1D2FE4D71}"/>
    <cellStyle name="Output Forecast Multiple 3" xfId="10757" xr:uid="{9031CAAA-2DFC-4A52-A6A5-8209C354E6D5}"/>
    <cellStyle name="Output Forecast Multiple 3 2" xfId="10758" xr:uid="{6CB9D10A-E33C-48A9-90F5-87624E8055A2}"/>
    <cellStyle name="Output Forecast Multiple 4" xfId="10759" xr:uid="{DFBCA8C8-1658-443C-9526-E9ABA200309F}"/>
    <cellStyle name="Output Forecast Multiple 5" xfId="10760" xr:uid="{D1D7A354-D097-4F9E-BFE1-AE93C242D52D}"/>
    <cellStyle name="Output Forecast Multiple_1.0 HFM data" xfId="10761" xr:uid="{B8C9ABBA-4EB7-4925-89BE-A31E874CC0F4}"/>
    <cellStyle name="Output Forecast Number" xfId="2991" xr:uid="{D6EAF46F-14EE-47F7-BCF6-E004B8DB45F8}"/>
    <cellStyle name="Output Forecast Number 2" xfId="10762" xr:uid="{F5CD3D7B-3ECF-4D6D-B48E-0A67FCD5DF54}"/>
    <cellStyle name="Output Forecast Number 3" xfId="10763" xr:uid="{C06EF616-258F-4767-9435-D09C1BE8E2FC}"/>
    <cellStyle name="Output Forecast Number 3 2" xfId="10764" xr:uid="{36DD765E-F3B0-482C-B983-2509235A1C3B}"/>
    <cellStyle name="Output Forecast Number 4" xfId="10765" xr:uid="{62222208-7729-4F11-85E8-3F543C9F3996}"/>
    <cellStyle name="Output Forecast Number 5" xfId="10766" xr:uid="{B59231A3-873A-4DCE-AF18-9BCC27863288}"/>
    <cellStyle name="Output Forecast Number_1.0 HFM data" xfId="10767" xr:uid="{B37669EC-77D6-4E22-89E9-D1B271DD619C}"/>
    <cellStyle name="Output Forecast Percentage" xfId="2992" xr:uid="{BF44B808-9EA4-41A2-A131-8CB4875028EF}"/>
    <cellStyle name="Output Forecast Percentage 2" xfId="10768" xr:uid="{1344FBC7-97D0-434C-88F4-3B82588455AF}"/>
    <cellStyle name="Output Forecast Percentage 3" xfId="10769" xr:uid="{4CD655D7-B507-4E4A-A43D-26280A49CA8A}"/>
    <cellStyle name="Output Forecast Percentage 3 2" xfId="10770" xr:uid="{3AB9792E-847C-447B-85E1-FFA22C6D6972}"/>
    <cellStyle name="Output Forecast Percentage 4" xfId="10771" xr:uid="{01A72C6B-1DE8-48B0-869A-CF070EA11AAF}"/>
    <cellStyle name="Output Forecast Percentage 5" xfId="10772" xr:uid="{E6F0C6AB-0C04-4EAA-BD38-D34AC060DDEE}"/>
    <cellStyle name="Output Forecast Percentage_1.0 HFM data" xfId="10773" xr:uid="{732E04A8-F15B-4A77-A807-D7EF8434FD24}"/>
    <cellStyle name="Output Forecast Period Title" xfId="2993" xr:uid="{69E1A089-AB04-4D61-ABEE-DF4233B6E00D}"/>
    <cellStyle name="Output Forecast Period Title 2" xfId="10774" xr:uid="{D5896A72-CFF8-4C63-8C3B-937B05853C77}"/>
    <cellStyle name="Output Forecast Period Title 3" xfId="10775" xr:uid="{DABC6BFA-6A3F-487A-BB68-8046471AF6D8}"/>
    <cellStyle name="Output Forecast Period Title 3 2" xfId="10776" xr:uid="{BE9ABC69-6DE5-41DF-AAFF-7989BAA05B25}"/>
    <cellStyle name="Output Forecast Period Title 4" xfId="10777" xr:uid="{42D778DD-D020-4CA3-80AE-A98BAA89E375}"/>
    <cellStyle name="Output Forecast Period Title 5" xfId="10778" xr:uid="{2349494E-BEE4-401A-9BDE-F2A434CF00F6}"/>
    <cellStyle name="Output Forecast Period Title_1.0 HFM data" xfId="10779" xr:uid="{56B6BE16-2270-4259-B7CB-8C9486805CC8}"/>
    <cellStyle name="Output Forecast Year" xfId="2994" xr:uid="{BD9817E6-EB1B-4ECD-980A-739E7E782FC1}"/>
    <cellStyle name="Output Forecast Year 2" xfId="10780" xr:uid="{26ADA489-9AF8-4549-AE89-D46CE3A17D10}"/>
    <cellStyle name="Output Forecast Year 3" xfId="10781" xr:uid="{67A32731-D597-488E-AA12-505810AB8529}"/>
    <cellStyle name="Output Forecast Year 3 2" xfId="10782" xr:uid="{916100EE-F142-4E20-B269-ACDF03080119}"/>
    <cellStyle name="Output Forecast Year 4" xfId="10783" xr:uid="{5F6F2A1E-0098-47FD-AAFE-57D0B4274095}"/>
    <cellStyle name="Output Forecast Year 5" xfId="10784" xr:uid="{05A30054-C559-4461-89BB-9CD20BFAE858}"/>
    <cellStyle name="Output Forecast Year_1.0 HFM data" xfId="10785" xr:uid="{01ADF663-1478-44D1-B40E-714D59186867}"/>
    <cellStyle name="Output Heading 1" xfId="2995" xr:uid="{BF8EC026-4CF9-4313-95ED-834939436A76}"/>
    <cellStyle name="Output Heading 1 2" xfId="10786" xr:uid="{8036FA65-5B59-4507-BC00-8AB0C4DA40DD}"/>
    <cellStyle name="Output Heading 1 3" xfId="10787" xr:uid="{83B68E98-894B-4C40-8F89-A48AAF93D241}"/>
    <cellStyle name="Output Heading 1 3 2" xfId="10788" xr:uid="{FFB5EA0F-A318-4709-A734-37A92DF69517}"/>
    <cellStyle name="Output Heading 1 4" xfId="10789" xr:uid="{45AEFF17-FAF5-4ABE-AFF0-85375FCA2661}"/>
    <cellStyle name="Output Heading 1 5" xfId="10790" xr:uid="{FF5601A0-39A8-4E9C-8321-AB7CE19639CB}"/>
    <cellStyle name="Output Heading 1_1.0 HFM data" xfId="10791" xr:uid="{C71C40AB-F4C4-4D25-B3D8-0D89C6A4C7BB}"/>
    <cellStyle name="Output Heading 2" xfId="2996" xr:uid="{2C08EA3C-D909-4C6C-907E-023060933CC0}"/>
    <cellStyle name="Output Heading 2 2" xfId="10792" xr:uid="{0436E1D8-3C24-4927-AB88-464DCE86EF6D}"/>
    <cellStyle name="Output Heading 2 3" xfId="10793" xr:uid="{3D8A3B81-A837-4C7A-AD02-A72C24FC2941}"/>
    <cellStyle name="Output Heading 2 3 2" xfId="10794" xr:uid="{AE25E022-86FD-4F7F-A7FF-FB0479BD5FD3}"/>
    <cellStyle name="Output Heading 2 4" xfId="10795" xr:uid="{C3382721-0C11-48F0-9118-AB86B4C99225}"/>
    <cellStyle name="Output Heading 2 5" xfId="10796" xr:uid="{A4112AF9-1664-4625-89F3-6978F442B8FF}"/>
    <cellStyle name="Output Heading 2_1.0 HFM data" xfId="10797" xr:uid="{E42D7AC0-8A4C-46A9-8379-D26696526170}"/>
    <cellStyle name="Output Heading 3" xfId="2997" xr:uid="{51808AA0-415C-42FD-924E-203520336510}"/>
    <cellStyle name="Output Heading 3 2" xfId="10798" xr:uid="{781DD33F-0313-4830-9A0D-E3ED9BF54B44}"/>
    <cellStyle name="Output Heading 3 3" xfId="10799" xr:uid="{98C5AC78-4E5B-44B4-954D-607DB4EBD63F}"/>
    <cellStyle name="Output Heading 3 3 2" xfId="10800" xr:uid="{095741B1-BBD5-4D1C-AF8D-5C79BFF77770}"/>
    <cellStyle name="Output Heading 3 4" xfId="10801" xr:uid="{D91D68A8-4AA9-4F15-89C4-CE1F99FD990C}"/>
    <cellStyle name="Output Heading 3 5" xfId="10802" xr:uid="{4BEE7569-C262-4414-BA85-9F37DBA329CE}"/>
    <cellStyle name="Output Heading 3_1.0 HFM data" xfId="10803" xr:uid="{34D255A7-BDC1-4E97-AC9F-26300340B63B}"/>
    <cellStyle name="Output Heading 4" xfId="2998" xr:uid="{FF8A2111-FA67-4CE0-846D-497622C08285}"/>
    <cellStyle name="Output Heading 4 2" xfId="10804" xr:uid="{C3EB784E-6A6D-40BC-B6AA-2D603A1B6C09}"/>
    <cellStyle name="Output Heading 4 3" xfId="10805" xr:uid="{2116FA19-BE23-46FE-A801-4930448ED188}"/>
    <cellStyle name="Output Heading 4 3 2" xfId="10806" xr:uid="{67BF1A4C-22FA-440C-AFB8-297B967EFC21}"/>
    <cellStyle name="Output Heading 4 4" xfId="10807" xr:uid="{20135598-3129-4047-8C4E-EC9A39B72D15}"/>
    <cellStyle name="Output Heading 4 5" xfId="10808" xr:uid="{BB8DFEEC-CAF9-4B0C-B287-603CF669641E}"/>
    <cellStyle name="Output Heading 4_1.0 HFM data" xfId="10809" xr:uid="{1C9E4C4E-5CAC-44D2-BF9A-AC633B018EC4}"/>
    <cellStyle name="OUTPUT LINE ITEMS" xfId="2999" xr:uid="{0B34C967-6E36-4EE4-A8BB-C3FD905A9E9A}"/>
    <cellStyle name="OUTPUT LINE ITEMS 2" xfId="10810" xr:uid="{A84FDDBD-E4C7-4D01-8109-90A2A5DCFEB5}"/>
    <cellStyle name="Output Middle Currency" xfId="3000" xr:uid="{C804BAA3-DE08-413C-99BE-4D5721C2A4AF}"/>
    <cellStyle name="Output Middle Currency 2" xfId="10811" xr:uid="{06BB4E43-2E8E-491B-B747-778653E011A2}"/>
    <cellStyle name="Output Middle Currency 3" xfId="10812" xr:uid="{75787250-8114-4B34-80D1-AFA720736FDF}"/>
    <cellStyle name="Output Middle Currency 3 2" xfId="10813" xr:uid="{E1AE52FA-51A7-444E-BC13-A49CE9EFD88F}"/>
    <cellStyle name="Output Middle Currency 4" xfId="10814" xr:uid="{A9C4AF1B-3A4D-4533-8226-5CC56A81541E}"/>
    <cellStyle name="Output Middle Currency 5" xfId="10815" xr:uid="{29BA3676-D7B3-4A05-94A2-E082862A1D6A}"/>
    <cellStyle name="Output Middle Currency_1.0 HFM data" xfId="10816" xr:uid="{D53F8B9E-E46A-4A0B-A53D-72B82C8F2A73}"/>
    <cellStyle name="Output Middle Date" xfId="3001" xr:uid="{B952A56A-2AA0-4D13-B4AE-61EE6474616F}"/>
    <cellStyle name="Output Middle Date 2" xfId="10817" xr:uid="{34B6475B-A3AB-49AA-89C3-6B681B004ED0}"/>
    <cellStyle name="Output Middle Date 3" xfId="10818" xr:uid="{FE6253FF-FB6D-46E9-B0FA-A0ACBFBD42A5}"/>
    <cellStyle name="Output Middle Date 3 2" xfId="10819" xr:uid="{DC406106-C2AB-4D38-BA50-CA3F3D037E0C}"/>
    <cellStyle name="Output Middle Date 4" xfId="10820" xr:uid="{561E53C7-28CB-4C39-A792-9415BDECFCCB}"/>
    <cellStyle name="Output Middle Date 5" xfId="10821" xr:uid="{638E7812-9402-46C2-8FCF-5B5E1201CDB7}"/>
    <cellStyle name="Output Middle Date_1.0 HFM data" xfId="10822" xr:uid="{66F13A85-EF10-4161-85F6-2E8E8C26A14F}"/>
    <cellStyle name="Output Middle Multiple" xfId="3002" xr:uid="{76C2A8A0-E148-4F67-972B-0FA0420BEF66}"/>
    <cellStyle name="Output Middle Multiple 2" xfId="10823" xr:uid="{5C57DC8D-B477-4D02-9B8B-5DE34104CE53}"/>
    <cellStyle name="Output Middle Multiple 3" xfId="10824" xr:uid="{0ADBD640-DE29-4AC7-B6E2-76ED157D01E9}"/>
    <cellStyle name="Output Middle Multiple 3 2" xfId="10825" xr:uid="{51098012-18AF-4AC8-BB80-76AC357A4CB2}"/>
    <cellStyle name="Output Middle Multiple 4" xfId="10826" xr:uid="{3C658018-984D-43D6-BB73-CC41BD6480C5}"/>
    <cellStyle name="Output Middle Multiple 5" xfId="10827" xr:uid="{3006AA3C-0EA0-4E2A-A873-468182E421A3}"/>
    <cellStyle name="Output Middle Multiple_1.0 HFM data" xfId="10828" xr:uid="{0BBA52C1-74AB-4824-8A8F-F5CB189DC9C2}"/>
    <cellStyle name="Output Middle Number" xfId="3003" xr:uid="{85BA3C43-FB24-4468-A780-ED572A2FC519}"/>
    <cellStyle name="Output Middle Number 2" xfId="10829" xr:uid="{4C25967C-8974-4CC5-86A5-CF493B6EAABD}"/>
    <cellStyle name="Output Middle Number 3" xfId="10830" xr:uid="{88B6165E-9F26-4C10-A7B8-2E881AE0DFBF}"/>
    <cellStyle name="Output Middle Number 3 2" xfId="10831" xr:uid="{FC3F2B6C-88C5-4B70-8E7C-947F2CEF9AB1}"/>
    <cellStyle name="Output Middle Number 4" xfId="10832" xr:uid="{A33EF128-B2CB-4702-BFF6-22CCD09473DB}"/>
    <cellStyle name="Output Middle Number 5" xfId="10833" xr:uid="{B4E208DC-5D52-4A08-8F5B-3877830C0CA2}"/>
    <cellStyle name="Output Middle Number_1.0 HFM data" xfId="10834" xr:uid="{8A33B843-C854-489F-BBC9-A5DAE472F728}"/>
    <cellStyle name="Output Middle Percentage" xfId="3004" xr:uid="{F6761428-8E41-4C0D-8FD5-98F6026222D5}"/>
    <cellStyle name="Output Middle Percentage 2" xfId="10835" xr:uid="{6E33C899-F893-4AAC-83BC-31821F618F68}"/>
    <cellStyle name="Output Middle Percentage 3" xfId="10836" xr:uid="{6D7BF684-F19E-464F-B6A7-F7E50D3339B5}"/>
    <cellStyle name="Output Middle Percentage 3 2" xfId="10837" xr:uid="{464A973E-76C0-4EAF-AE44-016398D1B72F}"/>
    <cellStyle name="Output Middle Percentage 4" xfId="10838" xr:uid="{ADFF86FE-8F0A-46C8-A004-809B6DEB65EE}"/>
    <cellStyle name="Output Middle Percentage 5" xfId="10839" xr:uid="{70D244FF-805C-4E7D-8713-8C8A589FBE3C}"/>
    <cellStyle name="Output Middle Percentage_1.0 HFM data" xfId="10840" xr:uid="{B858E2AD-61F8-45E2-8B8B-686C71C90A17}"/>
    <cellStyle name="Output Middle Title / Name" xfId="3005" xr:uid="{21A79180-3374-401E-A312-AD4824D9F75A}"/>
    <cellStyle name="Output Middle Title / Name 2" xfId="10841" xr:uid="{85E20AC2-33DD-47A8-ADAE-383556FD6B68}"/>
    <cellStyle name="Output Middle Title / Name 3" xfId="10842" xr:uid="{E2C3B390-7CAB-4C4C-B3DE-D276BA712CBB}"/>
    <cellStyle name="Output Middle Title / Name 3 2" xfId="10843" xr:uid="{74DCDFF0-4922-4699-B126-B1749345F925}"/>
    <cellStyle name="Output Middle Title / Name 4" xfId="10844" xr:uid="{1E4F4C02-B2D6-4DCF-9873-99B1AE7140FC}"/>
    <cellStyle name="Output Middle Title / Name 5" xfId="10845" xr:uid="{8356966F-899D-40DD-A037-04FA2E231FB2}"/>
    <cellStyle name="Output Middle Title / Name_1.0 HFM data" xfId="10846" xr:uid="{128BB509-8146-4723-AA11-4F845D93AB39}"/>
    <cellStyle name="Output Middle Year" xfId="3006" xr:uid="{BD62B50D-3C86-4A46-87D3-D8467A15C7E2}"/>
    <cellStyle name="Output Middle Year 2" xfId="10847" xr:uid="{6634E001-B54E-458E-A630-80EFA69C9C24}"/>
    <cellStyle name="Output Middle Year 3" xfId="10848" xr:uid="{9BCDD779-591E-4734-82C4-4A7156F8235E}"/>
    <cellStyle name="Output Middle Year 3 2" xfId="10849" xr:uid="{065ACFA3-D6CF-4B99-8124-C03986B1FA57}"/>
    <cellStyle name="Output Middle Year 4" xfId="10850" xr:uid="{ABFDF196-C94C-4D02-8455-B607009530B2}"/>
    <cellStyle name="Output Middle Year 5" xfId="10851" xr:uid="{DB36E199-7030-42D9-82A2-3575080C241B}"/>
    <cellStyle name="Output Middle Year_1.0 HFM data" xfId="10852" xr:uid="{E7DE1A91-0BF8-46FD-A3DE-DDD97121FB18}"/>
    <cellStyle name="OUTPUT REPORT HEADING" xfId="3007" xr:uid="{CC3385D8-E915-4496-8E85-0EA94AB21E6E}"/>
    <cellStyle name="OUTPUT REPORT HEADING 2" xfId="10853" xr:uid="{0FD577D9-1F8D-459C-8DEC-F0F5098269D8}"/>
    <cellStyle name="OUTPUT REPORT TITLE" xfId="3008" xr:uid="{E5ED6211-9483-4678-98EC-06FB16DC9E46}"/>
    <cellStyle name="OUTPUT REPORT TITLE 2" xfId="10854" xr:uid="{EB224A1E-CD37-43DB-96A8-C688D8AFDE52}"/>
    <cellStyle name="Output Sheet Title" xfId="3009" xr:uid="{270BC37C-4EA0-4973-8091-12C19237AE4F}"/>
    <cellStyle name="Output Sheet Title 2" xfId="10855" xr:uid="{F45DCEB7-A592-4C9F-B309-A888815A715F}"/>
    <cellStyle name="Output Sheet Title 3" xfId="10856" xr:uid="{8834F142-137B-4788-AE21-CD1634C677E7}"/>
    <cellStyle name="Output Sheet Title 3 2" xfId="10857" xr:uid="{33725AB8-A5D2-4FC3-9CA2-59B65BECF2C9}"/>
    <cellStyle name="Output Sheet Title 4" xfId="10858" xr:uid="{BD0733E2-3DE9-43FC-84BF-F8D1E9D64440}"/>
    <cellStyle name="Output Sheet Title 5" xfId="10859" xr:uid="{EB2B81A3-A0EA-4F69-8D74-66E323392655}"/>
    <cellStyle name="Output Sheet Title_1.0 HFM data" xfId="10860" xr:uid="{6956DB38-954D-4A0B-A8B3-802282DD36B3}"/>
    <cellStyle name="Overscore" xfId="10861" xr:uid="{8F74A903-D64C-466E-B87C-CCAEDA9D5806}"/>
    <cellStyle name="Overscore 2" xfId="10862" xr:uid="{71AB4C1F-67E4-4975-8A5F-B800A6D39AFB}"/>
    <cellStyle name="Overunder" xfId="10863" xr:uid="{72A65DA3-19F7-4B11-B83C-82DD204FD7C4}"/>
    <cellStyle name="p" xfId="3010" xr:uid="{3EB297AF-7884-4BE9-9526-39E368F34246}"/>
    <cellStyle name="p_~2153298" xfId="10864" xr:uid="{A1A15CCF-EDC6-4622-9D07-C3198280D8E3}"/>
    <cellStyle name="P_AUS Equities Mar 09 data" xfId="10865" xr:uid="{75BE9A96-9F2B-4ED4-922B-23329E41CCB9}"/>
    <cellStyle name="P_AUS Equities Mar 09 data " xfId="10866" xr:uid="{35F47818-1A72-4BB2-BC25-AF4FF491E2D3}"/>
    <cellStyle name="P_AUS Equities Mar 09 data  2" xfId="11372" xr:uid="{23098421-4682-49A9-A3E9-8F82157DA95C}"/>
    <cellStyle name="P_AUS Equities Mar 09 data  2 2" xfId="11506" xr:uid="{F0E94D06-EA5F-4C0F-B857-3AB21219F93F}"/>
    <cellStyle name="P_AUS Equities Mar 09 data  3" xfId="11338" xr:uid="{CAEF9FA9-A16E-4AB6-B167-34199960A6F4}"/>
    <cellStyle name="P_AUS Equities Mar 09 data  3 2" xfId="11493" xr:uid="{4A019C9E-0937-4485-811F-B89595F16A24}"/>
    <cellStyle name="P_AUS Equities Mar 09 data  3 2 2" xfId="11577" xr:uid="{B7BEA035-5EC5-40DD-8BD7-D3B43C6AA0A3}"/>
    <cellStyle name="P_AUS Equities Mar 09 data  3 3" xfId="11536" xr:uid="{EA4EC496-1A5B-4F9E-8294-B895CAC670B1}"/>
    <cellStyle name="P_AUS Equities Mar 09 data  4" xfId="11477" xr:uid="{D339F7BF-B0ED-4E95-A148-7C1CDF3F04B6}"/>
    <cellStyle name="P_AUS Equities Mar 09 data 10" xfId="10867" xr:uid="{7C705984-8630-4BC4-A094-884A58E795A4}"/>
    <cellStyle name="P_AUS Equities Mar 09 data 11" xfId="10868" xr:uid="{AC6F3C68-771D-4680-9D46-097A3E021B65}"/>
    <cellStyle name="P_AUS Equities Mar 09 data 12" xfId="10869" xr:uid="{34110658-3B20-4967-8DBF-7D1CB88F9F3D}"/>
    <cellStyle name="P_AUS Equities Mar 09 data 2" xfId="10870" xr:uid="{EB8A49A0-C335-429D-BA89-FA12F909F9AA}"/>
    <cellStyle name="P_AUS Equities Mar 09 data 3" xfId="10871" xr:uid="{CEC3B17D-3617-4258-8FD3-14DDE60D2FF7}"/>
    <cellStyle name="P_AUS Equities Mar 09 data 4" xfId="10872" xr:uid="{502B1AB0-904F-41C4-8618-126232121728}"/>
    <cellStyle name="P_AUS Equities Mar 09 data 5" xfId="10873" xr:uid="{F86054BE-A956-44CE-BBCC-1BFDF9DF4627}"/>
    <cellStyle name="P_AUS Equities Mar 09 data 6" xfId="10874" xr:uid="{42211563-7E0B-49F9-8BD5-7C32DC79E198}"/>
    <cellStyle name="P_AUS Equities Mar 09 data 7" xfId="10875" xr:uid="{B58EA8B8-FDFE-4A07-A815-5981368272E5}"/>
    <cellStyle name="P_AUS Equities Mar 09 data 8" xfId="10876" xr:uid="{533147A1-DC71-4B03-BA35-B6087CB3FCC5}"/>
    <cellStyle name="P_AUS Equities Mar 09 data 9" xfId="10877" xr:uid="{9AF29F45-C682-442F-9524-D4CA015E48DD}"/>
    <cellStyle name="P_AUS Equities Mar 09 data_~2153298" xfId="10878" xr:uid="{B021C05A-E342-4373-AE8D-697B1BE04062}"/>
    <cellStyle name="P_BNZ Equities Mar 09 data" xfId="10879" xr:uid="{70A2C225-96C8-4996-86B2-86DAEC143F8C}"/>
    <cellStyle name="P_BNZ Equities Mar 09 data 2" xfId="11373" xr:uid="{363CAAA0-6B27-4E1D-84E7-64A8578712C5}"/>
    <cellStyle name="P_BNZ Equities Mar 09 data 2 2" xfId="11507" xr:uid="{9794B522-0835-4D44-B8FC-8DF64791FD74}"/>
    <cellStyle name="P_BNZ Equities Mar 09 data 3" xfId="11339" xr:uid="{6A450DDD-D3E3-4B56-8A19-5A9A6EFFD94D}"/>
    <cellStyle name="P_BNZ Equities Mar 09 data 3 2" xfId="11494" xr:uid="{EDB0DFEB-B115-458A-A6E5-96F498761BED}"/>
    <cellStyle name="P_BNZ Equities Mar 09 data 3 2 2" xfId="11578" xr:uid="{FD4F047D-E44E-4DFC-A916-22758C666B23}"/>
    <cellStyle name="P_BNZ Equities Mar 09 data 3 3" xfId="11537" xr:uid="{089AA22B-C9AC-4C56-9619-60BE056EA280}"/>
    <cellStyle name="P_BNZ Equities Mar 09 data 4" xfId="11478" xr:uid="{3CF63836-54BA-4173-A1B3-C9B31C097A13}"/>
    <cellStyle name="P_Corp Centre Equities Aug data" xfId="10880" xr:uid="{C7B1CB16-9473-488C-9B94-4D804B3B5091}"/>
    <cellStyle name="P_Corp Centre Equities Aug data 2" xfId="11374" xr:uid="{8CF6FBFA-6D97-4F4F-B3F8-4C8381098031}"/>
    <cellStyle name="P_Corp Centre Equities Aug data 2 2" xfId="11508" xr:uid="{BFF38471-3BF9-493E-8717-8A3A4345C370}"/>
    <cellStyle name="P_Corp Centre Equities Aug data 3" xfId="11340" xr:uid="{E89FF8CB-F675-40C4-8865-ABABA2909D63}"/>
    <cellStyle name="P_Corp Centre Equities Aug data 3 2" xfId="11495" xr:uid="{68F5701D-DB0D-497F-B2EA-694BCCB3FD1D}"/>
    <cellStyle name="P_Corp Centre Equities Aug data 3 2 2" xfId="11579" xr:uid="{59997743-737E-4CC6-9A39-038300C630BE}"/>
    <cellStyle name="P_Corp Centre Equities Aug data 3 3" xfId="11538" xr:uid="{5800DFD3-3051-455E-A5F6-FCC36ED088F0}"/>
    <cellStyle name="P_Corp Centre Equities Aug data 4" xfId="11479" xr:uid="{4A1F2BD7-4B7A-40CD-AF67-085DF88C03A4}"/>
    <cellStyle name="P_Equities Working Paper" xfId="10881" xr:uid="{E3DF2F24-916D-478D-9F4B-C5111BFDBEBD}"/>
    <cellStyle name="P_Equities Working Paper 2" xfId="11375" xr:uid="{CDDFCBB5-E5F9-44F7-9D41-8F3E4C968B7D}"/>
    <cellStyle name="P_Equities Working Paper 2 2" xfId="11509" xr:uid="{994E40EF-40C8-4AA9-86B5-40D789782C45}"/>
    <cellStyle name="P_Equities Working Paper 3" xfId="11341" xr:uid="{9B2001C5-F9D1-484E-8A7E-4678129E6018}"/>
    <cellStyle name="P_Equities Working Paper 3 2" xfId="11496" xr:uid="{6953742C-9DA8-4BE0-BDC6-0F23D0B9F73D}"/>
    <cellStyle name="P_Equities Working Paper 3 2 2" xfId="11580" xr:uid="{6D78AE38-DC7F-4A0B-8D24-4F359D1A1F47}"/>
    <cellStyle name="P_Equities Working Paper 3 3" xfId="11539" xr:uid="{0991994F-9888-4086-806E-083FC82C9C08}"/>
    <cellStyle name="P_Equities Working Paper 4" xfId="11480" xr:uid="{5CCDBFDB-B224-4847-B3A0-C3D4C85006F7}"/>
    <cellStyle name="P_Group Equities Aug data" xfId="10882" xr:uid="{BA1A626F-49E4-475D-8970-4FC6B23BCBC4}"/>
    <cellStyle name="P_Group Equities Aug data 2" xfId="11376" xr:uid="{B6625C0B-DB74-48F0-A66D-60B22F9B689B}"/>
    <cellStyle name="P_Group Equities Aug data 2 2" xfId="11510" xr:uid="{D2A0A107-17B3-430F-991C-D1FDAFAE8FA3}"/>
    <cellStyle name="P_Group Equities Aug data 3" xfId="11342" xr:uid="{EC32FB23-517C-450E-AFB0-6FA5B473EE6A}"/>
    <cellStyle name="P_Group Equities Aug data 3 2" xfId="11497" xr:uid="{E5097803-5296-4127-9BB6-C28D32E06D35}"/>
    <cellStyle name="P_Group Equities Aug data 3 2 2" xfId="11581" xr:uid="{9DE7D6AE-FF5E-4065-8722-5E9B676E8CFC}"/>
    <cellStyle name="P_Group Equities Aug data 3 3" xfId="11540" xr:uid="{1F69838A-3AE3-40A4-9C9C-7F13E6EFBED8}"/>
    <cellStyle name="P_Group Equities Aug data 4" xfId="11481" xr:uid="{59EFFC12-5E52-4E5C-91F5-2BBC7C8E114F}"/>
    <cellStyle name="P_Group Equities March data" xfId="10883" xr:uid="{57B622AD-085F-4377-946B-F63B159BAE2D}"/>
    <cellStyle name="P_Group Equities March data 2" xfId="11377" xr:uid="{64FBA83A-264B-496C-9758-12CAAED4C53F}"/>
    <cellStyle name="P_Group Equities March data 2 2" xfId="11511" xr:uid="{97ED2E80-2D78-45E5-B2F1-F3D92138139F}"/>
    <cellStyle name="P_Group Equities March data 3" xfId="11343" xr:uid="{C5316AF9-0FDE-4EAE-944D-22D1B7AED2C2}"/>
    <cellStyle name="P_Group Equities March data 3 2" xfId="11498" xr:uid="{4BBDFD0B-857F-4318-8967-7CE9985E03B9}"/>
    <cellStyle name="P_Group Equities March data 3 2 2" xfId="11582" xr:uid="{94BE53B8-3CA7-4593-97E2-5DC5234EED75}"/>
    <cellStyle name="P_Group Equities March data 3 3" xfId="11541" xr:uid="{C04C2645-EB24-44AE-B5A0-41EE4EFE5E08}"/>
    <cellStyle name="P_Group Equities March data 4" xfId="11482" xr:uid="{EB248053-DB10-48E6-9087-F6221236125A}"/>
    <cellStyle name="p_Input page for capital model" xfId="10884" xr:uid="{33917D85-FE4B-4DD7-87C8-BDEF3A3D15DD}"/>
    <cellStyle name="P_nabCapital Equities Mar 09 data" xfId="10885" xr:uid="{A7C28F53-CDB9-4808-B257-E6A015AD3341}"/>
    <cellStyle name="P_nabCapital Equities Mar 09 data 2" xfId="11378" xr:uid="{9D00DE3F-421D-4F55-80D9-38AF9739E812}"/>
    <cellStyle name="P_nabCapital Equities Mar 09 data 2 2" xfId="11512" xr:uid="{DF5E2E80-129B-40ED-A5B8-86BC0101F4E3}"/>
    <cellStyle name="P_nabCapital Equities Mar 09 data 3" xfId="11344" xr:uid="{24D7F1AB-0846-47FB-AD93-D018ABB780FE}"/>
    <cellStyle name="P_nabCapital Equities Mar 09 data 3 2" xfId="11499" xr:uid="{F0433AF9-401E-45A5-9FBD-9FC979432629}"/>
    <cellStyle name="P_nabCapital Equities Mar 09 data 3 2 2" xfId="11583" xr:uid="{24D218C5-1CC1-4F23-9307-068861C0C902}"/>
    <cellStyle name="P_nabCapital Equities Mar 09 data 3 3" xfId="11542" xr:uid="{749CF7F1-5DD5-4638-922F-A184140EC8A2}"/>
    <cellStyle name="P_nabCapital Equities Mar 09 data 4" xfId="11483" xr:uid="{47FF9BF6-3B8D-4E67-9BC6-E976CFC28B69}"/>
    <cellStyle name="p_Non Lending Assets Working Paper Sep 09 - HFM 16-11-09 - FY10 Structure" xfId="10886" xr:uid="{F026E4BA-F668-4E9F-9240-7F0735200679}"/>
    <cellStyle name="p_Non Lending Assets Working Paper Sep 09 - HFM 16-11-09 - FY10 Structure_~2153298" xfId="10887" xr:uid="{9E4F98DA-0151-4958-A1EE-D6E87DD014AA}"/>
    <cellStyle name="P_UK Equities Mar 09 data" xfId="10888" xr:uid="{CCB281E7-6A77-4D61-9EC9-2DFDAAF1B8B2}"/>
    <cellStyle name="P_UK Equities Mar 09 data 2" xfId="11379" xr:uid="{829336FC-2F92-4F6F-9B71-24C539DD0007}"/>
    <cellStyle name="P_UK Equities Mar 09 data 2 2" xfId="11513" xr:uid="{4C449437-DB97-432A-90F2-16C9718ED784}"/>
    <cellStyle name="P_UK Equities Mar 09 data 3" xfId="11345" xr:uid="{6803679F-6E39-421E-A66B-43EE64793BBC}"/>
    <cellStyle name="P_UK Equities Mar 09 data 3 2" xfId="11500" xr:uid="{27B1A638-9046-4BAE-9561-D5941414A863}"/>
    <cellStyle name="P_UK Equities Mar 09 data 3 2 2" xfId="11584" xr:uid="{C82B3905-5BA2-4D52-BB7F-728551CA906D}"/>
    <cellStyle name="P_UK Equities Mar 09 data 3 3" xfId="11543" xr:uid="{EE2F959A-C614-473E-9C09-E4BF789AEACB}"/>
    <cellStyle name="P_UK Equities Mar 09 data 4" xfId="11484" xr:uid="{29EF8E14-28C7-42D6-9B34-23E3AF5AA759}"/>
    <cellStyle name="Page Number" xfId="3011" xr:uid="{004F1013-DB2B-4709-8C08-E118E9306FA0}"/>
    <cellStyle name="Page_header" xfId="10889" xr:uid="{4E2BB652-516C-4973-B9D2-64398B614A8D}"/>
    <cellStyle name="Percent" xfId="1" builtinId="5"/>
    <cellStyle name="Percent - 1DP" xfId="10890" xr:uid="{1181B37E-DBFF-4D4B-B508-0E7E2F016557}"/>
    <cellStyle name="Percent ()" xfId="3012" xr:uid="{D8419106-6CCF-4E90-B865-D219B55D4FBD}"/>
    <cellStyle name="Percent [0]" xfId="3013" xr:uid="{C711F8BD-5B73-4DDB-8D77-114190107A13}"/>
    <cellStyle name="Percent [0] 2" xfId="10891" xr:uid="{BAC719D6-375B-4B03-8A8C-F574B0765278}"/>
    <cellStyle name="Percent [00]" xfId="3014" xr:uid="{3598A424-8C35-470C-AE59-6784007A08E5}"/>
    <cellStyle name="Percent [2]" xfId="10892" xr:uid="{41074F1E-64BD-4E9F-AA4E-11197F19A9C5}"/>
    <cellStyle name="Percent 1" xfId="3015" xr:uid="{E5766A75-824B-4253-A527-D4DF802BB9EE}"/>
    <cellStyle name="Percent 10" xfId="3016" xr:uid="{8EEED6BB-0112-4131-A92C-662BC4491A19}"/>
    <cellStyle name="Percent 10 2" xfId="10893" xr:uid="{3199DD81-281B-4FAE-8502-21403A659597}"/>
    <cellStyle name="Percent 11" xfId="3017" xr:uid="{C03C1968-DE98-4B76-9C8F-0E1FB991105E}"/>
    <cellStyle name="Percent 11 2" xfId="10894" xr:uid="{759A60B1-15C9-408E-BD37-B3EC92894805}"/>
    <cellStyle name="Percent 12" xfId="3018" xr:uid="{57BBD5A7-F271-4D43-9652-1CA7410D711E}"/>
    <cellStyle name="Percent 13" xfId="3019" xr:uid="{54FAB52A-E496-403D-A151-EE971D6F1C60}"/>
    <cellStyle name="Percent 14" xfId="3020" xr:uid="{47296A63-C930-4741-9A77-EBD7DC4D7D73}"/>
    <cellStyle name="Percent 15" xfId="3021" xr:uid="{31CC261E-8B41-466E-85B4-564999DC2365}"/>
    <cellStyle name="Percent 16" xfId="3022" xr:uid="{9D38AC29-A182-4B57-9303-02CCD9C1DE23}"/>
    <cellStyle name="Percent 16 2" xfId="10895" xr:uid="{48B44DB9-D0F5-4A24-8021-229D9D02CBEC}"/>
    <cellStyle name="Percent 17" xfId="3023" xr:uid="{887525AA-6CD9-4D17-9F3C-3845F631CB4B}"/>
    <cellStyle name="Percent 17 2" xfId="10896" xr:uid="{06AFB412-B671-4D3B-9572-C40A2A298DB2}"/>
    <cellStyle name="Percent 18" xfId="3024" xr:uid="{E7502B8E-0843-4A9F-9C82-EFC84CDD2A36}"/>
    <cellStyle name="Percent 18 2" xfId="10897" xr:uid="{549BFB22-9329-4975-BAA6-E45E7110274C}"/>
    <cellStyle name="Percent 19" xfId="10898" xr:uid="{7BEE841C-08E6-4268-8278-A71230115530}"/>
    <cellStyle name="Percent 19 2" xfId="10899" xr:uid="{B89DB1FF-C2F4-4977-B15D-A02D8F41246C}"/>
    <cellStyle name="Percent 19 3" xfId="10900" xr:uid="{F8313B7E-97F3-46CD-BF91-6B8C8A4BB978}"/>
    <cellStyle name="Percent 2" xfId="3025" xr:uid="{025A5A51-8D9A-4171-BFD5-ACAFFB8900CB}"/>
    <cellStyle name="Percent 2 10" xfId="3026" xr:uid="{86F8CFFF-2839-4756-B2C5-80A967A62B73}"/>
    <cellStyle name="Percent 2 11" xfId="3027" xr:uid="{ED96B77E-5450-42FF-BFBD-FE2C37E0DAF5}"/>
    <cellStyle name="Percent 2 12" xfId="3028" xr:uid="{1F85C371-7D2B-4E1A-891F-EBCF111DBA15}"/>
    <cellStyle name="Percent 2 13" xfId="3029" xr:uid="{9BD9823C-8B18-4257-A0F9-243FE21DF163}"/>
    <cellStyle name="Percent 2 14" xfId="3030" xr:uid="{EF4E5D71-0C68-4935-A667-07C5333E0178}"/>
    <cellStyle name="Percent 2 15" xfId="3031" xr:uid="{3B7FDC0C-4046-4784-B0FC-65C9B1E28ED9}"/>
    <cellStyle name="Percent 2 16" xfId="3032" xr:uid="{64F34F17-D7FC-43E1-AF6D-4D692F4FBED6}"/>
    <cellStyle name="Percent 2 17" xfId="3033" xr:uid="{979F7FB1-F29B-480E-AFBB-73807C6B0C17}"/>
    <cellStyle name="Percent 2 18" xfId="3034" xr:uid="{D849794E-CD78-41E5-8378-70697D4FD61F}"/>
    <cellStyle name="Percent 2 19" xfId="3035" xr:uid="{D97A6471-A29E-45E4-BB85-C3D3EA41C170}"/>
    <cellStyle name="Percent 2 2" xfId="3036" xr:uid="{ABAB677E-2CF2-4FC3-A708-ABBD000FAF78}"/>
    <cellStyle name="Percent 2 2 10" xfId="3037" xr:uid="{58D1E831-9F69-45E2-829C-92D574541769}"/>
    <cellStyle name="Percent 2 2 11" xfId="3038" xr:uid="{191AAF41-CB6F-4435-B3DB-EEFAAE211F60}"/>
    <cellStyle name="Percent 2 2 2" xfId="3039" xr:uid="{39B07E15-4F05-4436-8D30-0A8CE1FDBDB0}"/>
    <cellStyle name="Percent 2 2 2 10" xfId="3040" xr:uid="{007EC00B-4920-42AD-8E5B-706FE881245A}"/>
    <cellStyle name="Percent 2 2 2 2" xfId="3041" xr:uid="{E6B9C5F7-48C7-47AC-838C-F62CA9C46C32}"/>
    <cellStyle name="Percent 2 2 2 2 2" xfId="3042" xr:uid="{006FC033-41CF-4E3D-B153-A46DDD06CD6E}"/>
    <cellStyle name="Percent 2 2 2 2 3" xfId="3043" xr:uid="{877059E5-7C58-462D-898A-AB9B84029849}"/>
    <cellStyle name="Percent 2 2 2 2 4" xfId="3044" xr:uid="{5EC3E15F-BA0C-44E8-AC6A-65CE2C4B21A5}"/>
    <cellStyle name="Percent 2 2 2 3" xfId="3045" xr:uid="{F290F8AE-FC06-40F9-9F5A-F0B2AC17ECBB}"/>
    <cellStyle name="Percent 2 2 2 4" xfId="3046" xr:uid="{3B9848E7-F92B-4827-B7A0-713688AAD28B}"/>
    <cellStyle name="Percent 2 2 2 5" xfId="3047" xr:uid="{8F0AB550-51A5-4514-84A0-3FF6433E7FFF}"/>
    <cellStyle name="Percent 2 2 2 6" xfId="3048" xr:uid="{EE8BC5F1-ECCB-4575-A7DB-AB8030440883}"/>
    <cellStyle name="Percent 2 2 2 7" xfId="3049" xr:uid="{977F9D1A-72F7-4EF6-853E-09E529307FE1}"/>
    <cellStyle name="Percent 2 2 2 8" xfId="3050" xr:uid="{82E50D03-3051-4CBB-80E0-6AE6DDBDEA2B}"/>
    <cellStyle name="Percent 2 2 2 9" xfId="3051" xr:uid="{1AFC1A62-C0C6-41E4-8D53-0842A575B874}"/>
    <cellStyle name="Percent 2 2 3" xfId="3052" xr:uid="{6C431E1A-5C31-4EA1-8BCE-52A533F32D97}"/>
    <cellStyle name="Percent 2 2 4" xfId="3053" xr:uid="{9304AC0C-7CBC-4531-829F-8BCDB3E94916}"/>
    <cellStyle name="Percent 2 2 5" xfId="3054" xr:uid="{4C17F3F8-0270-496F-9D9B-F34D67D9D6F0}"/>
    <cellStyle name="Percent 2 2 6" xfId="3055" xr:uid="{236E7A37-C22E-437C-B342-9B3DA7CDDB30}"/>
    <cellStyle name="Percent 2 2 7" xfId="3056" xr:uid="{17C8D1D8-5E94-493C-AC39-B2A36F45DDFC}"/>
    <cellStyle name="Percent 2 2 8" xfId="3057" xr:uid="{DE2BBCFC-F346-473D-9B52-6A526B381710}"/>
    <cellStyle name="Percent 2 2 9" xfId="3058" xr:uid="{53844F24-13D6-4405-9BCD-65982DB8F0D4}"/>
    <cellStyle name="Percent 2 20" xfId="3059" xr:uid="{9941F53C-0C00-47EF-A9CC-4520BD6AE66A}"/>
    <cellStyle name="Percent 2 21" xfId="3060" xr:uid="{8969E99C-1854-4CB8-BEAC-45F2C2FAC568}"/>
    <cellStyle name="Percent 2 22" xfId="3061" xr:uid="{80A660EB-C172-44C9-B970-83253A866072}"/>
    <cellStyle name="Percent 2 23" xfId="3062" xr:uid="{D998A4F8-2753-49DE-BCF7-740A20343919}"/>
    <cellStyle name="Percent 2 24" xfId="3063" xr:uid="{52F4C284-0F39-4864-BA39-00657614E343}"/>
    <cellStyle name="Percent 2 25" xfId="3064" xr:uid="{F676CC37-AF14-454E-A7E8-031E8415B8F2}"/>
    <cellStyle name="Percent 2 26" xfId="3065" xr:uid="{2EBC24AD-6DFC-4630-8C33-142FCE91609A}"/>
    <cellStyle name="Percent 2 27" xfId="3066" xr:uid="{0A5FF164-E8FF-4157-8091-E5ABE487C099}"/>
    <cellStyle name="Percent 2 28" xfId="3067" xr:uid="{15929385-A503-49C8-A03F-93DA6DA2EB29}"/>
    <cellStyle name="Percent 2 29" xfId="3068" xr:uid="{10EE2A45-75C4-44BC-ABEC-3C494BCB6ADE}"/>
    <cellStyle name="Percent 2 3" xfId="3069" xr:uid="{83A0ABA9-2E78-48B8-97AF-B0F6894709C3}"/>
    <cellStyle name="Percent 2 3 2" xfId="3070" xr:uid="{1983E024-D19F-4229-82FA-86605635A05A}"/>
    <cellStyle name="Percent 2 3 3" xfId="10901" xr:uid="{FB7FA505-11C2-448C-9313-1388B573790A}"/>
    <cellStyle name="Percent 2 30" xfId="3071" xr:uid="{593672EE-774E-48C1-8B28-88A0302FF828}"/>
    <cellStyle name="Percent 2 31" xfId="3072" xr:uid="{2F879306-3429-4C4A-9744-601E411BA450}"/>
    <cellStyle name="Percent 2 32" xfId="3073" xr:uid="{A513A3BA-139F-43F5-B70D-6B2A594EF083}"/>
    <cellStyle name="Percent 2 32 2" xfId="3620" xr:uid="{A5AA9B2F-39DA-4C43-A9F7-CD18140BC279}"/>
    <cellStyle name="Percent 2 33" xfId="3074" xr:uid="{8B506988-108B-4ABD-8BE9-6E4FDB31EBAA}"/>
    <cellStyle name="Percent 2 4" xfId="3075" xr:uid="{BC1003BA-C839-4326-8B1E-B5271C8E821F}"/>
    <cellStyle name="Percent 2 4 2" xfId="10902" xr:uid="{05225529-C165-4EBA-B70C-B064AC959891}"/>
    <cellStyle name="Percent 2 5" xfId="3076" xr:uid="{FF62AD97-6E80-4F2F-9754-F9E63191F1B4}"/>
    <cellStyle name="Percent 2 6" xfId="3077" xr:uid="{B50F9698-E780-4541-81CA-782B8E737C73}"/>
    <cellStyle name="Percent 2 7" xfId="3078" xr:uid="{F0F201FF-AE61-46B5-977C-53B09787EA52}"/>
    <cellStyle name="Percent 2 8" xfId="3079" xr:uid="{12C88B35-7867-43DE-8D4A-CC665FA15B36}"/>
    <cellStyle name="Percent 2 9" xfId="3080" xr:uid="{FE61A4A8-78A9-49D1-AA61-CBF7BC4034A0}"/>
    <cellStyle name="Percent 20" xfId="10903" xr:uid="{7C3E56E2-7147-4327-A787-9794D39AF00A}"/>
    <cellStyle name="Percent 20 2" xfId="10904" xr:uid="{11F6710A-8E49-4E14-8D02-3426DDC2258E}"/>
    <cellStyle name="Percent 21" xfId="10905" xr:uid="{AB208022-D9FE-4C29-A43D-D715A98496DF}"/>
    <cellStyle name="Percent 21 2" xfId="10906" xr:uid="{184842E5-2051-4964-9949-3E8E575FF5EA}"/>
    <cellStyle name="Percent 22" xfId="10907" xr:uid="{7244D933-1C3A-418F-9A06-EFC6AFD5C6EF}"/>
    <cellStyle name="Percent 22 2" xfId="10908" xr:uid="{A891DC1E-DF89-477F-80A2-0A6DAEFF72D1}"/>
    <cellStyle name="Percent 23" xfId="10909" xr:uid="{50DA1F20-FBD9-47E1-BD04-DEAE7DD10AD6}"/>
    <cellStyle name="Percent 23 2" xfId="10910" xr:uid="{036FF83C-AC5D-41E1-A255-91C738F8F264}"/>
    <cellStyle name="Percent 24" xfId="10911" xr:uid="{510D1267-E7A9-4346-8C77-45DBBDEA263D}"/>
    <cellStyle name="Percent 25" xfId="10912" xr:uid="{253E9C53-F7BE-4EDC-876B-B94886180397}"/>
    <cellStyle name="Percent 26" xfId="10913" xr:uid="{4D68A5DF-3498-48FD-9AEA-4A9C3D9116A5}"/>
    <cellStyle name="Percent 27" xfId="10914" xr:uid="{20CDC37D-7A71-428B-A24A-6E61DA1857FB}"/>
    <cellStyle name="Percent 28" xfId="10915" xr:uid="{C61C7B4B-22AA-45B7-A1AC-2131486005D0}"/>
    <cellStyle name="Percent 29" xfId="10916" xr:uid="{E6997057-4801-44D1-AFCF-732FECF3BC6F}"/>
    <cellStyle name="Percent 3" xfId="3081" xr:uid="{D7811F6A-5316-4DDB-99D4-CF97E2501B59}"/>
    <cellStyle name="Percent 3 2" xfId="3082" xr:uid="{5B7981C6-DBC7-43FA-915D-C8A814F9FB49}"/>
    <cellStyle name="Percent 3 3" xfId="3083" xr:uid="{4F0D4B53-2CD7-469F-812B-1B084839DC68}"/>
    <cellStyle name="Percent 3 4" xfId="3084" xr:uid="{2E3AC63F-58AB-484B-8996-AADE7624CF77}"/>
    <cellStyle name="Percent 30" xfId="10917" xr:uid="{6C10B5D0-1EBB-4856-94B9-CD8ED8E63808}"/>
    <cellStyle name="Percent 30 2" xfId="10918" xr:uid="{E29C08EC-5D92-4DC1-90AA-DF98109666AB}"/>
    <cellStyle name="Percent 31" xfId="10919" xr:uid="{9824573E-33A7-41F6-8E7D-07FC8C03B2BC}"/>
    <cellStyle name="Percent 32" xfId="10920" xr:uid="{452B3E68-E7A6-48CB-A651-E591FCB7E521}"/>
    <cellStyle name="Percent 33" xfId="10921" xr:uid="{EBFF6295-8B2A-48B5-B2D7-69B388AB945A}"/>
    <cellStyle name="Percent 34" xfId="10922" xr:uid="{E35C0D0B-D90A-490A-A242-6207D21525E4}"/>
    <cellStyle name="Percent 35" xfId="10923" xr:uid="{E2F6F4EA-2F6C-4644-A1DD-0945AD96BAD6}"/>
    <cellStyle name="Percent 36" xfId="10924" xr:uid="{F1B73E60-0435-4B15-B99C-3E1B30E85E09}"/>
    <cellStyle name="Percent 37" xfId="10925" xr:uid="{F6A1F016-222B-481A-A129-58BB697FD803}"/>
    <cellStyle name="Percent 38" xfId="10926" xr:uid="{8F974E43-8778-41C8-AD0D-5C1CCA1D2578}"/>
    <cellStyle name="Percent 39" xfId="10927" xr:uid="{025DB73C-C9C5-4D3A-8FC3-567033BE7BAC}"/>
    <cellStyle name="Percent 4" xfId="3085" xr:uid="{769AA6AC-6561-45E3-94D0-2072BAC25B6F}"/>
    <cellStyle name="Percent 4 2" xfId="3086" xr:uid="{F6075876-CFBC-43DF-B319-8EEF67E521D5}"/>
    <cellStyle name="Percent 4 3" xfId="3087" xr:uid="{19504BD7-C087-4128-B191-76E813555059}"/>
    <cellStyle name="Percent 40" xfId="11387" xr:uid="{CA983733-CC45-4755-A978-19378A924E3E}"/>
    <cellStyle name="Percent 41" xfId="11391" xr:uid="{90707644-39F1-4192-BFEA-7B794F090A69}"/>
    <cellStyle name="Percent 42" xfId="11395" xr:uid="{9848512A-B034-4628-A6AA-E86E10735C13}"/>
    <cellStyle name="Percent 43" xfId="11399" xr:uid="{DA7A3EC6-5B92-4F51-8A6D-EF6833E33B20}"/>
    <cellStyle name="Percent 44" xfId="11403" xr:uid="{1FFD1BDB-ABCE-46D9-9613-55E25C999483}"/>
    <cellStyle name="Percent 5" xfId="3088" xr:uid="{26EE8D33-B817-454F-B4B8-FD4813F78DFF}"/>
    <cellStyle name="Percent 5 2" xfId="3089" xr:uid="{53D365EB-7C28-41A5-B182-BD30DA5587B5}"/>
    <cellStyle name="Percent 5 2 2" xfId="3090" xr:uid="{7F71DA68-0A64-425B-9268-DB596B0D64BF}"/>
    <cellStyle name="Percent 6" xfId="3091" xr:uid="{8E339950-4470-4D15-B173-8920F94455B7}"/>
    <cellStyle name="Percent 6 2" xfId="3092" xr:uid="{23C9DE05-39F0-4389-8680-E1FEC7794E90}"/>
    <cellStyle name="Percent 6 2 2" xfId="3093" xr:uid="{3B8AA36E-1512-4D0E-9654-24FFAC5A554F}"/>
    <cellStyle name="Percent 7" xfId="3094" xr:uid="{D427400D-7742-40BD-A261-0B21FBC77DBE}"/>
    <cellStyle name="Percent 7 2" xfId="3095" xr:uid="{9218F08C-1851-40FF-B10E-318A7E0CA967}"/>
    <cellStyle name="Percent 8" xfId="3096" xr:uid="{97595CCF-59DA-4C32-A2AE-840253C4BB26}"/>
    <cellStyle name="Percent 8 2" xfId="3097" xr:uid="{A957FA9A-CF97-474B-A0B7-4BD34364BC8A}"/>
    <cellStyle name="Percent 9" xfId="3098" xr:uid="{FFC7AAE0-33C1-4652-90EF-6A6999DF2BDA}"/>
    <cellStyle name="Percent 9 2" xfId="10928" xr:uid="{DCF52483-394D-4F24-9CC2-FC9B8D86EA70}"/>
    <cellStyle name="PercentCenteredLocked" xfId="3099" xr:uid="{2D4AA7B7-9216-4145-9E86-318A96942EC8}"/>
    <cellStyle name="Period Title" xfId="3100" xr:uid="{464A45F8-9CB9-4C4D-BE6F-A0A529271715}"/>
    <cellStyle name="Period Title 2" xfId="3101" xr:uid="{A8A8A6F5-A54C-40CE-9516-A8F440FEC82D}"/>
    <cellStyle name="Period Title 2 2" xfId="10929" xr:uid="{6AB090E5-2D6A-462C-9D61-EB1CC5844D43}"/>
    <cellStyle name="Period Title 3" xfId="3102" xr:uid="{C294E41D-3609-46B6-A37B-E266D7BD439D}"/>
    <cellStyle name="Period Title 4" xfId="10930" xr:uid="{7166D43C-8066-4514-B2E7-4CD292F241B2}"/>
    <cellStyle name="Period Title_~2153298" xfId="10931" xr:uid="{237317F8-5D7E-4EC9-8A18-1C39E7F5B038}"/>
    <cellStyle name="PlanInput" xfId="3103" xr:uid="{BA24B8B0-25D4-4F2F-AC86-5520BCD404B9}"/>
    <cellStyle name="PlanInput 2" xfId="10932" xr:uid="{70FAF865-C9BC-4BA3-B3AD-C3250D8F2021}"/>
    <cellStyle name="PlanInput_Check Totals" xfId="10933" xr:uid="{56F9B4C8-C6B2-4042-A4FF-4C6845E41C25}"/>
    <cellStyle name="PlanProtected" xfId="3104" xr:uid="{1949D8C3-C345-420A-9DCD-F33A4ECBEA64}"/>
    <cellStyle name="PlanProtected 2" xfId="10934" xr:uid="{34062BB6-A48B-46E1-8345-0F5FB2B82E3C}"/>
    <cellStyle name="PlanProtected_Check Totals" xfId="10935" xr:uid="{61FD8655-A80B-4F79-9595-4D866F5F00C6}"/>
    <cellStyle name="PrePop Currency (0)" xfId="3105" xr:uid="{61807E0C-0595-4DC1-954B-6A11F9C3BD1E}"/>
    <cellStyle name="PrePop Currency (0) 2" xfId="10936" xr:uid="{43109224-8C5A-4DD6-B522-6866E740EEF9}"/>
    <cellStyle name="PrePop Currency (2)" xfId="3106" xr:uid="{975738AE-7044-44AA-89C4-6A3F6D83DD32}"/>
    <cellStyle name="PrePop Currency (2) 2" xfId="10937" xr:uid="{41EA3D58-2B66-464A-9275-B81A9F85F68D}"/>
    <cellStyle name="PrePop Units (0)" xfId="3107" xr:uid="{DC115AB7-117E-44A5-A2EB-E766D5A4C207}"/>
    <cellStyle name="PrePop Units (0) 2" xfId="10938" xr:uid="{BC347648-264B-4DC6-8F88-CDE4C1B1E829}"/>
    <cellStyle name="PrePop Units (1)" xfId="3108" xr:uid="{19ED0C74-85C7-4F0D-9494-585F9E0FF386}"/>
    <cellStyle name="PrePop Units (1) 2" xfId="10939" xr:uid="{8777578B-4349-4D70-8141-D53AE199833F}"/>
    <cellStyle name="PrePop Units (2)" xfId="3109" xr:uid="{19F9F616-6154-4C91-B976-72C888706483}"/>
    <cellStyle name="PrePop Units (2) 2" xfId="10940" xr:uid="{DB95A4D4-3C93-4FAA-89BA-C60477E5E591}"/>
    <cellStyle name="Presentation Currency" xfId="10941" xr:uid="{BEBAB1F3-653F-4F3B-B99E-F5983F770822}"/>
    <cellStyle name="Presentation Date" xfId="10942" xr:uid="{7D9E1ED0-E715-4A5A-B957-4ABE06FE2529}"/>
    <cellStyle name="Presentation Heading 1" xfId="10943" xr:uid="{D726B080-4562-415C-A74C-E53FB4D68946}"/>
    <cellStyle name="Presentation Heading 2" xfId="10944" xr:uid="{454C308B-96BD-43EE-978D-4F0167774DB3}"/>
    <cellStyle name="Presentation Heading 3" xfId="10945" xr:uid="{2AD07B60-E3F3-4541-8315-E45EC5692E4E}"/>
    <cellStyle name="Presentation Heading 4" xfId="10946" xr:uid="{1DFE3330-9137-4964-8CE3-6D7506CD3400}"/>
    <cellStyle name="Presentation Hyperlink Arrow" xfId="10947" xr:uid="{34316F8B-389B-41C4-B135-E94E6ECA9D54}"/>
    <cellStyle name="Presentation Hyperlink Check" xfId="10948" xr:uid="{734FA42F-CB34-4AE8-B91E-309D80E3F357}"/>
    <cellStyle name="Presentation Hyperlink Text" xfId="10949" xr:uid="{1220A1B6-DFB7-44E0-8688-38D850B5C8DD}"/>
    <cellStyle name="Presentation Model Name" xfId="10950" xr:uid="{74536AFB-28B7-4145-A0A6-91D13965E54D}"/>
    <cellStyle name="Presentation Multiple" xfId="10951" xr:uid="{BFA5C0B9-5C26-459C-A80E-B19F66122B75}"/>
    <cellStyle name="Presentation Normal" xfId="10952" xr:uid="{D657AA6B-4C13-4017-9B77-654A51D70319}"/>
    <cellStyle name="Presentation Number" xfId="10953" xr:uid="{F73DC7C2-3BE9-4AA7-A510-662E6F49C3C8}"/>
    <cellStyle name="Presentation Percentage" xfId="10954" xr:uid="{5CDFBF17-A476-430D-AE79-4C40B774AE14}"/>
    <cellStyle name="Presentation Period Title" xfId="10955" xr:uid="{45A7119A-FF07-4A03-8A5C-978B0425345A}"/>
    <cellStyle name="Presentation Section Number" xfId="10956" xr:uid="{38F8B2D8-9AE9-418A-A5D3-DEFEEF6DD0CF}"/>
    <cellStyle name="Presentation Sheet Title" xfId="10957" xr:uid="{2A74FC0D-06A7-4433-9DD8-919900801E0B}"/>
    <cellStyle name="Presentation Year" xfId="10958" xr:uid="{A2C20E79-C63A-4C8B-BF9F-71C443A2A29E}"/>
    <cellStyle name="Prozent_public general lbos" xfId="3110" xr:uid="{B92B0E03-D62F-4BAE-B135-D158911ECE7B}"/>
    <cellStyle name="PSChar" xfId="3111" xr:uid="{4BC0A3AF-AE6C-4C96-8090-1F771DAA1FF3}"/>
    <cellStyle name="PSChar 2" xfId="3112" xr:uid="{F2B18DBA-92A3-496D-9A61-C7D84C928154}"/>
    <cellStyle name="PSChar 2 2" xfId="10959" xr:uid="{B6543A2A-F2D3-4C98-80FD-6C782C388DC8}"/>
    <cellStyle name="PSChar 3" xfId="3113" xr:uid="{39D1BF54-70A5-4A68-9B88-1407F177DC55}"/>
    <cellStyle name="PSChar 3 2" xfId="10960" xr:uid="{E2E81B87-445D-4BB3-B244-5065E267F87F}"/>
    <cellStyle name="PSChar 4" xfId="10961" xr:uid="{70C78B48-1327-4CDB-96C2-5CF69F56E0F3}"/>
    <cellStyle name="PSChar 5" xfId="10962" xr:uid="{F105FB0D-C44D-43CC-AAA2-456090830088}"/>
    <cellStyle name="PSDate" xfId="3114" xr:uid="{66915EEA-10D4-4ED3-9327-D82CA35D9706}"/>
    <cellStyle name="PSDate 2" xfId="3115" xr:uid="{5E4D4022-971F-4F72-9E18-91C5450AE7B5}"/>
    <cellStyle name="PSDate 2 2" xfId="10963" xr:uid="{92149CCA-2BDB-4E05-B21E-B276F0693DE8}"/>
    <cellStyle name="PSDate 3" xfId="3116" xr:uid="{17554E17-6F25-4D62-8017-BC042EA8DB03}"/>
    <cellStyle name="PSDate 3 2" xfId="10964" xr:uid="{018549D9-C5E4-41C3-B62C-DE13E7BED5F6}"/>
    <cellStyle name="PSDate 4" xfId="10965" xr:uid="{398BC8BC-06FA-47D7-BE55-A104D1230B09}"/>
    <cellStyle name="PSDate 5" xfId="10966" xr:uid="{263E0434-E648-4BDC-A452-DCD87EC46340}"/>
    <cellStyle name="PSDec" xfId="3117" xr:uid="{1FF88DF9-91B5-4717-8AC5-2F1842F83EAA}"/>
    <cellStyle name="PSDec 2" xfId="3118" xr:uid="{BC3311D3-D229-4770-AC28-FA096AD3E01E}"/>
    <cellStyle name="PSDec 2 2" xfId="10967" xr:uid="{B0010919-A7E1-4BC1-A2CD-CAC2390D6980}"/>
    <cellStyle name="PSDec 3" xfId="3119" xr:uid="{FD10AD6B-399F-4C52-AD7E-05B64EC10E31}"/>
    <cellStyle name="PSDec 3 2" xfId="10968" xr:uid="{A3DC638C-22AD-4731-8BD0-5D51F716250C}"/>
    <cellStyle name="PSDec 4" xfId="10969" xr:uid="{550B58D8-F8C1-43E8-B1EE-97B09956F01F}"/>
    <cellStyle name="PSDec 5" xfId="10970" xr:uid="{3A7D10BD-B175-4644-988B-258804793B23}"/>
    <cellStyle name="PSDetail" xfId="3120" xr:uid="{01507FD8-61BB-4095-88E9-21B8F5B6E627}"/>
    <cellStyle name="PSDetail 10" xfId="10971" xr:uid="{6F163A93-34A8-4156-B87F-45BA3C2D0724}"/>
    <cellStyle name="PSDetail 11" xfId="10972" xr:uid="{750C2194-DFF9-4A71-90FA-05FC3A2BA082}"/>
    <cellStyle name="PSDetail 11 2" xfId="10973" xr:uid="{089DF309-D452-4A77-9D68-D5A2B9251892}"/>
    <cellStyle name="PSDetail 2" xfId="3121" xr:uid="{1B7C5B03-E4C8-41A1-BF9C-65C433445BF4}"/>
    <cellStyle name="PSDetail 2 2" xfId="10974" xr:uid="{10092F6A-7EE8-4309-A145-9DB526BAC45C}"/>
    <cellStyle name="PSDetail 2 3" xfId="10975" xr:uid="{72BAC1D6-AD8A-4BEE-A5A8-23116B553044}"/>
    <cellStyle name="PSDetail 2 4" xfId="10976" xr:uid="{2D0A797C-4513-4670-AB56-B935E8B9B7C6}"/>
    <cellStyle name="PSDetail 2 5" xfId="10977" xr:uid="{F8E3D477-3EA3-42DA-BC59-B1839810BE42}"/>
    <cellStyle name="PSDetail 2 6" xfId="10978" xr:uid="{CDECE86B-A34B-4543-B529-DDCBF4C9CF84}"/>
    <cellStyle name="PSDetail 2 7" xfId="10979" xr:uid="{932CC493-C5C5-4936-87FB-4D5C2F33E83A}"/>
    <cellStyle name="PSDetail 2 7 2" xfId="10980" xr:uid="{C0993FE5-D0D7-4418-BB2F-429E0AD69950}"/>
    <cellStyle name="PSDetail 3" xfId="10981" xr:uid="{3BD0481B-7169-4A82-8F75-46CAB78CD079}"/>
    <cellStyle name="PSDetail 4" xfId="10982" xr:uid="{766144CD-DA52-405D-9D54-A7546A2F28EC}"/>
    <cellStyle name="PSDetail 5" xfId="10983" xr:uid="{83D4D2C8-FEF9-4D19-A388-F2DF0EDCF3C8}"/>
    <cellStyle name="PSDetail 6" xfId="10984" xr:uid="{34BEC703-9517-47A1-BA65-0F001AE6EFBD}"/>
    <cellStyle name="PSDetail 7" xfId="10985" xr:uid="{CACD373D-60C3-45AC-B94A-F7B2874E89BA}"/>
    <cellStyle name="PSDetail 7 2" xfId="10986" xr:uid="{ED3BB5B8-0CCA-40DE-9FB0-581144457014}"/>
    <cellStyle name="PSDetail 8" xfId="10987" xr:uid="{C6E00226-B28C-4B45-9E8E-9C47442E19C4}"/>
    <cellStyle name="PSDetail 9" xfId="10988" xr:uid="{B863F809-132B-4CE2-8E81-E971B5DF05D6}"/>
    <cellStyle name="PSDetail_~2153298" xfId="10989" xr:uid="{242F574E-C82F-422C-AE8D-EFB266EE6404}"/>
    <cellStyle name="PSHeading" xfId="3122" xr:uid="{6BE597AE-344C-445B-B56C-34CA03EBC1A7}"/>
    <cellStyle name="PSHeading 2" xfId="3123" xr:uid="{1FADE68A-3803-40EB-82F5-6573E94090C2}"/>
    <cellStyle name="PSHeading 2 2" xfId="10991" xr:uid="{F99B392F-4B4F-43F2-BAE8-410CC7B274BD}"/>
    <cellStyle name="PSHeading 2 2 2" xfId="11380" xr:uid="{37F2957C-302B-499D-8C3D-EB15E1B98DDC}"/>
    <cellStyle name="PSHeading 2 2 2 2" xfId="11514" xr:uid="{28D0C5D7-5666-492A-B86C-F3DA12586586}"/>
    <cellStyle name="PSHeading 2 2 3" xfId="11346" xr:uid="{B056F8DD-F43D-4BEB-A3E1-615B1A46DFCC}"/>
    <cellStyle name="PSHeading 2 2 3 2" xfId="11501" xr:uid="{0E53A51D-C95C-40C5-BD3A-3DE79898A3B7}"/>
    <cellStyle name="PSHeading 2 2 3 2 2" xfId="11585" xr:uid="{A6B0FA64-3B8E-4B99-B5AF-CDA811BA14DB}"/>
    <cellStyle name="PSHeading 2 2 3 3" xfId="11544" xr:uid="{45A18B88-F6B7-4267-8145-9E5ED2441423}"/>
    <cellStyle name="PSHeading 2 2 4" xfId="11487" xr:uid="{580D77F8-6CFA-4866-B8DB-B3113F55F13E}"/>
    <cellStyle name="PSHeading 2 3" xfId="10990" xr:uid="{948AD61A-D71F-47A6-A91C-36405E36E539}"/>
    <cellStyle name="PSHeading 2 3 2" xfId="11486" xr:uid="{8420F839-99C1-4A09-A194-E31FF4A7B818}"/>
    <cellStyle name="PSHeading 2 4" xfId="11442" xr:uid="{6E4FAA57-6AB5-489F-91C8-7D416DA199CD}"/>
    <cellStyle name="PSHeading 2 4 2" xfId="11575" xr:uid="{8601DB99-3B50-4975-A59D-D5BDEF0BA2CB}"/>
    <cellStyle name="PSHeading 3" xfId="3124" xr:uid="{3A0283B2-1DC0-47E0-97AB-8668F17D1DCC}"/>
    <cellStyle name="PSHeading 3 2" xfId="10993" xr:uid="{9F049BDF-3F97-4E37-9A0F-E3CE42C952FE}"/>
    <cellStyle name="PSHeading 3 2 2" xfId="11381" xr:uid="{0B5B7AB8-5E20-4194-A98E-2AFAA4B4ED48}"/>
    <cellStyle name="PSHeading 3 2 2 2" xfId="11515" xr:uid="{FA488D01-9D78-4EAF-996D-322F5F722955}"/>
    <cellStyle name="PSHeading 3 2 3" xfId="11347" xr:uid="{F6CEC80D-51A9-43DE-8869-D5604ED5D0F0}"/>
    <cellStyle name="PSHeading 3 2 3 2" xfId="11502" xr:uid="{C31E81EC-ED20-47F3-80F0-0F82253C73BF}"/>
    <cellStyle name="PSHeading 3 2 3 2 2" xfId="11586" xr:uid="{7043489E-3FE2-478E-BE04-9E3F41CD90E8}"/>
    <cellStyle name="PSHeading 3 2 3 3" xfId="11545" xr:uid="{62FC22A2-A6DB-42C1-BCEE-C9321547D4E5}"/>
    <cellStyle name="PSHeading 3 2 4" xfId="11489" xr:uid="{2F0BBFBC-BD54-49CF-B716-13D9A4F971C4}"/>
    <cellStyle name="PSHeading 3 3" xfId="10992" xr:uid="{31236B70-E8B4-4743-9FF5-44CBFF1C5B29}"/>
    <cellStyle name="PSHeading 3 3 2" xfId="11488" xr:uid="{8A1B579B-9E67-4B10-A7E2-435BA27CB453}"/>
    <cellStyle name="PSHeading 3 4" xfId="11443" xr:uid="{C36C92B5-6710-4DA9-9772-67645418CB04}"/>
    <cellStyle name="PSHeading 3 4 2" xfId="11576" xr:uid="{A7459BE7-B2A6-4524-8D73-4D51F97AB00E}"/>
    <cellStyle name="PSHeading 4" xfId="10994" xr:uid="{F3E646DE-2769-43F9-A4FD-8DA0BCEAF82E}"/>
    <cellStyle name="PSHeading 4 2" xfId="11382" xr:uid="{D040C303-42AE-46D7-AC6E-02D50B33D13B}"/>
    <cellStyle name="PSHeading 4 2 2" xfId="11516" xr:uid="{1E95B768-8AB7-44CD-83C8-6527E777D026}"/>
    <cellStyle name="PSHeading 4 3" xfId="11348" xr:uid="{05C42385-8EC7-48AA-BFF0-784DD4158111}"/>
    <cellStyle name="PSHeading 4 3 2" xfId="11503" xr:uid="{DB6F855C-BA93-4C1D-9BFC-5965242BAC73}"/>
    <cellStyle name="PSHeading 4 3 2 2" xfId="11587" xr:uid="{E7E66B12-8B6E-4B8E-99F6-428519466E09}"/>
    <cellStyle name="PSHeading 4 3 3" xfId="11546" xr:uid="{D79CCA1C-2CC9-4B7C-B26E-A85D7979CCBF}"/>
    <cellStyle name="PSHeading 4 4" xfId="11490" xr:uid="{36AF6726-4715-401B-AD06-A540F92014B6}"/>
    <cellStyle name="PSHeading 5" xfId="10995" xr:uid="{74B223A1-2BC7-4464-A615-2D94B383F525}"/>
    <cellStyle name="PSHeading 5 2" xfId="11383" xr:uid="{F7CB33BB-B86A-4ED9-B833-9A54C6BD021C}"/>
    <cellStyle name="PSHeading 5 2 2" xfId="11517" xr:uid="{57508693-1D3B-428F-BF52-FB09A845DE0F}"/>
    <cellStyle name="PSHeading 5 3" xfId="11349" xr:uid="{8865FA74-C3BA-4FF8-9497-DB90F5016638}"/>
    <cellStyle name="PSHeading 5 3 2" xfId="11504" xr:uid="{405864FD-1C13-45D2-9555-C5579394F7FF}"/>
    <cellStyle name="PSHeading 5 3 2 2" xfId="11588" xr:uid="{7AD4DD60-24CC-40DF-BC13-33FD93443F72}"/>
    <cellStyle name="PSHeading 5 3 3" xfId="11547" xr:uid="{B141580D-D7C0-4137-A207-2C3F60D4A2BA}"/>
    <cellStyle name="PSHeading 5 4" xfId="11491" xr:uid="{ECCE61DD-D75F-42FA-8E53-EC69D8DC326B}"/>
    <cellStyle name="PSHeading 6" xfId="3562" xr:uid="{2EB0BB00-4554-4E71-9554-553A509D403A}"/>
    <cellStyle name="PSHeading 6 2" xfId="11465" xr:uid="{75FC6364-E874-4064-B462-83DD4852D956}"/>
    <cellStyle name="PSHeading 7" xfId="11441" xr:uid="{F63467D0-756A-4BBC-B86E-74D65C35421D}"/>
    <cellStyle name="PSHeading 7 2" xfId="11574" xr:uid="{D4452D5B-2CBE-4994-8EAA-172A8FB8C53E}"/>
    <cellStyle name="PSHeading_~2153298" xfId="10996" xr:uid="{BA497466-562D-4C7C-ACB5-6E27797B6E4C}"/>
    <cellStyle name="PSInt" xfId="3125" xr:uid="{A78DD2F6-689C-41A4-91B1-8A3C691672D3}"/>
    <cellStyle name="PSInt 2" xfId="3126" xr:uid="{350165AE-96DD-4793-955B-0ABF20B69ECA}"/>
    <cellStyle name="PSInt 2 2" xfId="10997" xr:uid="{4FC5260E-F59C-42BE-A134-D78EBB80828B}"/>
    <cellStyle name="PSInt 3" xfId="3127" xr:uid="{A98033E2-DE4C-4BB1-8FE7-6BBE9CA97BC7}"/>
    <cellStyle name="PSInt 3 2" xfId="10998" xr:uid="{778F600A-B77D-4BBF-AC9A-A7117C163049}"/>
    <cellStyle name="PSInt 4" xfId="10999" xr:uid="{ABD4EC55-93FE-48EF-8220-DCB731794DF1}"/>
    <cellStyle name="PSInt 5" xfId="11000" xr:uid="{547F93FD-6EB8-4A2F-94CF-772A5FA09C6C}"/>
    <cellStyle name="PSSpacer" xfId="3128" xr:uid="{164355D3-2093-49D6-B8C5-F378E2DA8FFA}"/>
    <cellStyle name="PSSpacer 2" xfId="3129" xr:uid="{843B2B66-8F54-45EB-A6D9-50AE06E85607}"/>
    <cellStyle name="PSSpacer 2 2" xfId="11001" xr:uid="{C7C1AF6F-42B5-443B-B404-3ABBBDF6CB11}"/>
    <cellStyle name="PSSpacer 3" xfId="3130" xr:uid="{1679F19B-BEE7-49EB-8234-69E2D1F273D2}"/>
    <cellStyle name="PSSpacer 3 2" xfId="11002" xr:uid="{A3E13E8B-0BAC-4EDC-9404-4B0AE9C26FB5}"/>
    <cellStyle name="PSSpacer 4" xfId="11003" xr:uid="{68C2A15F-ECE6-44DD-BE91-7CFEA90F0EC8}"/>
    <cellStyle name="PSSpacer 5" xfId="11004" xr:uid="{42223F71-A7B0-4C44-B888-D7600A6C25EB}"/>
    <cellStyle name="Rate" xfId="3131" xr:uid="{1A9413F1-A4C3-4F46-9641-E5329569E118}"/>
    <cellStyle name="Rate 2" xfId="3132" xr:uid="{BDEAB6C3-64D0-4DEC-8380-901789C83A95}"/>
    <cellStyle name="Rate 3" xfId="3133" xr:uid="{2B9305D2-7C4F-45E5-9DAD-BDCF173DAAA1}"/>
    <cellStyle name="Rate 4" xfId="11005" xr:uid="{07D0065A-486D-443A-BBDF-A3887B4A2B51}"/>
    <cellStyle name="Rate_~2153298" xfId="11006" xr:uid="{3E1B50E9-7D05-4FB5-BC20-6B24D719F1FA}"/>
    <cellStyle name="Rates" xfId="11007" xr:uid="{412D5BB2-2264-4503-AB4F-D271507B4140}"/>
    <cellStyle name="realtime" xfId="11008" xr:uid="{246DF31C-1281-4A38-A5DD-E8136E641A86}"/>
    <cellStyle name="Reg1" xfId="11009" xr:uid="{D51DA253-1D01-4A8C-8953-0EACA1287115}"/>
    <cellStyle name="Reg2" xfId="11010" xr:uid="{16C1C1CE-2E09-4EC9-96E7-E8894DEA48FD}"/>
    <cellStyle name="Reg3" xfId="11011" xr:uid="{0C46090F-376E-4425-9D55-3C5186532A3A}"/>
    <cellStyle name="Reg4" xfId="11012" xr:uid="{DF5BE9D6-B0CC-4D56-9E49-7B19F13C625E}"/>
    <cellStyle name="Reg5" xfId="11013" xr:uid="{B6B07741-0171-465F-9D60-1D10B56DF362}"/>
    <cellStyle name="Reg6" xfId="11014" xr:uid="{AE5E624E-F2D6-439A-8591-6BBEC8361AE7}"/>
    <cellStyle name="Reg7" xfId="11015" xr:uid="{A43A4BE0-FE0E-4679-B17C-1E7F783B6F07}"/>
    <cellStyle name="Reg8" xfId="11016" xr:uid="{40A4DDC1-5CAF-4A5B-8AB9-CAE1E075A9E9}"/>
    <cellStyle name="Reg9" xfId="11017" xr:uid="{612C22B7-7B70-4004-872B-43785732F31D}"/>
    <cellStyle name="Region Heading" xfId="3134" xr:uid="{3D19E21A-8379-465D-B5F3-08F2B3C92EF1}"/>
    <cellStyle name="Report_Date" xfId="11018" xr:uid="{5FA51015-78A9-4C38-8ED1-ABA760CEE755}"/>
    <cellStyle name="ReportTitlePrompt" xfId="11019" xr:uid="{2FBFDFB1-641D-4228-A58B-F132B4B54B1A}"/>
    <cellStyle name="ReportTitleValue" xfId="11020" xr:uid="{CC0185F2-4824-4438-A1A5-C2F93400BA37}"/>
    <cellStyle name="result" xfId="11021" xr:uid="{39434798-C599-4831-9F0F-2D1E0225FD98}"/>
    <cellStyle name="Right Currency" xfId="3135" xr:uid="{11D85615-9528-4D53-9E15-737C5046DEC7}"/>
    <cellStyle name="Right Currency 2" xfId="3136" xr:uid="{FD2281BF-6AA7-4C23-85F4-A3AC4B93D788}"/>
    <cellStyle name="Right Currency 2 2" xfId="3137" xr:uid="{CF43191E-D51C-46D5-B9A8-890D97A9B7E7}"/>
    <cellStyle name="Right Currency 2 3" xfId="3138" xr:uid="{7B56127C-FF80-42F9-A82A-01787AB4FC0E}"/>
    <cellStyle name="Right Currency 3" xfId="3139" xr:uid="{89851C4A-825B-460B-BE5F-947402809817}"/>
    <cellStyle name="Right Currency 3 2" xfId="11022" xr:uid="{292D8165-1DFB-4E8C-B5B6-D30BE332A41C}"/>
    <cellStyle name="Right Currency 4" xfId="3140" xr:uid="{337881F1-7136-4E40-91E8-1F58DDED0FE4}"/>
    <cellStyle name="Right Currency 4 2" xfId="11023" xr:uid="{420F3231-5896-4990-BC45-78A559ED8201}"/>
    <cellStyle name="Right Currency_~2153298" xfId="11024" xr:uid="{143B1C1B-9269-4F92-9FAC-EAB7D053C9BA}"/>
    <cellStyle name="Right Date" xfId="3141" xr:uid="{F3834401-3854-45A1-B96A-91858670763F}"/>
    <cellStyle name="Right Date 2" xfId="3142" xr:uid="{8FF74F56-649B-48DC-8E60-423379EAF7E1}"/>
    <cellStyle name="Right Date 2 2" xfId="3143" xr:uid="{A76752A0-25B5-4BF6-B579-9015492107DE}"/>
    <cellStyle name="Right Date 3" xfId="3144" xr:uid="{D21D1B69-7A91-4FFF-8C49-439CC0AFC0CB}"/>
    <cellStyle name="Right Date 4" xfId="11025" xr:uid="{98D4D8F5-1F09-4E7C-B2E8-F1B7F46AF808}"/>
    <cellStyle name="Right Date_~2153298" xfId="11026" xr:uid="{244C64AB-8E25-464E-812F-3FF6A90EAC51}"/>
    <cellStyle name="Right Multiple" xfId="3145" xr:uid="{C91A4E6D-EE2B-4383-A83E-7FC92279F9BD}"/>
    <cellStyle name="Right Multiple 2" xfId="3146" xr:uid="{259FF68E-6D19-45FE-8BD7-7E8FEF9768B6}"/>
    <cellStyle name="Right Multiple 2 2" xfId="3147" xr:uid="{9794A56C-962C-4D58-855E-7653FC4913D3}"/>
    <cellStyle name="Right Multiple 2 3" xfId="3148" xr:uid="{0B571016-6428-4DE5-9A1B-279AAF090E05}"/>
    <cellStyle name="Right Multiple 3" xfId="3149" xr:uid="{9298C8B9-C254-4CEE-AEE9-7A4E59CCDCF7}"/>
    <cellStyle name="Right Multiple 3 2" xfId="11027" xr:uid="{E93C71B3-F46A-4B6E-AF0E-D752B9104F69}"/>
    <cellStyle name="Right Multiple 4" xfId="11028" xr:uid="{7C3475F3-4B8C-43A0-9557-A9F6DF50AB59}"/>
    <cellStyle name="Right Multiple_~2153298" xfId="11029" xr:uid="{FD6E8912-98DB-4F5E-9EE9-92BF1981F7FA}"/>
    <cellStyle name="Right Number" xfId="3150" xr:uid="{B934D9B1-DFB6-4A89-B946-153129434F98}"/>
    <cellStyle name="Right Number 2" xfId="3151" xr:uid="{15F8326F-7321-4511-AC64-25DD8D60C93F}"/>
    <cellStyle name="Right Number 2 2" xfId="3152" xr:uid="{5A5C3E6E-B056-436E-9A6E-642342492F11}"/>
    <cellStyle name="Right Number 2 3" xfId="3153" xr:uid="{AD60E777-88B0-4A67-8F52-354FCE98D595}"/>
    <cellStyle name="Right Number 3" xfId="3154" xr:uid="{AF09B391-E257-4097-84F7-7A523A5FED79}"/>
    <cellStyle name="Right Number 3 2" xfId="11030" xr:uid="{88433066-E1AD-438B-986B-EAFE4A10F665}"/>
    <cellStyle name="Right Number 4" xfId="11031" xr:uid="{1C411611-E71B-4CA0-9BE9-C4B873E6F061}"/>
    <cellStyle name="Right Number_~2153298" xfId="11032" xr:uid="{111EB488-6535-479B-9E85-1F7457688EC0}"/>
    <cellStyle name="Right Percentage" xfId="3155" xr:uid="{0C569C8D-6EBE-44A2-BEC8-B03B40B093CD}"/>
    <cellStyle name="Right Percentage 2" xfId="3156" xr:uid="{283C8626-4051-4C44-9D4F-761F3051CA38}"/>
    <cellStyle name="Right Percentage 2 2" xfId="3157" xr:uid="{7EED0CDF-7DE7-4DA2-B07C-A9C17D8E26A2}"/>
    <cellStyle name="Right Percentage 2 3" xfId="3158" xr:uid="{B12ADD68-A132-491C-9D1D-DBAECCE4FC36}"/>
    <cellStyle name="Right Percentage 3" xfId="3159" xr:uid="{6663106F-8EEE-4900-A199-027E9E48F744}"/>
    <cellStyle name="Right Percentage 3 2" xfId="11033" xr:uid="{BB50F841-7B09-4482-AA6F-4A5361B59FC1}"/>
    <cellStyle name="Right Percentage 4" xfId="11034" xr:uid="{0B267688-4212-4C1C-8E25-CFBF9FF18E0D}"/>
    <cellStyle name="Right Percentage_~2153298" xfId="11035" xr:uid="{807A1464-2EFA-48AC-B9AE-A9EDBE749F3A}"/>
    <cellStyle name="Right Year" xfId="3160" xr:uid="{7311038C-F807-4066-B66F-857BC743B3E0}"/>
    <cellStyle name="Right Year 2" xfId="3161" xr:uid="{A6646993-A332-404C-9107-FFDB69A06663}"/>
    <cellStyle name="Right Year 2 2" xfId="3162" xr:uid="{E31680B9-B6BA-4C66-BF77-B1ABDA65A623}"/>
    <cellStyle name="Right Year 3" xfId="3163" xr:uid="{77FAA8C7-D6B8-4221-B4BB-E8E79FDCD444}"/>
    <cellStyle name="Right Year 4" xfId="11036" xr:uid="{E8958CE8-E6A6-420D-991F-C53235D474B9}"/>
    <cellStyle name="Right Year_~2153298" xfId="11037" xr:uid="{54FAA7A3-9C23-4C9D-82B5-D10E27D767F4}"/>
    <cellStyle name="Row_column_header" xfId="11038" xr:uid="{DF07D717-18CA-4A60-B68C-AD5BC00A544A}"/>
    <cellStyle name="RowAcctAbovePrompt" xfId="11039" xr:uid="{974C6671-4800-48A1-A204-2CCDBA0DCCD6}"/>
    <cellStyle name="RowAcctSOBAbovePrompt" xfId="11040" xr:uid="{1C306AC8-E639-4035-9369-B4381A5BED18}"/>
    <cellStyle name="RowAcctSOBValue" xfId="11041" xr:uid="{0DABEDF4-87B3-43F1-8FD3-039C0355E5E8}"/>
    <cellStyle name="RowAcctValue" xfId="11042" xr:uid="{A431F4F1-5F38-4AAB-9F6D-EE23C108C172}"/>
    <cellStyle name="RowAttrAbovePrompt" xfId="11043" xr:uid="{6009D48E-AB49-4E6D-B575-7B08DAC79082}"/>
    <cellStyle name="RowAttrValue" xfId="11044" xr:uid="{EDF8CD4E-F014-41E2-AE08-CDF6A868A25F}"/>
    <cellStyle name="RowColSetAbovePrompt" xfId="11045" xr:uid="{F727DEB9-9695-4D83-8E1F-0B4E26F23CA9}"/>
    <cellStyle name="RowColSetLeftPrompt" xfId="11046" xr:uid="{D2D570F1-2CB6-4E38-B238-4F8765063AF8}"/>
    <cellStyle name="RowColSetValue" xfId="11047" xr:uid="{18ED12AA-E584-4DA8-9F68-337804DA663B}"/>
    <cellStyle name="RowLeftPrompt" xfId="11048" xr:uid="{B02E9619-F678-4D06-A2A5-4E6EA1CAB04D}"/>
    <cellStyle name="rt" xfId="11049" xr:uid="{2B361C99-280F-4EE6-A572-65E0F033DD04}"/>
    <cellStyle name="SampleUsingFormatMask" xfId="11050" xr:uid="{D587D9E6-4442-40E9-9194-CC2649A7F2B6}"/>
    <cellStyle name="SampleWithNoFormatMask" xfId="11051" xr:uid="{D5313547-7F0C-48A1-B5D2-10F5431D1120}"/>
    <cellStyle name="SAPBEXaggData" xfId="3164" xr:uid="{FAAB5A96-01CD-4F79-B865-8257339862EA}"/>
    <cellStyle name="SAPBEXaggData 2" xfId="3165" xr:uid="{D33610BF-D49D-4087-8FE5-7D5F4FAC3154}"/>
    <cellStyle name="SAPBEXaggData 3" xfId="3166" xr:uid="{C9D8225C-C3A1-475D-B7C2-675FC1A1BC54}"/>
    <cellStyle name="SAPBEXaggData 4" xfId="3167" xr:uid="{6509966D-61BD-4388-A4E7-63EA9A9FF4AC}"/>
    <cellStyle name="SAPBEXaggData 5" xfId="11052" xr:uid="{BABB611B-E24C-469B-9636-49154766D557}"/>
    <cellStyle name="SAPBEXaggData_~2153298" xfId="11053" xr:uid="{60554F49-DC55-442F-9E28-3400FD79DFD0}"/>
    <cellStyle name="SAPBEXaggDataEmph" xfId="3168" xr:uid="{6BB3C424-CCDC-4DE8-9D07-784468EDBB4C}"/>
    <cellStyle name="SAPBEXaggDataEmph 2" xfId="3169" xr:uid="{B79C6D38-0C52-486E-9608-D2B24DB62776}"/>
    <cellStyle name="SAPBEXaggDataEmph 3" xfId="11054" xr:uid="{37B9F4DD-5EB9-44AD-B30C-88CF0EEBBAE6}"/>
    <cellStyle name="SAPBEXaggDataEmph 4" xfId="11055" xr:uid="{E05ACB18-E158-44BA-B67D-37DFB42A3A43}"/>
    <cellStyle name="SAPBEXaggDataEmph 5" xfId="11056" xr:uid="{C0F09B29-CE30-4DD6-B15B-7AFF7D9A1E78}"/>
    <cellStyle name="SAPBEXaggDataEmph_~2153298" xfId="11057" xr:uid="{68882D62-1C0F-4844-81EF-1F73EF07D956}"/>
    <cellStyle name="SAPBEXaggItem" xfId="3170" xr:uid="{197F3B43-D585-42F2-915B-49C8243E8CE5}"/>
    <cellStyle name="SAPBEXaggItem 2" xfId="3171" xr:uid="{D2D7BC1E-3F20-4C71-A398-2CE1FB3D6446}"/>
    <cellStyle name="SAPBEXaggItem 3" xfId="3172" xr:uid="{22753D60-8189-42BE-97FF-0AB2D8DEAE1F}"/>
    <cellStyle name="SAPBEXaggItem 4" xfId="3173" xr:uid="{6EC8FFC2-9F8A-408F-ABCC-25555219E5BF}"/>
    <cellStyle name="SAPBEXaggItem 4 2" xfId="11058" xr:uid="{82C52B15-89A5-4336-B1D3-75AD0574835E}"/>
    <cellStyle name="SAPBEXaggItem 5" xfId="11059" xr:uid="{6FA196E7-F974-4809-9A81-8A2A933A5D46}"/>
    <cellStyle name="SAPBEXaggItem_~2153298" xfId="11060" xr:uid="{08B21925-6BA1-4ABC-997B-C338CC7328E6}"/>
    <cellStyle name="SAPBEXchaText" xfId="3174" xr:uid="{D83132E9-ACB4-45CD-87AC-A3A2FBE1165A}"/>
    <cellStyle name="SAPBEXchaText 2" xfId="3175" xr:uid="{E6F21D72-D524-4728-AE4C-57C596F692D9}"/>
    <cellStyle name="SAPBEXchaText 3" xfId="3176" xr:uid="{09EF41F1-7974-4AC3-94DD-5FBAFF84629B}"/>
    <cellStyle name="SAPBEXchaText 4" xfId="11061" xr:uid="{6899340B-4922-4339-BD57-BC6D6DCDC100}"/>
    <cellStyle name="SAPBEXchaText 4 2" xfId="11062" xr:uid="{52C3551A-4214-4597-9DC7-713BFA6142E6}"/>
    <cellStyle name="SAPBEXchaText 5" xfId="11063" xr:uid="{E73CF89A-0BDD-44C5-8A47-6F52E485ECCC}"/>
    <cellStyle name="SAPBEXchaText 5 2" xfId="11064" xr:uid="{09CBF4A4-DCF0-4B1B-95A2-C90AE103145E}"/>
    <cellStyle name="SAPBEXchaText 6" xfId="11065" xr:uid="{7A57F58F-1D2B-4F05-8ACD-0E63933BF34D}"/>
    <cellStyle name="SAPBEXchaText 7" xfId="11066" xr:uid="{036150FB-11A2-4A44-8374-F9AC8A3D2F4C}"/>
    <cellStyle name="SAPBEXchaText_~2153298" xfId="11067" xr:uid="{A20D84AB-4883-4E10-9116-95922D97D213}"/>
    <cellStyle name="SAPBEXexcBad7" xfId="3177" xr:uid="{CE817867-B780-4832-8BAC-4FF95547F902}"/>
    <cellStyle name="SAPBEXexcBad7 2" xfId="3178" xr:uid="{5674D9F5-5C0A-4936-AF83-263F8BE6F357}"/>
    <cellStyle name="SAPBEXexcBad7 3" xfId="3179" xr:uid="{B898BF85-EC91-417A-AAFD-03A7EB5309EF}"/>
    <cellStyle name="SAPBEXexcBad7 4" xfId="3180" xr:uid="{53991B1F-00F3-4D8A-960F-51C84E76FB65}"/>
    <cellStyle name="SAPBEXexcBad7 5" xfId="11068" xr:uid="{6E0A548F-4808-449F-960E-4180CF70AC1F}"/>
    <cellStyle name="SAPBEXexcBad7_~2153298" xfId="11069" xr:uid="{835F6974-B965-43B8-9145-81002740E93A}"/>
    <cellStyle name="SAPBEXexcBad8" xfId="3181" xr:uid="{D26263BA-630B-4892-9B6A-FA92100496BC}"/>
    <cellStyle name="SAPBEXexcBad8 2" xfId="3182" xr:uid="{D4A256E7-2B28-412B-BC52-C6F93F20317F}"/>
    <cellStyle name="SAPBEXexcBad8 3" xfId="3183" xr:uid="{076B53B6-82B1-4061-8C2A-AE135EA592A5}"/>
    <cellStyle name="SAPBEXexcBad8 4" xfId="3184" xr:uid="{BF01EC68-4C0E-4449-AF1E-94298AC4D4C4}"/>
    <cellStyle name="SAPBEXexcBad8 5" xfId="11070" xr:uid="{B62DF7B9-7535-4D13-B1D8-F59B34411D69}"/>
    <cellStyle name="SAPBEXexcBad8_~2153298" xfId="11071" xr:uid="{98997EEE-247A-47EF-8176-310F59E3F899}"/>
    <cellStyle name="SAPBEXexcBad9" xfId="3185" xr:uid="{C3CC2D27-5D63-40D8-8087-CABA38880DF2}"/>
    <cellStyle name="SAPBEXexcBad9 2" xfId="3186" xr:uid="{FC27B18D-D958-4E08-88BD-CBA89DCC0D49}"/>
    <cellStyle name="SAPBEXexcBad9 3" xfId="3187" xr:uid="{56DB590A-D6A8-44D0-915D-E84164F4880C}"/>
    <cellStyle name="SAPBEXexcBad9 4" xfId="3188" xr:uid="{5C292057-052B-443C-8A83-2D87DFEF88C3}"/>
    <cellStyle name="SAPBEXexcBad9 5" xfId="11072" xr:uid="{C19A31EF-484F-434F-A626-600BB7C5EF88}"/>
    <cellStyle name="SAPBEXexcBad9_~2153298" xfId="11073" xr:uid="{18CAF3C1-70A6-46C8-8EEF-7BA55B763321}"/>
    <cellStyle name="SAPBEXexcCritical4" xfId="3189" xr:uid="{6E3EE380-274A-4410-9C08-0E0653D8006E}"/>
    <cellStyle name="SAPBEXexcCritical4 2" xfId="3190" xr:uid="{8AFF8345-DB79-4E4B-8448-D64D4CB2F4D1}"/>
    <cellStyle name="SAPBEXexcCritical4 3" xfId="3191" xr:uid="{40EC67B3-7B2B-4220-BBB4-F30C1965F6B8}"/>
    <cellStyle name="SAPBEXexcCritical4 4" xfId="3192" xr:uid="{C48E0137-4B81-42D3-BE7E-EDDCB87B8998}"/>
    <cellStyle name="SAPBEXexcCritical4 5" xfId="11074" xr:uid="{DBBA01C9-5B0B-48BC-B0B8-4C48CC5DE4CA}"/>
    <cellStyle name="SAPBEXexcCritical4_~2153298" xfId="11075" xr:uid="{310E7CAE-CF72-4088-8B97-8AF0FE1F3AC2}"/>
    <cellStyle name="SAPBEXexcCritical5" xfId="3193" xr:uid="{F622EC60-2BF0-47EC-9B53-4B0C3F254740}"/>
    <cellStyle name="SAPBEXexcCritical5 2" xfId="3194" xr:uid="{DD18DE72-91F2-4A74-99F2-D727615C995B}"/>
    <cellStyle name="SAPBEXexcCritical5 3" xfId="3195" xr:uid="{A3968424-E3B2-43E0-B18B-339655DA3A12}"/>
    <cellStyle name="SAPBEXexcCritical5 4" xfId="3196" xr:uid="{477EC385-3BFF-48A6-A9A8-487383308A05}"/>
    <cellStyle name="SAPBEXexcCritical5 5" xfId="11076" xr:uid="{58E7F3E2-1CF6-4B5D-AB83-C466DC7EC5EE}"/>
    <cellStyle name="SAPBEXexcCritical5_~2153298" xfId="11077" xr:uid="{4BF9EBAD-FF75-4711-95FB-6E2479A20EE2}"/>
    <cellStyle name="SAPBEXexcCritical6" xfId="3197" xr:uid="{3EAB2A69-6C47-4239-B373-49BFC8F82717}"/>
    <cellStyle name="SAPBEXexcCritical6 2" xfId="3198" xr:uid="{6D573E64-5FCE-48EE-89AF-A36C6797E8E7}"/>
    <cellStyle name="SAPBEXexcCritical6 3" xfId="3199" xr:uid="{5E1AF6E3-5357-4DCA-B8D2-3C1E67A71497}"/>
    <cellStyle name="SAPBEXexcCritical6 4" xfId="3200" xr:uid="{873C3AE0-3938-4BCB-B993-D899998F9682}"/>
    <cellStyle name="SAPBEXexcCritical6 5" xfId="11078" xr:uid="{3780C60C-2BAB-41E3-A017-26F77E746A2F}"/>
    <cellStyle name="SAPBEXexcCritical6_~2153298" xfId="11079" xr:uid="{0A1A8D68-5CC4-48AA-B0A0-84EB263FC58A}"/>
    <cellStyle name="SAPBEXexcGood1" xfId="3201" xr:uid="{DD7375C6-5663-4EC5-BB30-3D8F2BD7E990}"/>
    <cellStyle name="SAPBEXexcGood1 2" xfId="3202" xr:uid="{A0E5EAB5-1D42-4DC2-90B0-5191184CA352}"/>
    <cellStyle name="SAPBEXexcGood1 3" xfId="3203" xr:uid="{04B7107A-88AB-4C42-A09D-999D5F456533}"/>
    <cellStyle name="SAPBEXexcGood1 4" xfId="3204" xr:uid="{E211EA60-1F9B-4F17-BDE7-F02965C833FC}"/>
    <cellStyle name="SAPBEXexcGood1 5" xfId="11080" xr:uid="{A5072DD2-29F2-4B12-A411-D3AAFB078245}"/>
    <cellStyle name="SAPBEXexcGood1_~2153298" xfId="11081" xr:uid="{DEB244F6-BC14-48EE-B065-580B7B39E799}"/>
    <cellStyle name="SAPBEXexcGood2" xfId="3205" xr:uid="{EA1B0E56-889A-4E2B-BEEC-483C817A37DE}"/>
    <cellStyle name="SAPBEXexcGood2 2" xfId="3206" xr:uid="{1BDCE6ED-7ACF-4734-9B56-D612E23A1912}"/>
    <cellStyle name="SAPBEXexcGood2 3" xfId="3207" xr:uid="{F1DDFE92-5156-4E50-9AA1-50A610F4FEB4}"/>
    <cellStyle name="SAPBEXexcGood2 4" xfId="3208" xr:uid="{4E369E50-C69B-4AB9-BC9C-FEA0B926E06D}"/>
    <cellStyle name="SAPBEXexcGood2 5" xfId="11082" xr:uid="{9FA1CF64-C699-4928-98B1-E547C4DAC8B2}"/>
    <cellStyle name="SAPBEXexcGood2_~2153298" xfId="11083" xr:uid="{6F3FCA6B-0CC0-49BC-95E8-133A7F63E9C6}"/>
    <cellStyle name="SAPBEXexcGood3" xfId="3209" xr:uid="{26F6DC77-A436-424E-8BD7-389FE2B03F8E}"/>
    <cellStyle name="SAPBEXexcGood3 2" xfId="3210" xr:uid="{BFAA37DC-2D12-4273-921F-038A0BABE6A3}"/>
    <cellStyle name="SAPBEXexcGood3 3" xfId="3211" xr:uid="{B59C611B-EB1A-4280-BCD0-634AED074E47}"/>
    <cellStyle name="SAPBEXexcGood3 4" xfId="3212" xr:uid="{1B0DC31D-8F40-4CF8-9FE1-8B8BE5BAD6F0}"/>
    <cellStyle name="SAPBEXexcGood3 5" xfId="11084" xr:uid="{ED6D5B14-C880-4E49-A5C9-EF7EB5AAE1F7}"/>
    <cellStyle name="SAPBEXexcGood3_~2153298" xfId="11085" xr:uid="{C82C77B8-89C3-43B6-B083-1B915B3CD850}"/>
    <cellStyle name="SAPBEXfilterDrill" xfId="3213" xr:uid="{44B2A7C7-03A3-418B-943C-38EA85457D32}"/>
    <cellStyle name="SAPBEXfilterDrill 2" xfId="3214" xr:uid="{1D07192F-163C-4178-BB15-CFF3F929A0C6}"/>
    <cellStyle name="SAPBEXfilterDrill 3" xfId="3215" xr:uid="{AD26F694-8287-44AC-AA14-1F396518E222}"/>
    <cellStyle name="SAPBEXfilterDrill 4" xfId="11086" xr:uid="{DE023D77-BBB0-4FE1-9509-FDBC520D8847}"/>
    <cellStyle name="SAPBEXfilterDrill 4 2" xfId="11087" xr:uid="{5A06FB15-47C1-4AC5-89BC-403D32D2A892}"/>
    <cellStyle name="SAPBEXfilterDrill 5" xfId="11088" xr:uid="{096EC6FF-5330-4B72-BE0A-44577F28CA4A}"/>
    <cellStyle name="SAPBEXfilterDrill 5 2" xfId="11089" xr:uid="{B2B99F63-E88E-4EBD-A672-C267CA87FE84}"/>
    <cellStyle name="SAPBEXfilterDrill 6" xfId="11090" xr:uid="{A29D3583-6BEA-4EE0-B70E-B0DFA0E5523A}"/>
    <cellStyle name="SAPBEXfilterDrill 7" xfId="11091" xr:uid="{77D4AFE5-0576-4743-8D55-F9154F4209C8}"/>
    <cellStyle name="SAPBEXfilterDrill_~2153298" xfId="11092" xr:uid="{858BF77E-1AE6-4347-B336-B235510C5DFA}"/>
    <cellStyle name="SAPBEXfilterItem" xfId="3216" xr:uid="{41482FFC-8958-4D4F-94DD-1D8192F6732C}"/>
    <cellStyle name="SAPBEXfilterItem 2" xfId="3217" xr:uid="{11CD92EF-3C1B-4BF3-A379-807B3C57C33F}"/>
    <cellStyle name="SAPBEXfilterItem 3" xfId="3218" xr:uid="{886EA966-24DA-41E9-8ECF-F41839C4DF52}"/>
    <cellStyle name="SAPBEXfilterItem 4" xfId="3219" xr:uid="{11282CF1-42B8-4FBD-9E18-3CDBADEE7212}"/>
    <cellStyle name="SAPBEXfilterItem 4 2" xfId="11093" xr:uid="{99F947D7-55AD-4C89-9B2B-9804DBF57FC1}"/>
    <cellStyle name="SAPBEXfilterItem 5" xfId="11094" xr:uid="{91CAD573-84D9-4A1E-8A17-46559CDAFD70}"/>
    <cellStyle name="SAPBEXfilterItem_6+6 Forecast vs Plan Updatev2 (version 3)" xfId="11095" xr:uid="{8DFF3E0C-35CA-4002-887E-8EBCB9706FF7}"/>
    <cellStyle name="SAPBEXfilterText" xfId="3220" xr:uid="{5B27F91B-6955-4398-B295-FAD0BCCC8725}"/>
    <cellStyle name="SAPBEXfilterText 2" xfId="3221" xr:uid="{EEDD3C0A-6ED5-45D7-9B5A-FA797F4165FA}"/>
    <cellStyle name="SAPBEXfilterText 3" xfId="3222" xr:uid="{2B989865-BA77-401E-8D30-3BFD990351CC}"/>
    <cellStyle name="SAPBEXfilterText 4" xfId="3223" xr:uid="{E59A935C-8D34-424E-BD08-C12C83DE7950}"/>
    <cellStyle name="SAPBEXfilterText 4 2" xfId="11096" xr:uid="{B653E108-B49D-466A-AE32-ED6A5ACB72D0}"/>
    <cellStyle name="SAPBEXfilterText 5" xfId="11097" xr:uid="{56910111-50AF-4A3E-9735-12D412588513}"/>
    <cellStyle name="SAPBEXfilterText_6+6 Forecast vs Plan Updatev2 (version 3)" xfId="11098" xr:uid="{E836613D-87B0-465A-8DF7-35A98FCB8074}"/>
    <cellStyle name="SAPBEXformats" xfId="3224" xr:uid="{9DB72EF6-B794-4D41-9CD1-512AC6ADA68D}"/>
    <cellStyle name="SAPBEXformats 2" xfId="3225" xr:uid="{4B10CE4A-F584-441F-BDE2-8A00D3D071B3}"/>
    <cellStyle name="SAPBEXformats 3" xfId="3226" xr:uid="{4E06E970-F6AC-4617-87F1-099DE3EA5DC1}"/>
    <cellStyle name="SAPBEXformats 4" xfId="3227" xr:uid="{32872514-439A-4551-971A-7992F4708E64}"/>
    <cellStyle name="SAPBEXformats 5" xfId="11099" xr:uid="{A3CCA9B9-8633-49CB-9338-415265B5B408}"/>
    <cellStyle name="SAPBEXformats_~2153298" xfId="11100" xr:uid="{41799FBD-6D69-4F96-9B11-D856F5EF6F24}"/>
    <cellStyle name="SAPBEXheaderItem" xfId="3228" xr:uid="{575E0DA6-811D-4AA2-A5CA-E19D759D739F}"/>
    <cellStyle name="SAPBEXheaderItem 2" xfId="3229" xr:uid="{C143F0DA-95F3-49AC-B476-01CA00FA98E5}"/>
    <cellStyle name="SAPBEXheaderItem 3" xfId="3230" xr:uid="{73CBE1FF-AEF9-4202-97C3-DFE4066324C1}"/>
    <cellStyle name="SAPBEXheaderItem 4" xfId="3231" xr:uid="{4F48D465-A15C-4BE1-AB97-2BF5098C6AC5}"/>
    <cellStyle name="SAPBEXheaderItem 4 2" xfId="11101" xr:uid="{7B778BEE-AAE9-4F62-B1E4-0B6A102B127F}"/>
    <cellStyle name="SAPBEXheaderItem 5" xfId="11102" xr:uid="{076B068A-B930-4DCE-A104-0D435299922C}"/>
    <cellStyle name="SAPBEXheaderItem_6+6 Forecast vs Plan Updatev2 (version 3)" xfId="11103" xr:uid="{F67E0488-9D03-4F62-9C87-F3637152F02A}"/>
    <cellStyle name="SAPBEXheaderText" xfId="3232" xr:uid="{871DD8EA-FC37-4BE2-964D-BB931C1B41ED}"/>
    <cellStyle name="SAPBEXheaderText 2" xfId="3233" xr:uid="{F5EB9124-AB94-4112-93B0-FFC576CFD25D}"/>
    <cellStyle name="SAPBEXheaderText 3" xfId="3234" xr:uid="{6CEFE0D0-7204-460E-BA26-3585326E3B68}"/>
    <cellStyle name="SAPBEXheaderText 4" xfId="3235" xr:uid="{BC3617F8-7917-4147-87A8-D8CF5585BF71}"/>
    <cellStyle name="SAPBEXheaderText 4 2" xfId="11104" xr:uid="{6AD804DC-58E1-4A00-B729-27653168F625}"/>
    <cellStyle name="SAPBEXheaderText 5" xfId="11105" xr:uid="{689341DD-EFA9-4833-B73A-F398620D4180}"/>
    <cellStyle name="SAPBEXheaderText_6+6 Forecast vs Plan Updatev2 (version 3)" xfId="11106" xr:uid="{0550F5DB-D0E1-4862-9B4F-F345EF778964}"/>
    <cellStyle name="SAPBEXresData" xfId="3236" xr:uid="{F55B17C9-E12F-4FA6-88C4-45D77E63634B}"/>
    <cellStyle name="SAPBEXresData 2" xfId="3237" xr:uid="{49C6ACCE-B98D-4B0A-9960-FF3EA02C3ACB}"/>
    <cellStyle name="SAPBEXresData 3" xfId="3238" xr:uid="{B6567E09-9829-4F5A-A08F-976E3C465C4E}"/>
    <cellStyle name="SAPBEXresData 4" xfId="3239" xr:uid="{D943CEC0-B42B-4AF3-9C15-7E05797B9E9B}"/>
    <cellStyle name="SAPBEXresData 5" xfId="11107" xr:uid="{554CA6F6-6BD9-42A9-BDD5-B02669D419D6}"/>
    <cellStyle name="SAPBEXresData_~2153298" xfId="11108" xr:uid="{9FCA130E-23B6-4237-81E4-299372360BD7}"/>
    <cellStyle name="SAPBEXresDataEmph" xfId="3240" xr:uid="{5D7A7EF8-9D51-449C-BD59-7BBFDE61E9C1}"/>
    <cellStyle name="SAPBEXresDataEmph 2" xfId="3241" xr:uid="{85DAE043-7BCA-4EFC-A449-AD0B792511A5}"/>
    <cellStyle name="SAPBEXresDataEmph 3" xfId="11109" xr:uid="{FC948929-0E70-448D-B098-24545E11C018}"/>
    <cellStyle name="SAPBEXresDataEmph 4" xfId="11110" xr:uid="{9BB3B7B4-9723-494B-9655-43B781CA237D}"/>
    <cellStyle name="SAPBEXresDataEmph 5" xfId="11111" xr:uid="{E5FE7785-00F7-4ED7-B8B3-7995EB230D5C}"/>
    <cellStyle name="SAPBEXresDataEmph_~2153298" xfId="11112" xr:uid="{9AC2D6F4-E7E2-4CB8-8DC2-8B7038056F7E}"/>
    <cellStyle name="SAPBEXresItem" xfId="3242" xr:uid="{F631E483-BCE8-4921-A61A-B660AA76EB62}"/>
    <cellStyle name="SAPBEXresItem 2" xfId="3243" xr:uid="{6BC8A576-C708-4586-A67D-23D136CD21B3}"/>
    <cellStyle name="SAPBEXresItem 3" xfId="3244" xr:uid="{BE5E3F12-694B-46B1-94AA-07470555D88E}"/>
    <cellStyle name="SAPBEXresItem 4" xfId="3245" xr:uid="{2F5D1C05-C472-4C43-BE88-69C31DBC8500}"/>
    <cellStyle name="SAPBEXresItem 4 2" xfId="11113" xr:uid="{1D4360C4-CBA2-4E1A-A9C1-FAFBDC3524C2}"/>
    <cellStyle name="SAPBEXresItem 5" xfId="11114" xr:uid="{5D6E52FC-9E9B-4838-9F3C-3FA7F1D3CEE2}"/>
    <cellStyle name="SAPBEXresItem_~2153298" xfId="11115" xr:uid="{EC758382-8824-49F6-9EE0-3746B048CD12}"/>
    <cellStyle name="SAPBEXstdData" xfId="3246" xr:uid="{012E1E36-14FC-49F1-8F69-242F6B65B553}"/>
    <cellStyle name="SAPBEXstdData 2" xfId="3247" xr:uid="{8D2C50B4-FD88-43AE-AADC-E9D7E9A602AB}"/>
    <cellStyle name="SAPBEXstdData 3" xfId="3248" xr:uid="{89D62EA8-3EF5-4D92-8CFF-E77C0EADB534}"/>
    <cellStyle name="SAPBEXstdData 4" xfId="11116" xr:uid="{780BA894-A574-449E-8A1B-0CE2133B2FF9}"/>
    <cellStyle name="SAPBEXstdData 4 2" xfId="11117" xr:uid="{63970C05-468C-4B8B-9296-3EFA6A0E396A}"/>
    <cellStyle name="SAPBEXstdData 5" xfId="11118" xr:uid="{59010313-71D2-4C77-B15F-6F70EA1042F6}"/>
    <cellStyle name="SAPBEXstdData 5 2" xfId="11119" xr:uid="{5A33595B-C1D8-44BB-9442-9DF6E0DB13EC}"/>
    <cellStyle name="SAPBEXstdData 6" xfId="11120" xr:uid="{1BF8AD46-48CB-4F3B-AC05-52DD59CD2532}"/>
    <cellStyle name="SAPBEXstdData 7" xfId="11121" xr:uid="{BB2C8C00-E4EC-4BF6-B9BC-FDF8D16FFD8A}"/>
    <cellStyle name="SAPBEXstdData_~2153298" xfId="11122" xr:uid="{50EFF570-4E67-488D-AEDB-A7D6066C80D9}"/>
    <cellStyle name="SAPBEXstdDataEmph" xfId="3249" xr:uid="{265F28B6-42FA-4ABA-B8A4-1C271A253206}"/>
    <cellStyle name="SAPBEXstdDataEmph 2" xfId="3250" xr:uid="{93D93374-A4FB-41B0-AB17-BA9546CCED04}"/>
    <cellStyle name="SAPBEXstdDataEmph 3" xfId="11123" xr:uid="{DE46397C-F8B2-47AF-AD54-062F338F4A10}"/>
    <cellStyle name="SAPBEXstdDataEmph 4" xfId="11124" xr:uid="{AE9C83BB-04FF-4EB8-8E0C-F535F6A2225E}"/>
    <cellStyle name="SAPBEXstdDataEmph 5" xfId="11125" xr:uid="{91B7E7C5-74E2-4C4F-9FBB-B75379437ECD}"/>
    <cellStyle name="SAPBEXstdDataEmph_~2153298" xfId="11126" xr:uid="{C451BED4-E775-462C-99DA-F0CF639556FB}"/>
    <cellStyle name="SAPBEXstdItem" xfId="3251" xr:uid="{560F8DEB-DF44-4474-AB30-3DA658E749E2}"/>
    <cellStyle name="SAPBEXstdItem 2" xfId="3252" xr:uid="{5EA7D5BE-DE78-4F2A-9AB2-A569506224AB}"/>
    <cellStyle name="SAPBEXstdItem 3" xfId="3253" xr:uid="{971AAB25-A23F-4B27-8BF5-CC5BA4615DED}"/>
    <cellStyle name="SAPBEXstdItem 4" xfId="11127" xr:uid="{BFF4574E-E4A3-4461-B953-D71455F123B5}"/>
    <cellStyle name="SAPBEXstdItem 4 2" xfId="11128" xr:uid="{63FA0565-BBAF-40E1-AF93-F02E9FF950E4}"/>
    <cellStyle name="SAPBEXstdItem 5" xfId="11129" xr:uid="{6B60B724-9D3A-4477-97A2-4415D6406B65}"/>
    <cellStyle name="SAPBEXstdItem 5 2" xfId="11130" xr:uid="{A23C42B1-C912-4069-86AA-AAD90359D83F}"/>
    <cellStyle name="SAPBEXstdItem 6" xfId="11131" xr:uid="{7C78A07D-CD0A-4F2F-AF94-DD784D305FE5}"/>
    <cellStyle name="SAPBEXstdItem 7" xfId="11132" xr:uid="{BEA50526-D3FD-4E8B-9119-9F80F2F0E123}"/>
    <cellStyle name="SAPBEXstdItem_~2153298" xfId="11133" xr:uid="{F9DBC96A-EE65-453F-A818-5E34B2301916}"/>
    <cellStyle name="SAPBEXtitle" xfId="3254" xr:uid="{60BFBAAD-56AD-448D-A599-BA6B6D80F804}"/>
    <cellStyle name="SAPBEXtitle 2" xfId="3255" xr:uid="{40A3A6FD-8244-4073-9425-973BB62A9A82}"/>
    <cellStyle name="SAPBEXtitle 3" xfId="3256" xr:uid="{D9EDDEC6-C75D-4AA5-B6B4-9BB8BDD73B60}"/>
    <cellStyle name="SAPBEXtitle 4" xfId="11134" xr:uid="{33745615-A174-49AC-9B88-CB6D492E5888}"/>
    <cellStyle name="SAPBEXtitle 4 2" xfId="11135" xr:uid="{E9C1ABF4-30A3-4098-88F8-CDF33D00A41E}"/>
    <cellStyle name="SAPBEXtitle 5" xfId="11136" xr:uid="{A46D3114-6F2D-42B5-91A0-4BE69FD38275}"/>
    <cellStyle name="SAPBEXtitle 5 2" xfId="11137" xr:uid="{098B4F32-E99D-43DD-8E2B-719C57E9B82D}"/>
    <cellStyle name="SAPBEXtitle 6" xfId="11138" xr:uid="{19F8C414-A092-49E8-95AF-B2853ACFB319}"/>
    <cellStyle name="SAPBEXtitle 7" xfId="11139" xr:uid="{57F21976-4135-43AD-9E3D-84E9146242DA}"/>
    <cellStyle name="SAPBEXtitle_~2153298" xfId="11140" xr:uid="{241D8139-01E0-4017-ABCB-BBFF300AE084}"/>
    <cellStyle name="SAPBEXundefined" xfId="3257" xr:uid="{CA5C9C7D-B4B3-4520-9DB3-C11CCC44677B}"/>
    <cellStyle name="SAPBEXundefined 2" xfId="3258" xr:uid="{B2884A43-29E6-490B-9C8E-730FC88288E2}"/>
    <cellStyle name="SAPBEXundefined 3" xfId="11141" xr:uid="{B8BDF708-2A36-4EFE-9039-3571FE89428E}"/>
    <cellStyle name="SAPBEXundefined 4" xfId="11142" xr:uid="{A534BC11-AC3B-4C84-BE4B-A165A236B1E9}"/>
    <cellStyle name="SAPBEXundefined 5" xfId="11143" xr:uid="{36959596-FCFA-4E03-9CE5-889DAD0ADB6A}"/>
    <cellStyle name="SAPBEXundefined_~2153298" xfId="11144" xr:uid="{75F8E21C-65BA-4874-9D11-EFC22518E526}"/>
    <cellStyle name="Section Number" xfId="3259" xr:uid="{B95A7ABB-A2B5-47F7-9780-8D5E1190151A}"/>
    <cellStyle name="Section Number 2" xfId="3260" xr:uid="{95A1F70D-93CC-414E-BA4D-A328A8E09300}"/>
    <cellStyle name="Section Number 2 2" xfId="11146" xr:uid="{CF019AD2-12C1-4E20-9DDE-628AE8F17F99}"/>
    <cellStyle name="Section Number 2 3" xfId="11145" xr:uid="{35D31060-9496-456D-ACEE-AF6795946FAF}"/>
    <cellStyle name="Section Number 3" xfId="11147" xr:uid="{D4125317-C56C-479E-A275-6894B97CECED}"/>
    <cellStyle name="Section Number 4" xfId="11148" xr:uid="{B5BE16D7-5BAA-414F-9BDA-5E1AAAA7DAED}"/>
    <cellStyle name="Section Number_~2153298" xfId="11149" xr:uid="{9702EE13-3FB1-43DC-92D8-3F8617173E31}"/>
    <cellStyle name="Sheet Name" xfId="3261" xr:uid="{EB87879E-E17B-469F-ACA6-0BCA8D7AD4A6}"/>
    <cellStyle name="Sheet Title" xfId="3262" xr:uid="{ED2EF314-79A8-46C4-8806-44CF178A68A2}"/>
    <cellStyle name="Sheet Title 2" xfId="3263" xr:uid="{30E5F677-02C6-49B7-82B0-A1ED0DBC7E09}"/>
    <cellStyle name="Sheet Title 2 2" xfId="11151" xr:uid="{7ADB635A-4A1F-4E53-9FDA-639A59879784}"/>
    <cellStyle name="Sheet Title 2 3" xfId="11150" xr:uid="{E608E196-0125-4635-B1C6-DDC376D39D84}"/>
    <cellStyle name="Sheet Title 3" xfId="3264" xr:uid="{6A1375DE-5FFE-4B89-A86F-FF55E010AEA4}"/>
    <cellStyle name="Sheet Title 3 2" xfId="11152" xr:uid="{19FF5123-618B-43B4-BD7C-9A92362FD846}"/>
    <cellStyle name="Sheet Title 4" xfId="11153" xr:uid="{48E1B639-0D50-4CC7-AC5D-9F1F9A470F79}"/>
    <cellStyle name="Sheet Title_~2153298" xfId="11154" xr:uid="{E4AD4746-20B9-423D-9D56-5EE0AC6F1E10}"/>
    <cellStyle name="showCheck" xfId="11155" xr:uid="{B4B89F81-4AD9-497B-B112-8D9B75D523E7}"/>
    <cellStyle name="showExposure" xfId="11156" xr:uid="{220CF6EC-D973-4677-89FD-5D0BEF131D1E}"/>
    <cellStyle name="showParameterE" xfId="11157" xr:uid="{F4778925-7437-4A93-A1B0-BC24F1AD65EB}"/>
    <cellStyle name="showParameterS" xfId="11158" xr:uid="{BC0B113A-312B-4484-8200-21D2B3F6225F}"/>
    <cellStyle name="showPD" xfId="11159" xr:uid="{4210F109-8994-4D4D-9AAA-14C3EFC282F4}"/>
    <cellStyle name="showPercentage" xfId="11160" xr:uid="{8FBDB3F2-9E57-4952-9B23-C05D186E62CA}"/>
    <cellStyle name="showSelection" xfId="11161" xr:uid="{2833D589-467B-48FF-9860-5158A906EB3E}"/>
    <cellStyle name="SpecialHeader" xfId="11162" xr:uid="{3F005B68-C4C0-4808-83D6-7F968AB250FD}"/>
    <cellStyle name="Standard [0]" xfId="3265" xr:uid="{C4B31967-1500-412B-9209-D0E8498B9DCF}"/>
    <cellStyle name="Standard_48 Seitz v. oebel korrektur KWI" xfId="3266" xr:uid="{53C0A3CA-98AF-437D-81C2-EDE7A85C68B9}"/>
    <cellStyle name="static" xfId="11163" xr:uid="{A07F27E7-2BB0-4A0F-AA29-D3DDD8E9EDAD}"/>
    <cellStyle name="Style 1" xfId="3267" xr:uid="{2AB1ED24-BB0B-45EF-ABC6-6C73A5C75E49}"/>
    <cellStyle name="Style 1 2" xfId="3268" xr:uid="{5C42DD15-4C6D-44C6-837F-9A94B7BD88B6}"/>
    <cellStyle name="Style 1 2 2" xfId="3621" xr:uid="{C8EC9AE8-201B-49C5-8B3E-A7F34E67D8FA}"/>
    <cellStyle name="Style 1 3" xfId="3269" xr:uid="{C61F9259-59A0-40CD-BA4E-086986537C45}"/>
    <cellStyle name="Style 1 4" xfId="3270" xr:uid="{8B64888D-4AF5-46BF-952C-06DDD04098AE}"/>
    <cellStyle name="Style 1 4 2" xfId="11164" xr:uid="{1B892E34-145E-4666-B5A6-D194D5138FC0}"/>
    <cellStyle name="Style 1 5" xfId="3271" xr:uid="{2784FEFE-7CB4-4F37-8E94-FA1488D54CF8}"/>
    <cellStyle name="Style 1 5 2" xfId="11165" xr:uid="{03E33B96-9B7A-4961-B7E2-E6612C5C0EB7}"/>
    <cellStyle name="Style 1 6" xfId="3272" xr:uid="{871BFF7C-7ED3-4617-9264-9FBF2C1CA625}"/>
    <cellStyle name="Style 1_~2153298" xfId="11166" xr:uid="{511F14E7-420A-4BE1-ACBE-C8B0AEC9B4C7}"/>
    <cellStyle name="Style 2" xfId="3273" xr:uid="{D4EE69BE-50B7-43A1-8836-5193B94FAC04}"/>
    <cellStyle name="Style 2 2" xfId="3274" xr:uid="{E4728107-66E4-4DCF-B714-B0801497E305}"/>
    <cellStyle name="Style 2 2 2" xfId="3275" xr:uid="{29F922C1-3C41-4DD7-A2ED-19291554292D}"/>
    <cellStyle name="Style 2 2 3" xfId="3276" xr:uid="{989E0593-DCA3-44A9-BFE9-AE4704685FE1}"/>
    <cellStyle name="Style 2 3" xfId="3277" xr:uid="{41D40E77-238F-4CE6-8730-E52D59EB33AD}"/>
    <cellStyle name="Style 2 4" xfId="3278" xr:uid="{5B729499-1134-4198-9A80-B7517706B656}"/>
    <cellStyle name="Style 2 5" xfId="3279" xr:uid="{BF093D61-8C1A-48E8-8CD8-FD98E2843A42}"/>
    <cellStyle name="Style 2 6" xfId="3280" xr:uid="{BB83513A-A821-40BC-B7C3-439FE109C411}"/>
    <cellStyle name="style1" xfId="3281" xr:uid="{D737E391-4F64-489A-BC5E-5796AEB25301}"/>
    <cellStyle name="style1 2" xfId="11167" xr:uid="{D13628BF-755F-4F10-95EE-1D78E5F1E541}"/>
    <cellStyle name="style10" xfId="3282" xr:uid="{BF99DCC8-E65C-4B8F-BA44-ED0240E932B8}"/>
    <cellStyle name="style10 2" xfId="11168" xr:uid="{52409427-DEB8-4A12-9AE2-3F779F4810B3}"/>
    <cellStyle name="style10 3" xfId="11169" xr:uid="{62CEC447-8184-4852-B258-CDA77CE066F8}"/>
    <cellStyle name="style10 3 2" xfId="11170" xr:uid="{FF495731-EF5F-443D-8144-F074AF12C62B}"/>
    <cellStyle name="style10 4" xfId="11171" xr:uid="{66B0DF2D-2223-4600-9B68-4D13B69DECA8}"/>
    <cellStyle name="style10 5" xfId="11172" xr:uid="{1CB04F39-FACC-4DB6-984A-C8AA0F0C6F00}"/>
    <cellStyle name="style1a" xfId="3283" xr:uid="{7B3444A3-E21A-439B-BD95-3D686AD753C3}"/>
    <cellStyle name="Style2" xfId="3284" xr:uid="{70E25E8A-0F14-4B0D-924A-F0BF8B00D591}"/>
    <cellStyle name="Style3" xfId="3285" xr:uid="{4FD7BD68-66C6-467E-A4E0-390C1A5DD27C}"/>
    <cellStyle name="Style3 2" xfId="11173" xr:uid="{8DB32934-3CF4-4FFA-8828-0D8DC84C4A00}"/>
    <cellStyle name="Style4" xfId="3286" xr:uid="{516CFC1D-E9C7-4C89-ABB1-21F6D1FA37EB}"/>
    <cellStyle name="Style4 2" xfId="11174" xr:uid="{356AC280-EE0E-47C1-A7C4-7A43623C0834}"/>
    <cellStyle name="Style4 3" xfId="11175" xr:uid="{0FA682DB-6E06-4420-8F08-2F178F06CCA2}"/>
    <cellStyle name="Style4 3 2" xfId="11176" xr:uid="{8C1947F3-04EC-4B69-B285-164E622BDB75}"/>
    <cellStyle name="Style4 4" xfId="11177" xr:uid="{F4C1520A-B3D6-4CEA-89B8-1EE63C750AF3}"/>
    <cellStyle name="Style4 5" xfId="11178" xr:uid="{E3A3EC4B-1EDD-4434-AEBA-082015CA76AB}"/>
    <cellStyle name="Style4 6" xfId="11179" xr:uid="{B9744E9B-4333-470C-B574-59F605D9F616}"/>
    <cellStyle name="Style4_1.0 HFM data" xfId="11180" xr:uid="{45E8E6EF-B21C-4F28-BBBB-F3462F1351BD}"/>
    <cellStyle name="Style5" xfId="3287" xr:uid="{4E24853E-FD93-4E1D-BC4B-81B80AC37564}"/>
    <cellStyle name="Style5 2" xfId="11181" xr:uid="{5E1F6E65-9CE1-4046-9B20-E40747A12CCF}"/>
    <cellStyle name="Style5 3" xfId="11182" xr:uid="{4094A9DB-74C9-429C-9409-5A49F546D8A0}"/>
    <cellStyle name="Style5 3 2" xfId="11183" xr:uid="{15109A1A-A087-4E30-A28B-45F16CA1FC53}"/>
    <cellStyle name="Style5 4" xfId="11184" xr:uid="{0BE91811-EE72-4B70-B14D-C1FD302B0512}"/>
    <cellStyle name="Style5 5" xfId="11185" xr:uid="{408BEFB7-18D7-4C69-B051-17978F41D4C3}"/>
    <cellStyle name="Style5 6" xfId="11186" xr:uid="{D04538AB-A6BE-43C4-81C7-13FB322D497A}"/>
    <cellStyle name="Style5_1.0 HFM data" xfId="11187" xr:uid="{76E885A6-B8F7-43EC-9DF0-34D67317F7A7}"/>
    <cellStyle name="SubHeader" xfId="11188" xr:uid="{9A60347F-4205-4A1D-A935-09B419214D8A}"/>
    <cellStyle name="SubTotal" xfId="11189" xr:uid="{9318AB81-E4BE-4A62-AF52-63D8032B43BD}"/>
    <cellStyle name="subtotals" xfId="3288" xr:uid="{CD4317E1-EDF8-4306-882E-0FAF17378D05}"/>
    <cellStyle name="subtotals 2" xfId="3289" xr:uid="{77FB5CCB-4762-43DE-A8EC-1C606E120A12}"/>
    <cellStyle name="Sum" xfId="3290" xr:uid="{B38F796E-1B2A-4868-94C4-D819CFE99548}"/>
    <cellStyle name="Sum %of HV" xfId="3291" xr:uid="{9479537C-29FF-4076-844E-E8696BF09D96}"/>
    <cellStyle name="sup2Int" xfId="11190" xr:uid="{EB329598-0680-4250-8EA2-0677345C4E14}"/>
    <cellStyle name="sup2ParameterE" xfId="11191" xr:uid="{94FF1339-F4AF-458A-8DB4-AFA6550C3A32}"/>
    <cellStyle name="sup2Percentage" xfId="11192" xr:uid="{6E4B62AB-4D03-4C14-A771-6B8515B17051}"/>
    <cellStyle name="sup2PercentageL" xfId="11193" xr:uid="{2B9E0C29-8375-438D-8E74-0D246C9A5A90}"/>
    <cellStyle name="sup2PercentageM" xfId="11194" xr:uid="{2D35BE60-F207-42AA-96C9-E3C3CDFCABFB}"/>
    <cellStyle name="sup2Selection" xfId="11195" xr:uid="{82C9E679-000F-4B26-A7CE-0F5BC2A96387}"/>
    <cellStyle name="sup2Text" xfId="11196" xr:uid="{3E974DAC-0F34-4A97-B6EE-4590A27EECDE}"/>
    <cellStyle name="sup3ParameterE" xfId="11197" xr:uid="{E2F5F305-6005-45D7-ACAD-FF523E89CB52}"/>
    <cellStyle name="sup3Percentage" xfId="11198" xr:uid="{5ACC1F5A-90D2-41F2-A0E5-26810E2011A5}"/>
    <cellStyle name="supFloat" xfId="11199" xr:uid="{38E6478B-85E3-4BD2-B2C4-4ABD537C27BC}"/>
    <cellStyle name="supInt" xfId="11200" xr:uid="{4B3196EA-36AB-414A-9F62-68C493687552}"/>
    <cellStyle name="supParameterE" xfId="11201" xr:uid="{9C5EA958-964E-4190-869E-402EE0C71564}"/>
    <cellStyle name="supParameterS" xfId="11202" xr:uid="{3E470134-0D60-4CC8-AAC5-24DB0F5CF189}"/>
    <cellStyle name="supPD" xfId="11203" xr:uid="{E445AC16-BD85-4A75-8EC5-B77AEAACB8ED}"/>
    <cellStyle name="supPercentage" xfId="11204" xr:uid="{81CB60EA-8DF8-49FA-9095-333ACE261D99}"/>
    <cellStyle name="supPercentageL" xfId="11205" xr:uid="{8D04268B-CE3D-4068-BE5F-FA272EEEF254}"/>
    <cellStyle name="supPercentageM" xfId="11206" xr:uid="{A5EE9DE8-D43B-4D2F-801F-1B43F408104F}"/>
    <cellStyle name="supSelection" xfId="11207" xr:uid="{72F61B8A-7CF4-4C28-983D-B4B73EA725C1}"/>
    <cellStyle name="supText" xfId="11208" xr:uid="{3351CE69-ACF7-478D-AE25-821FDFE34304}"/>
    <cellStyle name="swiss" xfId="3292" xr:uid="{1060C211-AF13-455D-B74E-211BB2F626B7}"/>
    <cellStyle name="swiss input" xfId="3293" xr:uid="{9138451B-213F-43AF-A6A6-1DD4AF6C7988}"/>
    <cellStyle name="swiss input1" xfId="3294" xr:uid="{47C8FF6D-4C2A-4410-AA6F-560E495E9ACC}"/>
    <cellStyle name="swiss input2" xfId="3295" xr:uid="{2BB7A7DF-332D-418B-AA6D-CC5BC2EF97D1}"/>
    <cellStyle name="swiss spec" xfId="3296" xr:uid="{D51C83BC-74C8-455B-B95C-6E37D634FE67}"/>
    <cellStyle name="System_data" xfId="11209" xr:uid="{693C811E-AF1B-41F7-90A0-2025537CB850}"/>
    <cellStyle name="T" xfId="11210" xr:uid="{B5F572E3-0482-497D-B7F8-B5861DB5F676}"/>
    <cellStyle name="Table Head" xfId="3297" xr:uid="{CB74CA76-5012-4831-9325-2F8A49CF89B1}"/>
    <cellStyle name="Table Head Aligned" xfId="3298" xr:uid="{94A8EE18-7642-48F1-AA70-5B596590FAD4}"/>
    <cellStyle name="Table Head Aligned 2" xfId="11211" xr:uid="{9BDE308B-67B9-4ED0-A7FD-83432D8F45D5}"/>
    <cellStyle name="Table Head Blue" xfId="3299" xr:uid="{734FD8DE-21E6-442E-BB9E-B10627C44EDB}"/>
    <cellStyle name="Table Head Green" xfId="3300" xr:uid="{C3506BFE-9578-4783-A638-0FB0F5415FE6}"/>
    <cellStyle name="Table Head Green 2" xfId="11212" xr:uid="{CDF1ACA3-DC78-4234-A5BE-D65E926D0ED5}"/>
    <cellStyle name="Table Heading" xfId="11213" xr:uid="{D9EB0B96-FC6A-4F30-9A28-4F8413008E67}"/>
    <cellStyle name="Table Title" xfId="3301" xr:uid="{E3EBCA3F-CC68-4966-936E-2AD7424CBBDC}"/>
    <cellStyle name="Table Units" xfId="3302" xr:uid="{E3F915C1-A2F4-4FA4-AFAD-F9A6D7CA9802}"/>
    <cellStyle name="TEXT" xfId="3303" xr:uid="{14A553E2-C566-406C-9E66-176F526539CA}"/>
    <cellStyle name="TEXT 2" xfId="3304" xr:uid="{B7FD5F93-2230-4864-BD4B-7AF6F7D8515B}"/>
    <cellStyle name="TEXT 3" xfId="3305" xr:uid="{B527E641-301D-451E-8647-7C274B32F5AC}"/>
    <cellStyle name="Text 4" xfId="3306" xr:uid="{6D854A36-F57B-46FE-A1C4-6A77F69D99AD}"/>
    <cellStyle name="Text 5" xfId="3307" xr:uid="{20C3DEE0-D6D3-4322-B2E2-772C6FBC00A2}"/>
    <cellStyle name="Text Indent A" xfId="3308" xr:uid="{C6668A19-5C46-4A4C-955C-9DF8FF9FD3E6}"/>
    <cellStyle name="Text Indent A 2" xfId="3309" xr:uid="{CE77488B-7158-4862-9F38-817402E90E80}"/>
    <cellStyle name="Text Indent B" xfId="3310" xr:uid="{10F748FE-F969-4167-8023-15AE047AFB61}"/>
    <cellStyle name="Text Indent B 2" xfId="11214" xr:uid="{21D5FB7E-9A6F-436E-98D1-CA8D62E7FFFC}"/>
    <cellStyle name="Text Indent C" xfId="3311" xr:uid="{634415FF-EC46-4043-B07E-C96EAC6FBD89}"/>
    <cellStyle name="Text Indent C 2" xfId="11215" xr:uid="{D6C9A68E-2D60-479E-A94F-299D4021CE9C}"/>
    <cellStyle name="Text References" xfId="3312" xr:uid="{D8ADB63F-0CEB-4108-9232-345DA1FF8C23}"/>
    <cellStyle name="Text_1.Input" xfId="11216" xr:uid="{1647B53C-008A-4792-853D-8E7A8F4C9353}"/>
    <cellStyle name="Tilbod" xfId="11217" xr:uid="{49416789-7376-4B5A-9834-DBE8630AF7D5}"/>
    <cellStyle name="time" xfId="3313" xr:uid="{59C3AEA7-887F-413C-9016-7204EF05B5E1}"/>
    <cellStyle name="Title" xfId="11" builtinId="15" customBuiltin="1"/>
    <cellStyle name="Title 2" xfId="3314" xr:uid="{297D4AB0-3526-4DF8-A234-DAC3152A5C64}"/>
    <cellStyle name="Title 2 2" xfId="3315" xr:uid="{B24CDC3E-B0C8-4913-A441-EF1B1B92D317}"/>
    <cellStyle name="Title 2 3" xfId="3316" xr:uid="{D4DFFA13-E29E-493C-8BB1-1D8D488BC681}"/>
    <cellStyle name="Title 2 4" xfId="3317" xr:uid="{E1CB490D-F41C-45E9-9515-E02AA9D1E491}"/>
    <cellStyle name="Title 2 5" xfId="3318" xr:uid="{F3C05384-2F06-4BC5-9626-566850BCDDB8}"/>
    <cellStyle name="Title 3" xfId="3319" xr:uid="{9E73F326-82CA-4051-8DED-8E021505C976}"/>
    <cellStyle name="Title1" xfId="11218" xr:uid="{1B7459B6-8C74-41DD-A373-EEFF124B2D7E}"/>
    <cellStyle name="TitleOther" xfId="11219" xr:uid="{32193327-885A-4F78-9B65-F55B206B3ECA}"/>
    <cellStyle name="TitreRub" xfId="11220" xr:uid="{C708C25E-0437-495C-9FB6-6717D7EB927B}"/>
    <cellStyle name="TitreTab" xfId="11221" xr:uid="{0DAFFD57-D5E9-4DB6-A694-27FC014B329D}"/>
    <cellStyle name="TOC 1" xfId="3320" xr:uid="{9243CDBB-BB7D-4C78-8DC7-FA17267DAD45}"/>
    <cellStyle name="TOC 1 2" xfId="3321" xr:uid="{62146B2F-299E-4193-B0D1-AB7BFE182546}"/>
    <cellStyle name="TOC 1 2 2" xfId="11222" xr:uid="{B60F05FD-3826-4801-84A9-0E9413D8D13F}"/>
    <cellStyle name="TOC 1 3" xfId="11223" xr:uid="{61A01963-29D3-4F68-8D31-F797498B8D59}"/>
    <cellStyle name="TOC 1 3 2" xfId="11224" xr:uid="{D323C3C1-6B55-40AA-A1D7-F138DB2AA7A1}"/>
    <cellStyle name="TOC 1 4" xfId="11225" xr:uid="{5FADABBC-F3A5-4C66-94DB-DA9F42376515}"/>
    <cellStyle name="TOC 1 5" xfId="11226" xr:uid="{B8964F9B-932E-4485-AB73-78B3D693188E}"/>
    <cellStyle name="TOC 1_~2153298" xfId="11227" xr:uid="{1981D426-2BA3-4BEA-9046-4BABD12704B9}"/>
    <cellStyle name="TOC 2" xfId="3322" xr:uid="{3192597F-E168-4BF1-B777-8EC7565F0E1B}"/>
    <cellStyle name="TOC 2 2" xfId="3323" xr:uid="{6960121F-A776-4540-9B39-5DA1BE209C12}"/>
    <cellStyle name="TOC 2 2 2" xfId="11228" xr:uid="{80F977D4-3D76-428D-999A-34D39B67A6E1}"/>
    <cellStyle name="TOC 2 3" xfId="11229" xr:uid="{886F81C1-04DF-448E-81F1-93ABD3D19A9D}"/>
    <cellStyle name="TOC 2 3 2" xfId="11230" xr:uid="{FFEC713D-6A9D-47CC-B9C9-F4D6762EA8AF}"/>
    <cellStyle name="TOC 2 4" xfId="11231" xr:uid="{2A788B02-FABC-4F25-B863-6CFCA5596B54}"/>
    <cellStyle name="TOC 2 5" xfId="11232" xr:uid="{3526607C-C1CF-453D-9A50-FCF2F971BA44}"/>
    <cellStyle name="TOC 2_~2153298" xfId="11233" xr:uid="{EA9A1346-313C-4692-B505-28F216ED7208}"/>
    <cellStyle name="TOC 3" xfId="3324" xr:uid="{AF0026EE-5277-4F33-9332-0E9470141E30}"/>
    <cellStyle name="TOC 3 2" xfId="3325" xr:uid="{95F2700A-5EFE-4909-86CF-1BE57B91FB11}"/>
    <cellStyle name="TOC 3 3" xfId="11234" xr:uid="{E3FC3187-1F99-48AD-8152-1C131D3FFF6D}"/>
    <cellStyle name="TOC 3 3 2" xfId="11235" xr:uid="{AC432868-7546-4123-8218-27B8D535EB0B}"/>
    <cellStyle name="TOC 3 4" xfId="11236" xr:uid="{75E35D58-5F39-47AD-A251-BBD59C780724}"/>
    <cellStyle name="TOC 3 5" xfId="11237" xr:uid="{F746D9CC-6283-473D-9AC7-64241B4E3470}"/>
    <cellStyle name="TOC 3 6" xfId="11238" xr:uid="{A7DE960E-7773-4059-9E3F-9A464294E255}"/>
    <cellStyle name="TOC 3 7" xfId="11239" xr:uid="{0FDC410A-79E9-43DD-8941-E500348B20A6}"/>
    <cellStyle name="TOC 3 7 2" xfId="11240" xr:uid="{CCBCBFE3-BC48-493E-9F39-2D8A7B5FF13A}"/>
    <cellStyle name="TOC 3 8" xfId="11241" xr:uid="{EAF185DF-D24A-4D6B-BCAD-7347462069C4}"/>
    <cellStyle name="TOC 3 9" xfId="11242" xr:uid="{17D938AE-23EF-4A52-9747-9D14A705C541}"/>
    <cellStyle name="TOC 3_~2153298" xfId="11243" xr:uid="{37F81458-4FBF-464A-A3A4-32BD998FC3FB}"/>
    <cellStyle name="TOC 4" xfId="3326" xr:uid="{823DD54A-EA9C-4D7F-AF54-9B2C740CE37C}"/>
    <cellStyle name="TOC 4 2" xfId="3327" xr:uid="{FFDBDFC6-3C3A-4C9D-BCAE-0C012B707905}"/>
    <cellStyle name="TOC 4 2 2" xfId="11244" xr:uid="{E0ED1650-92BA-4602-AAF3-C87BCB7917B4}"/>
    <cellStyle name="TOC 4 3" xfId="11245" xr:uid="{47754EB1-4D3D-4651-A3A6-25F5A7E4B0EA}"/>
    <cellStyle name="TOC 4 3 2" xfId="11246" xr:uid="{EF45B440-1D8D-4A9C-8C04-1A15619D66A9}"/>
    <cellStyle name="TOC 4 4" xfId="11247" xr:uid="{D9D71D0D-C219-4AC8-9DFF-455ECBFDBA0D}"/>
    <cellStyle name="TOC 4 5" xfId="11248" xr:uid="{11F44AE0-1E10-4F7D-93D9-8FA95C491059}"/>
    <cellStyle name="TOC 4_~2153298" xfId="11249" xr:uid="{29ADE30A-4F62-4BFB-9CB9-3DEC77F2A204}"/>
    <cellStyle name="Topheader" xfId="11250" xr:uid="{BB91F95A-C99F-4048-BEE1-664E28635764}"/>
    <cellStyle name="Total" xfId="23" builtinId="25" customBuiltin="1"/>
    <cellStyle name="Total - Style5" xfId="11251" xr:uid="{A3B4947E-48AC-4634-B48E-731FE950AE6F}"/>
    <cellStyle name="Total 10" xfId="11252" xr:uid="{068BD556-C4C3-4A0C-BFBF-9808A2108BE4}"/>
    <cellStyle name="Total 11" xfId="11253" xr:uid="{65931CC4-F02E-4E22-89DA-7451EF4496F8}"/>
    <cellStyle name="Total 12" xfId="11254" xr:uid="{2AF0C749-A318-4C03-8503-44CA19579C97}"/>
    <cellStyle name="Total 13" xfId="11255" xr:uid="{7E71A934-0888-4460-9044-129B292A3F6A}"/>
    <cellStyle name="Total 13 2" xfId="11350" xr:uid="{EAE89F92-B993-4124-96B0-19D9DD119D86}"/>
    <cellStyle name="Total 14" xfId="11256" xr:uid="{51F0BA78-CD77-4E11-A088-37DBEDA955A8}"/>
    <cellStyle name="Total 14 2" xfId="11351" xr:uid="{DFC0C20C-85B6-4749-9591-E4F3BF885FB8}"/>
    <cellStyle name="Total 15" xfId="11257" xr:uid="{8CE90D16-6761-44D9-B0D9-AF863108A2F6}"/>
    <cellStyle name="Total 15 2" xfId="11352" xr:uid="{113B5054-BA6D-490F-8990-7CAEF4317FE7}"/>
    <cellStyle name="Total 16" xfId="11258" xr:uid="{F8820393-0FEC-48B2-815A-2FAA4A3853CA}"/>
    <cellStyle name="Total 16 2" xfId="11353" xr:uid="{2850245D-4C80-4A9D-A99F-A06CF7DC10F1}"/>
    <cellStyle name="Total 17" xfId="11259" xr:uid="{05D73B72-C929-4A81-A8C5-5A8C004BA2CF}"/>
    <cellStyle name="Total 17 2" xfId="11354" xr:uid="{A1FA1D88-46A2-4452-AEA7-38CDF68796F6}"/>
    <cellStyle name="Total 18" xfId="11260" xr:uid="{B1626E30-63DC-414E-9403-EC07A7089232}"/>
    <cellStyle name="Total 18 2" xfId="11355" xr:uid="{59B079A1-878F-466F-ABA2-76F646B9031C}"/>
    <cellStyle name="Total 19" xfId="11261" xr:uid="{494B05FC-399F-4053-B697-378C2BEC0967}"/>
    <cellStyle name="Total 19 2" xfId="11356" xr:uid="{C75E803B-8692-4BA4-B8AB-FFAD6C221A4D}"/>
    <cellStyle name="Total 2" xfId="3328" xr:uid="{E28ACDC3-B297-4413-9F62-57603157FF53}"/>
    <cellStyle name="Total 2 2" xfId="3329" xr:uid="{0FF0EEC2-D0BB-41AE-A41A-983B5BB66213}"/>
    <cellStyle name="Total 2 2 2" xfId="3330" xr:uid="{84AAD3E7-AF50-4075-B02F-FCB1D873F45D}"/>
    <cellStyle name="Total 2 3" xfId="3331" xr:uid="{B5B39D65-97D6-470A-A048-F8D7F957E578}"/>
    <cellStyle name="Total 2 4" xfId="3332" xr:uid="{C256D81E-1C1C-49C1-ABB2-48EF31082775}"/>
    <cellStyle name="Total 2 5" xfId="3333" xr:uid="{76E2D03D-CE8C-4768-8170-4E086CABBFE7}"/>
    <cellStyle name="Total 2 5 2" xfId="3334" xr:uid="{6D9284A1-6E0A-4161-8979-2D9EA6B26A79}"/>
    <cellStyle name="Total 2 5 2 2" xfId="3335" xr:uid="{2FCD373B-9A9A-4618-93A1-9235B7A721BF}"/>
    <cellStyle name="Total 2 5 2 2 2" xfId="11328" xr:uid="{40059CD7-BCA0-4D42-AEBB-617A0135103F}"/>
    <cellStyle name="Total 2 5 2 2 2 2" xfId="11370" xr:uid="{F37C80D7-FBDA-4EC8-B95B-25EEFB18166F}"/>
    <cellStyle name="Total 2 5 2 3" xfId="3336" xr:uid="{3B0C55A5-672F-4698-A765-3B8555651586}"/>
    <cellStyle name="Total 2 5 2 3 2" xfId="3337" xr:uid="{512BAEAC-4C28-4C26-9A7D-39BFC9F22F91}"/>
    <cellStyle name="Total 2 5 2 3 2 2" xfId="11329" xr:uid="{2B2AA94A-28B3-41EB-B3BF-189D8C57E5FE}"/>
    <cellStyle name="Total 2 5 2 3 2 2 2" xfId="11371" xr:uid="{58D0B76F-0B49-4293-B538-2F350C9D94D0}"/>
    <cellStyle name="Total 2 5 2 3 3" xfId="11334" xr:uid="{8B44F71F-97A1-416F-B680-FE31D6D01ED3}"/>
    <cellStyle name="Total 2 5 3" xfId="11262" xr:uid="{2F012C6E-992E-4E4D-A48C-C203F16382BA}"/>
    <cellStyle name="Total 2 5 3 2" xfId="11357" xr:uid="{D803E320-EAF0-4E28-B4D4-3E20AA85586D}"/>
    <cellStyle name="Total 2 6" xfId="3338" xr:uid="{37B6A73A-DEDD-4FC0-961B-B9DCCBAC8A0A}"/>
    <cellStyle name="Total 2 6 2" xfId="3622" xr:uid="{91ACDD09-C564-45CE-995C-74744E5B1DB5}"/>
    <cellStyle name="Total 2 7" xfId="3339" xr:uid="{6535EE9F-9D50-4FDF-8F89-C4D3B85ACF15}"/>
    <cellStyle name="Total 20" xfId="11263" xr:uid="{A434DA72-3678-49A8-B7F7-E114A3DF5CE9}"/>
    <cellStyle name="Total 20 2" xfId="11358" xr:uid="{161C26DE-B201-491B-9FFD-8EB1B4B5755C}"/>
    <cellStyle name="Total 21" xfId="11264" xr:uid="{67DC5E16-14AB-48AE-8016-5DC88E55D2A3}"/>
    <cellStyle name="Total 21 2" xfId="11359" xr:uid="{CB19768B-D614-4AAA-81B9-9F6168B9EDF2}"/>
    <cellStyle name="Total 22" xfId="11265" xr:uid="{E9F5418F-448E-49B9-B5E8-E2BCCDBC9A7C}"/>
    <cellStyle name="Total 22 2" xfId="11360" xr:uid="{8A34E222-0979-4A2A-9C25-DD1789F364FA}"/>
    <cellStyle name="Total 23" xfId="11266" xr:uid="{95216754-EC85-464D-A249-90F6F95B82CF}"/>
    <cellStyle name="Total 23 2" xfId="11361" xr:uid="{D4A9DB0C-410B-443C-B25E-ADFF2060BBD9}"/>
    <cellStyle name="Total 24" xfId="11267" xr:uid="{4F00636E-4ED6-4E08-82A0-7312D2A1E059}"/>
    <cellStyle name="Total 24 2" xfId="11362" xr:uid="{8FA14C08-4391-4A75-9218-938E3698B8B4}"/>
    <cellStyle name="Total 25" xfId="11268" xr:uid="{00CE02C4-78CD-4806-9B16-B66E54A7C775}"/>
    <cellStyle name="Total 25 2" xfId="11363" xr:uid="{598C81DD-D261-4306-A3D6-65B1E0A0CF0A}"/>
    <cellStyle name="Total 26" xfId="11269" xr:uid="{F08B641C-0F1B-4953-B712-E1F65B67CDEA}"/>
    <cellStyle name="Total 26 2" xfId="11364" xr:uid="{52F67116-F965-4AAA-AD4F-D4BD3A6E0484}"/>
    <cellStyle name="Total 27" xfId="11270" xr:uid="{557E1382-D375-4295-90DC-1B55883BD627}"/>
    <cellStyle name="Total 27 2" xfId="11365" xr:uid="{079B303E-98B0-40D0-943F-36A9BEC8124D}"/>
    <cellStyle name="Total 28" xfId="11271" xr:uid="{4EE5602A-E1AA-4DAD-BB30-2518AF8FAB30}"/>
    <cellStyle name="Total 28 2" xfId="11366" xr:uid="{D1DB3FE9-0257-4E86-A7D0-6B9A752C0C60}"/>
    <cellStyle name="Total 3" xfId="3340" xr:uid="{BA5C3BD1-28B9-4AD8-9724-103E3E424339}"/>
    <cellStyle name="Total 3 2" xfId="3341" xr:uid="{6FF5BF34-0250-41A3-8CD1-DFE19EB01CB5}"/>
    <cellStyle name="Total 3 2 2" xfId="3342" xr:uid="{8CA9B00E-E2B9-4D72-806F-46799DE37032}"/>
    <cellStyle name="Total 3 2 2 2" xfId="3343" xr:uid="{B6B7FEE2-8FDD-4E51-AB67-FB42DCA218BD}"/>
    <cellStyle name="Total 3 2 2 2 2" xfId="3344" xr:uid="{A68DA710-4E70-4EA7-8A83-23248C845D3A}"/>
    <cellStyle name="Total 3 2 2 2 2 2" xfId="11336" xr:uid="{E45F8206-A190-4005-A15B-B160FC98DAE1}"/>
    <cellStyle name="Total 3 2 2 3" xfId="11333" xr:uid="{09141008-4A31-49F2-ABDF-A3884EAA98CE}"/>
    <cellStyle name="Total 3 2 3" xfId="11332" xr:uid="{C585518F-A74B-4895-B5FF-5D26DEC43895}"/>
    <cellStyle name="Total 3 3" xfId="3345" xr:uid="{F66955DB-4368-4457-BA13-887DE5DA0DB7}"/>
    <cellStyle name="Total 3 3 2" xfId="3346" xr:uid="{72995824-54E9-47E1-ACB6-EF275723C9B9}"/>
    <cellStyle name="Total 3 3 2 2" xfId="11337" xr:uid="{F365B02E-16A3-41D1-A9B2-ECD669818F42}"/>
    <cellStyle name="Total 4" xfId="11272" xr:uid="{4BBB7DD4-F8D3-4945-A01F-61A5DB767E67}"/>
    <cellStyle name="Total 5" xfId="11273" xr:uid="{07F42B50-1703-4996-A5DD-D1418691C833}"/>
    <cellStyle name="Total 6" xfId="11274" xr:uid="{C8762D73-DDEC-450A-987D-66EF1C4D535B}"/>
    <cellStyle name="Total 7" xfId="11275" xr:uid="{E88D039C-09C9-47F5-AF86-7C0F52098B86}"/>
    <cellStyle name="Total 8" xfId="11276" xr:uid="{FA54AC70-E2D2-47DC-B980-F67BCD918A5E}"/>
    <cellStyle name="Total 9" xfId="11277" xr:uid="{216751CF-00A4-46A6-A7BD-E10B7BC82965}"/>
    <cellStyle name="Total1" xfId="11278" xr:uid="{E3E6D9C1-322D-4262-B6EA-3E51E5CEC832}"/>
    <cellStyle name="Total2" xfId="11279" xr:uid="{57C50F73-10BE-43E7-93AA-421CD7C548E1}"/>
    <cellStyle name="Total3" xfId="11280" xr:uid="{95D93217-39C6-49C1-A125-5ACDCD17CA8B}"/>
    <cellStyle name="Total4" xfId="11281" xr:uid="{E6E64592-5920-4F94-982F-919B16CA13D8}"/>
    <cellStyle name="Total5" xfId="11282" xr:uid="{7B8F3D26-F472-4068-BDDA-1D8034CCF6D3}"/>
    <cellStyle name="Total6" xfId="11283" xr:uid="{098E6247-81E6-41B5-A41B-0B59581466FD}"/>
    <cellStyle name="Total6 2" xfId="11367" xr:uid="{EEE3609C-0985-4661-A0F9-3EED9E54E7F0}"/>
    <cellStyle name="Total7" xfId="11284" xr:uid="{D7D8EE8F-DFDD-49B5-8477-9A60EE97E14C}"/>
    <cellStyle name="Total7 2" xfId="11368" xr:uid="{9300AD6A-9C26-4DAA-83F3-C16E2A639588}"/>
    <cellStyle name="Total8" xfId="11285" xr:uid="{BF64DB99-25C8-4EF9-8A12-CBA1CC8C032C}"/>
    <cellStyle name="Total9" xfId="11286" xr:uid="{AC981353-4EA7-4468-8222-ADAF35BCB303}"/>
    <cellStyle name="toto" xfId="11287" xr:uid="{D49C2874-221D-453F-8DD9-2071F9ECB0FC}"/>
    <cellStyle name="TotShade" xfId="11288" xr:uid="{603FCCCD-A08A-4A6A-8315-09FA85E23711}"/>
    <cellStyle name="U&amp;O" xfId="3347" xr:uid="{4E369D27-B041-4EE5-AF31-9E6ED6F1C07F}"/>
    <cellStyle name="U&amp;O 2" xfId="3348" xr:uid="{3E9614D8-7433-46D7-8EE8-F1AF0F509037}"/>
    <cellStyle name="U&amp;O 3" xfId="11289" xr:uid="{9998BF10-E17A-44F5-A92B-CBB99D0B528C}"/>
    <cellStyle name="U&amp;O 3 2" xfId="11290" xr:uid="{C0D91CCB-20B1-41E3-8F02-802DD7448F26}"/>
    <cellStyle name="U&amp;O 4" xfId="11291" xr:uid="{6E82396D-0876-4DBD-BB4E-5FF546D17FD2}"/>
    <cellStyle name="U&amp;O 5" xfId="11292" xr:uid="{17E499C6-E4A4-47C3-9064-6BFCB03E2E12}"/>
    <cellStyle name="U&amp;O_~2153298" xfId="11293" xr:uid="{D382090F-C8ED-47B8-9287-709D93C91C9B}"/>
    <cellStyle name="Underline 2" xfId="3349" xr:uid="{16073531-713C-45DA-A5AB-FAA0B2FA0720}"/>
    <cellStyle name="Underscore" xfId="11294" xr:uid="{633E6DF9-EE2F-42EC-8ADD-7FA7C7ED96A6}"/>
    <cellStyle name="Underscore 2" xfId="11384" xr:uid="{86F6C9B0-90D9-4B1C-BA90-55D0A7B20A05}"/>
    <cellStyle name="Underscore 2 2" xfId="11518" xr:uid="{13A01626-6D75-464E-919A-2942EDE25721}"/>
    <cellStyle name="Underscore 3" xfId="11369" xr:uid="{6FEF10B3-2066-4AC6-8E8E-322DE8C02B5D}"/>
    <cellStyle name="Underscore 3 2" xfId="11505" xr:uid="{60B7C42A-77A2-4256-92FB-2EADB065E029}"/>
    <cellStyle name="Underscore 3 2 2" xfId="11589" xr:uid="{C26B77CF-6AA3-4A2D-9BCF-AB5AD4E15363}"/>
    <cellStyle name="Underscore 3 3" xfId="11548" xr:uid="{01A582C2-763C-4765-826F-43CE81E94FEA}"/>
    <cellStyle name="Underscore 4" xfId="11492" xr:uid="{16B5E583-CDBC-423F-87BD-05AC99C5AB66}"/>
    <cellStyle name="UnitValuation" xfId="3350" xr:uid="{4314227B-2544-4FFD-A2ED-81C5EF0F0AD8}"/>
    <cellStyle name="UnitValuation 2" xfId="11295" xr:uid="{F3F3CF2A-AC32-4044-890B-D55FA67A261B}"/>
    <cellStyle name="UnitValuation 3" xfId="11296" xr:uid="{20C602B8-1D91-4E59-804A-60B60B778834}"/>
    <cellStyle name="UnitValuation_~2153298" xfId="11297" xr:uid="{D1CA32CA-DF1D-43D9-AD15-F5065D278343}"/>
    <cellStyle name="UploadThisRowValue" xfId="11298" xr:uid="{9A702A22-0717-4B72-A145-52DC6C18F21F}"/>
    <cellStyle name="USD" xfId="3351" xr:uid="{3FB0FE64-7AA3-4DF1-9148-5E29AA8CC10D}"/>
    <cellStyle name="USD 2" xfId="3352" xr:uid="{94CFA990-3373-4917-8215-D699F248B012}"/>
    <cellStyle name="USD 3" xfId="3353" xr:uid="{32149327-BD3E-4A98-8272-9966FA7363D5}"/>
    <cellStyle name="USD 4" xfId="11299" xr:uid="{D78BF9D6-C5F4-40B0-8A1A-5B82D992E686}"/>
    <cellStyle name="USD_~2153298" xfId="11300" xr:uid="{BE7683BA-2680-4290-A247-B8EB0031394C}"/>
    <cellStyle name="User_Defined_A" xfId="3354" xr:uid="{00189262-E25C-47EF-8403-6BB0610390BC}"/>
    <cellStyle name="VAR Comma 0.00" xfId="3355" xr:uid="{0BC6ED22-7FE5-4AD2-9AAF-1A1C284FAA0C}"/>
    <cellStyle name="VAR Comma 0.00 2" xfId="11301" xr:uid="{2999821D-37A2-4C17-961A-D68BC390912F}"/>
    <cellStyle name="Variable_standing_data" xfId="11302" xr:uid="{A70B216A-F80D-477E-811F-3E416EA6B438}"/>
    <cellStyle name="w12" xfId="11303" xr:uid="{F2F1A0BA-772B-482E-99B9-E6663CDA0DEB}"/>
    <cellStyle name="Währung [0]_48 Seitz v. oebel korrektur KWI" xfId="3356" xr:uid="{19BB4B98-5B04-4E1C-A867-9E036E502961}"/>
    <cellStyle name="Währung_48 Seitz v. oebel korrektur KWI" xfId="3357" xr:uid="{96B16655-7092-47AC-B1CE-B7664DDAF4E5}"/>
    <cellStyle name="Warning Text" xfId="20" builtinId="11" customBuiltin="1"/>
    <cellStyle name="Warning Text 2" xfId="3358" xr:uid="{110BCB83-0D55-417A-A81C-B03BEC4BD775}"/>
    <cellStyle name="Warning Text 2 2" xfId="3359" xr:uid="{FFCD8867-178C-4430-806C-F847DC310E9F}"/>
    <cellStyle name="Warning Text 2 2 2" xfId="3360" xr:uid="{4F55C331-A6D5-4B92-8477-2EA93C33245A}"/>
    <cellStyle name="Warning Text 2 3" xfId="3361" xr:uid="{2D104A59-2C1F-4947-B784-B7CA7584B64E}"/>
    <cellStyle name="Warning Text 2 4" xfId="3362" xr:uid="{A8ACF87D-1740-4AEA-B87A-172BB894D041}"/>
    <cellStyle name="Warning Text 2 5" xfId="3363" xr:uid="{C1BBE9CD-652E-44A9-883E-F6997C96BE80}"/>
    <cellStyle name="Warning Text 3" xfId="3364" xr:uid="{33C408DA-0DCC-453A-B127-9FD0F0AE0D7B}"/>
    <cellStyle name="Warning Text 3 2" xfId="3365" xr:uid="{A425BEDE-9952-403F-9D8B-594999267525}"/>
    <cellStyle name="Year" xfId="3366" xr:uid="{EB6F17DC-D755-48AE-9562-C82B46AF3D51}"/>
    <cellStyle name="Year 2" xfId="11304" xr:uid="{25940868-A766-4651-AB1F-4F58F5A76D6B}"/>
    <cellStyle name="Year 2 2" xfId="11305" xr:uid="{56E1FC35-E62F-4F08-8566-D6AC43B0840A}"/>
    <cellStyle name="Year_~2153298" xfId="11306" xr:uid="{755843E5-D6A9-4A55-9347-E8ED9476EE1B}"/>
    <cellStyle name="一般 3" xfId="3367" xr:uid="{9B30069F-EBF8-408F-9717-20600DA1BB4C}"/>
    <cellStyle name="一般 3 2" xfId="3368" xr:uid="{5E90ED26-79CA-4156-A076-3D5D19EA9D9D}"/>
    <cellStyle name="一般 7" xfId="3369" xr:uid="{4575A179-BBC5-4351-9CA2-D95EFBD96989}"/>
    <cellStyle name="一般 7 2" xfId="3370" xr:uid="{87179356-0C89-4D4C-894A-ED29F71618AF}"/>
    <cellStyle name="一般 8" xfId="3371" xr:uid="{A3D8DF20-4308-4155-9908-6C17F48A1644}"/>
    <cellStyle name="一般 8 2" xfId="3372" xr:uid="{762E2BD9-8686-4BB9-A677-BBD55150079D}"/>
    <cellStyle name="一般 9" xfId="3373" xr:uid="{20B8CF79-D003-4AFF-9045-4F5A6995D1C4}"/>
    <cellStyle name="一般 9 2" xfId="3374" xr:uid="{32CF0FF4-7D65-47FF-8185-A6E38FE27504}"/>
    <cellStyle name="一般_Book1" xfId="3375" xr:uid="{CD83E29A-E2BB-4851-9465-26F290D8AB62}"/>
    <cellStyle name="中等" xfId="3376" xr:uid="{B4EA82C2-9C54-433A-9C6A-BBD9508E876B}"/>
    <cellStyle name="備註" xfId="3377" xr:uid="{2C07460B-4759-422A-B055-0AE686E87C23}"/>
    <cellStyle name="備註 2" xfId="3378" xr:uid="{4EB9EADA-81F5-4A02-8FB3-BECBB239ADF0}"/>
    <cellStyle name="備註 3" xfId="3379" xr:uid="{862976FE-BCA6-4773-B3CC-0C44BCA5674D}"/>
    <cellStyle name="千分位[0]_GPMOS01" xfId="3380" xr:uid="{8ABD5DB8-8369-4370-8A23-AFD9C85E480F}"/>
    <cellStyle name="千分位_Asia Finance Report WM - Indonesia Dec" xfId="11307" xr:uid="{300E9FD5-C817-4896-BBC5-18034728C393}"/>
    <cellStyle name="合計" xfId="3381" xr:uid="{24963B74-B99E-4CF9-A952-9969105FD0A7}"/>
    <cellStyle name="壞" xfId="3382" xr:uid="{5364BEB3-D9AC-4206-AF83-3338EC0DA5AE}"/>
    <cellStyle name="好" xfId="3383" xr:uid="{7BFBB096-11EE-455D-B11F-34E45535C050}"/>
    <cellStyle name="未定義" xfId="11308" xr:uid="{15C0C9F8-7A4B-4079-85DD-F2E5073D7A36}"/>
    <cellStyle name="桁区切り [0.00]_Feb 2002" xfId="3384" xr:uid="{A1670B42-9C4C-449E-AF0A-31EB9B9C0603}"/>
    <cellStyle name="桁区切り_【TK6】FS作成はるだけ君200704_【TK6】【EBS版貼るだけ君】改良版" xfId="11309" xr:uid="{E8819ADC-3F74-49C6-B5D6-4687A9756D05}"/>
    <cellStyle name="標徨嬀　⸀　　" xfId="11310" xr:uid="{6712EA9B-9667-44B2-AFBA-CBE43045A831}"/>
    <cellStyle name="標準_【TK6】FS作成はるだけ君200704" xfId="11311" xr:uid="{2C781FC7-F937-4D8C-93E4-4E8BD444445C}"/>
    <cellStyle name="標題" xfId="3385" xr:uid="{B8C0567C-BF9D-464B-9E32-B42953E2C067}"/>
    <cellStyle name="標題 1" xfId="3386" xr:uid="{9F75C332-5635-4C77-9725-1DEF71CE903B}"/>
    <cellStyle name="標題 2" xfId="3387" xr:uid="{2E57BA1C-C71B-43D7-9C89-BEFA5527D675}"/>
    <cellStyle name="標題 3" xfId="3388" xr:uid="{713292BC-BF1A-48CA-98FE-453476AD17BE}"/>
    <cellStyle name="標題 3 2" xfId="11444" xr:uid="{30C75EC3-08ED-4B60-9324-EDC4B5DEF7C7}"/>
    <cellStyle name="標題 4" xfId="3389" xr:uid="{FE99C6BD-689B-4CF1-B94F-7ADF3B95C722}"/>
    <cellStyle name="檢查儲存格" xfId="3390" xr:uid="{83B84CE7-A1F7-41FC-B7E2-5C5D84BBFE90}"/>
    <cellStyle name="計算方式" xfId="3391" xr:uid="{C2B28B2B-1D07-456B-800C-ED5CEB9C7D88}"/>
    <cellStyle name="說明文字" xfId="3392" xr:uid="{7511159A-3AD5-46CE-9F87-59FD2066AB99}"/>
    <cellStyle name="警告文字" xfId="3393" xr:uid="{8A184D08-3464-4C0D-8EE0-C1DBB713F200}"/>
    <cellStyle name="貨幣 [0]_GPMOS01" xfId="3394" xr:uid="{5F12F056-9451-41D0-96A9-2D7028741BA9}"/>
    <cellStyle name="貨幣_GPMOS01" xfId="3395" xr:uid="{85C37802-ABDE-4E05-9DD7-4FB82C32CF3C}"/>
    <cellStyle name="輔色1" xfId="3396" xr:uid="{D381D654-EA94-4065-983D-72995EA051B1}"/>
    <cellStyle name="輔色2" xfId="3397" xr:uid="{38B97DD7-6772-466A-B884-2B239D555447}"/>
    <cellStyle name="輔色3" xfId="3398" xr:uid="{FA13F770-7575-41A1-BC0E-E07E0BEBAE0D}"/>
    <cellStyle name="輔色4" xfId="3399" xr:uid="{028411E6-5AD4-445A-B918-4334E8AD13B6}"/>
    <cellStyle name="輔色5" xfId="3400" xr:uid="{684CAA0B-4EB7-4AD3-A615-02B09AA6C64A}"/>
    <cellStyle name="輔色6" xfId="3401" xr:uid="{87619D82-CD54-43DA-A574-3534227FD270}"/>
    <cellStyle name="輸入" xfId="3402" xr:uid="{07B396C5-61E3-4FE7-B416-AC0E1F1233BE}"/>
    <cellStyle name="輸出" xfId="3403" xr:uid="{0A55313E-8C5A-4131-A62F-6C92B84E5298}"/>
    <cellStyle name="連結的儲存格" xfId="3404" xr:uid="{569C93B4-38C3-4AB5-A0D8-5E9C99EC7ED8}"/>
  </cellStyles>
  <dxfs count="598">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74" formatCode="_(* #,##0.0_);_(* \(#,##0.0\);_(* &quot;-&quot;??_);_(@_)"/>
    </dxf>
    <dxf>
      <numFmt numFmtId="174" formatCode="_(* #,##0.0_);_(* \(#,##0.0\);_(* &quot;-&quot;??_);_(@_)"/>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style="thin">
          <color rgb="FFA9D08E"/>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dxf>
    <dxf>
      <numFmt numFmtId="165" formatCode="_(* #,##0_);_(* \(#,##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rgb="FFFF0000"/>
        <name val="Arial"/>
        <family val="2"/>
        <scheme val="minor"/>
      </font>
      <numFmt numFmtId="0" formatCode="General"/>
      <alignment horizontal="general" vertical="bottom" textRotation="0" wrapText="0" indent="0" justifyLastLine="0" shrinkToFit="0" readingOrder="0"/>
    </dxf>
    <dxf>
      <font>
        <strike val="0"/>
        <outline val="0"/>
        <shadow val="0"/>
        <u val="none"/>
        <vertAlign val="baseline"/>
        <sz val="11"/>
        <color rgb="FFFF0000"/>
        <name val="Arial"/>
        <family val="2"/>
        <scheme val="minor"/>
      </font>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style="thin">
          <color rgb="FFA9D08E"/>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dxf>
    <dxf>
      <numFmt numFmtId="165" formatCode="_(* #,##0_);_(* \(#,##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rgb="FFFF0000"/>
        <name val="Arial"/>
        <family val="2"/>
        <scheme val="minor"/>
      </font>
      <numFmt numFmtId="0" formatCode="General"/>
      <alignment horizontal="general" vertical="bottom" textRotation="0" wrapText="0" indent="0" justifyLastLine="0" shrinkToFit="0" readingOrder="0"/>
    </dxf>
    <dxf>
      <font>
        <strike val="0"/>
        <outline val="0"/>
        <shadow val="0"/>
        <u val="none"/>
        <vertAlign val="baseline"/>
        <sz val="11"/>
        <color rgb="FFFF0000"/>
        <name val="Arial"/>
        <family val="2"/>
        <scheme val="minor"/>
      </font>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style="thin">
          <color rgb="FFA9D08E"/>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style="thin">
          <color rgb="FFA9D08E"/>
        </left>
        <right style="thin">
          <color rgb="FFA9D08E"/>
        </right>
        <top style="thin">
          <color rgb="FFA9D08E"/>
        </top>
        <bottom style="thin">
          <color rgb="FFA9D08E"/>
        </bottom>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style="thin">
          <color rgb="FFA9D08E"/>
        </left>
        <right style="thin">
          <color rgb="FFA9D08E"/>
        </right>
        <top style="thin">
          <color rgb="FFA9D08E"/>
        </top>
        <bottom style="thin">
          <color rgb="FFA9D08E"/>
        </bottom>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font>
        <b val="0"/>
        <i val="0"/>
        <strike val="0"/>
        <condense val="0"/>
        <extend val="0"/>
        <outline val="0"/>
        <shadow val="0"/>
        <u val="none"/>
        <vertAlign val="baseline"/>
        <sz val="10"/>
        <color theme="1"/>
        <name val="Arial"/>
        <family val="2"/>
        <scheme val="minor"/>
      </font>
      <numFmt numFmtId="165" formatCode="_(* #,##0_);_(* \(#,##0\);_(* &quot;-&quot;??_);_(@_)"/>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165" formatCode="_(* #,##0_);_(* \(#,##0\);_(* &quot;-&quot;??_);_(@_)"/>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border outline="0">
        <top style="thin">
          <color rgb="FFA9D08E"/>
        </top>
      </border>
    </dxf>
    <dxf>
      <fill>
        <patternFill patternType="solid">
          <fgColor indexed="64"/>
          <bgColor theme="2" tint="0.89996032593768116"/>
        </patternFill>
      </fill>
      <alignment horizontal="general" vertical="bottom" textRotation="0" wrapText="0" indent="0" justifyLastLine="0" shrinkToFit="0" readingOrder="0"/>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style="thin">
          <color rgb="FFA9D08E"/>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style="thin">
          <color rgb="FFA9D08E"/>
        </left>
        <right style="thin">
          <color rgb="FFA9D08E"/>
        </right>
        <top style="thin">
          <color rgb="FFA9D08E"/>
        </top>
        <bottom style="thin">
          <color rgb="FFA9D08E"/>
        </bottom>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style="thin">
          <color rgb="FFA9D08E"/>
        </left>
        <right style="thin">
          <color rgb="FFA9D08E"/>
        </right>
        <top style="thin">
          <color rgb="FFA9D08E"/>
        </top>
        <bottom style="thin">
          <color rgb="FFA9D08E"/>
        </bottom>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font>
        <b val="0"/>
        <i val="0"/>
        <strike val="0"/>
        <condense val="0"/>
        <extend val="0"/>
        <outline val="0"/>
        <shadow val="0"/>
        <u val="none"/>
        <vertAlign val="baseline"/>
        <sz val="10"/>
        <color theme="1"/>
        <name val="Arial"/>
        <family val="2"/>
        <scheme val="minor"/>
      </font>
      <numFmt numFmtId="165" formatCode="_(* #,##0_);_(* \(#,##0\);_(* &quot;-&quot;??_);_(@_)"/>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164" formatCode="_(* #,##0.00_);_(* \(#,##0.00\);_(* &quot;-&quot;??_);_(@_)"/>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border outline="0">
        <top style="thin">
          <color rgb="FFA9D08E"/>
        </top>
      </border>
    </dxf>
    <dxf>
      <fill>
        <patternFill patternType="solid">
          <fgColor indexed="64"/>
          <bgColor theme="2" tint="0.89996032593768116"/>
        </patternFill>
      </fill>
      <alignment horizontal="general" vertical="bottom" textRotation="0" wrapText="0" indent="0" justifyLastLine="0" shrinkToFit="0" readingOrder="0"/>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style="thin">
          <color rgb="FFA9D08E"/>
        </right>
        <top style="thin">
          <color rgb="FFA9D08E"/>
        </top>
        <bottom style="thin">
          <color rgb="FFA9D08E"/>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72" formatCode="0.0000"/>
      <alignment horizontal="general" vertical="bottom" textRotation="0" wrapText="0" indent="0" justifyLastLine="0" shrinkToFit="0" readingOrder="0"/>
    </dxf>
    <dxf>
      <numFmt numFmtId="165" formatCode="_(* #,##0_);_(* \(#,##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style="thin">
          <color rgb="FFA9D08E"/>
        </right>
        <top style="thin">
          <color rgb="FFA9D08E"/>
        </top>
        <bottom style="thin">
          <color rgb="FFA9D08E"/>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72" formatCode="0.0000"/>
      <alignment horizontal="general" vertical="bottom" textRotation="0" wrapText="0" indent="0" justifyLastLine="0" shrinkToFit="0" readingOrder="0"/>
    </dxf>
    <dxf>
      <numFmt numFmtId="165" formatCode="_(* #,##0_);_(* \(#,##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font>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font>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_(* #,##0_);_(* \(#,##0\);_(* &quot;-&quot;??_);_(@_)"/>
    </dxf>
    <dxf>
      <numFmt numFmtId="165" formatCode="_(* #,##0_);_(* \(#,##0\);_(* &quot;-&quot;??_);_(@_)"/>
    </dxf>
    <dxf>
      <numFmt numFmtId="0" formatCode="General"/>
    </dxf>
    <dxf>
      <numFmt numFmtId="165" formatCode="_(* #,##0_);_(* \(#,##0\);_(* &quot;-&quot;??_);_(@_)"/>
    </dxf>
    <dxf>
      <numFmt numFmtId="165" formatCode="_(* #,##0_);_(* \(#,##0\);_(* &quot;-&quot;??_);_(@_)"/>
    </dxf>
    <dxf>
      <numFmt numFmtId="165" formatCode="_(* #,##0_);_(* \(#,##0\);_(* &quot;-&quot;??_);_(@_)"/>
    </dxf>
    <dxf>
      <fill>
        <patternFill patternType="solid">
          <fgColor indexed="64"/>
          <bgColor theme="2" tint="0.89996032593768116"/>
        </patternFill>
      </fill>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alignment horizontal="general" vertical="bottom" textRotation="0" wrapText="0" indent="0" justifyLastLine="0" shrinkToFit="0" readingOrder="0"/>
      <border diagonalUp="0" diagonalDown="0">
        <left/>
        <right/>
        <top style="thin">
          <color rgb="FFA9D08E"/>
        </top>
        <bottom style="thin">
          <color rgb="FFA9D08E"/>
        </bottom>
        <vertical/>
        <horizontal/>
      </border>
    </dxf>
    <dxf>
      <border outline="0">
        <left style="thin">
          <color rgb="FFA9D08E"/>
        </left>
        <top style="thin">
          <color rgb="FFA9D08E"/>
        </top>
      </border>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numFmt numFmtId="165" formatCode="_(* #,##0_);_(* \(#,##0\);_(* &quot;-&quot;??_);_(@_)"/>
    </dxf>
    <dxf>
      <numFmt numFmtId="165" formatCode="_(* #,##0_);_(* \(#,##0\);_(* &quot;-&quot;??_);_(@_)"/>
    </dxf>
    <dxf>
      <numFmt numFmtId="0" formatCode="General"/>
    </dxf>
    <dxf>
      <numFmt numFmtId="165" formatCode="_(* #,##0_);_(* \(#,##0\);_(* &quot;-&quot;??_);_(@_)"/>
    </dxf>
    <dxf>
      <numFmt numFmtId="165" formatCode="_(* #,##0_);_(* \(#,##0\);_(* &quot;-&quot;??_);_(@_)"/>
    </dxf>
    <dxf>
      <numFmt numFmtId="165" formatCode="_(* #,##0_);_(* \(#,##0\);_(* &quot;-&quot;??_);_(@_)"/>
    </dxf>
    <dxf>
      <fill>
        <patternFill patternType="solid">
          <fgColor indexed="64"/>
          <bgColor theme="2" tint="0.89996032593768116"/>
        </patternFill>
      </fill>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alignment horizontal="general" vertical="bottom" textRotation="0" wrapText="0" indent="0" justifyLastLine="0" shrinkToFit="0" readingOrder="0"/>
      <border diagonalUp="0" diagonalDown="0" outline="0">
        <left/>
        <right/>
        <top style="thin">
          <color rgb="FFA9D08E"/>
        </top>
        <bottom style="thin">
          <color rgb="FFA9D08E"/>
        </bottom>
      </border>
    </dxf>
    <dxf>
      <border outline="0">
        <left style="thin">
          <color rgb="FFA9D08E"/>
        </left>
        <top style="thin">
          <color rgb="FFA9D08E"/>
        </top>
      </border>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numFmt numFmtId="165" formatCode="_(* #,##0_);_(* \(#,##0\);_(* &quot;-&quot;??_);_(@_)"/>
    </dxf>
    <dxf>
      <font>
        <b val="0"/>
        <i val="0"/>
        <strike val="0"/>
        <condense val="0"/>
        <extend val="0"/>
        <outline val="0"/>
        <shadow val="0"/>
        <u val="none"/>
        <vertAlign val="baseline"/>
        <sz val="11"/>
        <color rgb="FF9C5700"/>
        <name val="Arial"/>
        <family val="2"/>
        <scheme val="minor"/>
      </font>
      <fill>
        <patternFill patternType="solid">
          <fgColor indexed="64"/>
          <bgColor rgb="FFFFEB9C"/>
        </patternFill>
      </fill>
      <border diagonalUp="0" diagonalDown="0" outline="0">
        <left style="thin">
          <color theme="8" tint="0.39997558519241921"/>
        </left>
        <right/>
        <top style="thin">
          <color theme="8" tint="0.39997558519241921"/>
        </top>
        <bottom style="thin">
          <color theme="8" tint="0.39997558519241921"/>
        </bottom>
      </border>
    </dxf>
    <dxf>
      <border outline="0">
        <right style="thin">
          <color rgb="FFA9D08E"/>
        </right>
        <top style="thin">
          <color rgb="FFA9D08E"/>
        </top>
      </border>
    </dxf>
    <dxf>
      <font>
        <b val="0"/>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strike val="0"/>
        <outline val="0"/>
        <shadow val="0"/>
        <u val="none"/>
        <vertAlign val="baseline"/>
        <sz val="11"/>
        <color auto="1"/>
        <name val="Arial"/>
        <family val="2"/>
        <scheme val="minor"/>
      </font>
      <numFmt numFmtId="165" formatCode="_(* #,##0_);_(* \(#,##0\);_(* &quot;-&quot;??_);_(@_)"/>
    </dxf>
    <dxf>
      <font>
        <b val="0"/>
        <i val="0"/>
        <strike val="0"/>
        <condense val="0"/>
        <extend val="0"/>
        <outline val="0"/>
        <shadow val="0"/>
        <u val="none"/>
        <vertAlign val="baseline"/>
        <sz val="11"/>
        <color rgb="FF9C5700"/>
        <name val="Arial"/>
        <family val="2"/>
        <scheme val="minor"/>
      </font>
      <fill>
        <patternFill patternType="solid">
          <fgColor indexed="64"/>
          <bgColor rgb="FFFFEB9C"/>
        </patternFill>
      </fill>
      <border diagonalUp="0" diagonalDown="0" outline="0">
        <left style="thin">
          <color theme="8" tint="0.39997558519241921"/>
        </left>
        <right/>
        <top style="thin">
          <color theme="8" tint="0.39997558519241921"/>
        </top>
        <bottom style="thin">
          <color theme="8" tint="0.39997558519241921"/>
        </bottom>
      </border>
    </dxf>
    <dxf>
      <border outline="0">
        <right style="thin">
          <color rgb="FFA9D08E"/>
        </right>
        <top style="thin">
          <color rgb="FFA9D08E"/>
        </top>
      </border>
    </dxf>
    <dxf>
      <font>
        <b val="0"/>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76" formatCode="_(* #,##0.000_);_(* \(#,##0.000\);_(* &quot;-&quot;??_);_(@_)"/>
    </dxf>
    <dxf>
      <numFmt numFmtId="35" formatCode="_-* #,##0.00_-;\-* #,##0.00_-;_-* &quot;-&quot;??_-;_-@_-"/>
    </dxf>
    <dxf>
      <numFmt numFmtId="35" formatCode="_-* #,##0.00_-;\-* #,##0.00_-;_-* &quot;-&quot;??_-;_-@_-"/>
    </dxf>
    <dxf>
      <numFmt numFmtId="165" formatCode="_(* #,##0_);_(* \(#,##0\);_(* &quot;-&quot;??_);_(@_)"/>
    </dxf>
    <dxf>
      <numFmt numFmtId="35" formatCode="_-* #,##0.00_-;\-* #,##0.00_-;_-* &quot;-&quot;??_-;_-@_-"/>
    </dxf>
    <dxf>
      <font>
        <color rgb="FF9C0006"/>
      </font>
      <fill>
        <patternFill>
          <bgColor rgb="FFFFC7CE"/>
        </patternFill>
      </fill>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4" formatCode="_(* #,##0.00_);_(* \(#,##0.00\);_(* &quot;-&quot;??_);_(@_)"/>
    </dxf>
    <dxf>
      <numFmt numFmtId="174" formatCode="_(* #,##0.0_);_(* \(#,##0.0\);_(* &quot;-&quot;??_);_(@_)"/>
    </dxf>
    <dxf>
      <numFmt numFmtId="165" formatCode="_(* #,##0_);_(* \(#,##0\);_(* &quot;-&quot;??_);_(@_)"/>
    </dxf>
    <dxf>
      <font>
        <b/>
        <i val="0"/>
      </font>
      <fill>
        <patternFill>
          <bgColor theme="0" tint="-0.24994659260841701"/>
        </patternFill>
      </fill>
    </dxf>
    <dxf>
      <font>
        <b val="0"/>
        <i val="0"/>
        <color theme="1"/>
      </font>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patternType="none">
          <bgColor auto="1"/>
        </patternFill>
      </fill>
    </dxf>
    <dxf>
      <fill>
        <patternFill>
          <bgColor theme="2" tint="0.89996032593768116"/>
        </patternFill>
      </fill>
    </dxf>
    <dxf>
      <font>
        <b/>
        <i val="0"/>
        <color rgb="FFFFFFFF"/>
      </font>
      <fill>
        <patternFill>
          <bgColor theme="2" tint="0.24994659260841701"/>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3" defaultTableStyle="TableStyleMedium2" defaultPivotStyle="PivotStyleLight16">
    <tableStyle name="TableStyleQueryPreview" pivot="0" count="3" xr9:uid="{00000000-0011-0000-FFFF-FFFF00000000}">
      <tableStyleElement type="wholeTable" dxfId="597"/>
      <tableStyleElement type="headerRow" dxfId="596"/>
      <tableStyleElement type="firstRowStripe" dxfId="595"/>
    </tableStyle>
    <tableStyle name="TableStyleQueryResult" pivot="0" count="4" xr9:uid="{00000000-0011-0000-FFFF-FFFF01000000}">
      <tableStyleElement type="wholeTable" dxfId="594"/>
      <tableStyleElement type="headerRow" dxfId="593"/>
      <tableStyleElement type="firstRowStripe" dxfId="592"/>
      <tableStyleElement type="firstColumnStripe" dxfId="591"/>
    </tableStyle>
    <tableStyle name="Table Style 1" pivot="0" count="2" xr9:uid="{F7B25157-1CFD-4F39-A295-BBF6084E1A9E}">
      <tableStyleElement type="wholeTable" dxfId="590"/>
      <tableStyleElement type="totalRow" dxfId="589"/>
    </tableStyle>
  </tableStyles>
  <colors>
    <mruColors>
      <color rgb="FF000000"/>
      <color rgb="FF404040"/>
      <color rgb="FFC0C0C0"/>
      <color rgb="FF074F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5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customXml" Target="../customXml/item2.xml"/><Relationship Id="rId84" Type="http://schemas.openxmlformats.org/officeDocument/2006/relationships/customXml" Target="../customXml/item23.xml"/><Relationship Id="rId138" Type="http://schemas.openxmlformats.org/officeDocument/2006/relationships/customXml" Target="../customXml/item77.xml"/><Relationship Id="rId159" Type="http://schemas.openxmlformats.org/officeDocument/2006/relationships/customXml" Target="../customXml/item98.xml"/><Relationship Id="rId170" Type="http://schemas.openxmlformats.org/officeDocument/2006/relationships/customXml" Target="../customXml/item109.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pivotCacheDefinition" Target="pivotCache/pivotCacheDefinition6.xml"/><Relationship Id="rId74" Type="http://schemas.openxmlformats.org/officeDocument/2006/relationships/customXml" Target="../customXml/item13.xml"/><Relationship Id="rId128" Type="http://schemas.openxmlformats.org/officeDocument/2006/relationships/customXml" Target="../customXml/item67.xml"/><Relationship Id="rId149" Type="http://schemas.openxmlformats.org/officeDocument/2006/relationships/customXml" Target="../customXml/item88.xml"/><Relationship Id="rId5" Type="http://schemas.openxmlformats.org/officeDocument/2006/relationships/worksheet" Target="worksheets/sheet5.xml"/><Relationship Id="rId95" Type="http://schemas.openxmlformats.org/officeDocument/2006/relationships/customXml" Target="../customXml/item34.xml"/><Relationship Id="rId160" Type="http://schemas.openxmlformats.org/officeDocument/2006/relationships/customXml" Target="../customXml/item9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customXml" Target="../customXml/item3.xml"/><Relationship Id="rId118" Type="http://schemas.openxmlformats.org/officeDocument/2006/relationships/customXml" Target="../customXml/item57.xml"/><Relationship Id="rId139" Type="http://schemas.openxmlformats.org/officeDocument/2006/relationships/customXml" Target="../customXml/item78.xml"/><Relationship Id="rId85" Type="http://schemas.openxmlformats.org/officeDocument/2006/relationships/customXml" Target="../customXml/item24.xml"/><Relationship Id="rId150" Type="http://schemas.openxmlformats.org/officeDocument/2006/relationships/customXml" Target="../customXml/item89.xml"/><Relationship Id="rId171" Type="http://schemas.openxmlformats.org/officeDocument/2006/relationships/customXml" Target="../customXml/item11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customXml" Target="../customXml/item47.xml"/><Relationship Id="rId129" Type="http://schemas.openxmlformats.org/officeDocument/2006/relationships/customXml" Target="../customXml/item68.xml"/><Relationship Id="rId54" Type="http://schemas.openxmlformats.org/officeDocument/2006/relationships/pivotCacheDefinition" Target="pivotCache/pivotCacheDefinition7.xml"/><Relationship Id="rId75" Type="http://schemas.openxmlformats.org/officeDocument/2006/relationships/customXml" Target="../customXml/item14.xml"/><Relationship Id="rId96" Type="http://schemas.openxmlformats.org/officeDocument/2006/relationships/customXml" Target="../customXml/item35.xml"/><Relationship Id="rId140" Type="http://schemas.openxmlformats.org/officeDocument/2006/relationships/customXml" Target="../customXml/item79.xml"/><Relationship Id="rId161" Type="http://schemas.openxmlformats.org/officeDocument/2006/relationships/customXml" Target="../customXml/item10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pivotCacheDefinition" Target="pivotCache/pivotCacheDefinition2.xml"/><Relationship Id="rId114" Type="http://schemas.openxmlformats.org/officeDocument/2006/relationships/customXml" Target="../customXml/item53.xml"/><Relationship Id="rId119" Type="http://schemas.openxmlformats.org/officeDocument/2006/relationships/customXml" Target="../customXml/item58.xml"/><Relationship Id="rId44" Type="http://schemas.openxmlformats.org/officeDocument/2006/relationships/worksheet" Target="worksheets/sheet44.xml"/><Relationship Id="rId60" Type="http://schemas.microsoft.com/office/2017/10/relationships/person" Target="persons/person.xml"/><Relationship Id="rId65" Type="http://schemas.openxmlformats.org/officeDocument/2006/relationships/customXml" Target="../customXml/item4.xml"/><Relationship Id="rId81" Type="http://schemas.openxmlformats.org/officeDocument/2006/relationships/customXml" Target="../customXml/item20.xml"/><Relationship Id="rId86" Type="http://schemas.openxmlformats.org/officeDocument/2006/relationships/customXml" Target="../customXml/item25.xml"/><Relationship Id="rId130" Type="http://schemas.openxmlformats.org/officeDocument/2006/relationships/customXml" Target="../customXml/item69.xml"/><Relationship Id="rId135" Type="http://schemas.openxmlformats.org/officeDocument/2006/relationships/customXml" Target="../customXml/item74.xml"/><Relationship Id="rId151" Type="http://schemas.openxmlformats.org/officeDocument/2006/relationships/customXml" Target="../customXml/item90.xml"/><Relationship Id="rId156" Type="http://schemas.openxmlformats.org/officeDocument/2006/relationships/customXml" Target="../customXml/item95.xml"/><Relationship Id="rId172" Type="http://schemas.openxmlformats.org/officeDocument/2006/relationships/customXml" Target="../customXml/item11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48.xml"/><Relationship Id="rId34" Type="http://schemas.openxmlformats.org/officeDocument/2006/relationships/worksheet" Target="worksheets/sheet34.xml"/><Relationship Id="rId50" Type="http://schemas.openxmlformats.org/officeDocument/2006/relationships/pivotCacheDefinition" Target="pivotCache/pivotCacheDefinition3.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141" Type="http://schemas.openxmlformats.org/officeDocument/2006/relationships/customXml" Target="../customXml/item80.xml"/><Relationship Id="rId146" Type="http://schemas.openxmlformats.org/officeDocument/2006/relationships/customXml" Target="../customXml/item85.xml"/><Relationship Id="rId167" Type="http://schemas.openxmlformats.org/officeDocument/2006/relationships/customXml" Target="../customXml/item106.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162" Type="http://schemas.openxmlformats.org/officeDocument/2006/relationships/customXml" Target="../customXml/item10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136" Type="http://schemas.openxmlformats.org/officeDocument/2006/relationships/customXml" Target="../customXml/item75.xml"/><Relationship Id="rId157" Type="http://schemas.openxmlformats.org/officeDocument/2006/relationships/customXml" Target="../customXml/item96.xml"/><Relationship Id="rId61" Type="http://schemas.openxmlformats.org/officeDocument/2006/relationships/calcChain" Target="calcChain.xml"/><Relationship Id="rId82" Type="http://schemas.openxmlformats.org/officeDocument/2006/relationships/customXml" Target="../customXml/item21.xml"/><Relationship Id="rId152" Type="http://schemas.openxmlformats.org/officeDocument/2006/relationships/customXml" Target="../customXml/item91.xml"/><Relationship Id="rId173" Type="http://schemas.openxmlformats.org/officeDocument/2006/relationships/customXml" Target="../customXml/item1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connections" Target="connections.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26" Type="http://schemas.openxmlformats.org/officeDocument/2006/relationships/customXml" Target="../customXml/item65.xml"/><Relationship Id="rId147" Type="http://schemas.openxmlformats.org/officeDocument/2006/relationships/customXml" Target="../customXml/item86.xml"/><Relationship Id="rId168" Type="http://schemas.openxmlformats.org/officeDocument/2006/relationships/customXml" Target="../customXml/item107.xml"/><Relationship Id="rId8" Type="http://schemas.openxmlformats.org/officeDocument/2006/relationships/worksheet" Target="worksheets/sheet8.xml"/><Relationship Id="rId51" Type="http://schemas.openxmlformats.org/officeDocument/2006/relationships/pivotCacheDefinition" Target="pivotCache/pivotCacheDefinition4.xml"/><Relationship Id="rId72" Type="http://schemas.openxmlformats.org/officeDocument/2006/relationships/customXml" Target="../customXml/item11.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142" Type="http://schemas.openxmlformats.org/officeDocument/2006/relationships/customXml" Target="../customXml/item81.xml"/><Relationship Id="rId163" Type="http://schemas.openxmlformats.org/officeDocument/2006/relationships/customXml" Target="../customXml/item10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customXml" Target="../customXml/item6.xml"/><Relationship Id="rId116" Type="http://schemas.openxmlformats.org/officeDocument/2006/relationships/customXml" Target="../customXml/item55.xml"/><Relationship Id="rId137" Type="http://schemas.openxmlformats.org/officeDocument/2006/relationships/customXml" Target="../customXml/item76.xml"/><Relationship Id="rId158" Type="http://schemas.openxmlformats.org/officeDocument/2006/relationships/customXml" Target="../customXml/item9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customXml" Target="../customXml/item1.xml"/><Relationship Id="rId83" Type="http://schemas.openxmlformats.org/officeDocument/2006/relationships/customXml" Target="../customXml/item22.xml"/><Relationship Id="rId88" Type="http://schemas.openxmlformats.org/officeDocument/2006/relationships/customXml" Target="../customXml/item27.xml"/><Relationship Id="rId111" Type="http://schemas.openxmlformats.org/officeDocument/2006/relationships/customXml" Target="../customXml/item50.xml"/><Relationship Id="rId132" Type="http://schemas.openxmlformats.org/officeDocument/2006/relationships/customXml" Target="../customXml/item71.xml"/><Relationship Id="rId153" Type="http://schemas.openxmlformats.org/officeDocument/2006/relationships/customXml" Target="../customXml/item9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styles" Target="styles.xml"/><Relationship Id="rId106" Type="http://schemas.openxmlformats.org/officeDocument/2006/relationships/customXml" Target="../customXml/item45.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pivotCacheDefinition" Target="pivotCache/pivotCacheDefinition5.xml"/><Relationship Id="rId73" Type="http://schemas.openxmlformats.org/officeDocument/2006/relationships/customXml" Target="../customXml/item12.xml"/><Relationship Id="rId78" Type="http://schemas.openxmlformats.org/officeDocument/2006/relationships/customXml" Target="../customXml/item17.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43" Type="http://schemas.openxmlformats.org/officeDocument/2006/relationships/customXml" Target="../customXml/item82.xml"/><Relationship Id="rId148" Type="http://schemas.openxmlformats.org/officeDocument/2006/relationships/customXml" Target="../customXml/item87.xml"/><Relationship Id="rId164" Type="http://schemas.openxmlformats.org/officeDocument/2006/relationships/customXml" Target="../customXml/item103.xml"/><Relationship Id="rId169" Type="http://schemas.openxmlformats.org/officeDocument/2006/relationships/customXml" Target="../customXml/item10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customXml" Target="../customXml/item7.xml"/><Relationship Id="rId89" Type="http://schemas.openxmlformats.org/officeDocument/2006/relationships/customXml" Target="../customXml/item28.xml"/><Relationship Id="rId112" Type="http://schemas.openxmlformats.org/officeDocument/2006/relationships/customXml" Target="../customXml/item51.xml"/><Relationship Id="rId133" Type="http://schemas.openxmlformats.org/officeDocument/2006/relationships/customXml" Target="../customXml/item72.xml"/><Relationship Id="rId154" Type="http://schemas.openxmlformats.org/officeDocument/2006/relationships/customXml" Target="../customXml/item9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sharedStrings" Target="sharedStrings.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44" Type="http://schemas.openxmlformats.org/officeDocument/2006/relationships/customXml" Target="../customXml/item83.xml"/><Relationship Id="rId90" Type="http://schemas.openxmlformats.org/officeDocument/2006/relationships/customXml" Target="../customXml/item29.xml"/><Relationship Id="rId165" Type="http://schemas.openxmlformats.org/officeDocument/2006/relationships/customXml" Target="../customXml/item104.xml"/><Relationship Id="rId27" Type="http://schemas.openxmlformats.org/officeDocument/2006/relationships/worksheet" Target="worksheets/sheet27.xml"/><Relationship Id="rId48" Type="http://schemas.openxmlformats.org/officeDocument/2006/relationships/pivotCacheDefinition" Target="pivotCache/pivotCacheDefinition1.xml"/><Relationship Id="rId69" Type="http://schemas.openxmlformats.org/officeDocument/2006/relationships/customXml" Target="../customXml/item8.xml"/><Relationship Id="rId113" Type="http://schemas.openxmlformats.org/officeDocument/2006/relationships/customXml" Target="../customXml/item52.xml"/><Relationship Id="rId134" Type="http://schemas.openxmlformats.org/officeDocument/2006/relationships/customXml" Target="../customXml/item73.xml"/><Relationship Id="rId80" Type="http://schemas.openxmlformats.org/officeDocument/2006/relationships/customXml" Target="../customXml/item19.xml"/><Relationship Id="rId155" Type="http://schemas.openxmlformats.org/officeDocument/2006/relationships/customXml" Target="../customXml/item9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powerPivotData" Target="model/item.data"/><Relationship Id="rId103" Type="http://schemas.openxmlformats.org/officeDocument/2006/relationships/customXml" Target="../customXml/item42.xml"/><Relationship Id="rId124" Type="http://schemas.openxmlformats.org/officeDocument/2006/relationships/customXml" Target="../customXml/item63.xml"/><Relationship Id="rId70" Type="http://schemas.openxmlformats.org/officeDocument/2006/relationships/customXml" Target="../customXml/item9.xml"/><Relationship Id="rId91" Type="http://schemas.openxmlformats.org/officeDocument/2006/relationships/customXml" Target="../customXml/item30.xml"/><Relationship Id="rId145" Type="http://schemas.openxmlformats.org/officeDocument/2006/relationships/customXml" Target="../customXml/item84.xml"/><Relationship Id="rId166" Type="http://schemas.openxmlformats.org/officeDocument/2006/relationships/customXml" Target="../customXml/item10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180975</xdr:colOff>
      <xdr:row>17</xdr:row>
      <xdr:rowOff>123825</xdr:rowOff>
    </xdr:to>
    <xdr:pic>
      <xdr:nvPicPr>
        <xdr:cNvPr id="3" name="Picture 2">
          <a:extLst>
            <a:ext uri="{FF2B5EF4-FFF2-40B4-BE49-F238E27FC236}">
              <a16:creationId xmlns:a16="http://schemas.microsoft.com/office/drawing/2014/main" id="{BD580554-86B2-45A8-BAB4-CD5EAB1D1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15377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10159</xdr:colOff>
      <xdr:row>0</xdr:row>
      <xdr:rowOff>0</xdr:rowOff>
    </xdr:from>
    <xdr:to>
      <xdr:col>9</xdr:col>
      <xdr:colOff>5743</xdr:colOff>
      <xdr:row>1</xdr:row>
      <xdr:rowOff>0</xdr:rowOff>
    </xdr:to>
    <xdr:pic>
      <xdr:nvPicPr>
        <xdr:cNvPr id="2" name="Picture 1">
          <a:extLst>
            <a:ext uri="{FF2B5EF4-FFF2-40B4-BE49-F238E27FC236}">
              <a16:creationId xmlns:a16="http://schemas.microsoft.com/office/drawing/2014/main" id="{F5042896-CA65-5A4F-8332-712A0E48E6C9}"/>
            </a:ext>
          </a:extLst>
        </xdr:cNvPr>
        <xdr:cNvPicPr>
          <a:picLocks noChangeAspect="1"/>
        </xdr:cNvPicPr>
      </xdr:nvPicPr>
      <xdr:blipFill>
        <a:blip xmlns:r="http://schemas.openxmlformats.org/officeDocument/2006/relationships" r:embed="rId1"/>
        <a:stretch>
          <a:fillRect/>
        </a:stretch>
      </xdr:blipFill>
      <xdr:spPr>
        <a:xfrm>
          <a:off x="1381759" y="0"/>
          <a:ext cx="11474479" cy="30784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12700</xdr:colOff>
      <xdr:row>0</xdr:row>
      <xdr:rowOff>0</xdr:rowOff>
    </xdr:from>
    <xdr:to>
      <xdr:col>13</xdr:col>
      <xdr:colOff>6350</xdr:colOff>
      <xdr:row>1</xdr:row>
      <xdr:rowOff>3266</xdr:rowOff>
    </xdr:to>
    <xdr:pic>
      <xdr:nvPicPr>
        <xdr:cNvPr id="3" name="Picture 2">
          <a:extLst>
            <a:ext uri="{FF2B5EF4-FFF2-40B4-BE49-F238E27FC236}">
              <a16:creationId xmlns:a16="http://schemas.microsoft.com/office/drawing/2014/main" id="{17FEF354-DB79-4B4F-91F7-5E7F3EE19C63}"/>
            </a:ext>
          </a:extLst>
        </xdr:cNvPr>
        <xdr:cNvPicPr>
          <a:picLocks noChangeAspect="1"/>
        </xdr:cNvPicPr>
      </xdr:nvPicPr>
      <xdr:blipFill>
        <a:blip xmlns:r="http://schemas.openxmlformats.org/officeDocument/2006/relationships" r:embed="rId1"/>
        <a:stretch>
          <a:fillRect/>
        </a:stretch>
      </xdr:blipFill>
      <xdr:spPr>
        <a:xfrm>
          <a:off x="1282700" y="0"/>
          <a:ext cx="11614150" cy="29877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8466</xdr:colOff>
      <xdr:row>0</xdr:row>
      <xdr:rowOff>0</xdr:rowOff>
    </xdr:from>
    <xdr:to>
      <xdr:col>9</xdr:col>
      <xdr:colOff>16934</xdr:colOff>
      <xdr:row>1</xdr:row>
      <xdr:rowOff>36258</xdr:rowOff>
    </xdr:to>
    <xdr:pic>
      <xdr:nvPicPr>
        <xdr:cNvPr id="2" name="Picture 1">
          <a:extLst>
            <a:ext uri="{FF2B5EF4-FFF2-40B4-BE49-F238E27FC236}">
              <a16:creationId xmlns:a16="http://schemas.microsoft.com/office/drawing/2014/main" id="{3F6DF2B7-7531-D941-AE0E-343D892ACF9F}"/>
            </a:ext>
          </a:extLst>
        </xdr:cNvPr>
        <xdr:cNvPicPr>
          <a:picLocks noChangeAspect="1"/>
        </xdr:cNvPicPr>
      </xdr:nvPicPr>
      <xdr:blipFill>
        <a:blip xmlns:r="http://schemas.openxmlformats.org/officeDocument/2006/relationships" r:embed="rId1"/>
        <a:stretch>
          <a:fillRect/>
        </a:stretch>
      </xdr:blipFill>
      <xdr:spPr>
        <a:xfrm>
          <a:off x="1278466" y="0"/>
          <a:ext cx="11430001" cy="30715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571499</xdr:colOff>
      <xdr:row>0</xdr:row>
      <xdr:rowOff>0</xdr:rowOff>
    </xdr:from>
    <xdr:to>
      <xdr:col>11</xdr:col>
      <xdr:colOff>971</xdr:colOff>
      <xdr:row>1</xdr:row>
      <xdr:rowOff>0</xdr:rowOff>
    </xdr:to>
    <xdr:pic>
      <xdr:nvPicPr>
        <xdr:cNvPr id="2" name="Picture 1">
          <a:extLst>
            <a:ext uri="{FF2B5EF4-FFF2-40B4-BE49-F238E27FC236}">
              <a16:creationId xmlns:a16="http://schemas.microsoft.com/office/drawing/2014/main" id="{339605D7-088B-3B43-BCEA-1268631AB7EE}"/>
            </a:ext>
          </a:extLst>
        </xdr:cNvPr>
        <xdr:cNvPicPr>
          <a:picLocks noChangeAspect="1"/>
        </xdr:cNvPicPr>
      </xdr:nvPicPr>
      <xdr:blipFill>
        <a:blip xmlns:r="http://schemas.openxmlformats.org/officeDocument/2006/relationships" r:embed="rId1"/>
        <a:stretch>
          <a:fillRect/>
        </a:stretch>
      </xdr:blipFill>
      <xdr:spPr>
        <a:xfrm>
          <a:off x="1079499" y="0"/>
          <a:ext cx="12446125" cy="3344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10161</xdr:colOff>
      <xdr:row>0</xdr:row>
      <xdr:rowOff>15239</xdr:rowOff>
    </xdr:from>
    <xdr:ext cx="10845387" cy="3240055"/>
    <xdr:pic>
      <xdr:nvPicPr>
        <xdr:cNvPr id="2" name="Picture 1">
          <a:extLst>
            <a:ext uri="{FF2B5EF4-FFF2-40B4-BE49-F238E27FC236}">
              <a16:creationId xmlns:a16="http://schemas.microsoft.com/office/drawing/2014/main" id="{8F55B02D-400D-43AB-87BB-7ACCAAB3E0A8}"/>
            </a:ext>
          </a:extLst>
        </xdr:cNvPr>
        <xdr:cNvPicPr>
          <a:picLocks noChangeAspect="1"/>
        </xdr:cNvPicPr>
      </xdr:nvPicPr>
      <xdr:blipFill>
        <a:blip xmlns:r="http://schemas.openxmlformats.org/officeDocument/2006/relationships" r:embed="rId1"/>
        <a:stretch>
          <a:fillRect/>
        </a:stretch>
      </xdr:blipFill>
      <xdr:spPr>
        <a:xfrm>
          <a:off x="535941" y="15239"/>
          <a:ext cx="10845387" cy="3240055"/>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ts.accenture.com/Users/andra.loghin/Desktop/EP/Model%20draft%202/RFI2%20Received%20data/Waste%20Annual%20report20200716_TES_MM%20updates.xlsx" TargetMode="External"/><Relationship Id="rId1" Type="http://schemas.openxmlformats.org/officeDocument/2006/relationships/pivotCacheRecords" Target="pivotCacheRecords1.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6.xml.rels><?xml version="1.0" encoding="UTF-8" standalone="yes"?>
<Relationships xmlns="http://schemas.openxmlformats.org/package/2006/relationships"><Relationship Id="rId3" Type="http://schemas.microsoft.com/office/2019/04/relationships/externalLinkLongPath" Target="https://ts.accenture.com/sites/UBMSustainabilityReportingTelstraProjectTeam/Shared%20Documents/Sustainability/TELSTRA-%20SUSTAINABILITY%20ONLY/Telstra%20Evidence%20Pack%20FY21/CSR%20FY21/FY21%20RFI1/Monthly%20data%20summary_Jul19-Jun21_20210520_2_no%20elec%20gas.xlsx?4126E9F8" TargetMode="External"/><Relationship Id="rId2" Type="http://schemas.openxmlformats.org/officeDocument/2006/relationships/externalLinkPath" Target="file:///\\4126E9F8\Monthly%20data%20summary_Jul19-Jun21_20210520_2_no%20elec%20gas.xlsx" TargetMode="External"/><Relationship Id="rId1" Type="http://schemas.openxmlformats.org/officeDocument/2006/relationships/pivotCacheRecords" Target="pivotCacheRecords3.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ghin, Andra" refreshedDate="44028.481383680555" createdVersion="6" refreshedVersion="6" minRefreshableVersion="3" recordCount="79" xr:uid="{43E9CFF1-ED8F-4A44-94DF-B62B0E79FC86}">
  <cacheSource type="worksheet">
    <worksheetSource ref="A6:AG85" sheet="Accruals" r:id="rId2"/>
  </cacheSource>
  <cacheFields count="33">
    <cacheField name="Supplier" numFmtId="164">
      <sharedItems count="10">
        <s v="Blue Lion"/>
        <s v="Cannon"/>
        <s v="EraseIT"/>
        <s v="Iron Mountain"/>
        <s v="Lend Lease"/>
        <s v="Mobile Muster"/>
        <s v="Payphones"/>
        <s v="Remondis"/>
        <s v="TES"/>
        <s v="Visionstream"/>
      </sharedItems>
    </cacheField>
    <cacheField name="Category re-arranged" numFmtId="164">
      <sharedItems count="3">
        <s v="Landfill Waste"/>
        <s v="Recycled Waste"/>
        <s v="Hydro"/>
      </sharedItems>
    </cacheField>
    <cacheField name="Data Type" numFmtId="164">
      <sharedItems count="13">
        <s v="Operational Waste Landfill General"/>
        <s v="Waste Recycled - Construction and Demolition [t]"/>
        <s v="Electronic Waste (e-waste) Recycled"/>
        <s v="Operational Waste Cardboard &amp; Paper"/>
        <s v="Construction and Demolition Landfill"/>
        <s v="Mobile Phones Recycled"/>
        <s v="Operational Waste Landfill Hazardous"/>
        <s v="Operational Waste Recycled Co-mingled"/>
        <s v="Hydro"/>
        <s v="Electronic Waste (e-waste) Landfill"/>
        <s v="Operational Waste Landfill Other"/>
        <s v="Operational Waste Recycled Other"/>
        <s v="Modems Recycled"/>
      </sharedItems>
    </cacheField>
    <cacheField name="Account Ref/Meter Name" numFmtId="164">
      <sharedItems/>
    </cacheField>
    <cacheField name="Jul-18" numFmtId="164">
      <sharedItems containsString="0" containsBlank="1" containsNumber="1" minValue="8.6999999999999994E-3" maxValue="365.16790000000032"/>
    </cacheField>
    <cacheField name="Aug-18" numFmtId="164">
      <sharedItems containsString="0" containsBlank="1" containsNumber="1" minValue="8.6999999999999994E-3" maxValue="343.13530000000088"/>
    </cacheField>
    <cacheField name="Sep-18" numFmtId="164">
      <sharedItems containsString="0" containsBlank="1" containsNumber="1" minValue="8.3999999999999995E-3" maxValue="361.45300000000043"/>
    </cacheField>
    <cacheField name="Oct-18" numFmtId="164">
      <sharedItems containsString="0" containsBlank="1" containsNumber="1" minValue="8.0000000000000002E-3" maxValue="419.33660000000066"/>
    </cacheField>
    <cacheField name="Nov-18" numFmtId="164">
      <sharedItems containsString="0" containsBlank="1" containsNumber="1" minValue="8.3999999999999995E-3" maxValue="356.52759999999887"/>
    </cacheField>
    <cacheField name="Dec-18" numFmtId="164">
      <sharedItems containsString="0" containsBlank="1" containsNumber="1" minValue="6.0000000000000001E-3" maxValue="279.02369999999894"/>
    </cacheField>
    <cacheField name="Jan-19" numFmtId="164">
      <sharedItems containsString="0" containsBlank="1" containsNumber="1" minValue="6.0000000000000001E-3" maxValue="290.80759999999873"/>
    </cacheField>
    <cacheField name="Feb-19" numFmtId="164">
      <sharedItems containsString="0" containsBlank="1" containsNumber="1" minValue="7.7999999999999996E-3" maxValue="293.6915999999988"/>
    </cacheField>
    <cacheField name="Mar-19" numFmtId="164">
      <sharedItems containsString="0" containsBlank="1" containsNumber="1" minValue="8.6999999999999994E-3" maxValue="314.74099999999885"/>
    </cacheField>
    <cacheField name="Apr-19" numFmtId="164">
      <sharedItems containsString="0" containsBlank="1" containsNumber="1" minValue="7.0000000000000001E-3" maxValue="258.57549999999929"/>
    </cacheField>
    <cacheField name="May-19" numFmtId="164">
      <sharedItems containsString="0" containsBlank="1" containsNumber="1" minValue="8.6999999999999994E-3" maxValue="308.46229999999878"/>
    </cacheField>
    <cacheField name="Jun-19" numFmtId="164">
      <sharedItems containsString="0" containsBlank="1" containsNumber="1" minValue="8.3999999999999995E-3" maxValue="296.04649999999907"/>
    </cacheField>
    <cacheField name="FY19 Total" numFmtId="164">
      <sharedItems containsString="0" containsBlank="1" containsNumber="1" minValue="0.01" maxValue="3886.9685999999933"/>
    </cacheField>
    <cacheField name="Jul-19" numFmtId="164">
      <sharedItems containsString="0" containsBlank="1" containsNumber="1" minValue="0" maxValue="305.21019999999908"/>
    </cacheField>
    <cacheField name="Aug-19" numFmtId="164">
      <sharedItems containsString="0" containsBlank="1" containsNumber="1" minValue="8.5000000000000006E-3" maxValue="282.72800000000001"/>
    </cacheField>
    <cacheField name="Sep-19" numFmtId="164">
      <sharedItems containsString="0" containsBlank="1" containsNumber="1" minValue="0" maxValue="335.33699999999999"/>
    </cacheField>
    <cacheField name="Oct-19" numFmtId="164">
      <sharedItems containsString="0" containsBlank="1" containsNumber="1" minValue="0" maxValue="410.26100000000002"/>
    </cacheField>
    <cacheField name="Nov-19" numFmtId="164">
      <sharedItems containsString="0" containsBlank="1" containsNumber="1" minValue="0" maxValue="273.60770000000002"/>
    </cacheField>
    <cacheField name="Dec-19" numFmtId="164">
      <sharedItems containsString="0" containsBlank="1" containsNumber="1" minValue="0" maxValue="282.72800000000001"/>
    </cacheField>
    <cacheField name="Jan-20" numFmtId="164">
      <sharedItems containsString="0" containsBlank="1" containsNumber="1" minValue="0" maxValue="282.72800000000001"/>
    </cacheField>
    <cacheField name="Feb-20" numFmtId="164">
      <sharedItems containsString="0" containsBlank="1" containsNumber="1" minValue="0" maxValue="264.48750000000001"/>
    </cacheField>
    <cacheField name="Mar-20" numFmtId="164">
      <sharedItems containsString="0" containsBlank="1" containsNumber="1" minValue="0" maxValue="282.72800000000001"/>
    </cacheField>
    <cacheField name="Apr-20" numFmtId="164">
      <sharedItems containsString="0" containsBlank="1" containsNumber="1" minValue="0" maxValue="273.60770000000002"/>
    </cacheField>
    <cacheField name="May-20" numFmtId="164">
      <sharedItems containsString="0" containsBlank="1" containsNumber="1" minValue="0" maxValue="282.72800000000001"/>
    </cacheField>
    <cacheField name="Jun-20" numFmtId="164">
      <sharedItems containsString="0" containsBlank="1" containsNumber="1" minValue="0" maxValue="273.60770000000002"/>
    </cacheField>
    <cacheField name="Requires estimates?" numFmtId="164">
      <sharedItems/>
    </cacheField>
    <cacheField name="June estimates" numFmtId="164">
      <sharedItems containsString="0" containsBlank="1" containsNumber="1" minValue="0" maxValue="254.0320272727264"/>
    </cacheField>
    <cacheField name="Method/notes" numFmtId="164">
      <sharedItems/>
    </cacheField>
    <cacheField name="Total FY20" numFmtId="164">
      <sharedItems containsSemiMixedTypes="0" containsString="0" containsNumber="1" minValue="0" maxValue="3338.014300000000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uneni, Sandeep Rao" refreshedDate="44421.465347800928" backgroundQuery="1" createdVersion="6" refreshedVersion="6" minRefreshableVersion="3" recordCount="0" supportSubquery="1" supportAdvancedDrill="1" xr:uid="{968B196D-919F-416C-BEF3-766345AF650F}">
  <cacheSource type="external" connectionId="31"/>
  <cacheFields count="10">
    <cacheField name="[EntityFY20 1].[Source Name].[Source Name]" caption="Source Name" numFmtId="0" hierarchy="112" level="1">
      <sharedItems count="4">
        <s v="Energy Commodities"/>
        <s v="Other Stationary"/>
        <s v="Electricity"/>
        <s v="Transport"/>
      </sharedItems>
    </cacheField>
    <cacheField name="[EntityFY20 1].[Activity Type].[Activity Type]" caption="Activity Type" numFmtId="0" hierarchy="113" level="1">
      <sharedItems count="7">
        <s v="Electricity"/>
        <s v="Diesel Oil"/>
        <s v="Natural gas distributed in pipeline"/>
        <s v="Gasoline"/>
        <s v="Liquified petroleum gas"/>
        <s v="Solar energy for electricity generation"/>
        <s v="Ethanol"/>
      </sharedItems>
    </cacheField>
    <cacheField name="[EntityFY20 1].[Activity Type Context].[Activity Type Context]" caption="Activity Type Context" numFmtId="0" hierarchy="114" level="1">
      <sharedItems count="5">
        <s v="Energy Commodity"/>
        <s v="Non-transport"/>
        <s v="Non-transport (Genset)"/>
        <s v="Transport"/>
        <s v="Transport - Post 2004 vehicles"/>
      </sharedItems>
    </cacheField>
    <cacheField name="[Measures].[Sum of Consumption Quantity 2]" caption="Sum of Consumption Quantity 2" numFmtId="0" hierarchy="540" level="32767"/>
    <cacheField name="[Measures].[Sum of Total GJ 21]" caption="Sum of Total GJ 21" numFmtId="0" hierarchy="541" level="32767"/>
    <cacheField name="[Measures].[Sum of Scope 1 kg CO2-e 20]" caption="Sum of Scope 1 kg CO2-e 20" numFmtId="0" hierarchy="542" level="32767"/>
    <cacheField name="[Measures].[Sum of Scope 2 kg CO2-e 2]" caption="Sum of Scope 2 kg CO2-e 2" numFmtId="0" hierarchy="543" level="32767"/>
    <cacheField name="[EntityFY20 1].[Level 1].[Level 1]" caption="Level 1" numFmtId="0" hierarchy="116" level="1">
      <sharedItems count="2">
        <s v="International"/>
        <s v="Telstra Corporation Limited"/>
      </sharedItems>
    </cacheField>
    <cacheField name="[Measures].[Sum of Scope 3 kg CO2-e 21]" caption="Sum of Scope 3 kg CO2-e 21" numFmtId="0" hierarchy="544" level="32767"/>
    <cacheField name="[EntityFY20 1].[UoM].[UoM]" caption="UoM" numFmtId="0" hierarchy="122" level="1">
      <sharedItems count="5">
        <s v="kWh"/>
        <s v="L"/>
        <s v="MJ"/>
        <s v="KL"/>
        <s v="GJ"/>
      </sharedItems>
    </cacheField>
  </cacheFields>
  <cacheHierarchies count="545">
    <cacheHierarchy uniqueName="[AVIS].[Reporting Alias]" caption="Reporting Alias" attribute="1" defaultMemberUniqueName="[AVIS].[Reporting Alias].[All]" allUniqueName="[AVIS].[Reporting Alias].[All]" dimensionUniqueName="[AVIS]" displayFolder="" count="0" memberValueDatatype="130" unbalanced="0"/>
    <cacheHierarchy uniqueName="[AVIS].[Source Name]" caption="Source Name" attribute="1" defaultMemberUniqueName="[AVIS].[Source Name].[All]" allUniqueName="[AVIS].[Source Name].[All]" dimensionUniqueName="[AVIS]" displayFolder="" count="0" memberValueDatatype="130" unbalanced="0"/>
    <cacheHierarchy uniqueName="[AVIS].[Activity Type]" caption="Activity Type" attribute="1" defaultMemberUniqueName="[AVIS].[Activity Type].[All]" allUniqueName="[AVIS].[Activity Type].[All]" dimensionUniqueName="[AVIS]" displayFolder="" count="0" memberValueDatatype="130" unbalanced="0"/>
    <cacheHierarchy uniqueName="[AVIS].[Activity Type Context]" caption="Activity Type Context" attribute="1" defaultMemberUniqueName="[AVIS].[Activity Type Context].[All]" allUniqueName="[AVIS].[Activity Type Context].[All]" dimensionUniqueName="[AVIS]" displayFolder="" count="0" memberValueDatatype="130" unbalanced="0"/>
    <cacheHierarchy uniqueName="[AVIS].[Entity]" caption="Entity" attribute="1" defaultMemberUniqueName="[AVIS].[Entity].[All]" allUniqueName="[AVIS].[Entity].[All]" dimensionUniqueName="[AVIS]" displayFolder="" count="0" memberValueDatatype="130" unbalanced="0"/>
    <cacheHierarchy uniqueName="[AVIS].[Fuel]" caption="Fuel" attribute="1" defaultMemberUniqueName="[AVIS].[Fuel].[All]" allUniqueName="[AVIS].[Fuel].[All]" dimensionUniqueName="[AVIS]" displayFolder="" count="0" memberValueDatatype="130" unbalanced="0"/>
    <cacheHierarchy uniqueName="[AVIS].[State]" caption="State" attribute="1" defaultMemberUniqueName="[AVIS].[State].[All]" allUniqueName="[AVIS].[State].[All]" dimensionUniqueName="[AVIS]" displayFolder="" count="0" memberValueDatatype="130" unbalanced="0"/>
    <cacheHierarchy uniqueName="[AVIS].[Consumption Quantity (L)]" caption="Consumption Quantity (L)" attribute="1" defaultMemberUniqueName="[AVIS].[Consumption Quantity (L)].[All]" allUniqueName="[AVIS].[Consumption Quantity (L)].[All]" dimensionUniqueName="[AVIS]" displayFolder="" count="0" memberValueDatatype="5" unbalanced="0"/>
    <cacheHierarchy uniqueName="[AVIS].[Consumption Units]" caption="Consumption Units" attribute="1" defaultMemberUniqueName="[AVIS].[Consumption Units].[All]" allUniqueName="[AVIS].[Consumption Units].[All]" dimensionUniqueName="[AVIS]" displayFolder="" count="0" memberValueDatatype="130" unbalanced="0"/>
    <cacheHierarchy uniqueName="[AVIS].[Consumption Quantity]" caption="Consumption Quantity" attribute="1" defaultMemberUniqueName="[AVIS].[Consumption Quantity].[All]" allUniqueName="[AVIS].[Consumption Quantity].[All]" dimensionUniqueName="[AVIS]" displayFolder="" count="0" memberValueDatatype="5" unbalanced="0"/>
    <cacheHierarchy uniqueName="[AVIS].[Total GJ]" caption="Total GJ" attribute="1" defaultMemberUniqueName="[AVIS].[Total GJ].[All]" allUniqueName="[AVIS].[Total GJ].[All]" dimensionUniqueName="[AVIS]" displayFolder="" count="0" memberValueDatatype="5" unbalanced="0"/>
    <cacheHierarchy uniqueName="[AVIS].[Scope 1 kg CO2-e]" caption="Scope 1 kg CO2-e" attribute="1" defaultMemberUniqueName="[AVIS].[Scope 1 kg CO2-e].[All]" allUniqueName="[AVIS].[Scope 1 kg CO2-e].[All]" dimensionUniqueName="[AVIS]" displayFolder="" count="0" memberValueDatatype="5" unbalanced="0"/>
    <cacheHierarchy uniqueName="[AVIS].[Scope 2 kg CO2-e]" caption="Scope 2 kg CO2-e" attribute="1" defaultMemberUniqueName="[AVIS].[Scope 2 kg CO2-e].[All]" allUniqueName="[AVIS].[Scope 2 kg CO2-e].[All]" dimensionUniqueName="[AVIS]" displayFolder="" count="0" memberValueDatatype="5" unbalanced="0"/>
    <cacheHierarchy uniqueName="[AVIS].[Scope 3 kg CO2-e]" caption="Scope 3 kg CO2-e" attribute="1" defaultMemberUniqueName="[AVIS].[Scope 3 kg CO2-e].[All]" allUniqueName="[AVIS].[Scope 3 kg CO2-e].[All]" dimensionUniqueName="[AVIS]" displayFolder="" count="0" memberValueDatatype="5" unbalanced="0"/>
    <cacheHierarchy uniqueName="[AVIS].[Total Emissions]" caption="Total Emissions" attribute="1" defaultMemberUniqueName="[AVIS].[Total Emissions].[All]" allUniqueName="[AVIS].[Total Emissions].[All]" dimensionUniqueName="[AVIS]" displayFolder="" count="0" memberValueDatatype="5" unbalanced="0"/>
    <cacheHierarchy uniqueName="[BCA_Removal].[Reporting Alias]" caption="Reporting Alias" attribute="1" defaultMemberUniqueName="[BCA_Removal].[Reporting Alias].[All]" allUniqueName="[BCA_Removal].[Reporting Alias].[All]" dimensionUniqueName="[BCA_Removal]" displayFolder="" count="0" memberValueDatatype="130" unbalanced="0"/>
    <cacheHierarchy uniqueName="[BCA_Removal].[Consumption Quantity]" caption="Consumption Quantity" attribute="1" defaultMemberUniqueName="[BCA_Removal].[Consumption Quantity].[All]" allUniqueName="[BCA_Removal].[Consumption Quantity].[All]" dimensionUniqueName="[BCA_Removal]" displayFolder="" count="0" memberValueDatatype="5" unbalanced="0"/>
    <cacheHierarchy uniqueName="[BCA_Removal].[Scope 2 kg CO2-e]" caption="Scope 2 kg CO2-e" attribute="1" defaultMemberUniqueName="[BCA_Removal].[Scope 2 kg CO2-e].[All]" allUniqueName="[BCA_Removal].[Scope 2 kg CO2-e].[All]" dimensionUniqueName="[BCA_Removal]" displayFolder="" count="0" memberValueDatatype="5" unbalanced="0"/>
    <cacheHierarchy uniqueName="[BCA_Removal].[Scope 1 kg CO2-e]" caption="Scope 1 kg CO2-e" attribute="1" defaultMemberUniqueName="[BCA_Removal].[Scope 1 kg CO2-e].[All]" allUniqueName="[BCA_Removal].[Scope 1 kg CO2-e].[All]" dimensionUniqueName="[BCA_Removal]" displayFolder="" count="0" memberValueDatatype="5" unbalanced="0"/>
    <cacheHierarchy uniqueName="[BCA_Removal].[Scope 3 kg CO2-e]" caption="Scope 3 kg CO2-e" attribute="1" defaultMemberUniqueName="[BCA_Removal].[Scope 3 kg CO2-e].[All]" allUniqueName="[BCA_Removal].[Scope 3 kg CO2-e].[All]" dimensionUniqueName="[BCA_Removal]" displayFolder="" count="0" memberValueDatatype="5" unbalanced="0"/>
    <cacheHierarchy uniqueName="[BCA_Removal].[Total GJ]" caption="Total GJ" attribute="1" defaultMemberUniqueName="[BCA_Removal].[Total GJ].[All]" allUniqueName="[BCA_Removal].[Total GJ].[All]" dimensionUniqueName="[BCA_Removal]" displayFolder="" count="0" memberValueDatatype="5" unbalanced="0"/>
    <cacheHierarchy uniqueName="[BCA_Removal].[Total Emissions]" caption="Total Emissions" attribute="1" defaultMemberUniqueName="[BCA_Removal].[Total Emissions].[All]" allUniqueName="[BCA_Removal].[Total Emissions].[All]" dimensionUniqueName="[BCA_Removal]" displayFolder="" count="0" memberValueDatatype="5" unbalanced="0"/>
    <cacheHierarchy uniqueName="[BCA_RemovalFY20].[Reporting Alias]" caption="Reporting Alias" attribute="1" defaultMemberUniqueName="[BCA_RemovalFY20].[Reporting Alias].[All]" allUniqueName="[BCA_RemovalFY20].[Reporting Alias].[All]" dimensionUniqueName="[BCA_RemovalFY20]" displayFolder="" count="0" memberValueDatatype="130" unbalanced="0"/>
    <cacheHierarchy uniqueName="[BCA_RemovalFY20].[Consumption Quantity]" caption="Consumption Quantity" attribute="1" defaultMemberUniqueName="[BCA_RemovalFY20].[Consumption Quantity].[All]" allUniqueName="[BCA_RemovalFY20].[Consumption Quantity].[All]" dimensionUniqueName="[BCA_RemovalFY20]" displayFolder="" count="0" memberValueDatatype="20" unbalanced="0"/>
    <cacheHierarchy uniqueName="[BCA_RemovalFY20].[UoM]" caption="UoM" attribute="1" defaultMemberUniqueName="[BCA_RemovalFY20].[UoM].[All]" allUniqueName="[BCA_RemovalFY20].[UoM].[All]" dimensionUniqueName="[BCA_RemovalFY20]" displayFolder="" count="0" memberValueDatatype="130" unbalanced="0"/>
    <cacheHierarchy uniqueName="[BCA_RemovalFY20].[Primary Criterion]" caption="Primary Criterion" attribute="1" defaultMemberUniqueName="[BCA_RemovalFY20].[Primary Criterion].[All]" allUniqueName="[BCA_RemovalFY20].[Primary Criterion].[All]" dimensionUniqueName="[BCA_RemovalFY20]" displayFolder="" count="0" memberValueDatatype="130" unbalanced="0"/>
    <cacheHierarchy uniqueName="[BCA_RemovalFY20].[Sum of Consumption Quantity]" caption="Sum of Consumption Quantity" attribute="1" defaultMemberUniqueName="[BCA_RemovalFY20].[Sum of Consumption Quantity].[All]" allUniqueName="[BCA_RemovalFY20].[Sum of Consumption Quantity].[All]" dimensionUniqueName="[BCA_RemovalFY20]" displayFolder="" count="0" memberValueDatatype="20" unbalanced="0"/>
    <cacheHierarchy uniqueName="[BCA_RemovalFY20].[Sum of Total GJ]" caption="Sum of Total GJ" attribute="1" defaultMemberUniqueName="[BCA_RemovalFY20].[Sum of Total GJ].[All]" allUniqueName="[BCA_RemovalFY20].[Sum of Total GJ].[All]" dimensionUniqueName="[BCA_RemovalFY20]" displayFolder="" count="0" memberValueDatatype="5" unbalanced="0"/>
    <cacheHierarchy uniqueName="[BCA_RemovalFY20].[Sum of Scope 1 kg CO2-e]" caption="Sum of Scope 1 kg CO2-e" attribute="1" defaultMemberUniqueName="[BCA_RemovalFY20].[Sum of Scope 1 kg CO2-e].[All]" allUniqueName="[BCA_RemovalFY20].[Sum of Scope 1 kg CO2-e].[All]" dimensionUniqueName="[BCA_RemovalFY20]" displayFolder="" count="0" memberValueDatatype="20" unbalanced="0"/>
    <cacheHierarchy uniqueName="[BCA_RemovalFY20].[Sum of Scope 2 kg CO2-e]" caption="Sum of Scope 2 kg CO2-e" attribute="1" defaultMemberUniqueName="[BCA_RemovalFY20].[Sum of Scope 2 kg CO2-e].[All]" allUniqueName="[BCA_RemovalFY20].[Sum of Scope 2 kg CO2-e].[All]" dimensionUniqueName="[BCA_RemovalFY20]" displayFolder="" count="0" memberValueDatatype="5" unbalanced="0"/>
    <cacheHierarchy uniqueName="[BCA_RemovalFY20].[Sum of Scope 3 kg CO2-e]" caption="Sum of Scope 3 kg CO2-e" attribute="1" defaultMemberUniqueName="[BCA_RemovalFY20].[Sum of Scope 3 kg CO2-e].[All]" allUniqueName="[BCA_RemovalFY20].[Sum of Scope 3 kg CO2-e].[All]" dimensionUniqueName="[BCA_RemovalFY20]" displayFolder="" count="0" memberValueDatatype="5" unbalanced="0"/>
    <cacheHierarchy uniqueName="[BCA_RemovalFY20].[Sum of Total Emissions]" caption="Sum of Total Emissions" attribute="1" defaultMemberUniqueName="[BCA_RemovalFY20].[Sum of Total Emissions].[All]" allUniqueName="[BCA_RemovalFY20].[Sum of Total Emissions].[All]" dimensionUniqueName="[BCA_RemovalFY20]" displayFolder="" count="0" memberValueDatatype="5"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ontractor_Fuels].[Reporting Alias]" caption="Reporting Alias" attribute="1" defaultMemberUniqueName="[Contractor_Fuels].[Reporting Alias].[All]" allUniqueName="[Contractor_Fuels].[Reporting Alias].[All]" dimensionUniqueName="[Contractor_Fuels]" displayFolder="" count="0" memberValueDatatype="130" unbalanced="0"/>
    <cacheHierarchy uniqueName="[Contractor_Fuels].[Contractor type]" caption="Contractor type" attribute="1" defaultMemberUniqueName="[Contractor_Fuels].[Contractor type].[All]" allUniqueName="[Contractor_Fuels].[Contractor type].[All]" dimensionUniqueName="[Contractor_Fuels]" displayFolder="" count="0" memberValueDatatype="130" unbalanced="0"/>
    <cacheHierarchy uniqueName="[Contractor_Fuels].[Source Name]" caption="Source Name" attribute="1" defaultMemberUniqueName="[Contractor_Fuels].[Source Name].[All]" allUniqueName="[Contractor_Fuels].[Source Name].[All]" dimensionUniqueName="[Contractor_Fuels]" displayFolder="" count="0" memberValueDatatype="130" unbalanced="0"/>
    <cacheHierarchy uniqueName="[Contractor_Fuels].[Activity Type]" caption="Activity Type" attribute="1" defaultMemberUniqueName="[Contractor_Fuels].[Activity Type].[All]" allUniqueName="[Contractor_Fuels].[Activity Type].[All]" dimensionUniqueName="[Contractor_Fuels]" displayFolder="" count="0" memberValueDatatype="130" unbalanced="0"/>
    <cacheHierarchy uniqueName="[Contractor_Fuels].[Activity Type Context]" caption="Activity Type Context" attribute="1" defaultMemberUniqueName="[Contractor_Fuels].[Activity Type Context].[All]" allUniqueName="[Contractor_Fuels].[Activity Type Context].[All]" dimensionUniqueName="[Contractor_Fuels]" displayFolder="" count="0" memberValueDatatype="130" unbalanced="0"/>
    <cacheHierarchy uniqueName="[Contractor_Fuels].[Entity]" caption="Entity" attribute="1" defaultMemberUniqueName="[Contractor_Fuels].[Entity].[All]" allUniqueName="[Contractor_Fuels].[Entity].[All]" dimensionUniqueName="[Contractor_Fuels]" displayFolder="" count="0" memberValueDatatype="130" unbalanced="0"/>
    <cacheHierarchy uniqueName="[Contractor_Fuels].[Fuel]" caption="Fuel" attribute="1" defaultMemberUniqueName="[Contractor_Fuels].[Fuel].[All]" allUniqueName="[Contractor_Fuels].[Fuel].[All]" dimensionUniqueName="[Contractor_Fuels]" displayFolder="" count="0" memberValueDatatype="130" unbalanced="0"/>
    <cacheHierarchy uniqueName="[Contractor_Fuels].[State]" caption="State" attribute="1" defaultMemberUniqueName="[Contractor_Fuels].[State].[All]" allUniqueName="[Contractor_Fuels].[State].[All]" dimensionUniqueName="[Contractor_Fuels]" displayFolder="" count="0" memberValueDatatype="130" unbalanced="0"/>
    <cacheHierarchy uniqueName="[Contractor_Fuels].[Consumption Quantity (L)]" caption="Consumption Quantity (L)" attribute="1" defaultMemberUniqueName="[Contractor_Fuels].[Consumption Quantity (L)].[All]" allUniqueName="[Contractor_Fuels].[Consumption Quantity (L)].[All]" dimensionUniqueName="[Contractor_Fuels]" displayFolder="" count="0" memberValueDatatype="5" unbalanced="0"/>
    <cacheHierarchy uniqueName="[Contractor_Fuels].[Consumption  Units]" caption="Consumption  Units" attribute="1" defaultMemberUniqueName="[Contractor_Fuels].[Consumption  Units].[All]" allUniqueName="[Contractor_Fuels].[Consumption  Units].[All]" dimensionUniqueName="[Contractor_Fuels]" displayFolder="" count="0" memberValueDatatype="130" unbalanced="0"/>
    <cacheHierarchy uniqueName="[Contractor_Fuels].[Consumption Quantity]" caption="Consumption Quantity" attribute="1" defaultMemberUniqueName="[Contractor_Fuels].[Consumption Quantity].[All]" allUniqueName="[Contractor_Fuels].[Consumption Quantity].[All]" dimensionUniqueName="[Contractor_Fuels]" displayFolder="" count="0" memberValueDatatype="5" unbalanced="0"/>
    <cacheHierarchy uniqueName="[Contractor_Fuels].[Total GJ]" caption="Total GJ" attribute="1" defaultMemberUniqueName="[Contractor_Fuels].[Total GJ].[All]" allUniqueName="[Contractor_Fuels].[Total GJ].[All]" dimensionUniqueName="[Contractor_Fuels]" displayFolder="" count="0" memberValueDatatype="5" unbalanced="0"/>
    <cacheHierarchy uniqueName="[Contractor_Fuels].[Scope 1 kg CO2-e]" caption="Scope 1 kg CO2-e" attribute="1" defaultMemberUniqueName="[Contractor_Fuels].[Scope 1 kg CO2-e].[All]" allUniqueName="[Contractor_Fuels].[Scope 1 kg CO2-e].[All]" dimensionUniqueName="[Contractor_Fuels]" displayFolder="" count="0" memberValueDatatype="5" unbalanced="0"/>
    <cacheHierarchy uniqueName="[Contractor_Fuels].[Scope 2 kg CO2-e]" caption="Scope 2 kg CO2-e" attribute="1" defaultMemberUniqueName="[Contractor_Fuels].[Scope 2 kg CO2-e].[All]" allUniqueName="[Contractor_Fuels].[Scope 2 kg CO2-e].[All]" dimensionUniqueName="[Contractor_Fuels]" displayFolder="" count="0" memberValueDatatype="5" unbalanced="0"/>
    <cacheHierarchy uniqueName="[Contractor_Fuels].[Scope 3 kg CO2-e]" caption="Scope 3 kg CO2-e" attribute="1" defaultMemberUniqueName="[Contractor_Fuels].[Scope 3 kg CO2-e].[All]" allUniqueName="[Contractor_Fuels].[Scope 3 kg CO2-e].[All]" dimensionUniqueName="[Contractor_Fuels]" displayFolder="" count="0" memberValueDatatype="5" unbalanced="0"/>
    <cacheHierarchy uniqueName="[Contractor_Fuels].[Total Emissions]" caption="Total Emissions" attribute="1" defaultMemberUniqueName="[Contractor_Fuels].[Total Emissions].[All]" allUniqueName="[Contractor_Fuels].[Total Emissions].[All]" dimensionUniqueName="[Contractor_Fuels]" displayFolder="" count="0" memberValueDatatype="5" unbalanced="0"/>
    <cacheHierarchy uniqueName="[DC_Genset].[Reporting Alias]" caption="Reporting Alias" attribute="1" defaultMemberUniqueName="[DC_Genset].[Reporting Alias].[All]" allUniqueName="[DC_Genset].[Reporting Alias].[All]" dimensionUniqueName="[DC_Genset]" displayFolder="" count="0" memberValueDatatype="130" unbalanced="0"/>
    <cacheHierarchy uniqueName="[DC_Genset].[Fuel]" caption="Fuel" attribute="1" defaultMemberUniqueName="[DC_Genset].[Fuel].[All]" allUniqueName="[DC_Genset].[Fuel].[All]" dimensionUniqueName="[DC_Genset]" displayFolder="" count="0" memberValueDatatype="130" unbalanced="0"/>
    <cacheHierarchy uniqueName="[DC_Genset].[State]" caption="State" attribute="1" defaultMemberUniqueName="[DC_Genset].[State].[All]" allUniqueName="[DC_Genset].[State].[All]" dimensionUniqueName="[DC_Genset]" displayFolder="" count="0" memberValueDatatype="130" unbalanced="0"/>
    <cacheHierarchy uniqueName="[DC_Genset].[Consumption Quantity (L)]" caption="Consumption Quantity (L)" attribute="1" defaultMemberUniqueName="[DC_Genset].[Consumption Quantity (L)].[All]" allUniqueName="[DC_Genset].[Consumption Quantity (L)].[All]" dimensionUniqueName="[DC_Genset]" displayFolder="" count="0" memberValueDatatype="5" unbalanced="0"/>
    <cacheHierarchy uniqueName="[DC_Genset].[Consumption  Units]" caption="Consumption  Units" attribute="1" defaultMemberUniqueName="[DC_Genset].[Consumption  Units].[All]" allUniqueName="[DC_Genset].[Consumption  Units].[All]" dimensionUniqueName="[DC_Genset]" displayFolder="" count="0" memberValueDatatype="130" unbalanced="0"/>
    <cacheHierarchy uniqueName="[DC_Genset].[Consumption Quantity]" caption="Consumption Quantity" attribute="1" defaultMemberUniqueName="[DC_Genset].[Consumption Quantity].[All]" allUniqueName="[DC_Genset].[Consumption Quantity].[All]" dimensionUniqueName="[DC_Genset]" displayFolder="" count="0" memberValueDatatype="5" unbalanced="0"/>
    <cacheHierarchy uniqueName="[DC_Genset].[UoM]" caption="UoM" attribute="1" defaultMemberUniqueName="[DC_Genset].[UoM].[All]" allUniqueName="[DC_Genset].[UoM].[All]" dimensionUniqueName="[DC_Genset]" displayFolder="" count="0" memberValueDatatype="130" unbalanced="0"/>
    <cacheHierarchy uniqueName="[DC_Genset].[Total GJ]" caption="Total GJ" attribute="1" defaultMemberUniqueName="[DC_Genset].[Total GJ].[All]" allUniqueName="[DC_Genset].[Total GJ].[All]" dimensionUniqueName="[DC_Genset]" displayFolder="" count="0" memberValueDatatype="5" unbalanced="0"/>
    <cacheHierarchy uniqueName="[DC_Genset].[Scope 1 kg CO2-e]" caption="Scope 1 kg CO2-e" attribute="1" defaultMemberUniqueName="[DC_Genset].[Scope 1 kg CO2-e].[All]" allUniqueName="[DC_Genset].[Scope 1 kg CO2-e].[All]" dimensionUniqueName="[DC_Genset]" displayFolder="" count="0" memberValueDatatype="5" unbalanced="0"/>
    <cacheHierarchy uniqueName="[DC_Genset].[Scope 2 kg CO2-e]" caption="Scope 2 kg CO2-e" attribute="1" defaultMemberUniqueName="[DC_Genset].[Scope 2 kg CO2-e].[All]" allUniqueName="[DC_Genset].[Scope 2 kg CO2-e].[All]" dimensionUniqueName="[DC_Genset]" displayFolder="" count="0" memberValueDatatype="5" unbalanced="0"/>
    <cacheHierarchy uniqueName="[DC_Genset].[Scope 3 kg CO2-e]" caption="Scope 3 kg CO2-e" attribute="1" defaultMemberUniqueName="[DC_Genset].[Scope 3 kg CO2-e].[All]" allUniqueName="[DC_Genset].[Scope 3 kg CO2-e].[All]" dimensionUniqueName="[DC_Genset]" displayFolder="" count="0" memberValueDatatype="5" unbalanced="0"/>
    <cacheHierarchy uniqueName="[DC_Genset].[Total Emissions]" caption="Total Emissions" attribute="1" defaultMemberUniqueName="[DC_Genset].[Total Emissions].[All]" allUniqueName="[DC_Genset].[Total Emissions].[All]" dimensionUniqueName="[DC_Genset]" displayFolder="" count="0" memberValueDatatype="5" unbalanced="0"/>
    <cacheHierarchy uniqueName="[DC_Genset2839].[Reporting Alias]" caption="Reporting Alias" attribute="1" defaultMemberUniqueName="[DC_Genset2839].[Reporting Alias].[All]" allUniqueName="[DC_Genset2839].[Reporting Alias].[All]" dimensionUniqueName="[DC_Genset2839]" displayFolder="" count="0" memberValueDatatype="130" unbalanced="0"/>
    <cacheHierarchy uniqueName="[DC_Genset2839].[Fuel]" caption="Fuel" attribute="1" defaultMemberUniqueName="[DC_Genset2839].[Fuel].[All]" allUniqueName="[DC_Genset2839].[Fuel].[All]" dimensionUniqueName="[DC_Genset2839]" displayFolder="" count="0" memberValueDatatype="130" unbalanced="0"/>
    <cacheHierarchy uniqueName="[DC_Genset2839].[State]" caption="State" attribute="1" defaultMemberUniqueName="[DC_Genset2839].[State].[All]" allUniqueName="[DC_Genset2839].[State].[All]" dimensionUniqueName="[DC_Genset2839]" displayFolder="" count="0" memberValueDatatype="130" unbalanced="0"/>
    <cacheHierarchy uniqueName="[DC_Genset2839].[Consumption Quantity (L)]" caption="Consumption Quantity (L)" attribute="1" defaultMemberUniqueName="[DC_Genset2839].[Consumption Quantity (L)].[All]" allUniqueName="[DC_Genset2839].[Consumption Quantity (L)].[All]" dimensionUniqueName="[DC_Genset2839]" displayFolder="" count="0" memberValueDatatype="5" unbalanced="0"/>
    <cacheHierarchy uniqueName="[DC_Genset2839].[Consumption  Units]" caption="Consumption  Units" attribute="1" defaultMemberUniqueName="[DC_Genset2839].[Consumption  Units].[All]" allUniqueName="[DC_Genset2839].[Consumption  Units].[All]" dimensionUniqueName="[DC_Genset2839]" displayFolder="" count="0" memberValueDatatype="130" unbalanced="0"/>
    <cacheHierarchy uniqueName="[DC_Genset2839].[Consumption Quantity]" caption="Consumption Quantity" attribute="1" defaultMemberUniqueName="[DC_Genset2839].[Consumption Quantity].[All]" allUniqueName="[DC_Genset2839].[Consumption Quantity].[All]" dimensionUniqueName="[DC_Genset2839]" displayFolder="" count="0" memberValueDatatype="5" unbalanced="0"/>
    <cacheHierarchy uniqueName="[DC_Genset2839].[UoM]" caption="UoM" attribute="1" defaultMemberUniqueName="[DC_Genset2839].[UoM].[All]" allUniqueName="[DC_Genset2839].[UoM].[All]" dimensionUniqueName="[DC_Genset2839]" displayFolder="" count="0" memberValueDatatype="130" unbalanced="0"/>
    <cacheHierarchy uniqueName="[DC_Genset2839].[Primary Criterion]" caption="Primary Criterion" attribute="1" defaultMemberUniqueName="[DC_Genset2839].[Primary Criterion].[All]" allUniqueName="[DC_Genset2839].[Primary Criterion].[All]" dimensionUniqueName="[DC_Genset2839]" displayFolder="" count="0" memberValueDatatype="130" unbalanced="0"/>
    <cacheHierarchy uniqueName="[DC_Genset2839].[Sum of Consumption Quantity]" caption="Sum of Consumption Quantity" attribute="1" defaultMemberUniqueName="[DC_Genset2839].[Sum of Consumption Quantity].[All]" allUniqueName="[DC_Genset2839].[Sum of Consumption Quantity].[All]" dimensionUniqueName="[DC_Genset2839]" displayFolder="" count="0" memberValueDatatype="5" unbalanced="0"/>
    <cacheHierarchy uniqueName="[DC_Genset2839].[Sum of Total GJ]" caption="Sum of Total GJ" attribute="1" defaultMemberUniqueName="[DC_Genset2839].[Sum of Total GJ].[All]" allUniqueName="[DC_Genset2839].[Sum of Total GJ].[All]" dimensionUniqueName="[DC_Genset2839]" displayFolder="" count="0" memberValueDatatype="5" unbalanced="0"/>
    <cacheHierarchy uniqueName="[DC_Genset2839].[Sum of Scope 1 kg CO2-e]" caption="Sum of Scope 1 kg CO2-e" attribute="1" defaultMemberUniqueName="[DC_Genset2839].[Sum of Scope 1 kg CO2-e].[All]" allUniqueName="[DC_Genset2839].[Sum of Scope 1 kg CO2-e].[All]" dimensionUniqueName="[DC_Genset2839]" displayFolder="" count="0" memberValueDatatype="5" unbalanced="0"/>
    <cacheHierarchy uniqueName="[DC_Genset2839].[Sum of Scope 2 kg CO2-e]" caption="Sum of Scope 2 kg CO2-e" attribute="1" defaultMemberUniqueName="[DC_Genset2839].[Sum of Scope 2 kg CO2-e].[All]" allUniqueName="[DC_Genset2839].[Sum of Scope 2 kg CO2-e].[All]" dimensionUniqueName="[DC_Genset2839]" displayFolder="" count="0" memberValueDatatype="20" unbalanced="0"/>
    <cacheHierarchy uniqueName="[DC_Genset2839].[Sum of Scope 3 kg CO2-e]" caption="Sum of Scope 3 kg CO2-e" attribute="1" defaultMemberUniqueName="[DC_Genset2839].[Sum of Scope 3 kg CO2-e].[All]" allUniqueName="[DC_Genset2839].[Sum of Scope 3 kg CO2-e].[All]" dimensionUniqueName="[DC_Genset2839]" displayFolder="" count="0" memberValueDatatype="5" unbalanced="0"/>
    <cacheHierarchy uniqueName="[DC_Genset2839].[Sum of Total Emissions]" caption="Sum of Total Emissions" attribute="1" defaultMemberUniqueName="[DC_Genset2839].[Sum of Total Emissions].[All]" allUniqueName="[DC_Genset2839].[Sum of Total Emissions].[All]" dimensionUniqueName="[DC_Genset2839]" displayFolder="" count="0" memberValueDatatype="5" unbalanced="0"/>
    <cacheHierarchy uniqueName="[Entity].[Reporting Alias]" caption="Reporting Alias" attribute="1" defaultMemberUniqueName="[Entity].[Reporting Alias].[All]" allUniqueName="[Entity].[Reporting Alias].[All]" dimensionUniqueName="[Entity]" displayFolder="" count="0" memberValueDatatype="130" unbalanced="0"/>
    <cacheHierarchy uniqueName="[Entity].[Emission Source]" caption="Emission Source" attribute="1" defaultMemberUniqueName="[Entity].[Emission Source].[All]" allUniqueName="[Entity].[Emission Source].[All]" dimensionUniqueName="[Entity]" displayFolder="" count="0" memberValueDatatype="130" unbalanced="0"/>
    <cacheHierarchy uniqueName="[Entity].[Source Name]" caption="Source Name" attribute="1" defaultMemberUniqueName="[Entity].[Source Name].[All]" allUniqueName="[Entity].[Source Name].[All]" dimensionUniqueName="[Entity]" displayFolder="" count="0" memberValueDatatype="130" unbalanced="0"/>
    <cacheHierarchy uniqueName="[Entity].[Activity Type]" caption="Activity Type" attribute="1" defaultMemberUniqueName="[Entity].[Activity Type].[All]" allUniqueName="[Entity].[Activity Type].[All]" dimensionUniqueName="[Entity]" displayFolder="" count="0" memberValueDatatype="130" unbalanced="0"/>
    <cacheHierarchy uniqueName="[Entity].[Activity Type Context]" caption="Activity Type Context" attribute="1" defaultMemberUniqueName="[Entity].[Activity Type Context].[All]" allUniqueName="[Entity].[Activity Type Context].[All]" dimensionUniqueName="[Entity]" displayFolder="" count="0" memberValueDatatype="130" unbalanced="0"/>
    <cacheHierarchy uniqueName="[Entity].[Entity]" caption="Entity" attribute="1" defaultMemberUniqueName="[Entity].[Entity].[All]" allUniqueName="[Entity].[Entity].[All]" dimensionUniqueName="[Entity]" displayFolder="" count="0" memberValueDatatype="130" unbalanced="0"/>
    <cacheHierarchy uniqueName="[Entity].[Level 1]" caption="Level 1" attribute="1" defaultMemberUniqueName="[Entity].[Level 1].[All]" allUniqueName="[Entity].[Level 1].[All]" dimensionUniqueName="[Entity]" displayFolder="" count="0" memberValueDatatype="130" unbalanced="0"/>
    <cacheHierarchy uniqueName="[Entity].[Level 2]" caption="Level 2" attribute="1" defaultMemberUniqueName="[Entity].[Level 2].[All]" allUniqueName="[Entity].[Level 2].[All]" dimensionUniqueName="[Entity]" displayFolder="" count="0" memberValueDatatype="130" unbalanced="0"/>
    <cacheHierarchy uniqueName="[Entity].[Level 3]" caption="Level 3" attribute="1" defaultMemberUniqueName="[Entity].[Level 3].[All]" allUniqueName="[Entity].[Level 3].[All]" dimensionUniqueName="[Entity]" displayFolder="" count="0" memberValueDatatype="130" unbalanced="0"/>
    <cacheHierarchy uniqueName="[Entity].[Level 3 Entity type]" caption="Level 3 Entity type" attribute="1" defaultMemberUniqueName="[Entity].[Level 3 Entity type].[All]" allUniqueName="[Entity].[Level 3 Entity type].[All]" dimensionUniqueName="[Entity]" displayFolder="" count="0" memberValueDatatype="130" unbalanced="0"/>
    <cacheHierarchy uniqueName="[Entity].[Level 4]" caption="Level 4" attribute="1" defaultMemberUniqueName="[Entity].[Level 4].[All]" allUniqueName="[Entity].[Level 4].[All]" dimensionUniqueName="[Entity]" displayFolder="" count="0" memberValueDatatype="130" unbalanced="0"/>
    <cacheHierarchy uniqueName="[Entity].[State]" caption="State" attribute="1" defaultMemberUniqueName="[Entity].[State].[All]" allUniqueName="[Entity].[State].[All]" dimensionUniqueName="[Entity]" displayFolder="" count="0" memberValueDatatype="130" unbalanced="0"/>
    <cacheHierarchy uniqueName="[Entity].[UoM]" caption="UoM" attribute="1" defaultMemberUniqueName="[Entity].[UoM].[All]" allUniqueName="[Entity].[UoM].[All]" dimensionUniqueName="[Entity]" displayFolder="" count="0" memberValueDatatype="130" unbalanced="0"/>
    <cacheHierarchy uniqueName="[Entity].[Primary Criterion]" caption="Primary Criterion" attribute="1" defaultMemberUniqueName="[Entity].[Primary Criterion].[All]" allUniqueName="[Entity].[Primary Criterion].[All]" dimensionUniqueName="[Entity]" displayFolder="" count="0" memberValueDatatype="130" unbalanced="0"/>
    <cacheHierarchy uniqueName="[EntityFY20].[Reporting Alias]" caption="Reporting Alias" attribute="1" defaultMemberUniqueName="[EntityFY20].[Reporting Alias].[All]" allUniqueName="[EntityFY20].[Reporting Alias].[All]" dimensionUniqueName="[EntityFY20]" displayFolder="" count="0" memberValueDatatype="130" unbalanced="0"/>
    <cacheHierarchy uniqueName="[EntityFY20].[Emission Source]" caption="Emission Source" attribute="1" defaultMemberUniqueName="[EntityFY20].[Emission Source].[All]" allUniqueName="[EntityFY20].[Emission Source].[All]" dimensionUniqueName="[EntityFY20]" displayFolder="" count="0" memberValueDatatype="130" unbalanced="0"/>
    <cacheHierarchy uniqueName="[EntityFY20].[Source Name]" caption="Source Name" attribute="1" defaultMemberUniqueName="[EntityFY20].[Source Name].[All]" allUniqueName="[EntityFY20].[Source Name].[All]" dimensionUniqueName="[EntityFY20]" displayFolder="" count="0" memberValueDatatype="130" unbalanced="0"/>
    <cacheHierarchy uniqueName="[EntityFY20].[Activity Type]" caption="Activity Type" attribute="1" defaultMemberUniqueName="[EntityFY20].[Activity Type].[All]" allUniqueName="[EntityFY20].[Activity Type].[All]" dimensionUniqueName="[EntityFY20]" displayFolder="" count="0" memberValueDatatype="130" unbalanced="0"/>
    <cacheHierarchy uniqueName="[EntityFY20].[Activity Type Context]" caption="Activity Type Context" attribute="1" defaultMemberUniqueName="[EntityFY20].[Activity Type Context].[All]" allUniqueName="[EntityFY20].[Activity Type Context].[All]" dimensionUniqueName="[EntityFY20]" displayFolder="" count="0" memberValueDatatype="130" unbalanced="0"/>
    <cacheHierarchy uniqueName="[EntityFY20].[Entity]" caption="Entity" attribute="1" defaultMemberUniqueName="[EntityFY20].[Entity].[All]" allUniqueName="[EntityFY20].[Entity].[All]" dimensionUniqueName="[EntityFY20]" displayFolder="" count="0" memberValueDatatype="130" unbalanced="0"/>
    <cacheHierarchy uniqueName="[EntityFY20].[Level 1]" caption="Level 1" attribute="1" defaultMemberUniqueName="[EntityFY20].[Level 1].[All]" allUniqueName="[EntityFY20].[Level 1].[All]" dimensionUniqueName="[EntityFY20]" displayFolder="" count="0" memberValueDatatype="130" unbalanced="0"/>
    <cacheHierarchy uniqueName="[EntityFY20].[Level 2]" caption="Level 2" attribute="1" defaultMemberUniqueName="[EntityFY20].[Level 2].[All]" allUniqueName="[EntityFY20].[Level 2].[All]" dimensionUniqueName="[EntityFY20]" displayFolder="" count="0" memberValueDatatype="130" unbalanced="0"/>
    <cacheHierarchy uniqueName="[EntityFY20].[Level 3]" caption="Level 3" attribute="1" defaultMemberUniqueName="[EntityFY20].[Level 3].[All]" allUniqueName="[EntityFY20].[Level 3].[All]" dimensionUniqueName="[EntityFY20]" displayFolder="" count="0" memberValueDatatype="130" unbalanced="0"/>
    <cacheHierarchy uniqueName="[EntityFY20].[Level 3 Entity type]" caption="Level 3 Entity type" attribute="1" defaultMemberUniqueName="[EntityFY20].[Level 3 Entity type].[All]" allUniqueName="[EntityFY20].[Level 3 Entity type].[All]" dimensionUniqueName="[EntityFY20]" displayFolder="" count="0" memberValueDatatype="130" unbalanced="0"/>
    <cacheHierarchy uniqueName="[EntityFY20].[Level 4]" caption="Level 4" attribute="1" defaultMemberUniqueName="[EntityFY20].[Level 4].[All]" allUniqueName="[EntityFY20].[Level 4].[All]" dimensionUniqueName="[EntityFY20]" displayFolder="" count="0" memberValueDatatype="130" unbalanced="0"/>
    <cacheHierarchy uniqueName="[EntityFY20].[State]" caption="State" attribute="1" defaultMemberUniqueName="[EntityFY20].[State].[All]" allUniqueName="[EntityFY20].[State].[All]" dimensionUniqueName="[EntityFY20]" displayFolder="" count="0" memberValueDatatype="130" unbalanced="0"/>
    <cacheHierarchy uniqueName="[EntityFY20].[UoM]" caption="UoM" attribute="1" defaultMemberUniqueName="[EntityFY20].[UoM].[All]" allUniqueName="[EntityFY20].[UoM].[All]" dimensionUniqueName="[EntityFY20]" displayFolder="" count="0" memberValueDatatype="130" unbalanced="0"/>
    <cacheHierarchy uniqueName="[EntityFY20].[Primary Criterion]" caption="Primary Criterion" attribute="1" defaultMemberUniqueName="[EntityFY20].[Primary Criterion].[All]" allUniqueName="[EntityFY20].[Primary Criterion].[All]" dimensionUniqueName="[EntityFY20]" displayFolder="" count="0" memberValueDatatype="130" unbalanced="0"/>
    <cacheHierarchy uniqueName="[EntityFY20 1].[Reporting Alias]" caption="Reporting Alias" attribute="1" defaultMemberUniqueName="[EntityFY20 1].[Reporting Alias].[All]" allUniqueName="[EntityFY20 1].[Reporting Alias].[All]" dimensionUniqueName="[EntityFY20 1]" displayFolder="" count="0" memberValueDatatype="130" unbalanced="0"/>
    <cacheHierarchy uniqueName="[EntityFY20 1].[Emission Source]" caption="Emission Source" attribute="1" defaultMemberUniqueName="[EntityFY20 1].[Emission Source].[All]" allUniqueName="[EntityFY20 1].[Emission Source].[All]" dimensionUniqueName="[EntityFY20 1]" displayFolder="" count="0" memberValueDatatype="130" unbalanced="0"/>
    <cacheHierarchy uniqueName="[EntityFY20 1].[Source Name]" caption="Source Name" attribute="1" defaultMemberUniqueName="[EntityFY20 1].[Source Name].[All]" allUniqueName="[EntityFY20 1].[Source Name].[All]" dimensionUniqueName="[EntityFY20 1]" displayFolder="" count="2" memberValueDatatype="130" unbalanced="0">
      <fieldsUsage count="2">
        <fieldUsage x="-1"/>
        <fieldUsage x="0"/>
      </fieldsUsage>
    </cacheHierarchy>
    <cacheHierarchy uniqueName="[EntityFY20 1].[Activity Type]" caption="Activity Type" attribute="1" defaultMemberUniqueName="[EntityFY20 1].[Activity Type].[All]" allUniqueName="[EntityFY20 1].[Activity Type].[All]" dimensionUniqueName="[EntityFY20 1]" displayFolder="" count="2" memberValueDatatype="130" unbalanced="0">
      <fieldsUsage count="2">
        <fieldUsage x="-1"/>
        <fieldUsage x="1"/>
      </fieldsUsage>
    </cacheHierarchy>
    <cacheHierarchy uniqueName="[EntityFY20 1].[Activity Type Context]" caption="Activity Type Context" attribute="1" defaultMemberUniqueName="[EntityFY20 1].[Activity Type Context].[All]" allUniqueName="[EntityFY20 1].[Activity Type Context].[All]" dimensionUniqueName="[EntityFY20 1]" displayFolder="" count="2" memberValueDatatype="130" unbalanced="0">
      <fieldsUsage count="2">
        <fieldUsage x="-1"/>
        <fieldUsage x="2"/>
      </fieldsUsage>
    </cacheHierarchy>
    <cacheHierarchy uniqueName="[EntityFY20 1].[Entity]" caption="Entity" attribute="1" defaultMemberUniqueName="[EntityFY20 1].[Entity].[All]" allUniqueName="[EntityFY20 1].[Entity].[All]" dimensionUniqueName="[EntityFY20 1]" displayFolder="" count="0" memberValueDatatype="130" unbalanced="0"/>
    <cacheHierarchy uniqueName="[EntityFY20 1].[Level 1]" caption="Level 1" attribute="1" defaultMemberUniqueName="[EntityFY20 1].[Level 1].[All]" allUniqueName="[EntityFY20 1].[Level 1].[All]" dimensionUniqueName="[EntityFY20 1]" displayFolder="" count="2" memberValueDatatype="130" unbalanced="0">
      <fieldsUsage count="2">
        <fieldUsage x="-1"/>
        <fieldUsage x="7"/>
      </fieldsUsage>
    </cacheHierarchy>
    <cacheHierarchy uniqueName="[EntityFY20 1].[Level 2]" caption="Level 2" attribute="1" defaultMemberUniqueName="[EntityFY20 1].[Level 2].[All]" allUniqueName="[EntityFY20 1].[Level 2].[All]" dimensionUniqueName="[EntityFY20 1]" displayFolder="" count="0" memberValueDatatype="130" unbalanced="0"/>
    <cacheHierarchy uniqueName="[EntityFY20 1].[Level 3]" caption="Level 3" attribute="1" defaultMemberUniqueName="[EntityFY20 1].[Level 3].[All]" allUniqueName="[EntityFY20 1].[Level 3].[All]" dimensionUniqueName="[EntityFY20 1]" displayFolder="" count="0" memberValueDatatype="130" unbalanced="0"/>
    <cacheHierarchy uniqueName="[EntityFY20 1].[Level 3 Entity type]" caption="Level 3 Entity type" attribute="1" defaultMemberUniqueName="[EntityFY20 1].[Level 3 Entity type].[All]" allUniqueName="[EntityFY20 1].[Level 3 Entity type].[All]" dimensionUniqueName="[EntityFY20 1]" displayFolder="" count="0" memberValueDatatype="130" unbalanced="0"/>
    <cacheHierarchy uniqueName="[EntityFY20 1].[Level 4]" caption="Level 4" attribute="1" defaultMemberUniqueName="[EntityFY20 1].[Level 4].[All]" allUniqueName="[EntityFY20 1].[Level 4].[All]" dimensionUniqueName="[EntityFY20 1]" displayFolder="" count="0" memberValueDatatype="130" unbalanced="0"/>
    <cacheHierarchy uniqueName="[EntityFY20 1].[State]" caption="State" attribute="1" defaultMemberUniqueName="[EntityFY20 1].[State].[All]" allUniqueName="[EntityFY20 1].[State].[All]" dimensionUniqueName="[EntityFY20 1]" displayFolder="" count="0" memberValueDatatype="130" unbalanced="0"/>
    <cacheHierarchy uniqueName="[EntityFY20 1].[UoM]" caption="UoM" attribute="1" defaultMemberUniqueName="[EntityFY20 1].[UoM].[All]" allUniqueName="[EntityFY20 1].[UoM].[All]" dimensionUniqueName="[EntityFY20 1]" displayFolder="" count="2" memberValueDatatype="130" unbalanced="0">
      <fieldsUsage count="2">
        <fieldUsage x="-1"/>
        <fieldUsage x="9"/>
      </fieldsUsage>
    </cacheHierarchy>
    <cacheHierarchy uniqueName="[EntityFY20 1].[Primary Criterion]" caption="Primary Criterion" attribute="1" defaultMemberUniqueName="[EntityFY20 1].[Primary Criterion].[All]" allUniqueName="[EntityFY20 1].[Primary Criterion].[All]" dimensionUniqueName="[EntityFY20 1]" displayFolder="" count="0" memberValueDatatype="130" unbalanced="0"/>
    <cacheHierarchy uniqueName="[Flight_Model].[Reporting Alias]" caption="Reporting Alias" attribute="1" defaultMemberUniqueName="[Flight_Model].[Reporting Alias].[All]" allUniqueName="[Flight_Model].[Reporting Alias].[All]" dimensionUniqueName="[Flight_Model]" displayFolder="" count="0" memberValueDatatype="130" unbalanced="0"/>
    <cacheHierarchy uniqueName="[Flight_Model].[Unit]" caption="Unit" attribute="1" defaultMemberUniqueName="[Flight_Model].[Unit].[All]" allUniqueName="[Flight_Model].[Unit].[All]" dimensionUniqueName="[Flight_Model]" displayFolder="" count="0" memberValueDatatype="5" unbalanced="0"/>
    <cacheHierarchy uniqueName="[GasFY20].[Reporting Alias]" caption="Reporting Alias" attribute="1" defaultMemberUniqueName="[GasFY20].[Reporting Alias].[All]" allUniqueName="[GasFY20].[Reporting Alias].[All]" dimensionUniqueName="[GasFY20]" displayFolder="" count="0" memberValueDatatype="130" unbalanced="0"/>
    <cacheHierarchy uniqueName="[GasFY20].[State]" caption="State" attribute="1" defaultMemberUniqueName="[GasFY20].[State].[All]" allUniqueName="[GasFY20].[State].[All]" dimensionUniqueName="[GasFY20]" displayFolder="" count="0" memberValueDatatype="130" unbalanced="0"/>
    <cacheHierarchy uniqueName="[GasFY20].[Consumption Quanity]" caption="Consumption Quanity" attribute="1" defaultMemberUniqueName="[GasFY20].[Consumption Quanity].[All]" allUniqueName="[GasFY20].[Consumption Quanity].[All]" dimensionUniqueName="[GasFY20]" displayFolder="" count="0" memberValueDatatype="5" unbalanced="0"/>
    <cacheHierarchy uniqueName="[GasFY20].[UoM]" caption="UoM" attribute="1" defaultMemberUniqueName="[GasFY20].[UoM].[All]" allUniqueName="[GasFY20].[UoM].[All]" dimensionUniqueName="[GasFY20]" displayFolder="" count="0" memberValueDatatype="130" unbalanced="0"/>
    <cacheHierarchy uniqueName="[GasFY20].[Primary Criterion]" caption="Primary Criterion" attribute="1" defaultMemberUniqueName="[GasFY20].[Primary Criterion].[All]" allUniqueName="[GasFY20].[Primary Criterion].[All]" dimensionUniqueName="[GasFY20]" displayFolder="" count="0" memberValueDatatype="130" unbalanced="0"/>
    <cacheHierarchy uniqueName="[GasFY20].[Sum of Consumption Quantity]" caption="Sum of Consumption Quantity" attribute="1" defaultMemberUniqueName="[GasFY20].[Sum of Consumption Quantity].[All]" allUniqueName="[GasFY20].[Sum of Consumption Quantity].[All]" dimensionUniqueName="[GasFY20]" displayFolder="" count="0" memberValueDatatype="5" unbalanced="0"/>
    <cacheHierarchy uniqueName="[GasFY20].[Sum of Total GJ]" caption="Sum of Total GJ" attribute="1" defaultMemberUniqueName="[GasFY20].[Sum of Total GJ].[All]" allUniqueName="[GasFY20].[Sum of Total GJ].[All]" dimensionUniqueName="[GasFY20]" displayFolder="" count="0" memberValueDatatype="5" unbalanced="0"/>
    <cacheHierarchy uniqueName="[GasFY20].[Sum of Scope 1 kg CO2-e]" caption="Sum of Scope 1 kg CO2-e" attribute="1" defaultMemberUniqueName="[GasFY20].[Sum of Scope 1 kg CO2-e].[All]" allUniqueName="[GasFY20].[Sum of Scope 1 kg CO2-e].[All]" dimensionUniqueName="[GasFY20]" displayFolder="" count="0" memberValueDatatype="5" unbalanced="0"/>
    <cacheHierarchy uniqueName="[GasFY20].[Sum of Scope 2 kg CO2-e]" caption="Sum of Scope 2 kg CO2-e" attribute="1" defaultMemberUniqueName="[GasFY20].[Sum of Scope 2 kg CO2-e].[All]" allUniqueName="[GasFY20].[Sum of Scope 2 kg CO2-e].[All]" dimensionUniqueName="[GasFY20]" displayFolder="" count="0" memberValueDatatype="20" unbalanced="0"/>
    <cacheHierarchy uniqueName="[GasFY20].[Sum of Scope 3 kg CO2-e]" caption="Sum of Scope 3 kg CO2-e" attribute="1" defaultMemberUniqueName="[GasFY20].[Sum of Scope 3 kg CO2-e].[All]" allUniqueName="[GasFY20].[Sum of Scope 3 kg CO2-e].[All]" dimensionUniqueName="[GasFY20]" displayFolder="" count="0" memberValueDatatype="5" unbalanced="0"/>
    <cacheHierarchy uniqueName="[GasFY20].[Sum of Total Emissions]" caption="Sum of Total Emissions" attribute="1" defaultMemberUniqueName="[GasFY20].[Sum of Total Emissions].[All]" allUniqueName="[GasFY20].[Sum of Total Emissions].[All]" dimensionUniqueName="[GasFY20]" displayFolder="" count="0" memberValueDatatype="5" unbalanced="0"/>
    <cacheHierarchy uniqueName="[GHG].[Reporting Alias]" caption="Reporting Alias" attribute="1" defaultMemberUniqueName="[GHG].[Reporting Alias].[All]" allUniqueName="[GHG].[Reporting Alias].[All]" dimensionUniqueName="[GHG]" displayFolder="" count="0" memberValueDatatype="130" unbalanced="0"/>
    <cacheHierarchy uniqueName="[GHG].[Energy Category]" caption="Energy Category" attribute="1" defaultMemberUniqueName="[GHG].[Energy Category].[All]" allUniqueName="[GHG].[Energy Category].[All]" dimensionUniqueName="[GHG]" displayFolder="" count="0" memberValueDatatype="130" unbalanced="0"/>
    <cacheHierarchy uniqueName="[GHG].[Purpose]" caption="Purpose" attribute="1" defaultMemberUniqueName="[GHG].[Purpose].[All]" allUniqueName="[GHG].[Purpose].[All]" dimensionUniqueName="[GHG]" displayFolder="" count="0" memberValueDatatype="130" unbalanced="0"/>
    <cacheHierarchy uniqueName="[GHG].[State]" caption="State" attribute="1" defaultMemberUniqueName="[GHG].[State].[All]" allUniqueName="[GHG].[State].[All]" dimensionUniqueName="[GHG]" displayFolder="" count="0" memberValueDatatype="130" unbalanced="0"/>
    <cacheHierarchy uniqueName="[GHG].[Default Unit]" caption="Default Unit" attribute="1" defaultMemberUniqueName="[GHG].[Default Unit].[All]" allUniqueName="[GHG].[Default Unit].[All]" dimensionUniqueName="[GHG]" displayFolder="" count="0" memberValueDatatype="130" unbalanced="0"/>
    <cacheHierarchy uniqueName="[GHG].[Unit Conversion Factor]" caption="Unit Conversion Factor" attribute="1" defaultMemberUniqueName="[GHG].[Unit Conversion Factor].[All]" allUniqueName="[GHG].[Unit Conversion Factor].[All]" dimensionUniqueName="[GHG]" displayFolder="" count="0" memberValueDatatype="5" unbalanced="0"/>
    <cacheHierarchy uniqueName="[GHG].[Unit]" caption="Unit" attribute="1" defaultMemberUniqueName="[GHG].[Unit].[All]" allUniqueName="[GHG].[Unit].[All]" dimensionUniqueName="[GHG]" displayFolder="" count="0" memberValueDatatype="130" unbalanced="0"/>
    <cacheHierarchy uniqueName="[GHG].[Energy content factor]" caption="Energy content factor" attribute="1" defaultMemberUniqueName="[GHG].[Energy content factor].[All]" allUniqueName="[GHG].[Energy content factor].[All]" dimensionUniqueName="[GHG]" displayFolder="" count="0" memberValueDatatype="5" unbalanced="0"/>
    <cacheHierarchy uniqueName="[GHG].[EC Unit]" caption="EC Unit" attribute="1" defaultMemberUniqueName="[GHG].[EC Unit].[All]" allUniqueName="[GHG].[EC Unit].[All]" dimensionUniqueName="[GHG]" displayFolder="" count="0" memberValueDatatype="130" unbalanced="0"/>
    <cacheHierarchy uniqueName="[GHG].[Scope 1 Emission factor]" caption="Scope 1 Emission factor" attribute="1" defaultMemberUniqueName="[GHG].[Scope 1 Emission factor].[All]" allUniqueName="[GHG].[Scope 1 Emission factor].[All]" dimensionUniqueName="[GHG]" displayFolder="" count="0" memberValueDatatype="5" unbalanced="0"/>
    <cacheHierarchy uniqueName="[GHG].[Scope 2 Emission factor]" caption="Scope 2 Emission factor" attribute="1" defaultMemberUniqueName="[GHG].[Scope 2 Emission factor].[All]" allUniqueName="[GHG].[Scope 2 Emission factor].[All]" dimensionUniqueName="[GHG]" displayFolder="" count="0" memberValueDatatype="5" unbalanced="0"/>
    <cacheHierarchy uniqueName="[GHG].[Scope 3 Emission factor]" caption="Scope 3 Emission factor" attribute="1" defaultMemberUniqueName="[GHG].[Scope 3 Emission factor].[All]" allUniqueName="[GHG].[Scope 3 Emission factor].[All]" dimensionUniqueName="[GHG]" displayFolder="" count="0" memberValueDatatype="5" unbalanced="0"/>
    <cacheHierarchy uniqueName="[GHG].[EF Unit]" caption="EF Unit" attribute="1" defaultMemberUniqueName="[GHG].[EF Unit].[All]" allUniqueName="[GHG].[EF Unit].[All]" dimensionUniqueName="[GHG]" displayFolder="" count="0" memberValueDatatype="130" unbalanced="0"/>
    <cacheHierarchy uniqueName="[GHG].[Data Source (scope 1)]" caption="Data Source (scope 1)" attribute="1" defaultMemberUniqueName="[GHG].[Data Source (scope 1)].[All]" allUniqueName="[GHG].[Data Source (scope 1)].[All]" dimensionUniqueName="[GHG]" displayFolder="" count="0" memberValueDatatype="130" unbalanced="0"/>
    <cacheHierarchy uniqueName="[GHG].[Data Source (scope 2)]" caption="Data Source (scope 2)" attribute="1" defaultMemberUniqueName="[GHG].[Data Source (scope 2)].[All]" allUniqueName="[GHG].[Data Source (scope 2)].[All]" dimensionUniqueName="[GHG]" displayFolder="" count="0" memberValueDatatype="130" unbalanced="0"/>
    <cacheHierarchy uniqueName="[GHG].[Data Source (scope 3)]" caption="Data Source (scope 3)" attribute="1" defaultMemberUniqueName="[GHG].[Data Source (scope 3)].[All]" allUniqueName="[GHG].[Data Source (scope 3)].[All]" dimensionUniqueName="[GHG]" displayFolder="" count="0" memberValueDatatype="130" unbalanced="0"/>
    <cacheHierarchy uniqueName="[GHG_35].[Reporting Alias]" caption="Reporting Alias" attribute="1" defaultMemberUniqueName="[GHG_35].[Reporting Alias].[All]" allUniqueName="[GHG_35].[Reporting Alias].[All]" dimensionUniqueName="[GHG_35]" displayFolder="" count="0" memberValueDatatype="130" unbalanced="0"/>
    <cacheHierarchy uniqueName="[GHG_35].[Energy Category]" caption="Energy Category" attribute="1" defaultMemberUniqueName="[GHG_35].[Energy Category].[All]" allUniqueName="[GHG_35].[Energy Category].[All]" dimensionUniqueName="[GHG_35]" displayFolder="" count="0" memberValueDatatype="130" unbalanced="0"/>
    <cacheHierarchy uniqueName="[GHG_35].[Purpose]" caption="Purpose" attribute="1" defaultMemberUniqueName="[GHG_35].[Purpose].[All]" allUniqueName="[GHG_35].[Purpose].[All]" dimensionUniqueName="[GHG_35]" displayFolder="" count="0" memberValueDatatype="130" unbalanced="0"/>
    <cacheHierarchy uniqueName="[GHG_35].[State]" caption="State" attribute="1" defaultMemberUniqueName="[GHG_35].[State].[All]" allUniqueName="[GHG_35].[State].[All]" dimensionUniqueName="[GHG_35]" displayFolder="" count="0" memberValueDatatype="130" unbalanced="0"/>
    <cacheHierarchy uniqueName="[GHG_35].[Default Unit]" caption="Default Unit" attribute="1" defaultMemberUniqueName="[GHG_35].[Default Unit].[All]" allUniqueName="[GHG_35].[Default Unit].[All]" dimensionUniqueName="[GHG_35]" displayFolder="" count="0" memberValueDatatype="130" unbalanced="0"/>
    <cacheHierarchy uniqueName="[GHG_35].[Unit Conversion Factor]" caption="Unit Conversion Factor" attribute="1" defaultMemberUniqueName="[GHG_35].[Unit Conversion Factor].[All]" allUniqueName="[GHG_35].[Unit Conversion Factor].[All]" dimensionUniqueName="[GHG_35]" displayFolder="" count="0" memberValueDatatype="5" unbalanced="0"/>
    <cacheHierarchy uniqueName="[GHG_35].[Unit]" caption="Unit" attribute="1" defaultMemberUniqueName="[GHG_35].[Unit].[All]" allUniqueName="[GHG_35].[Unit].[All]" dimensionUniqueName="[GHG_35]" displayFolder="" count="0" memberValueDatatype="130" unbalanced="0"/>
    <cacheHierarchy uniqueName="[GHG_35].[Energy content factor]" caption="Energy content factor" attribute="1" defaultMemberUniqueName="[GHG_35].[Energy content factor].[All]" allUniqueName="[GHG_35].[Energy content factor].[All]" dimensionUniqueName="[GHG_35]" displayFolder="" count="0" memberValueDatatype="5" unbalanced="0"/>
    <cacheHierarchy uniqueName="[GHG_35].[EC Unit]" caption="EC Unit" attribute="1" defaultMemberUniqueName="[GHG_35].[EC Unit].[All]" allUniqueName="[GHG_35].[EC Unit].[All]" dimensionUniqueName="[GHG_35]" displayFolder="" count="0" memberValueDatatype="130" unbalanced="0"/>
    <cacheHierarchy uniqueName="[GHG_35].[Scope 1 Emission factor]" caption="Scope 1 Emission factor" attribute="1" defaultMemberUniqueName="[GHG_35].[Scope 1 Emission factor].[All]" allUniqueName="[GHG_35].[Scope 1 Emission factor].[All]" dimensionUniqueName="[GHG_35]" displayFolder="" count="0" memberValueDatatype="5" unbalanced="0"/>
    <cacheHierarchy uniqueName="[GHG_35].[Scope 2 Emission factor]" caption="Scope 2 Emission factor" attribute="1" defaultMemberUniqueName="[GHG_35].[Scope 2 Emission factor].[All]" allUniqueName="[GHG_35].[Scope 2 Emission factor].[All]" dimensionUniqueName="[GHG_35]" displayFolder="" count="0" memberValueDatatype="5" unbalanced="0"/>
    <cacheHierarchy uniqueName="[GHG_35].[Scope 3 Emission factor]" caption="Scope 3 Emission factor" attribute="1" defaultMemberUniqueName="[GHG_35].[Scope 3 Emission factor].[All]" allUniqueName="[GHG_35].[Scope 3 Emission factor].[All]" dimensionUniqueName="[GHG_35]" displayFolder="" count="0" memberValueDatatype="5" unbalanced="0"/>
    <cacheHierarchy uniqueName="[GHG_35].[EF Unit]" caption="EF Unit" attribute="1" defaultMemberUniqueName="[GHG_35].[EF Unit].[All]" allUniqueName="[GHG_35].[EF Unit].[All]" dimensionUniqueName="[GHG_35]" displayFolder="" count="0" memberValueDatatype="130" unbalanced="0"/>
    <cacheHierarchy uniqueName="[GHG_35].[Data Source (scope 1)]" caption="Data Source (scope 1)" attribute="1" defaultMemberUniqueName="[GHG_35].[Data Source (scope 1)].[All]" allUniqueName="[GHG_35].[Data Source (scope 1)].[All]" dimensionUniqueName="[GHG_35]" displayFolder="" count="0" memberValueDatatype="130" unbalanced="0"/>
    <cacheHierarchy uniqueName="[GHG_35].[Data Source (scope 2)]" caption="Data Source (scope 2)" attribute="1" defaultMemberUniqueName="[GHG_35].[Data Source (scope 2)].[All]" allUniqueName="[GHG_35].[Data Source (scope 2)].[All]" dimensionUniqueName="[GHG_35]" displayFolder="" count="0" memberValueDatatype="130" unbalanced="0"/>
    <cacheHierarchy uniqueName="[GHG_35].[Data Source (scope 3)]" caption="Data Source (scope 3)" attribute="1" defaultMemberUniqueName="[GHG_35].[Data Source (scope 3)].[All]" allUniqueName="[GHG_35].[Data Source (scope 3)].[All]" dimensionUniqueName="[GHG_35]" displayFolder="" count="0" memberValueDatatype="130" unbalanced="0"/>
    <cacheHierarchy uniqueName="[Grounds_Fuels].[Reporting Alias]" caption="Reporting Alias" attribute="1" defaultMemberUniqueName="[Grounds_Fuels].[Reporting Alias].[All]" allUniqueName="[Grounds_Fuels].[Reporting Alias].[All]" dimensionUniqueName="[Grounds_Fuels]" displayFolder="" count="0" memberValueDatatype="130" unbalanced="0"/>
    <cacheHierarchy uniqueName="[Grounds_Fuels].[Source Name]" caption="Source Name" attribute="1" defaultMemberUniqueName="[Grounds_Fuels].[Source Name].[All]" allUniqueName="[Grounds_Fuels].[Source Name].[All]" dimensionUniqueName="[Grounds_Fuels]" displayFolder="" count="0" memberValueDatatype="130" unbalanced="0"/>
    <cacheHierarchy uniqueName="[Grounds_Fuels].[Activity Type]" caption="Activity Type" attribute="1" defaultMemberUniqueName="[Grounds_Fuels].[Activity Type].[All]" allUniqueName="[Grounds_Fuels].[Activity Type].[All]" dimensionUniqueName="[Grounds_Fuels]" displayFolder="" count="0" memberValueDatatype="130" unbalanced="0"/>
    <cacheHierarchy uniqueName="[Grounds_Fuels].[Activity Type Context]" caption="Activity Type Context" attribute="1" defaultMemberUniqueName="[Grounds_Fuels].[Activity Type Context].[All]" allUniqueName="[Grounds_Fuels].[Activity Type Context].[All]" dimensionUniqueName="[Grounds_Fuels]" displayFolder="" count="0" memberValueDatatype="130" unbalanced="0"/>
    <cacheHierarchy uniqueName="[Grounds_Fuels].[Entity]" caption="Entity" attribute="1" defaultMemberUniqueName="[Grounds_Fuels].[Entity].[All]" allUniqueName="[Grounds_Fuels].[Entity].[All]" dimensionUniqueName="[Grounds_Fuels]" displayFolder="" count="0" memberValueDatatype="130" unbalanced="0"/>
    <cacheHierarchy uniqueName="[Grounds_Fuels].[Fuel]" caption="Fuel" attribute="1" defaultMemberUniqueName="[Grounds_Fuels].[Fuel].[All]" allUniqueName="[Grounds_Fuels].[Fuel].[All]" dimensionUniqueName="[Grounds_Fuels]" displayFolder="" count="0" memberValueDatatype="130" unbalanced="0"/>
    <cacheHierarchy uniqueName="[Grounds_Fuels].[State]" caption="State" attribute="1" defaultMemberUniqueName="[Grounds_Fuels].[State].[All]" allUniqueName="[Grounds_Fuels].[State].[All]" dimensionUniqueName="[Grounds_Fuels]" displayFolder="" count="0" memberValueDatatype="130" unbalanced="0"/>
    <cacheHierarchy uniqueName="[Grounds_Fuels].[Consumption Quantity (L)]" caption="Consumption Quantity (L)" attribute="1" defaultMemberUniqueName="[Grounds_Fuels].[Consumption Quantity (L)].[All]" allUniqueName="[Grounds_Fuels].[Consumption Quantity (L)].[All]" dimensionUniqueName="[Grounds_Fuels]" displayFolder="" count="0" memberValueDatatype="5" unbalanced="0"/>
    <cacheHierarchy uniqueName="[Grounds_Fuels].[Consumption  Units]" caption="Consumption  Units" attribute="1" defaultMemberUniqueName="[Grounds_Fuels].[Consumption  Units].[All]" allUniqueName="[Grounds_Fuels].[Consumption  Units].[All]" dimensionUniqueName="[Grounds_Fuels]" displayFolder="" count="0" memberValueDatatype="130" unbalanced="0"/>
    <cacheHierarchy uniqueName="[Grounds_Fuels].[Consumption Quantity]" caption="Consumption Quantity" attribute="1" defaultMemberUniqueName="[Grounds_Fuels].[Consumption Quantity].[All]" allUniqueName="[Grounds_Fuels].[Consumption Quantity].[All]" dimensionUniqueName="[Grounds_Fuels]" displayFolder="" count="0" memberValueDatatype="5" unbalanced="0"/>
    <cacheHierarchy uniqueName="[Grounds_Fuels].[Total GJ]" caption="Total GJ" attribute="1" defaultMemberUniqueName="[Grounds_Fuels].[Total GJ].[All]" allUniqueName="[Grounds_Fuels].[Total GJ].[All]" dimensionUniqueName="[Grounds_Fuels]" displayFolder="" count="0" memberValueDatatype="5" unbalanced="0"/>
    <cacheHierarchy uniqueName="[Grounds_Fuels].[Scope 1 kg CO2-e]" caption="Scope 1 kg CO2-e" attribute="1" defaultMemberUniqueName="[Grounds_Fuels].[Scope 1 kg CO2-e].[All]" allUniqueName="[Grounds_Fuels].[Scope 1 kg CO2-e].[All]" dimensionUniqueName="[Grounds_Fuels]" displayFolder="" count="0" memberValueDatatype="5" unbalanced="0"/>
    <cacheHierarchy uniqueName="[Grounds_Fuels].[Scope 2 kg CO2-e]" caption="Scope 2 kg CO2-e" attribute="1" defaultMemberUniqueName="[Grounds_Fuels].[Scope 2 kg CO2-e].[All]" allUniqueName="[Grounds_Fuels].[Scope 2 kg CO2-e].[All]" dimensionUniqueName="[Grounds_Fuels]" displayFolder="" count="0" memberValueDatatype="5" unbalanced="0"/>
    <cacheHierarchy uniqueName="[Grounds_Fuels].[Scope 3 kg CO2-e]" caption="Scope 3 kg CO2-e" attribute="1" defaultMemberUniqueName="[Grounds_Fuels].[Scope 3 kg CO2-e].[All]" allUniqueName="[Grounds_Fuels].[Scope 3 kg CO2-e].[All]" dimensionUniqueName="[Grounds_Fuels]" displayFolder="" count="0" memberValueDatatype="5" unbalanced="0"/>
    <cacheHierarchy uniqueName="[Grounds_Fuels].[Total Emissions]" caption="Total Emissions" attribute="1" defaultMemberUniqueName="[Grounds_Fuels].[Total Emissions].[All]" allUniqueName="[Grounds_Fuels].[Total Emissions].[All]" dimensionUniqueName="[Grounds_Fuels]" displayFolder="" count="0" memberValueDatatype="5" unbalanced="0"/>
    <cacheHierarchy uniqueName="[Grounds_Fuels33].[Reporting Alias]" caption="Reporting Alias" attribute="1" defaultMemberUniqueName="[Grounds_Fuels33].[Reporting Alias].[All]" allUniqueName="[Grounds_Fuels33].[Reporting Alias].[All]" dimensionUniqueName="[Grounds_Fuels33]" displayFolder="" count="0" memberValueDatatype="130" unbalanced="0"/>
    <cacheHierarchy uniqueName="[Grounds_Fuels33].[Source Name]" caption="Source Name" attribute="1" defaultMemberUniqueName="[Grounds_Fuels33].[Source Name].[All]" allUniqueName="[Grounds_Fuels33].[Source Name].[All]" dimensionUniqueName="[Grounds_Fuels33]" displayFolder="" count="0" memberValueDatatype="130" unbalanced="0"/>
    <cacheHierarchy uniqueName="[Grounds_Fuels33].[Activity Type]" caption="Activity Type" attribute="1" defaultMemberUniqueName="[Grounds_Fuels33].[Activity Type].[All]" allUniqueName="[Grounds_Fuels33].[Activity Type].[All]" dimensionUniqueName="[Grounds_Fuels33]" displayFolder="" count="0" memberValueDatatype="130" unbalanced="0"/>
    <cacheHierarchy uniqueName="[Grounds_Fuels33].[Activity Type Context]" caption="Activity Type Context" attribute="1" defaultMemberUniqueName="[Grounds_Fuels33].[Activity Type Context].[All]" allUniqueName="[Grounds_Fuels33].[Activity Type Context].[All]" dimensionUniqueName="[Grounds_Fuels33]" displayFolder="" count="0" memberValueDatatype="130" unbalanced="0"/>
    <cacheHierarchy uniqueName="[Grounds_Fuels33].[Entity]" caption="Entity" attribute="1" defaultMemberUniqueName="[Grounds_Fuels33].[Entity].[All]" allUniqueName="[Grounds_Fuels33].[Entity].[All]" dimensionUniqueName="[Grounds_Fuels33]" displayFolder="" count="0" memberValueDatatype="130" unbalanced="0"/>
    <cacheHierarchy uniqueName="[Grounds_Fuels33].[Fuel]" caption="Fuel" attribute="1" defaultMemberUniqueName="[Grounds_Fuels33].[Fuel].[All]" allUniqueName="[Grounds_Fuels33].[Fuel].[All]" dimensionUniqueName="[Grounds_Fuels33]" displayFolder="" count="0" memberValueDatatype="130" unbalanced="0"/>
    <cacheHierarchy uniqueName="[Grounds_Fuels33].[State]" caption="State" attribute="1" defaultMemberUniqueName="[Grounds_Fuels33].[State].[All]" allUniqueName="[Grounds_Fuels33].[State].[All]" dimensionUniqueName="[Grounds_Fuels33]" displayFolder="" count="0" memberValueDatatype="130" unbalanced="0"/>
    <cacheHierarchy uniqueName="[Grounds_Fuels33].[Consumption Quantity (L)]" caption="Consumption Quantity (L)" attribute="1" defaultMemberUniqueName="[Grounds_Fuels33].[Consumption Quantity (L)].[All]" allUniqueName="[Grounds_Fuels33].[Consumption Quantity (L)].[All]" dimensionUniqueName="[Grounds_Fuels33]" displayFolder="" count="0" memberValueDatatype="5" unbalanced="0"/>
    <cacheHierarchy uniqueName="[Grounds_Fuels33].[Consumption  Units]" caption="Consumption  Units" attribute="1" defaultMemberUniqueName="[Grounds_Fuels33].[Consumption  Units].[All]" allUniqueName="[Grounds_Fuels33].[Consumption  Units].[All]" dimensionUniqueName="[Grounds_Fuels33]" displayFolder="" count="0" memberValueDatatype="130" unbalanced="0"/>
    <cacheHierarchy uniqueName="[Grounds_Fuels33].[UoM]" caption="UoM" attribute="1" defaultMemberUniqueName="[Grounds_Fuels33].[UoM].[All]" allUniqueName="[Grounds_Fuels33].[UoM].[All]" dimensionUniqueName="[Grounds_Fuels33]" displayFolder="" count="0" memberValueDatatype="130" unbalanced="0"/>
    <cacheHierarchy uniqueName="[Grounds_Fuels33].[Primary Criterion]" caption="Primary Criterion" attribute="1" defaultMemberUniqueName="[Grounds_Fuels33].[Primary Criterion].[All]" allUniqueName="[Grounds_Fuels33].[Primary Criterion].[All]" dimensionUniqueName="[Grounds_Fuels33]" displayFolder="" count="0" memberValueDatatype="130" unbalanced="0"/>
    <cacheHierarchy uniqueName="[Grounds_Fuels33].[Sum of Consumption Quantity]" caption="Sum of Consumption Quantity" attribute="1" defaultMemberUniqueName="[Grounds_Fuels33].[Sum of Consumption Quantity].[All]" allUniqueName="[Grounds_Fuels33].[Sum of Consumption Quantity].[All]" dimensionUniqueName="[Grounds_Fuels33]" displayFolder="" count="0" memberValueDatatype="5" unbalanced="0"/>
    <cacheHierarchy uniqueName="[Grounds_Fuels33].[Sum of Total GJ]" caption="Sum of Total GJ" attribute="1" defaultMemberUniqueName="[Grounds_Fuels33].[Sum of Total GJ].[All]" allUniqueName="[Grounds_Fuels33].[Sum of Total GJ].[All]" dimensionUniqueName="[Grounds_Fuels33]" displayFolder="" count="0" memberValueDatatype="5" unbalanced="0"/>
    <cacheHierarchy uniqueName="[Grounds_Fuels33].[Sum of Scope 1 kg CO2-e]" caption="Sum of Scope 1 kg CO2-e" attribute="1" defaultMemberUniqueName="[Grounds_Fuels33].[Sum of Scope 1 kg CO2-e].[All]" allUniqueName="[Grounds_Fuels33].[Sum of Scope 1 kg CO2-e].[All]" dimensionUniqueName="[Grounds_Fuels33]" displayFolder="" count="0" memberValueDatatype="5" unbalanced="0"/>
    <cacheHierarchy uniqueName="[Grounds_Fuels33].[Sum of Scope 2 kg CO2-e]" caption="Sum of Scope 2 kg CO2-e" attribute="1" defaultMemberUniqueName="[Grounds_Fuels33].[Sum of Scope 2 kg CO2-e].[All]" allUniqueName="[Grounds_Fuels33].[Sum of Scope 2 kg CO2-e].[All]" dimensionUniqueName="[Grounds_Fuels33]" displayFolder="" count="0" memberValueDatatype="20" unbalanced="0"/>
    <cacheHierarchy uniqueName="[Grounds_Fuels33].[Sum of Scope 3 kg CO2-e]" caption="Sum of Scope 3 kg CO2-e" attribute="1" defaultMemberUniqueName="[Grounds_Fuels33].[Sum of Scope 3 kg CO2-e].[All]" allUniqueName="[Grounds_Fuels33].[Sum of Scope 3 kg CO2-e].[All]" dimensionUniqueName="[Grounds_Fuels33]" displayFolder="" count="0" memberValueDatatype="5" unbalanced="0"/>
    <cacheHierarchy uniqueName="[Grounds_Fuels33].[Sum of Total Emissions]" caption="Sum of Total Emissions" attribute="1" defaultMemberUniqueName="[Grounds_Fuels33].[Sum of Total Emissions].[All]" allUniqueName="[Grounds_Fuels33].[Sum of Total Emissions].[All]" dimensionUniqueName="[Grounds_Fuels33]" displayFolder="" count="0" memberValueDatatype="5" unbalanced="0"/>
    <cacheHierarchy uniqueName="[LP_Fleet].[Reporting Alias]" caption="Reporting Alias" attribute="1" defaultMemberUniqueName="[LP_Fleet].[Reporting Alias].[All]" allUniqueName="[LP_Fleet].[Reporting Alias].[All]" dimensionUniqueName="[LP_Fleet]" displayFolder="" count="0" memberValueDatatype="130" unbalanced="0"/>
    <cacheHierarchy uniqueName="[LP_Fleet].[Entity]" caption="Entity" attribute="1" defaultMemberUniqueName="[LP_Fleet].[Entity].[All]" allUniqueName="[LP_Fleet].[Entity].[All]" dimensionUniqueName="[LP_Fleet]" displayFolder="" count="0" memberValueDatatype="130" unbalanced="0"/>
    <cacheHierarchy uniqueName="[LP_Fleet].[Fuel]" caption="Fuel" attribute="1" defaultMemberUniqueName="[LP_Fleet].[Fuel].[All]" allUniqueName="[LP_Fleet].[Fuel].[All]" dimensionUniqueName="[LP_Fleet]" displayFolder="" count="0" memberValueDatatype="130" unbalanced="0"/>
    <cacheHierarchy uniqueName="[LP_Fleet].[State]" caption="State" attribute="1" defaultMemberUniqueName="[LP_Fleet].[State].[All]" allUniqueName="[LP_Fleet].[State].[All]" dimensionUniqueName="[LP_Fleet]" displayFolder="" count="0" memberValueDatatype="130" unbalanced="0"/>
    <cacheHierarchy uniqueName="[LP_Fleet].[Consumption Quantity (L)]" caption="Consumption Quantity (L)" attribute="1" defaultMemberUniqueName="[LP_Fleet].[Consumption Quantity (L)].[All]" allUniqueName="[LP_Fleet].[Consumption Quantity (L)].[All]" dimensionUniqueName="[LP_Fleet]" displayFolder="" count="0" memberValueDatatype="5" unbalanced="0"/>
    <cacheHierarchy uniqueName="[LP_Fleet].[Consumption Units]" caption="Consumption Units" attribute="1" defaultMemberUniqueName="[LP_Fleet].[Consumption Units].[All]" allUniqueName="[LP_Fleet].[Consumption Units].[All]" dimensionUniqueName="[LP_Fleet]" displayFolder="" count="0" memberValueDatatype="130" unbalanced="0"/>
    <cacheHierarchy uniqueName="[LP_Fleet].[Consumption Quantity]" caption="Consumption Quantity" attribute="1" defaultMemberUniqueName="[LP_Fleet].[Consumption Quantity].[All]" allUniqueName="[LP_Fleet].[Consumption Quantity].[All]" dimensionUniqueName="[LP_Fleet]" displayFolder="" count="0" memberValueDatatype="5" unbalanced="0"/>
    <cacheHierarchy uniqueName="[LP_Fleet].[Total GJ]" caption="Total GJ" attribute="1" defaultMemberUniqueName="[LP_Fleet].[Total GJ].[All]" allUniqueName="[LP_Fleet].[Total GJ].[All]" dimensionUniqueName="[LP_Fleet]" displayFolder="" count="0" memberValueDatatype="5" unbalanced="0"/>
    <cacheHierarchy uniqueName="[LP_Fleet].[Scope 1 kg CO2-e]" caption="Scope 1 kg CO2-e" attribute="1" defaultMemberUniqueName="[LP_Fleet].[Scope 1 kg CO2-e].[All]" allUniqueName="[LP_Fleet].[Scope 1 kg CO2-e].[All]" dimensionUniqueName="[LP_Fleet]" displayFolder="" count="0" memberValueDatatype="5" unbalanced="0"/>
    <cacheHierarchy uniqueName="[LP_Fleet].[Scope 2 kg CO2-e]" caption="Scope 2 kg CO2-e" attribute="1" defaultMemberUniqueName="[LP_Fleet].[Scope 2 kg CO2-e].[All]" allUniqueName="[LP_Fleet].[Scope 2 kg CO2-e].[All]" dimensionUniqueName="[LP_Fleet]" displayFolder="" count="0" memberValueDatatype="5" unbalanced="0"/>
    <cacheHierarchy uniqueName="[LP_Fleet].[Scope 3 kg CO2-e]" caption="Scope 3 kg CO2-e" attribute="1" defaultMemberUniqueName="[LP_Fleet].[Scope 3 kg CO2-e].[All]" allUniqueName="[LP_Fleet].[Scope 3 kg CO2-e].[All]" dimensionUniqueName="[LP_Fleet]" displayFolder="" count="0" memberValueDatatype="5" unbalanced="0"/>
    <cacheHierarchy uniqueName="[LP_Fleet].[Total Emissions]" caption="Total Emissions" attribute="1" defaultMemberUniqueName="[LP_Fleet].[Total Emissions].[All]" allUniqueName="[LP_Fleet].[Total Emissions].[All]" dimensionUniqueName="[LP_Fleet]" displayFolder="" count="0" memberValueDatatype="5" unbalanced="0"/>
    <cacheHierarchy uniqueName="[LP_Stationary].[Reporting Alias]" caption="Reporting Alias" attribute="1" defaultMemberUniqueName="[LP_Stationary].[Reporting Alias].[All]" allUniqueName="[LP_Stationary].[Reporting Alias].[All]" dimensionUniqueName="[LP_Stationary]" displayFolder="" count="0" memberValueDatatype="130" unbalanced="0"/>
    <cacheHierarchy uniqueName="[LP_Stationary].[Entity]" caption="Entity" attribute="1" defaultMemberUniqueName="[LP_Stationary].[Entity].[All]" allUniqueName="[LP_Stationary].[Entity].[All]" dimensionUniqueName="[LP_Stationary]" displayFolder="" count="0" memberValueDatatype="130" unbalanced="0"/>
    <cacheHierarchy uniqueName="[LP_Stationary].[Fuel]" caption="Fuel" attribute="1" defaultMemberUniqueName="[LP_Stationary].[Fuel].[All]" allUniqueName="[LP_Stationary].[Fuel].[All]" dimensionUniqueName="[LP_Stationary]" displayFolder="" count="0" memberValueDatatype="130" unbalanced="0"/>
    <cacheHierarchy uniqueName="[LP_Stationary].[State]" caption="State" attribute="1" defaultMemberUniqueName="[LP_Stationary].[State].[All]" allUniqueName="[LP_Stationary].[State].[All]" dimensionUniqueName="[LP_Stationary]" displayFolder="" count="0" memberValueDatatype="130" unbalanced="0"/>
    <cacheHierarchy uniqueName="[LP_Stationary].[Consumption Quantity (L)]" caption="Consumption Quantity (L)" attribute="1" defaultMemberUniqueName="[LP_Stationary].[Consumption Quantity (L)].[All]" allUniqueName="[LP_Stationary].[Consumption Quantity (L)].[All]" dimensionUniqueName="[LP_Stationary]" displayFolder="" count="0" memberValueDatatype="5" unbalanced="0"/>
    <cacheHierarchy uniqueName="[LP_Stationary].[Consumption Units]" caption="Consumption Units" attribute="1" defaultMemberUniqueName="[LP_Stationary].[Consumption Units].[All]" allUniqueName="[LP_Stationary].[Consumption Units].[All]" dimensionUniqueName="[LP_Stationary]" displayFolder="" count="0" memberValueDatatype="130" unbalanced="0"/>
    <cacheHierarchy uniqueName="[LP_Stationary].[Consumption Quantity]" caption="Consumption Quantity" attribute="1" defaultMemberUniqueName="[LP_Stationary].[Consumption Quantity].[All]" allUniqueName="[LP_Stationary].[Consumption Quantity].[All]" dimensionUniqueName="[LP_Stationary]" displayFolder="" count="0" memberValueDatatype="5" unbalanced="0"/>
    <cacheHierarchy uniqueName="[LP_Stationary].[Total GJ]" caption="Total GJ" attribute="1" defaultMemberUniqueName="[LP_Stationary].[Total GJ].[All]" allUniqueName="[LP_Stationary].[Total GJ].[All]" dimensionUniqueName="[LP_Stationary]" displayFolder="" count="0" memberValueDatatype="5" unbalanced="0"/>
    <cacheHierarchy uniqueName="[LP_Stationary].[Scope 1 kg CO2-e]" caption="Scope 1 kg CO2-e" attribute="1" defaultMemberUniqueName="[LP_Stationary].[Scope 1 kg CO2-e].[All]" allUniqueName="[LP_Stationary].[Scope 1 kg CO2-e].[All]" dimensionUniqueName="[LP_Stationary]" displayFolder="" count="0" memberValueDatatype="5" unbalanced="0"/>
    <cacheHierarchy uniqueName="[LP_Stationary].[Scope 2 kg CO2-e]" caption="Scope 2 kg CO2-e" attribute="1" defaultMemberUniqueName="[LP_Stationary].[Scope 2 kg CO2-e].[All]" allUniqueName="[LP_Stationary].[Scope 2 kg CO2-e].[All]" dimensionUniqueName="[LP_Stationary]" displayFolder="" count="0" memberValueDatatype="5" unbalanced="0"/>
    <cacheHierarchy uniqueName="[LP_Stationary].[Scope 3 kg CO2-e]" caption="Scope 3 kg CO2-e" attribute="1" defaultMemberUniqueName="[LP_Stationary].[Scope 3 kg CO2-e].[All]" allUniqueName="[LP_Stationary].[Scope 3 kg CO2-e].[All]" dimensionUniqueName="[LP_Stationary]" displayFolder="" count="0" memberValueDatatype="5" unbalanced="0"/>
    <cacheHierarchy uniqueName="[LP_Stationary].[Total Emissions]" caption="Total Emissions" attribute="1" defaultMemberUniqueName="[LP_Stationary].[Total Emissions].[All]" allUniqueName="[LP_Stationary].[Total Emissions].[All]" dimensionUniqueName="[LP_Stationary]" displayFolder="" count="0" memberValueDatatype="5" unbalanced="0"/>
    <cacheHierarchy uniqueName="[NBN_Removal].[Reporting Alias]" caption="Reporting Alias" attribute="1" defaultMemberUniqueName="[NBN_Removal].[Reporting Alias].[All]" allUniqueName="[NBN_Removal].[Reporting Alias].[All]" dimensionUniqueName="[NBN_Removal]" displayFolder="" count="0" memberValueDatatype="130" unbalanced="0"/>
    <cacheHierarchy uniqueName="[NBN_Removal].[Consumption Quantity]" caption="Consumption Quantity" attribute="1" defaultMemberUniqueName="[NBN_Removal].[Consumption Quantity].[All]" allUniqueName="[NBN_Removal].[Consumption Quantity].[All]" dimensionUniqueName="[NBN_Removal]" displayFolder="" count="0" memberValueDatatype="5" unbalanced="0"/>
    <cacheHierarchy uniqueName="[NBN_Removal].[Scope 1 kg CO2-e]" caption="Scope 1 kg CO2-e" attribute="1" defaultMemberUniqueName="[NBN_Removal].[Scope 1 kg CO2-e].[All]" allUniqueName="[NBN_Removal].[Scope 1 kg CO2-e].[All]" dimensionUniqueName="[NBN_Removal]" displayFolder="" count="0" memberValueDatatype="5" unbalanced="0"/>
    <cacheHierarchy uniqueName="[NBN_Removal].[Scope 2 kg CO2-e]" caption="Scope 2 kg CO2-e" attribute="1" defaultMemberUniqueName="[NBN_Removal].[Scope 2 kg CO2-e].[All]" allUniqueName="[NBN_Removal].[Scope 2 kg CO2-e].[All]" dimensionUniqueName="[NBN_Removal]" displayFolder="" count="0" memberValueDatatype="5" unbalanced="0"/>
    <cacheHierarchy uniqueName="[NBN_Removal].[Scope 3 kg CO2-e]" caption="Scope 3 kg CO2-e" attribute="1" defaultMemberUniqueName="[NBN_Removal].[Scope 3 kg CO2-e].[All]" allUniqueName="[NBN_Removal].[Scope 3 kg CO2-e].[All]" dimensionUniqueName="[NBN_Removal]" displayFolder="" count="0" memberValueDatatype="5" unbalanced="0"/>
    <cacheHierarchy uniqueName="[NBN_Removal].[Total GJ]" caption="Total GJ" attribute="1" defaultMemberUniqueName="[NBN_Removal].[Total GJ].[All]" allUniqueName="[NBN_Removal].[Total GJ].[All]" dimensionUniqueName="[NBN_Removal]" displayFolder="" count="0" memberValueDatatype="5" unbalanced="0"/>
    <cacheHierarchy uniqueName="[NBN_Removal].[Total Emissions]" caption="Total Emissions" attribute="1" defaultMemberUniqueName="[NBN_Removal].[Total Emissions].[All]" allUniqueName="[NBN_Removal].[Total Emissions].[All]" dimensionUniqueName="[NBN_Removal]" displayFolder="" count="0" memberValueDatatype="5" unbalanced="0"/>
    <cacheHierarchy uniqueName="[NET_Genset_Grounds].[Reporting Alias]" caption="Reporting Alias" attribute="1" defaultMemberUniqueName="[NET_Genset_Grounds].[Reporting Alias].[All]" allUniqueName="[NET_Genset_Grounds].[Reporting Alias].[All]" dimensionUniqueName="[NET_Genset_Grounds]" displayFolder="" count="0" memberValueDatatype="130" unbalanced="0"/>
    <cacheHierarchy uniqueName="[NET_Genset_Grounds].[Emission source]" caption="Emission source" attribute="1" defaultMemberUniqueName="[NET_Genset_Grounds].[Emission source].[All]" allUniqueName="[NET_Genset_Grounds].[Emission source].[All]" dimensionUniqueName="[NET_Genset_Grounds]" displayFolder="" count="0" memberValueDatatype="130" unbalanced="0"/>
    <cacheHierarchy uniqueName="[NET_Genset_Grounds].[Entity]" caption="Entity" attribute="1" defaultMemberUniqueName="[NET_Genset_Grounds].[Entity].[All]" allUniqueName="[NET_Genset_Grounds].[Entity].[All]" dimensionUniqueName="[NET_Genset_Grounds]" displayFolder="" count="0" memberValueDatatype="130" unbalanced="0"/>
    <cacheHierarchy uniqueName="[NET_Genset_Grounds].[Fuel]" caption="Fuel" attribute="1" defaultMemberUniqueName="[NET_Genset_Grounds].[Fuel].[All]" allUniqueName="[NET_Genset_Grounds].[Fuel].[All]" dimensionUniqueName="[NET_Genset_Grounds]" displayFolder="" count="0" memberValueDatatype="130" unbalanced="0"/>
    <cacheHierarchy uniqueName="[NET_Genset_Grounds].[State]" caption="State" attribute="1" defaultMemberUniqueName="[NET_Genset_Grounds].[State].[All]" allUniqueName="[NET_Genset_Grounds].[State].[All]" dimensionUniqueName="[NET_Genset_Grounds]" displayFolder="" count="0" memberValueDatatype="130" unbalanced="0"/>
    <cacheHierarchy uniqueName="[NET_Genset_Grounds].[Production Quantity]" caption="Production Quantity" attribute="1" defaultMemberUniqueName="[NET_Genset_Grounds].[Production Quantity].[All]" allUniqueName="[NET_Genset_Grounds].[Production Quantity].[All]" dimensionUniqueName="[NET_Genset_Grounds]" displayFolder="" count="0" memberValueDatatype="130" unbalanced="0"/>
    <cacheHierarchy uniqueName="[NET_Genset_Grounds].[Production  Units]" caption="Production  Units" attribute="1" defaultMemberUniqueName="[NET_Genset_Grounds].[Production  Units].[All]" allUniqueName="[NET_Genset_Grounds].[Production  Units].[All]" dimensionUniqueName="[NET_Genset_Grounds]" displayFolder="" count="0" memberValueDatatype="130" unbalanced="0"/>
    <cacheHierarchy uniqueName="[NET_Genset_Grounds].[Consumption Quantity]" caption="Consumption Quantity" attribute="1" defaultMemberUniqueName="[NET_Genset_Grounds].[Consumption Quantity].[All]" allUniqueName="[NET_Genset_Grounds].[Consumption Quantity].[All]" dimensionUniqueName="[NET_Genset_Grounds]" displayFolder="" count="0" memberValueDatatype="5" unbalanced="0"/>
    <cacheHierarchy uniqueName="[NET_Genset_Grounds].[Total GJ]" caption="Total GJ" attribute="1" defaultMemberUniqueName="[NET_Genset_Grounds].[Total GJ].[All]" allUniqueName="[NET_Genset_Grounds].[Total GJ].[All]" dimensionUniqueName="[NET_Genset_Grounds]" displayFolder="" count="0" memberValueDatatype="20" unbalanced="0"/>
    <cacheHierarchy uniqueName="[NET_Genset_Grounds].[Scope 1 kg CO2-e]" caption="Scope 1 kg CO2-e" attribute="1" defaultMemberUniqueName="[NET_Genset_Grounds].[Scope 1 kg CO2-e].[All]" allUniqueName="[NET_Genset_Grounds].[Scope 1 kg CO2-e].[All]" dimensionUniqueName="[NET_Genset_Grounds]" displayFolder="" count="0" memberValueDatatype="20" unbalanced="0"/>
    <cacheHierarchy uniqueName="[NET_Genset_Grounds].[Scope 2 kg CO2-e]" caption="Scope 2 kg CO2-e" attribute="1" defaultMemberUniqueName="[NET_Genset_Grounds].[Scope 2 kg CO2-e].[All]" allUniqueName="[NET_Genset_Grounds].[Scope 2 kg CO2-e].[All]" dimensionUniqueName="[NET_Genset_Grounds]" displayFolder="" count="0" memberValueDatatype="20" unbalanced="0"/>
    <cacheHierarchy uniqueName="[NET_Genset_Grounds].[Scope 3 kg CO2-e]" caption="Scope 3 kg CO2-e" attribute="1" defaultMemberUniqueName="[NET_Genset_Grounds].[Scope 3 kg CO2-e].[All]" allUniqueName="[NET_Genset_Grounds].[Scope 3 kg CO2-e].[All]" dimensionUniqueName="[NET_Genset_Grounds]" displayFolder="" count="0" memberValueDatatype="20" unbalanced="0"/>
    <cacheHierarchy uniqueName="[NET_Genset_Grounds].[Total Emissions]" caption="Total Emissions" attribute="1" defaultMemberUniqueName="[NET_Genset_Grounds].[Total Emissions].[All]" allUniqueName="[NET_Genset_Grounds].[Total Emissions].[All]" dimensionUniqueName="[NET_Genset_Grounds]" displayFolder="" count="0" memberValueDatatype="20" unbalanced="0"/>
    <cacheHierarchy uniqueName="[NON_Genset].[Reporting Alias]" caption="Reporting Alias" attribute="1" defaultMemberUniqueName="[NON_Genset].[Reporting Alias].[All]" allUniqueName="[NON_Genset].[Reporting Alias].[All]" dimensionUniqueName="[NON_Genset]" displayFolder="" count="0" memberValueDatatype="130" unbalanced="0"/>
    <cacheHierarchy uniqueName="[NON_Genset].[Source Name]" caption="Source Name" attribute="1" defaultMemberUniqueName="[NON_Genset].[Source Name].[All]" allUniqueName="[NON_Genset].[Source Name].[All]" dimensionUniqueName="[NON_Genset]" displayFolder="" count="0" memberValueDatatype="130" unbalanced="0"/>
    <cacheHierarchy uniqueName="[NON_Genset].[Activity Type]" caption="Activity Type" attribute="1" defaultMemberUniqueName="[NON_Genset].[Activity Type].[All]" allUniqueName="[NON_Genset].[Activity Type].[All]" dimensionUniqueName="[NON_Genset]" displayFolder="" count="0" memberValueDatatype="130" unbalanced="0"/>
    <cacheHierarchy uniqueName="[NON_Genset].[Activity Type Context]" caption="Activity Type Context" attribute="1" defaultMemberUniqueName="[NON_Genset].[Activity Type Context].[All]" allUniqueName="[NON_Genset].[Activity Type Context].[All]" dimensionUniqueName="[NON_Genset]" displayFolder="" count="0" memberValueDatatype="130" unbalanced="0"/>
    <cacheHierarchy uniqueName="[NON_Genset].[Entity]" caption="Entity" attribute="1" defaultMemberUniqueName="[NON_Genset].[Entity].[All]" allUniqueName="[NON_Genset].[Entity].[All]" dimensionUniqueName="[NON_Genset]" displayFolder="" count="0" memberValueDatatype="130" unbalanced="0"/>
    <cacheHierarchy uniqueName="[NON_Genset].[Fuel]" caption="Fuel" attribute="1" defaultMemberUniqueName="[NON_Genset].[Fuel].[All]" allUniqueName="[NON_Genset].[Fuel].[All]" dimensionUniqueName="[NON_Genset]" displayFolder="" count="0" memberValueDatatype="130" unbalanced="0"/>
    <cacheHierarchy uniqueName="[NON_Genset].[State]" caption="State" attribute="1" defaultMemberUniqueName="[NON_Genset].[State].[All]" allUniqueName="[NON_Genset].[State].[All]" dimensionUniqueName="[NON_Genset]" displayFolder="" count="0" memberValueDatatype="130" unbalanced="0"/>
    <cacheHierarchy uniqueName="[NON_Genset].[Consumption Quantity (L)]" caption="Consumption Quantity (L)" attribute="1" defaultMemberUniqueName="[NON_Genset].[Consumption Quantity (L)].[All]" allUniqueName="[NON_Genset].[Consumption Quantity (L)].[All]" dimensionUniqueName="[NON_Genset]" displayFolder="" count="0" memberValueDatatype="5" unbalanced="0"/>
    <cacheHierarchy uniqueName="[NON_Genset].[Production  Units]" caption="Production  Units" attribute="1" defaultMemberUniqueName="[NON_Genset].[Production  Units].[All]" allUniqueName="[NON_Genset].[Production  Units].[All]" dimensionUniqueName="[NON_Genset]" displayFolder="" count="0" memberValueDatatype="130" unbalanced="0"/>
    <cacheHierarchy uniqueName="[NON_Genset].[Consumption Quantity]" caption="Consumption Quantity" attribute="1" defaultMemberUniqueName="[NON_Genset].[Consumption Quantity].[All]" allUniqueName="[NON_Genset].[Consumption Quantity].[All]" dimensionUniqueName="[NON_Genset]" displayFolder="" count="0" memberValueDatatype="5" unbalanced="0"/>
    <cacheHierarchy uniqueName="[NON_Genset].[Total GJ]" caption="Total GJ" attribute="1" defaultMemberUniqueName="[NON_Genset].[Total GJ].[All]" allUniqueName="[NON_Genset].[Total GJ].[All]" dimensionUniqueName="[NON_Genset]" displayFolder="" count="0" memberValueDatatype="5" unbalanced="0"/>
    <cacheHierarchy uniqueName="[NON_Genset].[Scope 1 kg CO2-e]" caption="Scope 1 kg CO2-e" attribute="1" defaultMemberUniqueName="[NON_Genset].[Scope 1 kg CO2-e].[All]" allUniqueName="[NON_Genset].[Scope 1 kg CO2-e].[All]" dimensionUniqueName="[NON_Genset]" displayFolder="" count="0" memberValueDatatype="5" unbalanced="0"/>
    <cacheHierarchy uniqueName="[NON_Genset].[Scope 2 kg CO2-e]" caption="Scope 2 kg CO2-e" attribute="1" defaultMemberUniqueName="[NON_Genset].[Scope 2 kg CO2-e].[All]" allUniqueName="[NON_Genset].[Scope 2 kg CO2-e].[All]" dimensionUniqueName="[NON_Genset]" displayFolder="" count="0" memberValueDatatype="5" unbalanced="0"/>
    <cacheHierarchy uniqueName="[NON_Genset].[Scope 3 kg CO2-e]" caption="Scope 3 kg CO2-e" attribute="1" defaultMemberUniqueName="[NON_Genset].[Scope 3 kg CO2-e].[All]" allUniqueName="[NON_Genset].[Scope 3 kg CO2-e].[All]" dimensionUniqueName="[NON_Genset]" displayFolder="" count="0" memberValueDatatype="5" unbalanced="0"/>
    <cacheHierarchy uniqueName="[NON_Genset].[Total Emissions]" caption="Total Emissions" attribute="1" defaultMemberUniqueName="[NON_Genset].[Total Emissions].[All]" allUniqueName="[NON_Genset].[Total Emissions].[All]" dimensionUniqueName="[NON_Genset]" displayFolder="" count="0" memberValueDatatype="5" unbalanced="0"/>
    <cacheHierarchy uniqueName="[Paper_CSR].[Reporting Alias]" caption="Reporting Alias" attribute="1" defaultMemberUniqueName="[Paper_CSR].[Reporting Alias].[All]" allUniqueName="[Paper_CSR].[Reporting Alias].[All]" dimensionUniqueName="[Paper_CSR]" displayFolder="" count="0" memberValueDatatype="130" unbalanced="0"/>
    <cacheHierarchy uniqueName="[Paper_CSR].[t]" caption="t" attribute="1" defaultMemberUniqueName="[Paper_CSR].[t].[All]" allUniqueName="[Paper_CSR].[t].[All]" dimensionUniqueName="[Paper_CSR]" displayFolder="" count="0" memberValueDatatype="5" unbalanced="0"/>
    <cacheHierarchy uniqueName="[Percentage_Estimates].[Entity]" caption="Entity" attribute="1" defaultMemberUniqueName="[Percentage_Estimates].[Entity].[All]" allUniqueName="[Percentage_Estimates].[Entity].[All]" dimensionUniqueName="[Percentage_Estimates]" displayFolder="" count="0" memberValueDatatype="130" unbalanced="0"/>
    <cacheHierarchy uniqueName="[Percentage_Estimates].[Site Address]" caption="Site Address" attribute="1" defaultMemberUniqueName="[Percentage_Estimates].[Site Address].[All]" allUniqueName="[Percentage_Estimates].[Site Address].[All]" dimensionUniqueName="[Percentage_Estimates]" displayFolder="" count="0" memberValueDatatype="130" unbalanced="0"/>
    <cacheHierarchy uniqueName="[Percentage_Estimates].[Site name/Vehicle name]" caption="Site name/Vehicle name" attribute="1" defaultMemberUniqueName="[Percentage_Estimates].[Site name/Vehicle name].[All]" allUniqueName="[Percentage_Estimates].[Site name/Vehicle name].[All]" dimensionUniqueName="[Percentage_Estimates]" displayFolder="" count="0" memberValueDatatype="130" unbalanced="0"/>
    <cacheHierarchy uniqueName="[Percentage_Estimates].[State]" caption="State" attribute="1" defaultMemberUniqueName="[Percentage_Estimates].[State].[All]" allUniqueName="[Percentage_Estimates].[State].[All]" dimensionUniqueName="[Percentage_Estimates]" displayFolder="" count="0" memberValueDatatype="130" unbalanced="0"/>
    <cacheHierarchy uniqueName="[Percentage_Estimates].[Fuel/ Utility Type]" caption="Fuel/ Utility Type" attribute="1" defaultMemberUniqueName="[Percentage_Estimates].[Fuel/ Utility Type].[All]" allUniqueName="[Percentage_Estimates].[Fuel/ Utility Type].[All]" dimensionUniqueName="[Percentage_Estimates]" displayFolder="" count="0" memberValueDatatype="130" unbalanced="0"/>
    <cacheHierarchy uniqueName="[Percentage_Estimates].[Procedure to Capture data]" caption="Procedure to Capture data" attribute="1" defaultMemberUniqueName="[Percentage_Estimates].[Procedure to Capture data].[All]" allUniqueName="[Percentage_Estimates].[Procedure to Capture data].[All]" dimensionUniqueName="[Percentage_Estimates]" displayFolder="" count="0" memberValueDatatype="130" unbalanced="0"/>
    <cacheHierarchy uniqueName="[Percentage_Estimates].[Estimation Method (if relevant)]" caption="Estimation Method (if relevant)" attribute="1" defaultMemberUniqueName="[Percentage_Estimates].[Estimation Method (if relevant)].[All]" allUniqueName="[Percentage_Estimates].[Estimation Method (if relevant)].[All]" dimensionUniqueName="[Percentage_Estimates]" displayFolder="" count="0" memberValueDatatype="130" unbalanced="0"/>
    <cacheHierarchy uniqueName="[Percentage_Estimates].[Quantity]" caption="Quantity" attribute="1" defaultMemberUniqueName="[Percentage_Estimates].[Quantity].[All]" allUniqueName="[Percentage_Estimates].[Quantity].[All]" dimensionUniqueName="[Percentage_Estimates]" displayFolder="" count="0" memberValueDatatype="5" unbalanced="0"/>
    <cacheHierarchy uniqueName="[Percentage_Estimates].[Apportioned Quantity]" caption="Apportioned Quantity" attribute="1" defaultMemberUniqueName="[Percentage_Estimates].[Apportioned Quantity].[All]" allUniqueName="[Percentage_Estimates].[Apportioned Quantity].[All]" dimensionUniqueName="[Percentage_Estimates]" displayFolder="" count="0" memberValueDatatype="5" unbalanced="0"/>
    <cacheHierarchy uniqueName="[Percentage_Estimates].[Consumption Quantity]" caption="Consumption Quantity" attribute="1" defaultMemberUniqueName="[Percentage_Estimates].[Consumption Quantity].[All]" allUniqueName="[Percentage_Estimates].[Consumption Quantity].[All]" dimensionUniqueName="[Percentage_Estimates]" displayFolder="" count="0" memberValueDatatype="5" unbalanced="0"/>
    <cacheHierarchy uniqueName="[Percentage_Estimates].[Unit of measure]" caption="Unit of measure" attribute="1" defaultMemberUniqueName="[Percentage_Estimates].[Unit of measure].[All]" allUniqueName="[Percentage_Estimates].[Unit of measure].[All]" dimensionUniqueName="[Percentage_Estimates]" displayFolder="" count="0" memberValueDatatype="130" unbalanced="0"/>
    <cacheHierarchy uniqueName="[Percentage_Estimates].[Use of fuel]" caption="Use of fuel" attribute="1" defaultMemberUniqueName="[Percentage_Estimates].[Use of fuel].[All]" allUniqueName="[Percentage_Estimates].[Use of fuel].[All]" dimensionUniqueName="[Percentage_Estimates]" displayFolder="" count="0" memberValueDatatype="130" unbalanced="0"/>
    <cacheHierarchy uniqueName="[Percentage_Estimates].[Period Start]" caption="Period Start" attribute="1" defaultMemberUniqueName="[Percentage_Estimates].[Period Start].[All]" allUniqueName="[Percentage_Estimates].[Period Start].[All]" dimensionUniqueName="[Percentage_Estimates]" displayFolder="" count="0" memberValueDatatype="20" unbalanced="0"/>
    <cacheHierarchy uniqueName="[Percentage_Estimates].[Period End]" caption="Period End" attribute="1" defaultMemberUniqueName="[Percentage_Estimates].[Period End].[All]" allUniqueName="[Percentage_Estimates].[Period End].[All]" dimensionUniqueName="[Percentage_Estimates]" displayFolder="" count="0" memberValueDatatype="20" unbalanced="0"/>
    <cacheHierarchy uniqueName="[Percentage_Estimates].[Days]" caption="Days" attribute="1" defaultMemberUniqueName="[Percentage_Estimates].[Days].[All]" allUniqueName="[Percentage_Estimates].[Days].[All]" dimensionUniqueName="[Percentage_Estimates]" displayFolder="" count="0" memberValueDatatype="20" unbalanced="0"/>
    <cacheHierarchy uniqueName="[Percentage_Estimates].[Generator Make&gt;model]" caption="Generator Make&gt;model" attribute="1" defaultMemberUniqueName="[Percentage_Estimates].[Generator Make&gt;model].[All]" allUniqueName="[Percentage_Estimates].[Generator Make&gt;model].[All]" dimensionUniqueName="[Percentage_Estimates]" displayFolder="" count="0" memberValueDatatype="130" unbalanced="0"/>
    <cacheHierarchy uniqueName="[Percentage_Estimates].[Estimated run time (hours)]" caption="Estimated run time (hours)" attribute="1" defaultMemberUniqueName="[Percentage_Estimates].[Estimated run time (hours)].[All]" allUniqueName="[Percentage_Estimates].[Estimated run time (hours)].[All]" dimensionUniqueName="[Percentage_Estimates]" displayFolder="" count="0" memberValueDatatype="130" unbalanced="0"/>
    <cacheHierarchy uniqueName="[Percentage_Estimates].[Installed Capacity]" caption="Installed Capacity" attribute="1" defaultMemberUniqueName="[Percentage_Estimates].[Installed Capacity].[All]" allUniqueName="[Percentage_Estimates].[Installed Capacity].[All]" dimensionUniqueName="[Percentage_Estimates]" displayFolder="" count="0" memberValueDatatype="130" unbalanced="0"/>
    <cacheHierarchy uniqueName="[Percentage_Estimates].[Derated Capacity]" caption="Derated Capacity" attribute="1" defaultMemberUniqueName="[Percentage_Estimates].[Derated Capacity].[All]" allUniqueName="[Percentage_Estimates].[Derated Capacity].[All]" dimensionUniqueName="[Percentage_Estimates]" displayFolder="" count="0" memberValueDatatype="130" unbalanced="0"/>
    <cacheHierarchy uniqueName="[Percentage_Estimates].[Generator Units]" caption="Generator Units" attribute="1" defaultMemberUniqueName="[Percentage_Estimates].[Generator Units].[All]" allUniqueName="[Percentage_Estimates].[Generator Units].[All]" dimensionUniqueName="[Percentage_Estimates]" displayFolder="" count="0" memberValueDatatype="130" unbalanced="0"/>
    <cacheHierarchy uniqueName="[Percentage_Estimates].[Reporting Alias]" caption="Reporting Alias" attribute="1" defaultMemberUniqueName="[Percentage_Estimates].[Reporting Alias].[All]" allUniqueName="[Percentage_Estimates].[Reporting Alias].[All]" dimensionUniqueName="[Percentage_Estimates]" displayFolder="" count="0" memberValueDatatype="130" unbalanced="0"/>
    <cacheHierarchy uniqueName="[Percentage_Estimates].[Total GJ]" caption="Total GJ" attribute="1" defaultMemberUniqueName="[Percentage_Estimates].[Total GJ].[All]" allUniqueName="[Percentage_Estimates].[Total GJ].[All]" dimensionUniqueName="[Percentage_Estimates]" displayFolder="" count="0" memberValueDatatype="5" unbalanced="0"/>
    <cacheHierarchy uniqueName="[Percentage_Estimates].[Scope 1 kg CO2-e]" caption="Scope 1 kg CO2-e" attribute="1" defaultMemberUniqueName="[Percentage_Estimates].[Scope 1 kg CO2-e].[All]" allUniqueName="[Percentage_Estimates].[Scope 1 kg CO2-e].[All]" dimensionUniqueName="[Percentage_Estimates]" displayFolder="" count="0" memberValueDatatype="5" unbalanced="0"/>
    <cacheHierarchy uniqueName="[Percentage_Estimates].[Scope 2 kg CO2-e]" caption="Scope 2 kg CO2-e" attribute="1" defaultMemberUniqueName="[Percentage_Estimates].[Scope 2 kg CO2-e].[All]" allUniqueName="[Percentage_Estimates].[Scope 2 kg CO2-e].[All]" dimensionUniqueName="[Percentage_Estimates]" displayFolder="" count="0" memberValueDatatype="5" unbalanced="0"/>
    <cacheHierarchy uniqueName="[Percentage_Estimates].[Scope 3 kg CO2-e]" caption="Scope 3 kg CO2-e" attribute="1" defaultMemberUniqueName="[Percentage_Estimates].[Scope 3 kg CO2-e].[All]" allUniqueName="[Percentage_Estimates].[Scope 3 kg CO2-e].[All]" dimensionUniqueName="[Percentage_Estimates]" displayFolder="" count="0" memberValueDatatype="5" unbalanced="0"/>
    <cacheHierarchy uniqueName="[Percentage_Estimates].[Total Emissions]" caption="Total Emissions" attribute="1" defaultMemberUniqueName="[Percentage_Estimates].[Total Emissions].[All]" allUniqueName="[Percentage_Estimates].[Total Emissions].[All]" dimensionUniqueName="[Percentage_Estimates]" displayFolder="" count="0" memberValueDatatype="5" unbalanced="0"/>
    <cacheHierarchy uniqueName="[Pitwater].[Reporting alias]" caption="Reporting alias" attribute="1" defaultMemberUniqueName="[Pitwater].[Reporting alias].[All]" allUniqueName="[Pitwater].[Reporting alias].[All]" dimensionUniqueName="[Pitwater]" displayFolder="" count="0" memberValueDatatype="130" unbalanced="0"/>
    <cacheHierarchy uniqueName="[Pitwater].[State]" caption="State" attribute="1" defaultMemberUniqueName="[Pitwater].[State].[All]" allUniqueName="[Pitwater].[State].[All]" dimensionUniqueName="[Pitwater]" displayFolder="" count="0" memberValueDatatype="130" unbalanced="0"/>
    <cacheHierarchy uniqueName="[Pitwater].[kL]" caption="kL" attribute="1" defaultMemberUniqueName="[Pitwater].[kL].[All]" allUniqueName="[Pitwater].[kL].[All]" dimensionUniqueName="[Pitwater]" displayFolder="" count="0" memberValueDatatype="5" unbalanced="0"/>
    <cacheHierarchy uniqueName="[Pitwater].[Total GJ]" caption="Total GJ" attribute="1" defaultMemberUniqueName="[Pitwater].[Total GJ].[All]" allUniqueName="[Pitwater].[Total GJ].[All]" dimensionUniqueName="[Pitwater]" displayFolder="" count="0" memberValueDatatype="5" unbalanced="0"/>
    <cacheHierarchy uniqueName="[Pitwater].[Consumption Quantity]" caption="Consumption Quantity" attribute="1" defaultMemberUniqueName="[Pitwater].[Consumption Quantity].[All]" allUniqueName="[Pitwater].[Consumption Quantity].[All]" dimensionUniqueName="[Pitwater]" displayFolder="" count="0" memberValueDatatype="5" unbalanced="0"/>
    <cacheHierarchy uniqueName="[Pitwater].[Scope 1 kg CO2-e]" caption="Scope 1 kg CO2-e" attribute="1" defaultMemberUniqueName="[Pitwater].[Scope 1 kg CO2-e].[All]" allUniqueName="[Pitwater].[Scope 1 kg CO2-e].[All]" dimensionUniqueName="[Pitwater]" displayFolder="" count="0" memberValueDatatype="5" unbalanced="0"/>
    <cacheHierarchy uniqueName="[Pitwater].[Scope 2 kg CO2-e]" caption="Scope 2 kg CO2-e" attribute="1" defaultMemberUniqueName="[Pitwater].[Scope 2 kg CO2-e].[All]" allUniqueName="[Pitwater].[Scope 2 kg CO2-e].[All]" dimensionUniqueName="[Pitwater]" displayFolder="" count="0" memberValueDatatype="5" unbalanced="0"/>
    <cacheHierarchy uniqueName="[Pitwater].[Scope 3 kg CO2-e]" caption="Scope 3 kg CO2-e" attribute="1" defaultMemberUniqueName="[Pitwater].[Scope 3 kg CO2-e].[All]" allUniqueName="[Pitwater].[Scope 3 kg CO2-e].[All]" dimensionUniqueName="[Pitwater]" displayFolder="" count="0" memberValueDatatype="5" unbalanced="0"/>
    <cacheHierarchy uniqueName="[Pitwater].[Total Emissions]" caption="Total Emissions" attribute="1" defaultMemberUniqueName="[Pitwater].[Total Emissions].[All]" allUniqueName="[Pitwater].[Total Emissions].[All]" dimensionUniqueName="[Pitwater]" displayFolder="" count="0" memberValueDatatype="5" unbalanced="0"/>
    <cacheHierarchy uniqueName="[ReformFY20].[Reporting Alias]" caption="Reporting Alias" attribute="1" defaultMemberUniqueName="[ReformFY20].[Reporting Alias].[All]" allUniqueName="[ReformFY20].[Reporting Alias].[All]" dimensionUniqueName="[ReformFY20]" displayFolder="" count="0" memberValueDatatype="130" unbalanced="0"/>
    <cacheHierarchy uniqueName="[ReformFY20].[UoM]" caption="UoM" attribute="1" defaultMemberUniqueName="[ReformFY20].[UoM].[All]" allUniqueName="[ReformFY20].[UoM].[All]" dimensionUniqueName="[ReformFY20]" displayFolder="" count="0" memberValueDatatype="130" unbalanced="0"/>
    <cacheHierarchy uniqueName="[ReformFY20].[Primary Criterion]" caption="Primary Criterion" attribute="1" defaultMemberUniqueName="[ReformFY20].[Primary Criterion].[All]" allUniqueName="[ReformFY20].[Primary Criterion].[All]" dimensionUniqueName="[ReformFY20]" displayFolder="" count="0" memberValueDatatype="130" unbalanced="0"/>
    <cacheHierarchy uniqueName="[ReformFY20].[Consumption Quantity]" caption="Consumption Quantity" attribute="1" defaultMemberUniqueName="[ReformFY20].[Consumption Quantity].[All]" allUniqueName="[ReformFY20].[Consumption Quantity].[All]" dimensionUniqueName="[ReformFY20]" displayFolder="" count="0" memberValueDatatype="5" unbalanced="0"/>
    <cacheHierarchy uniqueName="[ReformFY20].[Total GJ]" caption="Total GJ" attribute="1" defaultMemberUniqueName="[ReformFY20].[Total GJ].[All]" allUniqueName="[ReformFY20].[Total GJ].[All]" dimensionUniqueName="[ReformFY20]" displayFolder="" count="0" memberValueDatatype="5" unbalanced="0"/>
    <cacheHierarchy uniqueName="[ReformFY20].[Scope 1 kg CO2-e]" caption="Scope 1 kg CO2-e" attribute="1" defaultMemberUniqueName="[ReformFY20].[Scope 1 kg CO2-e].[All]" allUniqueName="[ReformFY20].[Scope 1 kg CO2-e].[All]" dimensionUniqueName="[ReformFY20]" displayFolder="" count="0" memberValueDatatype="5" unbalanced="0"/>
    <cacheHierarchy uniqueName="[ReformFY20].[Scope 2 kg CO2-e]" caption="Scope 2 kg CO2-e" attribute="1" defaultMemberUniqueName="[ReformFY20].[Scope 2 kg CO2-e].[All]" allUniqueName="[ReformFY20].[Scope 2 kg CO2-e].[All]" dimensionUniqueName="[ReformFY20]" displayFolder="" count="0" memberValueDatatype="5" unbalanced="0"/>
    <cacheHierarchy uniqueName="[ReformFY20].[Scope 3 kg CO2-e]" caption="Scope 3 kg CO2-e" attribute="1" defaultMemberUniqueName="[ReformFY20].[Scope 3 kg CO2-e].[All]" allUniqueName="[ReformFY20].[Scope 3 kg CO2-e].[All]" dimensionUniqueName="[ReformFY20]" displayFolder="" count="0" memberValueDatatype="5" unbalanced="0"/>
    <cacheHierarchy uniqueName="[ReformFY20].[Total Emissions]" caption="Total Emissions" attribute="1" defaultMemberUniqueName="[ReformFY20].[Total Emissions].[All]" allUniqueName="[ReformFY20].[Total Emissions].[All]" dimensionUniqueName="[ReformFY20]" displayFolder="" count="0" memberValueDatatype="5" unbalanced="0"/>
    <cacheHierarchy uniqueName="[ReformFY20].[Category]" caption="Category" attribute="1" defaultMemberUniqueName="[ReformFY20].[Category].[All]" allUniqueName="[ReformFY20].[Category].[All]" dimensionUniqueName="[ReformFY20]" displayFolder="" count="0" memberValueDatatype="130" unbalanced="0"/>
    <cacheHierarchy uniqueName="[ReformFY20_].[Reporting Alias]" caption="Reporting Alias" attribute="1" defaultMemberUniqueName="[ReformFY20_].[Reporting Alias].[All]" allUniqueName="[ReformFY20_].[Reporting Alias].[All]" dimensionUniqueName="[ReformFY20_]" displayFolder="" count="0" memberValueDatatype="130" unbalanced="0"/>
    <cacheHierarchy uniqueName="[ReformFY20_].[UoM]" caption="UoM" attribute="1" defaultMemberUniqueName="[ReformFY20_].[UoM].[All]" allUniqueName="[ReformFY20_].[UoM].[All]" dimensionUniqueName="[ReformFY20_]" displayFolder="" count="0" memberValueDatatype="130" unbalanced="0"/>
    <cacheHierarchy uniqueName="[ReformFY20_].[Primary Criterion]" caption="Primary Criterion" attribute="1" defaultMemberUniqueName="[ReformFY20_].[Primary Criterion].[All]" allUniqueName="[ReformFY20_].[Primary Criterion].[All]" dimensionUniqueName="[ReformFY20_]" displayFolder="" count="0" memberValueDatatype="130" unbalanced="0"/>
    <cacheHierarchy uniqueName="[ReformFY20_].[Consumption Quantity]" caption="Consumption Quantity" attribute="1" defaultMemberUniqueName="[ReformFY20_].[Consumption Quantity].[All]" allUniqueName="[ReformFY20_].[Consumption Quantity].[All]" dimensionUniqueName="[ReformFY20_]" displayFolder="" count="0" memberValueDatatype="5" unbalanced="0"/>
    <cacheHierarchy uniqueName="[ReformFY20_].[Total GJ]" caption="Total GJ" attribute="1" defaultMemberUniqueName="[ReformFY20_].[Total GJ].[All]" allUniqueName="[ReformFY20_].[Total GJ].[All]" dimensionUniqueName="[ReformFY20_]" displayFolder="" count="0" memberValueDatatype="5" unbalanced="0"/>
    <cacheHierarchy uniqueName="[ReformFY20_].[Scope 1 kg CO2-e]" caption="Scope 1 kg CO2-e" attribute="1" defaultMemberUniqueName="[ReformFY20_].[Scope 1 kg CO2-e].[All]" allUniqueName="[ReformFY20_].[Scope 1 kg CO2-e].[All]" dimensionUniqueName="[ReformFY20_]" displayFolder="" count="0" memberValueDatatype="5" unbalanced="0"/>
    <cacheHierarchy uniqueName="[ReformFY20_].[Scope 2 kg CO2-e]" caption="Scope 2 kg CO2-e" attribute="1" defaultMemberUniqueName="[ReformFY20_].[Scope 2 kg CO2-e].[All]" allUniqueName="[ReformFY20_].[Scope 2 kg CO2-e].[All]" dimensionUniqueName="[ReformFY20_]" displayFolder="" count="0" memberValueDatatype="5" unbalanced="0"/>
    <cacheHierarchy uniqueName="[ReformFY20_].[Scope 3 kg CO2-e]" caption="Scope 3 kg CO2-e" attribute="1" defaultMemberUniqueName="[ReformFY20_].[Scope 3 kg CO2-e].[All]" allUniqueName="[ReformFY20_].[Scope 3 kg CO2-e].[All]" dimensionUniqueName="[ReformFY20_]" displayFolder="" count="0" memberValueDatatype="5" unbalanced="0"/>
    <cacheHierarchy uniqueName="[ReformFY20_].[Total Emissions]" caption="Total Emissions" attribute="1" defaultMemberUniqueName="[ReformFY20_].[Total Emissions].[All]" allUniqueName="[ReformFY20_].[Total Emissions].[All]" dimensionUniqueName="[ReformFY20_]" displayFolder="" count="0" memberValueDatatype="5" unbalanced="0"/>
    <cacheHierarchy uniqueName="[ReformFY20_].[Category]" caption="Category" attribute="1" defaultMemberUniqueName="[ReformFY20_].[Category].[All]" allUniqueName="[ReformFY20_].[Category].[All]" dimensionUniqueName="[ReformFY20_]" displayFolder="" count="0" memberValueDatatype="130" unbalanced="0"/>
    <cacheHierarchy uniqueName="[ReformFY20_].[Column1]" caption="Column1" attribute="1" defaultMemberUniqueName="[ReformFY20_].[Column1].[All]" allUniqueName="[ReformFY20_].[Column1].[All]" dimensionUniqueName="[ReformFY20_]" displayFolder="" count="0" memberValueDatatype="130" unbalanced="0"/>
    <cacheHierarchy uniqueName="[Savings_Data].[Reporting Alias]" caption="Reporting Alias" attribute="1" defaultMemberUniqueName="[Savings_Data].[Reporting Alias].[All]" allUniqueName="[Savings_Data].[Reporting Alias].[All]" dimensionUniqueName="[Savings_Data]" displayFolder="" count="0" memberValueDatatype="130" unbalanced="0"/>
    <cacheHierarchy uniqueName="[Savings_Data].[Program]" caption="Program" attribute="1" defaultMemberUniqueName="[Savings_Data].[Program].[All]" allUniqueName="[Savings_Data].[Program].[All]" dimensionUniqueName="[Savings_Data]" displayFolder="" count="0" memberValueDatatype="130" unbalanced="0"/>
    <cacheHierarchy uniqueName="[Savings_Data].[Release /Bulk]" caption="Release /Bulk" attribute="1" defaultMemberUniqueName="[Savings_Data].[Release /Bulk].[All]" allUniqueName="[Savings_Data].[Release /Bulk].[All]" dimensionUniqueName="[Savings_Data]" displayFolder="" count="0" memberValueDatatype="130" unbalanced="0"/>
    <cacheHierarchy uniqueName="[Savings_Data].[OID]" caption="OID" attribute="1" defaultMemberUniqueName="[Savings_Data].[OID].[All]" allUniqueName="[Savings_Data].[OID].[All]" dimensionUniqueName="[Savings_Data]" displayFolder="" count="0" memberValueDatatype="130" unbalanced="0"/>
    <cacheHierarchy uniqueName="[Savings_Data].[State]" caption="State" attribute="1" defaultMemberUniqueName="[Savings_Data].[State].[All]" allUniqueName="[Savings_Data].[State].[All]" dimensionUniqueName="[Savings_Data]" displayFolder="" count="0" memberValueDatatype="130" unbalanced="0"/>
    <cacheHierarchy uniqueName="[Savings_Data].[Site Name]" caption="Site Name" attribute="1" defaultMemberUniqueName="[Savings_Data].[Site Name].[All]" allUniqueName="[Savings_Data].[Site Name].[All]" dimensionUniqueName="[Savings_Data]" displayFolder="" count="0" memberValueDatatype="130" unbalanced="0"/>
    <cacheHierarchy uniqueName="[Savings_Data].[Address ID]" caption="Address ID" attribute="1" defaultMemberUniqueName="[Savings_Data].[Address ID].[All]" allUniqueName="[Savings_Data].[Address ID].[All]" dimensionUniqueName="[Savings_Data]" displayFolder="" count="0" memberValueDatatype="130" unbalanced="0"/>
    <cacheHierarchy uniqueName="[Savings_Data].[Description of Actions]" caption="Description of Actions" attribute="1" defaultMemberUniqueName="[Savings_Data].[Description of Actions].[All]" allUniqueName="[Savings_Data].[Description of Actions].[All]" dimensionUniqueName="[Savings_Data]" displayFolder="" count="0" memberValueDatatype="130" unbalanced="0"/>
    <cacheHierarchy uniqueName="[Savings_Data].[Report category]" caption="Report category" attribute="1" defaultMemberUniqueName="[Savings_Data].[Report category].[All]" allUniqueName="[Savings_Data].[Report category].[All]" dimensionUniqueName="[Savings_Data]" displayFolder="" count="0" memberValueDatatype="130" unbalanced="0"/>
    <cacheHierarchy uniqueName="[Savings_Data].[CDP category]" caption="CDP category" attribute="1" defaultMemberUniqueName="[Savings_Data].[CDP category].[All]" allUniqueName="[Savings_Data].[CDP category].[All]" dimensionUniqueName="[Savings_Data]" displayFolder="" count="0" memberValueDatatype="130" unbalanced="0"/>
    <cacheHierarchy uniqueName="[Savings_Data].[Actual Completion Date]" caption="Actual Completion Date" attribute="1" time="1" defaultMemberUniqueName="[Savings_Data].[Actual Completion Date].[All]" allUniqueName="[Savings_Data].[Actual Completion Date].[All]" dimensionUniqueName="[Savings_Data]" displayFolder="" count="0" memberValueDatatype="7" unbalanced="0"/>
    <cacheHierarchy uniqueName="[Savings_Data].[Annual Energy Savings (KWh)]" caption="Annual Energy Savings (KWh)" attribute="1" defaultMemberUniqueName="[Savings_Data].[Annual Energy Savings (KWh)].[All]" allUniqueName="[Savings_Data].[Annual Energy Savings (KWh)].[All]" dimensionUniqueName="[Savings_Data]" displayFolder="" count="0" memberValueDatatype="5" unbalanced="0"/>
    <cacheHierarchy uniqueName="[Savings_Data].[Scope 2 kg CO2-e]" caption="Scope 2 kg CO2-e" attribute="1" defaultMemberUniqueName="[Savings_Data].[Scope 2 kg CO2-e].[All]" allUniqueName="[Savings_Data].[Scope 2 kg CO2-e].[All]" dimensionUniqueName="[Savings_Data]" displayFolder="" count="0" memberValueDatatype="5" unbalanced="0"/>
    <cacheHierarchy uniqueName="[Savings_Data].[Scope 3 kg CO2-e]" caption="Scope 3 kg CO2-e" attribute="1" defaultMemberUniqueName="[Savings_Data].[Scope 3 kg CO2-e].[All]" allUniqueName="[Savings_Data].[Scope 3 kg CO2-e].[All]" dimensionUniqueName="[Savings_Data]" displayFolder="" count="0" memberValueDatatype="5" unbalanced="0"/>
    <cacheHierarchy uniqueName="[Savings_Data].[Total Tonnes]" caption="Total Tonnes" attribute="1" defaultMemberUniqueName="[Savings_Data].[Total Tonnes].[All]" allUniqueName="[Savings_Data].[Total Tonnes].[All]" dimensionUniqueName="[Savings_Data]" displayFolder="" count="0" memberValueDatatype="5" unbalanced="0"/>
    <cacheHierarchy uniqueName="[Savings_Data].[Total GJ]" caption="Total GJ" attribute="1" defaultMemberUniqueName="[Savings_Data].[Total GJ].[All]" allUniqueName="[Savings_Data].[Total GJ].[All]" dimensionUniqueName="[Savings_Data]" displayFolder="" count="0" memberValueDatatype="5" unbalanced="0"/>
    <cacheHierarchy uniqueName="[SE_Gas].[Reporting Alias]" caption="Reporting Alias" attribute="1" defaultMemberUniqueName="[SE_Gas].[Reporting Alias].[All]" allUniqueName="[SE_Gas].[Reporting Alias].[All]" dimensionUniqueName="[SE_Gas]" displayFolder="" count="0" memberValueDatatype="130" unbalanced="0"/>
    <cacheHierarchy uniqueName="[SE_Gas].[State]" caption="State" attribute="1" defaultMemberUniqueName="[SE_Gas].[State].[All]" allUniqueName="[SE_Gas].[State].[All]" dimensionUniqueName="[SE_Gas]" displayFolder="" count="0" memberValueDatatype="130" unbalanced="0"/>
    <cacheHierarchy uniqueName="[SE_Gas].[Consumption Quanity]" caption="Consumption Quanity" attribute="1" defaultMemberUniqueName="[SE_Gas].[Consumption Quanity].[All]" allUniqueName="[SE_Gas].[Consumption Quanity].[All]" dimensionUniqueName="[SE_Gas]" displayFolder="" count="0" memberValueDatatype="5" unbalanced="0"/>
    <cacheHierarchy uniqueName="[SE_Gas].[Scope 1 kg CO2-e]" caption="Scope 1 kg CO2-e" attribute="1" defaultMemberUniqueName="[SE_Gas].[Scope 1 kg CO2-e].[All]" allUniqueName="[SE_Gas].[Scope 1 kg CO2-e].[All]" dimensionUniqueName="[SE_Gas]" displayFolder="" count="0" memberValueDatatype="5" unbalanced="0"/>
    <cacheHierarchy uniqueName="[SE_Gas].[Scope 2 kg CO2-e]" caption="Scope 2 kg CO2-e" attribute="1" defaultMemberUniqueName="[SE_Gas].[Scope 2 kg CO2-e].[All]" allUniqueName="[SE_Gas].[Scope 2 kg CO2-e].[All]" dimensionUniqueName="[SE_Gas]" displayFolder="" count="0" memberValueDatatype="5" unbalanced="0"/>
    <cacheHierarchy uniqueName="[SE_Gas].[Scope 3 kg CO2-e]" caption="Scope 3 kg CO2-e" attribute="1" defaultMemberUniqueName="[SE_Gas].[Scope 3 kg CO2-e].[All]" allUniqueName="[SE_Gas].[Scope 3 kg CO2-e].[All]" dimensionUniqueName="[SE_Gas]" displayFolder="" count="0" memberValueDatatype="5" unbalanced="0"/>
    <cacheHierarchy uniqueName="[SE_Gas].[Total GJ]" caption="Total GJ" attribute="1" defaultMemberUniqueName="[SE_Gas].[Total GJ].[All]" allUniqueName="[SE_Gas].[Total GJ].[All]" dimensionUniqueName="[SE_Gas]" displayFolder="" count="0" memberValueDatatype="5" unbalanced="0"/>
    <cacheHierarchy uniqueName="[SE_Gas].[Total Emissions]" caption="Total Emissions" attribute="1" defaultMemberUniqueName="[SE_Gas].[Total Emissions].[All]" allUniqueName="[SE_Gas].[Total Emissions].[All]" dimensionUniqueName="[SE_Gas]" displayFolder="" count="0" memberValueDatatype="5" unbalanced="0"/>
    <cacheHierarchy uniqueName="[Solar].[Source Name]" caption="Source Name" attribute="1" defaultMemberUniqueName="[Solar].[Source Name].[All]" allUniqueName="[Solar].[Source Name].[All]" dimensionUniqueName="[Solar]" displayFolder="" count="0" memberValueDatatype="130" unbalanced="0"/>
    <cacheHierarchy uniqueName="[Solar].[Reporting Alias]" caption="Reporting Alias" attribute="1" defaultMemberUniqueName="[Solar].[Reporting Alias].[All]" allUniqueName="[Solar].[Reporting Alias].[All]" dimensionUniqueName="[Solar]" displayFolder="" count="0" memberValueDatatype="130" unbalanced="0"/>
    <cacheHierarchy uniqueName="[Solar].[Activity Type]" caption="Activity Type" attribute="1" defaultMemberUniqueName="[Solar].[Activity Type].[All]" allUniqueName="[Solar].[Activity Type].[All]" dimensionUniqueName="[Solar]" displayFolder="" count="0" memberValueDatatype="130" unbalanced="0"/>
    <cacheHierarchy uniqueName="[Solar].[Activity Type Context]" caption="Activity Type Context" attribute="1" defaultMemberUniqueName="[Solar].[Activity Type Context].[All]" allUniqueName="[Solar].[Activity Type Context].[All]" dimensionUniqueName="[Solar]" displayFolder="" count="0" memberValueDatatype="130" unbalanced="0"/>
    <cacheHierarchy uniqueName="[Solar].[Entity]" caption="Entity" attribute="1" defaultMemberUniqueName="[Solar].[Entity].[All]" allUniqueName="[Solar].[Entity].[All]" dimensionUniqueName="[Solar]" displayFolder="" count="0" memberValueDatatype="130" unbalanced="0"/>
    <cacheHierarchy uniqueName="[Solar].[State]" caption="State" attribute="1" defaultMemberUniqueName="[Solar].[State].[All]" allUniqueName="[Solar].[State].[All]" dimensionUniqueName="[Solar]" displayFolder="" count="0" memberValueDatatype="130" unbalanced="0"/>
    <cacheHierarchy uniqueName="[Solar].[Production Quantity]" caption="Production Quantity" attribute="1" defaultMemberUniqueName="[Solar].[Production Quantity].[All]" allUniqueName="[Solar].[Production Quantity].[All]" dimensionUniqueName="[Solar]" displayFolder="" count="0" memberValueDatatype="5" unbalanced="0"/>
    <cacheHierarchy uniqueName="[Solar].[Production Unit]" caption="Production Unit" attribute="1" defaultMemberUniqueName="[Solar].[Production Unit].[All]" allUniqueName="[Solar].[Production Unit].[All]" dimensionUniqueName="[Solar]" displayFolder="" count="0" memberValueDatatype="130" unbalanced="0"/>
    <cacheHierarchy uniqueName="[Solar].[Consumption Quantitiy]" caption="Consumption Quantitiy" attribute="1" defaultMemberUniqueName="[Solar].[Consumption Quantitiy].[All]" allUniqueName="[Solar].[Consumption Quantitiy].[All]" dimensionUniqueName="[Solar]" displayFolder="" count="0" memberValueDatatype="5" unbalanced="0"/>
    <cacheHierarchy uniqueName="[Solar].[Scope 1 kg CO2-e]" caption="Scope 1 kg CO2-e" attribute="1" defaultMemberUniqueName="[Solar].[Scope 1 kg CO2-e].[All]" allUniqueName="[Solar].[Scope 1 kg CO2-e].[All]" dimensionUniqueName="[Solar]" displayFolder="" count="0" memberValueDatatype="5" unbalanced="0"/>
    <cacheHierarchy uniqueName="[Solar].[Scope 2 kg CO2-e]" caption="Scope 2 kg CO2-e" attribute="1" defaultMemberUniqueName="[Solar].[Scope 2 kg CO2-e].[All]" allUniqueName="[Solar].[Scope 2 kg CO2-e].[All]" dimensionUniqueName="[Solar]" displayFolder="" count="0" memberValueDatatype="5" unbalanced="0"/>
    <cacheHierarchy uniqueName="[Solar].[Scope 3 kg CO2-e]" caption="Scope 3 kg CO2-e" attribute="1" defaultMemberUniqueName="[Solar].[Scope 3 kg CO2-e].[All]" allUniqueName="[Solar].[Scope 3 kg CO2-e].[All]" dimensionUniqueName="[Solar]" displayFolder="" count="0" memberValueDatatype="5" unbalanced="0"/>
    <cacheHierarchy uniqueName="[Solar].[Total GJ]" caption="Total GJ" attribute="1" defaultMemberUniqueName="[Solar].[Total GJ].[All]" allUniqueName="[Solar].[Total GJ].[All]" dimensionUniqueName="[Solar]" displayFolder="" count="0" memberValueDatatype="5" unbalanced="0"/>
    <cacheHierarchy uniqueName="[Solar].[Total Emissions]" caption="Total Emissions" attribute="1" defaultMemberUniqueName="[Solar].[Total Emissions].[All]" allUniqueName="[Solar].[Total Emissions].[All]" dimensionUniqueName="[Solar]" displayFolder="" count="0" memberValueDatatype="5" unbalanced="0"/>
    <cacheHierarchy uniqueName="[Solar].[Energy Conversion factor (GJ/kWh)]" caption="Energy Conversion factor (GJ/kWh)" attribute="1" defaultMemberUniqueName="[Solar].[Energy Conversion factor (GJ/kWh)].[All]" allUniqueName="[Solar].[Energy Conversion factor (GJ/kWh)].[All]" dimensionUniqueName="[Solar]" displayFolder="" count="0" memberValueDatatype="5" unbalanced="0"/>
    <cacheHierarchy uniqueName="[Solar].[Production GJ]" caption="Production GJ" attribute="1" defaultMemberUniqueName="[Solar].[Production GJ].[All]" allUniqueName="[Solar].[Production GJ].[All]" dimensionUniqueName="[Solar]" displayFolder="" count="0" memberValueDatatype="5" unbalanced="0"/>
    <cacheHierarchy uniqueName="[Solar].[Consumption Quantity]" caption="Consumption Quantity" attribute="1" defaultMemberUniqueName="[Solar].[Consumption Quantity].[All]" allUniqueName="[Solar].[Consumption Quantity].[All]" dimensionUniqueName="[Solar]" displayFolder="" count="0" memberValueDatatype="5" unbalanced="0"/>
    <cacheHierarchy uniqueName="[Solar].[Consumption Unit]" caption="Consumption Unit" attribute="1" defaultMemberUniqueName="[Solar].[Consumption Unit].[All]" allUniqueName="[Solar].[Consumption Unit].[All]" dimensionUniqueName="[Solar]" displayFolder="" count="0" memberValueDatatype="130" unbalanced="0"/>
    <cacheHierarchy uniqueName="[Summary].[Reporting Alias]" caption="Reporting Alias" attribute="1" defaultMemberUniqueName="[Summary].[Reporting Alias].[All]" allUniqueName="[Summary].[Reporting Alias].[All]" dimensionUniqueName="[Summary]" displayFolder="" count="0" memberValueDatatype="130" unbalanced="0"/>
    <cacheHierarchy uniqueName="[Summary].[UoM]" caption="UoM" attribute="1" defaultMemberUniqueName="[Summary].[UoM].[All]" allUniqueName="[Summary].[UoM].[All]" dimensionUniqueName="[Summary]" displayFolder="" count="0" memberValueDatatype="130" unbalanced="0"/>
    <cacheHierarchy uniqueName="[Summary].[Primary Criterion]" caption="Primary Criterion" attribute="1" defaultMemberUniqueName="[Summary].[Primary Criterion].[All]" allUniqueName="[Summary].[Primary Criterion].[All]" dimensionUniqueName="[Summary]" displayFolder="" count="0" memberValueDatatype="130" unbalanced="0"/>
    <cacheHierarchy uniqueName="[Summary].[Consumption Quantity]" caption="Consumption Quantity" attribute="1" defaultMemberUniqueName="[Summary].[Consumption Quantity].[All]" allUniqueName="[Summary].[Consumption Quantity].[All]" dimensionUniqueName="[Summary]" displayFolder="" count="0" memberValueDatatype="5" unbalanced="0"/>
    <cacheHierarchy uniqueName="[Summary].[Total GJ]" caption="Total GJ" attribute="1" defaultMemberUniqueName="[Summary].[Total GJ].[All]" allUniqueName="[Summary].[Total GJ].[All]" dimensionUniqueName="[Summary]" displayFolder="" count="0" memberValueDatatype="5" unbalanced="0"/>
    <cacheHierarchy uniqueName="[Summary].[Scope 1 kg CO2-e]" caption="Scope 1 kg CO2-e" attribute="1" defaultMemberUniqueName="[Summary].[Scope 1 kg CO2-e].[All]" allUniqueName="[Summary].[Scope 1 kg CO2-e].[All]" dimensionUniqueName="[Summary]" displayFolder="" count="0" memberValueDatatype="5" unbalanced="0"/>
    <cacheHierarchy uniqueName="[Summary].[Scope 2 kg CO2-e]" caption="Scope 2 kg CO2-e" attribute="1" defaultMemberUniqueName="[Summary].[Scope 2 kg CO2-e].[All]" allUniqueName="[Summary].[Scope 2 kg CO2-e].[All]" dimensionUniqueName="[Summary]" displayFolder="" count="0" memberValueDatatype="5" unbalanced="0"/>
    <cacheHierarchy uniqueName="[Summary].[Scope 3 kg CO2-e]" caption="Scope 3 kg CO2-e" attribute="1" defaultMemberUniqueName="[Summary].[Scope 3 kg CO2-e].[All]" allUniqueName="[Summary].[Scope 3 kg CO2-e].[All]" dimensionUniqueName="[Summary]" displayFolder="" count="0" memberValueDatatype="5" unbalanced="0"/>
    <cacheHierarchy uniqueName="[Summary].[Total Emissions]" caption="Total Emissions" attribute="1" defaultMemberUniqueName="[Summary].[Total Emissions].[All]" allUniqueName="[Summary].[Total Emissions].[All]" dimensionUniqueName="[Summary]" displayFolder="" count="0" memberValueDatatype="5" unbalanced="0"/>
    <cacheHierarchy uniqueName="[Summary37].[Reporting Alias]" caption="Reporting Alias" attribute="1" defaultMemberUniqueName="[Summary37].[Reporting Alias].[All]" allUniqueName="[Summary37].[Reporting Alias].[All]" dimensionUniqueName="[Summary37]" displayFolder="" count="0" memberValueDatatype="130" unbalanced="0"/>
    <cacheHierarchy uniqueName="[Summary37].[UoM]" caption="UoM" attribute="1" defaultMemberUniqueName="[Summary37].[UoM].[All]" allUniqueName="[Summary37].[UoM].[All]" dimensionUniqueName="[Summary37]" displayFolder="" count="0" memberValueDatatype="130" unbalanced="0"/>
    <cacheHierarchy uniqueName="[Summary37].[Primary Criterion]" caption="Primary Criterion" attribute="1" defaultMemberUniqueName="[Summary37].[Primary Criterion].[All]" allUniqueName="[Summary37].[Primary Criterion].[All]" dimensionUniqueName="[Summary37]" displayFolder="" count="0" memberValueDatatype="130" unbalanced="0"/>
    <cacheHierarchy uniqueName="[Summary37].[Consumption Quantity]" caption="Consumption Quantity" attribute="1" defaultMemberUniqueName="[Summary37].[Consumption Quantity].[All]" allUniqueName="[Summary37].[Consumption Quantity].[All]" dimensionUniqueName="[Summary37]" displayFolder="" count="0" memberValueDatatype="5" unbalanced="0"/>
    <cacheHierarchy uniqueName="[Summary37].[Total GJ]" caption="Total GJ" attribute="1" defaultMemberUniqueName="[Summary37].[Total GJ].[All]" allUniqueName="[Summary37].[Total GJ].[All]" dimensionUniqueName="[Summary37]" displayFolder="" count="0" memberValueDatatype="5" unbalanced="0"/>
    <cacheHierarchy uniqueName="[Summary37].[Scope 1 kg CO2-e]" caption="Scope 1 kg CO2-e" attribute="1" defaultMemberUniqueName="[Summary37].[Scope 1 kg CO2-e].[All]" allUniqueName="[Summary37].[Scope 1 kg CO2-e].[All]" dimensionUniqueName="[Summary37]" displayFolder="" count="0" memberValueDatatype="5" unbalanced="0"/>
    <cacheHierarchy uniqueName="[Summary37].[Scope 2 kg CO2-e]" caption="Scope 2 kg CO2-e" attribute="1" defaultMemberUniqueName="[Summary37].[Scope 2 kg CO2-e].[All]" allUniqueName="[Summary37].[Scope 2 kg CO2-e].[All]" dimensionUniqueName="[Summary37]" displayFolder="" count="0" memberValueDatatype="5" unbalanced="0"/>
    <cacheHierarchy uniqueName="[Summary37].[Scope 3 kg CO2-e]" caption="Scope 3 kg CO2-e" attribute="1" defaultMemberUniqueName="[Summary37].[Scope 3 kg CO2-e].[All]" allUniqueName="[Summary37].[Scope 3 kg CO2-e].[All]" dimensionUniqueName="[Summary37]" displayFolder="" count="0" memberValueDatatype="5" unbalanced="0"/>
    <cacheHierarchy uniqueName="[Summary37].[Total Emissions]" caption="Total Emissions" attribute="1" defaultMemberUniqueName="[Summary37].[Total Emissions].[All]" allUniqueName="[Summary37].[Total Emissions].[All]" dimensionUniqueName="[Summary37]" displayFolder="" count="0" memberValueDatatype="5" unbalanced="0"/>
    <cacheHierarchy uniqueName="[TelstraBCA].[Reporting Alias]" caption="Reporting Alias" attribute="1" defaultMemberUniqueName="[TelstraBCA].[Reporting Alias].[All]" allUniqueName="[TelstraBCA].[Reporting Alias].[All]" dimensionUniqueName="[TelstraBCA]" displayFolder="" count="0" memberValueDatatype="130" unbalanced="0"/>
    <cacheHierarchy uniqueName="[TelstraBCA].[Consumption Quantity]" caption="Consumption Quantity" attribute="1" defaultMemberUniqueName="[TelstraBCA].[Consumption Quantity].[All]" allUniqueName="[TelstraBCA].[Consumption Quantity].[All]" dimensionUniqueName="[TelstraBCA]" displayFolder="" count="0" memberValueDatatype="5" unbalanced="0"/>
    <cacheHierarchy uniqueName="[TelstraBCA].[Total GJ]" caption="Total GJ" attribute="1" defaultMemberUniqueName="[TelstraBCA].[Total GJ].[All]" allUniqueName="[TelstraBCA].[Total GJ].[All]" dimensionUniqueName="[TelstraBCA]" displayFolder="" count="0" memberValueDatatype="5" unbalanced="0"/>
    <cacheHierarchy uniqueName="[TelstraBCA].[Scope 1 kg CO2-e]" caption="Scope 1 kg CO2-e" attribute="1" defaultMemberUniqueName="[TelstraBCA].[Scope 1 kg CO2-e].[All]" allUniqueName="[TelstraBCA].[Scope 1 kg CO2-e].[All]" dimensionUniqueName="[TelstraBCA]" displayFolder="" count="0" memberValueDatatype="5" unbalanced="0"/>
    <cacheHierarchy uniqueName="[TelstraBCA].[Scope 2 kg CO2-e]" caption="Scope 2 kg CO2-e" attribute="1" defaultMemberUniqueName="[TelstraBCA].[Scope 2 kg CO2-e].[All]" allUniqueName="[TelstraBCA].[Scope 2 kg CO2-e].[All]" dimensionUniqueName="[TelstraBCA]" displayFolder="" count="0" memberValueDatatype="5" unbalanced="0"/>
    <cacheHierarchy uniqueName="[TelstraBCA].[Scope 3 kg CO2-e]" caption="Scope 3 kg CO2-e" attribute="1" defaultMemberUniqueName="[TelstraBCA].[Scope 3 kg CO2-e].[All]" allUniqueName="[TelstraBCA].[Scope 3 kg CO2-e].[All]" dimensionUniqueName="[TelstraBCA]" displayFolder="" count="0" memberValueDatatype="5" unbalanced="0"/>
    <cacheHierarchy uniqueName="[TelstraBCA].[Total Emissions]" caption="Total Emissions" attribute="1" defaultMemberUniqueName="[TelstraBCA].[Total Emissions].[All]" allUniqueName="[TelstraBCA].[Total Emissions].[All]" dimensionUniqueName="[TelstraBCA]" displayFolder="" count="0" memberValueDatatype="5" unbalanced="0"/>
    <cacheHierarchy uniqueName="[Measures].[_Count BCA_Removal]" caption="_Count BCA_Removal" measure="1" displayFolder="" measureGroup="BCA_Removal" count="0" hidden="1"/>
    <cacheHierarchy uniqueName="[Measures].[__XL_Count NBN_Removal]" caption="__XL_Count NBN_Removal" measure="1" displayFolder="" measureGroup="NBN_Removal" count="0" hidden="1"/>
    <cacheHierarchy uniqueName="[Measures].[__XL_Count SE_Gas]" caption="__XL_Count SE_Gas" measure="1" displayFolder="" measureGroup="SE_Gas" count="0" hidden="1"/>
    <cacheHierarchy uniqueName="[Measures].[__XL_Count GHG]" caption="__XL_Count GHG" measure="1" displayFolder="" measureGroup="GHG" count="0" hidden="1"/>
    <cacheHierarchy uniqueName="[Measures].[__XL_Count Entity]" caption="__XL_Count Entity" measure="1" displayFolder="" measureGroup="Entity" count="0" hidden="1"/>
    <cacheHierarchy uniqueName="[Measures].[__XL_Count NET_Genset_Grounds]" caption="__XL_Count NET_Genset_Grounds" measure="1" displayFolder="" measureGroup="NET_Genset_Grounds" count="0" hidden="1"/>
    <cacheHierarchy uniqueName="[Measures].[__XL_Count Percentage_Estimates]" caption="__XL_Count Percentage_Estimates" measure="1" displayFolder="" measureGroup="Percentage_Estimates" count="0" hidden="1"/>
    <cacheHierarchy uniqueName="[Measures].[__XL_Count Pitwater]" caption="__XL_Count Pitwater" measure="1" displayFolder="" measureGroup="Pitwater" count="0" hidden="1"/>
    <cacheHierarchy uniqueName="[Measures].[__XL_Count Solar]" caption="__XL_Count Solar" measure="1" displayFolder="" measureGroup="Solar" count="0" hidden="1"/>
    <cacheHierarchy uniqueName="[Measures].[__XL_Count Grounds_Fuels]" caption="__XL_Count Grounds_Fuels" measure="1" displayFolder="" measureGroup="Grounds_Fuels" count="0" hidden="1"/>
    <cacheHierarchy uniqueName="[Measures].[__XL_Count Contractor_Fuels]" caption="__XL_Count Contractor_Fuels" measure="1" displayFolder="" measureGroup="Contractor_Fuels" count="0" hidden="1"/>
    <cacheHierarchy uniqueName="[Measures].[__XL_Count AVIS]" caption="__XL_Count AVIS" measure="1" displayFolder="" measureGroup="AVIS" count="0" hidden="1"/>
    <cacheHierarchy uniqueName="[Measures].[__XL_Count LP_Fleet]" caption="__XL_Count LP_Fleet" measure="1" displayFolder="" measureGroup="LP_Fleet" count="0" hidden="1"/>
    <cacheHierarchy uniqueName="[Measures].[__XL_Count NON_Genset]" caption="__XL_Count NON_Genset" measure="1" displayFolder="" measureGroup="NON_Genset" count="0" hidden="1"/>
    <cacheHierarchy uniqueName="[Measures].[__XL_Count DC_Genset]" caption="__XL_Count DC_Genset" measure="1" displayFolder="" measureGroup="DC_Genset" count="0" hidden="1"/>
    <cacheHierarchy uniqueName="[Measures].[__XL_Count TelstraBCA]" caption="__XL_Count TelstraBCA" measure="1" displayFolder="" measureGroup="TelstraBCA" count="0" hidden="1"/>
    <cacheHierarchy uniqueName="[Measures].[_Count LP_Stationary]" caption="_Count LP_Stationary" measure="1" displayFolder="" measureGroup="LP_Stationary" count="0" hidden="1"/>
    <cacheHierarchy uniqueName="[Measures].[_Count Summary]" caption="_Count Summary" measure="1" displayFolder="" measureGroup="Summary" count="0" hidden="1"/>
    <cacheHierarchy uniqueName="[Measures].[__XL_Count Flight_Model]" caption="__XL_Count Flight_Model" measure="1" displayFolder="" measureGroup="Flight_Model" count="0" hidden="1"/>
    <cacheHierarchy uniqueName="[Measures].[__XL_Count Paper_CSR]" caption="__XL_Count Paper_CSR" measure="1" displayFolder="" measureGroup="Paper_CSR" count="0" hidden="1"/>
    <cacheHierarchy uniqueName="[Measures].[__XL_Count Savings_Data]" caption="__XL_Count Savings_Data" measure="1" displayFolder="" measureGroup="Savings_Data" count="0" hidden="1"/>
    <cacheHierarchy uniqueName="[Measures].[__XL_Count EntityFY20]" caption="__XL_Count EntityFY20" measure="1" displayFolder="" measureGroup="EntityFY20" count="0" hidden="1"/>
    <cacheHierarchy uniqueName="[Measures].[__XL_Count Summary37]" caption="__XL_Count Summary37" measure="1" displayFolder="" measureGroup="Summary37" count="0" hidden="1"/>
    <cacheHierarchy uniqueName="[Measures].[__XL_Count BCA_RemovalFY20]" caption="__XL_Count BCA_RemovalFY20" measure="1" displayFolder="" measureGroup="BCA_RemovalFY20" count="0" hidden="1"/>
    <cacheHierarchy uniqueName="[Measures].[__XL_Count DC_Genset2839]" caption="__XL_Count DC_Genset2839" measure="1" displayFolder="" measureGroup="DC_Genset2839" count="0" hidden="1"/>
    <cacheHierarchy uniqueName="[Measures].[__XL_Count GasFY20]" caption="__XL_Count GasFY20" measure="1" displayFolder="" measureGroup="GasFY20" count="0" hidden="1"/>
    <cacheHierarchy uniqueName="[Measures].[__XL_Count GHG_35]" caption="__XL_Count GHG_35" measure="1" displayFolder="" measureGroup="GHG_35" count="0" hidden="1"/>
    <cacheHierarchy uniqueName="[Measures].[__XL_Count Grounds_Fuels33]" caption="__XL_Count Grounds_Fuels33" measure="1" displayFolder="" measureGroup="Grounds_Fuels33" count="0" hidden="1"/>
    <cacheHierarchy uniqueName="[Measures].[__XL_Count ReformFY20]" caption="__XL_Count ReformFY20" measure="1" displayFolder="" measureGroup="ReformFY20" count="0" hidden="1"/>
    <cacheHierarchy uniqueName="[Measures].[__XL_Count EntityFY20 1]" caption="__XL_Count EntityFY20 1" measure="1" displayFolder="" measureGroup="EntityFY20 1" count="0" hidden="1"/>
    <cacheHierarchy uniqueName="[Measures].[__XL_Count Calendar]" caption="__XL_Count Calendar" measure="1" displayFolder="" measureGroup="Calendar" count="0" hidden="1"/>
    <cacheHierarchy uniqueName="[Measures].[__XL_Count ReformFY20_]" caption="__XL_Count ReformFY20_" measure="1" displayFolder="" measureGroup="ReformFY20_" count="0" hidden="1"/>
    <cacheHierarchy uniqueName="[Measures].[__XL_Count of Models]" caption="__XL_Count of Models" measure="1" displayFolder="" count="0" hidden="1"/>
    <cacheHierarchy uniqueName="[Measures].[Sum of Consumption Quantity 3]" caption="Sum of Consumption Quantity 3" measure="1" displayFolder="" measureGroup="NBN_Removal" count="0" hidden="1">
      <extLst>
        <ext xmlns:x15="http://schemas.microsoft.com/office/spreadsheetml/2010/11/main" uri="{B97F6D7D-B522-45F9-BDA1-12C45D357490}">
          <x15:cacheHierarchy aggregatedColumn="226"/>
        </ext>
      </extLst>
    </cacheHierarchy>
    <cacheHierarchy uniqueName="[Measures].[Sum of Consumption Quanity]" caption="Sum of Consumption Quanity" measure="1" displayFolder="" measureGroup="SE_Gas" count="0" hidden="1">
      <extLst>
        <ext xmlns:x15="http://schemas.microsoft.com/office/spreadsheetml/2010/11/main" uri="{B97F6D7D-B522-45F9-BDA1-12C45D357490}">
          <x15:cacheHierarchy aggregatedColumn="336"/>
        </ext>
      </extLst>
    </cacheHierarchy>
    <cacheHierarchy uniqueName="[Measures].[Sum of Consumption Quantity]" caption="Sum of Consumption Quantity" measure="1" displayFolder="" measureGroup="BCA_Removal" count="0" hidden="1">
      <extLst>
        <ext xmlns:x15="http://schemas.microsoft.com/office/spreadsheetml/2010/11/main" uri="{B97F6D7D-B522-45F9-BDA1-12C45D357490}">
          <x15:cacheHierarchy aggregatedColumn="16"/>
        </ext>
      </extLst>
    </cacheHierarchy>
    <cacheHierarchy uniqueName="[Measures].[Sum of Scope 2 kg CO2-e 3]" caption="Sum of Scope 2 kg CO2-e 3" measure="1" displayFolder="" measureGroup="BCA_Removal" count="0" hidden="1">
      <extLst>
        <ext xmlns:x15="http://schemas.microsoft.com/office/spreadsheetml/2010/11/main" uri="{B97F6D7D-B522-45F9-BDA1-12C45D357490}">
          <x15:cacheHierarchy aggregatedColumn="17"/>
        </ext>
      </extLst>
    </cacheHierarchy>
    <cacheHierarchy uniqueName="[Measures].[Sum of Consumption Quantity 4]" caption="Sum of Consumption Quantity 4" measure="1" displayFolder="" measureGroup="TelstraBCA" count="0" hidden="1">
      <extLst>
        <ext xmlns:x15="http://schemas.microsoft.com/office/spreadsheetml/2010/11/main" uri="{B97F6D7D-B522-45F9-BDA1-12C45D357490}">
          <x15:cacheHierarchy aggregatedColumn="379"/>
        </ext>
      </extLst>
    </cacheHierarchy>
    <cacheHierarchy uniqueName="[Measures].[Sum of Consumption Quantity 5]" caption="Sum of Consumption Quantity 5" measure="1" displayFolder="" measureGroup="Percentage_Estimates" count="0" hidden="1">
      <extLst>
        <ext xmlns:x15="http://schemas.microsoft.com/office/spreadsheetml/2010/11/main" uri="{B97F6D7D-B522-45F9-BDA1-12C45D357490}">
          <x15:cacheHierarchy aggregatedColumn="271"/>
        </ext>
      </extLst>
    </cacheHierarchy>
    <cacheHierarchy uniqueName="[Measures].[Sum of Consumption Quantitiy]" caption="Sum of Consumption Quantitiy" measure="1" displayFolder="" measureGroup="Solar" count="0" hidden="1">
      <extLst>
        <ext xmlns:x15="http://schemas.microsoft.com/office/spreadsheetml/2010/11/main" uri="{B97F6D7D-B522-45F9-BDA1-12C45D357490}">
          <x15:cacheHierarchy aggregatedColumn="350"/>
        </ext>
      </extLst>
    </cacheHierarchy>
    <cacheHierarchy uniqueName="[Measures].[Sum of Consumption Quantity 6]" caption="Sum of Consumption Quantity 6" measure="1" displayFolder="" measureGroup="NET_Genset_Grounds" count="0" hidden="1">
      <extLst>
        <ext xmlns:x15="http://schemas.microsoft.com/office/spreadsheetml/2010/11/main" uri="{B97F6D7D-B522-45F9-BDA1-12C45D357490}">
          <x15:cacheHierarchy aggregatedColumn="239"/>
        </ext>
      </extLst>
    </cacheHierarchy>
    <cacheHierarchy uniqueName="[Measures].[Sum of Consumption Quantity 7]" caption="Sum of Consumption Quantity 7" measure="1" displayFolder="" measureGroup="NON_Genset" count="0" hidden="1">
      <extLst>
        <ext xmlns:x15="http://schemas.microsoft.com/office/spreadsheetml/2010/11/main" uri="{B97F6D7D-B522-45F9-BDA1-12C45D357490}">
          <x15:cacheHierarchy aggregatedColumn="254"/>
        </ext>
      </extLst>
    </cacheHierarchy>
    <cacheHierarchy uniqueName="[Measures].[Sum of Consumption Quantity 8]" caption="Sum of Consumption Quantity 8" measure="1" displayFolder="" measureGroup="Grounds_Fuels" count="0" hidden="1">
      <extLst>
        <ext xmlns:x15="http://schemas.microsoft.com/office/spreadsheetml/2010/11/main" uri="{B97F6D7D-B522-45F9-BDA1-12C45D357490}">
          <x15:cacheHierarchy aggregatedColumn="178"/>
        </ext>
      </extLst>
    </cacheHierarchy>
    <cacheHierarchy uniqueName="[Measures].[Sum of Consumption Quantity 9]" caption="Sum of Consumption Quantity 9" measure="1" displayFolder="" measureGroup="Pitwater" count="0" hidden="1">
      <extLst>
        <ext xmlns:x15="http://schemas.microsoft.com/office/spreadsheetml/2010/11/main" uri="{B97F6D7D-B522-45F9-BDA1-12C45D357490}">
          <x15:cacheHierarchy aggregatedColumn="292"/>
        </ext>
      </extLst>
    </cacheHierarchy>
    <cacheHierarchy uniqueName="[Measures].[Sum of kL]" caption="Sum of kL" measure="1" displayFolder="" measureGroup="Pitwater" count="0" hidden="1">
      <extLst>
        <ext xmlns:x15="http://schemas.microsoft.com/office/spreadsheetml/2010/11/main" uri="{B97F6D7D-B522-45F9-BDA1-12C45D357490}">
          <x15:cacheHierarchy aggregatedColumn="290"/>
        </ext>
      </extLst>
    </cacheHierarchy>
    <cacheHierarchy uniqueName="[Measures].[Sum of Consumption Quantity 10]" caption="Sum of Consumption Quantity 10" measure="1" displayFolder="" measureGroup="Contractor_Fuels" count="0" hidden="1">
      <extLst>
        <ext xmlns:x15="http://schemas.microsoft.com/office/spreadsheetml/2010/11/main" uri="{B97F6D7D-B522-45F9-BDA1-12C45D357490}">
          <x15:cacheHierarchy aggregatedColumn="50"/>
        </ext>
      </extLst>
    </cacheHierarchy>
    <cacheHierarchy uniqueName="[Measures].[Sum of Consumption Quantity 11]" caption="Sum of Consumption Quantity 11" measure="1" displayFolder="" measureGroup="LP_Fleet" count="0" hidden="1">
      <extLst>
        <ext xmlns:x15="http://schemas.microsoft.com/office/spreadsheetml/2010/11/main" uri="{B97F6D7D-B522-45F9-BDA1-12C45D357490}">
          <x15:cacheHierarchy aggregatedColumn="207"/>
        </ext>
      </extLst>
    </cacheHierarchy>
    <cacheHierarchy uniqueName="[Measures].[Sum of Consumption Quantity 12]" caption="Sum of Consumption Quantity 12" measure="1" displayFolder="" measureGroup="LP_Stationary" count="0" hidden="1">
      <extLst>
        <ext xmlns:x15="http://schemas.microsoft.com/office/spreadsheetml/2010/11/main" uri="{B97F6D7D-B522-45F9-BDA1-12C45D357490}">
          <x15:cacheHierarchy aggregatedColumn="219"/>
        </ext>
      </extLst>
    </cacheHierarchy>
    <cacheHierarchy uniqueName="[Measures].[Sum of Consumption Quantity 13]" caption="Sum of Consumption Quantity 13" measure="1" displayFolder="" measureGroup="AVIS" count="0" hidden="1">
      <extLst>
        <ext xmlns:x15="http://schemas.microsoft.com/office/spreadsheetml/2010/11/main" uri="{B97F6D7D-B522-45F9-BDA1-12C45D357490}">
          <x15:cacheHierarchy aggregatedColumn="9"/>
        </ext>
      </extLst>
    </cacheHierarchy>
    <cacheHierarchy uniqueName="[Measures].[Sum of Total GJ 2]" caption="Sum of Total GJ 2" measure="1" displayFolder="" measureGroup="BCA_Removal" count="0" hidden="1">
      <extLst>
        <ext xmlns:x15="http://schemas.microsoft.com/office/spreadsheetml/2010/11/main" uri="{B97F6D7D-B522-45F9-BDA1-12C45D357490}">
          <x15:cacheHierarchy aggregatedColumn="20"/>
        </ext>
      </extLst>
    </cacheHierarchy>
    <cacheHierarchy uniqueName="[Measures].[Sum of Scope 1 kg CO2-e 2]" caption="Sum of Scope 1 kg CO2-e 2" measure="1" displayFolder="" measureGroup="BCA_Removal" count="0" hidden="1">
      <extLst>
        <ext xmlns:x15="http://schemas.microsoft.com/office/spreadsheetml/2010/11/main" uri="{B97F6D7D-B522-45F9-BDA1-12C45D357490}">
          <x15:cacheHierarchy aggregatedColumn="18"/>
        </ext>
      </extLst>
    </cacheHierarchy>
    <cacheHierarchy uniqueName="[Measures].[Sum of Scope 3 kg CO2-e 2]" caption="Sum of Scope 3 kg CO2-e 2" measure="1" displayFolder="" measureGroup="BCA_Removal" count="0" hidden="1">
      <extLst>
        <ext xmlns:x15="http://schemas.microsoft.com/office/spreadsheetml/2010/11/main" uri="{B97F6D7D-B522-45F9-BDA1-12C45D357490}">
          <x15:cacheHierarchy aggregatedColumn="19"/>
        </ext>
      </extLst>
    </cacheHierarchy>
    <cacheHierarchy uniqueName="[Measures].[Sum of Total Emissions 2]" caption="Sum of Total Emissions 2" measure="1" displayFolder="" measureGroup="BCA_Removal" count="0" hidden="1">
      <extLst>
        <ext xmlns:x15="http://schemas.microsoft.com/office/spreadsheetml/2010/11/main" uri="{B97F6D7D-B522-45F9-BDA1-12C45D357490}">
          <x15:cacheHierarchy aggregatedColumn="21"/>
        </ext>
      </extLst>
    </cacheHierarchy>
    <cacheHierarchy uniqueName="[Measures].[Sum of Total GJ 3]" caption="Sum of Total GJ 3" measure="1" displayFolder="" measureGroup="NBN_Removal" count="0" hidden="1">
      <extLst>
        <ext xmlns:x15="http://schemas.microsoft.com/office/spreadsheetml/2010/11/main" uri="{B97F6D7D-B522-45F9-BDA1-12C45D357490}">
          <x15:cacheHierarchy aggregatedColumn="230"/>
        </ext>
      </extLst>
    </cacheHierarchy>
    <cacheHierarchy uniqueName="[Measures].[Sum of Scope 1 kg CO2-e 3]" caption="Sum of Scope 1 kg CO2-e 3" measure="1" displayFolder="" measureGroup="NBN_Removal" count="0" hidden="1">
      <extLst>
        <ext xmlns:x15="http://schemas.microsoft.com/office/spreadsheetml/2010/11/main" uri="{B97F6D7D-B522-45F9-BDA1-12C45D357490}">
          <x15:cacheHierarchy aggregatedColumn="227"/>
        </ext>
      </extLst>
    </cacheHierarchy>
    <cacheHierarchy uniqueName="[Measures].[Sum of Scope 2 kg CO2-e]" caption="Sum of Scope 2 kg CO2-e" measure="1" displayFolder="" measureGroup="NBN_Removal" count="0" hidden="1">
      <extLst>
        <ext xmlns:x15="http://schemas.microsoft.com/office/spreadsheetml/2010/11/main" uri="{B97F6D7D-B522-45F9-BDA1-12C45D357490}">
          <x15:cacheHierarchy aggregatedColumn="228"/>
        </ext>
      </extLst>
    </cacheHierarchy>
    <cacheHierarchy uniqueName="[Measures].[Sum of Scope 3 kg CO2-e 3]" caption="Sum of Scope 3 kg CO2-e 3" measure="1" displayFolder="" measureGroup="NBN_Removal" count="0" hidden="1">
      <extLst>
        <ext xmlns:x15="http://schemas.microsoft.com/office/spreadsheetml/2010/11/main" uri="{B97F6D7D-B522-45F9-BDA1-12C45D357490}">
          <x15:cacheHierarchy aggregatedColumn="229"/>
        </ext>
      </extLst>
    </cacheHierarchy>
    <cacheHierarchy uniqueName="[Measures].[Sum of Total Emissions 3]" caption="Sum of Total Emissions 3" measure="1" displayFolder="" measureGroup="NBN_Removal" count="0" hidden="1">
      <extLst>
        <ext xmlns:x15="http://schemas.microsoft.com/office/spreadsheetml/2010/11/main" uri="{B97F6D7D-B522-45F9-BDA1-12C45D357490}">
          <x15:cacheHierarchy aggregatedColumn="231"/>
        </ext>
      </extLst>
    </cacheHierarchy>
    <cacheHierarchy uniqueName="[Measures].[Sum of Total GJ 4]" caption="Sum of Total GJ 4" measure="1" displayFolder="" measureGroup="TelstraBCA" count="0" hidden="1">
      <extLst>
        <ext xmlns:x15="http://schemas.microsoft.com/office/spreadsheetml/2010/11/main" uri="{B97F6D7D-B522-45F9-BDA1-12C45D357490}">
          <x15:cacheHierarchy aggregatedColumn="380"/>
        </ext>
      </extLst>
    </cacheHierarchy>
    <cacheHierarchy uniqueName="[Measures].[Sum of Scope 1 kg CO2-e 4]" caption="Sum of Scope 1 kg CO2-e 4" measure="1" displayFolder="" measureGroup="TelstraBCA" count="0" hidden="1">
      <extLst>
        <ext xmlns:x15="http://schemas.microsoft.com/office/spreadsheetml/2010/11/main" uri="{B97F6D7D-B522-45F9-BDA1-12C45D357490}">
          <x15:cacheHierarchy aggregatedColumn="381"/>
        </ext>
      </extLst>
    </cacheHierarchy>
    <cacheHierarchy uniqueName="[Measures].[Sum of Scope 2 kg CO2-e 4]" caption="Sum of Scope 2 kg CO2-e 4" measure="1" displayFolder="" measureGroup="TelstraBCA" count="0" hidden="1">
      <extLst>
        <ext xmlns:x15="http://schemas.microsoft.com/office/spreadsheetml/2010/11/main" uri="{B97F6D7D-B522-45F9-BDA1-12C45D357490}">
          <x15:cacheHierarchy aggregatedColumn="382"/>
        </ext>
      </extLst>
    </cacheHierarchy>
    <cacheHierarchy uniqueName="[Measures].[Sum of Scope 3 kg CO2-e 4]" caption="Sum of Scope 3 kg CO2-e 4" measure="1" displayFolder="" measureGroup="TelstraBCA" count="0" hidden="1">
      <extLst>
        <ext xmlns:x15="http://schemas.microsoft.com/office/spreadsheetml/2010/11/main" uri="{B97F6D7D-B522-45F9-BDA1-12C45D357490}">
          <x15:cacheHierarchy aggregatedColumn="383"/>
        </ext>
      </extLst>
    </cacheHierarchy>
    <cacheHierarchy uniqueName="[Measures].[Sum of Total Emissions 4]" caption="Sum of Total Emissions 4" measure="1" displayFolder="" measureGroup="TelstraBCA" count="0" hidden="1">
      <extLst>
        <ext xmlns:x15="http://schemas.microsoft.com/office/spreadsheetml/2010/11/main" uri="{B97F6D7D-B522-45F9-BDA1-12C45D357490}">
          <x15:cacheHierarchy aggregatedColumn="384"/>
        </ext>
      </extLst>
    </cacheHierarchy>
    <cacheHierarchy uniqueName="[Measures].[Sum of Total GJ 5]" caption="Sum of Total GJ 5" measure="1" displayFolder="" measureGroup="Percentage_Estimates" count="0" hidden="1">
      <extLst>
        <ext xmlns:x15="http://schemas.microsoft.com/office/spreadsheetml/2010/11/main" uri="{B97F6D7D-B522-45F9-BDA1-12C45D357490}">
          <x15:cacheHierarchy aggregatedColumn="283"/>
        </ext>
      </extLst>
    </cacheHierarchy>
    <cacheHierarchy uniqueName="[Measures].[Sum of Scope 1 kg CO2-e 5]" caption="Sum of Scope 1 kg CO2-e 5" measure="1" displayFolder="" measureGroup="Percentage_Estimates" count="0" hidden="1">
      <extLst>
        <ext xmlns:x15="http://schemas.microsoft.com/office/spreadsheetml/2010/11/main" uri="{B97F6D7D-B522-45F9-BDA1-12C45D357490}">
          <x15:cacheHierarchy aggregatedColumn="284"/>
        </ext>
      </extLst>
    </cacheHierarchy>
    <cacheHierarchy uniqueName="[Measures].[Sum of Scope 2 kg CO2-e 5]" caption="Sum of Scope 2 kg CO2-e 5" measure="1" displayFolder="" measureGroup="Percentage_Estimates" count="0" hidden="1">
      <extLst>
        <ext xmlns:x15="http://schemas.microsoft.com/office/spreadsheetml/2010/11/main" uri="{B97F6D7D-B522-45F9-BDA1-12C45D357490}">
          <x15:cacheHierarchy aggregatedColumn="285"/>
        </ext>
      </extLst>
    </cacheHierarchy>
    <cacheHierarchy uniqueName="[Measures].[Sum of Scope 3 kg CO2-e 5]" caption="Sum of Scope 3 kg CO2-e 5" measure="1" displayFolder="" measureGroup="Percentage_Estimates" count="0" hidden="1">
      <extLst>
        <ext xmlns:x15="http://schemas.microsoft.com/office/spreadsheetml/2010/11/main" uri="{B97F6D7D-B522-45F9-BDA1-12C45D357490}">
          <x15:cacheHierarchy aggregatedColumn="286"/>
        </ext>
      </extLst>
    </cacheHierarchy>
    <cacheHierarchy uniqueName="[Measures].[Sum of Total Emissions 5]" caption="Sum of Total Emissions 5" measure="1" displayFolder="" measureGroup="Percentage_Estimates" count="0" hidden="1">
      <extLst>
        <ext xmlns:x15="http://schemas.microsoft.com/office/spreadsheetml/2010/11/main" uri="{B97F6D7D-B522-45F9-BDA1-12C45D357490}">
          <x15:cacheHierarchy aggregatedColumn="287"/>
        </ext>
      </extLst>
    </cacheHierarchy>
    <cacheHierarchy uniqueName="[Measures].[Sum of Scope 1 kg CO2-e 6]" caption="Sum of Scope 1 kg CO2-e 6" measure="1" displayFolder="" measureGroup="SE_Gas" count="0" hidden="1">
      <extLst>
        <ext xmlns:x15="http://schemas.microsoft.com/office/spreadsheetml/2010/11/main" uri="{B97F6D7D-B522-45F9-BDA1-12C45D357490}">
          <x15:cacheHierarchy aggregatedColumn="337"/>
        </ext>
      </extLst>
    </cacheHierarchy>
    <cacheHierarchy uniqueName="[Measures].[Sum of Total GJ 6]" caption="Sum of Total GJ 6" measure="1" displayFolder="" measureGroup="SE_Gas" count="0" hidden="1">
      <extLst>
        <ext xmlns:x15="http://schemas.microsoft.com/office/spreadsheetml/2010/11/main" uri="{B97F6D7D-B522-45F9-BDA1-12C45D357490}">
          <x15:cacheHierarchy aggregatedColumn="340"/>
        </ext>
      </extLst>
    </cacheHierarchy>
    <cacheHierarchy uniqueName="[Measures].[Sum of Scope 2 kg CO2-e 6]" caption="Sum of Scope 2 kg CO2-e 6" measure="1" displayFolder="" measureGroup="SE_Gas" count="0" hidden="1">
      <extLst>
        <ext xmlns:x15="http://schemas.microsoft.com/office/spreadsheetml/2010/11/main" uri="{B97F6D7D-B522-45F9-BDA1-12C45D357490}">
          <x15:cacheHierarchy aggregatedColumn="338"/>
        </ext>
      </extLst>
    </cacheHierarchy>
    <cacheHierarchy uniqueName="[Measures].[Sum of Scope 3 kg CO2-e 6]" caption="Sum of Scope 3 kg CO2-e 6" measure="1" displayFolder="" measureGroup="SE_Gas" count="0" hidden="1">
      <extLst>
        <ext xmlns:x15="http://schemas.microsoft.com/office/spreadsheetml/2010/11/main" uri="{B97F6D7D-B522-45F9-BDA1-12C45D357490}">
          <x15:cacheHierarchy aggregatedColumn="339"/>
        </ext>
      </extLst>
    </cacheHierarchy>
    <cacheHierarchy uniqueName="[Measures].[Sum of Total Emissions 6]" caption="Sum of Total Emissions 6" measure="1" displayFolder="" measureGroup="SE_Gas" count="0" hidden="1">
      <extLst>
        <ext xmlns:x15="http://schemas.microsoft.com/office/spreadsheetml/2010/11/main" uri="{B97F6D7D-B522-45F9-BDA1-12C45D357490}">
          <x15:cacheHierarchy aggregatedColumn="341"/>
        </ext>
      </extLst>
    </cacheHierarchy>
    <cacheHierarchy uniqueName="[Measures].[Sum of Scope 1 kg CO2-e 7]" caption="Sum of Scope 1 kg CO2-e 7" measure="1" displayFolder="" measureGroup="Solar" count="0" hidden="1">
      <extLst>
        <ext xmlns:x15="http://schemas.microsoft.com/office/spreadsheetml/2010/11/main" uri="{B97F6D7D-B522-45F9-BDA1-12C45D357490}">
          <x15:cacheHierarchy aggregatedColumn="351"/>
        </ext>
      </extLst>
    </cacheHierarchy>
    <cacheHierarchy uniqueName="[Measures].[Sum of Scope 2 kg CO2-e 7]" caption="Sum of Scope 2 kg CO2-e 7" measure="1" displayFolder="" measureGroup="Solar" count="0" hidden="1">
      <extLst>
        <ext xmlns:x15="http://schemas.microsoft.com/office/spreadsheetml/2010/11/main" uri="{B97F6D7D-B522-45F9-BDA1-12C45D357490}">
          <x15:cacheHierarchy aggregatedColumn="352"/>
        </ext>
      </extLst>
    </cacheHierarchy>
    <cacheHierarchy uniqueName="[Measures].[Sum of Scope 3 kg CO2-e 7]" caption="Sum of Scope 3 kg CO2-e 7" measure="1" displayFolder="" measureGroup="Solar" count="0" hidden="1">
      <extLst>
        <ext xmlns:x15="http://schemas.microsoft.com/office/spreadsheetml/2010/11/main" uri="{B97F6D7D-B522-45F9-BDA1-12C45D357490}">
          <x15:cacheHierarchy aggregatedColumn="353"/>
        </ext>
      </extLst>
    </cacheHierarchy>
    <cacheHierarchy uniqueName="[Measures].[Sum of Total GJ 7]" caption="Sum of Total GJ 7" measure="1" displayFolder="" measureGroup="Solar" count="0" hidden="1">
      <extLst>
        <ext xmlns:x15="http://schemas.microsoft.com/office/spreadsheetml/2010/11/main" uri="{B97F6D7D-B522-45F9-BDA1-12C45D357490}">
          <x15:cacheHierarchy aggregatedColumn="354"/>
        </ext>
      </extLst>
    </cacheHierarchy>
    <cacheHierarchy uniqueName="[Measures].[Sum of Total Emissions 7]" caption="Sum of Total Emissions 7" measure="1" displayFolder="" measureGroup="Solar" count="0" hidden="1">
      <extLst>
        <ext xmlns:x15="http://schemas.microsoft.com/office/spreadsheetml/2010/11/main" uri="{B97F6D7D-B522-45F9-BDA1-12C45D357490}">
          <x15:cacheHierarchy aggregatedColumn="355"/>
        </ext>
      </extLst>
    </cacheHierarchy>
    <cacheHierarchy uniqueName="[Measures].[Sum of Total GJ 8]" caption="Sum of Total GJ 8" measure="1" displayFolder="" measureGroup="AVIS" count="0" hidden="1">
      <extLst>
        <ext xmlns:x15="http://schemas.microsoft.com/office/spreadsheetml/2010/11/main" uri="{B97F6D7D-B522-45F9-BDA1-12C45D357490}">
          <x15:cacheHierarchy aggregatedColumn="10"/>
        </ext>
      </extLst>
    </cacheHierarchy>
    <cacheHierarchy uniqueName="[Measures].[Sum of Scope 1 kg CO2-e 8]" caption="Sum of Scope 1 kg CO2-e 8" measure="1" displayFolder="" measureGroup="AVIS" count="0" hidden="1">
      <extLst>
        <ext xmlns:x15="http://schemas.microsoft.com/office/spreadsheetml/2010/11/main" uri="{B97F6D7D-B522-45F9-BDA1-12C45D357490}">
          <x15:cacheHierarchy aggregatedColumn="11"/>
        </ext>
      </extLst>
    </cacheHierarchy>
    <cacheHierarchy uniqueName="[Measures].[Sum of Scope 2 kg CO2-e 8]" caption="Sum of Scope 2 kg CO2-e 8" measure="1" displayFolder="" measureGroup="AVIS" count="0" hidden="1">
      <extLst>
        <ext xmlns:x15="http://schemas.microsoft.com/office/spreadsheetml/2010/11/main" uri="{B97F6D7D-B522-45F9-BDA1-12C45D357490}">
          <x15:cacheHierarchy aggregatedColumn="12"/>
        </ext>
      </extLst>
    </cacheHierarchy>
    <cacheHierarchy uniqueName="[Measures].[Sum of Scope 3 kg CO2-e 8]" caption="Sum of Scope 3 kg CO2-e 8" measure="1" displayFolder="" measureGroup="AVIS" count="0" hidden="1">
      <extLst>
        <ext xmlns:x15="http://schemas.microsoft.com/office/spreadsheetml/2010/11/main" uri="{B97F6D7D-B522-45F9-BDA1-12C45D357490}">
          <x15:cacheHierarchy aggregatedColumn="13"/>
        </ext>
      </extLst>
    </cacheHierarchy>
    <cacheHierarchy uniqueName="[Measures].[Sum of Total Emissions 8]" caption="Sum of Total Emissions 8" measure="1" displayFolder="" measureGroup="AVIS" count="0" hidden="1">
      <extLst>
        <ext xmlns:x15="http://schemas.microsoft.com/office/spreadsheetml/2010/11/main" uri="{B97F6D7D-B522-45F9-BDA1-12C45D357490}">
          <x15:cacheHierarchy aggregatedColumn="14"/>
        </ext>
      </extLst>
    </cacheHierarchy>
    <cacheHierarchy uniqueName="[Measures].[Sum of Total GJ 9]" caption="Sum of Total GJ 9" measure="1" displayFolder="" measureGroup="LP_Fleet" count="0" hidden="1">
      <extLst>
        <ext xmlns:x15="http://schemas.microsoft.com/office/spreadsheetml/2010/11/main" uri="{B97F6D7D-B522-45F9-BDA1-12C45D357490}">
          <x15:cacheHierarchy aggregatedColumn="208"/>
        </ext>
      </extLst>
    </cacheHierarchy>
    <cacheHierarchy uniqueName="[Measures].[Sum of Scope 1 kg CO2-e 9]" caption="Sum of Scope 1 kg CO2-e 9" measure="1" displayFolder="" measureGroup="LP_Fleet" count="0" hidden="1">
      <extLst>
        <ext xmlns:x15="http://schemas.microsoft.com/office/spreadsheetml/2010/11/main" uri="{B97F6D7D-B522-45F9-BDA1-12C45D357490}">
          <x15:cacheHierarchy aggregatedColumn="209"/>
        </ext>
      </extLst>
    </cacheHierarchy>
    <cacheHierarchy uniqueName="[Measures].[Sum of Scope 2 kg CO2-e 9]" caption="Sum of Scope 2 kg CO2-e 9" measure="1" displayFolder="" measureGroup="LP_Fleet" count="0" hidden="1">
      <extLst>
        <ext xmlns:x15="http://schemas.microsoft.com/office/spreadsheetml/2010/11/main" uri="{B97F6D7D-B522-45F9-BDA1-12C45D357490}">
          <x15:cacheHierarchy aggregatedColumn="210"/>
        </ext>
      </extLst>
    </cacheHierarchy>
    <cacheHierarchy uniqueName="[Measures].[Sum of Scope 3 kg CO2-e 9]" caption="Sum of Scope 3 kg CO2-e 9" measure="1" displayFolder="" measureGroup="LP_Fleet" count="0" hidden="1">
      <extLst>
        <ext xmlns:x15="http://schemas.microsoft.com/office/spreadsheetml/2010/11/main" uri="{B97F6D7D-B522-45F9-BDA1-12C45D357490}">
          <x15:cacheHierarchy aggregatedColumn="211"/>
        </ext>
      </extLst>
    </cacheHierarchy>
    <cacheHierarchy uniqueName="[Measures].[Sum of Total Emissions 9]" caption="Sum of Total Emissions 9" measure="1" displayFolder="" measureGroup="LP_Fleet" count="0" hidden="1">
      <extLst>
        <ext xmlns:x15="http://schemas.microsoft.com/office/spreadsheetml/2010/11/main" uri="{B97F6D7D-B522-45F9-BDA1-12C45D357490}">
          <x15:cacheHierarchy aggregatedColumn="212"/>
        </ext>
      </extLst>
    </cacheHierarchy>
    <cacheHierarchy uniqueName="[Measures].[Sum of Total GJ 10]" caption="Sum of Total GJ 10" measure="1" displayFolder="" measureGroup="Contractor_Fuels" count="0" hidden="1">
      <extLst>
        <ext xmlns:x15="http://schemas.microsoft.com/office/spreadsheetml/2010/11/main" uri="{B97F6D7D-B522-45F9-BDA1-12C45D357490}">
          <x15:cacheHierarchy aggregatedColumn="51"/>
        </ext>
      </extLst>
    </cacheHierarchy>
    <cacheHierarchy uniqueName="[Measures].[Sum of Scope 1 kg CO2-e 10]" caption="Sum of Scope 1 kg CO2-e 10" measure="1" displayFolder="" measureGroup="Contractor_Fuels" count="0" hidden="1">
      <extLst>
        <ext xmlns:x15="http://schemas.microsoft.com/office/spreadsheetml/2010/11/main" uri="{B97F6D7D-B522-45F9-BDA1-12C45D357490}">
          <x15:cacheHierarchy aggregatedColumn="52"/>
        </ext>
      </extLst>
    </cacheHierarchy>
    <cacheHierarchy uniqueName="[Measures].[Sum of Scope 2 kg CO2-e 10]" caption="Sum of Scope 2 kg CO2-e 10" measure="1" displayFolder="" measureGroup="Contractor_Fuels" count="0" hidden="1">
      <extLst>
        <ext xmlns:x15="http://schemas.microsoft.com/office/spreadsheetml/2010/11/main" uri="{B97F6D7D-B522-45F9-BDA1-12C45D357490}">
          <x15:cacheHierarchy aggregatedColumn="53"/>
        </ext>
      </extLst>
    </cacheHierarchy>
    <cacheHierarchy uniqueName="[Measures].[Sum of Scope 3 kg CO2-e 10]" caption="Sum of Scope 3 kg CO2-e 10" measure="1" displayFolder="" measureGroup="Contractor_Fuels" count="0" hidden="1">
      <extLst>
        <ext xmlns:x15="http://schemas.microsoft.com/office/spreadsheetml/2010/11/main" uri="{B97F6D7D-B522-45F9-BDA1-12C45D357490}">
          <x15:cacheHierarchy aggregatedColumn="54"/>
        </ext>
      </extLst>
    </cacheHierarchy>
    <cacheHierarchy uniqueName="[Measures].[Sum of Total Emissions 10]" caption="Sum of Total Emissions 10" measure="1" displayFolder="" measureGroup="Contractor_Fuels" count="0" hidden="1">
      <extLst>
        <ext xmlns:x15="http://schemas.microsoft.com/office/spreadsheetml/2010/11/main" uri="{B97F6D7D-B522-45F9-BDA1-12C45D357490}">
          <x15:cacheHierarchy aggregatedColumn="55"/>
        </ext>
      </extLst>
    </cacheHierarchy>
    <cacheHierarchy uniqueName="[Measures].[Sum of Consumption Quantity 14]" caption="Sum of Consumption Quantity 14" measure="1" displayFolder="" measureGroup="DC_Genset" count="0" hidden="1">
      <extLst>
        <ext xmlns:x15="http://schemas.microsoft.com/office/spreadsheetml/2010/11/main" uri="{B97F6D7D-B522-45F9-BDA1-12C45D357490}">
          <x15:cacheHierarchy aggregatedColumn="61"/>
        </ext>
      </extLst>
    </cacheHierarchy>
    <cacheHierarchy uniqueName="[Measures].[Sum of Total GJ 11]" caption="Sum of Total GJ 11" measure="1" displayFolder="" measureGroup="DC_Genset" count="0" hidden="1">
      <extLst>
        <ext xmlns:x15="http://schemas.microsoft.com/office/spreadsheetml/2010/11/main" uri="{B97F6D7D-B522-45F9-BDA1-12C45D357490}">
          <x15:cacheHierarchy aggregatedColumn="63"/>
        </ext>
      </extLst>
    </cacheHierarchy>
    <cacheHierarchy uniqueName="[Measures].[Sum of Scope 1 kg CO2-e 11]" caption="Sum of Scope 1 kg CO2-e 11" measure="1" displayFolder="" measureGroup="DC_Genset" count="0" hidden="1">
      <extLst>
        <ext xmlns:x15="http://schemas.microsoft.com/office/spreadsheetml/2010/11/main" uri="{B97F6D7D-B522-45F9-BDA1-12C45D357490}">
          <x15:cacheHierarchy aggregatedColumn="64"/>
        </ext>
      </extLst>
    </cacheHierarchy>
    <cacheHierarchy uniqueName="[Measures].[Sum of Scope 2 kg CO2-e 11]" caption="Sum of Scope 2 kg CO2-e 11" measure="1" displayFolder="" measureGroup="DC_Genset" count="0" hidden="1">
      <extLst>
        <ext xmlns:x15="http://schemas.microsoft.com/office/spreadsheetml/2010/11/main" uri="{B97F6D7D-B522-45F9-BDA1-12C45D357490}">
          <x15:cacheHierarchy aggregatedColumn="65"/>
        </ext>
      </extLst>
    </cacheHierarchy>
    <cacheHierarchy uniqueName="[Measures].[Sum of Scope 3 kg CO2-e 11]" caption="Sum of Scope 3 kg CO2-e 11" measure="1" displayFolder="" measureGroup="DC_Genset" count="0" hidden="1">
      <extLst>
        <ext xmlns:x15="http://schemas.microsoft.com/office/spreadsheetml/2010/11/main" uri="{B97F6D7D-B522-45F9-BDA1-12C45D357490}">
          <x15:cacheHierarchy aggregatedColumn="66"/>
        </ext>
      </extLst>
    </cacheHierarchy>
    <cacheHierarchy uniqueName="[Measures].[Sum of Total Emissions 11]" caption="Sum of Total Emissions 11" measure="1" displayFolder="" measureGroup="DC_Genset" count="0" hidden="1">
      <extLst>
        <ext xmlns:x15="http://schemas.microsoft.com/office/spreadsheetml/2010/11/main" uri="{B97F6D7D-B522-45F9-BDA1-12C45D357490}">
          <x15:cacheHierarchy aggregatedColumn="67"/>
        </ext>
      </extLst>
    </cacheHierarchy>
    <cacheHierarchy uniqueName="[Measures].[Sum of Total GJ 12]" caption="Sum of Total GJ 12" measure="1" displayFolder="" measureGroup="LP_Stationary" count="0" hidden="1">
      <extLst>
        <ext xmlns:x15="http://schemas.microsoft.com/office/spreadsheetml/2010/11/main" uri="{B97F6D7D-B522-45F9-BDA1-12C45D357490}">
          <x15:cacheHierarchy aggregatedColumn="220"/>
        </ext>
      </extLst>
    </cacheHierarchy>
    <cacheHierarchy uniqueName="[Measures].[Sum of Scope 1 kg CO2-e 12]" caption="Sum of Scope 1 kg CO2-e 12" measure="1" displayFolder="" measureGroup="LP_Stationary" count="0" hidden="1">
      <extLst>
        <ext xmlns:x15="http://schemas.microsoft.com/office/spreadsheetml/2010/11/main" uri="{B97F6D7D-B522-45F9-BDA1-12C45D357490}">
          <x15:cacheHierarchy aggregatedColumn="221"/>
        </ext>
      </extLst>
    </cacheHierarchy>
    <cacheHierarchy uniqueName="[Measures].[Sum of Scope 2 kg CO2-e 12]" caption="Sum of Scope 2 kg CO2-e 12" measure="1" displayFolder="" measureGroup="LP_Stationary" count="0" hidden="1">
      <extLst>
        <ext xmlns:x15="http://schemas.microsoft.com/office/spreadsheetml/2010/11/main" uri="{B97F6D7D-B522-45F9-BDA1-12C45D357490}">
          <x15:cacheHierarchy aggregatedColumn="222"/>
        </ext>
      </extLst>
    </cacheHierarchy>
    <cacheHierarchy uniqueName="[Measures].[Sum of Scope 3 kg CO2-e 12]" caption="Sum of Scope 3 kg CO2-e 12" measure="1" displayFolder="" measureGroup="LP_Stationary" count="0" hidden="1">
      <extLst>
        <ext xmlns:x15="http://schemas.microsoft.com/office/spreadsheetml/2010/11/main" uri="{B97F6D7D-B522-45F9-BDA1-12C45D357490}">
          <x15:cacheHierarchy aggregatedColumn="223"/>
        </ext>
      </extLst>
    </cacheHierarchy>
    <cacheHierarchy uniqueName="[Measures].[Sum of Total Emissions 12]" caption="Sum of Total Emissions 12" measure="1" displayFolder="" measureGroup="LP_Stationary" count="0" hidden="1">
      <extLst>
        <ext xmlns:x15="http://schemas.microsoft.com/office/spreadsheetml/2010/11/main" uri="{B97F6D7D-B522-45F9-BDA1-12C45D357490}">
          <x15:cacheHierarchy aggregatedColumn="224"/>
        </ext>
      </extLst>
    </cacheHierarchy>
    <cacheHierarchy uniqueName="[Measures].[Sum of Total GJ 13]" caption="Sum of Total GJ 13" measure="1" displayFolder="" measureGroup="NET_Genset_Grounds" count="0" hidden="1">
      <extLst>
        <ext xmlns:x15="http://schemas.microsoft.com/office/spreadsheetml/2010/11/main" uri="{B97F6D7D-B522-45F9-BDA1-12C45D357490}">
          <x15:cacheHierarchy aggregatedColumn="240"/>
        </ext>
      </extLst>
    </cacheHierarchy>
    <cacheHierarchy uniqueName="[Measures].[Sum of Scope 1 kg CO2-e 13]" caption="Sum of Scope 1 kg CO2-e 13" measure="1" displayFolder="" measureGroup="NET_Genset_Grounds" count="0" hidden="1">
      <extLst>
        <ext xmlns:x15="http://schemas.microsoft.com/office/spreadsheetml/2010/11/main" uri="{B97F6D7D-B522-45F9-BDA1-12C45D357490}">
          <x15:cacheHierarchy aggregatedColumn="241"/>
        </ext>
      </extLst>
    </cacheHierarchy>
    <cacheHierarchy uniqueName="[Measures].[Sum of Scope 2 kg CO2-e 13]" caption="Sum of Scope 2 kg CO2-e 13" measure="1" displayFolder="" measureGroup="NET_Genset_Grounds" count="0" hidden="1">
      <extLst>
        <ext xmlns:x15="http://schemas.microsoft.com/office/spreadsheetml/2010/11/main" uri="{B97F6D7D-B522-45F9-BDA1-12C45D357490}">
          <x15:cacheHierarchy aggregatedColumn="242"/>
        </ext>
      </extLst>
    </cacheHierarchy>
    <cacheHierarchy uniqueName="[Measures].[Sum of Scope 3 kg CO2-e 13]" caption="Sum of Scope 3 kg CO2-e 13" measure="1" displayFolder="" measureGroup="NET_Genset_Grounds" count="0" hidden="1">
      <extLst>
        <ext xmlns:x15="http://schemas.microsoft.com/office/spreadsheetml/2010/11/main" uri="{B97F6D7D-B522-45F9-BDA1-12C45D357490}">
          <x15:cacheHierarchy aggregatedColumn="243"/>
        </ext>
      </extLst>
    </cacheHierarchy>
    <cacheHierarchy uniqueName="[Measures].[Sum of Total Emissions 13]" caption="Sum of Total Emissions 13" measure="1" displayFolder="" measureGroup="NET_Genset_Grounds" count="0" hidden="1">
      <extLst>
        <ext xmlns:x15="http://schemas.microsoft.com/office/spreadsheetml/2010/11/main" uri="{B97F6D7D-B522-45F9-BDA1-12C45D357490}">
          <x15:cacheHierarchy aggregatedColumn="244"/>
        </ext>
      </extLst>
    </cacheHierarchy>
    <cacheHierarchy uniqueName="[Measures].[Sum of Total GJ 14]" caption="Sum of Total GJ 14" measure="1" displayFolder="" measureGroup="NON_Genset" count="0" hidden="1">
      <extLst>
        <ext xmlns:x15="http://schemas.microsoft.com/office/spreadsheetml/2010/11/main" uri="{B97F6D7D-B522-45F9-BDA1-12C45D357490}">
          <x15:cacheHierarchy aggregatedColumn="255"/>
        </ext>
      </extLst>
    </cacheHierarchy>
    <cacheHierarchy uniqueName="[Measures].[Sum of Scope 1 kg CO2-e 14]" caption="Sum of Scope 1 kg CO2-e 14" measure="1" displayFolder="" measureGroup="NON_Genset" count="0" hidden="1">
      <extLst>
        <ext xmlns:x15="http://schemas.microsoft.com/office/spreadsheetml/2010/11/main" uri="{B97F6D7D-B522-45F9-BDA1-12C45D357490}">
          <x15:cacheHierarchy aggregatedColumn="256"/>
        </ext>
      </extLst>
    </cacheHierarchy>
    <cacheHierarchy uniqueName="[Measures].[Sum of Scope 2 kg CO2-e 14]" caption="Sum of Scope 2 kg CO2-e 14" measure="1" displayFolder="" measureGroup="NON_Genset" count="0" hidden="1">
      <extLst>
        <ext xmlns:x15="http://schemas.microsoft.com/office/spreadsheetml/2010/11/main" uri="{B97F6D7D-B522-45F9-BDA1-12C45D357490}">
          <x15:cacheHierarchy aggregatedColumn="257"/>
        </ext>
      </extLst>
    </cacheHierarchy>
    <cacheHierarchy uniqueName="[Measures].[Sum of Scope 3 kg CO2-e 14]" caption="Sum of Scope 3 kg CO2-e 14" measure="1" displayFolder="" measureGroup="NON_Genset" count="0" hidden="1">
      <extLst>
        <ext xmlns:x15="http://schemas.microsoft.com/office/spreadsheetml/2010/11/main" uri="{B97F6D7D-B522-45F9-BDA1-12C45D357490}">
          <x15:cacheHierarchy aggregatedColumn="258"/>
        </ext>
      </extLst>
    </cacheHierarchy>
    <cacheHierarchy uniqueName="[Measures].[Sum of Total Emissions 14]" caption="Sum of Total Emissions 14" measure="1" displayFolder="" measureGroup="NON_Genset" count="0" hidden="1">
      <extLst>
        <ext xmlns:x15="http://schemas.microsoft.com/office/spreadsheetml/2010/11/main" uri="{B97F6D7D-B522-45F9-BDA1-12C45D357490}">
          <x15:cacheHierarchy aggregatedColumn="259"/>
        </ext>
      </extLst>
    </cacheHierarchy>
    <cacheHierarchy uniqueName="[Measures].[Sum of Scope 1 kg CO2-e 15]" caption="Sum of Scope 1 kg CO2-e 15" measure="1" displayFolder="" measureGroup="Pitwater" count="0" hidden="1">
      <extLst>
        <ext xmlns:x15="http://schemas.microsoft.com/office/spreadsheetml/2010/11/main" uri="{B97F6D7D-B522-45F9-BDA1-12C45D357490}">
          <x15:cacheHierarchy aggregatedColumn="293"/>
        </ext>
      </extLst>
    </cacheHierarchy>
    <cacheHierarchy uniqueName="[Measures].[Sum of Total GJ 15]" caption="Sum of Total GJ 15" measure="1" displayFolder="" measureGroup="Pitwater" count="0" hidden="1">
      <extLst>
        <ext xmlns:x15="http://schemas.microsoft.com/office/spreadsheetml/2010/11/main" uri="{B97F6D7D-B522-45F9-BDA1-12C45D357490}">
          <x15:cacheHierarchy aggregatedColumn="291"/>
        </ext>
      </extLst>
    </cacheHierarchy>
    <cacheHierarchy uniqueName="[Measures].[Sum of Scope 2 kg CO2-e 15]" caption="Sum of Scope 2 kg CO2-e 15" measure="1" displayFolder="" measureGroup="Pitwater" count="0" hidden="1">
      <extLst>
        <ext xmlns:x15="http://schemas.microsoft.com/office/spreadsheetml/2010/11/main" uri="{B97F6D7D-B522-45F9-BDA1-12C45D357490}">
          <x15:cacheHierarchy aggregatedColumn="294"/>
        </ext>
      </extLst>
    </cacheHierarchy>
    <cacheHierarchy uniqueName="[Measures].[Sum of Scope 3 kg CO2-e 15]" caption="Sum of Scope 3 kg CO2-e 15" measure="1" displayFolder="" measureGroup="Pitwater" count="0" hidden="1">
      <extLst>
        <ext xmlns:x15="http://schemas.microsoft.com/office/spreadsheetml/2010/11/main" uri="{B97F6D7D-B522-45F9-BDA1-12C45D357490}">
          <x15:cacheHierarchy aggregatedColumn="295"/>
        </ext>
      </extLst>
    </cacheHierarchy>
    <cacheHierarchy uniqueName="[Measures].[Sum of Total Emissions 15]" caption="Sum of Total Emissions 15" measure="1" displayFolder="" measureGroup="Pitwater" count="0" hidden="1">
      <extLst>
        <ext xmlns:x15="http://schemas.microsoft.com/office/spreadsheetml/2010/11/main" uri="{B97F6D7D-B522-45F9-BDA1-12C45D357490}">
          <x15:cacheHierarchy aggregatedColumn="296"/>
        </ext>
      </extLst>
    </cacheHierarchy>
    <cacheHierarchy uniqueName="[Measures].[Sum of Total GJ 16]" caption="Sum of Total GJ 16" measure="1" displayFolder="" measureGroup="Grounds_Fuels" count="0" hidden="1">
      <extLst>
        <ext xmlns:x15="http://schemas.microsoft.com/office/spreadsheetml/2010/11/main" uri="{B97F6D7D-B522-45F9-BDA1-12C45D357490}">
          <x15:cacheHierarchy aggregatedColumn="179"/>
        </ext>
      </extLst>
    </cacheHierarchy>
    <cacheHierarchy uniqueName="[Measures].[Sum of Scope 1 kg CO2-e 16]" caption="Sum of Scope 1 kg CO2-e 16" measure="1" displayFolder="" measureGroup="Grounds_Fuels" count="0" hidden="1">
      <extLst>
        <ext xmlns:x15="http://schemas.microsoft.com/office/spreadsheetml/2010/11/main" uri="{B97F6D7D-B522-45F9-BDA1-12C45D357490}">
          <x15:cacheHierarchy aggregatedColumn="180"/>
        </ext>
      </extLst>
    </cacheHierarchy>
    <cacheHierarchy uniqueName="[Measures].[Sum of Scope 2 kg CO2-e 16]" caption="Sum of Scope 2 kg CO2-e 16" measure="1" displayFolder="" measureGroup="Grounds_Fuels" count="0" hidden="1">
      <extLst>
        <ext xmlns:x15="http://schemas.microsoft.com/office/spreadsheetml/2010/11/main" uri="{B97F6D7D-B522-45F9-BDA1-12C45D357490}">
          <x15:cacheHierarchy aggregatedColumn="181"/>
        </ext>
      </extLst>
    </cacheHierarchy>
    <cacheHierarchy uniqueName="[Measures].[Sum of Scope 3 kg CO2-e 16]" caption="Sum of Scope 3 kg CO2-e 16" measure="1" displayFolder="" measureGroup="Grounds_Fuels" count="0" hidden="1">
      <extLst>
        <ext xmlns:x15="http://schemas.microsoft.com/office/spreadsheetml/2010/11/main" uri="{B97F6D7D-B522-45F9-BDA1-12C45D357490}">
          <x15:cacheHierarchy aggregatedColumn="182"/>
        </ext>
      </extLst>
    </cacheHierarchy>
    <cacheHierarchy uniqueName="[Measures].[Sum of Total Emissions 16]" caption="Sum of Total Emissions 16" measure="1" displayFolder="" measureGroup="Grounds_Fuels" count="0" hidden="1">
      <extLst>
        <ext xmlns:x15="http://schemas.microsoft.com/office/spreadsheetml/2010/11/main" uri="{B97F6D7D-B522-45F9-BDA1-12C45D357490}">
          <x15:cacheHierarchy aggregatedColumn="183"/>
        </ext>
      </extLst>
    </cacheHierarchy>
    <cacheHierarchy uniqueName="[Measures].[Sum of Consumption Quantity 15]" caption="Sum of Consumption Quantity 15" measure="1" displayFolder="" measureGroup="Summary" count="0" hidden="1">
      <extLst>
        <ext xmlns:x15="http://schemas.microsoft.com/office/spreadsheetml/2010/11/main" uri="{B97F6D7D-B522-45F9-BDA1-12C45D357490}">
          <x15:cacheHierarchy aggregatedColumn="363"/>
        </ext>
      </extLst>
    </cacheHierarchy>
    <cacheHierarchy uniqueName="[Measures].[Sum of Total GJ 17]" caption="Sum of Total GJ 17" measure="1" displayFolder="" measureGroup="Summary" count="0" hidden="1">
      <extLst>
        <ext xmlns:x15="http://schemas.microsoft.com/office/spreadsheetml/2010/11/main" uri="{B97F6D7D-B522-45F9-BDA1-12C45D357490}">
          <x15:cacheHierarchy aggregatedColumn="364"/>
        </ext>
      </extLst>
    </cacheHierarchy>
    <cacheHierarchy uniqueName="[Measures].[Sum of Scope 1 kg CO2-e 17]" caption="Sum of Scope 1 kg CO2-e 17" measure="1" displayFolder="" measureGroup="Summary" count="0" hidden="1">
      <extLst>
        <ext xmlns:x15="http://schemas.microsoft.com/office/spreadsheetml/2010/11/main" uri="{B97F6D7D-B522-45F9-BDA1-12C45D357490}">
          <x15:cacheHierarchy aggregatedColumn="365"/>
        </ext>
      </extLst>
    </cacheHierarchy>
    <cacheHierarchy uniqueName="[Measures].[Sum of Scope 2 kg CO2-e 17]" caption="Sum of Scope 2 kg CO2-e 17" measure="1" displayFolder="" measureGroup="Summary" count="0" hidden="1">
      <extLst>
        <ext xmlns:x15="http://schemas.microsoft.com/office/spreadsheetml/2010/11/main" uri="{B97F6D7D-B522-45F9-BDA1-12C45D357490}">
          <x15:cacheHierarchy aggregatedColumn="366"/>
        </ext>
      </extLst>
    </cacheHierarchy>
    <cacheHierarchy uniqueName="[Measures].[Sum of Scope 3 kg CO2-e 17]" caption="Sum of Scope 3 kg CO2-e 17" measure="1" displayFolder="" measureGroup="Summary" count="0" hidden="1">
      <extLst>
        <ext xmlns:x15="http://schemas.microsoft.com/office/spreadsheetml/2010/11/main" uri="{B97F6D7D-B522-45F9-BDA1-12C45D357490}">
          <x15:cacheHierarchy aggregatedColumn="367"/>
        </ext>
      </extLst>
    </cacheHierarchy>
    <cacheHierarchy uniqueName="[Measures].[Sum of Total Emissions 17]" caption="Sum of Total Emissions 17" measure="1" displayFolder="" measureGroup="Summary" count="0" hidden="1">
      <extLst>
        <ext xmlns:x15="http://schemas.microsoft.com/office/spreadsheetml/2010/11/main" uri="{B97F6D7D-B522-45F9-BDA1-12C45D357490}">
          <x15:cacheHierarchy aggregatedColumn="368"/>
        </ext>
      </extLst>
    </cacheHierarchy>
    <cacheHierarchy uniqueName="[Measures].[Sum of Unit]" caption="Sum of Unit" measure="1" displayFolder="" measureGroup="Flight_Model" count="0" hidden="1">
      <extLst>
        <ext xmlns:x15="http://schemas.microsoft.com/office/spreadsheetml/2010/11/main" uri="{B97F6D7D-B522-45F9-BDA1-12C45D357490}">
          <x15:cacheHierarchy aggregatedColumn="125"/>
        </ext>
      </extLst>
    </cacheHierarchy>
    <cacheHierarchy uniqueName="[Measures].[Sum of Annual Energy Savings (KWh)]" caption="Sum of Annual Energy Savings (KWh)" measure="1" displayFolder="" measureGroup="Savings_Data" count="0" hidden="1">
      <extLst>
        <ext xmlns:x15="http://schemas.microsoft.com/office/spreadsheetml/2010/11/main" uri="{B97F6D7D-B522-45F9-BDA1-12C45D357490}">
          <x15:cacheHierarchy aggregatedColumn="329"/>
        </ext>
      </extLst>
    </cacheHierarchy>
    <cacheHierarchy uniqueName="[Measures].[Sum of Scope 2 kg CO2-e 18]" caption="Sum of Scope 2 kg CO2-e 18" measure="1" displayFolder="" measureGroup="Savings_Data" count="0" hidden="1">
      <extLst>
        <ext xmlns:x15="http://schemas.microsoft.com/office/spreadsheetml/2010/11/main" uri="{B97F6D7D-B522-45F9-BDA1-12C45D357490}">
          <x15:cacheHierarchy aggregatedColumn="330"/>
        </ext>
      </extLst>
    </cacheHierarchy>
    <cacheHierarchy uniqueName="[Measures].[Sum of Scope 3 kg CO2-e 19]" caption="Sum of Scope 3 kg CO2-e 19" measure="1" displayFolder="" measureGroup="Savings_Data" count="0" hidden="1">
      <extLst>
        <ext xmlns:x15="http://schemas.microsoft.com/office/spreadsheetml/2010/11/main" uri="{B97F6D7D-B522-45F9-BDA1-12C45D357490}">
          <x15:cacheHierarchy aggregatedColumn="331"/>
        </ext>
      </extLst>
    </cacheHierarchy>
    <cacheHierarchy uniqueName="[Measures].[Sum of Total Tonnes]" caption="Sum of Total Tonnes" measure="1" displayFolder="" measureGroup="Savings_Data" count="0" hidden="1">
      <extLst>
        <ext xmlns:x15="http://schemas.microsoft.com/office/spreadsheetml/2010/11/main" uri="{B97F6D7D-B522-45F9-BDA1-12C45D357490}">
          <x15:cacheHierarchy aggregatedColumn="332"/>
        </ext>
      </extLst>
    </cacheHierarchy>
    <cacheHierarchy uniqueName="[Measures].[Sum of Total GJ 18]" caption="Sum of Total GJ 18" measure="1" displayFolder="" measureGroup="Savings_Data" count="0" hidden="1">
      <extLst>
        <ext xmlns:x15="http://schemas.microsoft.com/office/spreadsheetml/2010/11/main" uri="{B97F6D7D-B522-45F9-BDA1-12C45D357490}">
          <x15:cacheHierarchy aggregatedColumn="333"/>
        </ext>
      </extLst>
    </cacheHierarchy>
    <cacheHierarchy uniqueName="[Measures].[Sum of t]" caption="Sum of t" measure="1" displayFolder="" measureGroup="Paper_CSR" count="0" hidden="1">
      <extLst>
        <ext xmlns:x15="http://schemas.microsoft.com/office/spreadsheetml/2010/11/main" uri="{B97F6D7D-B522-45F9-BDA1-12C45D357490}">
          <x15:cacheHierarchy aggregatedColumn="261"/>
        </ext>
      </extLst>
    </cacheHierarchy>
    <cacheHierarchy uniqueName="[Measures].[Sum of Consumption Quantity 16]" caption="Sum of Consumption Quantity 16" measure="1" displayFolder="" measureGroup="Summary37" count="0" hidden="1">
      <extLst>
        <ext xmlns:x15="http://schemas.microsoft.com/office/spreadsheetml/2010/11/main" uri="{B97F6D7D-B522-45F9-BDA1-12C45D357490}">
          <x15:cacheHierarchy aggregatedColumn="372"/>
        </ext>
      </extLst>
    </cacheHierarchy>
    <cacheHierarchy uniqueName="[Measures].[Sum of Total GJ 19]" caption="Sum of Total GJ 19" measure="1" displayFolder="" measureGroup="Summary37" count="0" hidden="1">
      <extLst>
        <ext xmlns:x15="http://schemas.microsoft.com/office/spreadsheetml/2010/11/main" uri="{B97F6D7D-B522-45F9-BDA1-12C45D357490}">
          <x15:cacheHierarchy aggregatedColumn="373"/>
        </ext>
      </extLst>
    </cacheHierarchy>
    <cacheHierarchy uniqueName="[Measures].[Sum of Scope 1 kg CO2-e 18]" caption="Sum of Scope 1 kg CO2-e 18" measure="1" displayFolder="" measureGroup="Summary37" count="0" hidden="1">
      <extLst>
        <ext xmlns:x15="http://schemas.microsoft.com/office/spreadsheetml/2010/11/main" uri="{B97F6D7D-B522-45F9-BDA1-12C45D357490}">
          <x15:cacheHierarchy aggregatedColumn="374"/>
        </ext>
      </extLst>
    </cacheHierarchy>
    <cacheHierarchy uniqueName="[Measures].[Sum of Scope 2 kg CO2-e 19]" caption="Sum of Scope 2 kg CO2-e 19" measure="1" displayFolder="" measureGroup="Summary37" count="0" hidden="1">
      <extLst>
        <ext xmlns:x15="http://schemas.microsoft.com/office/spreadsheetml/2010/11/main" uri="{B97F6D7D-B522-45F9-BDA1-12C45D357490}">
          <x15:cacheHierarchy aggregatedColumn="375"/>
        </ext>
      </extLst>
    </cacheHierarchy>
    <cacheHierarchy uniqueName="[Measures].[Sum of Scope 3 kg CO2-e 18]" caption="Sum of Scope 3 kg CO2-e 18" measure="1" displayFolder="" measureGroup="Summary37" count="0" hidden="1">
      <extLst>
        <ext xmlns:x15="http://schemas.microsoft.com/office/spreadsheetml/2010/11/main" uri="{B97F6D7D-B522-45F9-BDA1-12C45D357490}">
          <x15:cacheHierarchy aggregatedColumn="376"/>
        </ext>
      </extLst>
    </cacheHierarchy>
    <cacheHierarchy uniqueName="[Measures].[Sum of Total Emissions 18]" caption="Sum of Total Emissions 18" measure="1" displayFolder="" measureGroup="Summary37" count="0" hidden="1">
      <extLst>
        <ext xmlns:x15="http://schemas.microsoft.com/office/spreadsheetml/2010/11/main" uri="{B97F6D7D-B522-45F9-BDA1-12C45D357490}">
          <x15:cacheHierarchy aggregatedColumn="377"/>
        </ext>
      </extLst>
    </cacheHierarchy>
    <cacheHierarchy uniqueName="[Measures].[Sum of Sum of Consumption Quantity]" caption="Sum of Sum of Consumption Quantity" measure="1" displayFolder="" measureGroup="BCA_RemovalFY20" count="0" hidden="1">
      <extLst>
        <ext xmlns:x15="http://schemas.microsoft.com/office/spreadsheetml/2010/11/main" uri="{B97F6D7D-B522-45F9-BDA1-12C45D357490}">
          <x15:cacheHierarchy aggregatedColumn="26"/>
        </ext>
      </extLst>
    </cacheHierarchy>
    <cacheHierarchy uniqueName="[Measures].[Sum of Sum of Total GJ]" caption="Sum of Sum of Total GJ" measure="1" displayFolder="" measureGroup="BCA_RemovalFY20" count="0" hidden="1">
      <extLst>
        <ext xmlns:x15="http://schemas.microsoft.com/office/spreadsheetml/2010/11/main" uri="{B97F6D7D-B522-45F9-BDA1-12C45D357490}">
          <x15:cacheHierarchy aggregatedColumn="27"/>
        </ext>
      </extLst>
    </cacheHierarchy>
    <cacheHierarchy uniqueName="[Measures].[Sum of Sum of Scope 1 kg CO2-e]" caption="Sum of Sum of Scope 1 kg CO2-e" measure="1" displayFolder="" measureGroup="BCA_RemovalFY20" count="0" hidden="1">
      <extLst>
        <ext xmlns:x15="http://schemas.microsoft.com/office/spreadsheetml/2010/11/main" uri="{B97F6D7D-B522-45F9-BDA1-12C45D357490}">
          <x15:cacheHierarchy aggregatedColumn="28"/>
        </ext>
      </extLst>
    </cacheHierarchy>
    <cacheHierarchy uniqueName="[Measures].[Sum of Sum of Consumption Quantity 2]" caption="Sum of Sum of Consumption Quantity 2" measure="1" displayFolder="" measureGroup="DC_Genset2839" count="0" hidden="1">
      <extLst>
        <ext xmlns:x15="http://schemas.microsoft.com/office/spreadsheetml/2010/11/main" uri="{B97F6D7D-B522-45F9-BDA1-12C45D357490}">
          <x15:cacheHierarchy aggregatedColumn="76"/>
        </ext>
      </extLst>
    </cacheHierarchy>
    <cacheHierarchy uniqueName="[Measures].[Count of Activity Type Context]" caption="Count of Activity Type Context" measure="1" displayFolder="" measureGroup="Grounds_Fuels33" count="0" hidden="1">
      <extLst>
        <ext xmlns:x15="http://schemas.microsoft.com/office/spreadsheetml/2010/11/main" uri="{B97F6D7D-B522-45F9-BDA1-12C45D357490}">
          <x15:cacheHierarchy aggregatedColumn="187"/>
        </ext>
      </extLst>
    </cacheHierarchy>
    <cacheHierarchy uniqueName="[Measures].[Sum of Consumption Quantity 17]" caption="Sum of Consumption Quantity 17" measure="1" displayFolder="" measureGroup="ReformFY20" count="0" hidden="1">
      <extLst>
        <ext xmlns:x15="http://schemas.microsoft.com/office/spreadsheetml/2010/11/main" uri="{B97F6D7D-B522-45F9-BDA1-12C45D357490}">
          <x15:cacheHierarchy aggregatedColumn="300"/>
        </ext>
      </extLst>
    </cacheHierarchy>
    <cacheHierarchy uniqueName="[Measures].[Sum of Total GJ 20]" caption="Sum of Total GJ 20" measure="1" displayFolder="" measureGroup="ReformFY20" count="0" hidden="1">
      <extLst>
        <ext xmlns:x15="http://schemas.microsoft.com/office/spreadsheetml/2010/11/main" uri="{B97F6D7D-B522-45F9-BDA1-12C45D357490}">
          <x15:cacheHierarchy aggregatedColumn="301"/>
        </ext>
      </extLst>
    </cacheHierarchy>
    <cacheHierarchy uniqueName="[Measures].[Sum of Scope 1 kg CO2-e 19]" caption="Sum of Scope 1 kg CO2-e 19" measure="1" displayFolder="" measureGroup="ReformFY20" count="0" hidden="1">
      <extLst>
        <ext xmlns:x15="http://schemas.microsoft.com/office/spreadsheetml/2010/11/main" uri="{B97F6D7D-B522-45F9-BDA1-12C45D357490}">
          <x15:cacheHierarchy aggregatedColumn="302"/>
        </ext>
      </extLst>
    </cacheHierarchy>
    <cacheHierarchy uniqueName="[Measures].[Sum of Scope 2 kg CO2-e 20]" caption="Sum of Scope 2 kg CO2-e 20" measure="1" displayFolder="" measureGroup="ReformFY20" count="0" hidden="1">
      <extLst>
        <ext xmlns:x15="http://schemas.microsoft.com/office/spreadsheetml/2010/11/main" uri="{B97F6D7D-B522-45F9-BDA1-12C45D357490}">
          <x15:cacheHierarchy aggregatedColumn="303"/>
        </ext>
      </extLst>
    </cacheHierarchy>
    <cacheHierarchy uniqueName="[Measures].[Sum of Scope 3 kg CO2-e 20]" caption="Sum of Scope 3 kg CO2-e 20" measure="1" displayFolder="" measureGroup="ReformFY20" count="0" hidden="1">
      <extLst>
        <ext xmlns:x15="http://schemas.microsoft.com/office/spreadsheetml/2010/11/main" uri="{B97F6D7D-B522-45F9-BDA1-12C45D357490}">
          <x15:cacheHierarchy aggregatedColumn="304"/>
        </ext>
      </extLst>
    </cacheHierarchy>
    <cacheHierarchy uniqueName="[Measures].[Sum of Total Emissions 19]" caption="Sum of Total Emissions 19" measure="1" displayFolder="" measureGroup="ReformFY20" count="0" hidden="1">
      <extLst>
        <ext xmlns:x15="http://schemas.microsoft.com/office/spreadsheetml/2010/11/main" uri="{B97F6D7D-B522-45F9-BDA1-12C45D357490}">
          <x15:cacheHierarchy aggregatedColumn="305"/>
        </ext>
      </extLst>
    </cacheHierarchy>
    <cacheHierarchy uniqueName="[Measures].[Count of Energy Category]" caption="Count of Energy Category" measure="1" displayFolder="" measureGroup="GHG_35" count="0" hidden="1">
      <extLst>
        <ext xmlns:x15="http://schemas.microsoft.com/office/spreadsheetml/2010/11/main" uri="{B97F6D7D-B522-45F9-BDA1-12C45D357490}">
          <x15:cacheHierarchy aggregatedColumn="154"/>
        </ext>
      </extLst>
    </cacheHierarchy>
    <cacheHierarchy uniqueName="[Measures].[Sum of Consumption Quantity 2]" caption="Sum of Consumption Quantity 2" measure="1" displayFolder="" measureGroup="ReformFY20_" count="0" oneField="1" hidden="1">
      <fieldsUsage count="1">
        <fieldUsage x="3"/>
      </fieldsUsage>
      <extLst>
        <ext xmlns:x15="http://schemas.microsoft.com/office/spreadsheetml/2010/11/main" uri="{B97F6D7D-B522-45F9-BDA1-12C45D357490}">
          <x15:cacheHierarchy aggregatedColumn="310"/>
        </ext>
      </extLst>
    </cacheHierarchy>
    <cacheHierarchy uniqueName="[Measures].[Sum of Total GJ 21]" caption="Sum of Total GJ 21" measure="1" displayFolder="" measureGroup="ReformFY20_" count="0" oneField="1" hidden="1">
      <fieldsUsage count="1">
        <fieldUsage x="4"/>
      </fieldsUsage>
      <extLst>
        <ext xmlns:x15="http://schemas.microsoft.com/office/spreadsheetml/2010/11/main" uri="{B97F6D7D-B522-45F9-BDA1-12C45D357490}">
          <x15:cacheHierarchy aggregatedColumn="311"/>
        </ext>
      </extLst>
    </cacheHierarchy>
    <cacheHierarchy uniqueName="[Measures].[Sum of Scope 1 kg CO2-e 20]" caption="Sum of Scope 1 kg CO2-e 20" measure="1" displayFolder="" measureGroup="ReformFY20_" count="0" oneField="1" hidden="1">
      <fieldsUsage count="1">
        <fieldUsage x="5"/>
      </fieldsUsage>
      <extLst>
        <ext xmlns:x15="http://schemas.microsoft.com/office/spreadsheetml/2010/11/main" uri="{B97F6D7D-B522-45F9-BDA1-12C45D357490}">
          <x15:cacheHierarchy aggregatedColumn="312"/>
        </ext>
      </extLst>
    </cacheHierarchy>
    <cacheHierarchy uniqueName="[Measures].[Sum of Scope 2 kg CO2-e 2]" caption="Sum of Scope 2 kg CO2-e 2" measure="1" displayFolder="" measureGroup="ReformFY20_" count="0" oneField="1" hidden="1">
      <fieldsUsage count="1">
        <fieldUsage x="6"/>
      </fieldsUsage>
      <extLst>
        <ext xmlns:x15="http://schemas.microsoft.com/office/spreadsheetml/2010/11/main" uri="{B97F6D7D-B522-45F9-BDA1-12C45D357490}">
          <x15:cacheHierarchy aggregatedColumn="313"/>
        </ext>
      </extLst>
    </cacheHierarchy>
    <cacheHierarchy uniqueName="[Measures].[Sum of Scope 3 kg CO2-e 21]" caption="Sum of Scope 3 kg CO2-e 21" measure="1" displayFolder="" measureGroup="ReformFY20_" count="0" oneField="1" hidden="1">
      <fieldsUsage count="1">
        <fieldUsage x="8"/>
      </fieldsUsage>
      <extLst>
        <ext xmlns:x15="http://schemas.microsoft.com/office/spreadsheetml/2010/11/main" uri="{B97F6D7D-B522-45F9-BDA1-12C45D357490}">
          <x15:cacheHierarchy aggregatedColumn="314"/>
        </ext>
      </extLst>
    </cacheHierarchy>
  </cacheHierarchies>
  <kpis count="0"/>
  <dimensions count="33">
    <dimension name="AVIS" uniqueName="[AVIS]" caption="AVIS"/>
    <dimension name="BCA_Removal" uniqueName="[BCA_Removal]" caption="BCA_Removal"/>
    <dimension name="BCA_RemovalFY20" uniqueName="[BCA_RemovalFY20]" caption="BCA_RemovalFY20"/>
    <dimension name="Calendar" uniqueName="[Calendar]" caption="Calendar"/>
    <dimension name="Contractor_Fuels" uniqueName="[Contractor_Fuels]" caption="Contractor_Fuels"/>
    <dimension name="DC_Genset" uniqueName="[DC_Genset]" caption="DC_Genset"/>
    <dimension name="DC_Genset2839" uniqueName="[DC_Genset2839]" caption="DC_Genset2839"/>
    <dimension name="Entity" uniqueName="[Entity]" caption="Entity"/>
    <dimension name="EntityFY20" uniqueName="[EntityFY20]" caption="EntityFY20"/>
    <dimension name="EntityFY20 1" uniqueName="[EntityFY20 1]" caption="EntityFY20 1"/>
    <dimension name="Flight_Model" uniqueName="[Flight_Model]" caption="Flight_Model"/>
    <dimension name="GasFY20" uniqueName="[GasFY20]" caption="GasFY20"/>
    <dimension name="GHG" uniqueName="[GHG]" caption="GHG"/>
    <dimension name="GHG_35" uniqueName="[GHG_35]" caption="GHG_35"/>
    <dimension name="Grounds_Fuels" uniqueName="[Grounds_Fuels]" caption="Grounds_Fuels"/>
    <dimension name="Grounds_Fuels33" uniqueName="[Grounds_Fuels33]" caption="Grounds_Fuels33"/>
    <dimension name="LP_Fleet" uniqueName="[LP_Fleet]" caption="LP_Fleet"/>
    <dimension name="LP_Stationary" uniqueName="[LP_Stationary]" caption="LP_Stationary"/>
    <dimension measure="1" name="Measures" uniqueName="[Measures]" caption="Measures"/>
    <dimension name="NBN_Removal" uniqueName="[NBN_Removal]" caption="NBN_Removal"/>
    <dimension name="NET_Genset_Grounds" uniqueName="[NET_Genset_Grounds]" caption="NET_Genset_Grounds"/>
    <dimension name="NON_Genset" uniqueName="[NON_Genset]" caption="NON_Genset"/>
    <dimension name="Paper_CSR" uniqueName="[Paper_CSR]" caption="Paper_CSR"/>
    <dimension name="Percentage_Estimates" uniqueName="[Percentage_Estimates]" caption="Percentage_Estimates"/>
    <dimension name="Pitwater" uniqueName="[Pitwater]" caption="Pitwater"/>
    <dimension name="ReformFY20" uniqueName="[ReformFY20]" caption="ReformFY20"/>
    <dimension name="ReformFY20_" uniqueName="[ReformFY20_]" caption="ReformFY20_"/>
    <dimension name="Savings_Data" uniqueName="[Savings_Data]" caption="Savings_Data"/>
    <dimension name="SE_Gas" uniqueName="[SE_Gas]" caption="SE_Gas"/>
    <dimension name="Solar" uniqueName="[Solar]" caption="Solar"/>
    <dimension name="Summary" uniqueName="[Summary]" caption="Summary"/>
    <dimension name="Summary37" uniqueName="[Summary37]" caption="Summary37"/>
    <dimension name="TelstraBCA" uniqueName="[TelstraBCA]" caption="TelstraBCA"/>
  </dimensions>
  <measureGroups count="32">
    <measureGroup name="AVIS" caption="AVIS"/>
    <measureGroup name="BCA_Removal" caption="BCA_Removal"/>
    <measureGroup name="BCA_RemovalFY20" caption="BCA_RemovalFY20"/>
    <measureGroup name="Calendar" caption="Calendar"/>
    <measureGroup name="Contractor_Fuels" caption="Contractor_Fuels"/>
    <measureGroup name="DC_Genset" caption="DC_Genset"/>
    <measureGroup name="DC_Genset2839" caption="DC_Genset2839"/>
    <measureGroup name="Entity" caption="Entity"/>
    <measureGroup name="EntityFY20" caption="EntityFY20"/>
    <measureGroup name="EntityFY20 1" caption="EntityFY20 1"/>
    <measureGroup name="Flight_Model" caption="Flight_Model"/>
    <measureGroup name="GasFY20" caption="GasFY20"/>
    <measureGroup name="GHG" caption="GHG"/>
    <measureGroup name="GHG_35" caption="GHG_35"/>
    <measureGroup name="Grounds_Fuels" caption="Grounds_Fuels"/>
    <measureGroup name="Grounds_Fuels33" caption="Grounds_Fuels33"/>
    <measureGroup name="LP_Fleet" caption="LP_Fleet"/>
    <measureGroup name="LP_Stationary" caption="LP_Stationary"/>
    <measureGroup name="NBN_Removal" caption="NBN_Removal"/>
    <measureGroup name="NET_Genset_Grounds" caption="NET_Genset_Grounds"/>
    <measureGroup name="NON_Genset" caption="NON_Genset"/>
    <measureGroup name="Paper_CSR" caption="Paper_CSR"/>
    <measureGroup name="Percentage_Estimates" caption="Percentage_Estimates"/>
    <measureGroup name="Pitwater" caption="Pitwater"/>
    <measureGroup name="ReformFY20" caption="ReformFY20"/>
    <measureGroup name="ReformFY20_" caption="ReformFY20_"/>
    <measureGroup name="Savings_Data" caption="Savings_Data"/>
    <measureGroup name="SE_Gas" caption="SE_Gas"/>
    <measureGroup name="Solar" caption="Solar"/>
    <measureGroup name="Summary" caption="Summary"/>
    <measureGroup name="Summary37" caption="Summary37"/>
    <measureGroup name="TelstraBCA" caption="TelstraBCA"/>
  </measureGroups>
  <maps count="68">
    <map measureGroup="0" dimension="0"/>
    <map measureGroup="0" dimension="7"/>
    <map measureGroup="0" dimension="12"/>
    <map measureGroup="1" dimension="1"/>
    <map measureGroup="1" dimension="7"/>
    <map measureGroup="1" dimension="12"/>
    <map measureGroup="2" dimension="2"/>
    <map measureGroup="3" dimension="3"/>
    <map measureGroup="4" dimension="4"/>
    <map measureGroup="4" dimension="7"/>
    <map measureGroup="4" dimension="12"/>
    <map measureGroup="5" dimension="5"/>
    <map measureGroup="5" dimension="7"/>
    <map measureGroup="5" dimension="12"/>
    <map measureGroup="6" dimension="6"/>
    <map measureGroup="7" dimension="7"/>
    <map measureGroup="8" dimension="8"/>
    <map measureGroup="9" dimension="9"/>
    <map measureGroup="10" dimension="10"/>
    <map measureGroup="11" dimension="11"/>
    <map measureGroup="12" dimension="12"/>
    <map measureGroup="13" dimension="8"/>
    <map measureGroup="13" dimension="13"/>
    <map measureGroup="14" dimension="7"/>
    <map measureGroup="14" dimension="12"/>
    <map measureGroup="14" dimension="14"/>
    <map measureGroup="15" dimension="15"/>
    <map measureGroup="16" dimension="7"/>
    <map measureGroup="16" dimension="12"/>
    <map measureGroup="16" dimension="16"/>
    <map measureGroup="17" dimension="7"/>
    <map measureGroup="17" dimension="12"/>
    <map measureGroup="17" dimension="17"/>
    <map measureGroup="18" dimension="7"/>
    <map measureGroup="18" dimension="12"/>
    <map measureGroup="18" dimension="19"/>
    <map measureGroup="19" dimension="7"/>
    <map measureGroup="19" dimension="12"/>
    <map measureGroup="19" dimension="20"/>
    <map measureGroup="20" dimension="7"/>
    <map measureGroup="20" dimension="12"/>
    <map measureGroup="20" dimension="21"/>
    <map measureGroup="21" dimension="22"/>
    <map measureGroup="22" dimension="7"/>
    <map measureGroup="22" dimension="12"/>
    <map measureGroup="22" dimension="23"/>
    <map measureGroup="23" dimension="7"/>
    <map measureGroup="23" dimension="12"/>
    <map measureGroup="23" dimension="24"/>
    <map measureGroup="24" dimension="8"/>
    <map measureGroup="24" dimension="9"/>
    <map measureGroup="24" dimension="25"/>
    <map measureGroup="25" dimension="9"/>
    <map measureGroup="25" dimension="26"/>
    <map measureGroup="26" dimension="12"/>
    <map measureGroup="26" dimension="27"/>
    <map measureGroup="27" dimension="7"/>
    <map measureGroup="27" dimension="12"/>
    <map measureGroup="27" dimension="28"/>
    <map measureGroup="28" dimension="7"/>
    <map measureGroup="28" dimension="12"/>
    <map measureGroup="28" dimension="29"/>
    <map measureGroup="29" dimension="7"/>
    <map measureGroup="29" dimension="30"/>
    <map measureGroup="30" dimension="31"/>
    <map measureGroup="31" dimension="7"/>
    <map measureGroup="31" dimension="12"/>
    <map measureGroup="31"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uneni, Sandeep Rao" refreshedDate="44421.465351388892" backgroundQuery="1" createdVersion="6" refreshedVersion="6" minRefreshableVersion="3" recordCount="0" supportSubquery="1" supportAdvancedDrill="1" xr:uid="{5FB474C4-B8D7-43B5-A42E-B2EEA8938C9E}">
  <cacheSource type="external" connectionId="31"/>
  <cacheFields count="12">
    <cacheField name="[EntityFY20 1].[Level 2].[Level 2]" caption="Level 2" numFmtId="0" hierarchy="117" level="1">
      <sharedItems count="3">
        <s v="International"/>
        <s v="Percentage Estimates"/>
        <s v="Telstra Corporation Limited"/>
      </sharedItems>
    </cacheField>
    <cacheField name="[EntityFY20 1].[Source Name].[Source Name]" caption="Source Name" numFmtId="0" hierarchy="112" level="1">
      <sharedItems count="4">
        <s v="Energy Commodities"/>
        <s v="Other Stationary"/>
        <s v="Electricity"/>
        <s v="Transport"/>
      </sharedItems>
    </cacheField>
    <cacheField name="[EntityFY20 1].[Activity Type].[Activity Type]" caption="Activity Type" numFmtId="0" hierarchy="113" level="1">
      <sharedItems count="7">
        <s v="Electricity"/>
        <s v="Diesel Oil"/>
        <s v="Natural gas distributed in pipeline"/>
        <s v="Gasoline"/>
        <s v="Liquified petroleum gas"/>
        <s v="Solar energy for electricity generation"/>
        <s v="Ethanol"/>
      </sharedItems>
    </cacheField>
    <cacheField name="[EntityFY20 1].[Activity Type Context].[Activity Type Context]" caption="Activity Type Context" numFmtId="0" hierarchy="114" level="1">
      <sharedItems count="5">
        <s v="Energy Commodity"/>
        <s v="Non-transport"/>
        <s v="Non-transport (Genset)"/>
        <s v="Transport - Post 2004 vehicles"/>
        <s v="Transport"/>
      </sharedItems>
    </cacheField>
    <cacheField name="[EntityFY20 1].[UoM].[UoM]" caption="UoM" numFmtId="0" hierarchy="122" level="1">
      <sharedItems count="5">
        <s v="kWh"/>
        <s v="L"/>
        <s v="MJ"/>
        <s v="KL"/>
        <s v="GJ"/>
      </sharedItems>
    </cacheField>
    <cacheField name="[Measures].[Sum of Consumption Quantity 2]" caption="Sum of Consumption Quantity 2" numFmtId="0" hierarchy="540" level="32767"/>
    <cacheField name="[Measures].[Sum of Total GJ 21]" caption="Sum of Total GJ 21" numFmtId="0" hierarchy="541" level="32767"/>
    <cacheField name="[Measures].[Sum of Scope 1 kg CO2-e 20]" caption="Sum of Scope 1 kg CO2-e 20" numFmtId="0" hierarchy="542" level="32767"/>
    <cacheField name="[Measures].[Sum of Scope 2 kg CO2-e 2]" caption="Sum of Scope 2 kg CO2-e 2" numFmtId="0" hierarchy="543" level="32767"/>
    <cacheField name="[EntityFY20 1].[Level 1].[Level 1]" caption="Level 1" numFmtId="0" hierarchy="116" level="1">
      <sharedItems count="2">
        <s v="International"/>
        <s v="Telstra Corporation Limited"/>
      </sharedItems>
    </cacheField>
    <cacheField name="[EntityFY20 1].[Level 3 Entity type].[Level 3 Entity type]" caption="Level 3 Entity type" numFmtId="0" hierarchy="119" level="1">
      <sharedItems count="5">
        <s v="International"/>
        <s v="Percentage Estimates"/>
        <s v="Facility"/>
        <s v="Facility Aggregate"/>
        <s v="Network/Pipeline"/>
      </sharedItems>
    </cacheField>
    <cacheField name="[Measures].[Sum of Scope 3 kg CO2-e 21]" caption="Sum of Scope 3 kg CO2-e 21" numFmtId="0" hierarchy="544" level="32767"/>
  </cacheFields>
  <cacheHierarchies count="545">
    <cacheHierarchy uniqueName="[AVIS].[Reporting Alias]" caption="Reporting Alias" attribute="1" defaultMemberUniqueName="[AVIS].[Reporting Alias].[All]" allUniqueName="[AVIS].[Reporting Alias].[All]" dimensionUniqueName="[AVIS]" displayFolder="" count="0" memberValueDatatype="130" unbalanced="0"/>
    <cacheHierarchy uniqueName="[AVIS].[Source Name]" caption="Source Name" attribute="1" defaultMemberUniqueName="[AVIS].[Source Name].[All]" allUniqueName="[AVIS].[Source Name].[All]" dimensionUniqueName="[AVIS]" displayFolder="" count="0" memberValueDatatype="130" unbalanced="0"/>
    <cacheHierarchy uniqueName="[AVIS].[Activity Type]" caption="Activity Type" attribute="1" defaultMemberUniqueName="[AVIS].[Activity Type].[All]" allUniqueName="[AVIS].[Activity Type].[All]" dimensionUniqueName="[AVIS]" displayFolder="" count="0" memberValueDatatype="130" unbalanced="0"/>
    <cacheHierarchy uniqueName="[AVIS].[Activity Type Context]" caption="Activity Type Context" attribute="1" defaultMemberUniqueName="[AVIS].[Activity Type Context].[All]" allUniqueName="[AVIS].[Activity Type Context].[All]" dimensionUniqueName="[AVIS]" displayFolder="" count="0" memberValueDatatype="130" unbalanced="0"/>
    <cacheHierarchy uniqueName="[AVIS].[Entity]" caption="Entity" attribute="1" defaultMemberUniqueName="[AVIS].[Entity].[All]" allUniqueName="[AVIS].[Entity].[All]" dimensionUniqueName="[AVIS]" displayFolder="" count="0" memberValueDatatype="130" unbalanced="0"/>
    <cacheHierarchy uniqueName="[AVIS].[Fuel]" caption="Fuel" attribute="1" defaultMemberUniqueName="[AVIS].[Fuel].[All]" allUniqueName="[AVIS].[Fuel].[All]" dimensionUniqueName="[AVIS]" displayFolder="" count="0" memberValueDatatype="130" unbalanced="0"/>
    <cacheHierarchy uniqueName="[AVIS].[State]" caption="State" attribute="1" defaultMemberUniqueName="[AVIS].[State].[All]" allUniqueName="[AVIS].[State].[All]" dimensionUniqueName="[AVIS]" displayFolder="" count="0" memberValueDatatype="130" unbalanced="0"/>
    <cacheHierarchy uniqueName="[AVIS].[Consumption Quantity (L)]" caption="Consumption Quantity (L)" attribute="1" defaultMemberUniqueName="[AVIS].[Consumption Quantity (L)].[All]" allUniqueName="[AVIS].[Consumption Quantity (L)].[All]" dimensionUniqueName="[AVIS]" displayFolder="" count="0" memberValueDatatype="5" unbalanced="0"/>
    <cacheHierarchy uniqueName="[AVIS].[Consumption Units]" caption="Consumption Units" attribute="1" defaultMemberUniqueName="[AVIS].[Consumption Units].[All]" allUniqueName="[AVIS].[Consumption Units].[All]" dimensionUniqueName="[AVIS]" displayFolder="" count="0" memberValueDatatype="130" unbalanced="0"/>
    <cacheHierarchy uniqueName="[AVIS].[Consumption Quantity]" caption="Consumption Quantity" attribute="1" defaultMemberUniqueName="[AVIS].[Consumption Quantity].[All]" allUniqueName="[AVIS].[Consumption Quantity].[All]" dimensionUniqueName="[AVIS]" displayFolder="" count="0" memberValueDatatype="5" unbalanced="0"/>
    <cacheHierarchy uniqueName="[AVIS].[Total GJ]" caption="Total GJ" attribute="1" defaultMemberUniqueName="[AVIS].[Total GJ].[All]" allUniqueName="[AVIS].[Total GJ].[All]" dimensionUniqueName="[AVIS]" displayFolder="" count="0" memberValueDatatype="5" unbalanced="0"/>
    <cacheHierarchy uniqueName="[AVIS].[Scope 1 kg CO2-e]" caption="Scope 1 kg CO2-e" attribute="1" defaultMemberUniqueName="[AVIS].[Scope 1 kg CO2-e].[All]" allUniqueName="[AVIS].[Scope 1 kg CO2-e].[All]" dimensionUniqueName="[AVIS]" displayFolder="" count="0" memberValueDatatype="5" unbalanced="0"/>
    <cacheHierarchy uniqueName="[AVIS].[Scope 2 kg CO2-e]" caption="Scope 2 kg CO2-e" attribute="1" defaultMemberUniqueName="[AVIS].[Scope 2 kg CO2-e].[All]" allUniqueName="[AVIS].[Scope 2 kg CO2-e].[All]" dimensionUniqueName="[AVIS]" displayFolder="" count="0" memberValueDatatype="5" unbalanced="0"/>
    <cacheHierarchy uniqueName="[AVIS].[Scope 3 kg CO2-e]" caption="Scope 3 kg CO2-e" attribute="1" defaultMemberUniqueName="[AVIS].[Scope 3 kg CO2-e].[All]" allUniqueName="[AVIS].[Scope 3 kg CO2-e].[All]" dimensionUniqueName="[AVIS]" displayFolder="" count="0" memberValueDatatype="5" unbalanced="0"/>
    <cacheHierarchy uniqueName="[AVIS].[Total Emissions]" caption="Total Emissions" attribute="1" defaultMemberUniqueName="[AVIS].[Total Emissions].[All]" allUniqueName="[AVIS].[Total Emissions].[All]" dimensionUniqueName="[AVIS]" displayFolder="" count="0" memberValueDatatype="5" unbalanced="0"/>
    <cacheHierarchy uniqueName="[BCA_Removal].[Reporting Alias]" caption="Reporting Alias" attribute="1" defaultMemberUniqueName="[BCA_Removal].[Reporting Alias].[All]" allUniqueName="[BCA_Removal].[Reporting Alias].[All]" dimensionUniqueName="[BCA_Removal]" displayFolder="" count="0" memberValueDatatype="130" unbalanced="0"/>
    <cacheHierarchy uniqueName="[BCA_Removal].[Consumption Quantity]" caption="Consumption Quantity" attribute="1" defaultMemberUniqueName="[BCA_Removal].[Consumption Quantity].[All]" allUniqueName="[BCA_Removal].[Consumption Quantity].[All]" dimensionUniqueName="[BCA_Removal]" displayFolder="" count="0" memberValueDatatype="5" unbalanced="0"/>
    <cacheHierarchy uniqueName="[BCA_Removal].[Scope 2 kg CO2-e]" caption="Scope 2 kg CO2-e" attribute="1" defaultMemberUniqueName="[BCA_Removal].[Scope 2 kg CO2-e].[All]" allUniqueName="[BCA_Removal].[Scope 2 kg CO2-e].[All]" dimensionUniqueName="[BCA_Removal]" displayFolder="" count="0" memberValueDatatype="5" unbalanced="0"/>
    <cacheHierarchy uniqueName="[BCA_Removal].[Scope 1 kg CO2-e]" caption="Scope 1 kg CO2-e" attribute="1" defaultMemberUniqueName="[BCA_Removal].[Scope 1 kg CO2-e].[All]" allUniqueName="[BCA_Removal].[Scope 1 kg CO2-e].[All]" dimensionUniqueName="[BCA_Removal]" displayFolder="" count="0" memberValueDatatype="5" unbalanced="0"/>
    <cacheHierarchy uniqueName="[BCA_Removal].[Scope 3 kg CO2-e]" caption="Scope 3 kg CO2-e" attribute="1" defaultMemberUniqueName="[BCA_Removal].[Scope 3 kg CO2-e].[All]" allUniqueName="[BCA_Removal].[Scope 3 kg CO2-e].[All]" dimensionUniqueName="[BCA_Removal]" displayFolder="" count="0" memberValueDatatype="5" unbalanced="0"/>
    <cacheHierarchy uniqueName="[BCA_Removal].[Total GJ]" caption="Total GJ" attribute="1" defaultMemberUniqueName="[BCA_Removal].[Total GJ].[All]" allUniqueName="[BCA_Removal].[Total GJ].[All]" dimensionUniqueName="[BCA_Removal]" displayFolder="" count="0" memberValueDatatype="5" unbalanced="0"/>
    <cacheHierarchy uniqueName="[BCA_Removal].[Total Emissions]" caption="Total Emissions" attribute="1" defaultMemberUniqueName="[BCA_Removal].[Total Emissions].[All]" allUniqueName="[BCA_Removal].[Total Emissions].[All]" dimensionUniqueName="[BCA_Removal]" displayFolder="" count="0" memberValueDatatype="5" unbalanced="0"/>
    <cacheHierarchy uniqueName="[BCA_RemovalFY20].[Reporting Alias]" caption="Reporting Alias" attribute="1" defaultMemberUniqueName="[BCA_RemovalFY20].[Reporting Alias].[All]" allUniqueName="[BCA_RemovalFY20].[Reporting Alias].[All]" dimensionUniqueName="[BCA_RemovalFY20]" displayFolder="" count="0" memberValueDatatype="130" unbalanced="0"/>
    <cacheHierarchy uniqueName="[BCA_RemovalFY20].[Consumption Quantity]" caption="Consumption Quantity" attribute="1" defaultMemberUniqueName="[BCA_RemovalFY20].[Consumption Quantity].[All]" allUniqueName="[BCA_RemovalFY20].[Consumption Quantity].[All]" dimensionUniqueName="[BCA_RemovalFY20]" displayFolder="" count="0" memberValueDatatype="20" unbalanced="0"/>
    <cacheHierarchy uniqueName="[BCA_RemovalFY20].[UoM]" caption="UoM" attribute="1" defaultMemberUniqueName="[BCA_RemovalFY20].[UoM].[All]" allUniqueName="[BCA_RemovalFY20].[UoM].[All]" dimensionUniqueName="[BCA_RemovalFY20]" displayFolder="" count="0" memberValueDatatype="130" unbalanced="0"/>
    <cacheHierarchy uniqueName="[BCA_RemovalFY20].[Primary Criterion]" caption="Primary Criterion" attribute="1" defaultMemberUniqueName="[BCA_RemovalFY20].[Primary Criterion].[All]" allUniqueName="[BCA_RemovalFY20].[Primary Criterion].[All]" dimensionUniqueName="[BCA_RemovalFY20]" displayFolder="" count="0" memberValueDatatype="130" unbalanced="0"/>
    <cacheHierarchy uniqueName="[BCA_RemovalFY20].[Sum of Consumption Quantity]" caption="Sum of Consumption Quantity" attribute="1" defaultMemberUniqueName="[BCA_RemovalFY20].[Sum of Consumption Quantity].[All]" allUniqueName="[BCA_RemovalFY20].[Sum of Consumption Quantity].[All]" dimensionUniqueName="[BCA_RemovalFY20]" displayFolder="" count="0" memberValueDatatype="20" unbalanced="0"/>
    <cacheHierarchy uniqueName="[BCA_RemovalFY20].[Sum of Total GJ]" caption="Sum of Total GJ" attribute="1" defaultMemberUniqueName="[BCA_RemovalFY20].[Sum of Total GJ].[All]" allUniqueName="[BCA_RemovalFY20].[Sum of Total GJ].[All]" dimensionUniqueName="[BCA_RemovalFY20]" displayFolder="" count="0" memberValueDatatype="5" unbalanced="0"/>
    <cacheHierarchy uniqueName="[BCA_RemovalFY20].[Sum of Scope 1 kg CO2-e]" caption="Sum of Scope 1 kg CO2-e" attribute="1" defaultMemberUniqueName="[BCA_RemovalFY20].[Sum of Scope 1 kg CO2-e].[All]" allUniqueName="[BCA_RemovalFY20].[Sum of Scope 1 kg CO2-e].[All]" dimensionUniqueName="[BCA_RemovalFY20]" displayFolder="" count="0" memberValueDatatype="20" unbalanced="0"/>
    <cacheHierarchy uniqueName="[BCA_RemovalFY20].[Sum of Scope 2 kg CO2-e]" caption="Sum of Scope 2 kg CO2-e" attribute="1" defaultMemberUniqueName="[BCA_RemovalFY20].[Sum of Scope 2 kg CO2-e].[All]" allUniqueName="[BCA_RemovalFY20].[Sum of Scope 2 kg CO2-e].[All]" dimensionUniqueName="[BCA_RemovalFY20]" displayFolder="" count="0" memberValueDatatype="5" unbalanced="0"/>
    <cacheHierarchy uniqueName="[BCA_RemovalFY20].[Sum of Scope 3 kg CO2-e]" caption="Sum of Scope 3 kg CO2-e" attribute="1" defaultMemberUniqueName="[BCA_RemovalFY20].[Sum of Scope 3 kg CO2-e].[All]" allUniqueName="[BCA_RemovalFY20].[Sum of Scope 3 kg CO2-e].[All]" dimensionUniqueName="[BCA_RemovalFY20]" displayFolder="" count="0" memberValueDatatype="5" unbalanced="0"/>
    <cacheHierarchy uniqueName="[BCA_RemovalFY20].[Sum of Total Emissions]" caption="Sum of Total Emissions" attribute="1" defaultMemberUniqueName="[BCA_RemovalFY20].[Sum of Total Emissions].[All]" allUniqueName="[BCA_RemovalFY20].[Sum of Total Emissions].[All]" dimensionUniqueName="[BCA_RemovalFY20]" displayFolder="" count="0" memberValueDatatype="5"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ontractor_Fuels].[Reporting Alias]" caption="Reporting Alias" attribute="1" defaultMemberUniqueName="[Contractor_Fuels].[Reporting Alias].[All]" allUniqueName="[Contractor_Fuels].[Reporting Alias].[All]" dimensionUniqueName="[Contractor_Fuels]" displayFolder="" count="0" memberValueDatatype="130" unbalanced="0"/>
    <cacheHierarchy uniqueName="[Contractor_Fuels].[Contractor type]" caption="Contractor type" attribute="1" defaultMemberUniqueName="[Contractor_Fuels].[Contractor type].[All]" allUniqueName="[Contractor_Fuels].[Contractor type].[All]" dimensionUniqueName="[Contractor_Fuels]" displayFolder="" count="0" memberValueDatatype="130" unbalanced="0"/>
    <cacheHierarchy uniqueName="[Contractor_Fuels].[Source Name]" caption="Source Name" attribute="1" defaultMemberUniqueName="[Contractor_Fuels].[Source Name].[All]" allUniqueName="[Contractor_Fuels].[Source Name].[All]" dimensionUniqueName="[Contractor_Fuels]" displayFolder="" count="0" memberValueDatatype="130" unbalanced="0"/>
    <cacheHierarchy uniqueName="[Contractor_Fuels].[Activity Type]" caption="Activity Type" attribute="1" defaultMemberUniqueName="[Contractor_Fuels].[Activity Type].[All]" allUniqueName="[Contractor_Fuels].[Activity Type].[All]" dimensionUniqueName="[Contractor_Fuels]" displayFolder="" count="0" memberValueDatatype="130" unbalanced="0"/>
    <cacheHierarchy uniqueName="[Contractor_Fuels].[Activity Type Context]" caption="Activity Type Context" attribute="1" defaultMemberUniqueName="[Contractor_Fuels].[Activity Type Context].[All]" allUniqueName="[Contractor_Fuels].[Activity Type Context].[All]" dimensionUniqueName="[Contractor_Fuels]" displayFolder="" count="0" memberValueDatatype="130" unbalanced="0"/>
    <cacheHierarchy uniqueName="[Contractor_Fuels].[Entity]" caption="Entity" attribute="1" defaultMemberUniqueName="[Contractor_Fuels].[Entity].[All]" allUniqueName="[Contractor_Fuels].[Entity].[All]" dimensionUniqueName="[Contractor_Fuels]" displayFolder="" count="0" memberValueDatatype="130" unbalanced="0"/>
    <cacheHierarchy uniqueName="[Contractor_Fuels].[Fuel]" caption="Fuel" attribute="1" defaultMemberUniqueName="[Contractor_Fuels].[Fuel].[All]" allUniqueName="[Contractor_Fuels].[Fuel].[All]" dimensionUniqueName="[Contractor_Fuels]" displayFolder="" count="0" memberValueDatatype="130" unbalanced="0"/>
    <cacheHierarchy uniqueName="[Contractor_Fuels].[State]" caption="State" attribute="1" defaultMemberUniqueName="[Contractor_Fuels].[State].[All]" allUniqueName="[Contractor_Fuels].[State].[All]" dimensionUniqueName="[Contractor_Fuels]" displayFolder="" count="0" memberValueDatatype="130" unbalanced="0"/>
    <cacheHierarchy uniqueName="[Contractor_Fuels].[Consumption Quantity (L)]" caption="Consumption Quantity (L)" attribute="1" defaultMemberUniqueName="[Contractor_Fuels].[Consumption Quantity (L)].[All]" allUniqueName="[Contractor_Fuels].[Consumption Quantity (L)].[All]" dimensionUniqueName="[Contractor_Fuels]" displayFolder="" count="0" memberValueDatatype="5" unbalanced="0"/>
    <cacheHierarchy uniqueName="[Contractor_Fuels].[Consumption  Units]" caption="Consumption  Units" attribute="1" defaultMemberUniqueName="[Contractor_Fuels].[Consumption  Units].[All]" allUniqueName="[Contractor_Fuels].[Consumption  Units].[All]" dimensionUniqueName="[Contractor_Fuels]" displayFolder="" count="0" memberValueDatatype="130" unbalanced="0"/>
    <cacheHierarchy uniqueName="[Contractor_Fuels].[Consumption Quantity]" caption="Consumption Quantity" attribute="1" defaultMemberUniqueName="[Contractor_Fuels].[Consumption Quantity].[All]" allUniqueName="[Contractor_Fuels].[Consumption Quantity].[All]" dimensionUniqueName="[Contractor_Fuels]" displayFolder="" count="0" memberValueDatatype="5" unbalanced="0"/>
    <cacheHierarchy uniqueName="[Contractor_Fuels].[Total GJ]" caption="Total GJ" attribute="1" defaultMemberUniqueName="[Contractor_Fuels].[Total GJ].[All]" allUniqueName="[Contractor_Fuels].[Total GJ].[All]" dimensionUniqueName="[Contractor_Fuels]" displayFolder="" count="0" memberValueDatatype="5" unbalanced="0"/>
    <cacheHierarchy uniqueName="[Contractor_Fuels].[Scope 1 kg CO2-e]" caption="Scope 1 kg CO2-e" attribute="1" defaultMemberUniqueName="[Contractor_Fuels].[Scope 1 kg CO2-e].[All]" allUniqueName="[Contractor_Fuels].[Scope 1 kg CO2-e].[All]" dimensionUniqueName="[Contractor_Fuels]" displayFolder="" count="0" memberValueDatatype="5" unbalanced="0"/>
    <cacheHierarchy uniqueName="[Contractor_Fuels].[Scope 2 kg CO2-e]" caption="Scope 2 kg CO2-e" attribute="1" defaultMemberUniqueName="[Contractor_Fuels].[Scope 2 kg CO2-e].[All]" allUniqueName="[Contractor_Fuels].[Scope 2 kg CO2-e].[All]" dimensionUniqueName="[Contractor_Fuels]" displayFolder="" count="0" memberValueDatatype="5" unbalanced="0"/>
    <cacheHierarchy uniqueName="[Contractor_Fuels].[Scope 3 kg CO2-e]" caption="Scope 3 kg CO2-e" attribute="1" defaultMemberUniqueName="[Contractor_Fuels].[Scope 3 kg CO2-e].[All]" allUniqueName="[Contractor_Fuels].[Scope 3 kg CO2-e].[All]" dimensionUniqueName="[Contractor_Fuels]" displayFolder="" count="0" memberValueDatatype="5" unbalanced="0"/>
    <cacheHierarchy uniqueName="[Contractor_Fuels].[Total Emissions]" caption="Total Emissions" attribute="1" defaultMemberUniqueName="[Contractor_Fuels].[Total Emissions].[All]" allUniqueName="[Contractor_Fuels].[Total Emissions].[All]" dimensionUniqueName="[Contractor_Fuels]" displayFolder="" count="0" memberValueDatatype="5" unbalanced="0"/>
    <cacheHierarchy uniqueName="[DC_Genset].[Reporting Alias]" caption="Reporting Alias" attribute="1" defaultMemberUniqueName="[DC_Genset].[Reporting Alias].[All]" allUniqueName="[DC_Genset].[Reporting Alias].[All]" dimensionUniqueName="[DC_Genset]" displayFolder="" count="0" memberValueDatatype="130" unbalanced="0"/>
    <cacheHierarchy uniqueName="[DC_Genset].[Fuel]" caption="Fuel" attribute="1" defaultMemberUniqueName="[DC_Genset].[Fuel].[All]" allUniqueName="[DC_Genset].[Fuel].[All]" dimensionUniqueName="[DC_Genset]" displayFolder="" count="0" memberValueDatatype="130" unbalanced="0"/>
    <cacheHierarchy uniqueName="[DC_Genset].[State]" caption="State" attribute="1" defaultMemberUniqueName="[DC_Genset].[State].[All]" allUniqueName="[DC_Genset].[State].[All]" dimensionUniqueName="[DC_Genset]" displayFolder="" count="0" memberValueDatatype="130" unbalanced="0"/>
    <cacheHierarchy uniqueName="[DC_Genset].[Consumption Quantity (L)]" caption="Consumption Quantity (L)" attribute="1" defaultMemberUniqueName="[DC_Genset].[Consumption Quantity (L)].[All]" allUniqueName="[DC_Genset].[Consumption Quantity (L)].[All]" dimensionUniqueName="[DC_Genset]" displayFolder="" count="0" memberValueDatatype="5" unbalanced="0"/>
    <cacheHierarchy uniqueName="[DC_Genset].[Consumption  Units]" caption="Consumption  Units" attribute="1" defaultMemberUniqueName="[DC_Genset].[Consumption  Units].[All]" allUniqueName="[DC_Genset].[Consumption  Units].[All]" dimensionUniqueName="[DC_Genset]" displayFolder="" count="0" memberValueDatatype="130" unbalanced="0"/>
    <cacheHierarchy uniqueName="[DC_Genset].[Consumption Quantity]" caption="Consumption Quantity" attribute="1" defaultMemberUniqueName="[DC_Genset].[Consumption Quantity].[All]" allUniqueName="[DC_Genset].[Consumption Quantity].[All]" dimensionUniqueName="[DC_Genset]" displayFolder="" count="0" memberValueDatatype="5" unbalanced="0"/>
    <cacheHierarchy uniqueName="[DC_Genset].[UoM]" caption="UoM" attribute="1" defaultMemberUniqueName="[DC_Genset].[UoM].[All]" allUniqueName="[DC_Genset].[UoM].[All]" dimensionUniqueName="[DC_Genset]" displayFolder="" count="0" memberValueDatatype="130" unbalanced="0"/>
    <cacheHierarchy uniqueName="[DC_Genset].[Total GJ]" caption="Total GJ" attribute="1" defaultMemberUniqueName="[DC_Genset].[Total GJ].[All]" allUniqueName="[DC_Genset].[Total GJ].[All]" dimensionUniqueName="[DC_Genset]" displayFolder="" count="0" memberValueDatatype="5" unbalanced="0"/>
    <cacheHierarchy uniqueName="[DC_Genset].[Scope 1 kg CO2-e]" caption="Scope 1 kg CO2-e" attribute="1" defaultMemberUniqueName="[DC_Genset].[Scope 1 kg CO2-e].[All]" allUniqueName="[DC_Genset].[Scope 1 kg CO2-e].[All]" dimensionUniqueName="[DC_Genset]" displayFolder="" count="0" memberValueDatatype="5" unbalanced="0"/>
    <cacheHierarchy uniqueName="[DC_Genset].[Scope 2 kg CO2-e]" caption="Scope 2 kg CO2-e" attribute="1" defaultMemberUniqueName="[DC_Genset].[Scope 2 kg CO2-e].[All]" allUniqueName="[DC_Genset].[Scope 2 kg CO2-e].[All]" dimensionUniqueName="[DC_Genset]" displayFolder="" count="0" memberValueDatatype="5" unbalanced="0"/>
    <cacheHierarchy uniqueName="[DC_Genset].[Scope 3 kg CO2-e]" caption="Scope 3 kg CO2-e" attribute="1" defaultMemberUniqueName="[DC_Genset].[Scope 3 kg CO2-e].[All]" allUniqueName="[DC_Genset].[Scope 3 kg CO2-e].[All]" dimensionUniqueName="[DC_Genset]" displayFolder="" count="0" memberValueDatatype="5" unbalanced="0"/>
    <cacheHierarchy uniqueName="[DC_Genset].[Total Emissions]" caption="Total Emissions" attribute="1" defaultMemberUniqueName="[DC_Genset].[Total Emissions].[All]" allUniqueName="[DC_Genset].[Total Emissions].[All]" dimensionUniqueName="[DC_Genset]" displayFolder="" count="0" memberValueDatatype="5" unbalanced="0"/>
    <cacheHierarchy uniqueName="[DC_Genset2839].[Reporting Alias]" caption="Reporting Alias" attribute="1" defaultMemberUniqueName="[DC_Genset2839].[Reporting Alias].[All]" allUniqueName="[DC_Genset2839].[Reporting Alias].[All]" dimensionUniqueName="[DC_Genset2839]" displayFolder="" count="0" memberValueDatatype="130" unbalanced="0"/>
    <cacheHierarchy uniqueName="[DC_Genset2839].[Fuel]" caption="Fuel" attribute="1" defaultMemberUniqueName="[DC_Genset2839].[Fuel].[All]" allUniqueName="[DC_Genset2839].[Fuel].[All]" dimensionUniqueName="[DC_Genset2839]" displayFolder="" count="0" memberValueDatatype="130" unbalanced="0"/>
    <cacheHierarchy uniqueName="[DC_Genset2839].[State]" caption="State" attribute="1" defaultMemberUniqueName="[DC_Genset2839].[State].[All]" allUniqueName="[DC_Genset2839].[State].[All]" dimensionUniqueName="[DC_Genset2839]" displayFolder="" count="0" memberValueDatatype="130" unbalanced="0"/>
    <cacheHierarchy uniqueName="[DC_Genset2839].[Consumption Quantity (L)]" caption="Consumption Quantity (L)" attribute="1" defaultMemberUniqueName="[DC_Genset2839].[Consumption Quantity (L)].[All]" allUniqueName="[DC_Genset2839].[Consumption Quantity (L)].[All]" dimensionUniqueName="[DC_Genset2839]" displayFolder="" count="0" memberValueDatatype="5" unbalanced="0"/>
    <cacheHierarchy uniqueName="[DC_Genset2839].[Consumption  Units]" caption="Consumption  Units" attribute="1" defaultMemberUniqueName="[DC_Genset2839].[Consumption  Units].[All]" allUniqueName="[DC_Genset2839].[Consumption  Units].[All]" dimensionUniqueName="[DC_Genset2839]" displayFolder="" count="0" memberValueDatatype="130" unbalanced="0"/>
    <cacheHierarchy uniqueName="[DC_Genset2839].[Consumption Quantity]" caption="Consumption Quantity" attribute="1" defaultMemberUniqueName="[DC_Genset2839].[Consumption Quantity].[All]" allUniqueName="[DC_Genset2839].[Consumption Quantity].[All]" dimensionUniqueName="[DC_Genset2839]" displayFolder="" count="0" memberValueDatatype="5" unbalanced="0"/>
    <cacheHierarchy uniqueName="[DC_Genset2839].[UoM]" caption="UoM" attribute="1" defaultMemberUniqueName="[DC_Genset2839].[UoM].[All]" allUniqueName="[DC_Genset2839].[UoM].[All]" dimensionUniqueName="[DC_Genset2839]" displayFolder="" count="0" memberValueDatatype="130" unbalanced="0"/>
    <cacheHierarchy uniqueName="[DC_Genset2839].[Primary Criterion]" caption="Primary Criterion" attribute="1" defaultMemberUniqueName="[DC_Genset2839].[Primary Criterion].[All]" allUniqueName="[DC_Genset2839].[Primary Criterion].[All]" dimensionUniqueName="[DC_Genset2839]" displayFolder="" count="0" memberValueDatatype="130" unbalanced="0"/>
    <cacheHierarchy uniqueName="[DC_Genset2839].[Sum of Consumption Quantity]" caption="Sum of Consumption Quantity" attribute="1" defaultMemberUniqueName="[DC_Genset2839].[Sum of Consumption Quantity].[All]" allUniqueName="[DC_Genset2839].[Sum of Consumption Quantity].[All]" dimensionUniqueName="[DC_Genset2839]" displayFolder="" count="0" memberValueDatatype="5" unbalanced="0"/>
    <cacheHierarchy uniqueName="[DC_Genset2839].[Sum of Total GJ]" caption="Sum of Total GJ" attribute="1" defaultMemberUniqueName="[DC_Genset2839].[Sum of Total GJ].[All]" allUniqueName="[DC_Genset2839].[Sum of Total GJ].[All]" dimensionUniqueName="[DC_Genset2839]" displayFolder="" count="0" memberValueDatatype="5" unbalanced="0"/>
    <cacheHierarchy uniqueName="[DC_Genset2839].[Sum of Scope 1 kg CO2-e]" caption="Sum of Scope 1 kg CO2-e" attribute="1" defaultMemberUniqueName="[DC_Genset2839].[Sum of Scope 1 kg CO2-e].[All]" allUniqueName="[DC_Genset2839].[Sum of Scope 1 kg CO2-e].[All]" dimensionUniqueName="[DC_Genset2839]" displayFolder="" count="0" memberValueDatatype="5" unbalanced="0"/>
    <cacheHierarchy uniqueName="[DC_Genset2839].[Sum of Scope 2 kg CO2-e]" caption="Sum of Scope 2 kg CO2-e" attribute="1" defaultMemberUniqueName="[DC_Genset2839].[Sum of Scope 2 kg CO2-e].[All]" allUniqueName="[DC_Genset2839].[Sum of Scope 2 kg CO2-e].[All]" dimensionUniqueName="[DC_Genset2839]" displayFolder="" count="0" memberValueDatatype="20" unbalanced="0"/>
    <cacheHierarchy uniqueName="[DC_Genset2839].[Sum of Scope 3 kg CO2-e]" caption="Sum of Scope 3 kg CO2-e" attribute="1" defaultMemberUniqueName="[DC_Genset2839].[Sum of Scope 3 kg CO2-e].[All]" allUniqueName="[DC_Genset2839].[Sum of Scope 3 kg CO2-e].[All]" dimensionUniqueName="[DC_Genset2839]" displayFolder="" count="0" memberValueDatatype="5" unbalanced="0"/>
    <cacheHierarchy uniqueName="[DC_Genset2839].[Sum of Total Emissions]" caption="Sum of Total Emissions" attribute="1" defaultMemberUniqueName="[DC_Genset2839].[Sum of Total Emissions].[All]" allUniqueName="[DC_Genset2839].[Sum of Total Emissions].[All]" dimensionUniqueName="[DC_Genset2839]" displayFolder="" count="0" memberValueDatatype="5" unbalanced="0"/>
    <cacheHierarchy uniqueName="[Entity].[Reporting Alias]" caption="Reporting Alias" attribute="1" defaultMemberUniqueName="[Entity].[Reporting Alias].[All]" allUniqueName="[Entity].[Reporting Alias].[All]" dimensionUniqueName="[Entity]" displayFolder="" count="0" memberValueDatatype="130" unbalanced="0"/>
    <cacheHierarchy uniqueName="[Entity].[Emission Source]" caption="Emission Source" attribute="1" defaultMemberUniqueName="[Entity].[Emission Source].[All]" allUniqueName="[Entity].[Emission Source].[All]" dimensionUniqueName="[Entity]" displayFolder="" count="0" memberValueDatatype="130" unbalanced="0"/>
    <cacheHierarchy uniqueName="[Entity].[Source Name]" caption="Source Name" attribute="1" defaultMemberUniqueName="[Entity].[Source Name].[All]" allUniqueName="[Entity].[Source Name].[All]" dimensionUniqueName="[Entity]" displayFolder="" count="0" memberValueDatatype="130" unbalanced="0"/>
    <cacheHierarchy uniqueName="[Entity].[Activity Type]" caption="Activity Type" attribute="1" defaultMemberUniqueName="[Entity].[Activity Type].[All]" allUniqueName="[Entity].[Activity Type].[All]" dimensionUniqueName="[Entity]" displayFolder="" count="0" memberValueDatatype="130" unbalanced="0"/>
    <cacheHierarchy uniqueName="[Entity].[Activity Type Context]" caption="Activity Type Context" attribute="1" defaultMemberUniqueName="[Entity].[Activity Type Context].[All]" allUniqueName="[Entity].[Activity Type Context].[All]" dimensionUniqueName="[Entity]" displayFolder="" count="0" memberValueDatatype="130" unbalanced="0"/>
    <cacheHierarchy uniqueName="[Entity].[Entity]" caption="Entity" attribute="1" defaultMemberUniqueName="[Entity].[Entity].[All]" allUniqueName="[Entity].[Entity].[All]" dimensionUniqueName="[Entity]" displayFolder="" count="0" memberValueDatatype="130" unbalanced="0"/>
    <cacheHierarchy uniqueName="[Entity].[Level 1]" caption="Level 1" attribute="1" defaultMemberUniqueName="[Entity].[Level 1].[All]" allUniqueName="[Entity].[Level 1].[All]" dimensionUniqueName="[Entity]" displayFolder="" count="0" memberValueDatatype="130" unbalanced="0"/>
    <cacheHierarchy uniqueName="[Entity].[Level 2]" caption="Level 2" attribute="1" defaultMemberUniqueName="[Entity].[Level 2].[All]" allUniqueName="[Entity].[Level 2].[All]" dimensionUniqueName="[Entity]" displayFolder="" count="0" memberValueDatatype="130" unbalanced="0"/>
    <cacheHierarchy uniqueName="[Entity].[Level 3]" caption="Level 3" attribute="1" defaultMemberUniqueName="[Entity].[Level 3].[All]" allUniqueName="[Entity].[Level 3].[All]" dimensionUniqueName="[Entity]" displayFolder="" count="0" memberValueDatatype="130" unbalanced="0"/>
    <cacheHierarchy uniqueName="[Entity].[Level 3 Entity type]" caption="Level 3 Entity type" attribute="1" defaultMemberUniqueName="[Entity].[Level 3 Entity type].[All]" allUniqueName="[Entity].[Level 3 Entity type].[All]" dimensionUniqueName="[Entity]" displayFolder="" count="0" memberValueDatatype="130" unbalanced="0"/>
    <cacheHierarchy uniqueName="[Entity].[Level 4]" caption="Level 4" attribute="1" defaultMemberUniqueName="[Entity].[Level 4].[All]" allUniqueName="[Entity].[Level 4].[All]" dimensionUniqueName="[Entity]" displayFolder="" count="0" memberValueDatatype="130" unbalanced="0"/>
    <cacheHierarchy uniqueName="[Entity].[State]" caption="State" attribute="1" defaultMemberUniqueName="[Entity].[State].[All]" allUniqueName="[Entity].[State].[All]" dimensionUniqueName="[Entity]" displayFolder="" count="0" memberValueDatatype="130" unbalanced="0"/>
    <cacheHierarchy uniqueName="[Entity].[UoM]" caption="UoM" attribute="1" defaultMemberUniqueName="[Entity].[UoM].[All]" allUniqueName="[Entity].[UoM].[All]" dimensionUniqueName="[Entity]" displayFolder="" count="0" memberValueDatatype="130" unbalanced="0"/>
    <cacheHierarchy uniqueName="[Entity].[Primary Criterion]" caption="Primary Criterion" attribute="1" defaultMemberUniqueName="[Entity].[Primary Criterion].[All]" allUniqueName="[Entity].[Primary Criterion].[All]" dimensionUniqueName="[Entity]" displayFolder="" count="0" memberValueDatatype="130" unbalanced="0"/>
    <cacheHierarchy uniqueName="[EntityFY20].[Reporting Alias]" caption="Reporting Alias" attribute="1" defaultMemberUniqueName="[EntityFY20].[Reporting Alias].[All]" allUniqueName="[EntityFY20].[Reporting Alias].[All]" dimensionUniqueName="[EntityFY20]" displayFolder="" count="0" memberValueDatatype="130" unbalanced="0"/>
    <cacheHierarchy uniqueName="[EntityFY20].[Emission Source]" caption="Emission Source" attribute="1" defaultMemberUniqueName="[EntityFY20].[Emission Source].[All]" allUniqueName="[EntityFY20].[Emission Source].[All]" dimensionUniqueName="[EntityFY20]" displayFolder="" count="0" memberValueDatatype="130" unbalanced="0"/>
    <cacheHierarchy uniqueName="[EntityFY20].[Source Name]" caption="Source Name" attribute="1" defaultMemberUniqueName="[EntityFY20].[Source Name].[All]" allUniqueName="[EntityFY20].[Source Name].[All]" dimensionUniqueName="[EntityFY20]" displayFolder="" count="0" memberValueDatatype="130" unbalanced="0"/>
    <cacheHierarchy uniqueName="[EntityFY20].[Activity Type]" caption="Activity Type" attribute="1" defaultMemberUniqueName="[EntityFY20].[Activity Type].[All]" allUniqueName="[EntityFY20].[Activity Type].[All]" dimensionUniqueName="[EntityFY20]" displayFolder="" count="0" memberValueDatatype="130" unbalanced="0"/>
    <cacheHierarchy uniqueName="[EntityFY20].[Activity Type Context]" caption="Activity Type Context" attribute="1" defaultMemberUniqueName="[EntityFY20].[Activity Type Context].[All]" allUniqueName="[EntityFY20].[Activity Type Context].[All]" dimensionUniqueName="[EntityFY20]" displayFolder="" count="0" memberValueDatatype="130" unbalanced="0"/>
    <cacheHierarchy uniqueName="[EntityFY20].[Entity]" caption="Entity" attribute="1" defaultMemberUniqueName="[EntityFY20].[Entity].[All]" allUniqueName="[EntityFY20].[Entity].[All]" dimensionUniqueName="[EntityFY20]" displayFolder="" count="0" memberValueDatatype="130" unbalanced="0"/>
    <cacheHierarchy uniqueName="[EntityFY20].[Level 1]" caption="Level 1" attribute="1" defaultMemberUniqueName="[EntityFY20].[Level 1].[All]" allUniqueName="[EntityFY20].[Level 1].[All]" dimensionUniqueName="[EntityFY20]" displayFolder="" count="0" memberValueDatatype="130" unbalanced="0"/>
    <cacheHierarchy uniqueName="[EntityFY20].[Level 2]" caption="Level 2" attribute="1" defaultMemberUniqueName="[EntityFY20].[Level 2].[All]" allUniqueName="[EntityFY20].[Level 2].[All]" dimensionUniqueName="[EntityFY20]" displayFolder="" count="0" memberValueDatatype="130" unbalanced="0"/>
    <cacheHierarchy uniqueName="[EntityFY20].[Level 3]" caption="Level 3" attribute="1" defaultMemberUniqueName="[EntityFY20].[Level 3].[All]" allUniqueName="[EntityFY20].[Level 3].[All]" dimensionUniqueName="[EntityFY20]" displayFolder="" count="0" memberValueDatatype="130" unbalanced="0"/>
    <cacheHierarchy uniqueName="[EntityFY20].[Level 3 Entity type]" caption="Level 3 Entity type" attribute="1" defaultMemberUniqueName="[EntityFY20].[Level 3 Entity type].[All]" allUniqueName="[EntityFY20].[Level 3 Entity type].[All]" dimensionUniqueName="[EntityFY20]" displayFolder="" count="0" memberValueDatatype="130" unbalanced="0"/>
    <cacheHierarchy uniqueName="[EntityFY20].[Level 4]" caption="Level 4" attribute="1" defaultMemberUniqueName="[EntityFY20].[Level 4].[All]" allUniqueName="[EntityFY20].[Level 4].[All]" dimensionUniqueName="[EntityFY20]" displayFolder="" count="0" memberValueDatatype="130" unbalanced="0"/>
    <cacheHierarchy uniqueName="[EntityFY20].[State]" caption="State" attribute="1" defaultMemberUniqueName="[EntityFY20].[State].[All]" allUniqueName="[EntityFY20].[State].[All]" dimensionUniqueName="[EntityFY20]" displayFolder="" count="0" memberValueDatatype="130" unbalanced="0"/>
    <cacheHierarchy uniqueName="[EntityFY20].[UoM]" caption="UoM" attribute="1" defaultMemberUniqueName="[EntityFY20].[UoM].[All]" allUniqueName="[EntityFY20].[UoM].[All]" dimensionUniqueName="[EntityFY20]" displayFolder="" count="0" memberValueDatatype="130" unbalanced="0"/>
    <cacheHierarchy uniqueName="[EntityFY20].[Primary Criterion]" caption="Primary Criterion" attribute="1" defaultMemberUniqueName="[EntityFY20].[Primary Criterion].[All]" allUniqueName="[EntityFY20].[Primary Criterion].[All]" dimensionUniqueName="[EntityFY20]" displayFolder="" count="0" memberValueDatatype="130" unbalanced="0"/>
    <cacheHierarchy uniqueName="[EntityFY20 1].[Reporting Alias]" caption="Reporting Alias" attribute="1" defaultMemberUniqueName="[EntityFY20 1].[Reporting Alias].[All]" allUniqueName="[EntityFY20 1].[Reporting Alias].[All]" dimensionUniqueName="[EntityFY20 1]" displayFolder="" count="0" memberValueDatatype="130" unbalanced="0"/>
    <cacheHierarchy uniqueName="[EntityFY20 1].[Emission Source]" caption="Emission Source" attribute="1" defaultMemberUniqueName="[EntityFY20 1].[Emission Source].[All]" allUniqueName="[EntityFY20 1].[Emission Source].[All]" dimensionUniqueName="[EntityFY20 1]" displayFolder="" count="0" memberValueDatatype="130" unbalanced="0"/>
    <cacheHierarchy uniqueName="[EntityFY20 1].[Source Name]" caption="Source Name" attribute="1" defaultMemberUniqueName="[EntityFY20 1].[Source Name].[All]" allUniqueName="[EntityFY20 1].[Source Name].[All]" dimensionUniqueName="[EntityFY20 1]" displayFolder="" count="2" memberValueDatatype="130" unbalanced="0">
      <fieldsUsage count="2">
        <fieldUsage x="-1"/>
        <fieldUsage x="1"/>
      </fieldsUsage>
    </cacheHierarchy>
    <cacheHierarchy uniqueName="[EntityFY20 1].[Activity Type]" caption="Activity Type" attribute="1" defaultMemberUniqueName="[EntityFY20 1].[Activity Type].[All]" allUniqueName="[EntityFY20 1].[Activity Type].[All]" dimensionUniqueName="[EntityFY20 1]" displayFolder="" count="2" memberValueDatatype="130" unbalanced="0">
      <fieldsUsage count="2">
        <fieldUsage x="-1"/>
        <fieldUsage x="2"/>
      </fieldsUsage>
    </cacheHierarchy>
    <cacheHierarchy uniqueName="[EntityFY20 1].[Activity Type Context]" caption="Activity Type Context" attribute="1" defaultMemberUniqueName="[EntityFY20 1].[Activity Type Context].[All]" allUniqueName="[EntityFY20 1].[Activity Type Context].[All]" dimensionUniqueName="[EntityFY20 1]" displayFolder="" count="2" memberValueDatatype="130" unbalanced="0">
      <fieldsUsage count="2">
        <fieldUsage x="-1"/>
        <fieldUsage x="3"/>
      </fieldsUsage>
    </cacheHierarchy>
    <cacheHierarchy uniqueName="[EntityFY20 1].[Entity]" caption="Entity" attribute="1" defaultMemberUniqueName="[EntityFY20 1].[Entity].[All]" allUniqueName="[EntityFY20 1].[Entity].[All]" dimensionUniqueName="[EntityFY20 1]" displayFolder="" count="0" memberValueDatatype="130" unbalanced="0"/>
    <cacheHierarchy uniqueName="[EntityFY20 1].[Level 1]" caption="Level 1" attribute="1" defaultMemberUniqueName="[EntityFY20 1].[Level 1].[All]" allUniqueName="[EntityFY20 1].[Level 1].[All]" dimensionUniqueName="[EntityFY20 1]" displayFolder="" count="2" memberValueDatatype="130" unbalanced="0">
      <fieldsUsage count="2">
        <fieldUsage x="-1"/>
        <fieldUsage x="9"/>
      </fieldsUsage>
    </cacheHierarchy>
    <cacheHierarchy uniqueName="[EntityFY20 1].[Level 2]" caption="Level 2" attribute="1" defaultMemberUniqueName="[EntityFY20 1].[Level 2].[All]" allUniqueName="[EntityFY20 1].[Level 2].[All]" dimensionUniqueName="[EntityFY20 1]" displayFolder="" count="2" memberValueDatatype="130" unbalanced="0">
      <fieldsUsage count="2">
        <fieldUsage x="-1"/>
        <fieldUsage x="0"/>
      </fieldsUsage>
    </cacheHierarchy>
    <cacheHierarchy uniqueName="[EntityFY20 1].[Level 3]" caption="Level 3" attribute="1" defaultMemberUniqueName="[EntityFY20 1].[Level 3].[All]" allUniqueName="[EntityFY20 1].[Level 3].[All]" dimensionUniqueName="[EntityFY20 1]" displayFolder="" count="0" memberValueDatatype="130" unbalanced="0"/>
    <cacheHierarchy uniqueName="[EntityFY20 1].[Level 3 Entity type]" caption="Level 3 Entity type" attribute="1" defaultMemberUniqueName="[EntityFY20 1].[Level 3 Entity type].[All]" allUniqueName="[EntityFY20 1].[Level 3 Entity type].[All]" dimensionUniqueName="[EntityFY20 1]" displayFolder="" count="2" memberValueDatatype="130" unbalanced="0">
      <fieldsUsage count="2">
        <fieldUsage x="-1"/>
        <fieldUsage x="10"/>
      </fieldsUsage>
    </cacheHierarchy>
    <cacheHierarchy uniqueName="[EntityFY20 1].[Level 4]" caption="Level 4" attribute="1" defaultMemberUniqueName="[EntityFY20 1].[Level 4].[All]" allUniqueName="[EntityFY20 1].[Level 4].[All]" dimensionUniqueName="[EntityFY20 1]" displayFolder="" count="0" memberValueDatatype="130" unbalanced="0"/>
    <cacheHierarchy uniqueName="[EntityFY20 1].[State]" caption="State" attribute="1" defaultMemberUniqueName="[EntityFY20 1].[State].[All]" allUniqueName="[EntityFY20 1].[State].[All]" dimensionUniqueName="[EntityFY20 1]" displayFolder="" count="0" memberValueDatatype="130" unbalanced="0"/>
    <cacheHierarchy uniqueName="[EntityFY20 1].[UoM]" caption="UoM" attribute="1" defaultMemberUniqueName="[EntityFY20 1].[UoM].[All]" allUniqueName="[EntityFY20 1].[UoM].[All]" dimensionUniqueName="[EntityFY20 1]" displayFolder="" count="2" memberValueDatatype="130" unbalanced="0">
      <fieldsUsage count="2">
        <fieldUsage x="-1"/>
        <fieldUsage x="4"/>
      </fieldsUsage>
    </cacheHierarchy>
    <cacheHierarchy uniqueName="[EntityFY20 1].[Primary Criterion]" caption="Primary Criterion" attribute="1" defaultMemberUniqueName="[EntityFY20 1].[Primary Criterion].[All]" allUniqueName="[EntityFY20 1].[Primary Criterion].[All]" dimensionUniqueName="[EntityFY20 1]" displayFolder="" count="0" memberValueDatatype="130" unbalanced="0"/>
    <cacheHierarchy uniqueName="[Flight_Model].[Reporting Alias]" caption="Reporting Alias" attribute="1" defaultMemberUniqueName="[Flight_Model].[Reporting Alias].[All]" allUniqueName="[Flight_Model].[Reporting Alias].[All]" dimensionUniqueName="[Flight_Model]" displayFolder="" count="0" memberValueDatatype="130" unbalanced="0"/>
    <cacheHierarchy uniqueName="[Flight_Model].[Unit]" caption="Unit" attribute="1" defaultMemberUniqueName="[Flight_Model].[Unit].[All]" allUniqueName="[Flight_Model].[Unit].[All]" dimensionUniqueName="[Flight_Model]" displayFolder="" count="0" memberValueDatatype="5" unbalanced="0"/>
    <cacheHierarchy uniqueName="[GasFY20].[Reporting Alias]" caption="Reporting Alias" attribute="1" defaultMemberUniqueName="[GasFY20].[Reporting Alias].[All]" allUniqueName="[GasFY20].[Reporting Alias].[All]" dimensionUniqueName="[GasFY20]" displayFolder="" count="0" memberValueDatatype="130" unbalanced="0"/>
    <cacheHierarchy uniqueName="[GasFY20].[State]" caption="State" attribute="1" defaultMemberUniqueName="[GasFY20].[State].[All]" allUniqueName="[GasFY20].[State].[All]" dimensionUniqueName="[GasFY20]" displayFolder="" count="0" memberValueDatatype="130" unbalanced="0"/>
    <cacheHierarchy uniqueName="[GasFY20].[Consumption Quanity]" caption="Consumption Quanity" attribute="1" defaultMemberUniqueName="[GasFY20].[Consumption Quanity].[All]" allUniqueName="[GasFY20].[Consumption Quanity].[All]" dimensionUniqueName="[GasFY20]" displayFolder="" count="0" memberValueDatatype="5" unbalanced="0"/>
    <cacheHierarchy uniqueName="[GasFY20].[UoM]" caption="UoM" attribute="1" defaultMemberUniqueName="[GasFY20].[UoM].[All]" allUniqueName="[GasFY20].[UoM].[All]" dimensionUniqueName="[GasFY20]" displayFolder="" count="0" memberValueDatatype="130" unbalanced="0"/>
    <cacheHierarchy uniqueName="[GasFY20].[Primary Criterion]" caption="Primary Criterion" attribute="1" defaultMemberUniqueName="[GasFY20].[Primary Criterion].[All]" allUniqueName="[GasFY20].[Primary Criterion].[All]" dimensionUniqueName="[GasFY20]" displayFolder="" count="0" memberValueDatatype="130" unbalanced="0"/>
    <cacheHierarchy uniqueName="[GasFY20].[Sum of Consumption Quantity]" caption="Sum of Consumption Quantity" attribute="1" defaultMemberUniqueName="[GasFY20].[Sum of Consumption Quantity].[All]" allUniqueName="[GasFY20].[Sum of Consumption Quantity].[All]" dimensionUniqueName="[GasFY20]" displayFolder="" count="0" memberValueDatatype="5" unbalanced="0"/>
    <cacheHierarchy uniqueName="[GasFY20].[Sum of Total GJ]" caption="Sum of Total GJ" attribute="1" defaultMemberUniqueName="[GasFY20].[Sum of Total GJ].[All]" allUniqueName="[GasFY20].[Sum of Total GJ].[All]" dimensionUniqueName="[GasFY20]" displayFolder="" count="0" memberValueDatatype="5" unbalanced="0"/>
    <cacheHierarchy uniqueName="[GasFY20].[Sum of Scope 1 kg CO2-e]" caption="Sum of Scope 1 kg CO2-e" attribute="1" defaultMemberUniqueName="[GasFY20].[Sum of Scope 1 kg CO2-e].[All]" allUniqueName="[GasFY20].[Sum of Scope 1 kg CO2-e].[All]" dimensionUniqueName="[GasFY20]" displayFolder="" count="0" memberValueDatatype="5" unbalanced="0"/>
    <cacheHierarchy uniqueName="[GasFY20].[Sum of Scope 2 kg CO2-e]" caption="Sum of Scope 2 kg CO2-e" attribute="1" defaultMemberUniqueName="[GasFY20].[Sum of Scope 2 kg CO2-e].[All]" allUniqueName="[GasFY20].[Sum of Scope 2 kg CO2-e].[All]" dimensionUniqueName="[GasFY20]" displayFolder="" count="0" memberValueDatatype="20" unbalanced="0"/>
    <cacheHierarchy uniqueName="[GasFY20].[Sum of Scope 3 kg CO2-e]" caption="Sum of Scope 3 kg CO2-e" attribute="1" defaultMemberUniqueName="[GasFY20].[Sum of Scope 3 kg CO2-e].[All]" allUniqueName="[GasFY20].[Sum of Scope 3 kg CO2-e].[All]" dimensionUniqueName="[GasFY20]" displayFolder="" count="0" memberValueDatatype="5" unbalanced="0"/>
    <cacheHierarchy uniqueName="[GasFY20].[Sum of Total Emissions]" caption="Sum of Total Emissions" attribute="1" defaultMemberUniqueName="[GasFY20].[Sum of Total Emissions].[All]" allUniqueName="[GasFY20].[Sum of Total Emissions].[All]" dimensionUniqueName="[GasFY20]" displayFolder="" count="0" memberValueDatatype="5" unbalanced="0"/>
    <cacheHierarchy uniqueName="[GHG].[Reporting Alias]" caption="Reporting Alias" attribute="1" defaultMemberUniqueName="[GHG].[Reporting Alias].[All]" allUniqueName="[GHG].[Reporting Alias].[All]" dimensionUniqueName="[GHG]" displayFolder="" count="0" memberValueDatatype="130" unbalanced="0"/>
    <cacheHierarchy uniqueName="[GHG].[Energy Category]" caption="Energy Category" attribute="1" defaultMemberUniqueName="[GHG].[Energy Category].[All]" allUniqueName="[GHG].[Energy Category].[All]" dimensionUniqueName="[GHG]" displayFolder="" count="0" memberValueDatatype="130" unbalanced="0"/>
    <cacheHierarchy uniqueName="[GHG].[Purpose]" caption="Purpose" attribute="1" defaultMemberUniqueName="[GHG].[Purpose].[All]" allUniqueName="[GHG].[Purpose].[All]" dimensionUniqueName="[GHG]" displayFolder="" count="0" memberValueDatatype="130" unbalanced="0"/>
    <cacheHierarchy uniqueName="[GHG].[State]" caption="State" attribute="1" defaultMemberUniqueName="[GHG].[State].[All]" allUniqueName="[GHG].[State].[All]" dimensionUniqueName="[GHG]" displayFolder="" count="0" memberValueDatatype="130" unbalanced="0"/>
    <cacheHierarchy uniqueName="[GHG].[Default Unit]" caption="Default Unit" attribute="1" defaultMemberUniqueName="[GHG].[Default Unit].[All]" allUniqueName="[GHG].[Default Unit].[All]" dimensionUniqueName="[GHG]" displayFolder="" count="0" memberValueDatatype="130" unbalanced="0"/>
    <cacheHierarchy uniqueName="[GHG].[Unit Conversion Factor]" caption="Unit Conversion Factor" attribute="1" defaultMemberUniqueName="[GHG].[Unit Conversion Factor].[All]" allUniqueName="[GHG].[Unit Conversion Factor].[All]" dimensionUniqueName="[GHG]" displayFolder="" count="0" memberValueDatatype="5" unbalanced="0"/>
    <cacheHierarchy uniqueName="[GHG].[Unit]" caption="Unit" attribute="1" defaultMemberUniqueName="[GHG].[Unit].[All]" allUniqueName="[GHG].[Unit].[All]" dimensionUniqueName="[GHG]" displayFolder="" count="0" memberValueDatatype="130" unbalanced="0"/>
    <cacheHierarchy uniqueName="[GHG].[Energy content factor]" caption="Energy content factor" attribute="1" defaultMemberUniqueName="[GHG].[Energy content factor].[All]" allUniqueName="[GHG].[Energy content factor].[All]" dimensionUniqueName="[GHG]" displayFolder="" count="0" memberValueDatatype="5" unbalanced="0"/>
    <cacheHierarchy uniqueName="[GHG].[EC Unit]" caption="EC Unit" attribute="1" defaultMemberUniqueName="[GHG].[EC Unit].[All]" allUniqueName="[GHG].[EC Unit].[All]" dimensionUniqueName="[GHG]" displayFolder="" count="0" memberValueDatatype="130" unbalanced="0"/>
    <cacheHierarchy uniqueName="[GHG].[Scope 1 Emission factor]" caption="Scope 1 Emission factor" attribute="1" defaultMemberUniqueName="[GHG].[Scope 1 Emission factor].[All]" allUniqueName="[GHG].[Scope 1 Emission factor].[All]" dimensionUniqueName="[GHG]" displayFolder="" count="0" memberValueDatatype="5" unbalanced="0"/>
    <cacheHierarchy uniqueName="[GHG].[Scope 2 Emission factor]" caption="Scope 2 Emission factor" attribute="1" defaultMemberUniqueName="[GHG].[Scope 2 Emission factor].[All]" allUniqueName="[GHG].[Scope 2 Emission factor].[All]" dimensionUniqueName="[GHG]" displayFolder="" count="0" memberValueDatatype="5" unbalanced="0"/>
    <cacheHierarchy uniqueName="[GHG].[Scope 3 Emission factor]" caption="Scope 3 Emission factor" attribute="1" defaultMemberUniqueName="[GHG].[Scope 3 Emission factor].[All]" allUniqueName="[GHG].[Scope 3 Emission factor].[All]" dimensionUniqueName="[GHG]" displayFolder="" count="0" memberValueDatatype="5" unbalanced="0"/>
    <cacheHierarchy uniqueName="[GHG].[EF Unit]" caption="EF Unit" attribute="1" defaultMemberUniqueName="[GHG].[EF Unit].[All]" allUniqueName="[GHG].[EF Unit].[All]" dimensionUniqueName="[GHG]" displayFolder="" count="0" memberValueDatatype="130" unbalanced="0"/>
    <cacheHierarchy uniqueName="[GHG].[Data Source (scope 1)]" caption="Data Source (scope 1)" attribute="1" defaultMemberUniqueName="[GHG].[Data Source (scope 1)].[All]" allUniqueName="[GHG].[Data Source (scope 1)].[All]" dimensionUniqueName="[GHG]" displayFolder="" count="0" memberValueDatatype="130" unbalanced="0"/>
    <cacheHierarchy uniqueName="[GHG].[Data Source (scope 2)]" caption="Data Source (scope 2)" attribute="1" defaultMemberUniqueName="[GHG].[Data Source (scope 2)].[All]" allUniqueName="[GHG].[Data Source (scope 2)].[All]" dimensionUniqueName="[GHG]" displayFolder="" count="0" memberValueDatatype="130" unbalanced="0"/>
    <cacheHierarchy uniqueName="[GHG].[Data Source (scope 3)]" caption="Data Source (scope 3)" attribute="1" defaultMemberUniqueName="[GHG].[Data Source (scope 3)].[All]" allUniqueName="[GHG].[Data Source (scope 3)].[All]" dimensionUniqueName="[GHG]" displayFolder="" count="0" memberValueDatatype="130" unbalanced="0"/>
    <cacheHierarchy uniqueName="[GHG_35].[Reporting Alias]" caption="Reporting Alias" attribute="1" defaultMemberUniqueName="[GHG_35].[Reporting Alias].[All]" allUniqueName="[GHG_35].[Reporting Alias].[All]" dimensionUniqueName="[GHG_35]" displayFolder="" count="0" memberValueDatatype="130" unbalanced="0"/>
    <cacheHierarchy uniqueName="[GHG_35].[Energy Category]" caption="Energy Category" attribute="1" defaultMemberUniqueName="[GHG_35].[Energy Category].[All]" allUniqueName="[GHG_35].[Energy Category].[All]" dimensionUniqueName="[GHG_35]" displayFolder="" count="0" memberValueDatatype="130" unbalanced="0"/>
    <cacheHierarchy uniqueName="[GHG_35].[Purpose]" caption="Purpose" attribute="1" defaultMemberUniqueName="[GHG_35].[Purpose].[All]" allUniqueName="[GHG_35].[Purpose].[All]" dimensionUniqueName="[GHG_35]" displayFolder="" count="0" memberValueDatatype="130" unbalanced="0"/>
    <cacheHierarchy uniqueName="[GHG_35].[State]" caption="State" attribute="1" defaultMemberUniqueName="[GHG_35].[State].[All]" allUniqueName="[GHG_35].[State].[All]" dimensionUniqueName="[GHG_35]" displayFolder="" count="0" memberValueDatatype="130" unbalanced="0"/>
    <cacheHierarchy uniqueName="[GHG_35].[Default Unit]" caption="Default Unit" attribute="1" defaultMemberUniqueName="[GHG_35].[Default Unit].[All]" allUniqueName="[GHG_35].[Default Unit].[All]" dimensionUniqueName="[GHG_35]" displayFolder="" count="0" memberValueDatatype="130" unbalanced="0"/>
    <cacheHierarchy uniqueName="[GHG_35].[Unit Conversion Factor]" caption="Unit Conversion Factor" attribute="1" defaultMemberUniqueName="[GHG_35].[Unit Conversion Factor].[All]" allUniqueName="[GHG_35].[Unit Conversion Factor].[All]" dimensionUniqueName="[GHG_35]" displayFolder="" count="0" memberValueDatatype="5" unbalanced="0"/>
    <cacheHierarchy uniqueName="[GHG_35].[Unit]" caption="Unit" attribute="1" defaultMemberUniqueName="[GHG_35].[Unit].[All]" allUniqueName="[GHG_35].[Unit].[All]" dimensionUniqueName="[GHG_35]" displayFolder="" count="0" memberValueDatatype="130" unbalanced="0"/>
    <cacheHierarchy uniqueName="[GHG_35].[Energy content factor]" caption="Energy content factor" attribute="1" defaultMemberUniqueName="[GHG_35].[Energy content factor].[All]" allUniqueName="[GHG_35].[Energy content factor].[All]" dimensionUniqueName="[GHG_35]" displayFolder="" count="0" memberValueDatatype="5" unbalanced="0"/>
    <cacheHierarchy uniqueName="[GHG_35].[EC Unit]" caption="EC Unit" attribute="1" defaultMemberUniqueName="[GHG_35].[EC Unit].[All]" allUniqueName="[GHG_35].[EC Unit].[All]" dimensionUniqueName="[GHG_35]" displayFolder="" count="0" memberValueDatatype="130" unbalanced="0"/>
    <cacheHierarchy uniqueName="[GHG_35].[Scope 1 Emission factor]" caption="Scope 1 Emission factor" attribute="1" defaultMemberUniqueName="[GHG_35].[Scope 1 Emission factor].[All]" allUniqueName="[GHG_35].[Scope 1 Emission factor].[All]" dimensionUniqueName="[GHG_35]" displayFolder="" count="0" memberValueDatatype="5" unbalanced="0"/>
    <cacheHierarchy uniqueName="[GHG_35].[Scope 2 Emission factor]" caption="Scope 2 Emission factor" attribute="1" defaultMemberUniqueName="[GHG_35].[Scope 2 Emission factor].[All]" allUniqueName="[GHG_35].[Scope 2 Emission factor].[All]" dimensionUniqueName="[GHG_35]" displayFolder="" count="0" memberValueDatatype="5" unbalanced="0"/>
    <cacheHierarchy uniqueName="[GHG_35].[Scope 3 Emission factor]" caption="Scope 3 Emission factor" attribute="1" defaultMemberUniqueName="[GHG_35].[Scope 3 Emission factor].[All]" allUniqueName="[GHG_35].[Scope 3 Emission factor].[All]" dimensionUniqueName="[GHG_35]" displayFolder="" count="0" memberValueDatatype="5" unbalanced="0"/>
    <cacheHierarchy uniqueName="[GHG_35].[EF Unit]" caption="EF Unit" attribute="1" defaultMemberUniqueName="[GHG_35].[EF Unit].[All]" allUniqueName="[GHG_35].[EF Unit].[All]" dimensionUniqueName="[GHG_35]" displayFolder="" count="0" memberValueDatatype="130" unbalanced="0"/>
    <cacheHierarchy uniqueName="[GHG_35].[Data Source (scope 1)]" caption="Data Source (scope 1)" attribute="1" defaultMemberUniqueName="[GHG_35].[Data Source (scope 1)].[All]" allUniqueName="[GHG_35].[Data Source (scope 1)].[All]" dimensionUniqueName="[GHG_35]" displayFolder="" count="0" memberValueDatatype="130" unbalanced="0"/>
    <cacheHierarchy uniqueName="[GHG_35].[Data Source (scope 2)]" caption="Data Source (scope 2)" attribute="1" defaultMemberUniqueName="[GHG_35].[Data Source (scope 2)].[All]" allUniqueName="[GHG_35].[Data Source (scope 2)].[All]" dimensionUniqueName="[GHG_35]" displayFolder="" count="0" memberValueDatatype="130" unbalanced="0"/>
    <cacheHierarchy uniqueName="[GHG_35].[Data Source (scope 3)]" caption="Data Source (scope 3)" attribute="1" defaultMemberUniqueName="[GHG_35].[Data Source (scope 3)].[All]" allUniqueName="[GHG_35].[Data Source (scope 3)].[All]" dimensionUniqueName="[GHG_35]" displayFolder="" count="0" memberValueDatatype="130" unbalanced="0"/>
    <cacheHierarchy uniqueName="[Grounds_Fuels].[Reporting Alias]" caption="Reporting Alias" attribute="1" defaultMemberUniqueName="[Grounds_Fuels].[Reporting Alias].[All]" allUniqueName="[Grounds_Fuels].[Reporting Alias].[All]" dimensionUniqueName="[Grounds_Fuels]" displayFolder="" count="0" memberValueDatatype="130" unbalanced="0"/>
    <cacheHierarchy uniqueName="[Grounds_Fuels].[Source Name]" caption="Source Name" attribute="1" defaultMemberUniqueName="[Grounds_Fuels].[Source Name].[All]" allUniqueName="[Grounds_Fuels].[Source Name].[All]" dimensionUniqueName="[Grounds_Fuels]" displayFolder="" count="0" memberValueDatatype="130" unbalanced="0"/>
    <cacheHierarchy uniqueName="[Grounds_Fuels].[Activity Type]" caption="Activity Type" attribute="1" defaultMemberUniqueName="[Grounds_Fuels].[Activity Type].[All]" allUniqueName="[Grounds_Fuels].[Activity Type].[All]" dimensionUniqueName="[Grounds_Fuels]" displayFolder="" count="0" memberValueDatatype="130" unbalanced="0"/>
    <cacheHierarchy uniqueName="[Grounds_Fuels].[Activity Type Context]" caption="Activity Type Context" attribute="1" defaultMemberUniqueName="[Grounds_Fuels].[Activity Type Context].[All]" allUniqueName="[Grounds_Fuels].[Activity Type Context].[All]" dimensionUniqueName="[Grounds_Fuels]" displayFolder="" count="0" memberValueDatatype="130" unbalanced="0"/>
    <cacheHierarchy uniqueName="[Grounds_Fuels].[Entity]" caption="Entity" attribute="1" defaultMemberUniqueName="[Grounds_Fuels].[Entity].[All]" allUniqueName="[Grounds_Fuels].[Entity].[All]" dimensionUniqueName="[Grounds_Fuels]" displayFolder="" count="0" memberValueDatatype="130" unbalanced="0"/>
    <cacheHierarchy uniqueName="[Grounds_Fuels].[Fuel]" caption="Fuel" attribute="1" defaultMemberUniqueName="[Grounds_Fuels].[Fuel].[All]" allUniqueName="[Grounds_Fuels].[Fuel].[All]" dimensionUniqueName="[Grounds_Fuels]" displayFolder="" count="0" memberValueDatatype="130" unbalanced="0"/>
    <cacheHierarchy uniqueName="[Grounds_Fuels].[State]" caption="State" attribute="1" defaultMemberUniqueName="[Grounds_Fuels].[State].[All]" allUniqueName="[Grounds_Fuels].[State].[All]" dimensionUniqueName="[Grounds_Fuels]" displayFolder="" count="0" memberValueDatatype="130" unbalanced="0"/>
    <cacheHierarchy uniqueName="[Grounds_Fuels].[Consumption Quantity (L)]" caption="Consumption Quantity (L)" attribute="1" defaultMemberUniqueName="[Grounds_Fuels].[Consumption Quantity (L)].[All]" allUniqueName="[Grounds_Fuels].[Consumption Quantity (L)].[All]" dimensionUniqueName="[Grounds_Fuels]" displayFolder="" count="0" memberValueDatatype="5" unbalanced="0"/>
    <cacheHierarchy uniqueName="[Grounds_Fuels].[Consumption  Units]" caption="Consumption  Units" attribute="1" defaultMemberUniqueName="[Grounds_Fuels].[Consumption  Units].[All]" allUniqueName="[Grounds_Fuels].[Consumption  Units].[All]" dimensionUniqueName="[Grounds_Fuels]" displayFolder="" count="0" memberValueDatatype="130" unbalanced="0"/>
    <cacheHierarchy uniqueName="[Grounds_Fuels].[Consumption Quantity]" caption="Consumption Quantity" attribute="1" defaultMemberUniqueName="[Grounds_Fuels].[Consumption Quantity].[All]" allUniqueName="[Grounds_Fuels].[Consumption Quantity].[All]" dimensionUniqueName="[Grounds_Fuels]" displayFolder="" count="0" memberValueDatatype="5" unbalanced="0"/>
    <cacheHierarchy uniqueName="[Grounds_Fuels].[Total GJ]" caption="Total GJ" attribute="1" defaultMemberUniqueName="[Grounds_Fuels].[Total GJ].[All]" allUniqueName="[Grounds_Fuels].[Total GJ].[All]" dimensionUniqueName="[Grounds_Fuels]" displayFolder="" count="0" memberValueDatatype="5" unbalanced="0"/>
    <cacheHierarchy uniqueName="[Grounds_Fuels].[Scope 1 kg CO2-e]" caption="Scope 1 kg CO2-e" attribute="1" defaultMemberUniqueName="[Grounds_Fuels].[Scope 1 kg CO2-e].[All]" allUniqueName="[Grounds_Fuels].[Scope 1 kg CO2-e].[All]" dimensionUniqueName="[Grounds_Fuels]" displayFolder="" count="0" memberValueDatatype="5" unbalanced="0"/>
    <cacheHierarchy uniqueName="[Grounds_Fuels].[Scope 2 kg CO2-e]" caption="Scope 2 kg CO2-e" attribute="1" defaultMemberUniqueName="[Grounds_Fuels].[Scope 2 kg CO2-e].[All]" allUniqueName="[Grounds_Fuels].[Scope 2 kg CO2-e].[All]" dimensionUniqueName="[Grounds_Fuels]" displayFolder="" count="0" memberValueDatatype="5" unbalanced="0"/>
    <cacheHierarchy uniqueName="[Grounds_Fuels].[Scope 3 kg CO2-e]" caption="Scope 3 kg CO2-e" attribute="1" defaultMemberUniqueName="[Grounds_Fuels].[Scope 3 kg CO2-e].[All]" allUniqueName="[Grounds_Fuels].[Scope 3 kg CO2-e].[All]" dimensionUniqueName="[Grounds_Fuels]" displayFolder="" count="0" memberValueDatatype="5" unbalanced="0"/>
    <cacheHierarchy uniqueName="[Grounds_Fuels].[Total Emissions]" caption="Total Emissions" attribute="1" defaultMemberUniqueName="[Grounds_Fuels].[Total Emissions].[All]" allUniqueName="[Grounds_Fuels].[Total Emissions].[All]" dimensionUniqueName="[Grounds_Fuels]" displayFolder="" count="0" memberValueDatatype="5" unbalanced="0"/>
    <cacheHierarchy uniqueName="[Grounds_Fuels33].[Reporting Alias]" caption="Reporting Alias" attribute="1" defaultMemberUniqueName="[Grounds_Fuels33].[Reporting Alias].[All]" allUniqueName="[Grounds_Fuels33].[Reporting Alias].[All]" dimensionUniqueName="[Grounds_Fuels33]" displayFolder="" count="0" memberValueDatatype="130" unbalanced="0"/>
    <cacheHierarchy uniqueName="[Grounds_Fuels33].[Source Name]" caption="Source Name" attribute="1" defaultMemberUniqueName="[Grounds_Fuels33].[Source Name].[All]" allUniqueName="[Grounds_Fuels33].[Source Name].[All]" dimensionUniqueName="[Grounds_Fuels33]" displayFolder="" count="0" memberValueDatatype="130" unbalanced="0"/>
    <cacheHierarchy uniqueName="[Grounds_Fuels33].[Activity Type]" caption="Activity Type" attribute="1" defaultMemberUniqueName="[Grounds_Fuels33].[Activity Type].[All]" allUniqueName="[Grounds_Fuels33].[Activity Type].[All]" dimensionUniqueName="[Grounds_Fuels33]" displayFolder="" count="0" memberValueDatatype="130" unbalanced="0"/>
    <cacheHierarchy uniqueName="[Grounds_Fuels33].[Activity Type Context]" caption="Activity Type Context" attribute="1" defaultMemberUniqueName="[Grounds_Fuels33].[Activity Type Context].[All]" allUniqueName="[Grounds_Fuels33].[Activity Type Context].[All]" dimensionUniqueName="[Grounds_Fuels33]" displayFolder="" count="0" memberValueDatatype="130" unbalanced="0"/>
    <cacheHierarchy uniqueName="[Grounds_Fuels33].[Entity]" caption="Entity" attribute="1" defaultMemberUniqueName="[Grounds_Fuels33].[Entity].[All]" allUniqueName="[Grounds_Fuels33].[Entity].[All]" dimensionUniqueName="[Grounds_Fuels33]" displayFolder="" count="0" memberValueDatatype="130" unbalanced="0"/>
    <cacheHierarchy uniqueName="[Grounds_Fuels33].[Fuel]" caption="Fuel" attribute="1" defaultMemberUniqueName="[Grounds_Fuels33].[Fuel].[All]" allUniqueName="[Grounds_Fuels33].[Fuel].[All]" dimensionUniqueName="[Grounds_Fuels33]" displayFolder="" count="0" memberValueDatatype="130" unbalanced="0"/>
    <cacheHierarchy uniqueName="[Grounds_Fuels33].[State]" caption="State" attribute="1" defaultMemberUniqueName="[Grounds_Fuels33].[State].[All]" allUniqueName="[Grounds_Fuels33].[State].[All]" dimensionUniqueName="[Grounds_Fuels33]" displayFolder="" count="0" memberValueDatatype="130" unbalanced="0"/>
    <cacheHierarchy uniqueName="[Grounds_Fuels33].[Consumption Quantity (L)]" caption="Consumption Quantity (L)" attribute="1" defaultMemberUniqueName="[Grounds_Fuels33].[Consumption Quantity (L)].[All]" allUniqueName="[Grounds_Fuels33].[Consumption Quantity (L)].[All]" dimensionUniqueName="[Grounds_Fuels33]" displayFolder="" count="0" memberValueDatatype="5" unbalanced="0"/>
    <cacheHierarchy uniqueName="[Grounds_Fuels33].[Consumption  Units]" caption="Consumption  Units" attribute="1" defaultMemberUniqueName="[Grounds_Fuels33].[Consumption  Units].[All]" allUniqueName="[Grounds_Fuels33].[Consumption  Units].[All]" dimensionUniqueName="[Grounds_Fuels33]" displayFolder="" count="0" memberValueDatatype="130" unbalanced="0"/>
    <cacheHierarchy uniqueName="[Grounds_Fuels33].[UoM]" caption="UoM" attribute="1" defaultMemberUniqueName="[Grounds_Fuels33].[UoM].[All]" allUniqueName="[Grounds_Fuels33].[UoM].[All]" dimensionUniqueName="[Grounds_Fuels33]" displayFolder="" count="0" memberValueDatatype="130" unbalanced="0"/>
    <cacheHierarchy uniqueName="[Grounds_Fuels33].[Primary Criterion]" caption="Primary Criterion" attribute="1" defaultMemberUniqueName="[Grounds_Fuels33].[Primary Criterion].[All]" allUniqueName="[Grounds_Fuels33].[Primary Criterion].[All]" dimensionUniqueName="[Grounds_Fuels33]" displayFolder="" count="0" memberValueDatatype="130" unbalanced="0"/>
    <cacheHierarchy uniqueName="[Grounds_Fuels33].[Sum of Consumption Quantity]" caption="Sum of Consumption Quantity" attribute="1" defaultMemberUniqueName="[Grounds_Fuels33].[Sum of Consumption Quantity].[All]" allUniqueName="[Grounds_Fuels33].[Sum of Consumption Quantity].[All]" dimensionUniqueName="[Grounds_Fuels33]" displayFolder="" count="0" memberValueDatatype="5" unbalanced="0"/>
    <cacheHierarchy uniqueName="[Grounds_Fuels33].[Sum of Total GJ]" caption="Sum of Total GJ" attribute="1" defaultMemberUniqueName="[Grounds_Fuels33].[Sum of Total GJ].[All]" allUniqueName="[Grounds_Fuels33].[Sum of Total GJ].[All]" dimensionUniqueName="[Grounds_Fuels33]" displayFolder="" count="0" memberValueDatatype="5" unbalanced="0"/>
    <cacheHierarchy uniqueName="[Grounds_Fuels33].[Sum of Scope 1 kg CO2-e]" caption="Sum of Scope 1 kg CO2-e" attribute="1" defaultMemberUniqueName="[Grounds_Fuels33].[Sum of Scope 1 kg CO2-e].[All]" allUniqueName="[Grounds_Fuels33].[Sum of Scope 1 kg CO2-e].[All]" dimensionUniqueName="[Grounds_Fuels33]" displayFolder="" count="0" memberValueDatatype="5" unbalanced="0"/>
    <cacheHierarchy uniqueName="[Grounds_Fuels33].[Sum of Scope 2 kg CO2-e]" caption="Sum of Scope 2 kg CO2-e" attribute="1" defaultMemberUniqueName="[Grounds_Fuels33].[Sum of Scope 2 kg CO2-e].[All]" allUniqueName="[Grounds_Fuels33].[Sum of Scope 2 kg CO2-e].[All]" dimensionUniqueName="[Grounds_Fuels33]" displayFolder="" count="0" memberValueDatatype="20" unbalanced="0"/>
    <cacheHierarchy uniqueName="[Grounds_Fuels33].[Sum of Scope 3 kg CO2-e]" caption="Sum of Scope 3 kg CO2-e" attribute="1" defaultMemberUniqueName="[Grounds_Fuels33].[Sum of Scope 3 kg CO2-e].[All]" allUniqueName="[Grounds_Fuels33].[Sum of Scope 3 kg CO2-e].[All]" dimensionUniqueName="[Grounds_Fuels33]" displayFolder="" count="0" memberValueDatatype="5" unbalanced="0"/>
    <cacheHierarchy uniqueName="[Grounds_Fuels33].[Sum of Total Emissions]" caption="Sum of Total Emissions" attribute="1" defaultMemberUniqueName="[Grounds_Fuels33].[Sum of Total Emissions].[All]" allUniqueName="[Grounds_Fuels33].[Sum of Total Emissions].[All]" dimensionUniqueName="[Grounds_Fuels33]" displayFolder="" count="0" memberValueDatatype="5" unbalanced="0"/>
    <cacheHierarchy uniqueName="[LP_Fleet].[Reporting Alias]" caption="Reporting Alias" attribute="1" defaultMemberUniqueName="[LP_Fleet].[Reporting Alias].[All]" allUniqueName="[LP_Fleet].[Reporting Alias].[All]" dimensionUniqueName="[LP_Fleet]" displayFolder="" count="0" memberValueDatatype="130" unbalanced="0"/>
    <cacheHierarchy uniqueName="[LP_Fleet].[Entity]" caption="Entity" attribute="1" defaultMemberUniqueName="[LP_Fleet].[Entity].[All]" allUniqueName="[LP_Fleet].[Entity].[All]" dimensionUniqueName="[LP_Fleet]" displayFolder="" count="0" memberValueDatatype="130" unbalanced="0"/>
    <cacheHierarchy uniqueName="[LP_Fleet].[Fuel]" caption="Fuel" attribute="1" defaultMemberUniqueName="[LP_Fleet].[Fuel].[All]" allUniqueName="[LP_Fleet].[Fuel].[All]" dimensionUniqueName="[LP_Fleet]" displayFolder="" count="0" memberValueDatatype="130" unbalanced="0"/>
    <cacheHierarchy uniqueName="[LP_Fleet].[State]" caption="State" attribute="1" defaultMemberUniqueName="[LP_Fleet].[State].[All]" allUniqueName="[LP_Fleet].[State].[All]" dimensionUniqueName="[LP_Fleet]" displayFolder="" count="0" memberValueDatatype="130" unbalanced="0"/>
    <cacheHierarchy uniqueName="[LP_Fleet].[Consumption Quantity (L)]" caption="Consumption Quantity (L)" attribute="1" defaultMemberUniqueName="[LP_Fleet].[Consumption Quantity (L)].[All]" allUniqueName="[LP_Fleet].[Consumption Quantity (L)].[All]" dimensionUniqueName="[LP_Fleet]" displayFolder="" count="0" memberValueDatatype="5" unbalanced="0"/>
    <cacheHierarchy uniqueName="[LP_Fleet].[Consumption Units]" caption="Consumption Units" attribute="1" defaultMemberUniqueName="[LP_Fleet].[Consumption Units].[All]" allUniqueName="[LP_Fleet].[Consumption Units].[All]" dimensionUniqueName="[LP_Fleet]" displayFolder="" count="0" memberValueDatatype="130" unbalanced="0"/>
    <cacheHierarchy uniqueName="[LP_Fleet].[Consumption Quantity]" caption="Consumption Quantity" attribute="1" defaultMemberUniqueName="[LP_Fleet].[Consumption Quantity].[All]" allUniqueName="[LP_Fleet].[Consumption Quantity].[All]" dimensionUniqueName="[LP_Fleet]" displayFolder="" count="0" memberValueDatatype="5" unbalanced="0"/>
    <cacheHierarchy uniqueName="[LP_Fleet].[Total GJ]" caption="Total GJ" attribute="1" defaultMemberUniqueName="[LP_Fleet].[Total GJ].[All]" allUniqueName="[LP_Fleet].[Total GJ].[All]" dimensionUniqueName="[LP_Fleet]" displayFolder="" count="0" memberValueDatatype="5" unbalanced="0"/>
    <cacheHierarchy uniqueName="[LP_Fleet].[Scope 1 kg CO2-e]" caption="Scope 1 kg CO2-e" attribute="1" defaultMemberUniqueName="[LP_Fleet].[Scope 1 kg CO2-e].[All]" allUniqueName="[LP_Fleet].[Scope 1 kg CO2-e].[All]" dimensionUniqueName="[LP_Fleet]" displayFolder="" count="0" memberValueDatatype="5" unbalanced="0"/>
    <cacheHierarchy uniqueName="[LP_Fleet].[Scope 2 kg CO2-e]" caption="Scope 2 kg CO2-e" attribute="1" defaultMemberUniqueName="[LP_Fleet].[Scope 2 kg CO2-e].[All]" allUniqueName="[LP_Fleet].[Scope 2 kg CO2-e].[All]" dimensionUniqueName="[LP_Fleet]" displayFolder="" count="0" memberValueDatatype="5" unbalanced="0"/>
    <cacheHierarchy uniqueName="[LP_Fleet].[Scope 3 kg CO2-e]" caption="Scope 3 kg CO2-e" attribute="1" defaultMemberUniqueName="[LP_Fleet].[Scope 3 kg CO2-e].[All]" allUniqueName="[LP_Fleet].[Scope 3 kg CO2-e].[All]" dimensionUniqueName="[LP_Fleet]" displayFolder="" count="0" memberValueDatatype="5" unbalanced="0"/>
    <cacheHierarchy uniqueName="[LP_Fleet].[Total Emissions]" caption="Total Emissions" attribute="1" defaultMemberUniqueName="[LP_Fleet].[Total Emissions].[All]" allUniqueName="[LP_Fleet].[Total Emissions].[All]" dimensionUniqueName="[LP_Fleet]" displayFolder="" count="0" memberValueDatatype="5" unbalanced="0"/>
    <cacheHierarchy uniqueName="[LP_Stationary].[Reporting Alias]" caption="Reporting Alias" attribute="1" defaultMemberUniqueName="[LP_Stationary].[Reporting Alias].[All]" allUniqueName="[LP_Stationary].[Reporting Alias].[All]" dimensionUniqueName="[LP_Stationary]" displayFolder="" count="0" memberValueDatatype="130" unbalanced="0"/>
    <cacheHierarchy uniqueName="[LP_Stationary].[Entity]" caption="Entity" attribute="1" defaultMemberUniqueName="[LP_Stationary].[Entity].[All]" allUniqueName="[LP_Stationary].[Entity].[All]" dimensionUniqueName="[LP_Stationary]" displayFolder="" count="0" memberValueDatatype="130" unbalanced="0"/>
    <cacheHierarchy uniqueName="[LP_Stationary].[Fuel]" caption="Fuel" attribute="1" defaultMemberUniqueName="[LP_Stationary].[Fuel].[All]" allUniqueName="[LP_Stationary].[Fuel].[All]" dimensionUniqueName="[LP_Stationary]" displayFolder="" count="0" memberValueDatatype="130" unbalanced="0"/>
    <cacheHierarchy uniqueName="[LP_Stationary].[State]" caption="State" attribute="1" defaultMemberUniqueName="[LP_Stationary].[State].[All]" allUniqueName="[LP_Stationary].[State].[All]" dimensionUniqueName="[LP_Stationary]" displayFolder="" count="0" memberValueDatatype="130" unbalanced="0"/>
    <cacheHierarchy uniqueName="[LP_Stationary].[Consumption Quantity (L)]" caption="Consumption Quantity (L)" attribute="1" defaultMemberUniqueName="[LP_Stationary].[Consumption Quantity (L)].[All]" allUniqueName="[LP_Stationary].[Consumption Quantity (L)].[All]" dimensionUniqueName="[LP_Stationary]" displayFolder="" count="0" memberValueDatatype="5" unbalanced="0"/>
    <cacheHierarchy uniqueName="[LP_Stationary].[Consumption Units]" caption="Consumption Units" attribute="1" defaultMemberUniqueName="[LP_Stationary].[Consumption Units].[All]" allUniqueName="[LP_Stationary].[Consumption Units].[All]" dimensionUniqueName="[LP_Stationary]" displayFolder="" count="0" memberValueDatatype="130" unbalanced="0"/>
    <cacheHierarchy uniqueName="[LP_Stationary].[Consumption Quantity]" caption="Consumption Quantity" attribute="1" defaultMemberUniqueName="[LP_Stationary].[Consumption Quantity].[All]" allUniqueName="[LP_Stationary].[Consumption Quantity].[All]" dimensionUniqueName="[LP_Stationary]" displayFolder="" count="0" memberValueDatatype="5" unbalanced="0"/>
    <cacheHierarchy uniqueName="[LP_Stationary].[Total GJ]" caption="Total GJ" attribute="1" defaultMemberUniqueName="[LP_Stationary].[Total GJ].[All]" allUniqueName="[LP_Stationary].[Total GJ].[All]" dimensionUniqueName="[LP_Stationary]" displayFolder="" count="0" memberValueDatatype="5" unbalanced="0"/>
    <cacheHierarchy uniqueName="[LP_Stationary].[Scope 1 kg CO2-e]" caption="Scope 1 kg CO2-e" attribute="1" defaultMemberUniqueName="[LP_Stationary].[Scope 1 kg CO2-e].[All]" allUniqueName="[LP_Stationary].[Scope 1 kg CO2-e].[All]" dimensionUniqueName="[LP_Stationary]" displayFolder="" count="0" memberValueDatatype="5" unbalanced="0"/>
    <cacheHierarchy uniqueName="[LP_Stationary].[Scope 2 kg CO2-e]" caption="Scope 2 kg CO2-e" attribute="1" defaultMemberUniqueName="[LP_Stationary].[Scope 2 kg CO2-e].[All]" allUniqueName="[LP_Stationary].[Scope 2 kg CO2-e].[All]" dimensionUniqueName="[LP_Stationary]" displayFolder="" count="0" memberValueDatatype="5" unbalanced="0"/>
    <cacheHierarchy uniqueName="[LP_Stationary].[Scope 3 kg CO2-e]" caption="Scope 3 kg CO2-e" attribute="1" defaultMemberUniqueName="[LP_Stationary].[Scope 3 kg CO2-e].[All]" allUniqueName="[LP_Stationary].[Scope 3 kg CO2-e].[All]" dimensionUniqueName="[LP_Stationary]" displayFolder="" count="0" memberValueDatatype="5" unbalanced="0"/>
    <cacheHierarchy uniqueName="[LP_Stationary].[Total Emissions]" caption="Total Emissions" attribute="1" defaultMemberUniqueName="[LP_Stationary].[Total Emissions].[All]" allUniqueName="[LP_Stationary].[Total Emissions].[All]" dimensionUniqueName="[LP_Stationary]" displayFolder="" count="0" memberValueDatatype="5" unbalanced="0"/>
    <cacheHierarchy uniqueName="[NBN_Removal].[Reporting Alias]" caption="Reporting Alias" attribute="1" defaultMemberUniqueName="[NBN_Removal].[Reporting Alias].[All]" allUniqueName="[NBN_Removal].[Reporting Alias].[All]" dimensionUniqueName="[NBN_Removal]" displayFolder="" count="0" memberValueDatatype="130" unbalanced="0"/>
    <cacheHierarchy uniqueName="[NBN_Removal].[Consumption Quantity]" caption="Consumption Quantity" attribute="1" defaultMemberUniqueName="[NBN_Removal].[Consumption Quantity].[All]" allUniqueName="[NBN_Removal].[Consumption Quantity].[All]" dimensionUniqueName="[NBN_Removal]" displayFolder="" count="0" memberValueDatatype="5" unbalanced="0"/>
    <cacheHierarchy uniqueName="[NBN_Removal].[Scope 1 kg CO2-e]" caption="Scope 1 kg CO2-e" attribute="1" defaultMemberUniqueName="[NBN_Removal].[Scope 1 kg CO2-e].[All]" allUniqueName="[NBN_Removal].[Scope 1 kg CO2-e].[All]" dimensionUniqueName="[NBN_Removal]" displayFolder="" count="0" memberValueDatatype="5" unbalanced="0"/>
    <cacheHierarchy uniqueName="[NBN_Removal].[Scope 2 kg CO2-e]" caption="Scope 2 kg CO2-e" attribute="1" defaultMemberUniqueName="[NBN_Removal].[Scope 2 kg CO2-e].[All]" allUniqueName="[NBN_Removal].[Scope 2 kg CO2-e].[All]" dimensionUniqueName="[NBN_Removal]" displayFolder="" count="0" memberValueDatatype="5" unbalanced="0"/>
    <cacheHierarchy uniqueName="[NBN_Removal].[Scope 3 kg CO2-e]" caption="Scope 3 kg CO2-e" attribute="1" defaultMemberUniqueName="[NBN_Removal].[Scope 3 kg CO2-e].[All]" allUniqueName="[NBN_Removal].[Scope 3 kg CO2-e].[All]" dimensionUniqueName="[NBN_Removal]" displayFolder="" count="0" memberValueDatatype="5" unbalanced="0"/>
    <cacheHierarchy uniqueName="[NBN_Removal].[Total GJ]" caption="Total GJ" attribute="1" defaultMemberUniqueName="[NBN_Removal].[Total GJ].[All]" allUniqueName="[NBN_Removal].[Total GJ].[All]" dimensionUniqueName="[NBN_Removal]" displayFolder="" count="0" memberValueDatatype="5" unbalanced="0"/>
    <cacheHierarchy uniqueName="[NBN_Removal].[Total Emissions]" caption="Total Emissions" attribute="1" defaultMemberUniqueName="[NBN_Removal].[Total Emissions].[All]" allUniqueName="[NBN_Removal].[Total Emissions].[All]" dimensionUniqueName="[NBN_Removal]" displayFolder="" count="0" memberValueDatatype="5" unbalanced="0"/>
    <cacheHierarchy uniqueName="[NET_Genset_Grounds].[Reporting Alias]" caption="Reporting Alias" attribute="1" defaultMemberUniqueName="[NET_Genset_Grounds].[Reporting Alias].[All]" allUniqueName="[NET_Genset_Grounds].[Reporting Alias].[All]" dimensionUniqueName="[NET_Genset_Grounds]" displayFolder="" count="0" memberValueDatatype="130" unbalanced="0"/>
    <cacheHierarchy uniqueName="[NET_Genset_Grounds].[Emission source]" caption="Emission source" attribute="1" defaultMemberUniqueName="[NET_Genset_Grounds].[Emission source].[All]" allUniqueName="[NET_Genset_Grounds].[Emission source].[All]" dimensionUniqueName="[NET_Genset_Grounds]" displayFolder="" count="0" memberValueDatatype="130" unbalanced="0"/>
    <cacheHierarchy uniqueName="[NET_Genset_Grounds].[Entity]" caption="Entity" attribute="1" defaultMemberUniqueName="[NET_Genset_Grounds].[Entity].[All]" allUniqueName="[NET_Genset_Grounds].[Entity].[All]" dimensionUniqueName="[NET_Genset_Grounds]" displayFolder="" count="0" memberValueDatatype="130" unbalanced="0"/>
    <cacheHierarchy uniqueName="[NET_Genset_Grounds].[Fuel]" caption="Fuel" attribute="1" defaultMemberUniqueName="[NET_Genset_Grounds].[Fuel].[All]" allUniqueName="[NET_Genset_Grounds].[Fuel].[All]" dimensionUniqueName="[NET_Genset_Grounds]" displayFolder="" count="0" memberValueDatatype="130" unbalanced="0"/>
    <cacheHierarchy uniqueName="[NET_Genset_Grounds].[State]" caption="State" attribute="1" defaultMemberUniqueName="[NET_Genset_Grounds].[State].[All]" allUniqueName="[NET_Genset_Grounds].[State].[All]" dimensionUniqueName="[NET_Genset_Grounds]" displayFolder="" count="0" memberValueDatatype="130" unbalanced="0"/>
    <cacheHierarchy uniqueName="[NET_Genset_Grounds].[Production Quantity]" caption="Production Quantity" attribute="1" defaultMemberUniqueName="[NET_Genset_Grounds].[Production Quantity].[All]" allUniqueName="[NET_Genset_Grounds].[Production Quantity].[All]" dimensionUniqueName="[NET_Genset_Grounds]" displayFolder="" count="0" memberValueDatatype="130" unbalanced="0"/>
    <cacheHierarchy uniqueName="[NET_Genset_Grounds].[Production  Units]" caption="Production  Units" attribute="1" defaultMemberUniqueName="[NET_Genset_Grounds].[Production  Units].[All]" allUniqueName="[NET_Genset_Grounds].[Production  Units].[All]" dimensionUniqueName="[NET_Genset_Grounds]" displayFolder="" count="0" memberValueDatatype="130" unbalanced="0"/>
    <cacheHierarchy uniqueName="[NET_Genset_Grounds].[Consumption Quantity]" caption="Consumption Quantity" attribute="1" defaultMemberUniqueName="[NET_Genset_Grounds].[Consumption Quantity].[All]" allUniqueName="[NET_Genset_Grounds].[Consumption Quantity].[All]" dimensionUniqueName="[NET_Genset_Grounds]" displayFolder="" count="0" memberValueDatatype="5" unbalanced="0"/>
    <cacheHierarchy uniqueName="[NET_Genset_Grounds].[Total GJ]" caption="Total GJ" attribute="1" defaultMemberUniqueName="[NET_Genset_Grounds].[Total GJ].[All]" allUniqueName="[NET_Genset_Grounds].[Total GJ].[All]" dimensionUniqueName="[NET_Genset_Grounds]" displayFolder="" count="0" memberValueDatatype="20" unbalanced="0"/>
    <cacheHierarchy uniqueName="[NET_Genset_Grounds].[Scope 1 kg CO2-e]" caption="Scope 1 kg CO2-e" attribute="1" defaultMemberUniqueName="[NET_Genset_Grounds].[Scope 1 kg CO2-e].[All]" allUniqueName="[NET_Genset_Grounds].[Scope 1 kg CO2-e].[All]" dimensionUniqueName="[NET_Genset_Grounds]" displayFolder="" count="0" memberValueDatatype="20" unbalanced="0"/>
    <cacheHierarchy uniqueName="[NET_Genset_Grounds].[Scope 2 kg CO2-e]" caption="Scope 2 kg CO2-e" attribute="1" defaultMemberUniqueName="[NET_Genset_Grounds].[Scope 2 kg CO2-e].[All]" allUniqueName="[NET_Genset_Grounds].[Scope 2 kg CO2-e].[All]" dimensionUniqueName="[NET_Genset_Grounds]" displayFolder="" count="0" memberValueDatatype="20" unbalanced="0"/>
    <cacheHierarchy uniqueName="[NET_Genset_Grounds].[Scope 3 kg CO2-e]" caption="Scope 3 kg CO2-e" attribute="1" defaultMemberUniqueName="[NET_Genset_Grounds].[Scope 3 kg CO2-e].[All]" allUniqueName="[NET_Genset_Grounds].[Scope 3 kg CO2-e].[All]" dimensionUniqueName="[NET_Genset_Grounds]" displayFolder="" count="0" memberValueDatatype="20" unbalanced="0"/>
    <cacheHierarchy uniqueName="[NET_Genset_Grounds].[Total Emissions]" caption="Total Emissions" attribute="1" defaultMemberUniqueName="[NET_Genset_Grounds].[Total Emissions].[All]" allUniqueName="[NET_Genset_Grounds].[Total Emissions].[All]" dimensionUniqueName="[NET_Genset_Grounds]" displayFolder="" count="0" memberValueDatatype="20" unbalanced="0"/>
    <cacheHierarchy uniqueName="[NON_Genset].[Reporting Alias]" caption="Reporting Alias" attribute="1" defaultMemberUniqueName="[NON_Genset].[Reporting Alias].[All]" allUniqueName="[NON_Genset].[Reporting Alias].[All]" dimensionUniqueName="[NON_Genset]" displayFolder="" count="0" memberValueDatatype="130" unbalanced="0"/>
    <cacheHierarchy uniqueName="[NON_Genset].[Source Name]" caption="Source Name" attribute="1" defaultMemberUniqueName="[NON_Genset].[Source Name].[All]" allUniqueName="[NON_Genset].[Source Name].[All]" dimensionUniqueName="[NON_Genset]" displayFolder="" count="0" memberValueDatatype="130" unbalanced="0"/>
    <cacheHierarchy uniqueName="[NON_Genset].[Activity Type]" caption="Activity Type" attribute="1" defaultMemberUniqueName="[NON_Genset].[Activity Type].[All]" allUniqueName="[NON_Genset].[Activity Type].[All]" dimensionUniqueName="[NON_Genset]" displayFolder="" count="0" memberValueDatatype="130" unbalanced="0"/>
    <cacheHierarchy uniqueName="[NON_Genset].[Activity Type Context]" caption="Activity Type Context" attribute="1" defaultMemberUniqueName="[NON_Genset].[Activity Type Context].[All]" allUniqueName="[NON_Genset].[Activity Type Context].[All]" dimensionUniqueName="[NON_Genset]" displayFolder="" count="0" memberValueDatatype="130" unbalanced="0"/>
    <cacheHierarchy uniqueName="[NON_Genset].[Entity]" caption="Entity" attribute="1" defaultMemberUniqueName="[NON_Genset].[Entity].[All]" allUniqueName="[NON_Genset].[Entity].[All]" dimensionUniqueName="[NON_Genset]" displayFolder="" count="0" memberValueDatatype="130" unbalanced="0"/>
    <cacheHierarchy uniqueName="[NON_Genset].[Fuel]" caption="Fuel" attribute="1" defaultMemberUniqueName="[NON_Genset].[Fuel].[All]" allUniqueName="[NON_Genset].[Fuel].[All]" dimensionUniqueName="[NON_Genset]" displayFolder="" count="0" memberValueDatatype="130" unbalanced="0"/>
    <cacheHierarchy uniqueName="[NON_Genset].[State]" caption="State" attribute="1" defaultMemberUniqueName="[NON_Genset].[State].[All]" allUniqueName="[NON_Genset].[State].[All]" dimensionUniqueName="[NON_Genset]" displayFolder="" count="0" memberValueDatatype="130" unbalanced="0"/>
    <cacheHierarchy uniqueName="[NON_Genset].[Consumption Quantity (L)]" caption="Consumption Quantity (L)" attribute="1" defaultMemberUniqueName="[NON_Genset].[Consumption Quantity (L)].[All]" allUniqueName="[NON_Genset].[Consumption Quantity (L)].[All]" dimensionUniqueName="[NON_Genset]" displayFolder="" count="0" memberValueDatatype="5" unbalanced="0"/>
    <cacheHierarchy uniqueName="[NON_Genset].[Production  Units]" caption="Production  Units" attribute="1" defaultMemberUniqueName="[NON_Genset].[Production  Units].[All]" allUniqueName="[NON_Genset].[Production  Units].[All]" dimensionUniqueName="[NON_Genset]" displayFolder="" count="0" memberValueDatatype="130" unbalanced="0"/>
    <cacheHierarchy uniqueName="[NON_Genset].[Consumption Quantity]" caption="Consumption Quantity" attribute="1" defaultMemberUniqueName="[NON_Genset].[Consumption Quantity].[All]" allUniqueName="[NON_Genset].[Consumption Quantity].[All]" dimensionUniqueName="[NON_Genset]" displayFolder="" count="0" memberValueDatatype="5" unbalanced="0"/>
    <cacheHierarchy uniqueName="[NON_Genset].[Total GJ]" caption="Total GJ" attribute="1" defaultMemberUniqueName="[NON_Genset].[Total GJ].[All]" allUniqueName="[NON_Genset].[Total GJ].[All]" dimensionUniqueName="[NON_Genset]" displayFolder="" count="0" memberValueDatatype="5" unbalanced="0"/>
    <cacheHierarchy uniqueName="[NON_Genset].[Scope 1 kg CO2-e]" caption="Scope 1 kg CO2-e" attribute="1" defaultMemberUniqueName="[NON_Genset].[Scope 1 kg CO2-e].[All]" allUniqueName="[NON_Genset].[Scope 1 kg CO2-e].[All]" dimensionUniqueName="[NON_Genset]" displayFolder="" count="0" memberValueDatatype="5" unbalanced="0"/>
    <cacheHierarchy uniqueName="[NON_Genset].[Scope 2 kg CO2-e]" caption="Scope 2 kg CO2-e" attribute="1" defaultMemberUniqueName="[NON_Genset].[Scope 2 kg CO2-e].[All]" allUniqueName="[NON_Genset].[Scope 2 kg CO2-e].[All]" dimensionUniqueName="[NON_Genset]" displayFolder="" count="0" memberValueDatatype="5" unbalanced="0"/>
    <cacheHierarchy uniqueName="[NON_Genset].[Scope 3 kg CO2-e]" caption="Scope 3 kg CO2-e" attribute="1" defaultMemberUniqueName="[NON_Genset].[Scope 3 kg CO2-e].[All]" allUniqueName="[NON_Genset].[Scope 3 kg CO2-e].[All]" dimensionUniqueName="[NON_Genset]" displayFolder="" count="0" memberValueDatatype="5" unbalanced="0"/>
    <cacheHierarchy uniqueName="[NON_Genset].[Total Emissions]" caption="Total Emissions" attribute="1" defaultMemberUniqueName="[NON_Genset].[Total Emissions].[All]" allUniqueName="[NON_Genset].[Total Emissions].[All]" dimensionUniqueName="[NON_Genset]" displayFolder="" count="0" memberValueDatatype="5" unbalanced="0"/>
    <cacheHierarchy uniqueName="[Paper_CSR].[Reporting Alias]" caption="Reporting Alias" attribute="1" defaultMemberUniqueName="[Paper_CSR].[Reporting Alias].[All]" allUniqueName="[Paper_CSR].[Reporting Alias].[All]" dimensionUniqueName="[Paper_CSR]" displayFolder="" count="0" memberValueDatatype="130" unbalanced="0"/>
    <cacheHierarchy uniqueName="[Paper_CSR].[t]" caption="t" attribute="1" defaultMemberUniqueName="[Paper_CSR].[t].[All]" allUniqueName="[Paper_CSR].[t].[All]" dimensionUniqueName="[Paper_CSR]" displayFolder="" count="0" memberValueDatatype="5" unbalanced="0"/>
    <cacheHierarchy uniqueName="[Percentage_Estimates].[Entity]" caption="Entity" attribute="1" defaultMemberUniqueName="[Percentage_Estimates].[Entity].[All]" allUniqueName="[Percentage_Estimates].[Entity].[All]" dimensionUniqueName="[Percentage_Estimates]" displayFolder="" count="0" memberValueDatatype="130" unbalanced="0"/>
    <cacheHierarchy uniqueName="[Percentage_Estimates].[Site Address]" caption="Site Address" attribute="1" defaultMemberUniqueName="[Percentage_Estimates].[Site Address].[All]" allUniqueName="[Percentage_Estimates].[Site Address].[All]" dimensionUniqueName="[Percentage_Estimates]" displayFolder="" count="0" memberValueDatatype="130" unbalanced="0"/>
    <cacheHierarchy uniqueName="[Percentage_Estimates].[Site name/Vehicle name]" caption="Site name/Vehicle name" attribute="1" defaultMemberUniqueName="[Percentage_Estimates].[Site name/Vehicle name].[All]" allUniqueName="[Percentage_Estimates].[Site name/Vehicle name].[All]" dimensionUniqueName="[Percentage_Estimates]" displayFolder="" count="0" memberValueDatatype="130" unbalanced="0"/>
    <cacheHierarchy uniqueName="[Percentage_Estimates].[State]" caption="State" attribute="1" defaultMemberUniqueName="[Percentage_Estimates].[State].[All]" allUniqueName="[Percentage_Estimates].[State].[All]" dimensionUniqueName="[Percentage_Estimates]" displayFolder="" count="0" memberValueDatatype="130" unbalanced="0"/>
    <cacheHierarchy uniqueName="[Percentage_Estimates].[Fuel/ Utility Type]" caption="Fuel/ Utility Type" attribute="1" defaultMemberUniqueName="[Percentage_Estimates].[Fuel/ Utility Type].[All]" allUniqueName="[Percentage_Estimates].[Fuel/ Utility Type].[All]" dimensionUniqueName="[Percentage_Estimates]" displayFolder="" count="0" memberValueDatatype="130" unbalanced="0"/>
    <cacheHierarchy uniqueName="[Percentage_Estimates].[Procedure to Capture data]" caption="Procedure to Capture data" attribute="1" defaultMemberUniqueName="[Percentage_Estimates].[Procedure to Capture data].[All]" allUniqueName="[Percentage_Estimates].[Procedure to Capture data].[All]" dimensionUniqueName="[Percentage_Estimates]" displayFolder="" count="0" memberValueDatatype="130" unbalanced="0"/>
    <cacheHierarchy uniqueName="[Percentage_Estimates].[Estimation Method (if relevant)]" caption="Estimation Method (if relevant)" attribute="1" defaultMemberUniqueName="[Percentage_Estimates].[Estimation Method (if relevant)].[All]" allUniqueName="[Percentage_Estimates].[Estimation Method (if relevant)].[All]" dimensionUniqueName="[Percentage_Estimates]" displayFolder="" count="0" memberValueDatatype="130" unbalanced="0"/>
    <cacheHierarchy uniqueName="[Percentage_Estimates].[Quantity]" caption="Quantity" attribute="1" defaultMemberUniqueName="[Percentage_Estimates].[Quantity].[All]" allUniqueName="[Percentage_Estimates].[Quantity].[All]" dimensionUniqueName="[Percentage_Estimates]" displayFolder="" count="0" memberValueDatatype="5" unbalanced="0"/>
    <cacheHierarchy uniqueName="[Percentage_Estimates].[Apportioned Quantity]" caption="Apportioned Quantity" attribute="1" defaultMemberUniqueName="[Percentage_Estimates].[Apportioned Quantity].[All]" allUniqueName="[Percentage_Estimates].[Apportioned Quantity].[All]" dimensionUniqueName="[Percentage_Estimates]" displayFolder="" count="0" memberValueDatatype="5" unbalanced="0"/>
    <cacheHierarchy uniqueName="[Percentage_Estimates].[Consumption Quantity]" caption="Consumption Quantity" attribute="1" defaultMemberUniqueName="[Percentage_Estimates].[Consumption Quantity].[All]" allUniqueName="[Percentage_Estimates].[Consumption Quantity].[All]" dimensionUniqueName="[Percentage_Estimates]" displayFolder="" count="0" memberValueDatatype="5" unbalanced="0"/>
    <cacheHierarchy uniqueName="[Percentage_Estimates].[Unit of measure]" caption="Unit of measure" attribute="1" defaultMemberUniqueName="[Percentage_Estimates].[Unit of measure].[All]" allUniqueName="[Percentage_Estimates].[Unit of measure].[All]" dimensionUniqueName="[Percentage_Estimates]" displayFolder="" count="0" memberValueDatatype="130" unbalanced="0"/>
    <cacheHierarchy uniqueName="[Percentage_Estimates].[Use of fuel]" caption="Use of fuel" attribute="1" defaultMemberUniqueName="[Percentage_Estimates].[Use of fuel].[All]" allUniqueName="[Percentage_Estimates].[Use of fuel].[All]" dimensionUniqueName="[Percentage_Estimates]" displayFolder="" count="0" memberValueDatatype="130" unbalanced="0"/>
    <cacheHierarchy uniqueName="[Percentage_Estimates].[Period Start]" caption="Period Start" attribute="1" defaultMemberUniqueName="[Percentage_Estimates].[Period Start].[All]" allUniqueName="[Percentage_Estimates].[Period Start].[All]" dimensionUniqueName="[Percentage_Estimates]" displayFolder="" count="0" memberValueDatatype="20" unbalanced="0"/>
    <cacheHierarchy uniqueName="[Percentage_Estimates].[Period End]" caption="Period End" attribute="1" defaultMemberUniqueName="[Percentage_Estimates].[Period End].[All]" allUniqueName="[Percentage_Estimates].[Period End].[All]" dimensionUniqueName="[Percentage_Estimates]" displayFolder="" count="0" memberValueDatatype="20" unbalanced="0"/>
    <cacheHierarchy uniqueName="[Percentage_Estimates].[Days]" caption="Days" attribute="1" defaultMemberUniqueName="[Percentage_Estimates].[Days].[All]" allUniqueName="[Percentage_Estimates].[Days].[All]" dimensionUniqueName="[Percentage_Estimates]" displayFolder="" count="0" memberValueDatatype="20" unbalanced="0"/>
    <cacheHierarchy uniqueName="[Percentage_Estimates].[Generator Make&gt;model]" caption="Generator Make&gt;model" attribute="1" defaultMemberUniqueName="[Percentage_Estimates].[Generator Make&gt;model].[All]" allUniqueName="[Percentage_Estimates].[Generator Make&gt;model].[All]" dimensionUniqueName="[Percentage_Estimates]" displayFolder="" count="0" memberValueDatatype="130" unbalanced="0"/>
    <cacheHierarchy uniqueName="[Percentage_Estimates].[Estimated run time (hours)]" caption="Estimated run time (hours)" attribute="1" defaultMemberUniqueName="[Percentage_Estimates].[Estimated run time (hours)].[All]" allUniqueName="[Percentage_Estimates].[Estimated run time (hours)].[All]" dimensionUniqueName="[Percentage_Estimates]" displayFolder="" count="0" memberValueDatatype="130" unbalanced="0"/>
    <cacheHierarchy uniqueName="[Percentage_Estimates].[Installed Capacity]" caption="Installed Capacity" attribute="1" defaultMemberUniqueName="[Percentage_Estimates].[Installed Capacity].[All]" allUniqueName="[Percentage_Estimates].[Installed Capacity].[All]" dimensionUniqueName="[Percentage_Estimates]" displayFolder="" count="0" memberValueDatatype="130" unbalanced="0"/>
    <cacheHierarchy uniqueName="[Percentage_Estimates].[Derated Capacity]" caption="Derated Capacity" attribute="1" defaultMemberUniqueName="[Percentage_Estimates].[Derated Capacity].[All]" allUniqueName="[Percentage_Estimates].[Derated Capacity].[All]" dimensionUniqueName="[Percentage_Estimates]" displayFolder="" count="0" memberValueDatatype="130" unbalanced="0"/>
    <cacheHierarchy uniqueName="[Percentage_Estimates].[Generator Units]" caption="Generator Units" attribute="1" defaultMemberUniqueName="[Percentage_Estimates].[Generator Units].[All]" allUniqueName="[Percentage_Estimates].[Generator Units].[All]" dimensionUniqueName="[Percentage_Estimates]" displayFolder="" count="0" memberValueDatatype="130" unbalanced="0"/>
    <cacheHierarchy uniqueName="[Percentage_Estimates].[Reporting Alias]" caption="Reporting Alias" attribute="1" defaultMemberUniqueName="[Percentage_Estimates].[Reporting Alias].[All]" allUniqueName="[Percentage_Estimates].[Reporting Alias].[All]" dimensionUniqueName="[Percentage_Estimates]" displayFolder="" count="0" memberValueDatatype="130" unbalanced="0"/>
    <cacheHierarchy uniqueName="[Percentage_Estimates].[Total GJ]" caption="Total GJ" attribute="1" defaultMemberUniqueName="[Percentage_Estimates].[Total GJ].[All]" allUniqueName="[Percentage_Estimates].[Total GJ].[All]" dimensionUniqueName="[Percentage_Estimates]" displayFolder="" count="0" memberValueDatatype="5" unbalanced="0"/>
    <cacheHierarchy uniqueName="[Percentage_Estimates].[Scope 1 kg CO2-e]" caption="Scope 1 kg CO2-e" attribute="1" defaultMemberUniqueName="[Percentage_Estimates].[Scope 1 kg CO2-e].[All]" allUniqueName="[Percentage_Estimates].[Scope 1 kg CO2-e].[All]" dimensionUniqueName="[Percentage_Estimates]" displayFolder="" count="0" memberValueDatatype="5" unbalanced="0"/>
    <cacheHierarchy uniqueName="[Percentage_Estimates].[Scope 2 kg CO2-e]" caption="Scope 2 kg CO2-e" attribute="1" defaultMemberUniqueName="[Percentage_Estimates].[Scope 2 kg CO2-e].[All]" allUniqueName="[Percentage_Estimates].[Scope 2 kg CO2-e].[All]" dimensionUniqueName="[Percentage_Estimates]" displayFolder="" count="0" memberValueDatatype="5" unbalanced="0"/>
    <cacheHierarchy uniqueName="[Percentage_Estimates].[Scope 3 kg CO2-e]" caption="Scope 3 kg CO2-e" attribute="1" defaultMemberUniqueName="[Percentage_Estimates].[Scope 3 kg CO2-e].[All]" allUniqueName="[Percentage_Estimates].[Scope 3 kg CO2-e].[All]" dimensionUniqueName="[Percentage_Estimates]" displayFolder="" count="0" memberValueDatatype="5" unbalanced="0"/>
    <cacheHierarchy uniqueName="[Percentage_Estimates].[Total Emissions]" caption="Total Emissions" attribute="1" defaultMemberUniqueName="[Percentage_Estimates].[Total Emissions].[All]" allUniqueName="[Percentage_Estimates].[Total Emissions].[All]" dimensionUniqueName="[Percentage_Estimates]" displayFolder="" count="0" memberValueDatatype="5" unbalanced="0"/>
    <cacheHierarchy uniqueName="[Pitwater].[Reporting alias]" caption="Reporting alias" attribute="1" defaultMemberUniqueName="[Pitwater].[Reporting alias].[All]" allUniqueName="[Pitwater].[Reporting alias].[All]" dimensionUniqueName="[Pitwater]" displayFolder="" count="0" memberValueDatatype="130" unbalanced="0"/>
    <cacheHierarchy uniqueName="[Pitwater].[State]" caption="State" attribute="1" defaultMemberUniqueName="[Pitwater].[State].[All]" allUniqueName="[Pitwater].[State].[All]" dimensionUniqueName="[Pitwater]" displayFolder="" count="0" memberValueDatatype="130" unbalanced="0"/>
    <cacheHierarchy uniqueName="[Pitwater].[kL]" caption="kL" attribute="1" defaultMemberUniqueName="[Pitwater].[kL].[All]" allUniqueName="[Pitwater].[kL].[All]" dimensionUniqueName="[Pitwater]" displayFolder="" count="0" memberValueDatatype="5" unbalanced="0"/>
    <cacheHierarchy uniqueName="[Pitwater].[Total GJ]" caption="Total GJ" attribute="1" defaultMemberUniqueName="[Pitwater].[Total GJ].[All]" allUniqueName="[Pitwater].[Total GJ].[All]" dimensionUniqueName="[Pitwater]" displayFolder="" count="0" memberValueDatatype="5" unbalanced="0"/>
    <cacheHierarchy uniqueName="[Pitwater].[Consumption Quantity]" caption="Consumption Quantity" attribute="1" defaultMemberUniqueName="[Pitwater].[Consumption Quantity].[All]" allUniqueName="[Pitwater].[Consumption Quantity].[All]" dimensionUniqueName="[Pitwater]" displayFolder="" count="0" memberValueDatatype="5" unbalanced="0"/>
    <cacheHierarchy uniqueName="[Pitwater].[Scope 1 kg CO2-e]" caption="Scope 1 kg CO2-e" attribute="1" defaultMemberUniqueName="[Pitwater].[Scope 1 kg CO2-e].[All]" allUniqueName="[Pitwater].[Scope 1 kg CO2-e].[All]" dimensionUniqueName="[Pitwater]" displayFolder="" count="0" memberValueDatatype="5" unbalanced="0"/>
    <cacheHierarchy uniqueName="[Pitwater].[Scope 2 kg CO2-e]" caption="Scope 2 kg CO2-e" attribute="1" defaultMemberUniqueName="[Pitwater].[Scope 2 kg CO2-e].[All]" allUniqueName="[Pitwater].[Scope 2 kg CO2-e].[All]" dimensionUniqueName="[Pitwater]" displayFolder="" count="0" memberValueDatatype="5" unbalanced="0"/>
    <cacheHierarchy uniqueName="[Pitwater].[Scope 3 kg CO2-e]" caption="Scope 3 kg CO2-e" attribute="1" defaultMemberUniqueName="[Pitwater].[Scope 3 kg CO2-e].[All]" allUniqueName="[Pitwater].[Scope 3 kg CO2-e].[All]" dimensionUniqueName="[Pitwater]" displayFolder="" count="0" memberValueDatatype="5" unbalanced="0"/>
    <cacheHierarchy uniqueName="[Pitwater].[Total Emissions]" caption="Total Emissions" attribute="1" defaultMemberUniqueName="[Pitwater].[Total Emissions].[All]" allUniqueName="[Pitwater].[Total Emissions].[All]" dimensionUniqueName="[Pitwater]" displayFolder="" count="0" memberValueDatatype="5" unbalanced="0"/>
    <cacheHierarchy uniqueName="[ReformFY20].[Reporting Alias]" caption="Reporting Alias" attribute="1" defaultMemberUniqueName="[ReformFY20].[Reporting Alias].[All]" allUniqueName="[ReformFY20].[Reporting Alias].[All]" dimensionUniqueName="[ReformFY20]" displayFolder="" count="0" memberValueDatatype="130" unbalanced="0"/>
    <cacheHierarchy uniqueName="[ReformFY20].[UoM]" caption="UoM" attribute="1" defaultMemberUniqueName="[ReformFY20].[UoM].[All]" allUniqueName="[ReformFY20].[UoM].[All]" dimensionUniqueName="[ReformFY20]" displayFolder="" count="0" memberValueDatatype="130" unbalanced="0"/>
    <cacheHierarchy uniqueName="[ReformFY20].[Primary Criterion]" caption="Primary Criterion" attribute="1" defaultMemberUniqueName="[ReformFY20].[Primary Criterion].[All]" allUniqueName="[ReformFY20].[Primary Criterion].[All]" dimensionUniqueName="[ReformFY20]" displayFolder="" count="0" memberValueDatatype="130" unbalanced="0"/>
    <cacheHierarchy uniqueName="[ReformFY20].[Consumption Quantity]" caption="Consumption Quantity" attribute="1" defaultMemberUniqueName="[ReformFY20].[Consumption Quantity].[All]" allUniqueName="[ReformFY20].[Consumption Quantity].[All]" dimensionUniqueName="[ReformFY20]" displayFolder="" count="0" memberValueDatatype="5" unbalanced="0"/>
    <cacheHierarchy uniqueName="[ReformFY20].[Total GJ]" caption="Total GJ" attribute="1" defaultMemberUniqueName="[ReformFY20].[Total GJ].[All]" allUniqueName="[ReformFY20].[Total GJ].[All]" dimensionUniqueName="[ReformFY20]" displayFolder="" count="0" memberValueDatatype="5" unbalanced="0"/>
    <cacheHierarchy uniqueName="[ReformFY20].[Scope 1 kg CO2-e]" caption="Scope 1 kg CO2-e" attribute="1" defaultMemberUniqueName="[ReformFY20].[Scope 1 kg CO2-e].[All]" allUniqueName="[ReformFY20].[Scope 1 kg CO2-e].[All]" dimensionUniqueName="[ReformFY20]" displayFolder="" count="0" memberValueDatatype="5" unbalanced="0"/>
    <cacheHierarchy uniqueName="[ReformFY20].[Scope 2 kg CO2-e]" caption="Scope 2 kg CO2-e" attribute="1" defaultMemberUniqueName="[ReformFY20].[Scope 2 kg CO2-e].[All]" allUniqueName="[ReformFY20].[Scope 2 kg CO2-e].[All]" dimensionUniqueName="[ReformFY20]" displayFolder="" count="0" memberValueDatatype="5" unbalanced="0"/>
    <cacheHierarchy uniqueName="[ReformFY20].[Scope 3 kg CO2-e]" caption="Scope 3 kg CO2-e" attribute="1" defaultMemberUniqueName="[ReformFY20].[Scope 3 kg CO2-e].[All]" allUniqueName="[ReformFY20].[Scope 3 kg CO2-e].[All]" dimensionUniqueName="[ReformFY20]" displayFolder="" count="0" memberValueDatatype="5" unbalanced="0"/>
    <cacheHierarchy uniqueName="[ReformFY20].[Total Emissions]" caption="Total Emissions" attribute="1" defaultMemberUniqueName="[ReformFY20].[Total Emissions].[All]" allUniqueName="[ReformFY20].[Total Emissions].[All]" dimensionUniqueName="[ReformFY20]" displayFolder="" count="0" memberValueDatatype="5" unbalanced="0"/>
    <cacheHierarchy uniqueName="[ReformFY20].[Category]" caption="Category" attribute="1" defaultMemberUniqueName="[ReformFY20].[Category].[All]" allUniqueName="[ReformFY20].[Category].[All]" dimensionUniqueName="[ReformFY20]" displayFolder="" count="0" memberValueDatatype="130" unbalanced="0"/>
    <cacheHierarchy uniqueName="[ReformFY20_].[Reporting Alias]" caption="Reporting Alias" attribute="1" defaultMemberUniqueName="[ReformFY20_].[Reporting Alias].[All]" allUniqueName="[ReformFY20_].[Reporting Alias].[All]" dimensionUniqueName="[ReformFY20_]" displayFolder="" count="0" memberValueDatatype="130" unbalanced="0"/>
    <cacheHierarchy uniqueName="[ReformFY20_].[UoM]" caption="UoM" attribute="1" defaultMemberUniqueName="[ReformFY20_].[UoM].[All]" allUniqueName="[ReformFY20_].[UoM].[All]" dimensionUniqueName="[ReformFY20_]" displayFolder="" count="0" memberValueDatatype="130" unbalanced="0"/>
    <cacheHierarchy uniqueName="[ReformFY20_].[Primary Criterion]" caption="Primary Criterion" attribute="1" defaultMemberUniqueName="[ReformFY20_].[Primary Criterion].[All]" allUniqueName="[ReformFY20_].[Primary Criterion].[All]" dimensionUniqueName="[ReformFY20_]" displayFolder="" count="0" memberValueDatatype="130" unbalanced="0"/>
    <cacheHierarchy uniqueName="[ReformFY20_].[Consumption Quantity]" caption="Consumption Quantity" attribute="1" defaultMemberUniqueName="[ReformFY20_].[Consumption Quantity].[All]" allUniqueName="[ReformFY20_].[Consumption Quantity].[All]" dimensionUniqueName="[ReformFY20_]" displayFolder="" count="0" memberValueDatatype="5" unbalanced="0"/>
    <cacheHierarchy uniqueName="[ReformFY20_].[Total GJ]" caption="Total GJ" attribute="1" defaultMemberUniqueName="[ReformFY20_].[Total GJ].[All]" allUniqueName="[ReformFY20_].[Total GJ].[All]" dimensionUniqueName="[ReformFY20_]" displayFolder="" count="0" memberValueDatatype="5" unbalanced="0"/>
    <cacheHierarchy uniqueName="[ReformFY20_].[Scope 1 kg CO2-e]" caption="Scope 1 kg CO2-e" attribute="1" defaultMemberUniqueName="[ReformFY20_].[Scope 1 kg CO2-e].[All]" allUniqueName="[ReformFY20_].[Scope 1 kg CO2-e].[All]" dimensionUniqueName="[ReformFY20_]" displayFolder="" count="0" memberValueDatatype="5" unbalanced="0"/>
    <cacheHierarchy uniqueName="[ReformFY20_].[Scope 2 kg CO2-e]" caption="Scope 2 kg CO2-e" attribute="1" defaultMemberUniqueName="[ReformFY20_].[Scope 2 kg CO2-e].[All]" allUniqueName="[ReformFY20_].[Scope 2 kg CO2-e].[All]" dimensionUniqueName="[ReformFY20_]" displayFolder="" count="0" memberValueDatatype="5" unbalanced="0"/>
    <cacheHierarchy uniqueName="[ReformFY20_].[Scope 3 kg CO2-e]" caption="Scope 3 kg CO2-e" attribute="1" defaultMemberUniqueName="[ReformFY20_].[Scope 3 kg CO2-e].[All]" allUniqueName="[ReformFY20_].[Scope 3 kg CO2-e].[All]" dimensionUniqueName="[ReformFY20_]" displayFolder="" count="0" memberValueDatatype="5" unbalanced="0"/>
    <cacheHierarchy uniqueName="[ReformFY20_].[Total Emissions]" caption="Total Emissions" attribute="1" defaultMemberUniqueName="[ReformFY20_].[Total Emissions].[All]" allUniqueName="[ReformFY20_].[Total Emissions].[All]" dimensionUniqueName="[ReformFY20_]" displayFolder="" count="0" memberValueDatatype="5" unbalanced="0"/>
    <cacheHierarchy uniqueName="[ReformFY20_].[Category]" caption="Category" attribute="1" defaultMemberUniqueName="[ReformFY20_].[Category].[All]" allUniqueName="[ReformFY20_].[Category].[All]" dimensionUniqueName="[ReformFY20_]" displayFolder="" count="0" memberValueDatatype="130" unbalanced="0"/>
    <cacheHierarchy uniqueName="[ReformFY20_].[Column1]" caption="Column1" attribute="1" defaultMemberUniqueName="[ReformFY20_].[Column1].[All]" allUniqueName="[ReformFY20_].[Column1].[All]" dimensionUniqueName="[ReformFY20_]" displayFolder="" count="0" memberValueDatatype="130" unbalanced="0"/>
    <cacheHierarchy uniqueName="[Savings_Data].[Reporting Alias]" caption="Reporting Alias" attribute="1" defaultMemberUniqueName="[Savings_Data].[Reporting Alias].[All]" allUniqueName="[Savings_Data].[Reporting Alias].[All]" dimensionUniqueName="[Savings_Data]" displayFolder="" count="0" memberValueDatatype="130" unbalanced="0"/>
    <cacheHierarchy uniqueName="[Savings_Data].[Program]" caption="Program" attribute="1" defaultMemberUniqueName="[Savings_Data].[Program].[All]" allUniqueName="[Savings_Data].[Program].[All]" dimensionUniqueName="[Savings_Data]" displayFolder="" count="0" memberValueDatatype="130" unbalanced="0"/>
    <cacheHierarchy uniqueName="[Savings_Data].[Release /Bulk]" caption="Release /Bulk" attribute="1" defaultMemberUniqueName="[Savings_Data].[Release /Bulk].[All]" allUniqueName="[Savings_Data].[Release /Bulk].[All]" dimensionUniqueName="[Savings_Data]" displayFolder="" count="0" memberValueDatatype="130" unbalanced="0"/>
    <cacheHierarchy uniqueName="[Savings_Data].[OID]" caption="OID" attribute="1" defaultMemberUniqueName="[Savings_Data].[OID].[All]" allUniqueName="[Savings_Data].[OID].[All]" dimensionUniqueName="[Savings_Data]" displayFolder="" count="0" memberValueDatatype="130" unbalanced="0"/>
    <cacheHierarchy uniqueName="[Savings_Data].[State]" caption="State" attribute="1" defaultMemberUniqueName="[Savings_Data].[State].[All]" allUniqueName="[Savings_Data].[State].[All]" dimensionUniqueName="[Savings_Data]" displayFolder="" count="0" memberValueDatatype="130" unbalanced="0"/>
    <cacheHierarchy uniqueName="[Savings_Data].[Site Name]" caption="Site Name" attribute="1" defaultMemberUniqueName="[Savings_Data].[Site Name].[All]" allUniqueName="[Savings_Data].[Site Name].[All]" dimensionUniqueName="[Savings_Data]" displayFolder="" count="0" memberValueDatatype="130" unbalanced="0"/>
    <cacheHierarchy uniqueName="[Savings_Data].[Address ID]" caption="Address ID" attribute="1" defaultMemberUniqueName="[Savings_Data].[Address ID].[All]" allUniqueName="[Savings_Data].[Address ID].[All]" dimensionUniqueName="[Savings_Data]" displayFolder="" count="0" memberValueDatatype="130" unbalanced="0"/>
    <cacheHierarchy uniqueName="[Savings_Data].[Description of Actions]" caption="Description of Actions" attribute="1" defaultMemberUniqueName="[Savings_Data].[Description of Actions].[All]" allUniqueName="[Savings_Data].[Description of Actions].[All]" dimensionUniqueName="[Savings_Data]" displayFolder="" count="0" memberValueDatatype="130" unbalanced="0"/>
    <cacheHierarchy uniqueName="[Savings_Data].[Report category]" caption="Report category" attribute="1" defaultMemberUniqueName="[Savings_Data].[Report category].[All]" allUniqueName="[Savings_Data].[Report category].[All]" dimensionUniqueName="[Savings_Data]" displayFolder="" count="0" memberValueDatatype="130" unbalanced="0"/>
    <cacheHierarchy uniqueName="[Savings_Data].[CDP category]" caption="CDP category" attribute="1" defaultMemberUniqueName="[Savings_Data].[CDP category].[All]" allUniqueName="[Savings_Data].[CDP category].[All]" dimensionUniqueName="[Savings_Data]" displayFolder="" count="0" memberValueDatatype="130" unbalanced="0"/>
    <cacheHierarchy uniqueName="[Savings_Data].[Actual Completion Date]" caption="Actual Completion Date" attribute="1" time="1" defaultMemberUniqueName="[Savings_Data].[Actual Completion Date].[All]" allUniqueName="[Savings_Data].[Actual Completion Date].[All]" dimensionUniqueName="[Savings_Data]" displayFolder="" count="0" memberValueDatatype="7" unbalanced="0"/>
    <cacheHierarchy uniqueName="[Savings_Data].[Annual Energy Savings (KWh)]" caption="Annual Energy Savings (KWh)" attribute="1" defaultMemberUniqueName="[Savings_Data].[Annual Energy Savings (KWh)].[All]" allUniqueName="[Savings_Data].[Annual Energy Savings (KWh)].[All]" dimensionUniqueName="[Savings_Data]" displayFolder="" count="0" memberValueDatatype="5" unbalanced="0"/>
    <cacheHierarchy uniqueName="[Savings_Data].[Scope 2 kg CO2-e]" caption="Scope 2 kg CO2-e" attribute="1" defaultMemberUniqueName="[Savings_Data].[Scope 2 kg CO2-e].[All]" allUniqueName="[Savings_Data].[Scope 2 kg CO2-e].[All]" dimensionUniqueName="[Savings_Data]" displayFolder="" count="0" memberValueDatatype="5" unbalanced="0"/>
    <cacheHierarchy uniqueName="[Savings_Data].[Scope 3 kg CO2-e]" caption="Scope 3 kg CO2-e" attribute="1" defaultMemberUniqueName="[Savings_Data].[Scope 3 kg CO2-e].[All]" allUniqueName="[Savings_Data].[Scope 3 kg CO2-e].[All]" dimensionUniqueName="[Savings_Data]" displayFolder="" count="0" memberValueDatatype="5" unbalanced="0"/>
    <cacheHierarchy uniqueName="[Savings_Data].[Total Tonnes]" caption="Total Tonnes" attribute="1" defaultMemberUniqueName="[Savings_Data].[Total Tonnes].[All]" allUniqueName="[Savings_Data].[Total Tonnes].[All]" dimensionUniqueName="[Savings_Data]" displayFolder="" count="0" memberValueDatatype="5" unbalanced="0"/>
    <cacheHierarchy uniqueName="[Savings_Data].[Total GJ]" caption="Total GJ" attribute="1" defaultMemberUniqueName="[Savings_Data].[Total GJ].[All]" allUniqueName="[Savings_Data].[Total GJ].[All]" dimensionUniqueName="[Savings_Data]" displayFolder="" count="0" memberValueDatatype="5" unbalanced="0"/>
    <cacheHierarchy uniqueName="[SE_Gas].[Reporting Alias]" caption="Reporting Alias" attribute="1" defaultMemberUniqueName="[SE_Gas].[Reporting Alias].[All]" allUniqueName="[SE_Gas].[Reporting Alias].[All]" dimensionUniqueName="[SE_Gas]" displayFolder="" count="0" memberValueDatatype="130" unbalanced="0"/>
    <cacheHierarchy uniqueName="[SE_Gas].[State]" caption="State" attribute="1" defaultMemberUniqueName="[SE_Gas].[State].[All]" allUniqueName="[SE_Gas].[State].[All]" dimensionUniqueName="[SE_Gas]" displayFolder="" count="0" memberValueDatatype="130" unbalanced="0"/>
    <cacheHierarchy uniqueName="[SE_Gas].[Consumption Quanity]" caption="Consumption Quanity" attribute="1" defaultMemberUniqueName="[SE_Gas].[Consumption Quanity].[All]" allUniqueName="[SE_Gas].[Consumption Quanity].[All]" dimensionUniqueName="[SE_Gas]" displayFolder="" count="0" memberValueDatatype="5" unbalanced="0"/>
    <cacheHierarchy uniqueName="[SE_Gas].[Scope 1 kg CO2-e]" caption="Scope 1 kg CO2-e" attribute="1" defaultMemberUniqueName="[SE_Gas].[Scope 1 kg CO2-e].[All]" allUniqueName="[SE_Gas].[Scope 1 kg CO2-e].[All]" dimensionUniqueName="[SE_Gas]" displayFolder="" count="0" memberValueDatatype="5" unbalanced="0"/>
    <cacheHierarchy uniqueName="[SE_Gas].[Scope 2 kg CO2-e]" caption="Scope 2 kg CO2-e" attribute="1" defaultMemberUniqueName="[SE_Gas].[Scope 2 kg CO2-e].[All]" allUniqueName="[SE_Gas].[Scope 2 kg CO2-e].[All]" dimensionUniqueName="[SE_Gas]" displayFolder="" count="0" memberValueDatatype="5" unbalanced="0"/>
    <cacheHierarchy uniqueName="[SE_Gas].[Scope 3 kg CO2-e]" caption="Scope 3 kg CO2-e" attribute="1" defaultMemberUniqueName="[SE_Gas].[Scope 3 kg CO2-e].[All]" allUniqueName="[SE_Gas].[Scope 3 kg CO2-e].[All]" dimensionUniqueName="[SE_Gas]" displayFolder="" count="0" memberValueDatatype="5" unbalanced="0"/>
    <cacheHierarchy uniqueName="[SE_Gas].[Total GJ]" caption="Total GJ" attribute="1" defaultMemberUniqueName="[SE_Gas].[Total GJ].[All]" allUniqueName="[SE_Gas].[Total GJ].[All]" dimensionUniqueName="[SE_Gas]" displayFolder="" count="0" memberValueDatatype="5" unbalanced="0"/>
    <cacheHierarchy uniqueName="[SE_Gas].[Total Emissions]" caption="Total Emissions" attribute="1" defaultMemberUniqueName="[SE_Gas].[Total Emissions].[All]" allUniqueName="[SE_Gas].[Total Emissions].[All]" dimensionUniqueName="[SE_Gas]" displayFolder="" count="0" memberValueDatatype="5" unbalanced="0"/>
    <cacheHierarchy uniqueName="[Solar].[Source Name]" caption="Source Name" attribute="1" defaultMemberUniqueName="[Solar].[Source Name].[All]" allUniqueName="[Solar].[Source Name].[All]" dimensionUniqueName="[Solar]" displayFolder="" count="0" memberValueDatatype="130" unbalanced="0"/>
    <cacheHierarchy uniqueName="[Solar].[Reporting Alias]" caption="Reporting Alias" attribute="1" defaultMemberUniqueName="[Solar].[Reporting Alias].[All]" allUniqueName="[Solar].[Reporting Alias].[All]" dimensionUniqueName="[Solar]" displayFolder="" count="0" memberValueDatatype="130" unbalanced="0"/>
    <cacheHierarchy uniqueName="[Solar].[Activity Type]" caption="Activity Type" attribute="1" defaultMemberUniqueName="[Solar].[Activity Type].[All]" allUniqueName="[Solar].[Activity Type].[All]" dimensionUniqueName="[Solar]" displayFolder="" count="0" memberValueDatatype="130" unbalanced="0"/>
    <cacheHierarchy uniqueName="[Solar].[Activity Type Context]" caption="Activity Type Context" attribute="1" defaultMemberUniqueName="[Solar].[Activity Type Context].[All]" allUniqueName="[Solar].[Activity Type Context].[All]" dimensionUniqueName="[Solar]" displayFolder="" count="0" memberValueDatatype="130" unbalanced="0"/>
    <cacheHierarchy uniqueName="[Solar].[Entity]" caption="Entity" attribute="1" defaultMemberUniqueName="[Solar].[Entity].[All]" allUniqueName="[Solar].[Entity].[All]" dimensionUniqueName="[Solar]" displayFolder="" count="0" memberValueDatatype="130" unbalanced="0"/>
    <cacheHierarchy uniqueName="[Solar].[State]" caption="State" attribute="1" defaultMemberUniqueName="[Solar].[State].[All]" allUniqueName="[Solar].[State].[All]" dimensionUniqueName="[Solar]" displayFolder="" count="0" memberValueDatatype="130" unbalanced="0"/>
    <cacheHierarchy uniqueName="[Solar].[Production Quantity]" caption="Production Quantity" attribute="1" defaultMemberUniqueName="[Solar].[Production Quantity].[All]" allUniqueName="[Solar].[Production Quantity].[All]" dimensionUniqueName="[Solar]" displayFolder="" count="0" memberValueDatatype="5" unbalanced="0"/>
    <cacheHierarchy uniqueName="[Solar].[Production Unit]" caption="Production Unit" attribute="1" defaultMemberUniqueName="[Solar].[Production Unit].[All]" allUniqueName="[Solar].[Production Unit].[All]" dimensionUniqueName="[Solar]" displayFolder="" count="0" memberValueDatatype="130" unbalanced="0"/>
    <cacheHierarchy uniqueName="[Solar].[Consumption Quantitiy]" caption="Consumption Quantitiy" attribute="1" defaultMemberUniqueName="[Solar].[Consumption Quantitiy].[All]" allUniqueName="[Solar].[Consumption Quantitiy].[All]" dimensionUniqueName="[Solar]" displayFolder="" count="0" memberValueDatatype="5" unbalanced="0"/>
    <cacheHierarchy uniqueName="[Solar].[Scope 1 kg CO2-e]" caption="Scope 1 kg CO2-e" attribute="1" defaultMemberUniqueName="[Solar].[Scope 1 kg CO2-e].[All]" allUniqueName="[Solar].[Scope 1 kg CO2-e].[All]" dimensionUniqueName="[Solar]" displayFolder="" count="0" memberValueDatatype="5" unbalanced="0"/>
    <cacheHierarchy uniqueName="[Solar].[Scope 2 kg CO2-e]" caption="Scope 2 kg CO2-e" attribute="1" defaultMemberUniqueName="[Solar].[Scope 2 kg CO2-e].[All]" allUniqueName="[Solar].[Scope 2 kg CO2-e].[All]" dimensionUniqueName="[Solar]" displayFolder="" count="0" memberValueDatatype="5" unbalanced="0"/>
    <cacheHierarchy uniqueName="[Solar].[Scope 3 kg CO2-e]" caption="Scope 3 kg CO2-e" attribute="1" defaultMemberUniqueName="[Solar].[Scope 3 kg CO2-e].[All]" allUniqueName="[Solar].[Scope 3 kg CO2-e].[All]" dimensionUniqueName="[Solar]" displayFolder="" count="0" memberValueDatatype="5" unbalanced="0"/>
    <cacheHierarchy uniqueName="[Solar].[Total GJ]" caption="Total GJ" attribute="1" defaultMemberUniqueName="[Solar].[Total GJ].[All]" allUniqueName="[Solar].[Total GJ].[All]" dimensionUniqueName="[Solar]" displayFolder="" count="0" memberValueDatatype="5" unbalanced="0"/>
    <cacheHierarchy uniqueName="[Solar].[Total Emissions]" caption="Total Emissions" attribute="1" defaultMemberUniqueName="[Solar].[Total Emissions].[All]" allUniqueName="[Solar].[Total Emissions].[All]" dimensionUniqueName="[Solar]" displayFolder="" count="0" memberValueDatatype="5" unbalanced="0"/>
    <cacheHierarchy uniqueName="[Solar].[Energy Conversion factor (GJ/kWh)]" caption="Energy Conversion factor (GJ/kWh)" attribute="1" defaultMemberUniqueName="[Solar].[Energy Conversion factor (GJ/kWh)].[All]" allUniqueName="[Solar].[Energy Conversion factor (GJ/kWh)].[All]" dimensionUniqueName="[Solar]" displayFolder="" count="0" memberValueDatatype="5" unbalanced="0"/>
    <cacheHierarchy uniqueName="[Solar].[Production GJ]" caption="Production GJ" attribute="1" defaultMemberUniqueName="[Solar].[Production GJ].[All]" allUniqueName="[Solar].[Production GJ].[All]" dimensionUniqueName="[Solar]" displayFolder="" count="0" memberValueDatatype="5" unbalanced="0"/>
    <cacheHierarchy uniqueName="[Solar].[Consumption Quantity]" caption="Consumption Quantity" attribute="1" defaultMemberUniqueName="[Solar].[Consumption Quantity].[All]" allUniqueName="[Solar].[Consumption Quantity].[All]" dimensionUniqueName="[Solar]" displayFolder="" count="0" memberValueDatatype="5" unbalanced="0"/>
    <cacheHierarchy uniqueName="[Solar].[Consumption Unit]" caption="Consumption Unit" attribute="1" defaultMemberUniqueName="[Solar].[Consumption Unit].[All]" allUniqueName="[Solar].[Consumption Unit].[All]" dimensionUniqueName="[Solar]" displayFolder="" count="0" memberValueDatatype="130" unbalanced="0"/>
    <cacheHierarchy uniqueName="[Summary].[Reporting Alias]" caption="Reporting Alias" attribute="1" defaultMemberUniqueName="[Summary].[Reporting Alias].[All]" allUniqueName="[Summary].[Reporting Alias].[All]" dimensionUniqueName="[Summary]" displayFolder="" count="0" memberValueDatatype="130" unbalanced="0"/>
    <cacheHierarchy uniqueName="[Summary].[UoM]" caption="UoM" attribute="1" defaultMemberUniqueName="[Summary].[UoM].[All]" allUniqueName="[Summary].[UoM].[All]" dimensionUniqueName="[Summary]" displayFolder="" count="0" memberValueDatatype="130" unbalanced="0"/>
    <cacheHierarchy uniqueName="[Summary].[Primary Criterion]" caption="Primary Criterion" attribute="1" defaultMemberUniqueName="[Summary].[Primary Criterion].[All]" allUniqueName="[Summary].[Primary Criterion].[All]" dimensionUniqueName="[Summary]" displayFolder="" count="0" memberValueDatatype="130" unbalanced="0"/>
    <cacheHierarchy uniqueName="[Summary].[Consumption Quantity]" caption="Consumption Quantity" attribute="1" defaultMemberUniqueName="[Summary].[Consumption Quantity].[All]" allUniqueName="[Summary].[Consumption Quantity].[All]" dimensionUniqueName="[Summary]" displayFolder="" count="0" memberValueDatatype="5" unbalanced="0"/>
    <cacheHierarchy uniqueName="[Summary].[Total GJ]" caption="Total GJ" attribute="1" defaultMemberUniqueName="[Summary].[Total GJ].[All]" allUniqueName="[Summary].[Total GJ].[All]" dimensionUniqueName="[Summary]" displayFolder="" count="0" memberValueDatatype="5" unbalanced="0"/>
    <cacheHierarchy uniqueName="[Summary].[Scope 1 kg CO2-e]" caption="Scope 1 kg CO2-e" attribute="1" defaultMemberUniqueName="[Summary].[Scope 1 kg CO2-e].[All]" allUniqueName="[Summary].[Scope 1 kg CO2-e].[All]" dimensionUniqueName="[Summary]" displayFolder="" count="0" memberValueDatatype="5" unbalanced="0"/>
    <cacheHierarchy uniqueName="[Summary].[Scope 2 kg CO2-e]" caption="Scope 2 kg CO2-e" attribute="1" defaultMemberUniqueName="[Summary].[Scope 2 kg CO2-e].[All]" allUniqueName="[Summary].[Scope 2 kg CO2-e].[All]" dimensionUniqueName="[Summary]" displayFolder="" count="0" memberValueDatatype="5" unbalanced="0"/>
    <cacheHierarchy uniqueName="[Summary].[Scope 3 kg CO2-e]" caption="Scope 3 kg CO2-e" attribute="1" defaultMemberUniqueName="[Summary].[Scope 3 kg CO2-e].[All]" allUniqueName="[Summary].[Scope 3 kg CO2-e].[All]" dimensionUniqueName="[Summary]" displayFolder="" count="0" memberValueDatatype="5" unbalanced="0"/>
    <cacheHierarchy uniqueName="[Summary].[Total Emissions]" caption="Total Emissions" attribute="1" defaultMemberUniqueName="[Summary].[Total Emissions].[All]" allUniqueName="[Summary].[Total Emissions].[All]" dimensionUniqueName="[Summary]" displayFolder="" count="0" memberValueDatatype="5" unbalanced="0"/>
    <cacheHierarchy uniqueName="[Summary37].[Reporting Alias]" caption="Reporting Alias" attribute="1" defaultMemberUniqueName="[Summary37].[Reporting Alias].[All]" allUniqueName="[Summary37].[Reporting Alias].[All]" dimensionUniqueName="[Summary37]" displayFolder="" count="0" memberValueDatatype="130" unbalanced="0"/>
    <cacheHierarchy uniqueName="[Summary37].[UoM]" caption="UoM" attribute="1" defaultMemberUniqueName="[Summary37].[UoM].[All]" allUniqueName="[Summary37].[UoM].[All]" dimensionUniqueName="[Summary37]" displayFolder="" count="0" memberValueDatatype="130" unbalanced="0"/>
    <cacheHierarchy uniqueName="[Summary37].[Primary Criterion]" caption="Primary Criterion" attribute="1" defaultMemberUniqueName="[Summary37].[Primary Criterion].[All]" allUniqueName="[Summary37].[Primary Criterion].[All]" dimensionUniqueName="[Summary37]" displayFolder="" count="0" memberValueDatatype="130" unbalanced="0"/>
    <cacheHierarchy uniqueName="[Summary37].[Consumption Quantity]" caption="Consumption Quantity" attribute="1" defaultMemberUniqueName="[Summary37].[Consumption Quantity].[All]" allUniqueName="[Summary37].[Consumption Quantity].[All]" dimensionUniqueName="[Summary37]" displayFolder="" count="0" memberValueDatatype="5" unbalanced="0"/>
    <cacheHierarchy uniqueName="[Summary37].[Total GJ]" caption="Total GJ" attribute="1" defaultMemberUniqueName="[Summary37].[Total GJ].[All]" allUniqueName="[Summary37].[Total GJ].[All]" dimensionUniqueName="[Summary37]" displayFolder="" count="0" memberValueDatatype="5" unbalanced="0"/>
    <cacheHierarchy uniqueName="[Summary37].[Scope 1 kg CO2-e]" caption="Scope 1 kg CO2-e" attribute="1" defaultMemberUniqueName="[Summary37].[Scope 1 kg CO2-e].[All]" allUniqueName="[Summary37].[Scope 1 kg CO2-e].[All]" dimensionUniqueName="[Summary37]" displayFolder="" count="0" memberValueDatatype="5" unbalanced="0"/>
    <cacheHierarchy uniqueName="[Summary37].[Scope 2 kg CO2-e]" caption="Scope 2 kg CO2-e" attribute="1" defaultMemberUniqueName="[Summary37].[Scope 2 kg CO2-e].[All]" allUniqueName="[Summary37].[Scope 2 kg CO2-e].[All]" dimensionUniqueName="[Summary37]" displayFolder="" count="0" memberValueDatatype="5" unbalanced="0"/>
    <cacheHierarchy uniqueName="[Summary37].[Scope 3 kg CO2-e]" caption="Scope 3 kg CO2-e" attribute="1" defaultMemberUniqueName="[Summary37].[Scope 3 kg CO2-e].[All]" allUniqueName="[Summary37].[Scope 3 kg CO2-e].[All]" dimensionUniqueName="[Summary37]" displayFolder="" count="0" memberValueDatatype="5" unbalanced="0"/>
    <cacheHierarchy uniqueName="[Summary37].[Total Emissions]" caption="Total Emissions" attribute="1" defaultMemberUniqueName="[Summary37].[Total Emissions].[All]" allUniqueName="[Summary37].[Total Emissions].[All]" dimensionUniqueName="[Summary37]" displayFolder="" count="0" memberValueDatatype="5" unbalanced="0"/>
    <cacheHierarchy uniqueName="[TelstraBCA].[Reporting Alias]" caption="Reporting Alias" attribute="1" defaultMemberUniqueName="[TelstraBCA].[Reporting Alias].[All]" allUniqueName="[TelstraBCA].[Reporting Alias].[All]" dimensionUniqueName="[TelstraBCA]" displayFolder="" count="0" memberValueDatatype="130" unbalanced="0"/>
    <cacheHierarchy uniqueName="[TelstraBCA].[Consumption Quantity]" caption="Consumption Quantity" attribute="1" defaultMemberUniqueName="[TelstraBCA].[Consumption Quantity].[All]" allUniqueName="[TelstraBCA].[Consumption Quantity].[All]" dimensionUniqueName="[TelstraBCA]" displayFolder="" count="0" memberValueDatatype="5" unbalanced="0"/>
    <cacheHierarchy uniqueName="[TelstraBCA].[Total GJ]" caption="Total GJ" attribute="1" defaultMemberUniqueName="[TelstraBCA].[Total GJ].[All]" allUniqueName="[TelstraBCA].[Total GJ].[All]" dimensionUniqueName="[TelstraBCA]" displayFolder="" count="0" memberValueDatatype="5" unbalanced="0"/>
    <cacheHierarchy uniqueName="[TelstraBCA].[Scope 1 kg CO2-e]" caption="Scope 1 kg CO2-e" attribute="1" defaultMemberUniqueName="[TelstraBCA].[Scope 1 kg CO2-e].[All]" allUniqueName="[TelstraBCA].[Scope 1 kg CO2-e].[All]" dimensionUniqueName="[TelstraBCA]" displayFolder="" count="0" memberValueDatatype="5" unbalanced="0"/>
    <cacheHierarchy uniqueName="[TelstraBCA].[Scope 2 kg CO2-e]" caption="Scope 2 kg CO2-e" attribute="1" defaultMemberUniqueName="[TelstraBCA].[Scope 2 kg CO2-e].[All]" allUniqueName="[TelstraBCA].[Scope 2 kg CO2-e].[All]" dimensionUniqueName="[TelstraBCA]" displayFolder="" count="0" memberValueDatatype="5" unbalanced="0"/>
    <cacheHierarchy uniqueName="[TelstraBCA].[Scope 3 kg CO2-e]" caption="Scope 3 kg CO2-e" attribute="1" defaultMemberUniqueName="[TelstraBCA].[Scope 3 kg CO2-e].[All]" allUniqueName="[TelstraBCA].[Scope 3 kg CO2-e].[All]" dimensionUniqueName="[TelstraBCA]" displayFolder="" count="0" memberValueDatatype="5" unbalanced="0"/>
    <cacheHierarchy uniqueName="[TelstraBCA].[Total Emissions]" caption="Total Emissions" attribute="1" defaultMemberUniqueName="[TelstraBCA].[Total Emissions].[All]" allUniqueName="[TelstraBCA].[Total Emissions].[All]" dimensionUniqueName="[TelstraBCA]" displayFolder="" count="0" memberValueDatatype="5" unbalanced="0"/>
    <cacheHierarchy uniqueName="[Measures].[_Count BCA_Removal]" caption="_Count BCA_Removal" measure="1" displayFolder="" measureGroup="BCA_Removal" count="0" hidden="1"/>
    <cacheHierarchy uniqueName="[Measures].[__XL_Count NBN_Removal]" caption="__XL_Count NBN_Removal" measure="1" displayFolder="" measureGroup="NBN_Removal" count="0" hidden="1"/>
    <cacheHierarchy uniqueName="[Measures].[__XL_Count SE_Gas]" caption="__XL_Count SE_Gas" measure="1" displayFolder="" measureGroup="SE_Gas" count="0" hidden="1"/>
    <cacheHierarchy uniqueName="[Measures].[__XL_Count GHG]" caption="__XL_Count GHG" measure="1" displayFolder="" measureGroup="GHG" count="0" hidden="1"/>
    <cacheHierarchy uniqueName="[Measures].[__XL_Count Entity]" caption="__XL_Count Entity" measure="1" displayFolder="" measureGroup="Entity" count="0" hidden="1"/>
    <cacheHierarchy uniqueName="[Measures].[__XL_Count NET_Genset_Grounds]" caption="__XL_Count NET_Genset_Grounds" measure="1" displayFolder="" measureGroup="NET_Genset_Grounds" count="0" hidden="1"/>
    <cacheHierarchy uniqueName="[Measures].[__XL_Count Percentage_Estimates]" caption="__XL_Count Percentage_Estimates" measure="1" displayFolder="" measureGroup="Percentage_Estimates" count="0" hidden="1"/>
    <cacheHierarchy uniqueName="[Measures].[__XL_Count Pitwater]" caption="__XL_Count Pitwater" measure="1" displayFolder="" measureGroup="Pitwater" count="0" hidden="1"/>
    <cacheHierarchy uniqueName="[Measures].[__XL_Count Solar]" caption="__XL_Count Solar" measure="1" displayFolder="" measureGroup="Solar" count="0" hidden="1"/>
    <cacheHierarchy uniqueName="[Measures].[__XL_Count Grounds_Fuels]" caption="__XL_Count Grounds_Fuels" measure="1" displayFolder="" measureGroup="Grounds_Fuels" count="0" hidden="1"/>
    <cacheHierarchy uniqueName="[Measures].[__XL_Count Contractor_Fuels]" caption="__XL_Count Contractor_Fuels" measure="1" displayFolder="" measureGroup="Contractor_Fuels" count="0" hidden="1"/>
    <cacheHierarchy uniqueName="[Measures].[__XL_Count AVIS]" caption="__XL_Count AVIS" measure="1" displayFolder="" measureGroup="AVIS" count="0" hidden="1"/>
    <cacheHierarchy uniqueName="[Measures].[__XL_Count LP_Fleet]" caption="__XL_Count LP_Fleet" measure="1" displayFolder="" measureGroup="LP_Fleet" count="0" hidden="1"/>
    <cacheHierarchy uniqueName="[Measures].[__XL_Count NON_Genset]" caption="__XL_Count NON_Genset" measure="1" displayFolder="" measureGroup="NON_Genset" count="0" hidden="1"/>
    <cacheHierarchy uniqueName="[Measures].[__XL_Count DC_Genset]" caption="__XL_Count DC_Genset" measure="1" displayFolder="" measureGroup="DC_Genset" count="0" hidden="1"/>
    <cacheHierarchy uniqueName="[Measures].[__XL_Count TelstraBCA]" caption="__XL_Count TelstraBCA" measure="1" displayFolder="" measureGroup="TelstraBCA" count="0" hidden="1"/>
    <cacheHierarchy uniqueName="[Measures].[_Count LP_Stationary]" caption="_Count LP_Stationary" measure="1" displayFolder="" measureGroup="LP_Stationary" count="0" hidden="1"/>
    <cacheHierarchy uniqueName="[Measures].[_Count Summary]" caption="_Count Summary" measure="1" displayFolder="" measureGroup="Summary" count="0" hidden="1"/>
    <cacheHierarchy uniqueName="[Measures].[__XL_Count Flight_Model]" caption="__XL_Count Flight_Model" measure="1" displayFolder="" measureGroup="Flight_Model" count="0" hidden="1"/>
    <cacheHierarchy uniqueName="[Measures].[__XL_Count Paper_CSR]" caption="__XL_Count Paper_CSR" measure="1" displayFolder="" measureGroup="Paper_CSR" count="0" hidden="1"/>
    <cacheHierarchy uniqueName="[Measures].[__XL_Count Savings_Data]" caption="__XL_Count Savings_Data" measure="1" displayFolder="" measureGroup="Savings_Data" count="0" hidden="1"/>
    <cacheHierarchy uniqueName="[Measures].[__XL_Count EntityFY20]" caption="__XL_Count EntityFY20" measure="1" displayFolder="" measureGroup="EntityFY20" count="0" hidden="1"/>
    <cacheHierarchy uniqueName="[Measures].[__XL_Count Summary37]" caption="__XL_Count Summary37" measure="1" displayFolder="" measureGroup="Summary37" count="0" hidden="1"/>
    <cacheHierarchy uniqueName="[Measures].[__XL_Count BCA_RemovalFY20]" caption="__XL_Count BCA_RemovalFY20" measure="1" displayFolder="" measureGroup="BCA_RemovalFY20" count="0" hidden="1"/>
    <cacheHierarchy uniqueName="[Measures].[__XL_Count DC_Genset2839]" caption="__XL_Count DC_Genset2839" measure="1" displayFolder="" measureGroup="DC_Genset2839" count="0" hidden="1"/>
    <cacheHierarchy uniqueName="[Measures].[__XL_Count GasFY20]" caption="__XL_Count GasFY20" measure="1" displayFolder="" measureGroup="GasFY20" count="0" hidden="1"/>
    <cacheHierarchy uniqueName="[Measures].[__XL_Count GHG_35]" caption="__XL_Count GHG_35" measure="1" displayFolder="" measureGroup="GHG_35" count="0" hidden="1"/>
    <cacheHierarchy uniqueName="[Measures].[__XL_Count Grounds_Fuels33]" caption="__XL_Count Grounds_Fuels33" measure="1" displayFolder="" measureGroup="Grounds_Fuels33" count="0" hidden="1"/>
    <cacheHierarchy uniqueName="[Measures].[__XL_Count ReformFY20]" caption="__XL_Count ReformFY20" measure="1" displayFolder="" measureGroup="ReformFY20" count="0" hidden="1"/>
    <cacheHierarchy uniqueName="[Measures].[__XL_Count EntityFY20 1]" caption="__XL_Count EntityFY20 1" measure="1" displayFolder="" measureGroup="EntityFY20 1" count="0" hidden="1"/>
    <cacheHierarchy uniqueName="[Measures].[__XL_Count Calendar]" caption="__XL_Count Calendar" measure="1" displayFolder="" measureGroup="Calendar" count="0" hidden="1"/>
    <cacheHierarchy uniqueName="[Measures].[__XL_Count ReformFY20_]" caption="__XL_Count ReformFY20_" measure="1" displayFolder="" measureGroup="ReformFY20_" count="0" hidden="1"/>
    <cacheHierarchy uniqueName="[Measures].[__XL_Count of Models]" caption="__XL_Count of Models" measure="1" displayFolder="" count="0" hidden="1"/>
    <cacheHierarchy uniqueName="[Measures].[Sum of Consumption Quantity 3]" caption="Sum of Consumption Quantity 3" measure="1" displayFolder="" measureGroup="NBN_Removal" count="0" hidden="1">
      <extLst>
        <ext xmlns:x15="http://schemas.microsoft.com/office/spreadsheetml/2010/11/main" uri="{B97F6D7D-B522-45F9-BDA1-12C45D357490}">
          <x15:cacheHierarchy aggregatedColumn="226"/>
        </ext>
      </extLst>
    </cacheHierarchy>
    <cacheHierarchy uniqueName="[Measures].[Sum of Consumption Quanity]" caption="Sum of Consumption Quanity" measure="1" displayFolder="" measureGroup="SE_Gas" count="0" hidden="1">
      <extLst>
        <ext xmlns:x15="http://schemas.microsoft.com/office/spreadsheetml/2010/11/main" uri="{B97F6D7D-B522-45F9-BDA1-12C45D357490}">
          <x15:cacheHierarchy aggregatedColumn="336"/>
        </ext>
      </extLst>
    </cacheHierarchy>
    <cacheHierarchy uniqueName="[Measures].[Sum of Consumption Quantity]" caption="Sum of Consumption Quantity" measure="1" displayFolder="" measureGroup="BCA_Removal" count="0" hidden="1">
      <extLst>
        <ext xmlns:x15="http://schemas.microsoft.com/office/spreadsheetml/2010/11/main" uri="{B97F6D7D-B522-45F9-BDA1-12C45D357490}">
          <x15:cacheHierarchy aggregatedColumn="16"/>
        </ext>
      </extLst>
    </cacheHierarchy>
    <cacheHierarchy uniqueName="[Measures].[Sum of Scope 2 kg CO2-e 3]" caption="Sum of Scope 2 kg CO2-e 3" measure="1" displayFolder="" measureGroup="BCA_Removal" count="0" hidden="1">
      <extLst>
        <ext xmlns:x15="http://schemas.microsoft.com/office/spreadsheetml/2010/11/main" uri="{B97F6D7D-B522-45F9-BDA1-12C45D357490}">
          <x15:cacheHierarchy aggregatedColumn="17"/>
        </ext>
      </extLst>
    </cacheHierarchy>
    <cacheHierarchy uniqueName="[Measures].[Sum of Consumption Quantity 4]" caption="Sum of Consumption Quantity 4" measure="1" displayFolder="" measureGroup="TelstraBCA" count="0" hidden="1">
      <extLst>
        <ext xmlns:x15="http://schemas.microsoft.com/office/spreadsheetml/2010/11/main" uri="{B97F6D7D-B522-45F9-BDA1-12C45D357490}">
          <x15:cacheHierarchy aggregatedColumn="379"/>
        </ext>
      </extLst>
    </cacheHierarchy>
    <cacheHierarchy uniqueName="[Measures].[Sum of Consumption Quantity 5]" caption="Sum of Consumption Quantity 5" measure="1" displayFolder="" measureGroup="Percentage_Estimates" count="0" hidden="1">
      <extLst>
        <ext xmlns:x15="http://schemas.microsoft.com/office/spreadsheetml/2010/11/main" uri="{B97F6D7D-B522-45F9-BDA1-12C45D357490}">
          <x15:cacheHierarchy aggregatedColumn="271"/>
        </ext>
      </extLst>
    </cacheHierarchy>
    <cacheHierarchy uniqueName="[Measures].[Sum of Consumption Quantitiy]" caption="Sum of Consumption Quantitiy" measure="1" displayFolder="" measureGroup="Solar" count="0" hidden="1">
      <extLst>
        <ext xmlns:x15="http://schemas.microsoft.com/office/spreadsheetml/2010/11/main" uri="{B97F6D7D-B522-45F9-BDA1-12C45D357490}">
          <x15:cacheHierarchy aggregatedColumn="350"/>
        </ext>
      </extLst>
    </cacheHierarchy>
    <cacheHierarchy uniqueName="[Measures].[Sum of Consumption Quantity 6]" caption="Sum of Consumption Quantity 6" measure="1" displayFolder="" measureGroup="NET_Genset_Grounds" count="0" hidden="1">
      <extLst>
        <ext xmlns:x15="http://schemas.microsoft.com/office/spreadsheetml/2010/11/main" uri="{B97F6D7D-B522-45F9-BDA1-12C45D357490}">
          <x15:cacheHierarchy aggregatedColumn="239"/>
        </ext>
      </extLst>
    </cacheHierarchy>
    <cacheHierarchy uniqueName="[Measures].[Sum of Consumption Quantity 7]" caption="Sum of Consumption Quantity 7" measure="1" displayFolder="" measureGroup="NON_Genset" count="0" hidden="1">
      <extLst>
        <ext xmlns:x15="http://schemas.microsoft.com/office/spreadsheetml/2010/11/main" uri="{B97F6D7D-B522-45F9-BDA1-12C45D357490}">
          <x15:cacheHierarchy aggregatedColumn="254"/>
        </ext>
      </extLst>
    </cacheHierarchy>
    <cacheHierarchy uniqueName="[Measures].[Sum of Consumption Quantity 8]" caption="Sum of Consumption Quantity 8" measure="1" displayFolder="" measureGroup="Grounds_Fuels" count="0" hidden="1">
      <extLst>
        <ext xmlns:x15="http://schemas.microsoft.com/office/spreadsheetml/2010/11/main" uri="{B97F6D7D-B522-45F9-BDA1-12C45D357490}">
          <x15:cacheHierarchy aggregatedColumn="178"/>
        </ext>
      </extLst>
    </cacheHierarchy>
    <cacheHierarchy uniqueName="[Measures].[Sum of Consumption Quantity 9]" caption="Sum of Consumption Quantity 9" measure="1" displayFolder="" measureGroup="Pitwater" count="0" hidden="1">
      <extLst>
        <ext xmlns:x15="http://schemas.microsoft.com/office/spreadsheetml/2010/11/main" uri="{B97F6D7D-B522-45F9-BDA1-12C45D357490}">
          <x15:cacheHierarchy aggregatedColumn="292"/>
        </ext>
      </extLst>
    </cacheHierarchy>
    <cacheHierarchy uniqueName="[Measures].[Sum of kL]" caption="Sum of kL" measure="1" displayFolder="" measureGroup="Pitwater" count="0" hidden="1">
      <extLst>
        <ext xmlns:x15="http://schemas.microsoft.com/office/spreadsheetml/2010/11/main" uri="{B97F6D7D-B522-45F9-BDA1-12C45D357490}">
          <x15:cacheHierarchy aggregatedColumn="290"/>
        </ext>
      </extLst>
    </cacheHierarchy>
    <cacheHierarchy uniqueName="[Measures].[Sum of Consumption Quantity 10]" caption="Sum of Consumption Quantity 10" measure="1" displayFolder="" measureGroup="Contractor_Fuels" count="0" hidden="1">
      <extLst>
        <ext xmlns:x15="http://schemas.microsoft.com/office/spreadsheetml/2010/11/main" uri="{B97F6D7D-B522-45F9-BDA1-12C45D357490}">
          <x15:cacheHierarchy aggregatedColumn="50"/>
        </ext>
      </extLst>
    </cacheHierarchy>
    <cacheHierarchy uniqueName="[Measures].[Sum of Consumption Quantity 11]" caption="Sum of Consumption Quantity 11" measure="1" displayFolder="" measureGroup="LP_Fleet" count="0" hidden="1">
      <extLst>
        <ext xmlns:x15="http://schemas.microsoft.com/office/spreadsheetml/2010/11/main" uri="{B97F6D7D-B522-45F9-BDA1-12C45D357490}">
          <x15:cacheHierarchy aggregatedColumn="207"/>
        </ext>
      </extLst>
    </cacheHierarchy>
    <cacheHierarchy uniqueName="[Measures].[Sum of Consumption Quantity 12]" caption="Sum of Consumption Quantity 12" measure="1" displayFolder="" measureGroup="LP_Stationary" count="0" hidden="1">
      <extLst>
        <ext xmlns:x15="http://schemas.microsoft.com/office/spreadsheetml/2010/11/main" uri="{B97F6D7D-B522-45F9-BDA1-12C45D357490}">
          <x15:cacheHierarchy aggregatedColumn="219"/>
        </ext>
      </extLst>
    </cacheHierarchy>
    <cacheHierarchy uniqueName="[Measures].[Sum of Consumption Quantity 13]" caption="Sum of Consumption Quantity 13" measure="1" displayFolder="" measureGroup="AVIS" count="0" hidden="1">
      <extLst>
        <ext xmlns:x15="http://schemas.microsoft.com/office/spreadsheetml/2010/11/main" uri="{B97F6D7D-B522-45F9-BDA1-12C45D357490}">
          <x15:cacheHierarchy aggregatedColumn="9"/>
        </ext>
      </extLst>
    </cacheHierarchy>
    <cacheHierarchy uniqueName="[Measures].[Sum of Total GJ 2]" caption="Sum of Total GJ 2" measure="1" displayFolder="" measureGroup="BCA_Removal" count="0" hidden="1">
      <extLst>
        <ext xmlns:x15="http://schemas.microsoft.com/office/spreadsheetml/2010/11/main" uri="{B97F6D7D-B522-45F9-BDA1-12C45D357490}">
          <x15:cacheHierarchy aggregatedColumn="20"/>
        </ext>
      </extLst>
    </cacheHierarchy>
    <cacheHierarchy uniqueName="[Measures].[Sum of Scope 1 kg CO2-e 2]" caption="Sum of Scope 1 kg CO2-e 2" measure="1" displayFolder="" measureGroup="BCA_Removal" count="0" hidden="1">
      <extLst>
        <ext xmlns:x15="http://schemas.microsoft.com/office/spreadsheetml/2010/11/main" uri="{B97F6D7D-B522-45F9-BDA1-12C45D357490}">
          <x15:cacheHierarchy aggregatedColumn="18"/>
        </ext>
      </extLst>
    </cacheHierarchy>
    <cacheHierarchy uniqueName="[Measures].[Sum of Scope 3 kg CO2-e 2]" caption="Sum of Scope 3 kg CO2-e 2" measure="1" displayFolder="" measureGroup="BCA_Removal" count="0" hidden="1">
      <extLst>
        <ext xmlns:x15="http://schemas.microsoft.com/office/spreadsheetml/2010/11/main" uri="{B97F6D7D-B522-45F9-BDA1-12C45D357490}">
          <x15:cacheHierarchy aggregatedColumn="19"/>
        </ext>
      </extLst>
    </cacheHierarchy>
    <cacheHierarchy uniqueName="[Measures].[Sum of Total Emissions 2]" caption="Sum of Total Emissions 2" measure="1" displayFolder="" measureGroup="BCA_Removal" count="0" hidden="1">
      <extLst>
        <ext xmlns:x15="http://schemas.microsoft.com/office/spreadsheetml/2010/11/main" uri="{B97F6D7D-B522-45F9-BDA1-12C45D357490}">
          <x15:cacheHierarchy aggregatedColumn="21"/>
        </ext>
      </extLst>
    </cacheHierarchy>
    <cacheHierarchy uniqueName="[Measures].[Sum of Total GJ 3]" caption="Sum of Total GJ 3" measure="1" displayFolder="" measureGroup="NBN_Removal" count="0" hidden="1">
      <extLst>
        <ext xmlns:x15="http://schemas.microsoft.com/office/spreadsheetml/2010/11/main" uri="{B97F6D7D-B522-45F9-BDA1-12C45D357490}">
          <x15:cacheHierarchy aggregatedColumn="230"/>
        </ext>
      </extLst>
    </cacheHierarchy>
    <cacheHierarchy uniqueName="[Measures].[Sum of Scope 1 kg CO2-e 3]" caption="Sum of Scope 1 kg CO2-e 3" measure="1" displayFolder="" measureGroup="NBN_Removal" count="0" hidden="1">
      <extLst>
        <ext xmlns:x15="http://schemas.microsoft.com/office/spreadsheetml/2010/11/main" uri="{B97F6D7D-B522-45F9-BDA1-12C45D357490}">
          <x15:cacheHierarchy aggregatedColumn="227"/>
        </ext>
      </extLst>
    </cacheHierarchy>
    <cacheHierarchy uniqueName="[Measures].[Sum of Scope 2 kg CO2-e]" caption="Sum of Scope 2 kg CO2-e" measure="1" displayFolder="" measureGroup="NBN_Removal" count="0" hidden="1">
      <extLst>
        <ext xmlns:x15="http://schemas.microsoft.com/office/spreadsheetml/2010/11/main" uri="{B97F6D7D-B522-45F9-BDA1-12C45D357490}">
          <x15:cacheHierarchy aggregatedColumn="228"/>
        </ext>
      </extLst>
    </cacheHierarchy>
    <cacheHierarchy uniqueName="[Measures].[Sum of Scope 3 kg CO2-e 3]" caption="Sum of Scope 3 kg CO2-e 3" measure="1" displayFolder="" measureGroup="NBN_Removal" count="0" hidden="1">
      <extLst>
        <ext xmlns:x15="http://schemas.microsoft.com/office/spreadsheetml/2010/11/main" uri="{B97F6D7D-B522-45F9-BDA1-12C45D357490}">
          <x15:cacheHierarchy aggregatedColumn="229"/>
        </ext>
      </extLst>
    </cacheHierarchy>
    <cacheHierarchy uniqueName="[Measures].[Sum of Total Emissions 3]" caption="Sum of Total Emissions 3" measure="1" displayFolder="" measureGroup="NBN_Removal" count="0" hidden="1">
      <extLst>
        <ext xmlns:x15="http://schemas.microsoft.com/office/spreadsheetml/2010/11/main" uri="{B97F6D7D-B522-45F9-BDA1-12C45D357490}">
          <x15:cacheHierarchy aggregatedColumn="231"/>
        </ext>
      </extLst>
    </cacheHierarchy>
    <cacheHierarchy uniqueName="[Measures].[Sum of Total GJ 4]" caption="Sum of Total GJ 4" measure="1" displayFolder="" measureGroup="TelstraBCA" count="0" hidden="1">
      <extLst>
        <ext xmlns:x15="http://schemas.microsoft.com/office/spreadsheetml/2010/11/main" uri="{B97F6D7D-B522-45F9-BDA1-12C45D357490}">
          <x15:cacheHierarchy aggregatedColumn="380"/>
        </ext>
      </extLst>
    </cacheHierarchy>
    <cacheHierarchy uniqueName="[Measures].[Sum of Scope 1 kg CO2-e 4]" caption="Sum of Scope 1 kg CO2-e 4" measure="1" displayFolder="" measureGroup="TelstraBCA" count="0" hidden="1">
      <extLst>
        <ext xmlns:x15="http://schemas.microsoft.com/office/spreadsheetml/2010/11/main" uri="{B97F6D7D-B522-45F9-BDA1-12C45D357490}">
          <x15:cacheHierarchy aggregatedColumn="381"/>
        </ext>
      </extLst>
    </cacheHierarchy>
    <cacheHierarchy uniqueName="[Measures].[Sum of Scope 2 kg CO2-e 4]" caption="Sum of Scope 2 kg CO2-e 4" measure="1" displayFolder="" measureGroup="TelstraBCA" count="0" hidden="1">
      <extLst>
        <ext xmlns:x15="http://schemas.microsoft.com/office/spreadsheetml/2010/11/main" uri="{B97F6D7D-B522-45F9-BDA1-12C45D357490}">
          <x15:cacheHierarchy aggregatedColumn="382"/>
        </ext>
      </extLst>
    </cacheHierarchy>
    <cacheHierarchy uniqueName="[Measures].[Sum of Scope 3 kg CO2-e 4]" caption="Sum of Scope 3 kg CO2-e 4" measure="1" displayFolder="" measureGroup="TelstraBCA" count="0" hidden="1">
      <extLst>
        <ext xmlns:x15="http://schemas.microsoft.com/office/spreadsheetml/2010/11/main" uri="{B97F6D7D-B522-45F9-BDA1-12C45D357490}">
          <x15:cacheHierarchy aggregatedColumn="383"/>
        </ext>
      </extLst>
    </cacheHierarchy>
    <cacheHierarchy uniqueName="[Measures].[Sum of Total Emissions 4]" caption="Sum of Total Emissions 4" measure="1" displayFolder="" measureGroup="TelstraBCA" count="0" hidden="1">
      <extLst>
        <ext xmlns:x15="http://schemas.microsoft.com/office/spreadsheetml/2010/11/main" uri="{B97F6D7D-B522-45F9-BDA1-12C45D357490}">
          <x15:cacheHierarchy aggregatedColumn="384"/>
        </ext>
      </extLst>
    </cacheHierarchy>
    <cacheHierarchy uniqueName="[Measures].[Sum of Total GJ 5]" caption="Sum of Total GJ 5" measure="1" displayFolder="" measureGroup="Percentage_Estimates" count="0" hidden="1">
      <extLst>
        <ext xmlns:x15="http://schemas.microsoft.com/office/spreadsheetml/2010/11/main" uri="{B97F6D7D-B522-45F9-BDA1-12C45D357490}">
          <x15:cacheHierarchy aggregatedColumn="283"/>
        </ext>
      </extLst>
    </cacheHierarchy>
    <cacheHierarchy uniqueName="[Measures].[Sum of Scope 1 kg CO2-e 5]" caption="Sum of Scope 1 kg CO2-e 5" measure="1" displayFolder="" measureGroup="Percentage_Estimates" count="0" hidden="1">
      <extLst>
        <ext xmlns:x15="http://schemas.microsoft.com/office/spreadsheetml/2010/11/main" uri="{B97F6D7D-B522-45F9-BDA1-12C45D357490}">
          <x15:cacheHierarchy aggregatedColumn="284"/>
        </ext>
      </extLst>
    </cacheHierarchy>
    <cacheHierarchy uniqueName="[Measures].[Sum of Scope 2 kg CO2-e 5]" caption="Sum of Scope 2 kg CO2-e 5" measure="1" displayFolder="" measureGroup="Percentage_Estimates" count="0" hidden="1">
      <extLst>
        <ext xmlns:x15="http://schemas.microsoft.com/office/spreadsheetml/2010/11/main" uri="{B97F6D7D-B522-45F9-BDA1-12C45D357490}">
          <x15:cacheHierarchy aggregatedColumn="285"/>
        </ext>
      </extLst>
    </cacheHierarchy>
    <cacheHierarchy uniqueName="[Measures].[Sum of Scope 3 kg CO2-e 5]" caption="Sum of Scope 3 kg CO2-e 5" measure="1" displayFolder="" measureGroup="Percentage_Estimates" count="0" hidden="1">
      <extLst>
        <ext xmlns:x15="http://schemas.microsoft.com/office/spreadsheetml/2010/11/main" uri="{B97F6D7D-B522-45F9-BDA1-12C45D357490}">
          <x15:cacheHierarchy aggregatedColumn="286"/>
        </ext>
      </extLst>
    </cacheHierarchy>
    <cacheHierarchy uniqueName="[Measures].[Sum of Total Emissions 5]" caption="Sum of Total Emissions 5" measure="1" displayFolder="" measureGroup="Percentage_Estimates" count="0" hidden="1">
      <extLst>
        <ext xmlns:x15="http://schemas.microsoft.com/office/spreadsheetml/2010/11/main" uri="{B97F6D7D-B522-45F9-BDA1-12C45D357490}">
          <x15:cacheHierarchy aggregatedColumn="287"/>
        </ext>
      </extLst>
    </cacheHierarchy>
    <cacheHierarchy uniqueName="[Measures].[Sum of Scope 1 kg CO2-e 6]" caption="Sum of Scope 1 kg CO2-e 6" measure="1" displayFolder="" measureGroup="SE_Gas" count="0" hidden="1">
      <extLst>
        <ext xmlns:x15="http://schemas.microsoft.com/office/spreadsheetml/2010/11/main" uri="{B97F6D7D-B522-45F9-BDA1-12C45D357490}">
          <x15:cacheHierarchy aggregatedColumn="337"/>
        </ext>
      </extLst>
    </cacheHierarchy>
    <cacheHierarchy uniqueName="[Measures].[Sum of Total GJ 6]" caption="Sum of Total GJ 6" measure="1" displayFolder="" measureGroup="SE_Gas" count="0" hidden="1">
      <extLst>
        <ext xmlns:x15="http://schemas.microsoft.com/office/spreadsheetml/2010/11/main" uri="{B97F6D7D-B522-45F9-BDA1-12C45D357490}">
          <x15:cacheHierarchy aggregatedColumn="340"/>
        </ext>
      </extLst>
    </cacheHierarchy>
    <cacheHierarchy uniqueName="[Measures].[Sum of Scope 2 kg CO2-e 6]" caption="Sum of Scope 2 kg CO2-e 6" measure="1" displayFolder="" measureGroup="SE_Gas" count="0" hidden="1">
      <extLst>
        <ext xmlns:x15="http://schemas.microsoft.com/office/spreadsheetml/2010/11/main" uri="{B97F6D7D-B522-45F9-BDA1-12C45D357490}">
          <x15:cacheHierarchy aggregatedColumn="338"/>
        </ext>
      </extLst>
    </cacheHierarchy>
    <cacheHierarchy uniqueName="[Measures].[Sum of Scope 3 kg CO2-e 6]" caption="Sum of Scope 3 kg CO2-e 6" measure="1" displayFolder="" measureGroup="SE_Gas" count="0" hidden="1">
      <extLst>
        <ext xmlns:x15="http://schemas.microsoft.com/office/spreadsheetml/2010/11/main" uri="{B97F6D7D-B522-45F9-BDA1-12C45D357490}">
          <x15:cacheHierarchy aggregatedColumn="339"/>
        </ext>
      </extLst>
    </cacheHierarchy>
    <cacheHierarchy uniqueName="[Measures].[Sum of Total Emissions 6]" caption="Sum of Total Emissions 6" measure="1" displayFolder="" measureGroup="SE_Gas" count="0" hidden="1">
      <extLst>
        <ext xmlns:x15="http://schemas.microsoft.com/office/spreadsheetml/2010/11/main" uri="{B97F6D7D-B522-45F9-BDA1-12C45D357490}">
          <x15:cacheHierarchy aggregatedColumn="341"/>
        </ext>
      </extLst>
    </cacheHierarchy>
    <cacheHierarchy uniqueName="[Measures].[Sum of Scope 1 kg CO2-e 7]" caption="Sum of Scope 1 kg CO2-e 7" measure="1" displayFolder="" measureGroup="Solar" count="0" hidden="1">
      <extLst>
        <ext xmlns:x15="http://schemas.microsoft.com/office/spreadsheetml/2010/11/main" uri="{B97F6D7D-B522-45F9-BDA1-12C45D357490}">
          <x15:cacheHierarchy aggregatedColumn="351"/>
        </ext>
      </extLst>
    </cacheHierarchy>
    <cacheHierarchy uniqueName="[Measures].[Sum of Scope 2 kg CO2-e 7]" caption="Sum of Scope 2 kg CO2-e 7" measure="1" displayFolder="" measureGroup="Solar" count="0" hidden="1">
      <extLst>
        <ext xmlns:x15="http://schemas.microsoft.com/office/spreadsheetml/2010/11/main" uri="{B97F6D7D-B522-45F9-BDA1-12C45D357490}">
          <x15:cacheHierarchy aggregatedColumn="352"/>
        </ext>
      </extLst>
    </cacheHierarchy>
    <cacheHierarchy uniqueName="[Measures].[Sum of Scope 3 kg CO2-e 7]" caption="Sum of Scope 3 kg CO2-e 7" measure="1" displayFolder="" measureGroup="Solar" count="0" hidden="1">
      <extLst>
        <ext xmlns:x15="http://schemas.microsoft.com/office/spreadsheetml/2010/11/main" uri="{B97F6D7D-B522-45F9-BDA1-12C45D357490}">
          <x15:cacheHierarchy aggregatedColumn="353"/>
        </ext>
      </extLst>
    </cacheHierarchy>
    <cacheHierarchy uniqueName="[Measures].[Sum of Total GJ 7]" caption="Sum of Total GJ 7" measure="1" displayFolder="" measureGroup="Solar" count="0" hidden="1">
      <extLst>
        <ext xmlns:x15="http://schemas.microsoft.com/office/spreadsheetml/2010/11/main" uri="{B97F6D7D-B522-45F9-BDA1-12C45D357490}">
          <x15:cacheHierarchy aggregatedColumn="354"/>
        </ext>
      </extLst>
    </cacheHierarchy>
    <cacheHierarchy uniqueName="[Measures].[Sum of Total Emissions 7]" caption="Sum of Total Emissions 7" measure="1" displayFolder="" measureGroup="Solar" count="0" hidden="1">
      <extLst>
        <ext xmlns:x15="http://schemas.microsoft.com/office/spreadsheetml/2010/11/main" uri="{B97F6D7D-B522-45F9-BDA1-12C45D357490}">
          <x15:cacheHierarchy aggregatedColumn="355"/>
        </ext>
      </extLst>
    </cacheHierarchy>
    <cacheHierarchy uniqueName="[Measures].[Sum of Total GJ 8]" caption="Sum of Total GJ 8" measure="1" displayFolder="" measureGroup="AVIS" count="0" hidden="1">
      <extLst>
        <ext xmlns:x15="http://schemas.microsoft.com/office/spreadsheetml/2010/11/main" uri="{B97F6D7D-B522-45F9-BDA1-12C45D357490}">
          <x15:cacheHierarchy aggregatedColumn="10"/>
        </ext>
      </extLst>
    </cacheHierarchy>
    <cacheHierarchy uniqueName="[Measures].[Sum of Scope 1 kg CO2-e 8]" caption="Sum of Scope 1 kg CO2-e 8" measure="1" displayFolder="" measureGroup="AVIS" count="0" hidden="1">
      <extLst>
        <ext xmlns:x15="http://schemas.microsoft.com/office/spreadsheetml/2010/11/main" uri="{B97F6D7D-B522-45F9-BDA1-12C45D357490}">
          <x15:cacheHierarchy aggregatedColumn="11"/>
        </ext>
      </extLst>
    </cacheHierarchy>
    <cacheHierarchy uniqueName="[Measures].[Sum of Scope 2 kg CO2-e 8]" caption="Sum of Scope 2 kg CO2-e 8" measure="1" displayFolder="" measureGroup="AVIS" count="0" hidden="1">
      <extLst>
        <ext xmlns:x15="http://schemas.microsoft.com/office/spreadsheetml/2010/11/main" uri="{B97F6D7D-B522-45F9-BDA1-12C45D357490}">
          <x15:cacheHierarchy aggregatedColumn="12"/>
        </ext>
      </extLst>
    </cacheHierarchy>
    <cacheHierarchy uniqueName="[Measures].[Sum of Scope 3 kg CO2-e 8]" caption="Sum of Scope 3 kg CO2-e 8" measure="1" displayFolder="" measureGroup="AVIS" count="0" hidden="1">
      <extLst>
        <ext xmlns:x15="http://schemas.microsoft.com/office/spreadsheetml/2010/11/main" uri="{B97F6D7D-B522-45F9-BDA1-12C45D357490}">
          <x15:cacheHierarchy aggregatedColumn="13"/>
        </ext>
      </extLst>
    </cacheHierarchy>
    <cacheHierarchy uniqueName="[Measures].[Sum of Total Emissions 8]" caption="Sum of Total Emissions 8" measure="1" displayFolder="" measureGroup="AVIS" count="0" hidden="1">
      <extLst>
        <ext xmlns:x15="http://schemas.microsoft.com/office/spreadsheetml/2010/11/main" uri="{B97F6D7D-B522-45F9-BDA1-12C45D357490}">
          <x15:cacheHierarchy aggregatedColumn="14"/>
        </ext>
      </extLst>
    </cacheHierarchy>
    <cacheHierarchy uniqueName="[Measures].[Sum of Total GJ 9]" caption="Sum of Total GJ 9" measure="1" displayFolder="" measureGroup="LP_Fleet" count="0" hidden="1">
      <extLst>
        <ext xmlns:x15="http://schemas.microsoft.com/office/spreadsheetml/2010/11/main" uri="{B97F6D7D-B522-45F9-BDA1-12C45D357490}">
          <x15:cacheHierarchy aggregatedColumn="208"/>
        </ext>
      </extLst>
    </cacheHierarchy>
    <cacheHierarchy uniqueName="[Measures].[Sum of Scope 1 kg CO2-e 9]" caption="Sum of Scope 1 kg CO2-e 9" measure="1" displayFolder="" measureGroup="LP_Fleet" count="0" hidden="1">
      <extLst>
        <ext xmlns:x15="http://schemas.microsoft.com/office/spreadsheetml/2010/11/main" uri="{B97F6D7D-B522-45F9-BDA1-12C45D357490}">
          <x15:cacheHierarchy aggregatedColumn="209"/>
        </ext>
      </extLst>
    </cacheHierarchy>
    <cacheHierarchy uniqueName="[Measures].[Sum of Scope 2 kg CO2-e 9]" caption="Sum of Scope 2 kg CO2-e 9" measure="1" displayFolder="" measureGroup="LP_Fleet" count="0" hidden="1">
      <extLst>
        <ext xmlns:x15="http://schemas.microsoft.com/office/spreadsheetml/2010/11/main" uri="{B97F6D7D-B522-45F9-BDA1-12C45D357490}">
          <x15:cacheHierarchy aggregatedColumn="210"/>
        </ext>
      </extLst>
    </cacheHierarchy>
    <cacheHierarchy uniqueName="[Measures].[Sum of Scope 3 kg CO2-e 9]" caption="Sum of Scope 3 kg CO2-e 9" measure="1" displayFolder="" measureGroup="LP_Fleet" count="0" hidden="1">
      <extLst>
        <ext xmlns:x15="http://schemas.microsoft.com/office/spreadsheetml/2010/11/main" uri="{B97F6D7D-B522-45F9-BDA1-12C45D357490}">
          <x15:cacheHierarchy aggregatedColumn="211"/>
        </ext>
      </extLst>
    </cacheHierarchy>
    <cacheHierarchy uniqueName="[Measures].[Sum of Total Emissions 9]" caption="Sum of Total Emissions 9" measure="1" displayFolder="" measureGroup="LP_Fleet" count="0" hidden="1">
      <extLst>
        <ext xmlns:x15="http://schemas.microsoft.com/office/spreadsheetml/2010/11/main" uri="{B97F6D7D-B522-45F9-BDA1-12C45D357490}">
          <x15:cacheHierarchy aggregatedColumn="212"/>
        </ext>
      </extLst>
    </cacheHierarchy>
    <cacheHierarchy uniqueName="[Measures].[Sum of Total GJ 10]" caption="Sum of Total GJ 10" measure="1" displayFolder="" measureGroup="Contractor_Fuels" count="0" hidden="1">
      <extLst>
        <ext xmlns:x15="http://schemas.microsoft.com/office/spreadsheetml/2010/11/main" uri="{B97F6D7D-B522-45F9-BDA1-12C45D357490}">
          <x15:cacheHierarchy aggregatedColumn="51"/>
        </ext>
      </extLst>
    </cacheHierarchy>
    <cacheHierarchy uniqueName="[Measures].[Sum of Scope 1 kg CO2-e 10]" caption="Sum of Scope 1 kg CO2-e 10" measure="1" displayFolder="" measureGroup="Contractor_Fuels" count="0" hidden="1">
      <extLst>
        <ext xmlns:x15="http://schemas.microsoft.com/office/spreadsheetml/2010/11/main" uri="{B97F6D7D-B522-45F9-BDA1-12C45D357490}">
          <x15:cacheHierarchy aggregatedColumn="52"/>
        </ext>
      </extLst>
    </cacheHierarchy>
    <cacheHierarchy uniqueName="[Measures].[Sum of Scope 2 kg CO2-e 10]" caption="Sum of Scope 2 kg CO2-e 10" measure="1" displayFolder="" measureGroup="Contractor_Fuels" count="0" hidden="1">
      <extLst>
        <ext xmlns:x15="http://schemas.microsoft.com/office/spreadsheetml/2010/11/main" uri="{B97F6D7D-B522-45F9-BDA1-12C45D357490}">
          <x15:cacheHierarchy aggregatedColumn="53"/>
        </ext>
      </extLst>
    </cacheHierarchy>
    <cacheHierarchy uniqueName="[Measures].[Sum of Scope 3 kg CO2-e 10]" caption="Sum of Scope 3 kg CO2-e 10" measure="1" displayFolder="" measureGroup="Contractor_Fuels" count="0" hidden="1">
      <extLst>
        <ext xmlns:x15="http://schemas.microsoft.com/office/spreadsheetml/2010/11/main" uri="{B97F6D7D-B522-45F9-BDA1-12C45D357490}">
          <x15:cacheHierarchy aggregatedColumn="54"/>
        </ext>
      </extLst>
    </cacheHierarchy>
    <cacheHierarchy uniqueName="[Measures].[Sum of Total Emissions 10]" caption="Sum of Total Emissions 10" measure="1" displayFolder="" measureGroup="Contractor_Fuels" count="0" hidden="1">
      <extLst>
        <ext xmlns:x15="http://schemas.microsoft.com/office/spreadsheetml/2010/11/main" uri="{B97F6D7D-B522-45F9-BDA1-12C45D357490}">
          <x15:cacheHierarchy aggregatedColumn="55"/>
        </ext>
      </extLst>
    </cacheHierarchy>
    <cacheHierarchy uniqueName="[Measures].[Sum of Consumption Quantity 14]" caption="Sum of Consumption Quantity 14" measure="1" displayFolder="" measureGroup="DC_Genset" count="0" hidden="1">
      <extLst>
        <ext xmlns:x15="http://schemas.microsoft.com/office/spreadsheetml/2010/11/main" uri="{B97F6D7D-B522-45F9-BDA1-12C45D357490}">
          <x15:cacheHierarchy aggregatedColumn="61"/>
        </ext>
      </extLst>
    </cacheHierarchy>
    <cacheHierarchy uniqueName="[Measures].[Sum of Total GJ 11]" caption="Sum of Total GJ 11" measure="1" displayFolder="" measureGroup="DC_Genset" count="0" hidden="1">
      <extLst>
        <ext xmlns:x15="http://schemas.microsoft.com/office/spreadsheetml/2010/11/main" uri="{B97F6D7D-B522-45F9-BDA1-12C45D357490}">
          <x15:cacheHierarchy aggregatedColumn="63"/>
        </ext>
      </extLst>
    </cacheHierarchy>
    <cacheHierarchy uniqueName="[Measures].[Sum of Scope 1 kg CO2-e 11]" caption="Sum of Scope 1 kg CO2-e 11" measure="1" displayFolder="" measureGroup="DC_Genset" count="0" hidden="1">
      <extLst>
        <ext xmlns:x15="http://schemas.microsoft.com/office/spreadsheetml/2010/11/main" uri="{B97F6D7D-B522-45F9-BDA1-12C45D357490}">
          <x15:cacheHierarchy aggregatedColumn="64"/>
        </ext>
      </extLst>
    </cacheHierarchy>
    <cacheHierarchy uniqueName="[Measures].[Sum of Scope 2 kg CO2-e 11]" caption="Sum of Scope 2 kg CO2-e 11" measure="1" displayFolder="" measureGroup="DC_Genset" count="0" hidden="1">
      <extLst>
        <ext xmlns:x15="http://schemas.microsoft.com/office/spreadsheetml/2010/11/main" uri="{B97F6D7D-B522-45F9-BDA1-12C45D357490}">
          <x15:cacheHierarchy aggregatedColumn="65"/>
        </ext>
      </extLst>
    </cacheHierarchy>
    <cacheHierarchy uniqueName="[Measures].[Sum of Scope 3 kg CO2-e 11]" caption="Sum of Scope 3 kg CO2-e 11" measure="1" displayFolder="" measureGroup="DC_Genset" count="0" hidden="1">
      <extLst>
        <ext xmlns:x15="http://schemas.microsoft.com/office/spreadsheetml/2010/11/main" uri="{B97F6D7D-B522-45F9-BDA1-12C45D357490}">
          <x15:cacheHierarchy aggregatedColumn="66"/>
        </ext>
      </extLst>
    </cacheHierarchy>
    <cacheHierarchy uniqueName="[Measures].[Sum of Total Emissions 11]" caption="Sum of Total Emissions 11" measure="1" displayFolder="" measureGroup="DC_Genset" count="0" hidden="1">
      <extLst>
        <ext xmlns:x15="http://schemas.microsoft.com/office/spreadsheetml/2010/11/main" uri="{B97F6D7D-B522-45F9-BDA1-12C45D357490}">
          <x15:cacheHierarchy aggregatedColumn="67"/>
        </ext>
      </extLst>
    </cacheHierarchy>
    <cacheHierarchy uniqueName="[Measures].[Sum of Total GJ 12]" caption="Sum of Total GJ 12" measure="1" displayFolder="" measureGroup="LP_Stationary" count="0" hidden="1">
      <extLst>
        <ext xmlns:x15="http://schemas.microsoft.com/office/spreadsheetml/2010/11/main" uri="{B97F6D7D-B522-45F9-BDA1-12C45D357490}">
          <x15:cacheHierarchy aggregatedColumn="220"/>
        </ext>
      </extLst>
    </cacheHierarchy>
    <cacheHierarchy uniqueName="[Measures].[Sum of Scope 1 kg CO2-e 12]" caption="Sum of Scope 1 kg CO2-e 12" measure="1" displayFolder="" measureGroup="LP_Stationary" count="0" hidden="1">
      <extLst>
        <ext xmlns:x15="http://schemas.microsoft.com/office/spreadsheetml/2010/11/main" uri="{B97F6D7D-B522-45F9-BDA1-12C45D357490}">
          <x15:cacheHierarchy aggregatedColumn="221"/>
        </ext>
      </extLst>
    </cacheHierarchy>
    <cacheHierarchy uniqueName="[Measures].[Sum of Scope 2 kg CO2-e 12]" caption="Sum of Scope 2 kg CO2-e 12" measure="1" displayFolder="" measureGroup="LP_Stationary" count="0" hidden="1">
      <extLst>
        <ext xmlns:x15="http://schemas.microsoft.com/office/spreadsheetml/2010/11/main" uri="{B97F6D7D-B522-45F9-BDA1-12C45D357490}">
          <x15:cacheHierarchy aggregatedColumn="222"/>
        </ext>
      </extLst>
    </cacheHierarchy>
    <cacheHierarchy uniqueName="[Measures].[Sum of Scope 3 kg CO2-e 12]" caption="Sum of Scope 3 kg CO2-e 12" measure="1" displayFolder="" measureGroup="LP_Stationary" count="0" hidden="1">
      <extLst>
        <ext xmlns:x15="http://schemas.microsoft.com/office/spreadsheetml/2010/11/main" uri="{B97F6D7D-B522-45F9-BDA1-12C45D357490}">
          <x15:cacheHierarchy aggregatedColumn="223"/>
        </ext>
      </extLst>
    </cacheHierarchy>
    <cacheHierarchy uniqueName="[Measures].[Sum of Total Emissions 12]" caption="Sum of Total Emissions 12" measure="1" displayFolder="" measureGroup="LP_Stationary" count="0" hidden="1">
      <extLst>
        <ext xmlns:x15="http://schemas.microsoft.com/office/spreadsheetml/2010/11/main" uri="{B97F6D7D-B522-45F9-BDA1-12C45D357490}">
          <x15:cacheHierarchy aggregatedColumn="224"/>
        </ext>
      </extLst>
    </cacheHierarchy>
    <cacheHierarchy uniqueName="[Measures].[Sum of Total GJ 13]" caption="Sum of Total GJ 13" measure="1" displayFolder="" measureGroup="NET_Genset_Grounds" count="0" hidden="1">
      <extLst>
        <ext xmlns:x15="http://schemas.microsoft.com/office/spreadsheetml/2010/11/main" uri="{B97F6D7D-B522-45F9-BDA1-12C45D357490}">
          <x15:cacheHierarchy aggregatedColumn="240"/>
        </ext>
      </extLst>
    </cacheHierarchy>
    <cacheHierarchy uniqueName="[Measures].[Sum of Scope 1 kg CO2-e 13]" caption="Sum of Scope 1 kg CO2-e 13" measure="1" displayFolder="" measureGroup="NET_Genset_Grounds" count="0" hidden="1">
      <extLst>
        <ext xmlns:x15="http://schemas.microsoft.com/office/spreadsheetml/2010/11/main" uri="{B97F6D7D-B522-45F9-BDA1-12C45D357490}">
          <x15:cacheHierarchy aggregatedColumn="241"/>
        </ext>
      </extLst>
    </cacheHierarchy>
    <cacheHierarchy uniqueName="[Measures].[Sum of Scope 2 kg CO2-e 13]" caption="Sum of Scope 2 kg CO2-e 13" measure="1" displayFolder="" measureGroup="NET_Genset_Grounds" count="0" hidden="1">
      <extLst>
        <ext xmlns:x15="http://schemas.microsoft.com/office/spreadsheetml/2010/11/main" uri="{B97F6D7D-B522-45F9-BDA1-12C45D357490}">
          <x15:cacheHierarchy aggregatedColumn="242"/>
        </ext>
      </extLst>
    </cacheHierarchy>
    <cacheHierarchy uniqueName="[Measures].[Sum of Scope 3 kg CO2-e 13]" caption="Sum of Scope 3 kg CO2-e 13" measure="1" displayFolder="" measureGroup="NET_Genset_Grounds" count="0" hidden="1">
      <extLst>
        <ext xmlns:x15="http://schemas.microsoft.com/office/spreadsheetml/2010/11/main" uri="{B97F6D7D-B522-45F9-BDA1-12C45D357490}">
          <x15:cacheHierarchy aggregatedColumn="243"/>
        </ext>
      </extLst>
    </cacheHierarchy>
    <cacheHierarchy uniqueName="[Measures].[Sum of Total Emissions 13]" caption="Sum of Total Emissions 13" measure="1" displayFolder="" measureGroup="NET_Genset_Grounds" count="0" hidden="1">
      <extLst>
        <ext xmlns:x15="http://schemas.microsoft.com/office/spreadsheetml/2010/11/main" uri="{B97F6D7D-B522-45F9-BDA1-12C45D357490}">
          <x15:cacheHierarchy aggregatedColumn="244"/>
        </ext>
      </extLst>
    </cacheHierarchy>
    <cacheHierarchy uniqueName="[Measures].[Sum of Total GJ 14]" caption="Sum of Total GJ 14" measure="1" displayFolder="" measureGroup="NON_Genset" count="0" hidden="1">
      <extLst>
        <ext xmlns:x15="http://schemas.microsoft.com/office/spreadsheetml/2010/11/main" uri="{B97F6D7D-B522-45F9-BDA1-12C45D357490}">
          <x15:cacheHierarchy aggregatedColumn="255"/>
        </ext>
      </extLst>
    </cacheHierarchy>
    <cacheHierarchy uniqueName="[Measures].[Sum of Scope 1 kg CO2-e 14]" caption="Sum of Scope 1 kg CO2-e 14" measure="1" displayFolder="" measureGroup="NON_Genset" count="0" hidden="1">
      <extLst>
        <ext xmlns:x15="http://schemas.microsoft.com/office/spreadsheetml/2010/11/main" uri="{B97F6D7D-B522-45F9-BDA1-12C45D357490}">
          <x15:cacheHierarchy aggregatedColumn="256"/>
        </ext>
      </extLst>
    </cacheHierarchy>
    <cacheHierarchy uniqueName="[Measures].[Sum of Scope 2 kg CO2-e 14]" caption="Sum of Scope 2 kg CO2-e 14" measure="1" displayFolder="" measureGroup="NON_Genset" count="0" hidden="1">
      <extLst>
        <ext xmlns:x15="http://schemas.microsoft.com/office/spreadsheetml/2010/11/main" uri="{B97F6D7D-B522-45F9-BDA1-12C45D357490}">
          <x15:cacheHierarchy aggregatedColumn="257"/>
        </ext>
      </extLst>
    </cacheHierarchy>
    <cacheHierarchy uniqueName="[Measures].[Sum of Scope 3 kg CO2-e 14]" caption="Sum of Scope 3 kg CO2-e 14" measure="1" displayFolder="" measureGroup="NON_Genset" count="0" hidden="1">
      <extLst>
        <ext xmlns:x15="http://schemas.microsoft.com/office/spreadsheetml/2010/11/main" uri="{B97F6D7D-B522-45F9-BDA1-12C45D357490}">
          <x15:cacheHierarchy aggregatedColumn="258"/>
        </ext>
      </extLst>
    </cacheHierarchy>
    <cacheHierarchy uniqueName="[Measures].[Sum of Total Emissions 14]" caption="Sum of Total Emissions 14" measure="1" displayFolder="" measureGroup="NON_Genset" count="0" hidden="1">
      <extLst>
        <ext xmlns:x15="http://schemas.microsoft.com/office/spreadsheetml/2010/11/main" uri="{B97F6D7D-B522-45F9-BDA1-12C45D357490}">
          <x15:cacheHierarchy aggregatedColumn="259"/>
        </ext>
      </extLst>
    </cacheHierarchy>
    <cacheHierarchy uniqueName="[Measures].[Sum of Scope 1 kg CO2-e 15]" caption="Sum of Scope 1 kg CO2-e 15" measure="1" displayFolder="" measureGroup="Pitwater" count="0" hidden="1">
      <extLst>
        <ext xmlns:x15="http://schemas.microsoft.com/office/spreadsheetml/2010/11/main" uri="{B97F6D7D-B522-45F9-BDA1-12C45D357490}">
          <x15:cacheHierarchy aggregatedColumn="293"/>
        </ext>
      </extLst>
    </cacheHierarchy>
    <cacheHierarchy uniqueName="[Measures].[Sum of Total GJ 15]" caption="Sum of Total GJ 15" measure="1" displayFolder="" measureGroup="Pitwater" count="0" hidden="1">
      <extLst>
        <ext xmlns:x15="http://schemas.microsoft.com/office/spreadsheetml/2010/11/main" uri="{B97F6D7D-B522-45F9-BDA1-12C45D357490}">
          <x15:cacheHierarchy aggregatedColumn="291"/>
        </ext>
      </extLst>
    </cacheHierarchy>
    <cacheHierarchy uniqueName="[Measures].[Sum of Scope 2 kg CO2-e 15]" caption="Sum of Scope 2 kg CO2-e 15" measure="1" displayFolder="" measureGroup="Pitwater" count="0" hidden="1">
      <extLst>
        <ext xmlns:x15="http://schemas.microsoft.com/office/spreadsheetml/2010/11/main" uri="{B97F6D7D-B522-45F9-BDA1-12C45D357490}">
          <x15:cacheHierarchy aggregatedColumn="294"/>
        </ext>
      </extLst>
    </cacheHierarchy>
    <cacheHierarchy uniqueName="[Measures].[Sum of Scope 3 kg CO2-e 15]" caption="Sum of Scope 3 kg CO2-e 15" measure="1" displayFolder="" measureGroup="Pitwater" count="0" hidden="1">
      <extLst>
        <ext xmlns:x15="http://schemas.microsoft.com/office/spreadsheetml/2010/11/main" uri="{B97F6D7D-B522-45F9-BDA1-12C45D357490}">
          <x15:cacheHierarchy aggregatedColumn="295"/>
        </ext>
      </extLst>
    </cacheHierarchy>
    <cacheHierarchy uniqueName="[Measures].[Sum of Total Emissions 15]" caption="Sum of Total Emissions 15" measure="1" displayFolder="" measureGroup="Pitwater" count="0" hidden="1">
      <extLst>
        <ext xmlns:x15="http://schemas.microsoft.com/office/spreadsheetml/2010/11/main" uri="{B97F6D7D-B522-45F9-BDA1-12C45D357490}">
          <x15:cacheHierarchy aggregatedColumn="296"/>
        </ext>
      </extLst>
    </cacheHierarchy>
    <cacheHierarchy uniqueName="[Measures].[Sum of Total GJ 16]" caption="Sum of Total GJ 16" measure="1" displayFolder="" measureGroup="Grounds_Fuels" count="0" hidden="1">
      <extLst>
        <ext xmlns:x15="http://schemas.microsoft.com/office/spreadsheetml/2010/11/main" uri="{B97F6D7D-B522-45F9-BDA1-12C45D357490}">
          <x15:cacheHierarchy aggregatedColumn="179"/>
        </ext>
      </extLst>
    </cacheHierarchy>
    <cacheHierarchy uniqueName="[Measures].[Sum of Scope 1 kg CO2-e 16]" caption="Sum of Scope 1 kg CO2-e 16" measure="1" displayFolder="" measureGroup="Grounds_Fuels" count="0" hidden="1">
      <extLst>
        <ext xmlns:x15="http://schemas.microsoft.com/office/spreadsheetml/2010/11/main" uri="{B97F6D7D-B522-45F9-BDA1-12C45D357490}">
          <x15:cacheHierarchy aggregatedColumn="180"/>
        </ext>
      </extLst>
    </cacheHierarchy>
    <cacheHierarchy uniqueName="[Measures].[Sum of Scope 2 kg CO2-e 16]" caption="Sum of Scope 2 kg CO2-e 16" measure="1" displayFolder="" measureGroup="Grounds_Fuels" count="0" hidden="1">
      <extLst>
        <ext xmlns:x15="http://schemas.microsoft.com/office/spreadsheetml/2010/11/main" uri="{B97F6D7D-B522-45F9-BDA1-12C45D357490}">
          <x15:cacheHierarchy aggregatedColumn="181"/>
        </ext>
      </extLst>
    </cacheHierarchy>
    <cacheHierarchy uniqueName="[Measures].[Sum of Scope 3 kg CO2-e 16]" caption="Sum of Scope 3 kg CO2-e 16" measure="1" displayFolder="" measureGroup="Grounds_Fuels" count="0" hidden="1">
      <extLst>
        <ext xmlns:x15="http://schemas.microsoft.com/office/spreadsheetml/2010/11/main" uri="{B97F6D7D-B522-45F9-BDA1-12C45D357490}">
          <x15:cacheHierarchy aggregatedColumn="182"/>
        </ext>
      </extLst>
    </cacheHierarchy>
    <cacheHierarchy uniqueName="[Measures].[Sum of Total Emissions 16]" caption="Sum of Total Emissions 16" measure="1" displayFolder="" measureGroup="Grounds_Fuels" count="0" hidden="1">
      <extLst>
        <ext xmlns:x15="http://schemas.microsoft.com/office/spreadsheetml/2010/11/main" uri="{B97F6D7D-B522-45F9-BDA1-12C45D357490}">
          <x15:cacheHierarchy aggregatedColumn="183"/>
        </ext>
      </extLst>
    </cacheHierarchy>
    <cacheHierarchy uniqueName="[Measures].[Sum of Consumption Quantity 15]" caption="Sum of Consumption Quantity 15" measure="1" displayFolder="" measureGroup="Summary" count="0" hidden="1">
      <extLst>
        <ext xmlns:x15="http://schemas.microsoft.com/office/spreadsheetml/2010/11/main" uri="{B97F6D7D-B522-45F9-BDA1-12C45D357490}">
          <x15:cacheHierarchy aggregatedColumn="363"/>
        </ext>
      </extLst>
    </cacheHierarchy>
    <cacheHierarchy uniqueName="[Measures].[Sum of Total GJ 17]" caption="Sum of Total GJ 17" measure="1" displayFolder="" measureGroup="Summary" count="0" hidden="1">
      <extLst>
        <ext xmlns:x15="http://schemas.microsoft.com/office/spreadsheetml/2010/11/main" uri="{B97F6D7D-B522-45F9-BDA1-12C45D357490}">
          <x15:cacheHierarchy aggregatedColumn="364"/>
        </ext>
      </extLst>
    </cacheHierarchy>
    <cacheHierarchy uniqueName="[Measures].[Sum of Scope 1 kg CO2-e 17]" caption="Sum of Scope 1 kg CO2-e 17" measure="1" displayFolder="" measureGroup="Summary" count="0" hidden="1">
      <extLst>
        <ext xmlns:x15="http://schemas.microsoft.com/office/spreadsheetml/2010/11/main" uri="{B97F6D7D-B522-45F9-BDA1-12C45D357490}">
          <x15:cacheHierarchy aggregatedColumn="365"/>
        </ext>
      </extLst>
    </cacheHierarchy>
    <cacheHierarchy uniqueName="[Measures].[Sum of Scope 2 kg CO2-e 17]" caption="Sum of Scope 2 kg CO2-e 17" measure="1" displayFolder="" measureGroup="Summary" count="0" hidden="1">
      <extLst>
        <ext xmlns:x15="http://schemas.microsoft.com/office/spreadsheetml/2010/11/main" uri="{B97F6D7D-B522-45F9-BDA1-12C45D357490}">
          <x15:cacheHierarchy aggregatedColumn="366"/>
        </ext>
      </extLst>
    </cacheHierarchy>
    <cacheHierarchy uniqueName="[Measures].[Sum of Scope 3 kg CO2-e 17]" caption="Sum of Scope 3 kg CO2-e 17" measure="1" displayFolder="" measureGroup="Summary" count="0" hidden="1">
      <extLst>
        <ext xmlns:x15="http://schemas.microsoft.com/office/spreadsheetml/2010/11/main" uri="{B97F6D7D-B522-45F9-BDA1-12C45D357490}">
          <x15:cacheHierarchy aggregatedColumn="367"/>
        </ext>
      </extLst>
    </cacheHierarchy>
    <cacheHierarchy uniqueName="[Measures].[Sum of Total Emissions 17]" caption="Sum of Total Emissions 17" measure="1" displayFolder="" measureGroup="Summary" count="0" hidden="1">
      <extLst>
        <ext xmlns:x15="http://schemas.microsoft.com/office/spreadsheetml/2010/11/main" uri="{B97F6D7D-B522-45F9-BDA1-12C45D357490}">
          <x15:cacheHierarchy aggregatedColumn="368"/>
        </ext>
      </extLst>
    </cacheHierarchy>
    <cacheHierarchy uniqueName="[Measures].[Sum of Unit]" caption="Sum of Unit" measure="1" displayFolder="" measureGroup="Flight_Model" count="0" hidden="1">
      <extLst>
        <ext xmlns:x15="http://schemas.microsoft.com/office/spreadsheetml/2010/11/main" uri="{B97F6D7D-B522-45F9-BDA1-12C45D357490}">
          <x15:cacheHierarchy aggregatedColumn="125"/>
        </ext>
      </extLst>
    </cacheHierarchy>
    <cacheHierarchy uniqueName="[Measures].[Sum of Annual Energy Savings (KWh)]" caption="Sum of Annual Energy Savings (KWh)" measure="1" displayFolder="" measureGroup="Savings_Data" count="0" hidden="1">
      <extLst>
        <ext xmlns:x15="http://schemas.microsoft.com/office/spreadsheetml/2010/11/main" uri="{B97F6D7D-B522-45F9-BDA1-12C45D357490}">
          <x15:cacheHierarchy aggregatedColumn="329"/>
        </ext>
      </extLst>
    </cacheHierarchy>
    <cacheHierarchy uniqueName="[Measures].[Sum of Scope 2 kg CO2-e 18]" caption="Sum of Scope 2 kg CO2-e 18" measure="1" displayFolder="" measureGroup="Savings_Data" count="0" hidden="1">
      <extLst>
        <ext xmlns:x15="http://schemas.microsoft.com/office/spreadsheetml/2010/11/main" uri="{B97F6D7D-B522-45F9-BDA1-12C45D357490}">
          <x15:cacheHierarchy aggregatedColumn="330"/>
        </ext>
      </extLst>
    </cacheHierarchy>
    <cacheHierarchy uniqueName="[Measures].[Sum of Scope 3 kg CO2-e 19]" caption="Sum of Scope 3 kg CO2-e 19" measure="1" displayFolder="" measureGroup="Savings_Data" count="0" hidden="1">
      <extLst>
        <ext xmlns:x15="http://schemas.microsoft.com/office/spreadsheetml/2010/11/main" uri="{B97F6D7D-B522-45F9-BDA1-12C45D357490}">
          <x15:cacheHierarchy aggregatedColumn="331"/>
        </ext>
      </extLst>
    </cacheHierarchy>
    <cacheHierarchy uniqueName="[Measures].[Sum of Total Tonnes]" caption="Sum of Total Tonnes" measure="1" displayFolder="" measureGroup="Savings_Data" count="0" hidden="1">
      <extLst>
        <ext xmlns:x15="http://schemas.microsoft.com/office/spreadsheetml/2010/11/main" uri="{B97F6D7D-B522-45F9-BDA1-12C45D357490}">
          <x15:cacheHierarchy aggregatedColumn="332"/>
        </ext>
      </extLst>
    </cacheHierarchy>
    <cacheHierarchy uniqueName="[Measures].[Sum of Total GJ 18]" caption="Sum of Total GJ 18" measure="1" displayFolder="" measureGroup="Savings_Data" count="0" hidden="1">
      <extLst>
        <ext xmlns:x15="http://schemas.microsoft.com/office/spreadsheetml/2010/11/main" uri="{B97F6D7D-B522-45F9-BDA1-12C45D357490}">
          <x15:cacheHierarchy aggregatedColumn="333"/>
        </ext>
      </extLst>
    </cacheHierarchy>
    <cacheHierarchy uniqueName="[Measures].[Sum of t]" caption="Sum of t" measure="1" displayFolder="" measureGroup="Paper_CSR" count="0" hidden="1">
      <extLst>
        <ext xmlns:x15="http://schemas.microsoft.com/office/spreadsheetml/2010/11/main" uri="{B97F6D7D-B522-45F9-BDA1-12C45D357490}">
          <x15:cacheHierarchy aggregatedColumn="261"/>
        </ext>
      </extLst>
    </cacheHierarchy>
    <cacheHierarchy uniqueName="[Measures].[Sum of Consumption Quantity 16]" caption="Sum of Consumption Quantity 16" measure="1" displayFolder="" measureGroup="Summary37" count="0" hidden="1">
      <extLst>
        <ext xmlns:x15="http://schemas.microsoft.com/office/spreadsheetml/2010/11/main" uri="{B97F6D7D-B522-45F9-BDA1-12C45D357490}">
          <x15:cacheHierarchy aggregatedColumn="372"/>
        </ext>
      </extLst>
    </cacheHierarchy>
    <cacheHierarchy uniqueName="[Measures].[Sum of Total GJ 19]" caption="Sum of Total GJ 19" measure="1" displayFolder="" measureGroup="Summary37" count="0" hidden="1">
      <extLst>
        <ext xmlns:x15="http://schemas.microsoft.com/office/spreadsheetml/2010/11/main" uri="{B97F6D7D-B522-45F9-BDA1-12C45D357490}">
          <x15:cacheHierarchy aggregatedColumn="373"/>
        </ext>
      </extLst>
    </cacheHierarchy>
    <cacheHierarchy uniqueName="[Measures].[Sum of Scope 1 kg CO2-e 18]" caption="Sum of Scope 1 kg CO2-e 18" measure="1" displayFolder="" measureGroup="Summary37" count="0" hidden="1">
      <extLst>
        <ext xmlns:x15="http://schemas.microsoft.com/office/spreadsheetml/2010/11/main" uri="{B97F6D7D-B522-45F9-BDA1-12C45D357490}">
          <x15:cacheHierarchy aggregatedColumn="374"/>
        </ext>
      </extLst>
    </cacheHierarchy>
    <cacheHierarchy uniqueName="[Measures].[Sum of Scope 2 kg CO2-e 19]" caption="Sum of Scope 2 kg CO2-e 19" measure="1" displayFolder="" measureGroup="Summary37" count="0" hidden="1">
      <extLst>
        <ext xmlns:x15="http://schemas.microsoft.com/office/spreadsheetml/2010/11/main" uri="{B97F6D7D-B522-45F9-BDA1-12C45D357490}">
          <x15:cacheHierarchy aggregatedColumn="375"/>
        </ext>
      </extLst>
    </cacheHierarchy>
    <cacheHierarchy uniqueName="[Measures].[Sum of Scope 3 kg CO2-e 18]" caption="Sum of Scope 3 kg CO2-e 18" measure="1" displayFolder="" measureGroup="Summary37" count="0" hidden="1">
      <extLst>
        <ext xmlns:x15="http://schemas.microsoft.com/office/spreadsheetml/2010/11/main" uri="{B97F6D7D-B522-45F9-BDA1-12C45D357490}">
          <x15:cacheHierarchy aggregatedColumn="376"/>
        </ext>
      </extLst>
    </cacheHierarchy>
    <cacheHierarchy uniqueName="[Measures].[Sum of Total Emissions 18]" caption="Sum of Total Emissions 18" measure="1" displayFolder="" measureGroup="Summary37" count="0" hidden="1">
      <extLst>
        <ext xmlns:x15="http://schemas.microsoft.com/office/spreadsheetml/2010/11/main" uri="{B97F6D7D-B522-45F9-BDA1-12C45D357490}">
          <x15:cacheHierarchy aggregatedColumn="377"/>
        </ext>
      </extLst>
    </cacheHierarchy>
    <cacheHierarchy uniqueName="[Measures].[Sum of Sum of Consumption Quantity]" caption="Sum of Sum of Consumption Quantity" measure="1" displayFolder="" measureGroup="BCA_RemovalFY20" count="0" hidden="1">
      <extLst>
        <ext xmlns:x15="http://schemas.microsoft.com/office/spreadsheetml/2010/11/main" uri="{B97F6D7D-B522-45F9-BDA1-12C45D357490}">
          <x15:cacheHierarchy aggregatedColumn="26"/>
        </ext>
      </extLst>
    </cacheHierarchy>
    <cacheHierarchy uniqueName="[Measures].[Sum of Sum of Total GJ]" caption="Sum of Sum of Total GJ" measure="1" displayFolder="" measureGroup="BCA_RemovalFY20" count="0" hidden="1">
      <extLst>
        <ext xmlns:x15="http://schemas.microsoft.com/office/spreadsheetml/2010/11/main" uri="{B97F6D7D-B522-45F9-BDA1-12C45D357490}">
          <x15:cacheHierarchy aggregatedColumn="27"/>
        </ext>
      </extLst>
    </cacheHierarchy>
    <cacheHierarchy uniqueName="[Measures].[Sum of Sum of Scope 1 kg CO2-e]" caption="Sum of Sum of Scope 1 kg CO2-e" measure="1" displayFolder="" measureGroup="BCA_RemovalFY20" count="0" hidden="1">
      <extLst>
        <ext xmlns:x15="http://schemas.microsoft.com/office/spreadsheetml/2010/11/main" uri="{B97F6D7D-B522-45F9-BDA1-12C45D357490}">
          <x15:cacheHierarchy aggregatedColumn="28"/>
        </ext>
      </extLst>
    </cacheHierarchy>
    <cacheHierarchy uniqueName="[Measures].[Sum of Sum of Consumption Quantity 2]" caption="Sum of Sum of Consumption Quantity 2" measure="1" displayFolder="" measureGroup="DC_Genset2839" count="0" hidden="1">
      <extLst>
        <ext xmlns:x15="http://schemas.microsoft.com/office/spreadsheetml/2010/11/main" uri="{B97F6D7D-B522-45F9-BDA1-12C45D357490}">
          <x15:cacheHierarchy aggregatedColumn="76"/>
        </ext>
      </extLst>
    </cacheHierarchy>
    <cacheHierarchy uniqueName="[Measures].[Count of Activity Type Context]" caption="Count of Activity Type Context" measure="1" displayFolder="" measureGroup="Grounds_Fuels33" count="0" hidden="1">
      <extLst>
        <ext xmlns:x15="http://schemas.microsoft.com/office/spreadsheetml/2010/11/main" uri="{B97F6D7D-B522-45F9-BDA1-12C45D357490}">
          <x15:cacheHierarchy aggregatedColumn="187"/>
        </ext>
      </extLst>
    </cacheHierarchy>
    <cacheHierarchy uniqueName="[Measures].[Sum of Consumption Quantity 17]" caption="Sum of Consumption Quantity 17" measure="1" displayFolder="" measureGroup="ReformFY20" count="0" hidden="1">
      <extLst>
        <ext xmlns:x15="http://schemas.microsoft.com/office/spreadsheetml/2010/11/main" uri="{B97F6D7D-B522-45F9-BDA1-12C45D357490}">
          <x15:cacheHierarchy aggregatedColumn="300"/>
        </ext>
      </extLst>
    </cacheHierarchy>
    <cacheHierarchy uniqueName="[Measures].[Sum of Total GJ 20]" caption="Sum of Total GJ 20" measure="1" displayFolder="" measureGroup="ReformFY20" count="0" hidden="1">
      <extLst>
        <ext xmlns:x15="http://schemas.microsoft.com/office/spreadsheetml/2010/11/main" uri="{B97F6D7D-B522-45F9-BDA1-12C45D357490}">
          <x15:cacheHierarchy aggregatedColumn="301"/>
        </ext>
      </extLst>
    </cacheHierarchy>
    <cacheHierarchy uniqueName="[Measures].[Sum of Scope 1 kg CO2-e 19]" caption="Sum of Scope 1 kg CO2-e 19" measure="1" displayFolder="" measureGroup="ReformFY20" count="0" hidden="1">
      <extLst>
        <ext xmlns:x15="http://schemas.microsoft.com/office/spreadsheetml/2010/11/main" uri="{B97F6D7D-B522-45F9-BDA1-12C45D357490}">
          <x15:cacheHierarchy aggregatedColumn="302"/>
        </ext>
      </extLst>
    </cacheHierarchy>
    <cacheHierarchy uniqueName="[Measures].[Sum of Scope 2 kg CO2-e 20]" caption="Sum of Scope 2 kg CO2-e 20" measure="1" displayFolder="" measureGroup="ReformFY20" count="0" hidden="1">
      <extLst>
        <ext xmlns:x15="http://schemas.microsoft.com/office/spreadsheetml/2010/11/main" uri="{B97F6D7D-B522-45F9-BDA1-12C45D357490}">
          <x15:cacheHierarchy aggregatedColumn="303"/>
        </ext>
      </extLst>
    </cacheHierarchy>
    <cacheHierarchy uniqueName="[Measures].[Sum of Scope 3 kg CO2-e 20]" caption="Sum of Scope 3 kg CO2-e 20" measure="1" displayFolder="" measureGroup="ReformFY20" count="0" hidden="1">
      <extLst>
        <ext xmlns:x15="http://schemas.microsoft.com/office/spreadsheetml/2010/11/main" uri="{B97F6D7D-B522-45F9-BDA1-12C45D357490}">
          <x15:cacheHierarchy aggregatedColumn="304"/>
        </ext>
      </extLst>
    </cacheHierarchy>
    <cacheHierarchy uniqueName="[Measures].[Sum of Total Emissions 19]" caption="Sum of Total Emissions 19" measure="1" displayFolder="" measureGroup="ReformFY20" count="0" hidden="1">
      <extLst>
        <ext xmlns:x15="http://schemas.microsoft.com/office/spreadsheetml/2010/11/main" uri="{B97F6D7D-B522-45F9-BDA1-12C45D357490}">
          <x15:cacheHierarchy aggregatedColumn="305"/>
        </ext>
      </extLst>
    </cacheHierarchy>
    <cacheHierarchy uniqueName="[Measures].[Count of Energy Category]" caption="Count of Energy Category" measure="1" displayFolder="" measureGroup="GHG_35" count="0" hidden="1">
      <extLst>
        <ext xmlns:x15="http://schemas.microsoft.com/office/spreadsheetml/2010/11/main" uri="{B97F6D7D-B522-45F9-BDA1-12C45D357490}">
          <x15:cacheHierarchy aggregatedColumn="154"/>
        </ext>
      </extLst>
    </cacheHierarchy>
    <cacheHierarchy uniqueName="[Measures].[Sum of Consumption Quantity 2]" caption="Sum of Consumption Quantity 2" measure="1" displayFolder="" measureGroup="ReformFY20_" count="0" oneField="1" hidden="1">
      <fieldsUsage count="1">
        <fieldUsage x="5"/>
      </fieldsUsage>
      <extLst>
        <ext xmlns:x15="http://schemas.microsoft.com/office/spreadsheetml/2010/11/main" uri="{B97F6D7D-B522-45F9-BDA1-12C45D357490}">
          <x15:cacheHierarchy aggregatedColumn="310"/>
        </ext>
      </extLst>
    </cacheHierarchy>
    <cacheHierarchy uniqueName="[Measures].[Sum of Total GJ 21]" caption="Sum of Total GJ 21" measure="1" displayFolder="" measureGroup="ReformFY20_" count="0" oneField="1" hidden="1">
      <fieldsUsage count="1">
        <fieldUsage x="6"/>
      </fieldsUsage>
      <extLst>
        <ext xmlns:x15="http://schemas.microsoft.com/office/spreadsheetml/2010/11/main" uri="{B97F6D7D-B522-45F9-BDA1-12C45D357490}">
          <x15:cacheHierarchy aggregatedColumn="311"/>
        </ext>
      </extLst>
    </cacheHierarchy>
    <cacheHierarchy uniqueName="[Measures].[Sum of Scope 1 kg CO2-e 20]" caption="Sum of Scope 1 kg CO2-e 20" measure="1" displayFolder="" measureGroup="ReformFY20_" count="0" oneField="1" hidden="1">
      <fieldsUsage count="1">
        <fieldUsage x="7"/>
      </fieldsUsage>
      <extLst>
        <ext xmlns:x15="http://schemas.microsoft.com/office/spreadsheetml/2010/11/main" uri="{B97F6D7D-B522-45F9-BDA1-12C45D357490}">
          <x15:cacheHierarchy aggregatedColumn="312"/>
        </ext>
      </extLst>
    </cacheHierarchy>
    <cacheHierarchy uniqueName="[Measures].[Sum of Scope 2 kg CO2-e 2]" caption="Sum of Scope 2 kg CO2-e 2" measure="1" displayFolder="" measureGroup="ReformFY20_" count="0" oneField="1" hidden="1">
      <fieldsUsage count="1">
        <fieldUsage x="8"/>
      </fieldsUsage>
      <extLst>
        <ext xmlns:x15="http://schemas.microsoft.com/office/spreadsheetml/2010/11/main" uri="{B97F6D7D-B522-45F9-BDA1-12C45D357490}">
          <x15:cacheHierarchy aggregatedColumn="313"/>
        </ext>
      </extLst>
    </cacheHierarchy>
    <cacheHierarchy uniqueName="[Measures].[Sum of Scope 3 kg CO2-e 21]" caption="Sum of Scope 3 kg CO2-e 21" measure="1" displayFolder="" measureGroup="ReformFY20_" count="0" oneField="1" hidden="1">
      <fieldsUsage count="1">
        <fieldUsage x="11"/>
      </fieldsUsage>
      <extLst>
        <ext xmlns:x15="http://schemas.microsoft.com/office/spreadsheetml/2010/11/main" uri="{B97F6D7D-B522-45F9-BDA1-12C45D357490}">
          <x15:cacheHierarchy aggregatedColumn="314"/>
        </ext>
      </extLst>
    </cacheHierarchy>
  </cacheHierarchies>
  <kpis count="0"/>
  <dimensions count="33">
    <dimension name="AVIS" uniqueName="[AVIS]" caption="AVIS"/>
    <dimension name="BCA_Removal" uniqueName="[BCA_Removal]" caption="BCA_Removal"/>
    <dimension name="BCA_RemovalFY20" uniqueName="[BCA_RemovalFY20]" caption="BCA_RemovalFY20"/>
    <dimension name="Calendar" uniqueName="[Calendar]" caption="Calendar"/>
    <dimension name="Contractor_Fuels" uniqueName="[Contractor_Fuels]" caption="Contractor_Fuels"/>
    <dimension name="DC_Genset" uniqueName="[DC_Genset]" caption="DC_Genset"/>
    <dimension name="DC_Genset2839" uniqueName="[DC_Genset2839]" caption="DC_Genset2839"/>
    <dimension name="Entity" uniqueName="[Entity]" caption="Entity"/>
    <dimension name="EntityFY20" uniqueName="[EntityFY20]" caption="EntityFY20"/>
    <dimension name="EntityFY20 1" uniqueName="[EntityFY20 1]" caption="EntityFY20 1"/>
    <dimension name="Flight_Model" uniqueName="[Flight_Model]" caption="Flight_Model"/>
    <dimension name="GasFY20" uniqueName="[GasFY20]" caption="GasFY20"/>
    <dimension name="GHG" uniqueName="[GHG]" caption="GHG"/>
    <dimension name="GHG_35" uniqueName="[GHG_35]" caption="GHG_35"/>
    <dimension name="Grounds_Fuels" uniqueName="[Grounds_Fuels]" caption="Grounds_Fuels"/>
    <dimension name="Grounds_Fuels33" uniqueName="[Grounds_Fuels33]" caption="Grounds_Fuels33"/>
    <dimension name="LP_Fleet" uniqueName="[LP_Fleet]" caption="LP_Fleet"/>
    <dimension name="LP_Stationary" uniqueName="[LP_Stationary]" caption="LP_Stationary"/>
    <dimension measure="1" name="Measures" uniqueName="[Measures]" caption="Measures"/>
    <dimension name="NBN_Removal" uniqueName="[NBN_Removal]" caption="NBN_Removal"/>
    <dimension name="NET_Genset_Grounds" uniqueName="[NET_Genset_Grounds]" caption="NET_Genset_Grounds"/>
    <dimension name="NON_Genset" uniqueName="[NON_Genset]" caption="NON_Genset"/>
    <dimension name="Paper_CSR" uniqueName="[Paper_CSR]" caption="Paper_CSR"/>
    <dimension name="Percentage_Estimates" uniqueName="[Percentage_Estimates]" caption="Percentage_Estimates"/>
    <dimension name="Pitwater" uniqueName="[Pitwater]" caption="Pitwater"/>
    <dimension name="ReformFY20" uniqueName="[ReformFY20]" caption="ReformFY20"/>
    <dimension name="ReformFY20_" uniqueName="[ReformFY20_]" caption="ReformFY20_"/>
    <dimension name="Savings_Data" uniqueName="[Savings_Data]" caption="Savings_Data"/>
    <dimension name="SE_Gas" uniqueName="[SE_Gas]" caption="SE_Gas"/>
    <dimension name="Solar" uniqueName="[Solar]" caption="Solar"/>
    <dimension name="Summary" uniqueName="[Summary]" caption="Summary"/>
    <dimension name="Summary37" uniqueName="[Summary37]" caption="Summary37"/>
    <dimension name="TelstraBCA" uniqueName="[TelstraBCA]" caption="TelstraBCA"/>
  </dimensions>
  <measureGroups count="32">
    <measureGroup name="AVIS" caption="AVIS"/>
    <measureGroup name="BCA_Removal" caption="BCA_Removal"/>
    <measureGroup name="BCA_RemovalFY20" caption="BCA_RemovalFY20"/>
    <measureGroup name="Calendar" caption="Calendar"/>
    <measureGroup name="Contractor_Fuels" caption="Contractor_Fuels"/>
    <measureGroup name="DC_Genset" caption="DC_Genset"/>
    <measureGroup name="DC_Genset2839" caption="DC_Genset2839"/>
    <measureGroup name="Entity" caption="Entity"/>
    <measureGroup name="EntityFY20" caption="EntityFY20"/>
    <measureGroup name="EntityFY20 1" caption="EntityFY20 1"/>
    <measureGroup name="Flight_Model" caption="Flight_Model"/>
    <measureGroup name="GasFY20" caption="GasFY20"/>
    <measureGroup name="GHG" caption="GHG"/>
    <measureGroup name="GHG_35" caption="GHG_35"/>
    <measureGroup name="Grounds_Fuels" caption="Grounds_Fuels"/>
    <measureGroup name="Grounds_Fuels33" caption="Grounds_Fuels33"/>
    <measureGroup name="LP_Fleet" caption="LP_Fleet"/>
    <measureGroup name="LP_Stationary" caption="LP_Stationary"/>
    <measureGroup name="NBN_Removal" caption="NBN_Removal"/>
    <measureGroup name="NET_Genset_Grounds" caption="NET_Genset_Grounds"/>
    <measureGroup name="NON_Genset" caption="NON_Genset"/>
    <measureGroup name="Paper_CSR" caption="Paper_CSR"/>
    <measureGroup name="Percentage_Estimates" caption="Percentage_Estimates"/>
    <measureGroup name="Pitwater" caption="Pitwater"/>
    <measureGroup name="ReformFY20" caption="ReformFY20"/>
    <measureGroup name="ReformFY20_" caption="ReformFY20_"/>
    <measureGroup name="Savings_Data" caption="Savings_Data"/>
    <measureGroup name="SE_Gas" caption="SE_Gas"/>
    <measureGroup name="Solar" caption="Solar"/>
    <measureGroup name="Summary" caption="Summary"/>
    <measureGroup name="Summary37" caption="Summary37"/>
    <measureGroup name="TelstraBCA" caption="TelstraBCA"/>
  </measureGroups>
  <maps count="68">
    <map measureGroup="0" dimension="0"/>
    <map measureGroup="0" dimension="7"/>
    <map measureGroup="0" dimension="12"/>
    <map measureGroup="1" dimension="1"/>
    <map measureGroup="1" dimension="7"/>
    <map measureGroup="1" dimension="12"/>
    <map measureGroup="2" dimension="2"/>
    <map measureGroup="3" dimension="3"/>
    <map measureGroup="4" dimension="4"/>
    <map measureGroup="4" dimension="7"/>
    <map measureGroup="4" dimension="12"/>
    <map measureGroup="5" dimension="5"/>
    <map measureGroup="5" dimension="7"/>
    <map measureGroup="5" dimension="12"/>
    <map measureGroup="6" dimension="6"/>
    <map measureGroup="7" dimension="7"/>
    <map measureGroup="8" dimension="8"/>
    <map measureGroup="9" dimension="9"/>
    <map measureGroup="10" dimension="10"/>
    <map measureGroup="11" dimension="11"/>
    <map measureGroup="12" dimension="12"/>
    <map measureGroup="13" dimension="8"/>
    <map measureGroup="13" dimension="13"/>
    <map measureGroup="14" dimension="7"/>
    <map measureGroup="14" dimension="12"/>
    <map measureGroup="14" dimension="14"/>
    <map measureGroup="15" dimension="15"/>
    <map measureGroup="16" dimension="7"/>
    <map measureGroup="16" dimension="12"/>
    <map measureGroup="16" dimension="16"/>
    <map measureGroup="17" dimension="7"/>
    <map measureGroup="17" dimension="12"/>
    <map measureGroup="17" dimension="17"/>
    <map measureGroup="18" dimension="7"/>
    <map measureGroup="18" dimension="12"/>
    <map measureGroup="18" dimension="19"/>
    <map measureGroup="19" dimension="7"/>
    <map measureGroup="19" dimension="12"/>
    <map measureGroup="19" dimension="20"/>
    <map measureGroup="20" dimension="7"/>
    <map measureGroup="20" dimension="12"/>
    <map measureGroup="20" dimension="21"/>
    <map measureGroup="21" dimension="22"/>
    <map measureGroup="22" dimension="7"/>
    <map measureGroup="22" dimension="12"/>
    <map measureGroup="22" dimension="23"/>
    <map measureGroup="23" dimension="7"/>
    <map measureGroup="23" dimension="12"/>
    <map measureGroup="23" dimension="24"/>
    <map measureGroup="24" dimension="8"/>
    <map measureGroup="24" dimension="9"/>
    <map measureGroup="24" dimension="25"/>
    <map measureGroup="25" dimension="9"/>
    <map measureGroup="25" dimension="26"/>
    <map measureGroup="26" dimension="12"/>
    <map measureGroup="26" dimension="27"/>
    <map measureGroup="27" dimension="7"/>
    <map measureGroup="27" dimension="12"/>
    <map measureGroup="27" dimension="28"/>
    <map measureGroup="28" dimension="7"/>
    <map measureGroup="28" dimension="12"/>
    <map measureGroup="28" dimension="29"/>
    <map measureGroup="29" dimension="7"/>
    <map measureGroup="29" dimension="30"/>
    <map measureGroup="30" dimension="31"/>
    <map measureGroup="31" dimension="7"/>
    <map measureGroup="31" dimension="12"/>
    <map measureGroup="31"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uneni, Sandeep Rao" refreshedDate="44421.46535752315" backgroundQuery="1" createdVersion="6" refreshedVersion="6" minRefreshableVersion="3" recordCount="0" supportSubquery="1" supportAdvancedDrill="1" xr:uid="{3D787F29-A4D4-4446-A426-3E845D29A7A1}">
  <cacheSource type="external" connectionId="31"/>
  <cacheFields count="12">
    <cacheField name="[EntityFY20 1].[Level 2].[Level 2]" caption="Level 2" numFmtId="0" hierarchy="117" level="1">
      <sharedItems containsBlank="1" count="4">
        <m/>
        <s v="International"/>
        <s v="Percentage Estimates"/>
        <s v="Telstra Corporation Limited"/>
      </sharedItems>
    </cacheField>
    <cacheField name="[EntityFY20 1].[Level 3].[Level 3]" caption="Level 3" numFmtId="0" hierarchy="118" level="1">
      <sharedItems containsBlank="1" count="48">
        <m/>
        <s v="Cable landing station"/>
        <s v="Colocation"/>
        <s v="Data Centre"/>
        <s v="Office"/>
        <s v="Warehouse"/>
        <s v="Percentage Estimates"/>
        <s v="Data Centres (ACT)"/>
        <s v="Data Centres (NSW)"/>
        <s v="Data Centres (NT)"/>
        <s v="Data Centres (QLD)"/>
        <s v="Data Centres (SA)"/>
        <s v="Data Centres (TAS)"/>
        <s v="Data Centres (VIC)"/>
        <s v="Data Centres (WA)"/>
        <s v="Residences (ACT)"/>
        <s v="Residences (NSW)"/>
        <s v="Residences (NT)"/>
        <s v="Residences (QLD)"/>
        <s v="Residences (SA)"/>
        <s v="Residences (TAS)"/>
        <s v="Residences (VIC)"/>
        <s v="Residences (WA)"/>
        <s v="SLDC"/>
        <s v="Telecommunication and Ancillary Facilities (ACT)"/>
        <s v="Telecommunication and Ancillary Facilities (NSW)"/>
        <s v="Telecommunication and Ancillary Facilities (NT)"/>
        <s v="Telecommunication and Ancillary Facilities (QLD)"/>
        <s v="Telecommunication and Ancillary Facilities (SA)"/>
        <s v="Telecommunication and Ancillary Facilities (TAS)"/>
        <s v="Telecommunication and Ancillary Facilities (VIC)"/>
        <s v="Telecommunication and Ancillary Facilities (WA)"/>
        <s v="Telstra Office Accommodation (ACT)"/>
        <s v="Telstra Office Accommodation (NSW)"/>
        <s v="Telstra Office Accommodation (NT)"/>
        <s v="Telstra Office Accommodation (QLD)"/>
        <s v="Telstra Office Accommodation (SA)"/>
        <s v="Telstra Office Accommodation (TAS)"/>
        <s v="Telstra Office Accommodation (VIC)"/>
        <s v="Telstra Office Accommodation (WA)"/>
        <s v="T-Shops (ACT)"/>
        <s v="T-Shops (NSW)"/>
        <s v="T-Shops (NT)"/>
        <s v="T-Shops (QLD)"/>
        <s v="T-Shops (SA)"/>
        <s v="T-Shops (TAS)"/>
        <s v="T-Shops (VIC)"/>
        <s v="T-Shops (WA)"/>
      </sharedItems>
    </cacheField>
    <cacheField name="[EntityFY20 1].[Source Name].[Source Name]" caption="Source Name" numFmtId="0" hierarchy="112" level="1">
      <sharedItems containsBlank="1" count="5">
        <m/>
        <s v="Energy Commodities"/>
        <s v="Other Stationary"/>
        <s v="Electricity"/>
        <s v="Transport"/>
      </sharedItems>
    </cacheField>
    <cacheField name="[EntityFY20 1].[Activity Type].[Activity Type]" caption="Activity Type" numFmtId="0" hierarchy="113" level="1">
      <sharedItems containsBlank="1" count="8">
        <m/>
        <s v="Electricity"/>
        <s v="Diesel Oil"/>
        <s v="Natural gas distributed in pipeline"/>
        <s v="Gasoline"/>
        <s v="Liquified petroleum gas"/>
        <s v="Solar energy for electricity generation"/>
        <s v="Ethanol"/>
      </sharedItems>
    </cacheField>
    <cacheField name="[EntityFY20 1].[Activity Type Context].[Activity Type Context]" caption="Activity Type Context" numFmtId="0" hierarchy="114" level="1">
      <sharedItems containsBlank="1" count="6">
        <m/>
        <s v="Energy Commodity"/>
        <s v="Non-transport"/>
        <s v="Non-transport (Genset)"/>
        <s v="Transport - Post 2004 vehicles"/>
        <s v="Transport"/>
      </sharedItems>
    </cacheField>
    <cacheField name="[EntityFY20 1].[UoM].[UoM]" caption="UoM" numFmtId="0" hierarchy="122" level="1">
      <sharedItems containsBlank="1" count="6">
        <m/>
        <s v="kWh"/>
        <s v="L"/>
        <s v="MJ"/>
        <s v="KL"/>
        <s v="GJ"/>
      </sharedItems>
    </cacheField>
    <cacheField name="[EntityFY20 1].[Primary Criterion].[Primary Criterion]" caption="Primary Criterion" numFmtId="0" hierarchy="123" level="1">
      <sharedItems containsBlank="1" count="4">
        <m/>
        <s v="BBB"/>
        <s v="N/A"/>
        <s v="A"/>
      </sharedItems>
    </cacheField>
    <cacheField name="[Measures].[Sum of Consumption Quantity 2]" caption="Sum of Consumption Quantity 2" numFmtId="0" hierarchy="540" level="32767"/>
    <cacheField name="[Measures].[Sum of Total GJ 21]" caption="Sum of Total GJ 21" numFmtId="0" hierarchy="541" level="32767"/>
    <cacheField name="[Measures].[Sum of Scope 1 kg CO2-e 20]" caption="Sum of Scope 1 kg CO2-e 20" numFmtId="0" hierarchy="542" level="32767"/>
    <cacheField name="[Measures].[Sum of Scope 2 kg CO2-e 2]" caption="Sum of Scope 2 kg CO2-e 2" numFmtId="0" hierarchy="543" level="32767"/>
    <cacheField name="[Measures].[Sum of Scope 3 kg CO2-e 21]" caption="Sum of Scope 3 kg CO2-e 21" numFmtId="0" hierarchy="544" level="32767"/>
  </cacheFields>
  <cacheHierarchies count="545">
    <cacheHierarchy uniqueName="[AVIS].[Reporting Alias]" caption="Reporting Alias" attribute="1" defaultMemberUniqueName="[AVIS].[Reporting Alias].[All]" allUniqueName="[AVIS].[Reporting Alias].[All]" dimensionUniqueName="[AVIS]" displayFolder="" count="0" memberValueDatatype="130" unbalanced="0"/>
    <cacheHierarchy uniqueName="[AVIS].[Source Name]" caption="Source Name" attribute="1" defaultMemberUniqueName="[AVIS].[Source Name].[All]" allUniqueName="[AVIS].[Source Name].[All]" dimensionUniqueName="[AVIS]" displayFolder="" count="0" memberValueDatatype="130" unbalanced="0"/>
    <cacheHierarchy uniqueName="[AVIS].[Activity Type]" caption="Activity Type" attribute="1" defaultMemberUniqueName="[AVIS].[Activity Type].[All]" allUniqueName="[AVIS].[Activity Type].[All]" dimensionUniqueName="[AVIS]" displayFolder="" count="0" memberValueDatatype="130" unbalanced="0"/>
    <cacheHierarchy uniqueName="[AVIS].[Activity Type Context]" caption="Activity Type Context" attribute="1" defaultMemberUniqueName="[AVIS].[Activity Type Context].[All]" allUniqueName="[AVIS].[Activity Type Context].[All]" dimensionUniqueName="[AVIS]" displayFolder="" count="0" memberValueDatatype="130" unbalanced="0"/>
    <cacheHierarchy uniqueName="[AVIS].[Entity]" caption="Entity" attribute="1" defaultMemberUniqueName="[AVIS].[Entity].[All]" allUniqueName="[AVIS].[Entity].[All]" dimensionUniqueName="[AVIS]" displayFolder="" count="0" memberValueDatatype="130" unbalanced="0"/>
    <cacheHierarchy uniqueName="[AVIS].[Fuel]" caption="Fuel" attribute="1" defaultMemberUniqueName="[AVIS].[Fuel].[All]" allUniqueName="[AVIS].[Fuel].[All]" dimensionUniqueName="[AVIS]" displayFolder="" count="0" memberValueDatatype="130" unbalanced="0"/>
    <cacheHierarchy uniqueName="[AVIS].[State]" caption="State" attribute="1" defaultMemberUniqueName="[AVIS].[State].[All]" allUniqueName="[AVIS].[State].[All]" dimensionUniqueName="[AVIS]" displayFolder="" count="0" memberValueDatatype="130" unbalanced="0"/>
    <cacheHierarchy uniqueName="[AVIS].[Consumption Quantity (L)]" caption="Consumption Quantity (L)" attribute="1" defaultMemberUniqueName="[AVIS].[Consumption Quantity (L)].[All]" allUniqueName="[AVIS].[Consumption Quantity (L)].[All]" dimensionUniqueName="[AVIS]" displayFolder="" count="0" memberValueDatatype="5" unbalanced="0"/>
    <cacheHierarchy uniqueName="[AVIS].[Consumption Units]" caption="Consumption Units" attribute="1" defaultMemberUniqueName="[AVIS].[Consumption Units].[All]" allUniqueName="[AVIS].[Consumption Units].[All]" dimensionUniqueName="[AVIS]" displayFolder="" count="0" memberValueDatatype="130" unbalanced="0"/>
    <cacheHierarchy uniqueName="[AVIS].[Consumption Quantity]" caption="Consumption Quantity" attribute="1" defaultMemberUniqueName="[AVIS].[Consumption Quantity].[All]" allUniqueName="[AVIS].[Consumption Quantity].[All]" dimensionUniqueName="[AVIS]" displayFolder="" count="0" memberValueDatatype="5" unbalanced="0"/>
    <cacheHierarchy uniqueName="[AVIS].[Total GJ]" caption="Total GJ" attribute="1" defaultMemberUniqueName="[AVIS].[Total GJ].[All]" allUniqueName="[AVIS].[Total GJ].[All]" dimensionUniqueName="[AVIS]" displayFolder="" count="0" memberValueDatatype="5" unbalanced="0"/>
    <cacheHierarchy uniqueName="[AVIS].[Scope 1 kg CO2-e]" caption="Scope 1 kg CO2-e" attribute="1" defaultMemberUniqueName="[AVIS].[Scope 1 kg CO2-e].[All]" allUniqueName="[AVIS].[Scope 1 kg CO2-e].[All]" dimensionUniqueName="[AVIS]" displayFolder="" count="0" memberValueDatatype="5" unbalanced="0"/>
    <cacheHierarchy uniqueName="[AVIS].[Scope 2 kg CO2-e]" caption="Scope 2 kg CO2-e" attribute="1" defaultMemberUniqueName="[AVIS].[Scope 2 kg CO2-e].[All]" allUniqueName="[AVIS].[Scope 2 kg CO2-e].[All]" dimensionUniqueName="[AVIS]" displayFolder="" count="0" memberValueDatatype="5" unbalanced="0"/>
    <cacheHierarchy uniqueName="[AVIS].[Scope 3 kg CO2-e]" caption="Scope 3 kg CO2-e" attribute="1" defaultMemberUniqueName="[AVIS].[Scope 3 kg CO2-e].[All]" allUniqueName="[AVIS].[Scope 3 kg CO2-e].[All]" dimensionUniqueName="[AVIS]" displayFolder="" count="0" memberValueDatatype="5" unbalanced="0"/>
    <cacheHierarchy uniqueName="[AVIS].[Total Emissions]" caption="Total Emissions" attribute="1" defaultMemberUniqueName="[AVIS].[Total Emissions].[All]" allUniqueName="[AVIS].[Total Emissions].[All]" dimensionUniqueName="[AVIS]" displayFolder="" count="0" memberValueDatatype="5" unbalanced="0"/>
    <cacheHierarchy uniqueName="[BCA_Removal].[Reporting Alias]" caption="Reporting Alias" attribute="1" defaultMemberUniqueName="[BCA_Removal].[Reporting Alias].[All]" allUniqueName="[BCA_Removal].[Reporting Alias].[All]" dimensionUniqueName="[BCA_Removal]" displayFolder="" count="0" memberValueDatatype="130" unbalanced="0"/>
    <cacheHierarchy uniqueName="[BCA_Removal].[Consumption Quantity]" caption="Consumption Quantity" attribute="1" defaultMemberUniqueName="[BCA_Removal].[Consumption Quantity].[All]" allUniqueName="[BCA_Removal].[Consumption Quantity].[All]" dimensionUniqueName="[BCA_Removal]" displayFolder="" count="0" memberValueDatatype="5" unbalanced="0"/>
    <cacheHierarchy uniqueName="[BCA_Removal].[Scope 2 kg CO2-e]" caption="Scope 2 kg CO2-e" attribute="1" defaultMemberUniqueName="[BCA_Removal].[Scope 2 kg CO2-e].[All]" allUniqueName="[BCA_Removal].[Scope 2 kg CO2-e].[All]" dimensionUniqueName="[BCA_Removal]" displayFolder="" count="0" memberValueDatatype="5" unbalanced="0"/>
    <cacheHierarchy uniqueName="[BCA_Removal].[Scope 1 kg CO2-e]" caption="Scope 1 kg CO2-e" attribute="1" defaultMemberUniqueName="[BCA_Removal].[Scope 1 kg CO2-e].[All]" allUniqueName="[BCA_Removal].[Scope 1 kg CO2-e].[All]" dimensionUniqueName="[BCA_Removal]" displayFolder="" count="0" memberValueDatatype="5" unbalanced="0"/>
    <cacheHierarchy uniqueName="[BCA_Removal].[Scope 3 kg CO2-e]" caption="Scope 3 kg CO2-e" attribute="1" defaultMemberUniqueName="[BCA_Removal].[Scope 3 kg CO2-e].[All]" allUniqueName="[BCA_Removal].[Scope 3 kg CO2-e].[All]" dimensionUniqueName="[BCA_Removal]" displayFolder="" count="0" memberValueDatatype="5" unbalanced="0"/>
    <cacheHierarchy uniqueName="[BCA_Removal].[Total GJ]" caption="Total GJ" attribute="1" defaultMemberUniqueName="[BCA_Removal].[Total GJ].[All]" allUniqueName="[BCA_Removal].[Total GJ].[All]" dimensionUniqueName="[BCA_Removal]" displayFolder="" count="0" memberValueDatatype="5" unbalanced="0"/>
    <cacheHierarchy uniqueName="[BCA_Removal].[Total Emissions]" caption="Total Emissions" attribute="1" defaultMemberUniqueName="[BCA_Removal].[Total Emissions].[All]" allUniqueName="[BCA_Removal].[Total Emissions].[All]" dimensionUniqueName="[BCA_Removal]" displayFolder="" count="0" memberValueDatatype="5" unbalanced="0"/>
    <cacheHierarchy uniqueName="[BCA_RemovalFY20].[Reporting Alias]" caption="Reporting Alias" attribute="1" defaultMemberUniqueName="[BCA_RemovalFY20].[Reporting Alias].[All]" allUniqueName="[BCA_RemovalFY20].[Reporting Alias].[All]" dimensionUniqueName="[BCA_RemovalFY20]" displayFolder="" count="0" memberValueDatatype="130" unbalanced="0"/>
    <cacheHierarchy uniqueName="[BCA_RemovalFY20].[Consumption Quantity]" caption="Consumption Quantity" attribute="1" defaultMemberUniqueName="[BCA_RemovalFY20].[Consumption Quantity].[All]" allUniqueName="[BCA_RemovalFY20].[Consumption Quantity].[All]" dimensionUniqueName="[BCA_RemovalFY20]" displayFolder="" count="0" memberValueDatatype="20" unbalanced="0"/>
    <cacheHierarchy uniqueName="[BCA_RemovalFY20].[UoM]" caption="UoM" attribute="1" defaultMemberUniqueName="[BCA_RemovalFY20].[UoM].[All]" allUniqueName="[BCA_RemovalFY20].[UoM].[All]" dimensionUniqueName="[BCA_RemovalFY20]" displayFolder="" count="0" memberValueDatatype="130" unbalanced="0"/>
    <cacheHierarchy uniqueName="[BCA_RemovalFY20].[Primary Criterion]" caption="Primary Criterion" attribute="1" defaultMemberUniqueName="[BCA_RemovalFY20].[Primary Criterion].[All]" allUniqueName="[BCA_RemovalFY20].[Primary Criterion].[All]" dimensionUniqueName="[BCA_RemovalFY20]" displayFolder="" count="0" memberValueDatatype="130" unbalanced="0"/>
    <cacheHierarchy uniqueName="[BCA_RemovalFY20].[Sum of Consumption Quantity]" caption="Sum of Consumption Quantity" attribute="1" defaultMemberUniqueName="[BCA_RemovalFY20].[Sum of Consumption Quantity].[All]" allUniqueName="[BCA_RemovalFY20].[Sum of Consumption Quantity].[All]" dimensionUniqueName="[BCA_RemovalFY20]" displayFolder="" count="0" memberValueDatatype="20" unbalanced="0"/>
    <cacheHierarchy uniqueName="[BCA_RemovalFY20].[Sum of Total GJ]" caption="Sum of Total GJ" attribute="1" defaultMemberUniqueName="[BCA_RemovalFY20].[Sum of Total GJ].[All]" allUniqueName="[BCA_RemovalFY20].[Sum of Total GJ].[All]" dimensionUniqueName="[BCA_RemovalFY20]" displayFolder="" count="0" memberValueDatatype="5" unbalanced="0"/>
    <cacheHierarchy uniqueName="[BCA_RemovalFY20].[Sum of Scope 1 kg CO2-e]" caption="Sum of Scope 1 kg CO2-e" attribute="1" defaultMemberUniqueName="[BCA_RemovalFY20].[Sum of Scope 1 kg CO2-e].[All]" allUniqueName="[BCA_RemovalFY20].[Sum of Scope 1 kg CO2-e].[All]" dimensionUniqueName="[BCA_RemovalFY20]" displayFolder="" count="0" memberValueDatatype="20" unbalanced="0"/>
    <cacheHierarchy uniqueName="[BCA_RemovalFY20].[Sum of Scope 2 kg CO2-e]" caption="Sum of Scope 2 kg CO2-e" attribute="1" defaultMemberUniqueName="[BCA_RemovalFY20].[Sum of Scope 2 kg CO2-e].[All]" allUniqueName="[BCA_RemovalFY20].[Sum of Scope 2 kg CO2-e].[All]" dimensionUniqueName="[BCA_RemovalFY20]" displayFolder="" count="0" memberValueDatatype="5" unbalanced="0"/>
    <cacheHierarchy uniqueName="[BCA_RemovalFY20].[Sum of Scope 3 kg CO2-e]" caption="Sum of Scope 3 kg CO2-e" attribute="1" defaultMemberUniqueName="[BCA_RemovalFY20].[Sum of Scope 3 kg CO2-e].[All]" allUniqueName="[BCA_RemovalFY20].[Sum of Scope 3 kg CO2-e].[All]" dimensionUniqueName="[BCA_RemovalFY20]" displayFolder="" count="0" memberValueDatatype="5" unbalanced="0"/>
    <cacheHierarchy uniqueName="[BCA_RemovalFY20].[Sum of Total Emissions]" caption="Sum of Total Emissions" attribute="1" defaultMemberUniqueName="[BCA_RemovalFY20].[Sum of Total Emissions].[All]" allUniqueName="[BCA_RemovalFY20].[Sum of Total Emissions].[All]" dimensionUniqueName="[BCA_RemovalFY20]" displayFolder="" count="0" memberValueDatatype="5"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ontractor_Fuels].[Reporting Alias]" caption="Reporting Alias" attribute="1" defaultMemberUniqueName="[Contractor_Fuels].[Reporting Alias].[All]" allUniqueName="[Contractor_Fuels].[Reporting Alias].[All]" dimensionUniqueName="[Contractor_Fuels]" displayFolder="" count="0" memberValueDatatype="130" unbalanced="0"/>
    <cacheHierarchy uniqueName="[Contractor_Fuels].[Contractor type]" caption="Contractor type" attribute="1" defaultMemberUniqueName="[Contractor_Fuels].[Contractor type].[All]" allUniqueName="[Contractor_Fuels].[Contractor type].[All]" dimensionUniqueName="[Contractor_Fuels]" displayFolder="" count="0" memberValueDatatype="130" unbalanced="0"/>
    <cacheHierarchy uniqueName="[Contractor_Fuels].[Source Name]" caption="Source Name" attribute="1" defaultMemberUniqueName="[Contractor_Fuels].[Source Name].[All]" allUniqueName="[Contractor_Fuels].[Source Name].[All]" dimensionUniqueName="[Contractor_Fuels]" displayFolder="" count="0" memberValueDatatype="130" unbalanced="0"/>
    <cacheHierarchy uniqueName="[Contractor_Fuels].[Activity Type]" caption="Activity Type" attribute="1" defaultMemberUniqueName="[Contractor_Fuels].[Activity Type].[All]" allUniqueName="[Contractor_Fuels].[Activity Type].[All]" dimensionUniqueName="[Contractor_Fuels]" displayFolder="" count="0" memberValueDatatype="130" unbalanced="0"/>
    <cacheHierarchy uniqueName="[Contractor_Fuels].[Activity Type Context]" caption="Activity Type Context" attribute="1" defaultMemberUniqueName="[Contractor_Fuels].[Activity Type Context].[All]" allUniqueName="[Contractor_Fuels].[Activity Type Context].[All]" dimensionUniqueName="[Contractor_Fuels]" displayFolder="" count="0" memberValueDatatype="130" unbalanced="0"/>
    <cacheHierarchy uniqueName="[Contractor_Fuels].[Entity]" caption="Entity" attribute="1" defaultMemberUniqueName="[Contractor_Fuels].[Entity].[All]" allUniqueName="[Contractor_Fuels].[Entity].[All]" dimensionUniqueName="[Contractor_Fuels]" displayFolder="" count="0" memberValueDatatype="130" unbalanced="0"/>
    <cacheHierarchy uniqueName="[Contractor_Fuels].[Fuel]" caption="Fuel" attribute="1" defaultMemberUniqueName="[Contractor_Fuels].[Fuel].[All]" allUniqueName="[Contractor_Fuels].[Fuel].[All]" dimensionUniqueName="[Contractor_Fuels]" displayFolder="" count="0" memberValueDatatype="130" unbalanced="0"/>
    <cacheHierarchy uniqueName="[Contractor_Fuels].[State]" caption="State" attribute="1" defaultMemberUniqueName="[Contractor_Fuels].[State].[All]" allUniqueName="[Contractor_Fuels].[State].[All]" dimensionUniqueName="[Contractor_Fuels]" displayFolder="" count="0" memberValueDatatype="130" unbalanced="0"/>
    <cacheHierarchy uniqueName="[Contractor_Fuels].[Consumption Quantity (L)]" caption="Consumption Quantity (L)" attribute="1" defaultMemberUniqueName="[Contractor_Fuels].[Consumption Quantity (L)].[All]" allUniqueName="[Contractor_Fuels].[Consumption Quantity (L)].[All]" dimensionUniqueName="[Contractor_Fuels]" displayFolder="" count="0" memberValueDatatype="5" unbalanced="0"/>
    <cacheHierarchy uniqueName="[Contractor_Fuels].[Consumption  Units]" caption="Consumption  Units" attribute="1" defaultMemberUniqueName="[Contractor_Fuels].[Consumption  Units].[All]" allUniqueName="[Contractor_Fuels].[Consumption  Units].[All]" dimensionUniqueName="[Contractor_Fuels]" displayFolder="" count="0" memberValueDatatype="130" unbalanced="0"/>
    <cacheHierarchy uniqueName="[Contractor_Fuels].[Consumption Quantity]" caption="Consumption Quantity" attribute="1" defaultMemberUniqueName="[Contractor_Fuels].[Consumption Quantity].[All]" allUniqueName="[Contractor_Fuels].[Consumption Quantity].[All]" dimensionUniqueName="[Contractor_Fuels]" displayFolder="" count="0" memberValueDatatype="5" unbalanced="0"/>
    <cacheHierarchy uniqueName="[Contractor_Fuels].[Total GJ]" caption="Total GJ" attribute="1" defaultMemberUniqueName="[Contractor_Fuels].[Total GJ].[All]" allUniqueName="[Contractor_Fuels].[Total GJ].[All]" dimensionUniqueName="[Contractor_Fuels]" displayFolder="" count="0" memberValueDatatype="5" unbalanced="0"/>
    <cacheHierarchy uniqueName="[Contractor_Fuels].[Scope 1 kg CO2-e]" caption="Scope 1 kg CO2-e" attribute="1" defaultMemberUniqueName="[Contractor_Fuels].[Scope 1 kg CO2-e].[All]" allUniqueName="[Contractor_Fuels].[Scope 1 kg CO2-e].[All]" dimensionUniqueName="[Contractor_Fuels]" displayFolder="" count="0" memberValueDatatype="5" unbalanced="0"/>
    <cacheHierarchy uniqueName="[Contractor_Fuels].[Scope 2 kg CO2-e]" caption="Scope 2 kg CO2-e" attribute="1" defaultMemberUniqueName="[Contractor_Fuels].[Scope 2 kg CO2-e].[All]" allUniqueName="[Contractor_Fuels].[Scope 2 kg CO2-e].[All]" dimensionUniqueName="[Contractor_Fuels]" displayFolder="" count="0" memberValueDatatype="5" unbalanced="0"/>
    <cacheHierarchy uniqueName="[Contractor_Fuels].[Scope 3 kg CO2-e]" caption="Scope 3 kg CO2-e" attribute="1" defaultMemberUniqueName="[Contractor_Fuels].[Scope 3 kg CO2-e].[All]" allUniqueName="[Contractor_Fuels].[Scope 3 kg CO2-e].[All]" dimensionUniqueName="[Contractor_Fuels]" displayFolder="" count="0" memberValueDatatype="5" unbalanced="0"/>
    <cacheHierarchy uniqueName="[Contractor_Fuels].[Total Emissions]" caption="Total Emissions" attribute="1" defaultMemberUniqueName="[Contractor_Fuels].[Total Emissions].[All]" allUniqueName="[Contractor_Fuels].[Total Emissions].[All]" dimensionUniqueName="[Contractor_Fuels]" displayFolder="" count="0" memberValueDatatype="5" unbalanced="0"/>
    <cacheHierarchy uniqueName="[DC_Genset].[Reporting Alias]" caption="Reporting Alias" attribute="1" defaultMemberUniqueName="[DC_Genset].[Reporting Alias].[All]" allUniqueName="[DC_Genset].[Reporting Alias].[All]" dimensionUniqueName="[DC_Genset]" displayFolder="" count="0" memberValueDatatype="130" unbalanced="0"/>
    <cacheHierarchy uniqueName="[DC_Genset].[Fuel]" caption="Fuel" attribute="1" defaultMemberUniqueName="[DC_Genset].[Fuel].[All]" allUniqueName="[DC_Genset].[Fuel].[All]" dimensionUniqueName="[DC_Genset]" displayFolder="" count="0" memberValueDatatype="130" unbalanced="0"/>
    <cacheHierarchy uniqueName="[DC_Genset].[State]" caption="State" attribute="1" defaultMemberUniqueName="[DC_Genset].[State].[All]" allUniqueName="[DC_Genset].[State].[All]" dimensionUniqueName="[DC_Genset]" displayFolder="" count="0" memberValueDatatype="130" unbalanced="0"/>
    <cacheHierarchy uniqueName="[DC_Genset].[Consumption Quantity (L)]" caption="Consumption Quantity (L)" attribute="1" defaultMemberUniqueName="[DC_Genset].[Consumption Quantity (L)].[All]" allUniqueName="[DC_Genset].[Consumption Quantity (L)].[All]" dimensionUniqueName="[DC_Genset]" displayFolder="" count="0" memberValueDatatype="5" unbalanced="0"/>
    <cacheHierarchy uniqueName="[DC_Genset].[Consumption  Units]" caption="Consumption  Units" attribute="1" defaultMemberUniqueName="[DC_Genset].[Consumption  Units].[All]" allUniqueName="[DC_Genset].[Consumption  Units].[All]" dimensionUniqueName="[DC_Genset]" displayFolder="" count="0" memberValueDatatype="130" unbalanced="0"/>
    <cacheHierarchy uniqueName="[DC_Genset].[Consumption Quantity]" caption="Consumption Quantity" attribute="1" defaultMemberUniqueName="[DC_Genset].[Consumption Quantity].[All]" allUniqueName="[DC_Genset].[Consumption Quantity].[All]" dimensionUniqueName="[DC_Genset]" displayFolder="" count="0" memberValueDatatype="5" unbalanced="0"/>
    <cacheHierarchy uniqueName="[DC_Genset].[UoM]" caption="UoM" attribute="1" defaultMemberUniqueName="[DC_Genset].[UoM].[All]" allUniqueName="[DC_Genset].[UoM].[All]" dimensionUniqueName="[DC_Genset]" displayFolder="" count="0" memberValueDatatype="130" unbalanced="0"/>
    <cacheHierarchy uniqueName="[DC_Genset].[Total GJ]" caption="Total GJ" attribute="1" defaultMemberUniqueName="[DC_Genset].[Total GJ].[All]" allUniqueName="[DC_Genset].[Total GJ].[All]" dimensionUniqueName="[DC_Genset]" displayFolder="" count="0" memberValueDatatype="5" unbalanced="0"/>
    <cacheHierarchy uniqueName="[DC_Genset].[Scope 1 kg CO2-e]" caption="Scope 1 kg CO2-e" attribute="1" defaultMemberUniqueName="[DC_Genset].[Scope 1 kg CO2-e].[All]" allUniqueName="[DC_Genset].[Scope 1 kg CO2-e].[All]" dimensionUniqueName="[DC_Genset]" displayFolder="" count="0" memberValueDatatype="5" unbalanced="0"/>
    <cacheHierarchy uniqueName="[DC_Genset].[Scope 2 kg CO2-e]" caption="Scope 2 kg CO2-e" attribute="1" defaultMemberUniqueName="[DC_Genset].[Scope 2 kg CO2-e].[All]" allUniqueName="[DC_Genset].[Scope 2 kg CO2-e].[All]" dimensionUniqueName="[DC_Genset]" displayFolder="" count="0" memberValueDatatype="5" unbalanced="0"/>
    <cacheHierarchy uniqueName="[DC_Genset].[Scope 3 kg CO2-e]" caption="Scope 3 kg CO2-e" attribute="1" defaultMemberUniqueName="[DC_Genset].[Scope 3 kg CO2-e].[All]" allUniqueName="[DC_Genset].[Scope 3 kg CO2-e].[All]" dimensionUniqueName="[DC_Genset]" displayFolder="" count="0" memberValueDatatype="5" unbalanced="0"/>
    <cacheHierarchy uniqueName="[DC_Genset].[Total Emissions]" caption="Total Emissions" attribute="1" defaultMemberUniqueName="[DC_Genset].[Total Emissions].[All]" allUniqueName="[DC_Genset].[Total Emissions].[All]" dimensionUniqueName="[DC_Genset]" displayFolder="" count="0" memberValueDatatype="5" unbalanced="0"/>
    <cacheHierarchy uniqueName="[DC_Genset2839].[Reporting Alias]" caption="Reporting Alias" attribute="1" defaultMemberUniqueName="[DC_Genset2839].[Reporting Alias].[All]" allUniqueName="[DC_Genset2839].[Reporting Alias].[All]" dimensionUniqueName="[DC_Genset2839]" displayFolder="" count="0" memberValueDatatype="130" unbalanced="0"/>
    <cacheHierarchy uniqueName="[DC_Genset2839].[Fuel]" caption="Fuel" attribute="1" defaultMemberUniqueName="[DC_Genset2839].[Fuel].[All]" allUniqueName="[DC_Genset2839].[Fuel].[All]" dimensionUniqueName="[DC_Genset2839]" displayFolder="" count="0" memberValueDatatype="130" unbalanced="0"/>
    <cacheHierarchy uniqueName="[DC_Genset2839].[State]" caption="State" attribute="1" defaultMemberUniqueName="[DC_Genset2839].[State].[All]" allUniqueName="[DC_Genset2839].[State].[All]" dimensionUniqueName="[DC_Genset2839]" displayFolder="" count="0" memberValueDatatype="130" unbalanced="0"/>
    <cacheHierarchy uniqueName="[DC_Genset2839].[Consumption Quantity (L)]" caption="Consumption Quantity (L)" attribute="1" defaultMemberUniqueName="[DC_Genset2839].[Consumption Quantity (L)].[All]" allUniqueName="[DC_Genset2839].[Consumption Quantity (L)].[All]" dimensionUniqueName="[DC_Genset2839]" displayFolder="" count="0" memberValueDatatype="5" unbalanced="0"/>
    <cacheHierarchy uniqueName="[DC_Genset2839].[Consumption  Units]" caption="Consumption  Units" attribute="1" defaultMemberUniqueName="[DC_Genset2839].[Consumption  Units].[All]" allUniqueName="[DC_Genset2839].[Consumption  Units].[All]" dimensionUniqueName="[DC_Genset2839]" displayFolder="" count="0" memberValueDatatype="130" unbalanced="0"/>
    <cacheHierarchy uniqueName="[DC_Genset2839].[Consumption Quantity]" caption="Consumption Quantity" attribute="1" defaultMemberUniqueName="[DC_Genset2839].[Consumption Quantity].[All]" allUniqueName="[DC_Genset2839].[Consumption Quantity].[All]" dimensionUniqueName="[DC_Genset2839]" displayFolder="" count="0" memberValueDatatype="5" unbalanced="0"/>
    <cacheHierarchy uniqueName="[DC_Genset2839].[UoM]" caption="UoM" attribute="1" defaultMemberUniqueName="[DC_Genset2839].[UoM].[All]" allUniqueName="[DC_Genset2839].[UoM].[All]" dimensionUniqueName="[DC_Genset2839]" displayFolder="" count="0" memberValueDatatype="130" unbalanced="0"/>
    <cacheHierarchy uniqueName="[DC_Genset2839].[Primary Criterion]" caption="Primary Criterion" attribute="1" defaultMemberUniqueName="[DC_Genset2839].[Primary Criterion].[All]" allUniqueName="[DC_Genset2839].[Primary Criterion].[All]" dimensionUniqueName="[DC_Genset2839]" displayFolder="" count="0" memberValueDatatype="130" unbalanced="0"/>
    <cacheHierarchy uniqueName="[DC_Genset2839].[Sum of Consumption Quantity]" caption="Sum of Consumption Quantity" attribute="1" defaultMemberUniqueName="[DC_Genset2839].[Sum of Consumption Quantity].[All]" allUniqueName="[DC_Genset2839].[Sum of Consumption Quantity].[All]" dimensionUniqueName="[DC_Genset2839]" displayFolder="" count="0" memberValueDatatype="5" unbalanced="0"/>
    <cacheHierarchy uniqueName="[DC_Genset2839].[Sum of Total GJ]" caption="Sum of Total GJ" attribute="1" defaultMemberUniqueName="[DC_Genset2839].[Sum of Total GJ].[All]" allUniqueName="[DC_Genset2839].[Sum of Total GJ].[All]" dimensionUniqueName="[DC_Genset2839]" displayFolder="" count="0" memberValueDatatype="5" unbalanced="0"/>
    <cacheHierarchy uniqueName="[DC_Genset2839].[Sum of Scope 1 kg CO2-e]" caption="Sum of Scope 1 kg CO2-e" attribute="1" defaultMemberUniqueName="[DC_Genset2839].[Sum of Scope 1 kg CO2-e].[All]" allUniqueName="[DC_Genset2839].[Sum of Scope 1 kg CO2-e].[All]" dimensionUniqueName="[DC_Genset2839]" displayFolder="" count="0" memberValueDatatype="5" unbalanced="0"/>
    <cacheHierarchy uniqueName="[DC_Genset2839].[Sum of Scope 2 kg CO2-e]" caption="Sum of Scope 2 kg CO2-e" attribute="1" defaultMemberUniqueName="[DC_Genset2839].[Sum of Scope 2 kg CO2-e].[All]" allUniqueName="[DC_Genset2839].[Sum of Scope 2 kg CO2-e].[All]" dimensionUniqueName="[DC_Genset2839]" displayFolder="" count="0" memberValueDatatype="20" unbalanced="0"/>
    <cacheHierarchy uniqueName="[DC_Genset2839].[Sum of Scope 3 kg CO2-e]" caption="Sum of Scope 3 kg CO2-e" attribute="1" defaultMemberUniqueName="[DC_Genset2839].[Sum of Scope 3 kg CO2-e].[All]" allUniqueName="[DC_Genset2839].[Sum of Scope 3 kg CO2-e].[All]" dimensionUniqueName="[DC_Genset2839]" displayFolder="" count="0" memberValueDatatype="5" unbalanced="0"/>
    <cacheHierarchy uniqueName="[DC_Genset2839].[Sum of Total Emissions]" caption="Sum of Total Emissions" attribute="1" defaultMemberUniqueName="[DC_Genset2839].[Sum of Total Emissions].[All]" allUniqueName="[DC_Genset2839].[Sum of Total Emissions].[All]" dimensionUniqueName="[DC_Genset2839]" displayFolder="" count="0" memberValueDatatype="5" unbalanced="0"/>
    <cacheHierarchy uniqueName="[Entity].[Reporting Alias]" caption="Reporting Alias" attribute="1" defaultMemberUniqueName="[Entity].[Reporting Alias].[All]" allUniqueName="[Entity].[Reporting Alias].[All]" dimensionUniqueName="[Entity]" displayFolder="" count="0" memberValueDatatype="130" unbalanced="0"/>
    <cacheHierarchy uniqueName="[Entity].[Emission Source]" caption="Emission Source" attribute="1" defaultMemberUniqueName="[Entity].[Emission Source].[All]" allUniqueName="[Entity].[Emission Source].[All]" dimensionUniqueName="[Entity]" displayFolder="" count="0" memberValueDatatype="130" unbalanced="0"/>
    <cacheHierarchy uniqueName="[Entity].[Source Name]" caption="Source Name" attribute="1" defaultMemberUniqueName="[Entity].[Source Name].[All]" allUniqueName="[Entity].[Source Name].[All]" dimensionUniqueName="[Entity]" displayFolder="" count="0" memberValueDatatype="130" unbalanced="0"/>
    <cacheHierarchy uniqueName="[Entity].[Activity Type]" caption="Activity Type" attribute="1" defaultMemberUniqueName="[Entity].[Activity Type].[All]" allUniqueName="[Entity].[Activity Type].[All]" dimensionUniqueName="[Entity]" displayFolder="" count="0" memberValueDatatype="130" unbalanced="0"/>
    <cacheHierarchy uniqueName="[Entity].[Activity Type Context]" caption="Activity Type Context" attribute="1" defaultMemberUniqueName="[Entity].[Activity Type Context].[All]" allUniqueName="[Entity].[Activity Type Context].[All]" dimensionUniqueName="[Entity]" displayFolder="" count="0" memberValueDatatype="130" unbalanced="0"/>
    <cacheHierarchy uniqueName="[Entity].[Entity]" caption="Entity" attribute="1" defaultMemberUniqueName="[Entity].[Entity].[All]" allUniqueName="[Entity].[Entity].[All]" dimensionUniqueName="[Entity]" displayFolder="" count="0" memberValueDatatype="130" unbalanced="0"/>
    <cacheHierarchy uniqueName="[Entity].[Level 1]" caption="Level 1" attribute="1" defaultMemberUniqueName="[Entity].[Level 1].[All]" allUniqueName="[Entity].[Level 1].[All]" dimensionUniqueName="[Entity]" displayFolder="" count="0" memberValueDatatype="130" unbalanced="0"/>
    <cacheHierarchy uniqueName="[Entity].[Level 2]" caption="Level 2" attribute="1" defaultMemberUniqueName="[Entity].[Level 2].[All]" allUniqueName="[Entity].[Level 2].[All]" dimensionUniqueName="[Entity]" displayFolder="" count="0" memberValueDatatype="130" unbalanced="0"/>
    <cacheHierarchy uniqueName="[Entity].[Level 3]" caption="Level 3" attribute="1" defaultMemberUniqueName="[Entity].[Level 3].[All]" allUniqueName="[Entity].[Level 3].[All]" dimensionUniqueName="[Entity]" displayFolder="" count="0" memberValueDatatype="130" unbalanced="0"/>
    <cacheHierarchy uniqueName="[Entity].[Level 3 Entity type]" caption="Level 3 Entity type" attribute="1" defaultMemberUniqueName="[Entity].[Level 3 Entity type].[All]" allUniqueName="[Entity].[Level 3 Entity type].[All]" dimensionUniqueName="[Entity]" displayFolder="" count="0" memberValueDatatype="130" unbalanced="0"/>
    <cacheHierarchy uniqueName="[Entity].[Level 4]" caption="Level 4" attribute="1" defaultMemberUniqueName="[Entity].[Level 4].[All]" allUniqueName="[Entity].[Level 4].[All]" dimensionUniqueName="[Entity]" displayFolder="" count="0" memberValueDatatype="130" unbalanced="0"/>
    <cacheHierarchy uniqueName="[Entity].[State]" caption="State" attribute="1" defaultMemberUniqueName="[Entity].[State].[All]" allUniqueName="[Entity].[State].[All]" dimensionUniqueName="[Entity]" displayFolder="" count="0" memberValueDatatype="130" unbalanced="0"/>
    <cacheHierarchy uniqueName="[Entity].[UoM]" caption="UoM" attribute="1" defaultMemberUniqueName="[Entity].[UoM].[All]" allUniqueName="[Entity].[UoM].[All]" dimensionUniqueName="[Entity]" displayFolder="" count="0" memberValueDatatype="130" unbalanced="0"/>
    <cacheHierarchy uniqueName="[Entity].[Primary Criterion]" caption="Primary Criterion" attribute="1" defaultMemberUniqueName="[Entity].[Primary Criterion].[All]" allUniqueName="[Entity].[Primary Criterion].[All]" dimensionUniqueName="[Entity]" displayFolder="" count="0" memberValueDatatype="130" unbalanced="0"/>
    <cacheHierarchy uniqueName="[EntityFY20].[Reporting Alias]" caption="Reporting Alias" attribute="1" defaultMemberUniqueName="[EntityFY20].[Reporting Alias].[All]" allUniqueName="[EntityFY20].[Reporting Alias].[All]" dimensionUniqueName="[EntityFY20]" displayFolder="" count="0" memberValueDatatype="130" unbalanced="0"/>
    <cacheHierarchy uniqueName="[EntityFY20].[Emission Source]" caption="Emission Source" attribute="1" defaultMemberUniqueName="[EntityFY20].[Emission Source].[All]" allUniqueName="[EntityFY20].[Emission Source].[All]" dimensionUniqueName="[EntityFY20]" displayFolder="" count="0" memberValueDatatype="130" unbalanced="0"/>
    <cacheHierarchy uniqueName="[EntityFY20].[Source Name]" caption="Source Name" attribute="1" defaultMemberUniqueName="[EntityFY20].[Source Name].[All]" allUniqueName="[EntityFY20].[Source Name].[All]" dimensionUniqueName="[EntityFY20]" displayFolder="" count="0" memberValueDatatype="130" unbalanced="0"/>
    <cacheHierarchy uniqueName="[EntityFY20].[Activity Type]" caption="Activity Type" attribute="1" defaultMemberUniqueName="[EntityFY20].[Activity Type].[All]" allUniqueName="[EntityFY20].[Activity Type].[All]" dimensionUniqueName="[EntityFY20]" displayFolder="" count="0" memberValueDatatype="130" unbalanced="0"/>
    <cacheHierarchy uniqueName="[EntityFY20].[Activity Type Context]" caption="Activity Type Context" attribute="1" defaultMemberUniqueName="[EntityFY20].[Activity Type Context].[All]" allUniqueName="[EntityFY20].[Activity Type Context].[All]" dimensionUniqueName="[EntityFY20]" displayFolder="" count="0" memberValueDatatype="130" unbalanced="0"/>
    <cacheHierarchy uniqueName="[EntityFY20].[Entity]" caption="Entity" attribute="1" defaultMemberUniqueName="[EntityFY20].[Entity].[All]" allUniqueName="[EntityFY20].[Entity].[All]" dimensionUniqueName="[EntityFY20]" displayFolder="" count="0" memberValueDatatype="130" unbalanced="0"/>
    <cacheHierarchy uniqueName="[EntityFY20].[Level 1]" caption="Level 1" attribute="1" defaultMemberUniqueName="[EntityFY20].[Level 1].[All]" allUniqueName="[EntityFY20].[Level 1].[All]" dimensionUniqueName="[EntityFY20]" displayFolder="" count="0" memberValueDatatype="130" unbalanced="0"/>
    <cacheHierarchy uniqueName="[EntityFY20].[Level 2]" caption="Level 2" attribute="1" defaultMemberUniqueName="[EntityFY20].[Level 2].[All]" allUniqueName="[EntityFY20].[Level 2].[All]" dimensionUniqueName="[EntityFY20]" displayFolder="" count="0" memberValueDatatype="130" unbalanced="0"/>
    <cacheHierarchy uniqueName="[EntityFY20].[Level 3]" caption="Level 3" attribute="1" defaultMemberUniqueName="[EntityFY20].[Level 3].[All]" allUniqueName="[EntityFY20].[Level 3].[All]" dimensionUniqueName="[EntityFY20]" displayFolder="" count="0" memberValueDatatype="130" unbalanced="0"/>
    <cacheHierarchy uniqueName="[EntityFY20].[Level 3 Entity type]" caption="Level 3 Entity type" attribute="1" defaultMemberUniqueName="[EntityFY20].[Level 3 Entity type].[All]" allUniqueName="[EntityFY20].[Level 3 Entity type].[All]" dimensionUniqueName="[EntityFY20]" displayFolder="" count="0" memberValueDatatype="130" unbalanced="0"/>
    <cacheHierarchy uniqueName="[EntityFY20].[Level 4]" caption="Level 4" attribute="1" defaultMemberUniqueName="[EntityFY20].[Level 4].[All]" allUniqueName="[EntityFY20].[Level 4].[All]" dimensionUniqueName="[EntityFY20]" displayFolder="" count="0" memberValueDatatype="130" unbalanced="0"/>
    <cacheHierarchy uniqueName="[EntityFY20].[State]" caption="State" attribute="1" defaultMemberUniqueName="[EntityFY20].[State].[All]" allUniqueName="[EntityFY20].[State].[All]" dimensionUniqueName="[EntityFY20]" displayFolder="" count="0" memberValueDatatype="130" unbalanced="0"/>
    <cacheHierarchy uniqueName="[EntityFY20].[UoM]" caption="UoM" attribute="1" defaultMemberUniqueName="[EntityFY20].[UoM].[All]" allUniqueName="[EntityFY20].[UoM].[All]" dimensionUniqueName="[EntityFY20]" displayFolder="" count="0" memberValueDatatype="130" unbalanced="0"/>
    <cacheHierarchy uniqueName="[EntityFY20].[Primary Criterion]" caption="Primary Criterion" attribute="1" defaultMemberUniqueName="[EntityFY20].[Primary Criterion].[All]" allUniqueName="[EntityFY20].[Primary Criterion].[All]" dimensionUniqueName="[EntityFY20]" displayFolder="" count="0" memberValueDatatype="130" unbalanced="0"/>
    <cacheHierarchy uniqueName="[EntityFY20 1].[Reporting Alias]" caption="Reporting Alias" attribute="1" defaultMemberUniqueName="[EntityFY20 1].[Reporting Alias].[All]" allUniqueName="[EntityFY20 1].[Reporting Alias].[All]" dimensionUniqueName="[EntityFY20 1]" displayFolder="" count="0" memberValueDatatype="130" unbalanced="0"/>
    <cacheHierarchy uniqueName="[EntityFY20 1].[Emission Source]" caption="Emission Source" attribute="1" defaultMemberUniqueName="[EntityFY20 1].[Emission Source].[All]" allUniqueName="[EntityFY20 1].[Emission Source].[All]" dimensionUniqueName="[EntityFY20 1]" displayFolder="" count="0" memberValueDatatype="130" unbalanced="0"/>
    <cacheHierarchy uniqueName="[EntityFY20 1].[Source Name]" caption="Source Name" attribute="1" defaultMemberUniqueName="[EntityFY20 1].[Source Name].[All]" allUniqueName="[EntityFY20 1].[Source Name].[All]" dimensionUniqueName="[EntityFY20 1]" displayFolder="" count="2" memberValueDatatype="130" unbalanced="0">
      <fieldsUsage count="2">
        <fieldUsage x="-1"/>
        <fieldUsage x="2"/>
      </fieldsUsage>
    </cacheHierarchy>
    <cacheHierarchy uniqueName="[EntityFY20 1].[Activity Type]" caption="Activity Type" attribute="1" defaultMemberUniqueName="[EntityFY20 1].[Activity Type].[All]" allUniqueName="[EntityFY20 1].[Activity Type].[All]" dimensionUniqueName="[EntityFY20 1]" displayFolder="" count="2" memberValueDatatype="130" unbalanced="0">
      <fieldsUsage count="2">
        <fieldUsage x="-1"/>
        <fieldUsage x="3"/>
      </fieldsUsage>
    </cacheHierarchy>
    <cacheHierarchy uniqueName="[EntityFY20 1].[Activity Type Context]" caption="Activity Type Context" attribute="1" defaultMemberUniqueName="[EntityFY20 1].[Activity Type Context].[All]" allUniqueName="[EntityFY20 1].[Activity Type Context].[All]" dimensionUniqueName="[EntityFY20 1]" displayFolder="" count="2" memberValueDatatype="130" unbalanced="0">
      <fieldsUsage count="2">
        <fieldUsage x="-1"/>
        <fieldUsage x="4"/>
      </fieldsUsage>
    </cacheHierarchy>
    <cacheHierarchy uniqueName="[EntityFY20 1].[Entity]" caption="Entity" attribute="1" defaultMemberUniqueName="[EntityFY20 1].[Entity].[All]" allUniqueName="[EntityFY20 1].[Entity].[All]" dimensionUniqueName="[EntityFY20 1]" displayFolder="" count="0" memberValueDatatype="130" unbalanced="0"/>
    <cacheHierarchy uniqueName="[EntityFY20 1].[Level 1]" caption="Level 1" attribute="1" defaultMemberUniqueName="[EntityFY20 1].[Level 1].[All]" allUniqueName="[EntityFY20 1].[Level 1].[All]" dimensionUniqueName="[EntityFY20 1]" displayFolder="" count="0" memberValueDatatype="130" unbalanced="0"/>
    <cacheHierarchy uniqueName="[EntityFY20 1].[Level 2]" caption="Level 2" attribute="1" defaultMemberUniqueName="[EntityFY20 1].[Level 2].[All]" allUniqueName="[EntityFY20 1].[Level 2].[All]" dimensionUniqueName="[EntityFY20 1]" displayFolder="" count="2" memberValueDatatype="130" unbalanced="0">
      <fieldsUsage count="2">
        <fieldUsage x="-1"/>
        <fieldUsage x="0"/>
      </fieldsUsage>
    </cacheHierarchy>
    <cacheHierarchy uniqueName="[EntityFY20 1].[Level 3]" caption="Level 3" attribute="1" defaultMemberUniqueName="[EntityFY20 1].[Level 3].[All]" allUniqueName="[EntityFY20 1].[Level 3].[All]" dimensionUniqueName="[EntityFY20 1]" displayFolder="" count="2" memberValueDatatype="130" unbalanced="0">
      <fieldsUsage count="2">
        <fieldUsage x="-1"/>
        <fieldUsage x="1"/>
      </fieldsUsage>
    </cacheHierarchy>
    <cacheHierarchy uniqueName="[EntityFY20 1].[Level 3 Entity type]" caption="Level 3 Entity type" attribute="1" defaultMemberUniqueName="[EntityFY20 1].[Level 3 Entity type].[All]" allUniqueName="[EntityFY20 1].[Level 3 Entity type].[All]" dimensionUniqueName="[EntityFY20 1]" displayFolder="" count="0" memberValueDatatype="130" unbalanced="0"/>
    <cacheHierarchy uniqueName="[EntityFY20 1].[Level 4]" caption="Level 4" attribute="1" defaultMemberUniqueName="[EntityFY20 1].[Level 4].[All]" allUniqueName="[EntityFY20 1].[Level 4].[All]" dimensionUniqueName="[EntityFY20 1]" displayFolder="" count="0" memberValueDatatype="130" unbalanced="0"/>
    <cacheHierarchy uniqueName="[EntityFY20 1].[State]" caption="State" attribute="1" defaultMemberUniqueName="[EntityFY20 1].[State].[All]" allUniqueName="[EntityFY20 1].[State].[All]" dimensionUniqueName="[EntityFY20 1]" displayFolder="" count="0" memberValueDatatype="130" unbalanced="0"/>
    <cacheHierarchy uniqueName="[EntityFY20 1].[UoM]" caption="UoM" attribute="1" defaultMemberUniqueName="[EntityFY20 1].[UoM].[All]" allUniqueName="[EntityFY20 1].[UoM].[All]" dimensionUniqueName="[EntityFY20 1]" displayFolder="" count="2" memberValueDatatype="130" unbalanced="0">
      <fieldsUsage count="2">
        <fieldUsage x="-1"/>
        <fieldUsage x="5"/>
      </fieldsUsage>
    </cacheHierarchy>
    <cacheHierarchy uniqueName="[EntityFY20 1].[Primary Criterion]" caption="Primary Criterion" attribute="1" defaultMemberUniqueName="[EntityFY20 1].[Primary Criterion].[All]" allUniqueName="[EntityFY20 1].[Primary Criterion].[All]" dimensionUniqueName="[EntityFY20 1]" displayFolder="" count="2" memberValueDatatype="130" unbalanced="0">
      <fieldsUsage count="2">
        <fieldUsage x="-1"/>
        <fieldUsage x="6"/>
      </fieldsUsage>
    </cacheHierarchy>
    <cacheHierarchy uniqueName="[Flight_Model].[Reporting Alias]" caption="Reporting Alias" attribute="1" defaultMemberUniqueName="[Flight_Model].[Reporting Alias].[All]" allUniqueName="[Flight_Model].[Reporting Alias].[All]" dimensionUniqueName="[Flight_Model]" displayFolder="" count="0" memberValueDatatype="130" unbalanced="0"/>
    <cacheHierarchy uniqueName="[Flight_Model].[Unit]" caption="Unit" attribute="1" defaultMemberUniqueName="[Flight_Model].[Unit].[All]" allUniqueName="[Flight_Model].[Unit].[All]" dimensionUniqueName="[Flight_Model]" displayFolder="" count="0" memberValueDatatype="5" unbalanced="0"/>
    <cacheHierarchy uniqueName="[GasFY20].[Reporting Alias]" caption="Reporting Alias" attribute="1" defaultMemberUniqueName="[GasFY20].[Reporting Alias].[All]" allUniqueName="[GasFY20].[Reporting Alias].[All]" dimensionUniqueName="[GasFY20]" displayFolder="" count="0" memberValueDatatype="130" unbalanced="0"/>
    <cacheHierarchy uniqueName="[GasFY20].[State]" caption="State" attribute="1" defaultMemberUniqueName="[GasFY20].[State].[All]" allUniqueName="[GasFY20].[State].[All]" dimensionUniqueName="[GasFY20]" displayFolder="" count="0" memberValueDatatype="130" unbalanced="0"/>
    <cacheHierarchy uniqueName="[GasFY20].[Consumption Quanity]" caption="Consumption Quanity" attribute="1" defaultMemberUniqueName="[GasFY20].[Consumption Quanity].[All]" allUniqueName="[GasFY20].[Consumption Quanity].[All]" dimensionUniqueName="[GasFY20]" displayFolder="" count="0" memberValueDatatype="5" unbalanced="0"/>
    <cacheHierarchy uniqueName="[GasFY20].[UoM]" caption="UoM" attribute="1" defaultMemberUniqueName="[GasFY20].[UoM].[All]" allUniqueName="[GasFY20].[UoM].[All]" dimensionUniqueName="[GasFY20]" displayFolder="" count="0" memberValueDatatype="130" unbalanced="0"/>
    <cacheHierarchy uniqueName="[GasFY20].[Primary Criterion]" caption="Primary Criterion" attribute="1" defaultMemberUniqueName="[GasFY20].[Primary Criterion].[All]" allUniqueName="[GasFY20].[Primary Criterion].[All]" dimensionUniqueName="[GasFY20]" displayFolder="" count="0" memberValueDatatype="130" unbalanced="0"/>
    <cacheHierarchy uniqueName="[GasFY20].[Sum of Consumption Quantity]" caption="Sum of Consumption Quantity" attribute="1" defaultMemberUniqueName="[GasFY20].[Sum of Consumption Quantity].[All]" allUniqueName="[GasFY20].[Sum of Consumption Quantity].[All]" dimensionUniqueName="[GasFY20]" displayFolder="" count="0" memberValueDatatype="5" unbalanced="0"/>
    <cacheHierarchy uniqueName="[GasFY20].[Sum of Total GJ]" caption="Sum of Total GJ" attribute="1" defaultMemberUniqueName="[GasFY20].[Sum of Total GJ].[All]" allUniqueName="[GasFY20].[Sum of Total GJ].[All]" dimensionUniqueName="[GasFY20]" displayFolder="" count="0" memberValueDatatype="5" unbalanced="0"/>
    <cacheHierarchy uniqueName="[GasFY20].[Sum of Scope 1 kg CO2-e]" caption="Sum of Scope 1 kg CO2-e" attribute="1" defaultMemberUniqueName="[GasFY20].[Sum of Scope 1 kg CO2-e].[All]" allUniqueName="[GasFY20].[Sum of Scope 1 kg CO2-e].[All]" dimensionUniqueName="[GasFY20]" displayFolder="" count="0" memberValueDatatype="5" unbalanced="0"/>
    <cacheHierarchy uniqueName="[GasFY20].[Sum of Scope 2 kg CO2-e]" caption="Sum of Scope 2 kg CO2-e" attribute="1" defaultMemberUniqueName="[GasFY20].[Sum of Scope 2 kg CO2-e].[All]" allUniqueName="[GasFY20].[Sum of Scope 2 kg CO2-e].[All]" dimensionUniqueName="[GasFY20]" displayFolder="" count="0" memberValueDatatype="20" unbalanced="0"/>
    <cacheHierarchy uniqueName="[GasFY20].[Sum of Scope 3 kg CO2-e]" caption="Sum of Scope 3 kg CO2-e" attribute="1" defaultMemberUniqueName="[GasFY20].[Sum of Scope 3 kg CO2-e].[All]" allUniqueName="[GasFY20].[Sum of Scope 3 kg CO2-e].[All]" dimensionUniqueName="[GasFY20]" displayFolder="" count="0" memberValueDatatype="5" unbalanced="0"/>
    <cacheHierarchy uniqueName="[GasFY20].[Sum of Total Emissions]" caption="Sum of Total Emissions" attribute="1" defaultMemberUniqueName="[GasFY20].[Sum of Total Emissions].[All]" allUniqueName="[GasFY20].[Sum of Total Emissions].[All]" dimensionUniqueName="[GasFY20]" displayFolder="" count="0" memberValueDatatype="5" unbalanced="0"/>
    <cacheHierarchy uniqueName="[GHG].[Reporting Alias]" caption="Reporting Alias" attribute="1" defaultMemberUniqueName="[GHG].[Reporting Alias].[All]" allUniqueName="[GHG].[Reporting Alias].[All]" dimensionUniqueName="[GHG]" displayFolder="" count="0" memberValueDatatype="130" unbalanced="0"/>
    <cacheHierarchy uniqueName="[GHG].[Energy Category]" caption="Energy Category" attribute="1" defaultMemberUniqueName="[GHG].[Energy Category].[All]" allUniqueName="[GHG].[Energy Category].[All]" dimensionUniqueName="[GHG]" displayFolder="" count="0" memberValueDatatype="130" unbalanced="0"/>
    <cacheHierarchy uniqueName="[GHG].[Purpose]" caption="Purpose" attribute="1" defaultMemberUniqueName="[GHG].[Purpose].[All]" allUniqueName="[GHG].[Purpose].[All]" dimensionUniqueName="[GHG]" displayFolder="" count="0" memberValueDatatype="130" unbalanced="0"/>
    <cacheHierarchy uniqueName="[GHG].[State]" caption="State" attribute="1" defaultMemberUniqueName="[GHG].[State].[All]" allUniqueName="[GHG].[State].[All]" dimensionUniqueName="[GHG]" displayFolder="" count="0" memberValueDatatype="130" unbalanced="0"/>
    <cacheHierarchy uniqueName="[GHG].[Default Unit]" caption="Default Unit" attribute="1" defaultMemberUniqueName="[GHG].[Default Unit].[All]" allUniqueName="[GHG].[Default Unit].[All]" dimensionUniqueName="[GHG]" displayFolder="" count="0" memberValueDatatype="130" unbalanced="0"/>
    <cacheHierarchy uniqueName="[GHG].[Unit Conversion Factor]" caption="Unit Conversion Factor" attribute="1" defaultMemberUniqueName="[GHG].[Unit Conversion Factor].[All]" allUniqueName="[GHG].[Unit Conversion Factor].[All]" dimensionUniqueName="[GHG]" displayFolder="" count="0" memberValueDatatype="5" unbalanced="0"/>
    <cacheHierarchy uniqueName="[GHG].[Unit]" caption="Unit" attribute="1" defaultMemberUniqueName="[GHG].[Unit].[All]" allUniqueName="[GHG].[Unit].[All]" dimensionUniqueName="[GHG]" displayFolder="" count="0" memberValueDatatype="130" unbalanced="0"/>
    <cacheHierarchy uniqueName="[GHG].[Energy content factor]" caption="Energy content factor" attribute="1" defaultMemberUniqueName="[GHG].[Energy content factor].[All]" allUniqueName="[GHG].[Energy content factor].[All]" dimensionUniqueName="[GHG]" displayFolder="" count="0" memberValueDatatype="5" unbalanced="0"/>
    <cacheHierarchy uniqueName="[GHG].[EC Unit]" caption="EC Unit" attribute="1" defaultMemberUniqueName="[GHG].[EC Unit].[All]" allUniqueName="[GHG].[EC Unit].[All]" dimensionUniqueName="[GHG]" displayFolder="" count="0" memberValueDatatype="130" unbalanced="0"/>
    <cacheHierarchy uniqueName="[GHG].[Scope 1 Emission factor]" caption="Scope 1 Emission factor" attribute="1" defaultMemberUniqueName="[GHG].[Scope 1 Emission factor].[All]" allUniqueName="[GHG].[Scope 1 Emission factor].[All]" dimensionUniqueName="[GHG]" displayFolder="" count="0" memberValueDatatype="5" unbalanced="0"/>
    <cacheHierarchy uniqueName="[GHG].[Scope 2 Emission factor]" caption="Scope 2 Emission factor" attribute="1" defaultMemberUniqueName="[GHG].[Scope 2 Emission factor].[All]" allUniqueName="[GHG].[Scope 2 Emission factor].[All]" dimensionUniqueName="[GHG]" displayFolder="" count="0" memberValueDatatype="5" unbalanced="0"/>
    <cacheHierarchy uniqueName="[GHG].[Scope 3 Emission factor]" caption="Scope 3 Emission factor" attribute="1" defaultMemberUniqueName="[GHG].[Scope 3 Emission factor].[All]" allUniqueName="[GHG].[Scope 3 Emission factor].[All]" dimensionUniqueName="[GHG]" displayFolder="" count="0" memberValueDatatype="5" unbalanced="0"/>
    <cacheHierarchy uniqueName="[GHG].[EF Unit]" caption="EF Unit" attribute="1" defaultMemberUniqueName="[GHG].[EF Unit].[All]" allUniqueName="[GHG].[EF Unit].[All]" dimensionUniqueName="[GHG]" displayFolder="" count="0" memberValueDatatype="130" unbalanced="0"/>
    <cacheHierarchy uniqueName="[GHG].[Data Source (scope 1)]" caption="Data Source (scope 1)" attribute="1" defaultMemberUniqueName="[GHG].[Data Source (scope 1)].[All]" allUniqueName="[GHG].[Data Source (scope 1)].[All]" dimensionUniqueName="[GHG]" displayFolder="" count="0" memberValueDatatype="130" unbalanced="0"/>
    <cacheHierarchy uniqueName="[GHG].[Data Source (scope 2)]" caption="Data Source (scope 2)" attribute="1" defaultMemberUniqueName="[GHG].[Data Source (scope 2)].[All]" allUniqueName="[GHG].[Data Source (scope 2)].[All]" dimensionUniqueName="[GHG]" displayFolder="" count="0" memberValueDatatype="130" unbalanced="0"/>
    <cacheHierarchy uniqueName="[GHG].[Data Source (scope 3)]" caption="Data Source (scope 3)" attribute="1" defaultMemberUniqueName="[GHG].[Data Source (scope 3)].[All]" allUniqueName="[GHG].[Data Source (scope 3)].[All]" dimensionUniqueName="[GHG]" displayFolder="" count="0" memberValueDatatype="130" unbalanced="0"/>
    <cacheHierarchy uniqueName="[GHG_35].[Reporting Alias]" caption="Reporting Alias" attribute="1" defaultMemberUniqueName="[GHG_35].[Reporting Alias].[All]" allUniqueName="[GHG_35].[Reporting Alias].[All]" dimensionUniqueName="[GHG_35]" displayFolder="" count="0" memberValueDatatype="130" unbalanced="0"/>
    <cacheHierarchy uniqueName="[GHG_35].[Energy Category]" caption="Energy Category" attribute="1" defaultMemberUniqueName="[GHG_35].[Energy Category].[All]" allUniqueName="[GHG_35].[Energy Category].[All]" dimensionUniqueName="[GHG_35]" displayFolder="" count="0" memberValueDatatype="130" unbalanced="0"/>
    <cacheHierarchy uniqueName="[GHG_35].[Purpose]" caption="Purpose" attribute="1" defaultMemberUniqueName="[GHG_35].[Purpose].[All]" allUniqueName="[GHG_35].[Purpose].[All]" dimensionUniqueName="[GHG_35]" displayFolder="" count="0" memberValueDatatype="130" unbalanced="0"/>
    <cacheHierarchy uniqueName="[GHG_35].[State]" caption="State" attribute="1" defaultMemberUniqueName="[GHG_35].[State].[All]" allUniqueName="[GHG_35].[State].[All]" dimensionUniqueName="[GHG_35]" displayFolder="" count="0" memberValueDatatype="130" unbalanced="0"/>
    <cacheHierarchy uniqueName="[GHG_35].[Default Unit]" caption="Default Unit" attribute="1" defaultMemberUniqueName="[GHG_35].[Default Unit].[All]" allUniqueName="[GHG_35].[Default Unit].[All]" dimensionUniqueName="[GHG_35]" displayFolder="" count="0" memberValueDatatype="130" unbalanced="0"/>
    <cacheHierarchy uniqueName="[GHG_35].[Unit Conversion Factor]" caption="Unit Conversion Factor" attribute="1" defaultMemberUniqueName="[GHG_35].[Unit Conversion Factor].[All]" allUniqueName="[GHG_35].[Unit Conversion Factor].[All]" dimensionUniqueName="[GHG_35]" displayFolder="" count="0" memberValueDatatype="5" unbalanced="0"/>
    <cacheHierarchy uniqueName="[GHG_35].[Unit]" caption="Unit" attribute="1" defaultMemberUniqueName="[GHG_35].[Unit].[All]" allUniqueName="[GHG_35].[Unit].[All]" dimensionUniqueName="[GHG_35]" displayFolder="" count="0" memberValueDatatype="130" unbalanced="0"/>
    <cacheHierarchy uniqueName="[GHG_35].[Energy content factor]" caption="Energy content factor" attribute="1" defaultMemberUniqueName="[GHG_35].[Energy content factor].[All]" allUniqueName="[GHG_35].[Energy content factor].[All]" dimensionUniqueName="[GHG_35]" displayFolder="" count="0" memberValueDatatype="5" unbalanced="0"/>
    <cacheHierarchy uniqueName="[GHG_35].[EC Unit]" caption="EC Unit" attribute="1" defaultMemberUniqueName="[GHG_35].[EC Unit].[All]" allUniqueName="[GHG_35].[EC Unit].[All]" dimensionUniqueName="[GHG_35]" displayFolder="" count="0" memberValueDatatype="130" unbalanced="0"/>
    <cacheHierarchy uniqueName="[GHG_35].[Scope 1 Emission factor]" caption="Scope 1 Emission factor" attribute="1" defaultMemberUniqueName="[GHG_35].[Scope 1 Emission factor].[All]" allUniqueName="[GHG_35].[Scope 1 Emission factor].[All]" dimensionUniqueName="[GHG_35]" displayFolder="" count="0" memberValueDatatype="5" unbalanced="0"/>
    <cacheHierarchy uniqueName="[GHG_35].[Scope 2 Emission factor]" caption="Scope 2 Emission factor" attribute="1" defaultMemberUniqueName="[GHG_35].[Scope 2 Emission factor].[All]" allUniqueName="[GHG_35].[Scope 2 Emission factor].[All]" dimensionUniqueName="[GHG_35]" displayFolder="" count="0" memberValueDatatype="5" unbalanced="0"/>
    <cacheHierarchy uniqueName="[GHG_35].[Scope 3 Emission factor]" caption="Scope 3 Emission factor" attribute="1" defaultMemberUniqueName="[GHG_35].[Scope 3 Emission factor].[All]" allUniqueName="[GHG_35].[Scope 3 Emission factor].[All]" dimensionUniqueName="[GHG_35]" displayFolder="" count="0" memberValueDatatype="5" unbalanced="0"/>
    <cacheHierarchy uniqueName="[GHG_35].[EF Unit]" caption="EF Unit" attribute="1" defaultMemberUniqueName="[GHG_35].[EF Unit].[All]" allUniqueName="[GHG_35].[EF Unit].[All]" dimensionUniqueName="[GHG_35]" displayFolder="" count="0" memberValueDatatype="130" unbalanced="0"/>
    <cacheHierarchy uniqueName="[GHG_35].[Data Source (scope 1)]" caption="Data Source (scope 1)" attribute="1" defaultMemberUniqueName="[GHG_35].[Data Source (scope 1)].[All]" allUniqueName="[GHG_35].[Data Source (scope 1)].[All]" dimensionUniqueName="[GHG_35]" displayFolder="" count="0" memberValueDatatype="130" unbalanced="0"/>
    <cacheHierarchy uniqueName="[GHG_35].[Data Source (scope 2)]" caption="Data Source (scope 2)" attribute="1" defaultMemberUniqueName="[GHG_35].[Data Source (scope 2)].[All]" allUniqueName="[GHG_35].[Data Source (scope 2)].[All]" dimensionUniqueName="[GHG_35]" displayFolder="" count="0" memberValueDatatype="130" unbalanced="0"/>
    <cacheHierarchy uniqueName="[GHG_35].[Data Source (scope 3)]" caption="Data Source (scope 3)" attribute="1" defaultMemberUniqueName="[GHG_35].[Data Source (scope 3)].[All]" allUniqueName="[GHG_35].[Data Source (scope 3)].[All]" dimensionUniqueName="[GHG_35]" displayFolder="" count="0" memberValueDatatype="130" unbalanced="0"/>
    <cacheHierarchy uniqueName="[Grounds_Fuels].[Reporting Alias]" caption="Reporting Alias" attribute="1" defaultMemberUniqueName="[Grounds_Fuels].[Reporting Alias].[All]" allUniqueName="[Grounds_Fuels].[Reporting Alias].[All]" dimensionUniqueName="[Grounds_Fuels]" displayFolder="" count="0" memberValueDatatype="130" unbalanced="0"/>
    <cacheHierarchy uniqueName="[Grounds_Fuels].[Source Name]" caption="Source Name" attribute="1" defaultMemberUniqueName="[Grounds_Fuels].[Source Name].[All]" allUniqueName="[Grounds_Fuels].[Source Name].[All]" dimensionUniqueName="[Grounds_Fuels]" displayFolder="" count="0" memberValueDatatype="130" unbalanced="0"/>
    <cacheHierarchy uniqueName="[Grounds_Fuels].[Activity Type]" caption="Activity Type" attribute="1" defaultMemberUniqueName="[Grounds_Fuels].[Activity Type].[All]" allUniqueName="[Grounds_Fuels].[Activity Type].[All]" dimensionUniqueName="[Grounds_Fuels]" displayFolder="" count="0" memberValueDatatype="130" unbalanced="0"/>
    <cacheHierarchy uniqueName="[Grounds_Fuels].[Activity Type Context]" caption="Activity Type Context" attribute="1" defaultMemberUniqueName="[Grounds_Fuels].[Activity Type Context].[All]" allUniqueName="[Grounds_Fuels].[Activity Type Context].[All]" dimensionUniqueName="[Grounds_Fuels]" displayFolder="" count="0" memberValueDatatype="130" unbalanced="0"/>
    <cacheHierarchy uniqueName="[Grounds_Fuels].[Entity]" caption="Entity" attribute="1" defaultMemberUniqueName="[Grounds_Fuels].[Entity].[All]" allUniqueName="[Grounds_Fuels].[Entity].[All]" dimensionUniqueName="[Grounds_Fuels]" displayFolder="" count="0" memberValueDatatype="130" unbalanced="0"/>
    <cacheHierarchy uniqueName="[Grounds_Fuels].[Fuel]" caption="Fuel" attribute="1" defaultMemberUniqueName="[Grounds_Fuels].[Fuel].[All]" allUniqueName="[Grounds_Fuels].[Fuel].[All]" dimensionUniqueName="[Grounds_Fuels]" displayFolder="" count="0" memberValueDatatype="130" unbalanced="0"/>
    <cacheHierarchy uniqueName="[Grounds_Fuels].[State]" caption="State" attribute="1" defaultMemberUniqueName="[Grounds_Fuels].[State].[All]" allUniqueName="[Grounds_Fuels].[State].[All]" dimensionUniqueName="[Grounds_Fuels]" displayFolder="" count="0" memberValueDatatype="130" unbalanced="0"/>
    <cacheHierarchy uniqueName="[Grounds_Fuels].[Consumption Quantity (L)]" caption="Consumption Quantity (L)" attribute="1" defaultMemberUniqueName="[Grounds_Fuels].[Consumption Quantity (L)].[All]" allUniqueName="[Grounds_Fuels].[Consumption Quantity (L)].[All]" dimensionUniqueName="[Grounds_Fuels]" displayFolder="" count="0" memberValueDatatype="5" unbalanced="0"/>
    <cacheHierarchy uniqueName="[Grounds_Fuels].[Consumption  Units]" caption="Consumption  Units" attribute="1" defaultMemberUniqueName="[Grounds_Fuels].[Consumption  Units].[All]" allUniqueName="[Grounds_Fuels].[Consumption  Units].[All]" dimensionUniqueName="[Grounds_Fuels]" displayFolder="" count="0" memberValueDatatype="130" unbalanced="0"/>
    <cacheHierarchy uniqueName="[Grounds_Fuels].[Consumption Quantity]" caption="Consumption Quantity" attribute="1" defaultMemberUniqueName="[Grounds_Fuels].[Consumption Quantity].[All]" allUniqueName="[Grounds_Fuels].[Consumption Quantity].[All]" dimensionUniqueName="[Grounds_Fuels]" displayFolder="" count="0" memberValueDatatype="5" unbalanced="0"/>
    <cacheHierarchy uniqueName="[Grounds_Fuels].[Total GJ]" caption="Total GJ" attribute="1" defaultMemberUniqueName="[Grounds_Fuels].[Total GJ].[All]" allUniqueName="[Grounds_Fuels].[Total GJ].[All]" dimensionUniqueName="[Grounds_Fuels]" displayFolder="" count="0" memberValueDatatype="5" unbalanced="0"/>
    <cacheHierarchy uniqueName="[Grounds_Fuels].[Scope 1 kg CO2-e]" caption="Scope 1 kg CO2-e" attribute="1" defaultMemberUniqueName="[Grounds_Fuels].[Scope 1 kg CO2-e].[All]" allUniqueName="[Grounds_Fuels].[Scope 1 kg CO2-e].[All]" dimensionUniqueName="[Grounds_Fuels]" displayFolder="" count="0" memberValueDatatype="5" unbalanced="0"/>
    <cacheHierarchy uniqueName="[Grounds_Fuels].[Scope 2 kg CO2-e]" caption="Scope 2 kg CO2-e" attribute="1" defaultMemberUniqueName="[Grounds_Fuels].[Scope 2 kg CO2-e].[All]" allUniqueName="[Grounds_Fuels].[Scope 2 kg CO2-e].[All]" dimensionUniqueName="[Grounds_Fuels]" displayFolder="" count="0" memberValueDatatype="5" unbalanced="0"/>
    <cacheHierarchy uniqueName="[Grounds_Fuels].[Scope 3 kg CO2-e]" caption="Scope 3 kg CO2-e" attribute="1" defaultMemberUniqueName="[Grounds_Fuels].[Scope 3 kg CO2-e].[All]" allUniqueName="[Grounds_Fuels].[Scope 3 kg CO2-e].[All]" dimensionUniqueName="[Grounds_Fuels]" displayFolder="" count="0" memberValueDatatype="5" unbalanced="0"/>
    <cacheHierarchy uniqueName="[Grounds_Fuels].[Total Emissions]" caption="Total Emissions" attribute="1" defaultMemberUniqueName="[Grounds_Fuels].[Total Emissions].[All]" allUniqueName="[Grounds_Fuels].[Total Emissions].[All]" dimensionUniqueName="[Grounds_Fuels]" displayFolder="" count="0" memberValueDatatype="5" unbalanced="0"/>
    <cacheHierarchy uniqueName="[Grounds_Fuels33].[Reporting Alias]" caption="Reporting Alias" attribute="1" defaultMemberUniqueName="[Grounds_Fuels33].[Reporting Alias].[All]" allUniqueName="[Grounds_Fuels33].[Reporting Alias].[All]" dimensionUniqueName="[Grounds_Fuels33]" displayFolder="" count="0" memberValueDatatype="130" unbalanced="0"/>
    <cacheHierarchy uniqueName="[Grounds_Fuels33].[Source Name]" caption="Source Name" attribute="1" defaultMemberUniqueName="[Grounds_Fuels33].[Source Name].[All]" allUniqueName="[Grounds_Fuels33].[Source Name].[All]" dimensionUniqueName="[Grounds_Fuels33]" displayFolder="" count="0" memberValueDatatype="130" unbalanced="0"/>
    <cacheHierarchy uniqueName="[Grounds_Fuels33].[Activity Type]" caption="Activity Type" attribute="1" defaultMemberUniqueName="[Grounds_Fuels33].[Activity Type].[All]" allUniqueName="[Grounds_Fuels33].[Activity Type].[All]" dimensionUniqueName="[Grounds_Fuels33]" displayFolder="" count="0" memberValueDatatype="130" unbalanced="0"/>
    <cacheHierarchy uniqueName="[Grounds_Fuels33].[Activity Type Context]" caption="Activity Type Context" attribute="1" defaultMemberUniqueName="[Grounds_Fuels33].[Activity Type Context].[All]" allUniqueName="[Grounds_Fuels33].[Activity Type Context].[All]" dimensionUniqueName="[Grounds_Fuels33]" displayFolder="" count="0" memberValueDatatype="130" unbalanced="0"/>
    <cacheHierarchy uniqueName="[Grounds_Fuels33].[Entity]" caption="Entity" attribute="1" defaultMemberUniqueName="[Grounds_Fuels33].[Entity].[All]" allUniqueName="[Grounds_Fuels33].[Entity].[All]" dimensionUniqueName="[Grounds_Fuels33]" displayFolder="" count="0" memberValueDatatype="130" unbalanced="0"/>
    <cacheHierarchy uniqueName="[Grounds_Fuels33].[Fuel]" caption="Fuel" attribute="1" defaultMemberUniqueName="[Grounds_Fuels33].[Fuel].[All]" allUniqueName="[Grounds_Fuels33].[Fuel].[All]" dimensionUniqueName="[Grounds_Fuels33]" displayFolder="" count="0" memberValueDatatype="130" unbalanced="0"/>
    <cacheHierarchy uniqueName="[Grounds_Fuels33].[State]" caption="State" attribute="1" defaultMemberUniqueName="[Grounds_Fuels33].[State].[All]" allUniqueName="[Grounds_Fuels33].[State].[All]" dimensionUniqueName="[Grounds_Fuels33]" displayFolder="" count="0" memberValueDatatype="130" unbalanced="0"/>
    <cacheHierarchy uniqueName="[Grounds_Fuels33].[Consumption Quantity (L)]" caption="Consumption Quantity (L)" attribute="1" defaultMemberUniqueName="[Grounds_Fuels33].[Consumption Quantity (L)].[All]" allUniqueName="[Grounds_Fuels33].[Consumption Quantity (L)].[All]" dimensionUniqueName="[Grounds_Fuels33]" displayFolder="" count="0" memberValueDatatype="5" unbalanced="0"/>
    <cacheHierarchy uniqueName="[Grounds_Fuels33].[Consumption  Units]" caption="Consumption  Units" attribute="1" defaultMemberUniqueName="[Grounds_Fuels33].[Consumption  Units].[All]" allUniqueName="[Grounds_Fuels33].[Consumption  Units].[All]" dimensionUniqueName="[Grounds_Fuels33]" displayFolder="" count="0" memberValueDatatype="130" unbalanced="0"/>
    <cacheHierarchy uniqueName="[Grounds_Fuels33].[UoM]" caption="UoM" attribute="1" defaultMemberUniqueName="[Grounds_Fuels33].[UoM].[All]" allUniqueName="[Grounds_Fuels33].[UoM].[All]" dimensionUniqueName="[Grounds_Fuels33]" displayFolder="" count="0" memberValueDatatype="130" unbalanced="0"/>
    <cacheHierarchy uniqueName="[Grounds_Fuels33].[Primary Criterion]" caption="Primary Criterion" attribute="1" defaultMemberUniqueName="[Grounds_Fuels33].[Primary Criterion].[All]" allUniqueName="[Grounds_Fuels33].[Primary Criterion].[All]" dimensionUniqueName="[Grounds_Fuels33]" displayFolder="" count="0" memberValueDatatype="130" unbalanced="0"/>
    <cacheHierarchy uniqueName="[Grounds_Fuels33].[Sum of Consumption Quantity]" caption="Sum of Consumption Quantity" attribute="1" defaultMemberUniqueName="[Grounds_Fuels33].[Sum of Consumption Quantity].[All]" allUniqueName="[Grounds_Fuels33].[Sum of Consumption Quantity].[All]" dimensionUniqueName="[Grounds_Fuels33]" displayFolder="" count="0" memberValueDatatype="5" unbalanced="0"/>
    <cacheHierarchy uniqueName="[Grounds_Fuels33].[Sum of Total GJ]" caption="Sum of Total GJ" attribute="1" defaultMemberUniqueName="[Grounds_Fuels33].[Sum of Total GJ].[All]" allUniqueName="[Grounds_Fuels33].[Sum of Total GJ].[All]" dimensionUniqueName="[Grounds_Fuels33]" displayFolder="" count="0" memberValueDatatype="5" unbalanced="0"/>
    <cacheHierarchy uniqueName="[Grounds_Fuels33].[Sum of Scope 1 kg CO2-e]" caption="Sum of Scope 1 kg CO2-e" attribute="1" defaultMemberUniqueName="[Grounds_Fuels33].[Sum of Scope 1 kg CO2-e].[All]" allUniqueName="[Grounds_Fuels33].[Sum of Scope 1 kg CO2-e].[All]" dimensionUniqueName="[Grounds_Fuels33]" displayFolder="" count="0" memberValueDatatype="5" unbalanced="0"/>
    <cacheHierarchy uniqueName="[Grounds_Fuels33].[Sum of Scope 2 kg CO2-e]" caption="Sum of Scope 2 kg CO2-e" attribute="1" defaultMemberUniqueName="[Grounds_Fuels33].[Sum of Scope 2 kg CO2-e].[All]" allUniqueName="[Grounds_Fuels33].[Sum of Scope 2 kg CO2-e].[All]" dimensionUniqueName="[Grounds_Fuels33]" displayFolder="" count="0" memberValueDatatype="20" unbalanced="0"/>
    <cacheHierarchy uniqueName="[Grounds_Fuels33].[Sum of Scope 3 kg CO2-e]" caption="Sum of Scope 3 kg CO2-e" attribute="1" defaultMemberUniqueName="[Grounds_Fuels33].[Sum of Scope 3 kg CO2-e].[All]" allUniqueName="[Grounds_Fuels33].[Sum of Scope 3 kg CO2-e].[All]" dimensionUniqueName="[Grounds_Fuels33]" displayFolder="" count="0" memberValueDatatype="5" unbalanced="0"/>
    <cacheHierarchy uniqueName="[Grounds_Fuels33].[Sum of Total Emissions]" caption="Sum of Total Emissions" attribute="1" defaultMemberUniqueName="[Grounds_Fuels33].[Sum of Total Emissions].[All]" allUniqueName="[Grounds_Fuels33].[Sum of Total Emissions].[All]" dimensionUniqueName="[Grounds_Fuels33]" displayFolder="" count="0" memberValueDatatype="5" unbalanced="0"/>
    <cacheHierarchy uniqueName="[LP_Fleet].[Reporting Alias]" caption="Reporting Alias" attribute="1" defaultMemberUniqueName="[LP_Fleet].[Reporting Alias].[All]" allUniqueName="[LP_Fleet].[Reporting Alias].[All]" dimensionUniqueName="[LP_Fleet]" displayFolder="" count="0" memberValueDatatype="130" unbalanced="0"/>
    <cacheHierarchy uniqueName="[LP_Fleet].[Entity]" caption="Entity" attribute="1" defaultMemberUniqueName="[LP_Fleet].[Entity].[All]" allUniqueName="[LP_Fleet].[Entity].[All]" dimensionUniqueName="[LP_Fleet]" displayFolder="" count="0" memberValueDatatype="130" unbalanced="0"/>
    <cacheHierarchy uniqueName="[LP_Fleet].[Fuel]" caption="Fuel" attribute="1" defaultMemberUniqueName="[LP_Fleet].[Fuel].[All]" allUniqueName="[LP_Fleet].[Fuel].[All]" dimensionUniqueName="[LP_Fleet]" displayFolder="" count="0" memberValueDatatype="130" unbalanced="0"/>
    <cacheHierarchy uniqueName="[LP_Fleet].[State]" caption="State" attribute="1" defaultMemberUniqueName="[LP_Fleet].[State].[All]" allUniqueName="[LP_Fleet].[State].[All]" dimensionUniqueName="[LP_Fleet]" displayFolder="" count="0" memberValueDatatype="130" unbalanced="0"/>
    <cacheHierarchy uniqueName="[LP_Fleet].[Consumption Quantity (L)]" caption="Consumption Quantity (L)" attribute="1" defaultMemberUniqueName="[LP_Fleet].[Consumption Quantity (L)].[All]" allUniqueName="[LP_Fleet].[Consumption Quantity (L)].[All]" dimensionUniqueName="[LP_Fleet]" displayFolder="" count="0" memberValueDatatype="5" unbalanced="0"/>
    <cacheHierarchy uniqueName="[LP_Fleet].[Consumption Units]" caption="Consumption Units" attribute="1" defaultMemberUniqueName="[LP_Fleet].[Consumption Units].[All]" allUniqueName="[LP_Fleet].[Consumption Units].[All]" dimensionUniqueName="[LP_Fleet]" displayFolder="" count="0" memberValueDatatype="130" unbalanced="0"/>
    <cacheHierarchy uniqueName="[LP_Fleet].[Consumption Quantity]" caption="Consumption Quantity" attribute="1" defaultMemberUniqueName="[LP_Fleet].[Consumption Quantity].[All]" allUniqueName="[LP_Fleet].[Consumption Quantity].[All]" dimensionUniqueName="[LP_Fleet]" displayFolder="" count="0" memberValueDatatype="5" unbalanced="0"/>
    <cacheHierarchy uniqueName="[LP_Fleet].[Total GJ]" caption="Total GJ" attribute="1" defaultMemberUniqueName="[LP_Fleet].[Total GJ].[All]" allUniqueName="[LP_Fleet].[Total GJ].[All]" dimensionUniqueName="[LP_Fleet]" displayFolder="" count="0" memberValueDatatype="5" unbalanced="0"/>
    <cacheHierarchy uniqueName="[LP_Fleet].[Scope 1 kg CO2-e]" caption="Scope 1 kg CO2-e" attribute="1" defaultMemberUniqueName="[LP_Fleet].[Scope 1 kg CO2-e].[All]" allUniqueName="[LP_Fleet].[Scope 1 kg CO2-e].[All]" dimensionUniqueName="[LP_Fleet]" displayFolder="" count="0" memberValueDatatype="5" unbalanced="0"/>
    <cacheHierarchy uniqueName="[LP_Fleet].[Scope 2 kg CO2-e]" caption="Scope 2 kg CO2-e" attribute="1" defaultMemberUniqueName="[LP_Fleet].[Scope 2 kg CO2-e].[All]" allUniqueName="[LP_Fleet].[Scope 2 kg CO2-e].[All]" dimensionUniqueName="[LP_Fleet]" displayFolder="" count="0" memberValueDatatype="5" unbalanced="0"/>
    <cacheHierarchy uniqueName="[LP_Fleet].[Scope 3 kg CO2-e]" caption="Scope 3 kg CO2-e" attribute="1" defaultMemberUniqueName="[LP_Fleet].[Scope 3 kg CO2-e].[All]" allUniqueName="[LP_Fleet].[Scope 3 kg CO2-e].[All]" dimensionUniqueName="[LP_Fleet]" displayFolder="" count="0" memberValueDatatype="5" unbalanced="0"/>
    <cacheHierarchy uniqueName="[LP_Fleet].[Total Emissions]" caption="Total Emissions" attribute="1" defaultMemberUniqueName="[LP_Fleet].[Total Emissions].[All]" allUniqueName="[LP_Fleet].[Total Emissions].[All]" dimensionUniqueName="[LP_Fleet]" displayFolder="" count="0" memberValueDatatype="5" unbalanced="0"/>
    <cacheHierarchy uniqueName="[LP_Stationary].[Reporting Alias]" caption="Reporting Alias" attribute="1" defaultMemberUniqueName="[LP_Stationary].[Reporting Alias].[All]" allUniqueName="[LP_Stationary].[Reporting Alias].[All]" dimensionUniqueName="[LP_Stationary]" displayFolder="" count="0" memberValueDatatype="130" unbalanced="0"/>
    <cacheHierarchy uniqueName="[LP_Stationary].[Entity]" caption="Entity" attribute="1" defaultMemberUniqueName="[LP_Stationary].[Entity].[All]" allUniqueName="[LP_Stationary].[Entity].[All]" dimensionUniqueName="[LP_Stationary]" displayFolder="" count="0" memberValueDatatype="130" unbalanced="0"/>
    <cacheHierarchy uniqueName="[LP_Stationary].[Fuel]" caption="Fuel" attribute="1" defaultMemberUniqueName="[LP_Stationary].[Fuel].[All]" allUniqueName="[LP_Stationary].[Fuel].[All]" dimensionUniqueName="[LP_Stationary]" displayFolder="" count="0" memberValueDatatype="130" unbalanced="0"/>
    <cacheHierarchy uniqueName="[LP_Stationary].[State]" caption="State" attribute="1" defaultMemberUniqueName="[LP_Stationary].[State].[All]" allUniqueName="[LP_Stationary].[State].[All]" dimensionUniqueName="[LP_Stationary]" displayFolder="" count="0" memberValueDatatype="130" unbalanced="0"/>
    <cacheHierarchy uniqueName="[LP_Stationary].[Consumption Quantity (L)]" caption="Consumption Quantity (L)" attribute="1" defaultMemberUniqueName="[LP_Stationary].[Consumption Quantity (L)].[All]" allUniqueName="[LP_Stationary].[Consumption Quantity (L)].[All]" dimensionUniqueName="[LP_Stationary]" displayFolder="" count="0" memberValueDatatype="5" unbalanced="0"/>
    <cacheHierarchy uniqueName="[LP_Stationary].[Consumption Units]" caption="Consumption Units" attribute="1" defaultMemberUniqueName="[LP_Stationary].[Consumption Units].[All]" allUniqueName="[LP_Stationary].[Consumption Units].[All]" dimensionUniqueName="[LP_Stationary]" displayFolder="" count="0" memberValueDatatype="130" unbalanced="0"/>
    <cacheHierarchy uniqueName="[LP_Stationary].[Consumption Quantity]" caption="Consumption Quantity" attribute="1" defaultMemberUniqueName="[LP_Stationary].[Consumption Quantity].[All]" allUniqueName="[LP_Stationary].[Consumption Quantity].[All]" dimensionUniqueName="[LP_Stationary]" displayFolder="" count="0" memberValueDatatype="5" unbalanced="0"/>
    <cacheHierarchy uniqueName="[LP_Stationary].[Total GJ]" caption="Total GJ" attribute="1" defaultMemberUniqueName="[LP_Stationary].[Total GJ].[All]" allUniqueName="[LP_Stationary].[Total GJ].[All]" dimensionUniqueName="[LP_Stationary]" displayFolder="" count="0" memberValueDatatype="5" unbalanced="0"/>
    <cacheHierarchy uniqueName="[LP_Stationary].[Scope 1 kg CO2-e]" caption="Scope 1 kg CO2-e" attribute="1" defaultMemberUniqueName="[LP_Stationary].[Scope 1 kg CO2-e].[All]" allUniqueName="[LP_Stationary].[Scope 1 kg CO2-e].[All]" dimensionUniqueName="[LP_Stationary]" displayFolder="" count="0" memberValueDatatype="5" unbalanced="0"/>
    <cacheHierarchy uniqueName="[LP_Stationary].[Scope 2 kg CO2-e]" caption="Scope 2 kg CO2-e" attribute="1" defaultMemberUniqueName="[LP_Stationary].[Scope 2 kg CO2-e].[All]" allUniqueName="[LP_Stationary].[Scope 2 kg CO2-e].[All]" dimensionUniqueName="[LP_Stationary]" displayFolder="" count="0" memberValueDatatype="5" unbalanced="0"/>
    <cacheHierarchy uniqueName="[LP_Stationary].[Scope 3 kg CO2-e]" caption="Scope 3 kg CO2-e" attribute="1" defaultMemberUniqueName="[LP_Stationary].[Scope 3 kg CO2-e].[All]" allUniqueName="[LP_Stationary].[Scope 3 kg CO2-e].[All]" dimensionUniqueName="[LP_Stationary]" displayFolder="" count="0" memberValueDatatype="5" unbalanced="0"/>
    <cacheHierarchy uniqueName="[LP_Stationary].[Total Emissions]" caption="Total Emissions" attribute="1" defaultMemberUniqueName="[LP_Stationary].[Total Emissions].[All]" allUniqueName="[LP_Stationary].[Total Emissions].[All]" dimensionUniqueName="[LP_Stationary]" displayFolder="" count="0" memberValueDatatype="5" unbalanced="0"/>
    <cacheHierarchy uniqueName="[NBN_Removal].[Reporting Alias]" caption="Reporting Alias" attribute="1" defaultMemberUniqueName="[NBN_Removal].[Reporting Alias].[All]" allUniqueName="[NBN_Removal].[Reporting Alias].[All]" dimensionUniqueName="[NBN_Removal]" displayFolder="" count="0" memberValueDatatype="130" unbalanced="0"/>
    <cacheHierarchy uniqueName="[NBN_Removal].[Consumption Quantity]" caption="Consumption Quantity" attribute="1" defaultMemberUniqueName="[NBN_Removal].[Consumption Quantity].[All]" allUniqueName="[NBN_Removal].[Consumption Quantity].[All]" dimensionUniqueName="[NBN_Removal]" displayFolder="" count="0" memberValueDatatype="5" unbalanced="0"/>
    <cacheHierarchy uniqueName="[NBN_Removal].[Scope 1 kg CO2-e]" caption="Scope 1 kg CO2-e" attribute="1" defaultMemberUniqueName="[NBN_Removal].[Scope 1 kg CO2-e].[All]" allUniqueName="[NBN_Removal].[Scope 1 kg CO2-e].[All]" dimensionUniqueName="[NBN_Removal]" displayFolder="" count="0" memberValueDatatype="5" unbalanced="0"/>
    <cacheHierarchy uniqueName="[NBN_Removal].[Scope 2 kg CO2-e]" caption="Scope 2 kg CO2-e" attribute="1" defaultMemberUniqueName="[NBN_Removal].[Scope 2 kg CO2-e].[All]" allUniqueName="[NBN_Removal].[Scope 2 kg CO2-e].[All]" dimensionUniqueName="[NBN_Removal]" displayFolder="" count="0" memberValueDatatype="5" unbalanced="0"/>
    <cacheHierarchy uniqueName="[NBN_Removal].[Scope 3 kg CO2-e]" caption="Scope 3 kg CO2-e" attribute="1" defaultMemberUniqueName="[NBN_Removal].[Scope 3 kg CO2-e].[All]" allUniqueName="[NBN_Removal].[Scope 3 kg CO2-e].[All]" dimensionUniqueName="[NBN_Removal]" displayFolder="" count="0" memberValueDatatype="5" unbalanced="0"/>
    <cacheHierarchy uniqueName="[NBN_Removal].[Total GJ]" caption="Total GJ" attribute="1" defaultMemberUniqueName="[NBN_Removal].[Total GJ].[All]" allUniqueName="[NBN_Removal].[Total GJ].[All]" dimensionUniqueName="[NBN_Removal]" displayFolder="" count="0" memberValueDatatype="5" unbalanced="0"/>
    <cacheHierarchy uniqueName="[NBN_Removal].[Total Emissions]" caption="Total Emissions" attribute="1" defaultMemberUniqueName="[NBN_Removal].[Total Emissions].[All]" allUniqueName="[NBN_Removal].[Total Emissions].[All]" dimensionUniqueName="[NBN_Removal]" displayFolder="" count="0" memberValueDatatype="5" unbalanced="0"/>
    <cacheHierarchy uniqueName="[NET_Genset_Grounds].[Reporting Alias]" caption="Reporting Alias" attribute="1" defaultMemberUniqueName="[NET_Genset_Grounds].[Reporting Alias].[All]" allUniqueName="[NET_Genset_Grounds].[Reporting Alias].[All]" dimensionUniqueName="[NET_Genset_Grounds]" displayFolder="" count="0" memberValueDatatype="130" unbalanced="0"/>
    <cacheHierarchy uniqueName="[NET_Genset_Grounds].[Emission source]" caption="Emission source" attribute="1" defaultMemberUniqueName="[NET_Genset_Grounds].[Emission source].[All]" allUniqueName="[NET_Genset_Grounds].[Emission source].[All]" dimensionUniqueName="[NET_Genset_Grounds]" displayFolder="" count="0" memberValueDatatype="130" unbalanced="0"/>
    <cacheHierarchy uniqueName="[NET_Genset_Grounds].[Entity]" caption="Entity" attribute="1" defaultMemberUniqueName="[NET_Genset_Grounds].[Entity].[All]" allUniqueName="[NET_Genset_Grounds].[Entity].[All]" dimensionUniqueName="[NET_Genset_Grounds]" displayFolder="" count="0" memberValueDatatype="130" unbalanced="0"/>
    <cacheHierarchy uniqueName="[NET_Genset_Grounds].[Fuel]" caption="Fuel" attribute="1" defaultMemberUniqueName="[NET_Genset_Grounds].[Fuel].[All]" allUniqueName="[NET_Genset_Grounds].[Fuel].[All]" dimensionUniqueName="[NET_Genset_Grounds]" displayFolder="" count="0" memberValueDatatype="130" unbalanced="0"/>
    <cacheHierarchy uniqueName="[NET_Genset_Grounds].[State]" caption="State" attribute="1" defaultMemberUniqueName="[NET_Genset_Grounds].[State].[All]" allUniqueName="[NET_Genset_Grounds].[State].[All]" dimensionUniqueName="[NET_Genset_Grounds]" displayFolder="" count="0" memberValueDatatype="130" unbalanced="0"/>
    <cacheHierarchy uniqueName="[NET_Genset_Grounds].[Production Quantity]" caption="Production Quantity" attribute="1" defaultMemberUniqueName="[NET_Genset_Grounds].[Production Quantity].[All]" allUniqueName="[NET_Genset_Grounds].[Production Quantity].[All]" dimensionUniqueName="[NET_Genset_Grounds]" displayFolder="" count="0" memberValueDatatype="130" unbalanced="0"/>
    <cacheHierarchy uniqueName="[NET_Genset_Grounds].[Production  Units]" caption="Production  Units" attribute="1" defaultMemberUniqueName="[NET_Genset_Grounds].[Production  Units].[All]" allUniqueName="[NET_Genset_Grounds].[Production  Units].[All]" dimensionUniqueName="[NET_Genset_Grounds]" displayFolder="" count="0" memberValueDatatype="130" unbalanced="0"/>
    <cacheHierarchy uniqueName="[NET_Genset_Grounds].[Consumption Quantity]" caption="Consumption Quantity" attribute="1" defaultMemberUniqueName="[NET_Genset_Grounds].[Consumption Quantity].[All]" allUniqueName="[NET_Genset_Grounds].[Consumption Quantity].[All]" dimensionUniqueName="[NET_Genset_Grounds]" displayFolder="" count="0" memberValueDatatype="5" unbalanced="0"/>
    <cacheHierarchy uniqueName="[NET_Genset_Grounds].[Total GJ]" caption="Total GJ" attribute="1" defaultMemberUniqueName="[NET_Genset_Grounds].[Total GJ].[All]" allUniqueName="[NET_Genset_Grounds].[Total GJ].[All]" dimensionUniqueName="[NET_Genset_Grounds]" displayFolder="" count="0" memberValueDatatype="20" unbalanced="0"/>
    <cacheHierarchy uniqueName="[NET_Genset_Grounds].[Scope 1 kg CO2-e]" caption="Scope 1 kg CO2-e" attribute="1" defaultMemberUniqueName="[NET_Genset_Grounds].[Scope 1 kg CO2-e].[All]" allUniqueName="[NET_Genset_Grounds].[Scope 1 kg CO2-e].[All]" dimensionUniqueName="[NET_Genset_Grounds]" displayFolder="" count="0" memberValueDatatype="20" unbalanced="0"/>
    <cacheHierarchy uniqueName="[NET_Genset_Grounds].[Scope 2 kg CO2-e]" caption="Scope 2 kg CO2-e" attribute="1" defaultMemberUniqueName="[NET_Genset_Grounds].[Scope 2 kg CO2-e].[All]" allUniqueName="[NET_Genset_Grounds].[Scope 2 kg CO2-e].[All]" dimensionUniqueName="[NET_Genset_Grounds]" displayFolder="" count="0" memberValueDatatype="20" unbalanced="0"/>
    <cacheHierarchy uniqueName="[NET_Genset_Grounds].[Scope 3 kg CO2-e]" caption="Scope 3 kg CO2-e" attribute="1" defaultMemberUniqueName="[NET_Genset_Grounds].[Scope 3 kg CO2-e].[All]" allUniqueName="[NET_Genset_Grounds].[Scope 3 kg CO2-e].[All]" dimensionUniqueName="[NET_Genset_Grounds]" displayFolder="" count="0" memberValueDatatype="20" unbalanced="0"/>
    <cacheHierarchy uniqueName="[NET_Genset_Grounds].[Total Emissions]" caption="Total Emissions" attribute="1" defaultMemberUniqueName="[NET_Genset_Grounds].[Total Emissions].[All]" allUniqueName="[NET_Genset_Grounds].[Total Emissions].[All]" dimensionUniqueName="[NET_Genset_Grounds]" displayFolder="" count="0" memberValueDatatype="20" unbalanced="0"/>
    <cacheHierarchy uniqueName="[NON_Genset].[Reporting Alias]" caption="Reporting Alias" attribute="1" defaultMemberUniqueName="[NON_Genset].[Reporting Alias].[All]" allUniqueName="[NON_Genset].[Reporting Alias].[All]" dimensionUniqueName="[NON_Genset]" displayFolder="" count="0" memberValueDatatype="130" unbalanced="0"/>
    <cacheHierarchy uniqueName="[NON_Genset].[Source Name]" caption="Source Name" attribute="1" defaultMemberUniqueName="[NON_Genset].[Source Name].[All]" allUniqueName="[NON_Genset].[Source Name].[All]" dimensionUniqueName="[NON_Genset]" displayFolder="" count="0" memberValueDatatype="130" unbalanced="0"/>
    <cacheHierarchy uniqueName="[NON_Genset].[Activity Type]" caption="Activity Type" attribute="1" defaultMemberUniqueName="[NON_Genset].[Activity Type].[All]" allUniqueName="[NON_Genset].[Activity Type].[All]" dimensionUniqueName="[NON_Genset]" displayFolder="" count="0" memberValueDatatype="130" unbalanced="0"/>
    <cacheHierarchy uniqueName="[NON_Genset].[Activity Type Context]" caption="Activity Type Context" attribute="1" defaultMemberUniqueName="[NON_Genset].[Activity Type Context].[All]" allUniqueName="[NON_Genset].[Activity Type Context].[All]" dimensionUniqueName="[NON_Genset]" displayFolder="" count="0" memberValueDatatype="130" unbalanced="0"/>
    <cacheHierarchy uniqueName="[NON_Genset].[Entity]" caption="Entity" attribute="1" defaultMemberUniqueName="[NON_Genset].[Entity].[All]" allUniqueName="[NON_Genset].[Entity].[All]" dimensionUniqueName="[NON_Genset]" displayFolder="" count="0" memberValueDatatype="130" unbalanced="0"/>
    <cacheHierarchy uniqueName="[NON_Genset].[Fuel]" caption="Fuel" attribute="1" defaultMemberUniqueName="[NON_Genset].[Fuel].[All]" allUniqueName="[NON_Genset].[Fuel].[All]" dimensionUniqueName="[NON_Genset]" displayFolder="" count="0" memberValueDatatype="130" unbalanced="0"/>
    <cacheHierarchy uniqueName="[NON_Genset].[State]" caption="State" attribute="1" defaultMemberUniqueName="[NON_Genset].[State].[All]" allUniqueName="[NON_Genset].[State].[All]" dimensionUniqueName="[NON_Genset]" displayFolder="" count="0" memberValueDatatype="130" unbalanced="0"/>
    <cacheHierarchy uniqueName="[NON_Genset].[Consumption Quantity (L)]" caption="Consumption Quantity (L)" attribute="1" defaultMemberUniqueName="[NON_Genset].[Consumption Quantity (L)].[All]" allUniqueName="[NON_Genset].[Consumption Quantity (L)].[All]" dimensionUniqueName="[NON_Genset]" displayFolder="" count="0" memberValueDatatype="5" unbalanced="0"/>
    <cacheHierarchy uniqueName="[NON_Genset].[Production  Units]" caption="Production  Units" attribute="1" defaultMemberUniqueName="[NON_Genset].[Production  Units].[All]" allUniqueName="[NON_Genset].[Production  Units].[All]" dimensionUniqueName="[NON_Genset]" displayFolder="" count="0" memberValueDatatype="130" unbalanced="0"/>
    <cacheHierarchy uniqueName="[NON_Genset].[Consumption Quantity]" caption="Consumption Quantity" attribute="1" defaultMemberUniqueName="[NON_Genset].[Consumption Quantity].[All]" allUniqueName="[NON_Genset].[Consumption Quantity].[All]" dimensionUniqueName="[NON_Genset]" displayFolder="" count="0" memberValueDatatype="5" unbalanced="0"/>
    <cacheHierarchy uniqueName="[NON_Genset].[Total GJ]" caption="Total GJ" attribute="1" defaultMemberUniqueName="[NON_Genset].[Total GJ].[All]" allUniqueName="[NON_Genset].[Total GJ].[All]" dimensionUniqueName="[NON_Genset]" displayFolder="" count="0" memberValueDatatype="5" unbalanced="0"/>
    <cacheHierarchy uniqueName="[NON_Genset].[Scope 1 kg CO2-e]" caption="Scope 1 kg CO2-e" attribute="1" defaultMemberUniqueName="[NON_Genset].[Scope 1 kg CO2-e].[All]" allUniqueName="[NON_Genset].[Scope 1 kg CO2-e].[All]" dimensionUniqueName="[NON_Genset]" displayFolder="" count="0" memberValueDatatype="5" unbalanced="0"/>
    <cacheHierarchy uniqueName="[NON_Genset].[Scope 2 kg CO2-e]" caption="Scope 2 kg CO2-e" attribute="1" defaultMemberUniqueName="[NON_Genset].[Scope 2 kg CO2-e].[All]" allUniqueName="[NON_Genset].[Scope 2 kg CO2-e].[All]" dimensionUniqueName="[NON_Genset]" displayFolder="" count="0" memberValueDatatype="5" unbalanced="0"/>
    <cacheHierarchy uniqueName="[NON_Genset].[Scope 3 kg CO2-e]" caption="Scope 3 kg CO2-e" attribute="1" defaultMemberUniqueName="[NON_Genset].[Scope 3 kg CO2-e].[All]" allUniqueName="[NON_Genset].[Scope 3 kg CO2-e].[All]" dimensionUniqueName="[NON_Genset]" displayFolder="" count="0" memberValueDatatype="5" unbalanced="0"/>
    <cacheHierarchy uniqueName="[NON_Genset].[Total Emissions]" caption="Total Emissions" attribute="1" defaultMemberUniqueName="[NON_Genset].[Total Emissions].[All]" allUniqueName="[NON_Genset].[Total Emissions].[All]" dimensionUniqueName="[NON_Genset]" displayFolder="" count="0" memberValueDatatype="5" unbalanced="0"/>
    <cacheHierarchy uniqueName="[Paper_CSR].[Reporting Alias]" caption="Reporting Alias" attribute="1" defaultMemberUniqueName="[Paper_CSR].[Reporting Alias].[All]" allUniqueName="[Paper_CSR].[Reporting Alias].[All]" dimensionUniqueName="[Paper_CSR]" displayFolder="" count="0" memberValueDatatype="130" unbalanced="0"/>
    <cacheHierarchy uniqueName="[Paper_CSR].[t]" caption="t" attribute="1" defaultMemberUniqueName="[Paper_CSR].[t].[All]" allUniqueName="[Paper_CSR].[t].[All]" dimensionUniqueName="[Paper_CSR]" displayFolder="" count="0" memberValueDatatype="5" unbalanced="0"/>
    <cacheHierarchy uniqueName="[Percentage_Estimates].[Entity]" caption="Entity" attribute="1" defaultMemberUniqueName="[Percentage_Estimates].[Entity].[All]" allUniqueName="[Percentage_Estimates].[Entity].[All]" dimensionUniqueName="[Percentage_Estimates]" displayFolder="" count="0" memberValueDatatype="130" unbalanced="0"/>
    <cacheHierarchy uniqueName="[Percentage_Estimates].[Site Address]" caption="Site Address" attribute="1" defaultMemberUniqueName="[Percentage_Estimates].[Site Address].[All]" allUniqueName="[Percentage_Estimates].[Site Address].[All]" dimensionUniqueName="[Percentage_Estimates]" displayFolder="" count="0" memberValueDatatype="130" unbalanced="0"/>
    <cacheHierarchy uniqueName="[Percentage_Estimates].[Site name/Vehicle name]" caption="Site name/Vehicle name" attribute="1" defaultMemberUniqueName="[Percentage_Estimates].[Site name/Vehicle name].[All]" allUniqueName="[Percentage_Estimates].[Site name/Vehicle name].[All]" dimensionUniqueName="[Percentage_Estimates]" displayFolder="" count="0" memberValueDatatype="130" unbalanced="0"/>
    <cacheHierarchy uniqueName="[Percentage_Estimates].[State]" caption="State" attribute="1" defaultMemberUniqueName="[Percentage_Estimates].[State].[All]" allUniqueName="[Percentage_Estimates].[State].[All]" dimensionUniqueName="[Percentage_Estimates]" displayFolder="" count="0" memberValueDatatype="130" unbalanced="0"/>
    <cacheHierarchy uniqueName="[Percentage_Estimates].[Fuel/ Utility Type]" caption="Fuel/ Utility Type" attribute="1" defaultMemberUniqueName="[Percentage_Estimates].[Fuel/ Utility Type].[All]" allUniqueName="[Percentage_Estimates].[Fuel/ Utility Type].[All]" dimensionUniqueName="[Percentage_Estimates]" displayFolder="" count="0" memberValueDatatype="130" unbalanced="0"/>
    <cacheHierarchy uniqueName="[Percentage_Estimates].[Procedure to Capture data]" caption="Procedure to Capture data" attribute="1" defaultMemberUniqueName="[Percentage_Estimates].[Procedure to Capture data].[All]" allUniqueName="[Percentage_Estimates].[Procedure to Capture data].[All]" dimensionUniqueName="[Percentage_Estimates]" displayFolder="" count="0" memberValueDatatype="130" unbalanced="0"/>
    <cacheHierarchy uniqueName="[Percentage_Estimates].[Estimation Method (if relevant)]" caption="Estimation Method (if relevant)" attribute="1" defaultMemberUniqueName="[Percentage_Estimates].[Estimation Method (if relevant)].[All]" allUniqueName="[Percentage_Estimates].[Estimation Method (if relevant)].[All]" dimensionUniqueName="[Percentage_Estimates]" displayFolder="" count="0" memberValueDatatype="130" unbalanced="0"/>
    <cacheHierarchy uniqueName="[Percentage_Estimates].[Quantity]" caption="Quantity" attribute="1" defaultMemberUniqueName="[Percentage_Estimates].[Quantity].[All]" allUniqueName="[Percentage_Estimates].[Quantity].[All]" dimensionUniqueName="[Percentage_Estimates]" displayFolder="" count="0" memberValueDatatype="5" unbalanced="0"/>
    <cacheHierarchy uniqueName="[Percentage_Estimates].[Apportioned Quantity]" caption="Apportioned Quantity" attribute="1" defaultMemberUniqueName="[Percentage_Estimates].[Apportioned Quantity].[All]" allUniqueName="[Percentage_Estimates].[Apportioned Quantity].[All]" dimensionUniqueName="[Percentage_Estimates]" displayFolder="" count="0" memberValueDatatype="5" unbalanced="0"/>
    <cacheHierarchy uniqueName="[Percentage_Estimates].[Consumption Quantity]" caption="Consumption Quantity" attribute="1" defaultMemberUniqueName="[Percentage_Estimates].[Consumption Quantity].[All]" allUniqueName="[Percentage_Estimates].[Consumption Quantity].[All]" dimensionUniqueName="[Percentage_Estimates]" displayFolder="" count="0" memberValueDatatype="5" unbalanced="0"/>
    <cacheHierarchy uniqueName="[Percentage_Estimates].[Unit of measure]" caption="Unit of measure" attribute="1" defaultMemberUniqueName="[Percentage_Estimates].[Unit of measure].[All]" allUniqueName="[Percentage_Estimates].[Unit of measure].[All]" dimensionUniqueName="[Percentage_Estimates]" displayFolder="" count="0" memberValueDatatype="130" unbalanced="0"/>
    <cacheHierarchy uniqueName="[Percentage_Estimates].[Use of fuel]" caption="Use of fuel" attribute="1" defaultMemberUniqueName="[Percentage_Estimates].[Use of fuel].[All]" allUniqueName="[Percentage_Estimates].[Use of fuel].[All]" dimensionUniqueName="[Percentage_Estimates]" displayFolder="" count="0" memberValueDatatype="130" unbalanced="0"/>
    <cacheHierarchy uniqueName="[Percentage_Estimates].[Period Start]" caption="Period Start" attribute="1" defaultMemberUniqueName="[Percentage_Estimates].[Period Start].[All]" allUniqueName="[Percentage_Estimates].[Period Start].[All]" dimensionUniqueName="[Percentage_Estimates]" displayFolder="" count="0" memberValueDatatype="20" unbalanced="0"/>
    <cacheHierarchy uniqueName="[Percentage_Estimates].[Period End]" caption="Period End" attribute="1" defaultMemberUniqueName="[Percentage_Estimates].[Period End].[All]" allUniqueName="[Percentage_Estimates].[Period End].[All]" dimensionUniqueName="[Percentage_Estimates]" displayFolder="" count="0" memberValueDatatype="20" unbalanced="0"/>
    <cacheHierarchy uniqueName="[Percentage_Estimates].[Days]" caption="Days" attribute="1" defaultMemberUniqueName="[Percentage_Estimates].[Days].[All]" allUniqueName="[Percentage_Estimates].[Days].[All]" dimensionUniqueName="[Percentage_Estimates]" displayFolder="" count="0" memberValueDatatype="20" unbalanced="0"/>
    <cacheHierarchy uniqueName="[Percentage_Estimates].[Generator Make&gt;model]" caption="Generator Make&gt;model" attribute="1" defaultMemberUniqueName="[Percentage_Estimates].[Generator Make&gt;model].[All]" allUniqueName="[Percentage_Estimates].[Generator Make&gt;model].[All]" dimensionUniqueName="[Percentage_Estimates]" displayFolder="" count="0" memberValueDatatype="130" unbalanced="0"/>
    <cacheHierarchy uniqueName="[Percentage_Estimates].[Estimated run time (hours)]" caption="Estimated run time (hours)" attribute="1" defaultMemberUniqueName="[Percentage_Estimates].[Estimated run time (hours)].[All]" allUniqueName="[Percentage_Estimates].[Estimated run time (hours)].[All]" dimensionUniqueName="[Percentage_Estimates]" displayFolder="" count="0" memberValueDatatype="130" unbalanced="0"/>
    <cacheHierarchy uniqueName="[Percentage_Estimates].[Installed Capacity]" caption="Installed Capacity" attribute="1" defaultMemberUniqueName="[Percentage_Estimates].[Installed Capacity].[All]" allUniqueName="[Percentage_Estimates].[Installed Capacity].[All]" dimensionUniqueName="[Percentage_Estimates]" displayFolder="" count="0" memberValueDatatype="130" unbalanced="0"/>
    <cacheHierarchy uniqueName="[Percentage_Estimates].[Derated Capacity]" caption="Derated Capacity" attribute="1" defaultMemberUniqueName="[Percentage_Estimates].[Derated Capacity].[All]" allUniqueName="[Percentage_Estimates].[Derated Capacity].[All]" dimensionUniqueName="[Percentage_Estimates]" displayFolder="" count="0" memberValueDatatype="130" unbalanced="0"/>
    <cacheHierarchy uniqueName="[Percentage_Estimates].[Generator Units]" caption="Generator Units" attribute="1" defaultMemberUniqueName="[Percentage_Estimates].[Generator Units].[All]" allUniqueName="[Percentage_Estimates].[Generator Units].[All]" dimensionUniqueName="[Percentage_Estimates]" displayFolder="" count="0" memberValueDatatype="130" unbalanced="0"/>
    <cacheHierarchy uniqueName="[Percentage_Estimates].[Reporting Alias]" caption="Reporting Alias" attribute="1" defaultMemberUniqueName="[Percentage_Estimates].[Reporting Alias].[All]" allUniqueName="[Percentage_Estimates].[Reporting Alias].[All]" dimensionUniqueName="[Percentage_Estimates]" displayFolder="" count="0" memberValueDatatype="130" unbalanced="0"/>
    <cacheHierarchy uniqueName="[Percentage_Estimates].[Total GJ]" caption="Total GJ" attribute="1" defaultMemberUniqueName="[Percentage_Estimates].[Total GJ].[All]" allUniqueName="[Percentage_Estimates].[Total GJ].[All]" dimensionUniqueName="[Percentage_Estimates]" displayFolder="" count="0" memberValueDatatype="5" unbalanced="0"/>
    <cacheHierarchy uniqueName="[Percentage_Estimates].[Scope 1 kg CO2-e]" caption="Scope 1 kg CO2-e" attribute="1" defaultMemberUniqueName="[Percentage_Estimates].[Scope 1 kg CO2-e].[All]" allUniqueName="[Percentage_Estimates].[Scope 1 kg CO2-e].[All]" dimensionUniqueName="[Percentage_Estimates]" displayFolder="" count="0" memberValueDatatype="5" unbalanced="0"/>
    <cacheHierarchy uniqueName="[Percentage_Estimates].[Scope 2 kg CO2-e]" caption="Scope 2 kg CO2-e" attribute="1" defaultMemberUniqueName="[Percentage_Estimates].[Scope 2 kg CO2-e].[All]" allUniqueName="[Percentage_Estimates].[Scope 2 kg CO2-e].[All]" dimensionUniqueName="[Percentage_Estimates]" displayFolder="" count="0" memberValueDatatype="5" unbalanced="0"/>
    <cacheHierarchy uniqueName="[Percentage_Estimates].[Scope 3 kg CO2-e]" caption="Scope 3 kg CO2-e" attribute="1" defaultMemberUniqueName="[Percentage_Estimates].[Scope 3 kg CO2-e].[All]" allUniqueName="[Percentage_Estimates].[Scope 3 kg CO2-e].[All]" dimensionUniqueName="[Percentage_Estimates]" displayFolder="" count="0" memberValueDatatype="5" unbalanced="0"/>
    <cacheHierarchy uniqueName="[Percentage_Estimates].[Total Emissions]" caption="Total Emissions" attribute="1" defaultMemberUniqueName="[Percentage_Estimates].[Total Emissions].[All]" allUniqueName="[Percentage_Estimates].[Total Emissions].[All]" dimensionUniqueName="[Percentage_Estimates]" displayFolder="" count="0" memberValueDatatype="5" unbalanced="0"/>
    <cacheHierarchy uniqueName="[Pitwater].[Reporting alias]" caption="Reporting alias" attribute="1" defaultMemberUniqueName="[Pitwater].[Reporting alias].[All]" allUniqueName="[Pitwater].[Reporting alias].[All]" dimensionUniqueName="[Pitwater]" displayFolder="" count="0" memberValueDatatype="130" unbalanced="0"/>
    <cacheHierarchy uniqueName="[Pitwater].[State]" caption="State" attribute="1" defaultMemberUniqueName="[Pitwater].[State].[All]" allUniqueName="[Pitwater].[State].[All]" dimensionUniqueName="[Pitwater]" displayFolder="" count="0" memberValueDatatype="130" unbalanced="0"/>
    <cacheHierarchy uniqueName="[Pitwater].[kL]" caption="kL" attribute="1" defaultMemberUniqueName="[Pitwater].[kL].[All]" allUniqueName="[Pitwater].[kL].[All]" dimensionUniqueName="[Pitwater]" displayFolder="" count="0" memberValueDatatype="5" unbalanced="0"/>
    <cacheHierarchy uniqueName="[Pitwater].[Total GJ]" caption="Total GJ" attribute="1" defaultMemberUniqueName="[Pitwater].[Total GJ].[All]" allUniqueName="[Pitwater].[Total GJ].[All]" dimensionUniqueName="[Pitwater]" displayFolder="" count="0" memberValueDatatype="5" unbalanced="0"/>
    <cacheHierarchy uniqueName="[Pitwater].[Consumption Quantity]" caption="Consumption Quantity" attribute="1" defaultMemberUniqueName="[Pitwater].[Consumption Quantity].[All]" allUniqueName="[Pitwater].[Consumption Quantity].[All]" dimensionUniqueName="[Pitwater]" displayFolder="" count="0" memberValueDatatype="5" unbalanced="0"/>
    <cacheHierarchy uniqueName="[Pitwater].[Scope 1 kg CO2-e]" caption="Scope 1 kg CO2-e" attribute="1" defaultMemberUniqueName="[Pitwater].[Scope 1 kg CO2-e].[All]" allUniqueName="[Pitwater].[Scope 1 kg CO2-e].[All]" dimensionUniqueName="[Pitwater]" displayFolder="" count="0" memberValueDatatype="5" unbalanced="0"/>
    <cacheHierarchy uniqueName="[Pitwater].[Scope 2 kg CO2-e]" caption="Scope 2 kg CO2-e" attribute="1" defaultMemberUniqueName="[Pitwater].[Scope 2 kg CO2-e].[All]" allUniqueName="[Pitwater].[Scope 2 kg CO2-e].[All]" dimensionUniqueName="[Pitwater]" displayFolder="" count="0" memberValueDatatype="5" unbalanced="0"/>
    <cacheHierarchy uniqueName="[Pitwater].[Scope 3 kg CO2-e]" caption="Scope 3 kg CO2-e" attribute="1" defaultMemberUniqueName="[Pitwater].[Scope 3 kg CO2-e].[All]" allUniqueName="[Pitwater].[Scope 3 kg CO2-e].[All]" dimensionUniqueName="[Pitwater]" displayFolder="" count="0" memberValueDatatype="5" unbalanced="0"/>
    <cacheHierarchy uniqueName="[Pitwater].[Total Emissions]" caption="Total Emissions" attribute="1" defaultMemberUniqueName="[Pitwater].[Total Emissions].[All]" allUniqueName="[Pitwater].[Total Emissions].[All]" dimensionUniqueName="[Pitwater]" displayFolder="" count="0" memberValueDatatype="5" unbalanced="0"/>
    <cacheHierarchy uniqueName="[ReformFY20].[Reporting Alias]" caption="Reporting Alias" attribute="1" defaultMemberUniqueName="[ReformFY20].[Reporting Alias].[All]" allUniqueName="[ReformFY20].[Reporting Alias].[All]" dimensionUniqueName="[ReformFY20]" displayFolder="" count="0" memberValueDatatype="130" unbalanced="0"/>
    <cacheHierarchy uniqueName="[ReformFY20].[UoM]" caption="UoM" attribute="1" defaultMemberUniqueName="[ReformFY20].[UoM].[All]" allUniqueName="[ReformFY20].[UoM].[All]" dimensionUniqueName="[ReformFY20]" displayFolder="" count="0" memberValueDatatype="130" unbalanced="0"/>
    <cacheHierarchy uniqueName="[ReformFY20].[Primary Criterion]" caption="Primary Criterion" attribute="1" defaultMemberUniqueName="[ReformFY20].[Primary Criterion].[All]" allUniqueName="[ReformFY20].[Primary Criterion].[All]" dimensionUniqueName="[ReformFY20]" displayFolder="" count="0" memberValueDatatype="130" unbalanced="0"/>
    <cacheHierarchy uniqueName="[ReformFY20].[Consumption Quantity]" caption="Consumption Quantity" attribute="1" defaultMemberUniqueName="[ReformFY20].[Consumption Quantity].[All]" allUniqueName="[ReformFY20].[Consumption Quantity].[All]" dimensionUniqueName="[ReformFY20]" displayFolder="" count="0" memberValueDatatype="5" unbalanced="0"/>
    <cacheHierarchy uniqueName="[ReformFY20].[Total GJ]" caption="Total GJ" attribute="1" defaultMemberUniqueName="[ReformFY20].[Total GJ].[All]" allUniqueName="[ReformFY20].[Total GJ].[All]" dimensionUniqueName="[ReformFY20]" displayFolder="" count="0" memberValueDatatype="5" unbalanced="0"/>
    <cacheHierarchy uniqueName="[ReformFY20].[Scope 1 kg CO2-e]" caption="Scope 1 kg CO2-e" attribute="1" defaultMemberUniqueName="[ReformFY20].[Scope 1 kg CO2-e].[All]" allUniqueName="[ReformFY20].[Scope 1 kg CO2-e].[All]" dimensionUniqueName="[ReformFY20]" displayFolder="" count="0" memberValueDatatype="5" unbalanced="0"/>
    <cacheHierarchy uniqueName="[ReformFY20].[Scope 2 kg CO2-e]" caption="Scope 2 kg CO2-e" attribute="1" defaultMemberUniqueName="[ReformFY20].[Scope 2 kg CO2-e].[All]" allUniqueName="[ReformFY20].[Scope 2 kg CO2-e].[All]" dimensionUniqueName="[ReformFY20]" displayFolder="" count="0" memberValueDatatype="5" unbalanced="0"/>
    <cacheHierarchy uniqueName="[ReformFY20].[Scope 3 kg CO2-e]" caption="Scope 3 kg CO2-e" attribute="1" defaultMemberUniqueName="[ReformFY20].[Scope 3 kg CO2-e].[All]" allUniqueName="[ReformFY20].[Scope 3 kg CO2-e].[All]" dimensionUniqueName="[ReformFY20]" displayFolder="" count="0" memberValueDatatype="5" unbalanced="0"/>
    <cacheHierarchy uniqueName="[ReformFY20].[Total Emissions]" caption="Total Emissions" attribute="1" defaultMemberUniqueName="[ReformFY20].[Total Emissions].[All]" allUniqueName="[ReformFY20].[Total Emissions].[All]" dimensionUniqueName="[ReformFY20]" displayFolder="" count="0" memberValueDatatype="5" unbalanced="0"/>
    <cacheHierarchy uniqueName="[ReformFY20].[Category]" caption="Category" attribute="1" defaultMemberUniqueName="[ReformFY20].[Category].[All]" allUniqueName="[ReformFY20].[Category].[All]" dimensionUniqueName="[ReformFY20]" displayFolder="" count="0" memberValueDatatype="130" unbalanced="0"/>
    <cacheHierarchy uniqueName="[ReformFY20_].[Reporting Alias]" caption="Reporting Alias" attribute="1" defaultMemberUniqueName="[ReformFY20_].[Reporting Alias].[All]" allUniqueName="[ReformFY20_].[Reporting Alias].[All]" dimensionUniqueName="[ReformFY20_]" displayFolder="" count="0" memberValueDatatype="130" unbalanced="0"/>
    <cacheHierarchy uniqueName="[ReformFY20_].[UoM]" caption="UoM" attribute="1" defaultMemberUniqueName="[ReformFY20_].[UoM].[All]" allUniqueName="[ReformFY20_].[UoM].[All]" dimensionUniqueName="[ReformFY20_]" displayFolder="" count="0" memberValueDatatype="130" unbalanced="0"/>
    <cacheHierarchy uniqueName="[ReformFY20_].[Primary Criterion]" caption="Primary Criterion" attribute="1" defaultMemberUniqueName="[ReformFY20_].[Primary Criterion].[All]" allUniqueName="[ReformFY20_].[Primary Criterion].[All]" dimensionUniqueName="[ReformFY20_]" displayFolder="" count="0" memberValueDatatype="130" unbalanced="0"/>
    <cacheHierarchy uniqueName="[ReformFY20_].[Consumption Quantity]" caption="Consumption Quantity" attribute="1" defaultMemberUniqueName="[ReformFY20_].[Consumption Quantity].[All]" allUniqueName="[ReformFY20_].[Consumption Quantity].[All]" dimensionUniqueName="[ReformFY20_]" displayFolder="" count="0" memberValueDatatype="5" unbalanced="0"/>
    <cacheHierarchy uniqueName="[ReformFY20_].[Total GJ]" caption="Total GJ" attribute="1" defaultMemberUniqueName="[ReformFY20_].[Total GJ].[All]" allUniqueName="[ReformFY20_].[Total GJ].[All]" dimensionUniqueName="[ReformFY20_]" displayFolder="" count="0" memberValueDatatype="5" unbalanced="0"/>
    <cacheHierarchy uniqueName="[ReformFY20_].[Scope 1 kg CO2-e]" caption="Scope 1 kg CO2-e" attribute="1" defaultMemberUniqueName="[ReformFY20_].[Scope 1 kg CO2-e].[All]" allUniqueName="[ReformFY20_].[Scope 1 kg CO2-e].[All]" dimensionUniqueName="[ReformFY20_]" displayFolder="" count="0" memberValueDatatype="5" unbalanced="0"/>
    <cacheHierarchy uniqueName="[ReformFY20_].[Scope 2 kg CO2-e]" caption="Scope 2 kg CO2-e" attribute="1" defaultMemberUniqueName="[ReformFY20_].[Scope 2 kg CO2-e].[All]" allUniqueName="[ReformFY20_].[Scope 2 kg CO2-e].[All]" dimensionUniqueName="[ReformFY20_]" displayFolder="" count="0" memberValueDatatype="5" unbalanced="0"/>
    <cacheHierarchy uniqueName="[ReformFY20_].[Scope 3 kg CO2-e]" caption="Scope 3 kg CO2-e" attribute="1" defaultMemberUniqueName="[ReformFY20_].[Scope 3 kg CO2-e].[All]" allUniqueName="[ReformFY20_].[Scope 3 kg CO2-e].[All]" dimensionUniqueName="[ReformFY20_]" displayFolder="" count="0" memberValueDatatype="5" unbalanced="0"/>
    <cacheHierarchy uniqueName="[ReformFY20_].[Total Emissions]" caption="Total Emissions" attribute="1" defaultMemberUniqueName="[ReformFY20_].[Total Emissions].[All]" allUniqueName="[ReformFY20_].[Total Emissions].[All]" dimensionUniqueName="[ReformFY20_]" displayFolder="" count="0" memberValueDatatype="5" unbalanced="0"/>
    <cacheHierarchy uniqueName="[ReformFY20_].[Category]" caption="Category" attribute="1" defaultMemberUniqueName="[ReformFY20_].[Category].[All]" allUniqueName="[ReformFY20_].[Category].[All]" dimensionUniqueName="[ReformFY20_]" displayFolder="" count="0" memberValueDatatype="130" unbalanced="0"/>
    <cacheHierarchy uniqueName="[ReformFY20_].[Column1]" caption="Column1" attribute="1" defaultMemberUniqueName="[ReformFY20_].[Column1].[All]" allUniqueName="[ReformFY20_].[Column1].[All]" dimensionUniqueName="[ReformFY20_]" displayFolder="" count="0" memberValueDatatype="130" unbalanced="0"/>
    <cacheHierarchy uniqueName="[Savings_Data].[Reporting Alias]" caption="Reporting Alias" attribute="1" defaultMemberUniqueName="[Savings_Data].[Reporting Alias].[All]" allUniqueName="[Savings_Data].[Reporting Alias].[All]" dimensionUniqueName="[Savings_Data]" displayFolder="" count="0" memberValueDatatype="130" unbalanced="0"/>
    <cacheHierarchy uniqueName="[Savings_Data].[Program]" caption="Program" attribute="1" defaultMemberUniqueName="[Savings_Data].[Program].[All]" allUniqueName="[Savings_Data].[Program].[All]" dimensionUniqueName="[Savings_Data]" displayFolder="" count="0" memberValueDatatype="130" unbalanced="0"/>
    <cacheHierarchy uniqueName="[Savings_Data].[Release /Bulk]" caption="Release /Bulk" attribute="1" defaultMemberUniqueName="[Savings_Data].[Release /Bulk].[All]" allUniqueName="[Savings_Data].[Release /Bulk].[All]" dimensionUniqueName="[Savings_Data]" displayFolder="" count="0" memberValueDatatype="130" unbalanced="0"/>
    <cacheHierarchy uniqueName="[Savings_Data].[OID]" caption="OID" attribute="1" defaultMemberUniqueName="[Savings_Data].[OID].[All]" allUniqueName="[Savings_Data].[OID].[All]" dimensionUniqueName="[Savings_Data]" displayFolder="" count="0" memberValueDatatype="130" unbalanced="0"/>
    <cacheHierarchy uniqueName="[Savings_Data].[State]" caption="State" attribute="1" defaultMemberUniqueName="[Savings_Data].[State].[All]" allUniqueName="[Savings_Data].[State].[All]" dimensionUniqueName="[Savings_Data]" displayFolder="" count="0" memberValueDatatype="130" unbalanced="0"/>
    <cacheHierarchy uniqueName="[Savings_Data].[Site Name]" caption="Site Name" attribute="1" defaultMemberUniqueName="[Savings_Data].[Site Name].[All]" allUniqueName="[Savings_Data].[Site Name].[All]" dimensionUniqueName="[Savings_Data]" displayFolder="" count="0" memberValueDatatype="130" unbalanced="0"/>
    <cacheHierarchy uniqueName="[Savings_Data].[Address ID]" caption="Address ID" attribute="1" defaultMemberUniqueName="[Savings_Data].[Address ID].[All]" allUniqueName="[Savings_Data].[Address ID].[All]" dimensionUniqueName="[Savings_Data]" displayFolder="" count="0" memberValueDatatype="130" unbalanced="0"/>
    <cacheHierarchy uniqueName="[Savings_Data].[Description of Actions]" caption="Description of Actions" attribute="1" defaultMemberUniqueName="[Savings_Data].[Description of Actions].[All]" allUniqueName="[Savings_Data].[Description of Actions].[All]" dimensionUniqueName="[Savings_Data]" displayFolder="" count="0" memberValueDatatype="130" unbalanced="0"/>
    <cacheHierarchy uniqueName="[Savings_Data].[Report category]" caption="Report category" attribute="1" defaultMemberUniqueName="[Savings_Data].[Report category].[All]" allUniqueName="[Savings_Data].[Report category].[All]" dimensionUniqueName="[Savings_Data]" displayFolder="" count="0" memberValueDatatype="130" unbalanced="0"/>
    <cacheHierarchy uniqueName="[Savings_Data].[CDP category]" caption="CDP category" attribute="1" defaultMemberUniqueName="[Savings_Data].[CDP category].[All]" allUniqueName="[Savings_Data].[CDP category].[All]" dimensionUniqueName="[Savings_Data]" displayFolder="" count="0" memberValueDatatype="130" unbalanced="0"/>
    <cacheHierarchy uniqueName="[Savings_Data].[Actual Completion Date]" caption="Actual Completion Date" attribute="1" time="1" defaultMemberUniqueName="[Savings_Data].[Actual Completion Date].[All]" allUniqueName="[Savings_Data].[Actual Completion Date].[All]" dimensionUniqueName="[Savings_Data]" displayFolder="" count="0" memberValueDatatype="7" unbalanced="0"/>
    <cacheHierarchy uniqueName="[Savings_Data].[Annual Energy Savings (KWh)]" caption="Annual Energy Savings (KWh)" attribute="1" defaultMemberUniqueName="[Savings_Data].[Annual Energy Savings (KWh)].[All]" allUniqueName="[Savings_Data].[Annual Energy Savings (KWh)].[All]" dimensionUniqueName="[Savings_Data]" displayFolder="" count="0" memberValueDatatype="5" unbalanced="0"/>
    <cacheHierarchy uniqueName="[Savings_Data].[Scope 2 kg CO2-e]" caption="Scope 2 kg CO2-e" attribute="1" defaultMemberUniqueName="[Savings_Data].[Scope 2 kg CO2-e].[All]" allUniqueName="[Savings_Data].[Scope 2 kg CO2-e].[All]" dimensionUniqueName="[Savings_Data]" displayFolder="" count="0" memberValueDatatype="5" unbalanced="0"/>
    <cacheHierarchy uniqueName="[Savings_Data].[Scope 3 kg CO2-e]" caption="Scope 3 kg CO2-e" attribute="1" defaultMemberUniqueName="[Savings_Data].[Scope 3 kg CO2-e].[All]" allUniqueName="[Savings_Data].[Scope 3 kg CO2-e].[All]" dimensionUniqueName="[Savings_Data]" displayFolder="" count="0" memberValueDatatype="5" unbalanced="0"/>
    <cacheHierarchy uniqueName="[Savings_Data].[Total Tonnes]" caption="Total Tonnes" attribute="1" defaultMemberUniqueName="[Savings_Data].[Total Tonnes].[All]" allUniqueName="[Savings_Data].[Total Tonnes].[All]" dimensionUniqueName="[Savings_Data]" displayFolder="" count="0" memberValueDatatype="5" unbalanced="0"/>
    <cacheHierarchy uniqueName="[Savings_Data].[Total GJ]" caption="Total GJ" attribute="1" defaultMemberUniqueName="[Savings_Data].[Total GJ].[All]" allUniqueName="[Savings_Data].[Total GJ].[All]" dimensionUniqueName="[Savings_Data]" displayFolder="" count="0" memberValueDatatype="5" unbalanced="0"/>
    <cacheHierarchy uniqueName="[SE_Gas].[Reporting Alias]" caption="Reporting Alias" attribute="1" defaultMemberUniqueName="[SE_Gas].[Reporting Alias].[All]" allUniqueName="[SE_Gas].[Reporting Alias].[All]" dimensionUniqueName="[SE_Gas]" displayFolder="" count="0" memberValueDatatype="130" unbalanced="0"/>
    <cacheHierarchy uniqueName="[SE_Gas].[State]" caption="State" attribute="1" defaultMemberUniqueName="[SE_Gas].[State].[All]" allUniqueName="[SE_Gas].[State].[All]" dimensionUniqueName="[SE_Gas]" displayFolder="" count="0" memberValueDatatype="130" unbalanced="0"/>
    <cacheHierarchy uniqueName="[SE_Gas].[Consumption Quanity]" caption="Consumption Quanity" attribute="1" defaultMemberUniqueName="[SE_Gas].[Consumption Quanity].[All]" allUniqueName="[SE_Gas].[Consumption Quanity].[All]" dimensionUniqueName="[SE_Gas]" displayFolder="" count="0" memberValueDatatype="5" unbalanced="0"/>
    <cacheHierarchy uniqueName="[SE_Gas].[Scope 1 kg CO2-e]" caption="Scope 1 kg CO2-e" attribute="1" defaultMemberUniqueName="[SE_Gas].[Scope 1 kg CO2-e].[All]" allUniqueName="[SE_Gas].[Scope 1 kg CO2-e].[All]" dimensionUniqueName="[SE_Gas]" displayFolder="" count="0" memberValueDatatype="5" unbalanced="0"/>
    <cacheHierarchy uniqueName="[SE_Gas].[Scope 2 kg CO2-e]" caption="Scope 2 kg CO2-e" attribute="1" defaultMemberUniqueName="[SE_Gas].[Scope 2 kg CO2-e].[All]" allUniqueName="[SE_Gas].[Scope 2 kg CO2-e].[All]" dimensionUniqueName="[SE_Gas]" displayFolder="" count="0" memberValueDatatype="5" unbalanced="0"/>
    <cacheHierarchy uniqueName="[SE_Gas].[Scope 3 kg CO2-e]" caption="Scope 3 kg CO2-e" attribute="1" defaultMemberUniqueName="[SE_Gas].[Scope 3 kg CO2-e].[All]" allUniqueName="[SE_Gas].[Scope 3 kg CO2-e].[All]" dimensionUniqueName="[SE_Gas]" displayFolder="" count="0" memberValueDatatype="5" unbalanced="0"/>
    <cacheHierarchy uniqueName="[SE_Gas].[Total GJ]" caption="Total GJ" attribute="1" defaultMemberUniqueName="[SE_Gas].[Total GJ].[All]" allUniqueName="[SE_Gas].[Total GJ].[All]" dimensionUniqueName="[SE_Gas]" displayFolder="" count="0" memberValueDatatype="5" unbalanced="0"/>
    <cacheHierarchy uniqueName="[SE_Gas].[Total Emissions]" caption="Total Emissions" attribute="1" defaultMemberUniqueName="[SE_Gas].[Total Emissions].[All]" allUniqueName="[SE_Gas].[Total Emissions].[All]" dimensionUniqueName="[SE_Gas]" displayFolder="" count="0" memberValueDatatype="5" unbalanced="0"/>
    <cacheHierarchy uniqueName="[Solar].[Source Name]" caption="Source Name" attribute="1" defaultMemberUniqueName="[Solar].[Source Name].[All]" allUniqueName="[Solar].[Source Name].[All]" dimensionUniqueName="[Solar]" displayFolder="" count="0" memberValueDatatype="130" unbalanced="0"/>
    <cacheHierarchy uniqueName="[Solar].[Reporting Alias]" caption="Reporting Alias" attribute="1" defaultMemberUniqueName="[Solar].[Reporting Alias].[All]" allUniqueName="[Solar].[Reporting Alias].[All]" dimensionUniqueName="[Solar]" displayFolder="" count="0" memberValueDatatype="130" unbalanced="0"/>
    <cacheHierarchy uniqueName="[Solar].[Activity Type]" caption="Activity Type" attribute="1" defaultMemberUniqueName="[Solar].[Activity Type].[All]" allUniqueName="[Solar].[Activity Type].[All]" dimensionUniqueName="[Solar]" displayFolder="" count="0" memberValueDatatype="130" unbalanced="0"/>
    <cacheHierarchy uniqueName="[Solar].[Activity Type Context]" caption="Activity Type Context" attribute="1" defaultMemberUniqueName="[Solar].[Activity Type Context].[All]" allUniqueName="[Solar].[Activity Type Context].[All]" dimensionUniqueName="[Solar]" displayFolder="" count="0" memberValueDatatype="130" unbalanced="0"/>
    <cacheHierarchy uniqueName="[Solar].[Entity]" caption="Entity" attribute="1" defaultMemberUniqueName="[Solar].[Entity].[All]" allUniqueName="[Solar].[Entity].[All]" dimensionUniqueName="[Solar]" displayFolder="" count="0" memberValueDatatype="130" unbalanced="0"/>
    <cacheHierarchy uniqueName="[Solar].[State]" caption="State" attribute="1" defaultMemberUniqueName="[Solar].[State].[All]" allUniqueName="[Solar].[State].[All]" dimensionUniqueName="[Solar]" displayFolder="" count="0" memberValueDatatype="130" unbalanced="0"/>
    <cacheHierarchy uniqueName="[Solar].[Production Quantity]" caption="Production Quantity" attribute="1" defaultMemberUniqueName="[Solar].[Production Quantity].[All]" allUniqueName="[Solar].[Production Quantity].[All]" dimensionUniqueName="[Solar]" displayFolder="" count="0" memberValueDatatype="5" unbalanced="0"/>
    <cacheHierarchy uniqueName="[Solar].[Production Unit]" caption="Production Unit" attribute="1" defaultMemberUniqueName="[Solar].[Production Unit].[All]" allUniqueName="[Solar].[Production Unit].[All]" dimensionUniqueName="[Solar]" displayFolder="" count="0" memberValueDatatype="130" unbalanced="0"/>
    <cacheHierarchy uniqueName="[Solar].[Consumption Quantitiy]" caption="Consumption Quantitiy" attribute="1" defaultMemberUniqueName="[Solar].[Consumption Quantitiy].[All]" allUniqueName="[Solar].[Consumption Quantitiy].[All]" dimensionUniqueName="[Solar]" displayFolder="" count="0" memberValueDatatype="5" unbalanced="0"/>
    <cacheHierarchy uniqueName="[Solar].[Scope 1 kg CO2-e]" caption="Scope 1 kg CO2-e" attribute="1" defaultMemberUniqueName="[Solar].[Scope 1 kg CO2-e].[All]" allUniqueName="[Solar].[Scope 1 kg CO2-e].[All]" dimensionUniqueName="[Solar]" displayFolder="" count="0" memberValueDatatype="5" unbalanced="0"/>
    <cacheHierarchy uniqueName="[Solar].[Scope 2 kg CO2-e]" caption="Scope 2 kg CO2-e" attribute="1" defaultMemberUniqueName="[Solar].[Scope 2 kg CO2-e].[All]" allUniqueName="[Solar].[Scope 2 kg CO2-e].[All]" dimensionUniqueName="[Solar]" displayFolder="" count="0" memberValueDatatype="5" unbalanced="0"/>
    <cacheHierarchy uniqueName="[Solar].[Scope 3 kg CO2-e]" caption="Scope 3 kg CO2-e" attribute="1" defaultMemberUniqueName="[Solar].[Scope 3 kg CO2-e].[All]" allUniqueName="[Solar].[Scope 3 kg CO2-e].[All]" dimensionUniqueName="[Solar]" displayFolder="" count="0" memberValueDatatype="5" unbalanced="0"/>
    <cacheHierarchy uniqueName="[Solar].[Total GJ]" caption="Total GJ" attribute="1" defaultMemberUniqueName="[Solar].[Total GJ].[All]" allUniqueName="[Solar].[Total GJ].[All]" dimensionUniqueName="[Solar]" displayFolder="" count="0" memberValueDatatype="5" unbalanced="0"/>
    <cacheHierarchy uniqueName="[Solar].[Total Emissions]" caption="Total Emissions" attribute="1" defaultMemberUniqueName="[Solar].[Total Emissions].[All]" allUniqueName="[Solar].[Total Emissions].[All]" dimensionUniqueName="[Solar]" displayFolder="" count="0" memberValueDatatype="5" unbalanced="0"/>
    <cacheHierarchy uniqueName="[Solar].[Energy Conversion factor (GJ/kWh)]" caption="Energy Conversion factor (GJ/kWh)" attribute="1" defaultMemberUniqueName="[Solar].[Energy Conversion factor (GJ/kWh)].[All]" allUniqueName="[Solar].[Energy Conversion factor (GJ/kWh)].[All]" dimensionUniqueName="[Solar]" displayFolder="" count="0" memberValueDatatype="5" unbalanced="0"/>
    <cacheHierarchy uniqueName="[Solar].[Production GJ]" caption="Production GJ" attribute="1" defaultMemberUniqueName="[Solar].[Production GJ].[All]" allUniqueName="[Solar].[Production GJ].[All]" dimensionUniqueName="[Solar]" displayFolder="" count="0" memberValueDatatype="5" unbalanced="0"/>
    <cacheHierarchy uniqueName="[Solar].[Consumption Quantity]" caption="Consumption Quantity" attribute="1" defaultMemberUniqueName="[Solar].[Consumption Quantity].[All]" allUniqueName="[Solar].[Consumption Quantity].[All]" dimensionUniqueName="[Solar]" displayFolder="" count="0" memberValueDatatype="5" unbalanced="0"/>
    <cacheHierarchy uniqueName="[Solar].[Consumption Unit]" caption="Consumption Unit" attribute="1" defaultMemberUniqueName="[Solar].[Consumption Unit].[All]" allUniqueName="[Solar].[Consumption Unit].[All]" dimensionUniqueName="[Solar]" displayFolder="" count="0" memberValueDatatype="130" unbalanced="0"/>
    <cacheHierarchy uniqueName="[Summary].[Reporting Alias]" caption="Reporting Alias" attribute="1" defaultMemberUniqueName="[Summary].[Reporting Alias].[All]" allUniqueName="[Summary].[Reporting Alias].[All]" dimensionUniqueName="[Summary]" displayFolder="" count="0" memberValueDatatype="130" unbalanced="0"/>
    <cacheHierarchy uniqueName="[Summary].[UoM]" caption="UoM" attribute="1" defaultMemberUniqueName="[Summary].[UoM].[All]" allUniqueName="[Summary].[UoM].[All]" dimensionUniqueName="[Summary]" displayFolder="" count="0" memberValueDatatype="130" unbalanced="0"/>
    <cacheHierarchy uniqueName="[Summary].[Primary Criterion]" caption="Primary Criterion" attribute="1" defaultMemberUniqueName="[Summary].[Primary Criterion].[All]" allUniqueName="[Summary].[Primary Criterion].[All]" dimensionUniqueName="[Summary]" displayFolder="" count="0" memberValueDatatype="130" unbalanced="0"/>
    <cacheHierarchy uniqueName="[Summary].[Consumption Quantity]" caption="Consumption Quantity" attribute="1" defaultMemberUniqueName="[Summary].[Consumption Quantity].[All]" allUniqueName="[Summary].[Consumption Quantity].[All]" dimensionUniqueName="[Summary]" displayFolder="" count="0" memberValueDatatype="5" unbalanced="0"/>
    <cacheHierarchy uniqueName="[Summary].[Total GJ]" caption="Total GJ" attribute="1" defaultMemberUniqueName="[Summary].[Total GJ].[All]" allUniqueName="[Summary].[Total GJ].[All]" dimensionUniqueName="[Summary]" displayFolder="" count="0" memberValueDatatype="5" unbalanced="0"/>
    <cacheHierarchy uniqueName="[Summary].[Scope 1 kg CO2-e]" caption="Scope 1 kg CO2-e" attribute="1" defaultMemberUniqueName="[Summary].[Scope 1 kg CO2-e].[All]" allUniqueName="[Summary].[Scope 1 kg CO2-e].[All]" dimensionUniqueName="[Summary]" displayFolder="" count="0" memberValueDatatype="5" unbalanced="0"/>
    <cacheHierarchy uniqueName="[Summary].[Scope 2 kg CO2-e]" caption="Scope 2 kg CO2-e" attribute="1" defaultMemberUniqueName="[Summary].[Scope 2 kg CO2-e].[All]" allUniqueName="[Summary].[Scope 2 kg CO2-e].[All]" dimensionUniqueName="[Summary]" displayFolder="" count="0" memberValueDatatype="5" unbalanced="0"/>
    <cacheHierarchy uniqueName="[Summary].[Scope 3 kg CO2-e]" caption="Scope 3 kg CO2-e" attribute="1" defaultMemberUniqueName="[Summary].[Scope 3 kg CO2-e].[All]" allUniqueName="[Summary].[Scope 3 kg CO2-e].[All]" dimensionUniqueName="[Summary]" displayFolder="" count="0" memberValueDatatype="5" unbalanced="0"/>
    <cacheHierarchy uniqueName="[Summary].[Total Emissions]" caption="Total Emissions" attribute="1" defaultMemberUniqueName="[Summary].[Total Emissions].[All]" allUniqueName="[Summary].[Total Emissions].[All]" dimensionUniqueName="[Summary]" displayFolder="" count="0" memberValueDatatype="5" unbalanced="0"/>
    <cacheHierarchy uniqueName="[Summary37].[Reporting Alias]" caption="Reporting Alias" attribute="1" defaultMemberUniqueName="[Summary37].[Reporting Alias].[All]" allUniqueName="[Summary37].[Reporting Alias].[All]" dimensionUniqueName="[Summary37]" displayFolder="" count="0" memberValueDatatype="130" unbalanced="0"/>
    <cacheHierarchy uniqueName="[Summary37].[UoM]" caption="UoM" attribute="1" defaultMemberUniqueName="[Summary37].[UoM].[All]" allUniqueName="[Summary37].[UoM].[All]" dimensionUniqueName="[Summary37]" displayFolder="" count="0" memberValueDatatype="130" unbalanced="0"/>
    <cacheHierarchy uniqueName="[Summary37].[Primary Criterion]" caption="Primary Criterion" attribute="1" defaultMemberUniqueName="[Summary37].[Primary Criterion].[All]" allUniqueName="[Summary37].[Primary Criterion].[All]" dimensionUniqueName="[Summary37]" displayFolder="" count="0" memberValueDatatype="130" unbalanced="0"/>
    <cacheHierarchy uniqueName="[Summary37].[Consumption Quantity]" caption="Consumption Quantity" attribute="1" defaultMemberUniqueName="[Summary37].[Consumption Quantity].[All]" allUniqueName="[Summary37].[Consumption Quantity].[All]" dimensionUniqueName="[Summary37]" displayFolder="" count="0" memberValueDatatype="5" unbalanced="0"/>
    <cacheHierarchy uniqueName="[Summary37].[Total GJ]" caption="Total GJ" attribute="1" defaultMemberUniqueName="[Summary37].[Total GJ].[All]" allUniqueName="[Summary37].[Total GJ].[All]" dimensionUniqueName="[Summary37]" displayFolder="" count="0" memberValueDatatype="5" unbalanced="0"/>
    <cacheHierarchy uniqueName="[Summary37].[Scope 1 kg CO2-e]" caption="Scope 1 kg CO2-e" attribute="1" defaultMemberUniqueName="[Summary37].[Scope 1 kg CO2-e].[All]" allUniqueName="[Summary37].[Scope 1 kg CO2-e].[All]" dimensionUniqueName="[Summary37]" displayFolder="" count="0" memberValueDatatype="5" unbalanced="0"/>
    <cacheHierarchy uniqueName="[Summary37].[Scope 2 kg CO2-e]" caption="Scope 2 kg CO2-e" attribute="1" defaultMemberUniqueName="[Summary37].[Scope 2 kg CO2-e].[All]" allUniqueName="[Summary37].[Scope 2 kg CO2-e].[All]" dimensionUniqueName="[Summary37]" displayFolder="" count="0" memberValueDatatype="5" unbalanced="0"/>
    <cacheHierarchy uniqueName="[Summary37].[Scope 3 kg CO2-e]" caption="Scope 3 kg CO2-e" attribute="1" defaultMemberUniqueName="[Summary37].[Scope 3 kg CO2-e].[All]" allUniqueName="[Summary37].[Scope 3 kg CO2-e].[All]" dimensionUniqueName="[Summary37]" displayFolder="" count="0" memberValueDatatype="5" unbalanced="0"/>
    <cacheHierarchy uniqueName="[Summary37].[Total Emissions]" caption="Total Emissions" attribute="1" defaultMemberUniqueName="[Summary37].[Total Emissions].[All]" allUniqueName="[Summary37].[Total Emissions].[All]" dimensionUniqueName="[Summary37]" displayFolder="" count="0" memberValueDatatype="5" unbalanced="0"/>
    <cacheHierarchy uniqueName="[TelstraBCA].[Reporting Alias]" caption="Reporting Alias" attribute="1" defaultMemberUniqueName="[TelstraBCA].[Reporting Alias].[All]" allUniqueName="[TelstraBCA].[Reporting Alias].[All]" dimensionUniqueName="[TelstraBCA]" displayFolder="" count="0" memberValueDatatype="130" unbalanced="0"/>
    <cacheHierarchy uniqueName="[TelstraBCA].[Consumption Quantity]" caption="Consumption Quantity" attribute="1" defaultMemberUniqueName="[TelstraBCA].[Consumption Quantity].[All]" allUniqueName="[TelstraBCA].[Consumption Quantity].[All]" dimensionUniqueName="[TelstraBCA]" displayFolder="" count="0" memberValueDatatype="5" unbalanced="0"/>
    <cacheHierarchy uniqueName="[TelstraBCA].[Total GJ]" caption="Total GJ" attribute="1" defaultMemberUniqueName="[TelstraBCA].[Total GJ].[All]" allUniqueName="[TelstraBCA].[Total GJ].[All]" dimensionUniqueName="[TelstraBCA]" displayFolder="" count="0" memberValueDatatype="5" unbalanced="0"/>
    <cacheHierarchy uniqueName="[TelstraBCA].[Scope 1 kg CO2-e]" caption="Scope 1 kg CO2-e" attribute="1" defaultMemberUniqueName="[TelstraBCA].[Scope 1 kg CO2-e].[All]" allUniqueName="[TelstraBCA].[Scope 1 kg CO2-e].[All]" dimensionUniqueName="[TelstraBCA]" displayFolder="" count="0" memberValueDatatype="5" unbalanced="0"/>
    <cacheHierarchy uniqueName="[TelstraBCA].[Scope 2 kg CO2-e]" caption="Scope 2 kg CO2-e" attribute="1" defaultMemberUniqueName="[TelstraBCA].[Scope 2 kg CO2-e].[All]" allUniqueName="[TelstraBCA].[Scope 2 kg CO2-e].[All]" dimensionUniqueName="[TelstraBCA]" displayFolder="" count="0" memberValueDatatype="5" unbalanced="0"/>
    <cacheHierarchy uniqueName="[TelstraBCA].[Scope 3 kg CO2-e]" caption="Scope 3 kg CO2-e" attribute="1" defaultMemberUniqueName="[TelstraBCA].[Scope 3 kg CO2-e].[All]" allUniqueName="[TelstraBCA].[Scope 3 kg CO2-e].[All]" dimensionUniqueName="[TelstraBCA]" displayFolder="" count="0" memberValueDatatype="5" unbalanced="0"/>
    <cacheHierarchy uniqueName="[TelstraBCA].[Total Emissions]" caption="Total Emissions" attribute="1" defaultMemberUniqueName="[TelstraBCA].[Total Emissions].[All]" allUniqueName="[TelstraBCA].[Total Emissions].[All]" dimensionUniqueName="[TelstraBCA]" displayFolder="" count="0" memberValueDatatype="5" unbalanced="0"/>
    <cacheHierarchy uniqueName="[Measures].[_Count BCA_Removal]" caption="_Count BCA_Removal" measure="1" displayFolder="" measureGroup="BCA_Removal" count="0" hidden="1"/>
    <cacheHierarchy uniqueName="[Measures].[__XL_Count NBN_Removal]" caption="__XL_Count NBN_Removal" measure="1" displayFolder="" measureGroup="NBN_Removal" count="0" hidden="1"/>
    <cacheHierarchy uniqueName="[Measures].[__XL_Count SE_Gas]" caption="__XL_Count SE_Gas" measure="1" displayFolder="" measureGroup="SE_Gas" count="0" hidden="1"/>
    <cacheHierarchy uniqueName="[Measures].[__XL_Count GHG]" caption="__XL_Count GHG" measure="1" displayFolder="" measureGroup="GHG" count="0" hidden="1"/>
    <cacheHierarchy uniqueName="[Measures].[__XL_Count Entity]" caption="__XL_Count Entity" measure="1" displayFolder="" measureGroup="Entity" count="0" hidden="1"/>
    <cacheHierarchy uniqueName="[Measures].[__XL_Count NET_Genset_Grounds]" caption="__XL_Count NET_Genset_Grounds" measure="1" displayFolder="" measureGroup="NET_Genset_Grounds" count="0" hidden="1"/>
    <cacheHierarchy uniqueName="[Measures].[__XL_Count Percentage_Estimates]" caption="__XL_Count Percentage_Estimates" measure="1" displayFolder="" measureGroup="Percentage_Estimates" count="0" hidden="1"/>
    <cacheHierarchy uniqueName="[Measures].[__XL_Count Pitwater]" caption="__XL_Count Pitwater" measure="1" displayFolder="" measureGroup="Pitwater" count="0" hidden="1"/>
    <cacheHierarchy uniqueName="[Measures].[__XL_Count Solar]" caption="__XL_Count Solar" measure="1" displayFolder="" measureGroup="Solar" count="0" hidden="1"/>
    <cacheHierarchy uniqueName="[Measures].[__XL_Count Grounds_Fuels]" caption="__XL_Count Grounds_Fuels" measure="1" displayFolder="" measureGroup="Grounds_Fuels" count="0" hidden="1"/>
    <cacheHierarchy uniqueName="[Measures].[__XL_Count Contractor_Fuels]" caption="__XL_Count Contractor_Fuels" measure="1" displayFolder="" measureGroup="Contractor_Fuels" count="0" hidden="1"/>
    <cacheHierarchy uniqueName="[Measures].[__XL_Count AVIS]" caption="__XL_Count AVIS" measure="1" displayFolder="" measureGroup="AVIS" count="0" hidden="1"/>
    <cacheHierarchy uniqueName="[Measures].[__XL_Count LP_Fleet]" caption="__XL_Count LP_Fleet" measure="1" displayFolder="" measureGroup="LP_Fleet" count="0" hidden="1"/>
    <cacheHierarchy uniqueName="[Measures].[__XL_Count NON_Genset]" caption="__XL_Count NON_Genset" measure="1" displayFolder="" measureGroup="NON_Genset" count="0" hidden="1"/>
    <cacheHierarchy uniqueName="[Measures].[__XL_Count DC_Genset]" caption="__XL_Count DC_Genset" measure="1" displayFolder="" measureGroup="DC_Genset" count="0" hidden="1"/>
    <cacheHierarchy uniqueName="[Measures].[__XL_Count TelstraBCA]" caption="__XL_Count TelstraBCA" measure="1" displayFolder="" measureGroup="TelstraBCA" count="0" hidden="1"/>
    <cacheHierarchy uniqueName="[Measures].[_Count LP_Stationary]" caption="_Count LP_Stationary" measure="1" displayFolder="" measureGroup="LP_Stationary" count="0" hidden="1"/>
    <cacheHierarchy uniqueName="[Measures].[_Count Summary]" caption="_Count Summary" measure="1" displayFolder="" measureGroup="Summary" count="0" hidden="1"/>
    <cacheHierarchy uniqueName="[Measures].[__XL_Count Flight_Model]" caption="__XL_Count Flight_Model" measure="1" displayFolder="" measureGroup="Flight_Model" count="0" hidden="1"/>
    <cacheHierarchy uniqueName="[Measures].[__XL_Count Paper_CSR]" caption="__XL_Count Paper_CSR" measure="1" displayFolder="" measureGroup="Paper_CSR" count="0" hidden="1"/>
    <cacheHierarchy uniqueName="[Measures].[__XL_Count Savings_Data]" caption="__XL_Count Savings_Data" measure="1" displayFolder="" measureGroup="Savings_Data" count="0" hidden="1"/>
    <cacheHierarchy uniqueName="[Measures].[__XL_Count EntityFY20]" caption="__XL_Count EntityFY20" measure="1" displayFolder="" measureGroup="EntityFY20" count="0" hidden="1"/>
    <cacheHierarchy uniqueName="[Measures].[__XL_Count Summary37]" caption="__XL_Count Summary37" measure="1" displayFolder="" measureGroup="Summary37" count="0" hidden="1"/>
    <cacheHierarchy uniqueName="[Measures].[__XL_Count BCA_RemovalFY20]" caption="__XL_Count BCA_RemovalFY20" measure="1" displayFolder="" measureGroup="BCA_RemovalFY20" count="0" hidden="1"/>
    <cacheHierarchy uniqueName="[Measures].[__XL_Count DC_Genset2839]" caption="__XL_Count DC_Genset2839" measure="1" displayFolder="" measureGroup="DC_Genset2839" count="0" hidden="1"/>
    <cacheHierarchy uniqueName="[Measures].[__XL_Count GasFY20]" caption="__XL_Count GasFY20" measure="1" displayFolder="" measureGroup="GasFY20" count="0" hidden="1"/>
    <cacheHierarchy uniqueName="[Measures].[__XL_Count GHG_35]" caption="__XL_Count GHG_35" measure="1" displayFolder="" measureGroup="GHG_35" count="0" hidden="1"/>
    <cacheHierarchy uniqueName="[Measures].[__XL_Count Grounds_Fuels33]" caption="__XL_Count Grounds_Fuels33" measure="1" displayFolder="" measureGroup="Grounds_Fuels33" count="0" hidden="1"/>
    <cacheHierarchy uniqueName="[Measures].[__XL_Count ReformFY20]" caption="__XL_Count ReformFY20" measure="1" displayFolder="" measureGroup="ReformFY20" count="0" hidden="1"/>
    <cacheHierarchy uniqueName="[Measures].[__XL_Count EntityFY20 1]" caption="__XL_Count EntityFY20 1" measure="1" displayFolder="" measureGroup="EntityFY20 1" count="0" hidden="1"/>
    <cacheHierarchy uniqueName="[Measures].[__XL_Count Calendar]" caption="__XL_Count Calendar" measure="1" displayFolder="" measureGroup="Calendar" count="0" hidden="1"/>
    <cacheHierarchy uniqueName="[Measures].[__XL_Count ReformFY20_]" caption="__XL_Count ReformFY20_" measure="1" displayFolder="" measureGroup="ReformFY20_" count="0" hidden="1"/>
    <cacheHierarchy uniqueName="[Measures].[__XL_Count of Models]" caption="__XL_Count of Models" measure="1" displayFolder="" count="0" hidden="1"/>
    <cacheHierarchy uniqueName="[Measures].[Sum of Consumption Quantity 3]" caption="Sum of Consumption Quantity 3" measure="1" displayFolder="" measureGroup="NBN_Removal" count="0" hidden="1">
      <extLst>
        <ext xmlns:x15="http://schemas.microsoft.com/office/spreadsheetml/2010/11/main" uri="{B97F6D7D-B522-45F9-BDA1-12C45D357490}">
          <x15:cacheHierarchy aggregatedColumn="226"/>
        </ext>
      </extLst>
    </cacheHierarchy>
    <cacheHierarchy uniqueName="[Measures].[Sum of Consumption Quanity]" caption="Sum of Consumption Quanity" measure="1" displayFolder="" measureGroup="SE_Gas" count="0" hidden="1">
      <extLst>
        <ext xmlns:x15="http://schemas.microsoft.com/office/spreadsheetml/2010/11/main" uri="{B97F6D7D-B522-45F9-BDA1-12C45D357490}">
          <x15:cacheHierarchy aggregatedColumn="336"/>
        </ext>
      </extLst>
    </cacheHierarchy>
    <cacheHierarchy uniqueName="[Measures].[Sum of Consumption Quantity]" caption="Sum of Consumption Quantity" measure="1" displayFolder="" measureGroup="BCA_Removal" count="0" hidden="1">
      <extLst>
        <ext xmlns:x15="http://schemas.microsoft.com/office/spreadsheetml/2010/11/main" uri="{B97F6D7D-B522-45F9-BDA1-12C45D357490}">
          <x15:cacheHierarchy aggregatedColumn="16"/>
        </ext>
      </extLst>
    </cacheHierarchy>
    <cacheHierarchy uniqueName="[Measures].[Sum of Scope 2 kg CO2-e 3]" caption="Sum of Scope 2 kg CO2-e 3" measure="1" displayFolder="" measureGroup="BCA_Removal" count="0" hidden="1">
      <extLst>
        <ext xmlns:x15="http://schemas.microsoft.com/office/spreadsheetml/2010/11/main" uri="{B97F6D7D-B522-45F9-BDA1-12C45D357490}">
          <x15:cacheHierarchy aggregatedColumn="17"/>
        </ext>
      </extLst>
    </cacheHierarchy>
    <cacheHierarchy uniqueName="[Measures].[Sum of Consumption Quantity 4]" caption="Sum of Consumption Quantity 4" measure="1" displayFolder="" measureGroup="TelstraBCA" count="0" hidden="1">
      <extLst>
        <ext xmlns:x15="http://schemas.microsoft.com/office/spreadsheetml/2010/11/main" uri="{B97F6D7D-B522-45F9-BDA1-12C45D357490}">
          <x15:cacheHierarchy aggregatedColumn="379"/>
        </ext>
      </extLst>
    </cacheHierarchy>
    <cacheHierarchy uniqueName="[Measures].[Sum of Consumption Quantity 5]" caption="Sum of Consumption Quantity 5" measure="1" displayFolder="" measureGroup="Percentage_Estimates" count="0" hidden="1">
      <extLst>
        <ext xmlns:x15="http://schemas.microsoft.com/office/spreadsheetml/2010/11/main" uri="{B97F6D7D-B522-45F9-BDA1-12C45D357490}">
          <x15:cacheHierarchy aggregatedColumn="271"/>
        </ext>
      </extLst>
    </cacheHierarchy>
    <cacheHierarchy uniqueName="[Measures].[Sum of Consumption Quantitiy]" caption="Sum of Consumption Quantitiy" measure="1" displayFolder="" measureGroup="Solar" count="0" hidden="1">
      <extLst>
        <ext xmlns:x15="http://schemas.microsoft.com/office/spreadsheetml/2010/11/main" uri="{B97F6D7D-B522-45F9-BDA1-12C45D357490}">
          <x15:cacheHierarchy aggregatedColumn="350"/>
        </ext>
      </extLst>
    </cacheHierarchy>
    <cacheHierarchy uniqueName="[Measures].[Sum of Consumption Quantity 6]" caption="Sum of Consumption Quantity 6" measure="1" displayFolder="" measureGroup="NET_Genset_Grounds" count="0" hidden="1">
      <extLst>
        <ext xmlns:x15="http://schemas.microsoft.com/office/spreadsheetml/2010/11/main" uri="{B97F6D7D-B522-45F9-BDA1-12C45D357490}">
          <x15:cacheHierarchy aggregatedColumn="239"/>
        </ext>
      </extLst>
    </cacheHierarchy>
    <cacheHierarchy uniqueName="[Measures].[Sum of Consumption Quantity 7]" caption="Sum of Consumption Quantity 7" measure="1" displayFolder="" measureGroup="NON_Genset" count="0" hidden="1">
      <extLst>
        <ext xmlns:x15="http://schemas.microsoft.com/office/spreadsheetml/2010/11/main" uri="{B97F6D7D-B522-45F9-BDA1-12C45D357490}">
          <x15:cacheHierarchy aggregatedColumn="254"/>
        </ext>
      </extLst>
    </cacheHierarchy>
    <cacheHierarchy uniqueName="[Measures].[Sum of Consumption Quantity 8]" caption="Sum of Consumption Quantity 8" measure="1" displayFolder="" measureGroup="Grounds_Fuels" count="0" hidden="1">
      <extLst>
        <ext xmlns:x15="http://schemas.microsoft.com/office/spreadsheetml/2010/11/main" uri="{B97F6D7D-B522-45F9-BDA1-12C45D357490}">
          <x15:cacheHierarchy aggregatedColumn="178"/>
        </ext>
      </extLst>
    </cacheHierarchy>
    <cacheHierarchy uniqueName="[Measures].[Sum of Consumption Quantity 9]" caption="Sum of Consumption Quantity 9" measure="1" displayFolder="" measureGroup="Pitwater" count="0" hidden="1">
      <extLst>
        <ext xmlns:x15="http://schemas.microsoft.com/office/spreadsheetml/2010/11/main" uri="{B97F6D7D-B522-45F9-BDA1-12C45D357490}">
          <x15:cacheHierarchy aggregatedColumn="292"/>
        </ext>
      </extLst>
    </cacheHierarchy>
    <cacheHierarchy uniqueName="[Measures].[Sum of kL]" caption="Sum of kL" measure="1" displayFolder="" measureGroup="Pitwater" count="0" hidden="1">
      <extLst>
        <ext xmlns:x15="http://schemas.microsoft.com/office/spreadsheetml/2010/11/main" uri="{B97F6D7D-B522-45F9-BDA1-12C45D357490}">
          <x15:cacheHierarchy aggregatedColumn="290"/>
        </ext>
      </extLst>
    </cacheHierarchy>
    <cacheHierarchy uniqueName="[Measures].[Sum of Consumption Quantity 10]" caption="Sum of Consumption Quantity 10" measure="1" displayFolder="" measureGroup="Contractor_Fuels" count="0" hidden="1">
      <extLst>
        <ext xmlns:x15="http://schemas.microsoft.com/office/spreadsheetml/2010/11/main" uri="{B97F6D7D-B522-45F9-BDA1-12C45D357490}">
          <x15:cacheHierarchy aggregatedColumn="50"/>
        </ext>
      </extLst>
    </cacheHierarchy>
    <cacheHierarchy uniqueName="[Measures].[Sum of Consumption Quantity 11]" caption="Sum of Consumption Quantity 11" measure="1" displayFolder="" measureGroup="LP_Fleet" count="0" hidden="1">
      <extLst>
        <ext xmlns:x15="http://schemas.microsoft.com/office/spreadsheetml/2010/11/main" uri="{B97F6D7D-B522-45F9-BDA1-12C45D357490}">
          <x15:cacheHierarchy aggregatedColumn="207"/>
        </ext>
      </extLst>
    </cacheHierarchy>
    <cacheHierarchy uniqueName="[Measures].[Sum of Consumption Quantity 12]" caption="Sum of Consumption Quantity 12" measure="1" displayFolder="" measureGroup="LP_Stationary" count="0" hidden="1">
      <extLst>
        <ext xmlns:x15="http://schemas.microsoft.com/office/spreadsheetml/2010/11/main" uri="{B97F6D7D-B522-45F9-BDA1-12C45D357490}">
          <x15:cacheHierarchy aggregatedColumn="219"/>
        </ext>
      </extLst>
    </cacheHierarchy>
    <cacheHierarchy uniqueName="[Measures].[Sum of Consumption Quantity 13]" caption="Sum of Consumption Quantity 13" measure="1" displayFolder="" measureGroup="AVIS" count="0" hidden="1">
      <extLst>
        <ext xmlns:x15="http://schemas.microsoft.com/office/spreadsheetml/2010/11/main" uri="{B97F6D7D-B522-45F9-BDA1-12C45D357490}">
          <x15:cacheHierarchy aggregatedColumn="9"/>
        </ext>
      </extLst>
    </cacheHierarchy>
    <cacheHierarchy uniqueName="[Measures].[Sum of Total GJ 2]" caption="Sum of Total GJ 2" measure="1" displayFolder="" measureGroup="BCA_Removal" count="0" hidden="1">
      <extLst>
        <ext xmlns:x15="http://schemas.microsoft.com/office/spreadsheetml/2010/11/main" uri="{B97F6D7D-B522-45F9-BDA1-12C45D357490}">
          <x15:cacheHierarchy aggregatedColumn="20"/>
        </ext>
      </extLst>
    </cacheHierarchy>
    <cacheHierarchy uniqueName="[Measures].[Sum of Scope 1 kg CO2-e 2]" caption="Sum of Scope 1 kg CO2-e 2" measure="1" displayFolder="" measureGroup="BCA_Removal" count="0" hidden="1">
      <extLst>
        <ext xmlns:x15="http://schemas.microsoft.com/office/spreadsheetml/2010/11/main" uri="{B97F6D7D-B522-45F9-BDA1-12C45D357490}">
          <x15:cacheHierarchy aggregatedColumn="18"/>
        </ext>
      </extLst>
    </cacheHierarchy>
    <cacheHierarchy uniqueName="[Measures].[Sum of Scope 3 kg CO2-e 2]" caption="Sum of Scope 3 kg CO2-e 2" measure="1" displayFolder="" measureGroup="BCA_Removal" count="0" hidden="1">
      <extLst>
        <ext xmlns:x15="http://schemas.microsoft.com/office/spreadsheetml/2010/11/main" uri="{B97F6D7D-B522-45F9-BDA1-12C45D357490}">
          <x15:cacheHierarchy aggregatedColumn="19"/>
        </ext>
      </extLst>
    </cacheHierarchy>
    <cacheHierarchy uniqueName="[Measures].[Sum of Total Emissions 2]" caption="Sum of Total Emissions 2" measure="1" displayFolder="" measureGroup="BCA_Removal" count="0" hidden="1">
      <extLst>
        <ext xmlns:x15="http://schemas.microsoft.com/office/spreadsheetml/2010/11/main" uri="{B97F6D7D-B522-45F9-BDA1-12C45D357490}">
          <x15:cacheHierarchy aggregatedColumn="21"/>
        </ext>
      </extLst>
    </cacheHierarchy>
    <cacheHierarchy uniqueName="[Measures].[Sum of Total GJ 3]" caption="Sum of Total GJ 3" measure="1" displayFolder="" measureGroup="NBN_Removal" count="0" hidden="1">
      <extLst>
        <ext xmlns:x15="http://schemas.microsoft.com/office/spreadsheetml/2010/11/main" uri="{B97F6D7D-B522-45F9-BDA1-12C45D357490}">
          <x15:cacheHierarchy aggregatedColumn="230"/>
        </ext>
      </extLst>
    </cacheHierarchy>
    <cacheHierarchy uniqueName="[Measures].[Sum of Scope 1 kg CO2-e 3]" caption="Sum of Scope 1 kg CO2-e 3" measure="1" displayFolder="" measureGroup="NBN_Removal" count="0" hidden="1">
      <extLst>
        <ext xmlns:x15="http://schemas.microsoft.com/office/spreadsheetml/2010/11/main" uri="{B97F6D7D-B522-45F9-BDA1-12C45D357490}">
          <x15:cacheHierarchy aggregatedColumn="227"/>
        </ext>
      </extLst>
    </cacheHierarchy>
    <cacheHierarchy uniqueName="[Measures].[Sum of Scope 2 kg CO2-e]" caption="Sum of Scope 2 kg CO2-e" measure="1" displayFolder="" measureGroup="NBN_Removal" count="0" hidden="1">
      <extLst>
        <ext xmlns:x15="http://schemas.microsoft.com/office/spreadsheetml/2010/11/main" uri="{B97F6D7D-B522-45F9-BDA1-12C45D357490}">
          <x15:cacheHierarchy aggregatedColumn="228"/>
        </ext>
      </extLst>
    </cacheHierarchy>
    <cacheHierarchy uniqueName="[Measures].[Sum of Scope 3 kg CO2-e 3]" caption="Sum of Scope 3 kg CO2-e 3" measure="1" displayFolder="" measureGroup="NBN_Removal" count="0" hidden="1">
      <extLst>
        <ext xmlns:x15="http://schemas.microsoft.com/office/spreadsheetml/2010/11/main" uri="{B97F6D7D-B522-45F9-BDA1-12C45D357490}">
          <x15:cacheHierarchy aggregatedColumn="229"/>
        </ext>
      </extLst>
    </cacheHierarchy>
    <cacheHierarchy uniqueName="[Measures].[Sum of Total Emissions 3]" caption="Sum of Total Emissions 3" measure="1" displayFolder="" measureGroup="NBN_Removal" count="0" hidden="1">
      <extLst>
        <ext xmlns:x15="http://schemas.microsoft.com/office/spreadsheetml/2010/11/main" uri="{B97F6D7D-B522-45F9-BDA1-12C45D357490}">
          <x15:cacheHierarchy aggregatedColumn="231"/>
        </ext>
      </extLst>
    </cacheHierarchy>
    <cacheHierarchy uniqueName="[Measures].[Sum of Total GJ 4]" caption="Sum of Total GJ 4" measure="1" displayFolder="" measureGroup="TelstraBCA" count="0" hidden="1">
      <extLst>
        <ext xmlns:x15="http://schemas.microsoft.com/office/spreadsheetml/2010/11/main" uri="{B97F6D7D-B522-45F9-BDA1-12C45D357490}">
          <x15:cacheHierarchy aggregatedColumn="380"/>
        </ext>
      </extLst>
    </cacheHierarchy>
    <cacheHierarchy uniqueName="[Measures].[Sum of Scope 1 kg CO2-e 4]" caption="Sum of Scope 1 kg CO2-e 4" measure="1" displayFolder="" measureGroup="TelstraBCA" count="0" hidden="1">
      <extLst>
        <ext xmlns:x15="http://schemas.microsoft.com/office/spreadsheetml/2010/11/main" uri="{B97F6D7D-B522-45F9-BDA1-12C45D357490}">
          <x15:cacheHierarchy aggregatedColumn="381"/>
        </ext>
      </extLst>
    </cacheHierarchy>
    <cacheHierarchy uniqueName="[Measures].[Sum of Scope 2 kg CO2-e 4]" caption="Sum of Scope 2 kg CO2-e 4" measure="1" displayFolder="" measureGroup="TelstraBCA" count="0" hidden="1">
      <extLst>
        <ext xmlns:x15="http://schemas.microsoft.com/office/spreadsheetml/2010/11/main" uri="{B97F6D7D-B522-45F9-BDA1-12C45D357490}">
          <x15:cacheHierarchy aggregatedColumn="382"/>
        </ext>
      </extLst>
    </cacheHierarchy>
    <cacheHierarchy uniqueName="[Measures].[Sum of Scope 3 kg CO2-e 4]" caption="Sum of Scope 3 kg CO2-e 4" measure="1" displayFolder="" measureGroup="TelstraBCA" count="0" hidden="1">
      <extLst>
        <ext xmlns:x15="http://schemas.microsoft.com/office/spreadsheetml/2010/11/main" uri="{B97F6D7D-B522-45F9-BDA1-12C45D357490}">
          <x15:cacheHierarchy aggregatedColumn="383"/>
        </ext>
      </extLst>
    </cacheHierarchy>
    <cacheHierarchy uniqueName="[Measures].[Sum of Total Emissions 4]" caption="Sum of Total Emissions 4" measure="1" displayFolder="" measureGroup="TelstraBCA" count="0" hidden="1">
      <extLst>
        <ext xmlns:x15="http://schemas.microsoft.com/office/spreadsheetml/2010/11/main" uri="{B97F6D7D-B522-45F9-BDA1-12C45D357490}">
          <x15:cacheHierarchy aggregatedColumn="384"/>
        </ext>
      </extLst>
    </cacheHierarchy>
    <cacheHierarchy uniqueName="[Measures].[Sum of Total GJ 5]" caption="Sum of Total GJ 5" measure="1" displayFolder="" measureGroup="Percentage_Estimates" count="0" hidden="1">
      <extLst>
        <ext xmlns:x15="http://schemas.microsoft.com/office/spreadsheetml/2010/11/main" uri="{B97F6D7D-B522-45F9-BDA1-12C45D357490}">
          <x15:cacheHierarchy aggregatedColumn="283"/>
        </ext>
      </extLst>
    </cacheHierarchy>
    <cacheHierarchy uniqueName="[Measures].[Sum of Scope 1 kg CO2-e 5]" caption="Sum of Scope 1 kg CO2-e 5" measure="1" displayFolder="" measureGroup="Percentage_Estimates" count="0" hidden="1">
      <extLst>
        <ext xmlns:x15="http://schemas.microsoft.com/office/spreadsheetml/2010/11/main" uri="{B97F6D7D-B522-45F9-BDA1-12C45D357490}">
          <x15:cacheHierarchy aggregatedColumn="284"/>
        </ext>
      </extLst>
    </cacheHierarchy>
    <cacheHierarchy uniqueName="[Measures].[Sum of Scope 2 kg CO2-e 5]" caption="Sum of Scope 2 kg CO2-e 5" measure="1" displayFolder="" measureGroup="Percentage_Estimates" count="0" hidden="1">
      <extLst>
        <ext xmlns:x15="http://schemas.microsoft.com/office/spreadsheetml/2010/11/main" uri="{B97F6D7D-B522-45F9-BDA1-12C45D357490}">
          <x15:cacheHierarchy aggregatedColumn="285"/>
        </ext>
      </extLst>
    </cacheHierarchy>
    <cacheHierarchy uniqueName="[Measures].[Sum of Scope 3 kg CO2-e 5]" caption="Sum of Scope 3 kg CO2-e 5" measure="1" displayFolder="" measureGroup="Percentage_Estimates" count="0" hidden="1">
      <extLst>
        <ext xmlns:x15="http://schemas.microsoft.com/office/spreadsheetml/2010/11/main" uri="{B97F6D7D-B522-45F9-BDA1-12C45D357490}">
          <x15:cacheHierarchy aggregatedColumn="286"/>
        </ext>
      </extLst>
    </cacheHierarchy>
    <cacheHierarchy uniqueName="[Measures].[Sum of Total Emissions 5]" caption="Sum of Total Emissions 5" measure="1" displayFolder="" measureGroup="Percentage_Estimates" count="0" hidden="1">
      <extLst>
        <ext xmlns:x15="http://schemas.microsoft.com/office/spreadsheetml/2010/11/main" uri="{B97F6D7D-B522-45F9-BDA1-12C45D357490}">
          <x15:cacheHierarchy aggregatedColumn="287"/>
        </ext>
      </extLst>
    </cacheHierarchy>
    <cacheHierarchy uniqueName="[Measures].[Sum of Scope 1 kg CO2-e 6]" caption="Sum of Scope 1 kg CO2-e 6" measure="1" displayFolder="" measureGroup="SE_Gas" count="0" hidden="1">
      <extLst>
        <ext xmlns:x15="http://schemas.microsoft.com/office/spreadsheetml/2010/11/main" uri="{B97F6D7D-B522-45F9-BDA1-12C45D357490}">
          <x15:cacheHierarchy aggregatedColumn="337"/>
        </ext>
      </extLst>
    </cacheHierarchy>
    <cacheHierarchy uniqueName="[Measures].[Sum of Total GJ 6]" caption="Sum of Total GJ 6" measure="1" displayFolder="" measureGroup="SE_Gas" count="0" hidden="1">
      <extLst>
        <ext xmlns:x15="http://schemas.microsoft.com/office/spreadsheetml/2010/11/main" uri="{B97F6D7D-B522-45F9-BDA1-12C45D357490}">
          <x15:cacheHierarchy aggregatedColumn="340"/>
        </ext>
      </extLst>
    </cacheHierarchy>
    <cacheHierarchy uniqueName="[Measures].[Sum of Scope 2 kg CO2-e 6]" caption="Sum of Scope 2 kg CO2-e 6" measure="1" displayFolder="" measureGroup="SE_Gas" count="0" hidden="1">
      <extLst>
        <ext xmlns:x15="http://schemas.microsoft.com/office/spreadsheetml/2010/11/main" uri="{B97F6D7D-B522-45F9-BDA1-12C45D357490}">
          <x15:cacheHierarchy aggregatedColumn="338"/>
        </ext>
      </extLst>
    </cacheHierarchy>
    <cacheHierarchy uniqueName="[Measures].[Sum of Scope 3 kg CO2-e 6]" caption="Sum of Scope 3 kg CO2-e 6" measure="1" displayFolder="" measureGroup="SE_Gas" count="0" hidden="1">
      <extLst>
        <ext xmlns:x15="http://schemas.microsoft.com/office/spreadsheetml/2010/11/main" uri="{B97F6D7D-B522-45F9-BDA1-12C45D357490}">
          <x15:cacheHierarchy aggregatedColumn="339"/>
        </ext>
      </extLst>
    </cacheHierarchy>
    <cacheHierarchy uniqueName="[Measures].[Sum of Total Emissions 6]" caption="Sum of Total Emissions 6" measure="1" displayFolder="" measureGroup="SE_Gas" count="0" hidden="1">
      <extLst>
        <ext xmlns:x15="http://schemas.microsoft.com/office/spreadsheetml/2010/11/main" uri="{B97F6D7D-B522-45F9-BDA1-12C45D357490}">
          <x15:cacheHierarchy aggregatedColumn="341"/>
        </ext>
      </extLst>
    </cacheHierarchy>
    <cacheHierarchy uniqueName="[Measures].[Sum of Scope 1 kg CO2-e 7]" caption="Sum of Scope 1 kg CO2-e 7" measure="1" displayFolder="" measureGroup="Solar" count="0" hidden="1">
      <extLst>
        <ext xmlns:x15="http://schemas.microsoft.com/office/spreadsheetml/2010/11/main" uri="{B97F6D7D-B522-45F9-BDA1-12C45D357490}">
          <x15:cacheHierarchy aggregatedColumn="351"/>
        </ext>
      </extLst>
    </cacheHierarchy>
    <cacheHierarchy uniqueName="[Measures].[Sum of Scope 2 kg CO2-e 7]" caption="Sum of Scope 2 kg CO2-e 7" measure="1" displayFolder="" measureGroup="Solar" count="0" hidden="1">
      <extLst>
        <ext xmlns:x15="http://schemas.microsoft.com/office/spreadsheetml/2010/11/main" uri="{B97F6D7D-B522-45F9-BDA1-12C45D357490}">
          <x15:cacheHierarchy aggregatedColumn="352"/>
        </ext>
      </extLst>
    </cacheHierarchy>
    <cacheHierarchy uniqueName="[Measures].[Sum of Scope 3 kg CO2-e 7]" caption="Sum of Scope 3 kg CO2-e 7" measure="1" displayFolder="" measureGroup="Solar" count="0" hidden="1">
      <extLst>
        <ext xmlns:x15="http://schemas.microsoft.com/office/spreadsheetml/2010/11/main" uri="{B97F6D7D-B522-45F9-BDA1-12C45D357490}">
          <x15:cacheHierarchy aggregatedColumn="353"/>
        </ext>
      </extLst>
    </cacheHierarchy>
    <cacheHierarchy uniqueName="[Measures].[Sum of Total GJ 7]" caption="Sum of Total GJ 7" measure="1" displayFolder="" measureGroup="Solar" count="0" hidden="1">
      <extLst>
        <ext xmlns:x15="http://schemas.microsoft.com/office/spreadsheetml/2010/11/main" uri="{B97F6D7D-B522-45F9-BDA1-12C45D357490}">
          <x15:cacheHierarchy aggregatedColumn="354"/>
        </ext>
      </extLst>
    </cacheHierarchy>
    <cacheHierarchy uniqueName="[Measures].[Sum of Total Emissions 7]" caption="Sum of Total Emissions 7" measure="1" displayFolder="" measureGroup="Solar" count="0" hidden="1">
      <extLst>
        <ext xmlns:x15="http://schemas.microsoft.com/office/spreadsheetml/2010/11/main" uri="{B97F6D7D-B522-45F9-BDA1-12C45D357490}">
          <x15:cacheHierarchy aggregatedColumn="355"/>
        </ext>
      </extLst>
    </cacheHierarchy>
    <cacheHierarchy uniqueName="[Measures].[Sum of Total GJ 8]" caption="Sum of Total GJ 8" measure="1" displayFolder="" measureGroup="AVIS" count="0" hidden="1">
      <extLst>
        <ext xmlns:x15="http://schemas.microsoft.com/office/spreadsheetml/2010/11/main" uri="{B97F6D7D-B522-45F9-BDA1-12C45D357490}">
          <x15:cacheHierarchy aggregatedColumn="10"/>
        </ext>
      </extLst>
    </cacheHierarchy>
    <cacheHierarchy uniqueName="[Measures].[Sum of Scope 1 kg CO2-e 8]" caption="Sum of Scope 1 kg CO2-e 8" measure="1" displayFolder="" measureGroup="AVIS" count="0" hidden="1">
      <extLst>
        <ext xmlns:x15="http://schemas.microsoft.com/office/spreadsheetml/2010/11/main" uri="{B97F6D7D-B522-45F9-BDA1-12C45D357490}">
          <x15:cacheHierarchy aggregatedColumn="11"/>
        </ext>
      </extLst>
    </cacheHierarchy>
    <cacheHierarchy uniqueName="[Measures].[Sum of Scope 2 kg CO2-e 8]" caption="Sum of Scope 2 kg CO2-e 8" measure="1" displayFolder="" measureGroup="AVIS" count="0" hidden="1">
      <extLst>
        <ext xmlns:x15="http://schemas.microsoft.com/office/spreadsheetml/2010/11/main" uri="{B97F6D7D-B522-45F9-BDA1-12C45D357490}">
          <x15:cacheHierarchy aggregatedColumn="12"/>
        </ext>
      </extLst>
    </cacheHierarchy>
    <cacheHierarchy uniqueName="[Measures].[Sum of Scope 3 kg CO2-e 8]" caption="Sum of Scope 3 kg CO2-e 8" measure="1" displayFolder="" measureGroup="AVIS" count="0" hidden="1">
      <extLst>
        <ext xmlns:x15="http://schemas.microsoft.com/office/spreadsheetml/2010/11/main" uri="{B97F6D7D-B522-45F9-BDA1-12C45D357490}">
          <x15:cacheHierarchy aggregatedColumn="13"/>
        </ext>
      </extLst>
    </cacheHierarchy>
    <cacheHierarchy uniqueName="[Measures].[Sum of Total Emissions 8]" caption="Sum of Total Emissions 8" measure="1" displayFolder="" measureGroup="AVIS" count="0" hidden="1">
      <extLst>
        <ext xmlns:x15="http://schemas.microsoft.com/office/spreadsheetml/2010/11/main" uri="{B97F6D7D-B522-45F9-BDA1-12C45D357490}">
          <x15:cacheHierarchy aggregatedColumn="14"/>
        </ext>
      </extLst>
    </cacheHierarchy>
    <cacheHierarchy uniqueName="[Measures].[Sum of Total GJ 9]" caption="Sum of Total GJ 9" measure="1" displayFolder="" measureGroup="LP_Fleet" count="0" hidden="1">
      <extLst>
        <ext xmlns:x15="http://schemas.microsoft.com/office/spreadsheetml/2010/11/main" uri="{B97F6D7D-B522-45F9-BDA1-12C45D357490}">
          <x15:cacheHierarchy aggregatedColumn="208"/>
        </ext>
      </extLst>
    </cacheHierarchy>
    <cacheHierarchy uniqueName="[Measures].[Sum of Scope 1 kg CO2-e 9]" caption="Sum of Scope 1 kg CO2-e 9" measure="1" displayFolder="" measureGroup="LP_Fleet" count="0" hidden="1">
      <extLst>
        <ext xmlns:x15="http://schemas.microsoft.com/office/spreadsheetml/2010/11/main" uri="{B97F6D7D-B522-45F9-BDA1-12C45D357490}">
          <x15:cacheHierarchy aggregatedColumn="209"/>
        </ext>
      </extLst>
    </cacheHierarchy>
    <cacheHierarchy uniqueName="[Measures].[Sum of Scope 2 kg CO2-e 9]" caption="Sum of Scope 2 kg CO2-e 9" measure="1" displayFolder="" measureGroup="LP_Fleet" count="0" hidden="1">
      <extLst>
        <ext xmlns:x15="http://schemas.microsoft.com/office/spreadsheetml/2010/11/main" uri="{B97F6D7D-B522-45F9-BDA1-12C45D357490}">
          <x15:cacheHierarchy aggregatedColumn="210"/>
        </ext>
      </extLst>
    </cacheHierarchy>
    <cacheHierarchy uniqueName="[Measures].[Sum of Scope 3 kg CO2-e 9]" caption="Sum of Scope 3 kg CO2-e 9" measure="1" displayFolder="" measureGroup="LP_Fleet" count="0" hidden="1">
      <extLst>
        <ext xmlns:x15="http://schemas.microsoft.com/office/spreadsheetml/2010/11/main" uri="{B97F6D7D-B522-45F9-BDA1-12C45D357490}">
          <x15:cacheHierarchy aggregatedColumn="211"/>
        </ext>
      </extLst>
    </cacheHierarchy>
    <cacheHierarchy uniqueName="[Measures].[Sum of Total Emissions 9]" caption="Sum of Total Emissions 9" measure="1" displayFolder="" measureGroup="LP_Fleet" count="0" hidden="1">
      <extLst>
        <ext xmlns:x15="http://schemas.microsoft.com/office/spreadsheetml/2010/11/main" uri="{B97F6D7D-B522-45F9-BDA1-12C45D357490}">
          <x15:cacheHierarchy aggregatedColumn="212"/>
        </ext>
      </extLst>
    </cacheHierarchy>
    <cacheHierarchy uniqueName="[Measures].[Sum of Total GJ 10]" caption="Sum of Total GJ 10" measure="1" displayFolder="" measureGroup="Contractor_Fuels" count="0" hidden="1">
      <extLst>
        <ext xmlns:x15="http://schemas.microsoft.com/office/spreadsheetml/2010/11/main" uri="{B97F6D7D-B522-45F9-BDA1-12C45D357490}">
          <x15:cacheHierarchy aggregatedColumn="51"/>
        </ext>
      </extLst>
    </cacheHierarchy>
    <cacheHierarchy uniqueName="[Measures].[Sum of Scope 1 kg CO2-e 10]" caption="Sum of Scope 1 kg CO2-e 10" measure="1" displayFolder="" measureGroup="Contractor_Fuels" count="0" hidden="1">
      <extLst>
        <ext xmlns:x15="http://schemas.microsoft.com/office/spreadsheetml/2010/11/main" uri="{B97F6D7D-B522-45F9-BDA1-12C45D357490}">
          <x15:cacheHierarchy aggregatedColumn="52"/>
        </ext>
      </extLst>
    </cacheHierarchy>
    <cacheHierarchy uniqueName="[Measures].[Sum of Scope 2 kg CO2-e 10]" caption="Sum of Scope 2 kg CO2-e 10" measure="1" displayFolder="" measureGroup="Contractor_Fuels" count="0" hidden="1">
      <extLst>
        <ext xmlns:x15="http://schemas.microsoft.com/office/spreadsheetml/2010/11/main" uri="{B97F6D7D-B522-45F9-BDA1-12C45D357490}">
          <x15:cacheHierarchy aggregatedColumn="53"/>
        </ext>
      </extLst>
    </cacheHierarchy>
    <cacheHierarchy uniqueName="[Measures].[Sum of Scope 3 kg CO2-e 10]" caption="Sum of Scope 3 kg CO2-e 10" measure="1" displayFolder="" measureGroup="Contractor_Fuels" count="0" hidden="1">
      <extLst>
        <ext xmlns:x15="http://schemas.microsoft.com/office/spreadsheetml/2010/11/main" uri="{B97F6D7D-B522-45F9-BDA1-12C45D357490}">
          <x15:cacheHierarchy aggregatedColumn="54"/>
        </ext>
      </extLst>
    </cacheHierarchy>
    <cacheHierarchy uniqueName="[Measures].[Sum of Total Emissions 10]" caption="Sum of Total Emissions 10" measure="1" displayFolder="" measureGroup="Contractor_Fuels" count="0" hidden="1">
      <extLst>
        <ext xmlns:x15="http://schemas.microsoft.com/office/spreadsheetml/2010/11/main" uri="{B97F6D7D-B522-45F9-BDA1-12C45D357490}">
          <x15:cacheHierarchy aggregatedColumn="55"/>
        </ext>
      </extLst>
    </cacheHierarchy>
    <cacheHierarchy uniqueName="[Measures].[Sum of Consumption Quantity 14]" caption="Sum of Consumption Quantity 14" measure="1" displayFolder="" measureGroup="DC_Genset" count="0" hidden="1">
      <extLst>
        <ext xmlns:x15="http://schemas.microsoft.com/office/spreadsheetml/2010/11/main" uri="{B97F6D7D-B522-45F9-BDA1-12C45D357490}">
          <x15:cacheHierarchy aggregatedColumn="61"/>
        </ext>
      </extLst>
    </cacheHierarchy>
    <cacheHierarchy uniqueName="[Measures].[Sum of Total GJ 11]" caption="Sum of Total GJ 11" measure="1" displayFolder="" measureGroup="DC_Genset" count="0" hidden="1">
      <extLst>
        <ext xmlns:x15="http://schemas.microsoft.com/office/spreadsheetml/2010/11/main" uri="{B97F6D7D-B522-45F9-BDA1-12C45D357490}">
          <x15:cacheHierarchy aggregatedColumn="63"/>
        </ext>
      </extLst>
    </cacheHierarchy>
    <cacheHierarchy uniqueName="[Measures].[Sum of Scope 1 kg CO2-e 11]" caption="Sum of Scope 1 kg CO2-e 11" measure="1" displayFolder="" measureGroup="DC_Genset" count="0" hidden="1">
      <extLst>
        <ext xmlns:x15="http://schemas.microsoft.com/office/spreadsheetml/2010/11/main" uri="{B97F6D7D-B522-45F9-BDA1-12C45D357490}">
          <x15:cacheHierarchy aggregatedColumn="64"/>
        </ext>
      </extLst>
    </cacheHierarchy>
    <cacheHierarchy uniqueName="[Measures].[Sum of Scope 2 kg CO2-e 11]" caption="Sum of Scope 2 kg CO2-e 11" measure="1" displayFolder="" measureGroup="DC_Genset" count="0" hidden="1">
      <extLst>
        <ext xmlns:x15="http://schemas.microsoft.com/office/spreadsheetml/2010/11/main" uri="{B97F6D7D-B522-45F9-BDA1-12C45D357490}">
          <x15:cacheHierarchy aggregatedColumn="65"/>
        </ext>
      </extLst>
    </cacheHierarchy>
    <cacheHierarchy uniqueName="[Measures].[Sum of Scope 3 kg CO2-e 11]" caption="Sum of Scope 3 kg CO2-e 11" measure="1" displayFolder="" measureGroup="DC_Genset" count="0" hidden="1">
      <extLst>
        <ext xmlns:x15="http://schemas.microsoft.com/office/spreadsheetml/2010/11/main" uri="{B97F6D7D-B522-45F9-BDA1-12C45D357490}">
          <x15:cacheHierarchy aggregatedColumn="66"/>
        </ext>
      </extLst>
    </cacheHierarchy>
    <cacheHierarchy uniqueName="[Measures].[Sum of Total Emissions 11]" caption="Sum of Total Emissions 11" measure="1" displayFolder="" measureGroup="DC_Genset" count="0" hidden="1">
      <extLst>
        <ext xmlns:x15="http://schemas.microsoft.com/office/spreadsheetml/2010/11/main" uri="{B97F6D7D-B522-45F9-BDA1-12C45D357490}">
          <x15:cacheHierarchy aggregatedColumn="67"/>
        </ext>
      </extLst>
    </cacheHierarchy>
    <cacheHierarchy uniqueName="[Measures].[Sum of Total GJ 12]" caption="Sum of Total GJ 12" measure="1" displayFolder="" measureGroup="LP_Stationary" count="0" hidden="1">
      <extLst>
        <ext xmlns:x15="http://schemas.microsoft.com/office/spreadsheetml/2010/11/main" uri="{B97F6D7D-B522-45F9-BDA1-12C45D357490}">
          <x15:cacheHierarchy aggregatedColumn="220"/>
        </ext>
      </extLst>
    </cacheHierarchy>
    <cacheHierarchy uniqueName="[Measures].[Sum of Scope 1 kg CO2-e 12]" caption="Sum of Scope 1 kg CO2-e 12" measure="1" displayFolder="" measureGroup="LP_Stationary" count="0" hidden="1">
      <extLst>
        <ext xmlns:x15="http://schemas.microsoft.com/office/spreadsheetml/2010/11/main" uri="{B97F6D7D-B522-45F9-BDA1-12C45D357490}">
          <x15:cacheHierarchy aggregatedColumn="221"/>
        </ext>
      </extLst>
    </cacheHierarchy>
    <cacheHierarchy uniqueName="[Measures].[Sum of Scope 2 kg CO2-e 12]" caption="Sum of Scope 2 kg CO2-e 12" measure="1" displayFolder="" measureGroup="LP_Stationary" count="0" hidden="1">
      <extLst>
        <ext xmlns:x15="http://schemas.microsoft.com/office/spreadsheetml/2010/11/main" uri="{B97F6D7D-B522-45F9-BDA1-12C45D357490}">
          <x15:cacheHierarchy aggregatedColumn="222"/>
        </ext>
      </extLst>
    </cacheHierarchy>
    <cacheHierarchy uniqueName="[Measures].[Sum of Scope 3 kg CO2-e 12]" caption="Sum of Scope 3 kg CO2-e 12" measure="1" displayFolder="" measureGroup="LP_Stationary" count="0" hidden="1">
      <extLst>
        <ext xmlns:x15="http://schemas.microsoft.com/office/spreadsheetml/2010/11/main" uri="{B97F6D7D-B522-45F9-BDA1-12C45D357490}">
          <x15:cacheHierarchy aggregatedColumn="223"/>
        </ext>
      </extLst>
    </cacheHierarchy>
    <cacheHierarchy uniqueName="[Measures].[Sum of Total Emissions 12]" caption="Sum of Total Emissions 12" measure="1" displayFolder="" measureGroup="LP_Stationary" count="0" hidden="1">
      <extLst>
        <ext xmlns:x15="http://schemas.microsoft.com/office/spreadsheetml/2010/11/main" uri="{B97F6D7D-B522-45F9-BDA1-12C45D357490}">
          <x15:cacheHierarchy aggregatedColumn="224"/>
        </ext>
      </extLst>
    </cacheHierarchy>
    <cacheHierarchy uniqueName="[Measures].[Sum of Total GJ 13]" caption="Sum of Total GJ 13" measure="1" displayFolder="" measureGroup="NET_Genset_Grounds" count="0" hidden="1">
      <extLst>
        <ext xmlns:x15="http://schemas.microsoft.com/office/spreadsheetml/2010/11/main" uri="{B97F6D7D-B522-45F9-BDA1-12C45D357490}">
          <x15:cacheHierarchy aggregatedColumn="240"/>
        </ext>
      </extLst>
    </cacheHierarchy>
    <cacheHierarchy uniqueName="[Measures].[Sum of Scope 1 kg CO2-e 13]" caption="Sum of Scope 1 kg CO2-e 13" measure="1" displayFolder="" measureGroup="NET_Genset_Grounds" count="0" hidden="1">
      <extLst>
        <ext xmlns:x15="http://schemas.microsoft.com/office/spreadsheetml/2010/11/main" uri="{B97F6D7D-B522-45F9-BDA1-12C45D357490}">
          <x15:cacheHierarchy aggregatedColumn="241"/>
        </ext>
      </extLst>
    </cacheHierarchy>
    <cacheHierarchy uniqueName="[Measures].[Sum of Scope 2 kg CO2-e 13]" caption="Sum of Scope 2 kg CO2-e 13" measure="1" displayFolder="" measureGroup="NET_Genset_Grounds" count="0" hidden="1">
      <extLst>
        <ext xmlns:x15="http://schemas.microsoft.com/office/spreadsheetml/2010/11/main" uri="{B97F6D7D-B522-45F9-BDA1-12C45D357490}">
          <x15:cacheHierarchy aggregatedColumn="242"/>
        </ext>
      </extLst>
    </cacheHierarchy>
    <cacheHierarchy uniqueName="[Measures].[Sum of Scope 3 kg CO2-e 13]" caption="Sum of Scope 3 kg CO2-e 13" measure="1" displayFolder="" measureGroup="NET_Genset_Grounds" count="0" hidden="1">
      <extLst>
        <ext xmlns:x15="http://schemas.microsoft.com/office/spreadsheetml/2010/11/main" uri="{B97F6D7D-B522-45F9-BDA1-12C45D357490}">
          <x15:cacheHierarchy aggregatedColumn="243"/>
        </ext>
      </extLst>
    </cacheHierarchy>
    <cacheHierarchy uniqueName="[Measures].[Sum of Total Emissions 13]" caption="Sum of Total Emissions 13" measure="1" displayFolder="" measureGroup="NET_Genset_Grounds" count="0" hidden="1">
      <extLst>
        <ext xmlns:x15="http://schemas.microsoft.com/office/spreadsheetml/2010/11/main" uri="{B97F6D7D-B522-45F9-BDA1-12C45D357490}">
          <x15:cacheHierarchy aggregatedColumn="244"/>
        </ext>
      </extLst>
    </cacheHierarchy>
    <cacheHierarchy uniqueName="[Measures].[Sum of Total GJ 14]" caption="Sum of Total GJ 14" measure="1" displayFolder="" measureGroup="NON_Genset" count="0" hidden="1">
      <extLst>
        <ext xmlns:x15="http://schemas.microsoft.com/office/spreadsheetml/2010/11/main" uri="{B97F6D7D-B522-45F9-BDA1-12C45D357490}">
          <x15:cacheHierarchy aggregatedColumn="255"/>
        </ext>
      </extLst>
    </cacheHierarchy>
    <cacheHierarchy uniqueName="[Measures].[Sum of Scope 1 kg CO2-e 14]" caption="Sum of Scope 1 kg CO2-e 14" measure="1" displayFolder="" measureGroup="NON_Genset" count="0" hidden="1">
      <extLst>
        <ext xmlns:x15="http://schemas.microsoft.com/office/spreadsheetml/2010/11/main" uri="{B97F6D7D-B522-45F9-BDA1-12C45D357490}">
          <x15:cacheHierarchy aggregatedColumn="256"/>
        </ext>
      </extLst>
    </cacheHierarchy>
    <cacheHierarchy uniqueName="[Measures].[Sum of Scope 2 kg CO2-e 14]" caption="Sum of Scope 2 kg CO2-e 14" measure="1" displayFolder="" measureGroup="NON_Genset" count="0" hidden="1">
      <extLst>
        <ext xmlns:x15="http://schemas.microsoft.com/office/spreadsheetml/2010/11/main" uri="{B97F6D7D-B522-45F9-BDA1-12C45D357490}">
          <x15:cacheHierarchy aggregatedColumn="257"/>
        </ext>
      </extLst>
    </cacheHierarchy>
    <cacheHierarchy uniqueName="[Measures].[Sum of Scope 3 kg CO2-e 14]" caption="Sum of Scope 3 kg CO2-e 14" measure="1" displayFolder="" measureGroup="NON_Genset" count="0" hidden="1">
      <extLst>
        <ext xmlns:x15="http://schemas.microsoft.com/office/spreadsheetml/2010/11/main" uri="{B97F6D7D-B522-45F9-BDA1-12C45D357490}">
          <x15:cacheHierarchy aggregatedColumn="258"/>
        </ext>
      </extLst>
    </cacheHierarchy>
    <cacheHierarchy uniqueName="[Measures].[Sum of Total Emissions 14]" caption="Sum of Total Emissions 14" measure="1" displayFolder="" measureGroup="NON_Genset" count="0" hidden="1">
      <extLst>
        <ext xmlns:x15="http://schemas.microsoft.com/office/spreadsheetml/2010/11/main" uri="{B97F6D7D-B522-45F9-BDA1-12C45D357490}">
          <x15:cacheHierarchy aggregatedColumn="259"/>
        </ext>
      </extLst>
    </cacheHierarchy>
    <cacheHierarchy uniqueName="[Measures].[Sum of Scope 1 kg CO2-e 15]" caption="Sum of Scope 1 kg CO2-e 15" measure="1" displayFolder="" measureGroup="Pitwater" count="0" hidden="1">
      <extLst>
        <ext xmlns:x15="http://schemas.microsoft.com/office/spreadsheetml/2010/11/main" uri="{B97F6D7D-B522-45F9-BDA1-12C45D357490}">
          <x15:cacheHierarchy aggregatedColumn="293"/>
        </ext>
      </extLst>
    </cacheHierarchy>
    <cacheHierarchy uniqueName="[Measures].[Sum of Total GJ 15]" caption="Sum of Total GJ 15" measure="1" displayFolder="" measureGroup="Pitwater" count="0" hidden="1">
      <extLst>
        <ext xmlns:x15="http://schemas.microsoft.com/office/spreadsheetml/2010/11/main" uri="{B97F6D7D-B522-45F9-BDA1-12C45D357490}">
          <x15:cacheHierarchy aggregatedColumn="291"/>
        </ext>
      </extLst>
    </cacheHierarchy>
    <cacheHierarchy uniqueName="[Measures].[Sum of Scope 2 kg CO2-e 15]" caption="Sum of Scope 2 kg CO2-e 15" measure="1" displayFolder="" measureGroup="Pitwater" count="0" hidden="1">
      <extLst>
        <ext xmlns:x15="http://schemas.microsoft.com/office/spreadsheetml/2010/11/main" uri="{B97F6D7D-B522-45F9-BDA1-12C45D357490}">
          <x15:cacheHierarchy aggregatedColumn="294"/>
        </ext>
      </extLst>
    </cacheHierarchy>
    <cacheHierarchy uniqueName="[Measures].[Sum of Scope 3 kg CO2-e 15]" caption="Sum of Scope 3 kg CO2-e 15" measure="1" displayFolder="" measureGroup="Pitwater" count="0" hidden="1">
      <extLst>
        <ext xmlns:x15="http://schemas.microsoft.com/office/spreadsheetml/2010/11/main" uri="{B97F6D7D-B522-45F9-BDA1-12C45D357490}">
          <x15:cacheHierarchy aggregatedColumn="295"/>
        </ext>
      </extLst>
    </cacheHierarchy>
    <cacheHierarchy uniqueName="[Measures].[Sum of Total Emissions 15]" caption="Sum of Total Emissions 15" measure="1" displayFolder="" measureGroup="Pitwater" count="0" hidden="1">
      <extLst>
        <ext xmlns:x15="http://schemas.microsoft.com/office/spreadsheetml/2010/11/main" uri="{B97F6D7D-B522-45F9-BDA1-12C45D357490}">
          <x15:cacheHierarchy aggregatedColumn="296"/>
        </ext>
      </extLst>
    </cacheHierarchy>
    <cacheHierarchy uniqueName="[Measures].[Sum of Total GJ 16]" caption="Sum of Total GJ 16" measure="1" displayFolder="" measureGroup="Grounds_Fuels" count="0" hidden="1">
      <extLst>
        <ext xmlns:x15="http://schemas.microsoft.com/office/spreadsheetml/2010/11/main" uri="{B97F6D7D-B522-45F9-BDA1-12C45D357490}">
          <x15:cacheHierarchy aggregatedColumn="179"/>
        </ext>
      </extLst>
    </cacheHierarchy>
    <cacheHierarchy uniqueName="[Measures].[Sum of Scope 1 kg CO2-e 16]" caption="Sum of Scope 1 kg CO2-e 16" measure="1" displayFolder="" measureGroup="Grounds_Fuels" count="0" hidden="1">
      <extLst>
        <ext xmlns:x15="http://schemas.microsoft.com/office/spreadsheetml/2010/11/main" uri="{B97F6D7D-B522-45F9-BDA1-12C45D357490}">
          <x15:cacheHierarchy aggregatedColumn="180"/>
        </ext>
      </extLst>
    </cacheHierarchy>
    <cacheHierarchy uniqueName="[Measures].[Sum of Scope 2 kg CO2-e 16]" caption="Sum of Scope 2 kg CO2-e 16" measure="1" displayFolder="" measureGroup="Grounds_Fuels" count="0" hidden="1">
      <extLst>
        <ext xmlns:x15="http://schemas.microsoft.com/office/spreadsheetml/2010/11/main" uri="{B97F6D7D-B522-45F9-BDA1-12C45D357490}">
          <x15:cacheHierarchy aggregatedColumn="181"/>
        </ext>
      </extLst>
    </cacheHierarchy>
    <cacheHierarchy uniqueName="[Measures].[Sum of Scope 3 kg CO2-e 16]" caption="Sum of Scope 3 kg CO2-e 16" measure="1" displayFolder="" measureGroup="Grounds_Fuels" count="0" hidden="1">
      <extLst>
        <ext xmlns:x15="http://schemas.microsoft.com/office/spreadsheetml/2010/11/main" uri="{B97F6D7D-B522-45F9-BDA1-12C45D357490}">
          <x15:cacheHierarchy aggregatedColumn="182"/>
        </ext>
      </extLst>
    </cacheHierarchy>
    <cacheHierarchy uniqueName="[Measures].[Sum of Total Emissions 16]" caption="Sum of Total Emissions 16" measure="1" displayFolder="" measureGroup="Grounds_Fuels" count="0" hidden="1">
      <extLst>
        <ext xmlns:x15="http://schemas.microsoft.com/office/spreadsheetml/2010/11/main" uri="{B97F6D7D-B522-45F9-BDA1-12C45D357490}">
          <x15:cacheHierarchy aggregatedColumn="183"/>
        </ext>
      </extLst>
    </cacheHierarchy>
    <cacheHierarchy uniqueName="[Measures].[Sum of Consumption Quantity 15]" caption="Sum of Consumption Quantity 15" measure="1" displayFolder="" measureGroup="Summary" count="0" hidden="1">
      <extLst>
        <ext xmlns:x15="http://schemas.microsoft.com/office/spreadsheetml/2010/11/main" uri="{B97F6D7D-B522-45F9-BDA1-12C45D357490}">
          <x15:cacheHierarchy aggregatedColumn="363"/>
        </ext>
      </extLst>
    </cacheHierarchy>
    <cacheHierarchy uniqueName="[Measures].[Sum of Total GJ 17]" caption="Sum of Total GJ 17" measure="1" displayFolder="" measureGroup="Summary" count="0" hidden="1">
      <extLst>
        <ext xmlns:x15="http://schemas.microsoft.com/office/spreadsheetml/2010/11/main" uri="{B97F6D7D-B522-45F9-BDA1-12C45D357490}">
          <x15:cacheHierarchy aggregatedColumn="364"/>
        </ext>
      </extLst>
    </cacheHierarchy>
    <cacheHierarchy uniqueName="[Measures].[Sum of Scope 1 kg CO2-e 17]" caption="Sum of Scope 1 kg CO2-e 17" measure="1" displayFolder="" measureGroup="Summary" count="0" hidden="1">
      <extLst>
        <ext xmlns:x15="http://schemas.microsoft.com/office/spreadsheetml/2010/11/main" uri="{B97F6D7D-B522-45F9-BDA1-12C45D357490}">
          <x15:cacheHierarchy aggregatedColumn="365"/>
        </ext>
      </extLst>
    </cacheHierarchy>
    <cacheHierarchy uniqueName="[Measures].[Sum of Scope 2 kg CO2-e 17]" caption="Sum of Scope 2 kg CO2-e 17" measure="1" displayFolder="" measureGroup="Summary" count="0" hidden="1">
      <extLst>
        <ext xmlns:x15="http://schemas.microsoft.com/office/spreadsheetml/2010/11/main" uri="{B97F6D7D-B522-45F9-BDA1-12C45D357490}">
          <x15:cacheHierarchy aggregatedColumn="366"/>
        </ext>
      </extLst>
    </cacheHierarchy>
    <cacheHierarchy uniqueName="[Measures].[Sum of Scope 3 kg CO2-e 17]" caption="Sum of Scope 3 kg CO2-e 17" measure="1" displayFolder="" measureGroup="Summary" count="0" hidden="1">
      <extLst>
        <ext xmlns:x15="http://schemas.microsoft.com/office/spreadsheetml/2010/11/main" uri="{B97F6D7D-B522-45F9-BDA1-12C45D357490}">
          <x15:cacheHierarchy aggregatedColumn="367"/>
        </ext>
      </extLst>
    </cacheHierarchy>
    <cacheHierarchy uniqueName="[Measures].[Sum of Total Emissions 17]" caption="Sum of Total Emissions 17" measure="1" displayFolder="" measureGroup="Summary" count="0" hidden="1">
      <extLst>
        <ext xmlns:x15="http://schemas.microsoft.com/office/spreadsheetml/2010/11/main" uri="{B97F6D7D-B522-45F9-BDA1-12C45D357490}">
          <x15:cacheHierarchy aggregatedColumn="368"/>
        </ext>
      </extLst>
    </cacheHierarchy>
    <cacheHierarchy uniqueName="[Measures].[Sum of Unit]" caption="Sum of Unit" measure="1" displayFolder="" measureGroup="Flight_Model" count="0" hidden="1">
      <extLst>
        <ext xmlns:x15="http://schemas.microsoft.com/office/spreadsheetml/2010/11/main" uri="{B97F6D7D-B522-45F9-BDA1-12C45D357490}">
          <x15:cacheHierarchy aggregatedColumn="125"/>
        </ext>
      </extLst>
    </cacheHierarchy>
    <cacheHierarchy uniqueName="[Measures].[Sum of Annual Energy Savings (KWh)]" caption="Sum of Annual Energy Savings (KWh)" measure="1" displayFolder="" measureGroup="Savings_Data" count="0" hidden="1">
      <extLst>
        <ext xmlns:x15="http://schemas.microsoft.com/office/spreadsheetml/2010/11/main" uri="{B97F6D7D-B522-45F9-BDA1-12C45D357490}">
          <x15:cacheHierarchy aggregatedColumn="329"/>
        </ext>
      </extLst>
    </cacheHierarchy>
    <cacheHierarchy uniqueName="[Measures].[Sum of Scope 2 kg CO2-e 18]" caption="Sum of Scope 2 kg CO2-e 18" measure="1" displayFolder="" measureGroup="Savings_Data" count="0" hidden="1">
      <extLst>
        <ext xmlns:x15="http://schemas.microsoft.com/office/spreadsheetml/2010/11/main" uri="{B97F6D7D-B522-45F9-BDA1-12C45D357490}">
          <x15:cacheHierarchy aggregatedColumn="330"/>
        </ext>
      </extLst>
    </cacheHierarchy>
    <cacheHierarchy uniqueName="[Measures].[Sum of Scope 3 kg CO2-e 19]" caption="Sum of Scope 3 kg CO2-e 19" measure="1" displayFolder="" measureGroup="Savings_Data" count="0" hidden="1">
      <extLst>
        <ext xmlns:x15="http://schemas.microsoft.com/office/spreadsheetml/2010/11/main" uri="{B97F6D7D-B522-45F9-BDA1-12C45D357490}">
          <x15:cacheHierarchy aggregatedColumn="331"/>
        </ext>
      </extLst>
    </cacheHierarchy>
    <cacheHierarchy uniqueName="[Measures].[Sum of Total Tonnes]" caption="Sum of Total Tonnes" measure="1" displayFolder="" measureGroup="Savings_Data" count="0" hidden="1">
      <extLst>
        <ext xmlns:x15="http://schemas.microsoft.com/office/spreadsheetml/2010/11/main" uri="{B97F6D7D-B522-45F9-BDA1-12C45D357490}">
          <x15:cacheHierarchy aggregatedColumn="332"/>
        </ext>
      </extLst>
    </cacheHierarchy>
    <cacheHierarchy uniqueName="[Measures].[Sum of Total GJ 18]" caption="Sum of Total GJ 18" measure="1" displayFolder="" measureGroup="Savings_Data" count="0" hidden="1">
      <extLst>
        <ext xmlns:x15="http://schemas.microsoft.com/office/spreadsheetml/2010/11/main" uri="{B97F6D7D-B522-45F9-BDA1-12C45D357490}">
          <x15:cacheHierarchy aggregatedColumn="333"/>
        </ext>
      </extLst>
    </cacheHierarchy>
    <cacheHierarchy uniqueName="[Measures].[Sum of t]" caption="Sum of t" measure="1" displayFolder="" measureGroup="Paper_CSR" count="0" hidden="1">
      <extLst>
        <ext xmlns:x15="http://schemas.microsoft.com/office/spreadsheetml/2010/11/main" uri="{B97F6D7D-B522-45F9-BDA1-12C45D357490}">
          <x15:cacheHierarchy aggregatedColumn="261"/>
        </ext>
      </extLst>
    </cacheHierarchy>
    <cacheHierarchy uniqueName="[Measures].[Sum of Consumption Quantity 16]" caption="Sum of Consumption Quantity 16" measure="1" displayFolder="" measureGroup="Summary37" count="0" hidden="1">
      <extLst>
        <ext xmlns:x15="http://schemas.microsoft.com/office/spreadsheetml/2010/11/main" uri="{B97F6D7D-B522-45F9-BDA1-12C45D357490}">
          <x15:cacheHierarchy aggregatedColumn="372"/>
        </ext>
      </extLst>
    </cacheHierarchy>
    <cacheHierarchy uniqueName="[Measures].[Sum of Total GJ 19]" caption="Sum of Total GJ 19" measure="1" displayFolder="" measureGroup="Summary37" count="0" hidden="1">
      <extLst>
        <ext xmlns:x15="http://schemas.microsoft.com/office/spreadsheetml/2010/11/main" uri="{B97F6D7D-B522-45F9-BDA1-12C45D357490}">
          <x15:cacheHierarchy aggregatedColumn="373"/>
        </ext>
      </extLst>
    </cacheHierarchy>
    <cacheHierarchy uniqueName="[Measures].[Sum of Scope 1 kg CO2-e 18]" caption="Sum of Scope 1 kg CO2-e 18" measure="1" displayFolder="" measureGroup="Summary37" count="0" hidden="1">
      <extLst>
        <ext xmlns:x15="http://schemas.microsoft.com/office/spreadsheetml/2010/11/main" uri="{B97F6D7D-B522-45F9-BDA1-12C45D357490}">
          <x15:cacheHierarchy aggregatedColumn="374"/>
        </ext>
      </extLst>
    </cacheHierarchy>
    <cacheHierarchy uniqueName="[Measures].[Sum of Scope 2 kg CO2-e 19]" caption="Sum of Scope 2 kg CO2-e 19" measure="1" displayFolder="" measureGroup="Summary37" count="0" hidden="1">
      <extLst>
        <ext xmlns:x15="http://schemas.microsoft.com/office/spreadsheetml/2010/11/main" uri="{B97F6D7D-B522-45F9-BDA1-12C45D357490}">
          <x15:cacheHierarchy aggregatedColumn="375"/>
        </ext>
      </extLst>
    </cacheHierarchy>
    <cacheHierarchy uniqueName="[Measures].[Sum of Scope 3 kg CO2-e 18]" caption="Sum of Scope 3 kg CO2-e 18" measure="1" displayFolder="" measureGroup="Summary37" count="0" hidden="1">
      <extLst>
        <ext xmlns:x15="http://schemas.microsoft.com/office/spreadsheetml/2010/11/main" uri="{B97F6D7D-B522-45F9-BDA1-12C45D357490}">
          <x15:cacheHierarchy aggregatedColumn="376"/>
        </ext>
      </extLst>
    </cacheHierarchy>
    <cacheHierarchy uniqueName="[Measures].[Sum of Total Emissions 18]" caption="Sum of Total Emissions 18" measure="1" displayFolder="" measureGroup="Summary37" count="0" hidden="1">
      <extLst>
        <ext xmlns:x15="http://schemas.microsoft.com/office/spreadsheetml/2010/11/main" uri="{B97F6D7D-B522-45F9-BDA1-12C45D357490}">
          <x15:cacheHierarchy aggregatedColumn="377"/>
        </ext>
      </extLst>
    </cacheHierarchy>
    <cacheHierarchy uniqueName="[Measures].[Sum of Sum of Consumption Quantity]" caption="Sum of Sum of Consumption Quantity" measure="1" displayFolder="" measureGroup="BCA_RemovalFY20" count="0" hidden="1">
      <extLst>
        <ext xmlns:x15="http://schemas.microsoft.com/office/spreadsheetml/2010/11/main" uri="{B97F6D7D-B522-45F9-BDA1-12C45D357490}">
          <x15:cacheHierarchy aggregatedColumn="26"/>
        </ext>
      </extLst>
    </cacheHierarchy>
    <cacheHierarchy uniqueName="[Measures].[Sum of Sum of Total GJ]" caption="Sum of Sum of Total GJ" measure="1" displayFolder="" measureGroup="BCA_RemovalFY20" count="0" hidden="1">
      <extLst>
        <ext xmlns:x15="http://schemas.microsoft.com/office/spreadsheetml/2010/11/main" uri="{B97F6D7D-B522-45F9-BDA1-12C45D357490}">
          <x15:cacheHierarchy aggregatedColumn="27"/>
        </ext>
      </extLst>
    </cacheHierarchy>
    <cacheHierarchy uniqueName="[Measures].[Sum of Sum of Scope 1 kg CO2-e]" caption="Sum of Sum of Scope 1 kg CO2-e" measure="1" displayFolder="" measureGroup="BCA_RemovalFY20" count="0" hidden="1">
      <extLst>
        <ext xmlns:x15="http://schemas.microsoft.com/office/spreadsheetml/2010/11/main" uri="{B97F6D7D-B522-45F9-BDA1-12C45D357490}">
          <x15:cacheHierarchy aggregatedColumn="28"/>
        </ext>
      </extLst>
    </cacheHierarchy>
    <cacheHierarchy uniqueName="[Measures].[Sum of Sum of Consumption Quantity 2]" caption="Sum of Sum of Consumption Quantity 2" measure="1" displayFolder="" measureGroup="DC_Genset2839" count="0" hidden="1">
      <extLst>
        <ext xmlns:x15="http://schemas.microsoft.com/office/spreadsheetml/2010/11/main" uri="{B97F6D7D-B522-45F9-BDA1-12C45D357490}">
          <x15:cacheHierarchy aggregatedColumn="76"/>
        </ext>
      </extLst>
    </cacheHierarchy>
    <cacheHierarchy uniqueName="[Measures].[Count of Activity Type Context]" caption="Count of Activity Type Context" measure="1" displayFolder="" measureGroup="Grounds_Fuels33" count="0" hidden="1">
      <extLst>
        <ext xmlns:x15="http://schemas.microsoft.com/office/spreadsheetml/2010/11/main" uri="{B97F6D7D-B522-45F9-BDA1-12C45D357490}">
          <x15:cacheHierarchy aggregatedColumn="187"/>
        </ext>
      </extLst>
    </cacheHierarchy>
    <cacheHierarchy uniqueName="[Measures].[Sum of Consumption Quantity 17]" caption="Sum of Consumption Quantity 17" measure="1" displayFolder="" measureGroup="ReformFY20" count="0" hidden="1">
      <extLst>
        <ext xmlns:x15="http://schemas.microsoft.com/office/spreadsheetml/2010/11/main" uri="{B97F6D7D-B522-45F9-BDA1-12C45D357490}">
          <x15:cacheHierarchy aggregatedColumn="300"/>
        </ext>
      </extLst>
    </cacheHierarchy>
    <cacheHierarchy uniqueName="[Measures].[Sum of Total GJ 20]" caption="Sum of Total GJ 20" measure="1" displayFolder="" measureGroup="ReformFY20" count="0" hidden="1">
      <extLst>
        <ext xmlns:x15="http://schemas.microsoft.com/office/spreadsheetml/2010/11/main" uri="{B97F6D7D-B522-45F9-BDA1-12C45D357490}">
          <x15:cacheHierarchy aggregatedColumn="301"/>
        </ext>
      </extLst>
    </cacheHierarchy>
    <cacheHierarchy uniqueName="[Measures].[Sum of Scope 1 kg CO2-e 19]" caption="Sum of Scope 1 kg CO2-e 19" measure="1" displayFolder="" measureGroup="ReformFY20" count="0" hidden="1">
      <extLst>
        <ext xmlns:x15="http://schemas.microsoft.com/office/spreadsheetml/2010/11/main" uri="{B97F6D7D-B522-45F9-BDA1-12C45D357490}">
          <x15:cacheHierarchy aggregatedColumn="302"/>
        </ext>
      </extLst>
    </cacheHierarchy>
    <cacheHierarchy uniqueName="[Measures].[Sum of Scope 2 kg CO2-e 20]" caption="Sum of Scope 2 kg CO2-e 20" measure="1" displayFolder="" measureGroup="ReformFY20" count="0" hidden="1">
      <extLst>
        <ext xmlns:x15="http://schemas.microsoft.com/office/spreadsheetml/2010/11/main" uri="{B97F6D7D-B522-45F9-BDA1-12C45D357490}">
          <x15:cacheHierarchy aggregatedColumn="303"/>
        </ext>
      </extLst>
    </cacheHierarchy>
    <cacheHierarchy uniqueName="[Measures].[Sum of Scope 3 kg CO2-e 20]" caption="Sum of Scope 3 kg CO2-e 20" measure="1" displayFolder="" measureGroup="ReformFY20" count="0" hidden="1">
      <extLst>
        <ext xmlns:x15="http://schemas.microsoft.com/office/spreadsheetml/2010/11/main" uri="{B97F6D7D-B522-45F9-BDA1-12C45D357490}">
          <x15:cacheHierarchy aggregatedColumn="304"/>
        </ext>
      </extLst>
    </cacheHierarchy>
    <cacheHierarchy uniqueName="[Measures].[Sum of Total Emissions 19]" caption="Sum of Total Emissions 19" measure="1" displayFolder="" measureGroup="ReformFY20" count="0" hidden="1">
      <extLst>
        <ext xmlns:x15="http://schemas.microsoft.com/office/spreadsheetml/2010/11/main" uri="{B97F6D7D-B522-45F9-BDA1-12C45D357490}">
          <x15:cacheHierarchy aggregatedColumn="305"/>
        </ext>
      </extLst>
    </cacheHierarchy>
    <cacheHierarchy uniqueName="[Measures].[Count of Energy Category]" caption="Count of Energy Category" measure="1" displayFolder="" measureGroup="GHG_35" count="0" hidden="1">
      <extLst>
        <ext xmlns:x15="http://schemas.microsoft.com/office/spreadsheetml/2010/11/main" uri="{B97F6D7D-B522-45F9-BDA1-12C45D357490}">
          <x15:cacheHierarchy aggregatedColumn="154"/>
        </ext>
      </extLst>
    </cacheHierarchy>
    <cacheHierarchy uniqueName="[Measures].[Sum of Consumption Quantity 2]" caption="Sum of Consumption Quantity 2" measure="1" displayFolder="" measureGroup="ReformFY20_" count="0" oneField="1" hidden="1">
      <fieldsUsage count="1">
        <fieldUsage x="7"/>
      </fieldsUsage>
      <extLst>
        <ext xmlns:x15="http://schemas.microsoft.com/office/spreadsheetml/2010/11/main" uri="{B97F6D7D-B522-45F9-BDA1-12C45D357490}">
          <x15:cacheHierarchy aggregatedColumn="310"/>
        </ext>
      </extLst>
    </cacheHierarchy>
    <cacheHierarchy uniqueName="[Measures].[Sum of Total GJ 21]" caption="Sum of Total GJ 21" measure="1" displayFolder="" measureGroup="ReformFY20_" count="0" oneField="1" hidden="1">
      <fieldsUsage count="1">
        <fieldUsage x="8"/>
      </fieldsUsage>
      <extLst>
        <ext xmlns:x15="http://schemas.microsoft.com/office/spreadsheetml/2010/11/main" uri="{B97F6D7D-B522-45F9-BDA1-12C45D357490}">
          <x15:cacheHierarchy aggregatedColumn="311"/>
        </ext>
      </extLst>
    </cacheHierarchy>
    <cacheHierarchy uniqueName="[Measures].[Sum of Scope 1 kg CO2-e 20]" caption="Sum of Scope 1 kg CO2-e 20" measure="1" displayFolder="" measureGroup="ReformFY20_" count="0" oneField="1" hidden="1">
      <fieldsUsage count="1">
        <fieldUsage x="9"/>
      </fieldsUsage>
      <extLst>
        <ext xmlns:x15="http://schemas.microsoft.com/office/spreadsheetml/2010/11/main" uri="{B97F6D7D-B522-45F9-BDA1-12C45D357490}">
          <x15:cacheHierarchy aggregatedColumn="312"/>
        </ext>
      </extLst>
    </cacheHierarchy>
    <cacheHierarchy uniqueName="[Measures].[Sum of Scope 2 kg CO2-e 2]" caption="Sum of Scope 2 kg CO2-e 2" measure="1" displayFolder="" measureGroup="ReformFY20_" count="0" oneField="1" hidden="1">
      <fieldsUsage count="1">
        <fieldUsage x="10"/>
      </fieldsUsage>
      <extLst>
        <ext xmlns:x15="http://schemas.microsoft.com/office/spreadsheetml/2010/11/main" uri="{B97F6D7D-B522-45F9-BDA1-12C45D357490}">
          <x15:cacheHierarchy aggregatedColumn="313"/>
        </ext>
      </extLst>
    </cacheHierarchy>
    <cacheHierarchy uniqueName="[Measures].[Sum of Scope 3 kg CO2-e 21]" caption="Sum of Scope 3 kg CO2-e 21" measure="1" displayFolder="" measureGroup="ReformFY20_" count="0" oneField="1" hidden="1">
      <fieldsUsage count="1">
        <fieldUsage x="11"/>
      </fieldsUsage>
      <extLst>
        <ext xmlns:x15="http://schemas.microsoft.com/office/spreadsheetml/2010/11/main" uri="{B97F6D7D-B522-45F9-BDA1-12C45D357490}">
          <x15:cacheHierarchy aggregatedColumn="314"/>
        </ext>
      </extLst>
    </cacheHierarchy>
  </cacheHierarchies>
  <kpis count="0"/>
  <dimensions count="33">
    <dimension name="AVIS" uniqueName="[AVIS]" caption="AVIS"/>
    <dimension name="BCA_Removal" uniqueName="[BCA_Removal]" caption="BCA_Removal"/>
    <dimension name="BCA_RemovalFY20" uniqueName="[BCA_RemovalFY20]" caption="BCA_RemovalFY20"/>
    <dimension name="Calendar" uniqueName="[Calendar]" caption="Calendar"/>
    <dimension name="Contractor_Fuels" uniqueName="[Contractor_Fuels]" caption="Contractor_Fuels"/>
    <dimension name="DC_Genset" uniqueName="[DC_Genset]" caption="DC_Genset"/>
    <dimension name="DC_Genset2839" uniqueName="[DC_Genset2839]" caption="DC_Genset2839"/>
    <dimension name="Entity" uniqueName="[Entity]" caption="Entity"/>
    <dimension name="EntityFY20" uniqueName="[EntityFY20]" caption="EntityFY20"/>
    <dimension name="EntityFY20 1" uniqueName="[EntityFY20 1]" caption="EntityFY20 1"/>
    <dimension name="Flight_Model" uniqueName="[Flight_Model]" caption="Flight_Model"/>
    <dimension name="GasFY20" uniqueName="[GasFY20]" caption="GasFY20"/>
    <dimension name="GHG" uniqueName="[GHG]" caption="GHG"/>
    <dimension name="GHG_35" uniqueName="[GHG_35]" caption="GHG_35"/>
    <dimension name="Grounds_Fuels" uniqueName="[Grounds_Fuels]" caption="Grounds_Fuels"/>
    <dimension name="Grounds_Fuels33" uniqueName="[Grounds_Fuels33]" caption="Grounds_Fuels33"/>
    <dimension name="LP_Fleet" uniqueName="[LP_Fleet]" caption="LP_Fleet"/>
    <dimension name="LP_Stationary" uniqueName="[LP_Stationary]" caption="LP_Stationary"/>
    <dimension measure="1" name="Measures" uniqueName="[Measures]" caption="Measures"/>
    <dimension name="NBN_Removal" uniqueName="[NBN_Removal]" caption="NBN_Removal"/>
    <dimension name="NET_Genset_Grounds" uniqueName="[NET_Genset_Grounds]" caption="NET_Genset_Grounds"/>
    <dimension name="NON_Genset" uniqueName="[NON_Genset]" caption="NON_Genset"/>
    <dimension name="Paper_CSR" uniqueName="[Paper_CSR]" caption="Paper_CSR"/>
    <dimension name="Percentage_Estimates" uniqueName="[Percentage_Estimates]" caption="Percentage_Estimates"/>
    <dimension name="Pitwater" uniqueName="[Pitwater]" caption="Pitwater"/>
    <dimension name="ReformFY20" uniqueName="[ReformFY20]" caption="ReformFY20"/>
    <dimension name="ReformFY20_" uniqueName="[ReformFY20_]" caption="ReformFY20_"/>
    <dimension name="Savings_Data" uniqueName="[Savings_Data]" caption="Savings_Data"/>
    <dimension name="SE_Gas" uniqueName="[SE_Gas]" caption="SE_Gas"/>
    <dimension name="Solar" uniqueName="[Solar]" caption="Solar"/>
    <dimension name="Summary" uniqueName="[Summary]" caption="Summary"/>
    <dimension name="Summary37" uniqueName="[Summary37]" caption="Summary37"/>
    <dimension name="TelstraBCA" uniqueName="[TelstraBCA]" caption="TelstraBCA"/>
  </dimensions>
  <measureGroups count="32">
    <measureGroup name="AVIS" caption="AVIS"/>
    <measureGroup name="BCA_Removal" caption="BCA_Removal"/>
    <measureGroup name="BCA_RemovalFY20" caption="BCA_RemovalFY20"/>
    <measureGroup name="Calendar" caption="Calendar"/>
    <measureGroup name="Contractor_Fuels" caption="Contractor_Fuels"/>
    <measureGroup name="DC_Genset" caption="DC_Genset"/>
    <measureGroup name="DC_Genset2839" caption="DC_Genset2839"/>
    <measureGroup name="Entity" caption="Entity"/>
    <measureGroup name="EntityFY20" caption="EntityFY20"/>
    <measureGroup name="EntityFY20 1" caption="EntityFY20 1"/>
    <measureGroup name="Flight_Model" caption="Flight_Model"/>
    <measureGroup name="GasFY20" caption="GasFY20"/>
    <measureGroup name="GHG" caption="GHG"/>
    <measureGroup name="GHG_35" caption="GHG_35"/>
    <measureGroup name="Grounds_Fuels" caption="Grounds_Fuels"/>
    <measureGroup name="Grounds_Fuels33" caption="Grounds_Fuels33"/>
    <measureGroup name="LP_Fleet" caption="LP_Fleet"/>
    <measureGroup name="LP_Stationary" caption="LP_Stationary"/>
    <measureGroup name="NBN_Removal" caption="NBN_Removal"/>
    <measureGroup name="NET_Genset_Grounds" caption="NET_Genset_Grounds"/>
    <measureGroup name="NON_Genset" caption="NON_Genset"/>
    <measureGroup name="Paper_CSR" caption="Paper_CSR"/>
    <measureGroup name="Percentage_Estimates" caption="Percentage_Estimates"/>
    <measureGroup name="Pitwater" caption="Pitwater"/>
    <measureGroup name="ReformFY20" caption="ReformFY20"/>
    <measureGroup name="ReformFY20_" caption="ReformFY20_"/>
    <measureGroup name="Savings_Data" caption="Savings_Data"/>
    <measureGroup name="SE_Gas" caption="SE_Gas"/>
    <measureGroup name="Solar" caption="Solar"/>
    <measureGroup name="Summary" caption="Summary"/>
    <measureGroup name="Summary37" caption="Summary37"/>
    <measureGroup name="TelstraBCA" caption="TelstraBCA"/>
  </measureGroups>
  <maps count="68">
    <map measureGroup="0" dimension="0"/>
    <map measureGroup="0" dimension="7"/>
    <map measureGroup="0" dimension="12"/>
    <map measureGroup="1" dimension="1"/>
    <map measureGroup="1" dimension="7"/>
    <map measureGroup="1" dimension="12"/>
    <map measureGroup="2" dimension="2"/>
    <map measureGroup="3" dimension="3"/>
    <map measureGroup="4" dimension="4"/>
    <map measureGroup="4" dimension="7"/>
    <map measureGroup="4" dimension="12"/>
    <map measureGroup="5" dimension="5"/>
    <map measureGroup="5" dimension="7"/>
    <map measureGroup="5" dimension="12"/>
    <map measureGroup="6" dimension="6"/>
    <map measureGroup="7" dimension="7"/>
    <map measureGroup="8" dimension="8"/>
    <map measureGroup="9" dimension="9"/>
    <map measureGroup="10" dimension="10"/>
    <map measureGroup="11" dimension="11"/>
    <map measureGroup="12" dimension="12"/>
    <map measureGroup="13" dimension="8"/>
    <map measureGroup="13" dimension="13"/>
    <map measureGroup="14" dimension="7"/>
    <map measureGroup="14" dimension="12"/>
    <map measureGroup="14" dimension="14"/>
    <map measureGroup="15" dimension="15"/>
    <map measureGroup="16" dimension="7"/>
    <map measureGroup="16" dimension="12"/>
    <map measureGroup="16" dimension="16"/>
    <map measureGroup="17" dimension="7"/>
    <map measureGroup="17" dimension="12"/>
    <map measureGroup="17" dimension="17"/>
    <map measureGroup="18" dimension="7"/>
    <map measureGroup="18" dimension="12"/>
    <map measureGroup="18" dimension="19"/>
    <map measureGroup="19" dimension="7"/>
    <map measureGroup="19" dimension="12"/>
    <map measureGroup="19" dimension="20"/>
    <map measureGroup="20" dimension="7"/>
    <map measureGroup="20" dimension="12"/>
    <map measureGroup="20" dimension="21"/>
    <map measureGroup="21" dimension="22"/>
    <map measureGroup="22" dimension="7"/>
    <map measureGroup="22" dimension="12"/>
    <map measureGroup="22" dimension="23"/>
    <map measureGroup="23" dimension="7"/>
    <map measureGroup="23" dimension="12"/>
    <map measureGroup="23" dimension="24"/>
    <map measureGroup="24" dimension="8"/>
    <map measureGroup="24" dimension="9"/>
    <map measureGroup="24" dimension="25"/>
    <map measureGroup="25" dimension="9"/>
    <map measureGroup="25" dimension="26"/>
    <map measureGroup="26" dimension="12"/>
    <map measureGroup="26" dimension="27"/>
    <map measureGroup="27" dimension="7"/>
    <map measureGroup="27" dimension="12"/>
    <map measureGroup="27" dimension="28"/>
    <map measureGroup="28" dimension="7"/>
    <map measureGroup="28" dimension="12"/>
    <map measureGroup="28" dimension="29"/>
    <map measureGroup="29" dimension="7"/>
    <map measureGroup="29" dimension="30"/>
    <map measureGroup="30" dimension="31"/>
    <map measureGroup="31" dimension="7"/>
    <map measureGroup="31" dimension="12"/>
    <map measureGroup="31"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uneni, Sandeep Rao" refreshedDate="44421.465409837961" createdVersion="6" refreshedVersion="6" minRefreshableVersion="3" recordCount="360" xr:uid="{67D78707-E97E-4750-B5A1-9D89E9D62EAB}">
  <cacheSource type="worksheet">
    <worksheetSource ref="A2:I362" sheet="Summary Pivot FY21"/>
  </cacheSource>
  <cacheFields count="9">
    <cacheField name="Reporting Alias" numFmtId="0">
      <sharedItems containsBlank="1" count="311">
        <s v="TNA ACT"/>
        <s v="TNA NSW"/>
        <s v="TNA NT"/>
        <s v="TNA QLD"/>
        <s v="TNA SA"/>
        <s v="TNA TAS"/>
        <s v="TNA VIC"/>
        <s v="TNA WA"/>
        <s v="Residences ACT"/>
        <s v="Residences NSW"/>
        <s v="Residences NT"/>
        <s v="Residences QLD"/>
        <s v="Residences SA"/>
        <s v="Residences TAS"/>
        <s v="Residences VIC"/>
        <s v="Residences WA"/>
        <s v="Retail ACT"/>
        <s v="Retail NSW"/>
        <s v="Retail NT"/>
        <s v="Retail QLD"/>
        <s v="Retail SA"/>
        <s v="Retail TAS"/>
        <s v="Retail VIC"/>
        <s v="Retail WA"/>
        <s v="Offices ACT"/>
        <s v="Offices NSW"/>
        <s v="Offices NT"/>
        <s v="Offices QLD"/>
        <s v="Offices SA"/>
        <s v="Offices TAS"/>
        <s v="Offices VIC"/>
        <s v="Offices WA"/>
        <s v="DC ACT"/>
        <s v="DC NSW"/>
        <s v="DC NT"/>
        <s v="DC QLD"/>
        <s v="DC SA"/>
        <s v="DC TAS"/>
        <s v="DC VIC"/>
        <s v="DC WA"/>
        <s v="SLDC"/>
        <s v="Brightstar"/>
        <m/>
        <s v="Reporting Alias"/>
        <s v="BCA on Telstra sites for removal ACT"/>
        <s v="BCA on Telstra sites for removal NSW"/>
        <s v="BCA on Telstra sites for removal NT"/>
        <s v="BCA on Telstra sites for removal QLD"/>
        <s v="BCA on Telstra sites for removal SA"/>
        <s v="BCA on Telstra sites for removal TAS"/>
        <s v="BCA on Telstra sites for removal VIC"/>
        <s v="BCA on Telstra sites for removal WA"/>
        <s v="NBN Co Removal ACT"/>
        <s v="NBN Co Removal NSW"/>
        <s v="NBN Co Removal NT"/>
        <s v="NBN Co Removal QLD"/>
        <s v="NBN Co Removal SA"/>
        <s v="NBN Co Removal TAS"/>
        <s v="NBN Co Removal VIC"/>
        <s v="NBN Co Removal WA"/>
        <s v="Telstra services on BCA Sites ACT"/>
        <s v="Telstra services on BCA Sites NSW"/>
        <s v="Telstra services on BCA Sites NT"/>
        <s v="Telstra services on BCA Sites QLD"/>
        <s v="Telstra services on BCA Sites SA"/>
        <s v="Telstra services on BCA Sites TAS"/>
        <s v="Telstra services on BCA Sites VIC"/>
        <s v="Telstra services on BCA Sites WA"/>
        <s v="Estimates Electricity ACT"/>
        <s v="Estimates Electricity NSW"/>
        <s v="Estimates Electricity QLD"/>
        <s v="Estimates Electricity SA"/>
        <s v="Estimates Electricity VIC"/>
        <s v="Estimates Electricity WA"/>
        <s v="Estimates Non-transport Gas VIC"/>
        <s v="Estimates Non-transport Diesel NSW"/>
        <s v="Estimates Transport Diesel ACT"/>
        <s v="Estimates Transport Diesel NSW"/>
        <s v="Estimates Transport Diesel QLD"/>
        <s v="Estimates Transport Diesel VIC"/>
        <s v="Estimates Transport Diesel WA"/>
        <s v="Estimates Transport Petrol NSW"/>
        <s v="Estimates Transport Petrol QLD"/>
        <s v="Estimates Transport Petrol VIC"/>
        <s v="Estimates Transport Petrol WA"/>
        <s v="Data Centre Gas VIC A"/>
        <s v="Residence Gas ACT A"/>
        <s v="Telstra Office Accommodation Gas VIC A"/>
        <s v="TNA Gas NSW A"/>
        <s v="TNA Gas SA A"/>
        <s v="TNA Gas VIC A"/>
        <s v="Data Centre Gas VIC BBB"/>
        <s v="Residence Gas ACT BBB"/>
        <s v="Telstra Office Accommodation Gas VIC BBB"/>
        <s v="TNA Gas NSW BBB"/>
        <s v="TNA Gas SA BBB"/>
        <s v="TNA Gas VIC BBB"/>
        <s v="Solar Generation ACT"/>
        <s v="Solar Generation NSW"/>
        <s v="Solar Generation NT"/>
        <s v="Solar Generation QLD"/>
        <s v="Solar Generation SA"/>
        <s v="Solar Generation TAS"/>
        <s v="Solar Generation VIC"/>
        <s v="Solar Generation WA"/>
        <s v="Avis Hire Cars TNA Diesel post 04 ACT"/>
        <s v="Avis Hire Cars TNA Diesel post 04 NSW"/>
        <s v="Avis Hire Cars TNA Diesel post 04 NT"/>
        <s v="Avis Hire Cars TNA Diesel post 04 QLD"/>
        <s v="Avis Hire Cars TNA Diesel post 04 SA"/>
        <s v="Avis Hire Cars TNA Diesel post 04 TAS"/>
        <s v="Avis Hire Cars TNA Diesel post 04 VIC"/>
        <s v="Avis Hire Cars TNA Diesel post 04 WA"/>
        <s v="Avis Hire Cars TNA Petrol post 04 ACT"/>
        <s v="Avis Hire Cars TNA Petrol post 04 NSW"/>
        <s v="Avis Hire Cars TNA Petrol post 04 NT"/>
        <s v="Avis Hire Cars TNA Petrol post 04 QLD"/>
        <s v="Avis Hire Cars TNA Petrol post 04 SA"/>
        <s v="Avis Hire Cars TNA Petrol post 04 TAS"/>
        <s v="Avis Hire Cars TNA Petrol post 04 VIC"/>
        <s v="Avis Hire Cars TNA Petrol post 04 WA"/>
        <s v="Telstra FLEET Diesel 04 or earlier NSW A"/>
        <s v="Telstra FLEET Diesel 04 or earlier QLD A"/>
        <s v="Telstra FLEET Diesel 04 or earlier SA A"/>
        <s v="Telstra FLEET Diesel 04 or earlier TAS A"/>
        <s v="Telstra FLEET Diesel 04 or earlier VIC A"/>
        <s v="Telstra FLEET Diesel 04 or earlier WA A"/>
        <s v="Telstra FLEET Diesel post 04 ACT A"/>
        <s v="Telstra FLEET Diesel post 04 NSW A"/>
        <s v="Telstra FLEET Diesel post 04 NT A"/>
        <s v="Telstra FLEET Diesel post 04 QLD A"/>
        <s v="Telstra FLEET Diesel post 04 SA A"/>
        <s v="Telstra FLEET Diesel post 04 TAS A"/>
        <s v="Telstra FLEET Diesel post 04 VIC A"/>
        <s v="Telstra FLEET Diesel post 04 WA A"/>
        <s v="Telstra FLEET Ethanol post 04 ACT A"/>
        <s v="Telstra FLEET Ethanol post 04 NSW A"/>
        <s v="Telstra FLEET Ethanol post 04 QLD A"/>
        <s v="Telstra FLEET Ethanol post 04 SA A"/>
        <s v="Telstra FLEET Ethanol post 04 TAS A"/>
        <s v="Telstra FLEET Ethanol post 04 VIC A"/>
        <s v="Telstra FLEET LPG post 04 NSW A"/>
        <s v="Telstra FLEET LPG post 04 QLD A"/>
        <s v="Telstra FLEET LPG post 04 SA A"/>
        <s v="Telstra FLEET LPG post 04 VIC A"/>
        <s v="Telstra FLEET Petrol 04 or earlier VIC A"/>
        <s v="Telstra FLEET Petrol post 04 ACT A"/>
        <s v="Telstra FLEET Petrol post 04 NSW A"/>
        <s v="Telstra FLEET Petrol post 04 NT A"/>
        <s v="Telstra FLEET Petrol post 04 QLD A"/>
        <s v="Telstra FLEET Petrol post 04 SA A"/>
        <s v="Telstra FLEET Petrol post 04 TAS A"/>
        <s v="Telstra FLEET Petrol post 04 VIC A"/>
        <s v="Telstra FLEET Petrol post 04 WA A"/>
        <s v="Contractor Fuel Diesel ACT"/>
        <s v="Contractor Fuel Diesel NSW"/>
        <s v="Contractor Fuel Diesel NT"/>
        <s v="Contractor Fuel Diesel QLD"/>
        <s v="Contractor Fuel Diesel SA"/>
        <s v="Contractor Fuel Diesel TAS"/>
        <s v="Contractor Fuel Diesel VIC"/>
        <s v="Contractor Fuel Diesel WA"/>
        <s v="Contractor Fuel Ethanol NSW"/>
        <s v="Contractor Fuel Ethanol QLD"/>
        <s v="Contractor Fuel Ethanol VIC"/>
        <s v="Contractor Fuel LPG ACT"/>
        <s v="Contractor Fuel LPG NSW"/>
        <s v="Contractor Fuel LPG NT"/>
        <s v="Contractor Fuel LPG QLD"/>
        <s v="Contractor Fuel LPG SA"/>
        <s v="Contractor Fuel LPG TAS"/>
        <s v="Contractor Fuel LPG VIC"/>
        <s v="Contractor Fuel LPG WA"/>
        <s v="Contractor Fuel Petrol ACT"/>
        <s v="Contractor Fuel Petrol NSW"/>
        <s v="Contractor Fuel Petrol NT"/>
        <s v="Contractor Fuel Petrol QLD"/>
        <s v="Contractor Fuel Petrol SA"/>
        <s v="Contractor Fuel Petrol TAS"/>
        <s v="Contractor Fuel Petrol VIC"/>
        <s v="Contractor Fuel Petrol WA"/>
        <s v="Diesel Generators Data Centres NSW ST LEONARDS"/>
        <s v="Diesel Generators Data Centres VIC CLAYTON"/>
        <s v="Diesel Generators Data Centres NSW"/>
        <s v="Stationary Diesel LeasePlan NSW"/>
        <s v="Stationary Diesel LeasePlan NT"/>
        <s v="Stationary Diesel LeasePlan QLD"/>
        <s v="Stationary Diesel LeasePlan SA"/>
        <s v="Stationary Diesel LeasePlan TAS"/>
        <s v="Stationary Diesel LeasePlan VIC"/>
        <s v="Stationary Diesel LeasePlan WA"/>
        <s v="Stationary Ethanol LeasePlan QLD"/>
        <s v="Stationary Petrol LeasePlan NSW"/>
        <s v="Stationary Petrol LeasePlan QLD"/>
        <s v="Stationary Petrol LeasePlan TAS"/>
        <s v="Stationary Petrol LeasePlan VIC"/>
        <s v="Diesel Generators Network Visionstream ACT"/>
        <s v="Diesel Generators Network Visionstream NSW"/>
        <s v="Diesel Generators Network Visionstream NT"/>
        <s v="Diesel Generators Network Visionstream QLD"/>
        <s v="Diesel Generators Network Visionstream SA"/>
        <s v="Diesel Generators Network Visionstream TAS"/>
        <s v="Diesel Generators Network Visionstream VIC"/>
        <s v="Diesel Generators Network Visionstream WA"/>
        <s v="LPG Generators Network Visionstream ACT"/>
        <s v="LPG Generators Network Visionstream NSW"/>
        <s v="LPG Generators Network Visionstream VIC"/>
        <s v="LPG Generators Network Visionstream QLD"/>
        <s v="LPG Generators Network Visionstream WA"/>
        <s v="LPG Generators Network Visionstream SA"/>
        <s v="LPG Generators Network Visionstream TAS"/>
        <s v="LPG Generators Network Visionstream NT"/>
        <s v="Petrol Generators Network Visionstream ACT"/>
        <s v="Petrol Generators Network Visionstream NSW"/>
        <s v="Petrol Generators Network Visionstream NT"/>
        <s v="Petrol Generators Network Visionstream QLD"/>
        <s v="Petrol Generators Network Visionstream SA"/>
        <s v="Petrol Generators Network Visionstream TAS"/>
        <s v="Petrol Generators Network Visionstream VIC"/>
        <s v="Petrol Generators Network Visionstream WA"/>
        <s v="Other Grounds Portable Gensets etc Diesel ACT"/>
        <s v="Other Grounds Portable Gensets etc Diesel NSW"/>
        <s v="Other Grounds Portable Gensets etc Diesel NT"/>
        <s v="Other Grounds Portable Gensets etc Diesel QLD"/>
        <s v="Other Grounds Portable Gensets etc Diesel SA"/>
        <s v="Other Grounds Portable Gensets etc Diesel TAS"/>
        <s v="Other Grounds Portable Gensets etc Diesel VIC"/>
        <s v="Other Grounds Portable Gensets etc Diesel WA"/>
        <s v="Other Grounds Portable Gensets etc LPG ACT"/>
        <s v="Other Grounds Portable Gensets etc LPG NSW"/>
        <s v="Other Grounds Portable Gensets etc LPG VIC"/>
        <s v="Other Grounds Portable Gensets etc LPG QLD"/>
        <s v="Other Grounds Portable Gensets etc LPG WA"/>
        <s v="Other Grounds Portable Gensets etc LPG SA"/>
        <s v="Other Grounds Portable Gensets etc LPG TAS"/>
        <s v="Other Grounds Portable Gensets etc LPG NT"/>
        <s v="Other Grounds Portable Gensets etc Petrol ACT"/>
        <s v="Other Grounds Portable Gensets etc Petrol NSW"/>
        <s v="Other Grounds Portable Gensets etc Petrol NT"/>
        <s v="Other Grounds Portable Gensets etc Petrol QLD"/>
        <s v="Other Grounds Portable Gensets etc Petrol SA"/>
        <s v="Other Grounds Portable Gensets etc Petrol TAS"/>
        <s v="Other Grounds Portable Gensets etc Petrol VIC"/>
        <s v="Other Grounds Portable Gensets etc Petrol WA"/>
        <s v="Diesel Generators NON-Network COMMERCIAL JLL ACT"/>
        <s v="Diesel Generators NON-Network COMMERCIAL JLL NSW"/>
        <s v="Diesel Generators NON-Network COMMERCIAL JLL NT"/>
        <s v="Diesel Generators NON-Network COMMERCIAL JLL QLD"/>
        <s v="Diesel Generators NON-Network COMMERCIAL JLL SA"/>
        <s v="Diesel Generators NON-Network COMMERCIAL JLL TAS"/>
        <s v="Diesel Generators NON-Network COMMERCIAL JLL VIC"/>
        <s v="Diesel Generators NON-Network COMMERCIAL JLL WA"/>
        <s v="LPG Generators NON-Network COMMERCIAL JLL ACT"/>
        <s v="LPG Generators NON-Network COMMERCIAL JLL NSW"/>
        <s v="LPG Generators NON-Network COMMERCIAL JLL NT"/>
        <s v="LPG Generators NON-Network COMMERCIAL JLL QLD"/>
        <s v="LPG Generators NON-Network COMMERCIAL JLL SA"/>
        <s v="LPG Generators NON-Network COMMERCIAL JLL TAS"/>
        <s v="LPG Generators NON-Network COMMERCIAL JLL VIC"/>
        <s v="LPG Generators NON-Network COMMERCIAL JLL WA"/>
        <s v="Pitwater fuel Diesel NSW"/>
        <s v="Pitwater fuel Diesel NT"/>
        <s v="Pitwater fuel Diesel QLD"/>
        <s v="Pitwater fuel Diesel SA"/>
        <s v="Pitwater fuel Diesel TAS"/>
        <s v="Pitwater fuel Diesel VIC"/>
        <s v="Pitwater fuel Diesel WA"/>
        <s v="FST Grounds maintenance fuel Diesel ACT"/>
        <s v="FST Grounds maintenance fuel Diesel NSW"/>
        <s v="FST Grounds maintenance fuel Diesel NT"/>
        <s v="FST Grounds maintenance fuel Diesel QLD"/>
        <s v="FST Grounds maintenance fuel Diesel SA"/>
        <s v="FST Grounds maintenance fuel Diesel VIC"/>
        <s v="FST Grounds maintenance fuel Diesel WA"/>
        <s v="FST Grounds maintenance fuel Petrol ACT"/>
        <s v="FST Grounds maintenance fuel Petrol NSW"/>
        <s v="FST Grounds maintenance fuel Petrol NT"/>
        <s v="FST Grounds maintenance fuel Petrol QLD"/>
        <s v="FST Grounds maintenance fuel Petrol SA"/>
        <s v="FST Grounds maintenance fuel Petrol TAS"/>
        <s v="FST Grounds maintenance fuel Petrol VIC"/>
        <s v="FST Grounds maintenance fuel Petrol WA"/>
        <s v="Grounds maintenance ISS Petrol NT"/>
        <s v="Grounds maintenance ISS Petrol QLD"/>
        <s v="Grounds maintenance ISS Petrol WA"/>
        <s v="Grounds maintenance VIVID Petrol QLD"/>
        <s v="Grounds maintenance VIVID Petrol WA"/>
        <s v="Cable landing station_elec"/>
        <s v="Colocation_elec"/>
        <s v="Data Centre_elec"/>
        <s v="Office_elec"/>
        <s v="Warehouse_elec"/>
        <s v="Cable landing station_gas"/>
        <s v="Colocation_gas"/>
        <s v="Data Centre_gas"/>
        <s v="Office_gas"/>
        <s v="Warehouse_gas"/>
        <s v="Cable landing station_diesel"/>
        <s v="Colocation_diesel"/>
        <s v="Data Centre_diesel"/>
        <s v="Office_diesel"/>
        <s v="Warehouse_diesel"/>
        <s v="JC Decaux Removals ACT"/>
        <s v="JC Decaux Removals NSW"/>
        <s v="JC Decaux Removals NT"/>
        <s v="JC Decaux Removals QLD"/>
        <s v="JC Decaux Removals SA"/>
        <s v="JC Decaux Removals TAS"/>
        <s v="JC Decaux Removals VIC"/>
        <s v="JC Decaux Removals WA"/>
        <s v="TNA NT " u="1"/>
      </sharedItems>
    </cacheField>
    <cacheField name="UoM" numFmtId="0">
      <sharedItems containsBlank="1" count="7">
        <s v="kWh"/>
        <m/>
        <s v="UoM"/>
        <s v="GJ"/>
        <s v="kL"/>
        <s v="MJ"/>
        <s v="L"/>
      </sharedItems>
    </cacheField>
    <cacheField name="Primary Criterion" numFmtId="0">
      <sharedItems containsBlank="1" count="5">
        <s v="N/A"/>
        <m/>
        <s v="Primary Criterion"/>
        <s v="BBB"/>
        <s v="A"/>
      </sharedItems>
    </cacheField>
    <cacheField name="Sum of Consumption Quantity" numFmtId="0">
      <sharedItems containsBlank="1" containsMixedTypes="1" containsNumber="1" minValue="-25180391.490000006" maxValue="413349909.00840777"/>
    </cacheField>
    <cacheField name="Sum of Total GJ" numFmtId="0">
      <sharedItems containsBlank="1" containsMixedTypes="1" containsNumber="1" minValue="-90649.409364000021" maxValue="1488059.672430268"/>
    </cacheField>
    <cacheField name="Sum of Scope 1 kg CO2-e" numFmtId="0">
      <sharedItems containsBlank="1" containsMixedTypes="1" containsNumber="1" minValue="0" maxValue="7184449.6145213405"/>
    </cacheField>
    <cacheField name="Sum of Scope 2 kg CO2-e" numFmtId="0">
      <sharedItems containsBlank="1" containsMixedTypes="1" containsNumber="1" minValue="-20396117.106900007" maxValue="334813426.29681033"/>
    </cacheField>
    <cacheField name="Sum of Scope 3 kg CO2-e" numFmtId="0">
      <sharedItems containsBlank="1" containsMixedTypes="1" containsNumber="1" minValue="-2266235.2341000005" maxValue="60973664.539981157"/>
    </cacheField>
    <cacheField name="Sum of Total Emissions" numFmtId="0">
      <sharedItems containsBlank="1" containsMixedTypes="1" containsNumber="1" minValue="-22662352.341000006" maxValue="372014918.1075670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uneni, Sandeep Rao" refreshedDate="44421.465441666667" createdVersion="6" refreshedVersion="6" minRefreshableVersion="3" recordCount="11462" xr:uid="{24C2628D-7877-41AB-935D-A86D8E38B890}">
  <cacheSource type="worksheet">
    <worksheetSource ref="A1:BE11463" sheet="Waste" r:id="rId2"/>
  </cacheSource>
  <cacheFields count="57">
    <cacheField name="Start_Period" numFmtId="15">
      <sharedItems containsSemiMixedTypes="0" containsNonDate="0" containsDate="1" containsString="0" minDate="2019-07-01T00:00:00" maxDate="2019-07-02T00:00:00"/>
    </cacheField>
    <cacheField name="End_Period" numFmtId="15">
      <sharedItems containsSemiMixedTypes="0" containsNonDate="0" containsDate="1" containsString="0" minDate="2021-06-30T00:00:00" maxDate="2021-07-01T00:00:00"/>
    </cacheField>
    <cacheField name="Associate" numFmtId="0">
      <sharedItems/>
    </cacheField>
    <cacheField name="Level 1 Group" numFmtId="0">
      <sharedItems/>
    </cacheField>
    <cacheField name="Level 2 Group" numFmtId="0">
      <sharedItems/>
    </cacheField>
    <cacheField name="Level 3 Group" numFmtId="0">
      <sharedItems/>
    </cacheField>
    <cacheField name="Country" numFmtId="0">
      <sharedItems/>
    </cacheField>
    <cacheField name="Region" numFmtId="0">
      <sharedItems/>
    </cacheField>
    <cacheField name="Location" numFmtId="0">
      <sharedItems/>
    </cacheField>
    <cacheField name="Location Reference" numFmtId="0">
      <sharedItems containsBlank="1" containsMixedTypes="1" containsNumber="1" containsInteger="1" minValue="423030001400" maxValue="423039900102"/>
    </cacheField>
    <cacheField name="Category" numFmtId="0">
      <sharedItems/>
    </cacheField>
    <cacheField name="Category renamed" numFmtId="0">
      <sharedItems count="3">
        <s v="Recycled Waste"/>
        <s v="Landfill Waste"/>
        <s v="Hydro"/>
      </sharedItems>
    </cacheField>
    <cacheField name="Data Type" numFmtId="0">
      <sharedItems count="10">
        <s v="Operational Waste Cardboard &amp; Paper"/>
        <s v="Electronic Waste (e-waste) Recycled"/>
        <s v="Operational Waste Landfill General"/>
        <s v="Operational Waste Recycled Co-mingled"/>
        <s v="Construction and Demolition Landfill"/>
        <s v="Waste Recycled - Construction and Demolition [t]"/>
        <s v="Operational Waste Recycled Other"/>
        <s v="Operational Waste Landfill Hazardous"/>
        <s v="Hydro"/>
        <s v="Mobile Phones Recycled"/>
      </sharedItems>
    </cacheField>
    <cacheField name="Item Type" numFmtId="0">
      <sharedItems/>
    </cacheField>
    <cacheField name="Account Style/Component" numFmtId="0">
      <sharedItems/>
    </cacheField>
    <cacheField name="Sub type" numFmtId="0">
      <sharedItems containsNonDate="0" containsString="0" containsBlank="1"/>
    </cacheField>
    <cacheField name="Item Number" numFmtId="0">
      <sharedItems/>
    </cacheField>
    <cacheField name="Account Ref/Meter Name" numFmtId="0">
      <sharedItems containsBlank="1"/>
    </cacheField>
    <cacheField name="Supplier" numFmtId="0">
      <sharedItems containsBlank="1"/>
    </cacheField>
    <cacheField name="Reader / Notes" numFmtId="0">
      <sharedItems containsNonDate="0" containsString="0" containsBlank="1"/>
    </cacheField>
    <cacheField name="Opened_On" numFmtId="0">
      <sharedItems containsNonDate="0" containsDate="1" containsString="0" containsBlank="1" minDate="2019-10-01T00:00:00" maxDate="2021-04-01T00:00:00"/>
    </cacheField>
    <cacheField name="Replaced_On" numFmtId="0">
      <sharedItems containsNonDate="0" containsDate="1" containsString="0" containsBlank="1" minDate="2020-07-01T00:00:00" maxDate="2021-03-02T00:00:00"/>
    </cacheField>
    <cacheField name="Occurred_On" numFmtId="17">
      <sharedItems containsSemiMixedTypes="0" containsNonDate="0" containsDate="1" containsString="0" minDate="2020-07-01T00:00:00" maxDate="2021-05-02T00:00:00"/>
    </cacheField>
    <cacheField name="FY" numFmtId="17">
      <sharedItems/>
    </cacheField>
    <cacheField name="Units" numFmtId="0">
      <sharedItems/>
    </cacheField>
    <cacheField name="Actual Data" numFmtId="0">
      <sharedItems containsSemiMixedTypes="0" containsString="0" containsNumber="1" minValue="-0.438" maxValue="247.02719999999999"/>
    </cacheField>
    <cacheField name="Estimated Data" numFmtId="0">
      <sharedItems containsSemiMixedTypes="0" containsString="0" containsNumber="1" minValue="0" maxValue="12.11"/>
    </cacheField>
    <cacheField name="Accrued Data" numFmtId="0">
      <sharedItems containsSemiMixedTypes="0" containsString="0" containsNumber="1" minValue="-1.46E-2" maxValue="251.3759"/>
    </cacheField>
    <cacheField name="Total Data" numFmtId="0">
      <sharedItems containsSemiMixedTypes="0" containsString="0" containsNumber="1" minValue="-0.438" maxValue="251.3759"/>
    </cacheField>
    <cacheField name="Actual Days" numFmtId="0">
      <sharedItems containsSemiMixedTypes="0" containsString="0" containsNumber="1" containsInteger="1" minValue="0" maxValue="34"/>
    </cacheField>
    <cacheField name="Estimated Days" numFmtId="0">
      <sharedItems containsSemiMixedTypes="0" containsString="0" containsNumber="1" containsInteger="1" minValue="0" maxValue="31"/>
    </cacheField>
    <cacheField name="Accrued Days" numFmtId="0">
      <sharedItems containsSemiMixedTypes="0" containsString="0" containsNumber="1" containsInteger="1" minValue="0" maxValue="31"/>
    </cacheField>
    <cacheField name="Total Days" numFmtId="0">
      <sharedItems containsSemiMixedTypes="0" containsString="0" containsNumber="1" containsInteger="1" minValue="1" maxValue="40"/>
    </cacheField>
    <cacheField name="Actual Percent" numFmtId="0">
      <sharedItems containsString="0" containsBlank="1" containsNumber="1" minValue="0" maxValue="100"/>
    </cacheField>
    <cacheField name="Estimated Percent" numFmtId="0">
      <sharedItems containsString="0" containsBlank="1" containsNumber="1" minValue="0" maxValue="100"/>
    </cacheField>
    <cacheField name="Accrued Percent" numFmtId="0">
      <sharedItems containsString="0" containsBlank="1" containsNumber="1" containsInteger="1" minValue="0" maxValue="100"/>
    </cacheField>
    <cacheField name="Use Type" numFmtId="0">
      <sharedItems/>
    </cacheField>
    <cacheField name="Use" numFmtId="0">
      <sharedItems/>
    </cacheField>
    <cacheField name="Use Percent" numFmtId="0">
      <sharedItems containsSemiMixedTypes="0" containsString="0" containsNumber="1" containsInteger="1" minValue="100" maxValue="100"/>
    </cacheField>
    <cacheField name="Group Membership Percent" numFmtId="0">
      <sharedItems containsSemiMixedTypes="0" containsString="0" containsNumber="1" containsInteger="1" minValue="100" maxValue="100"/>
    </cacheField>
    <cacheField name="Total Reporting Amount" numFmtId="0">
      <sharedItems containsSemiMixedTypes="0" containsString="0" containsNumber="1" minValue="-0.44" maxValue="251.38"/>
    </cacheField>
    <cacheField name="Energy Consumed (GJ)" numFmtId="0">
      <sharedItems containsNonDate="0" containsString="0" containsBlank="1"/>
    </cacheField>
    <cacheField name="Energy Produced (GJ)" numFmtId="0">
      <sharedItems containsNonDate="0" containsString="0" containsBlank="1"/>
    </cacheField>
    <cacheField name="Total GJ" numFmtId="0">
      <sharedItems containsNonDate="0" containsString="0" containsBlank="1"/>
    </cacheField>
    <cacheField name="Scope 1 CO2e(t)" numFmtId="0">
      <sharedItems containsNonDate="0" containsString="0" containsBlank="1"/>
    </cacheField>
    <cacheField name="Scope 2 CO2e(t)" numFmtId="0">
      <sharedItems containsNonDate="0" containsString="0" containsBlank="1"/>
    </cacheField>
    <cacheField name="Scope 3 CO2e(t)" numFmtId="0">
      <sharedItems containsString="0" containsBlank="1" containsNumber="1" minValue="1E-4" maxValue="38.688000000000002"/>
    </cacheField>
    <cacheField name="Other CO2e(t)" numFmtId="0">
      <sharedItems containsString="0" containsBlank="1" containsNumber="1" containsInteger="1" minValue="0" maxValue="0"/>
    </cacheField>
    <cacheField name="Total CO2e(t)" numFmtId="0">
      <sharedItems containsString="0" containsBlank="1" containsNumber="1" minValue="1E-4" maxValue="38.688000000000002"/>
    </cacheField>
    <cacheField name="Actual Cost" numFmtId="0">
      <sharedItems containsNonDate="0" containsString="0" containsBlank="1"/>
    </cacheField>
    <cacheField name="Estimated Cost" numFmtId="0">
      <sharedItems containsNonDate="0" containsString="0" containsBlank="1"/>
    </cacheField>
    <cacheField name="Accrued Cost" numFmtId="0">
      <sharedItems containsNonDate="0" containsString="0" containsBlank="1"/>
    </cacheField>
    <cacheField name="Total Cost" numFmtId="0">
      <sharedItems containsNonDate="0" containsString="0" containsBlank="1"/>
    </cacheField>
    <cacheField name="Total Reporting Cost" numFmtId="0">
      <sharedItems containsNonDate="0" containsString="0" containsBlank="1"/>
    </cacheField>
    <cacheField name="Cost_Unit" numFmtId="0">
      <sharedItems/>
    </cacheField>
    <cacheField name="Group_By" numFmtId="0">
      <sharedItems/>
    </cacheField>
    <cacheField name="Account_Meter_Link" numFmtId="0">
      <sharedItems containsSemiMixedTypes="0" containsString="0" containsNumber="1" containsInteger="1" minValue="13563710" maxValue="1364455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Donnell, Hannah" refreshedDate="44421.668865162035" createdVersion="6" refreshedVersion="6" minRefreshableVersion="3" recordCount="213" xr:uid="{2CE0A214-6A67-48B9-8F41-20D83D743E4D}">
  <cacheSource type="worksheet">
    <worksheetSource ref="B3:P216" sheet="Network splits for CSR FY21"/>
  </cacheSource>
  <cacheFields count="15">
    <cacheField name="Level 3" numFmtId="0">
      <sharedItems/>
    </cacheField>
    <cacheField name="Source Name" numFmtId="0">
      <sharedItems/>
    </cacheField>
    <cacheField name="Activity Type" numFmtId="0">
      <sharedItems/>
    </cacheField>
    <cacheField name="Activity Type Context" numFmtId="0">
      <sharedItems/>
    </cacheField>
    <cacheField name="UoM" numFmtId="0">
      <sharedItems containsBlank="1"/>
    </cacheField>
    <cacheField name="Primary Criterion" numFmtId="0">
      <sharedItems/>
    </cacheField>
    <cacheField name="Sum of Consumption Quantity" numFmtId="165">
      <sharedItems containsSemiMixedTypes="0" containsString="0" containsNumber="1" minValue="0" maxValue="388244888.6882742"/>
    </cacheField>
    <cacheField name="Sum of Total GJ" numFmtId="165">
      <sharedItems containsSemiMixedTypes="0" containsString="0" containsNumber="1" minValue="0" maxValue="1397681.5992777871"/>
    </cacheField>
    <cacheField name="Sum of Scope 1 kg CO2-e" numFmtId="165">
      <sharedItems containsSemiMixedTypes="0" containsString="0" containsNumber="1" minValue="0" maxValue="7184449.6145213405"/>
    </cacheField>
    <cacheField name="Sum of Scope 2 kg CO2-e" numFmtId="165">
      <sharedItems containsSemiMixedTypes="0" containsString="0" containsNumber="1" minValue="0" maxValue="314478359.83750212"/>
    </cacheField>
    <cacheField name="Sum of Scope 3 kg CO2-e" numFmtId="165">
      <sharedItems containsSemiMixedTypes="0" containsString="0" containsNumber="1" minValue="0" maxValue="60973664.539981157"/>
    </cacheField>
    <cacheField name="S1+2" numFmtId="165">
      <sharedItems containsSemiMixedTypes="0" containsString="0" containsNumber="1" minValue="0" maxValue="314478359.83750212"/>
    </cacheField>
    <cacheField name="S1+2+3" numFmtId="165">
      <sharedItems containsSemiMixedTypes="0" containsString="0" containsNumber="1" minValue="0" maxValue="349470722.48793679"/>
    </cacheField>
    <cacheField name="Allocation" numFmtId="0">
      <sharedItems containsBlank="1" count="6">
        <m/>
        <s v="Cable landing station"/>
        <s v="Offices/Residences/Shops"/>
        <s v="Data centers"/>
        <s v="Network"/>
        <s v="Transport"/>
      </sharedItems>
    </cacheField>
    <cacheField name="Elec/fuel" numFmtId="0">
      <sharedItems containsBlank="1" count="3">
        <s v="Fuel"/>
        <s v="Elec"/>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
  <r>
    <x v="0"/>
    <x v="0"/>
    <x v="0"/>
    <s v="General Waste Blue Lion"/>
    <n v="27.0379"/>
    <n v="27.0379"/>
    <n v="26.165800000000001"/>
    <n v="27.0379"/>
    <n v="26.165800000000001"/>
    <n v="27.0379"/>
    <n v="27.0379"/>
    <n v="24.421399999999998"/>
    <n v="27.0379"/>
    <n v="26.165800000000001"/>
    <n v="27.0379"/>
    <n v="26.165800000000001"/>
    <n v="318.34989999999999"/>
    <n v="5.4012000000000002"/>
    <n v="5.5479000000000003"/>
    <n v="4.5115999999999996"/>
    <n v="6.484"/>
    <n v="11.8134"/>
    <n v="9.2751000000000001"/>
    <n v="10.767799999999999"/>
    <n v="3.7315"/>
    <n v="14.7056"/>
    <n v="16.115200000000002"/>
    <n v="17.5518"/>
    <n v="0"/>
    <s v="Yes"/>
    <n v="9.6277363636363642"/>
    <s v="line average"/>
    <n v="115.53283636363636"/>
  </r>
  <r>
    <x v="0"/>
    <x v="1"/>
    <x v="1"/>
    <s v="Metal Mixed Blue Lion"/>
    <n v="4.1863000000000001"/>
    <n v="4.1863000000000001"/>
    <n v="4.0511999999999997"/>
    <n v="4.1863000000000001"/>
    <n v="4.0511999999999997"/>
    <n v="4.1863000000000001"/>
    <n v="4.1863000000000001"/>
    <n v="3.7812000000000001"/>
    <n v="4.1863000000000001"/>
    <n v="4.0511999999999997"/>
    <n v="4.1863000000000001"/>
    <n v="4.0511999999999997"/>
    <n v="49.290100000000002"/>
    <m/>
    <m/>
    <m/>
    <m/>
    <m/>
    <m/>
    <m/>
    <m/>
    <m/>
    <m/>
    <m/>
    <m/>
    <s v="No"/>
    <m/>
    <s v="No data received"/>
    <n v="0"/>
  </r>
  <r>
    <x v="1"/>
    <x v="1"/>
    <x v="2"/>
    <s v="Toner Catridges Cannon"/>
    <n v="0.2112"/>
    <n v="0.27550000000000002"/>
    <n v="0.23799999999999999"/>
    <n v="0.25719999999999998"/>
    <n v="0.2422"/>
    <n v="0.1774"/>
    <n v="0.13819999999999999"/>
    <n v="0.221"/>
    <n v="0.14330000000000001"/>
    <n v="6.2899999999999998E-2"/>
    <n v="0.1176"/>
    <n v="7.8299999999999995E-2"/>
    <n v="2.1627999999999998"/>
    <n v="0.1515"/>
    <n v="0.20430000000000001"/>
    <n v="0.17030000000000001"/>
    <n v="0.13730000000000001"/>
    <n v="7.7799999999999994E-2"/>
    <n v="6.7400000000000002E-2"/>
    <n v="0.1145"/>
    <n v="0.1024"/>
    <n v="3.6299999999999999E-2"/>
    <n v="3.2899999999999999E-2"/>
    <n v="1.1000000000000001E-3"/>
    <n v="1.7500000000000002E-2"/>
    <s v="No"/>
    <m/>
    <s v="Complete data set"/>
    <n v="1.1133000000000002"/>
  </r>
  <r>
    <x v="2"/>
    <x v="1"/>
    <x v="2"/>
    <s v="Recycled- Network E Waste"/>
    <m/>
    <m/>
    <m/>
    <m/>
    <m/>
    <m/>
    <m/>
    <m/>
    <m/>
    <m/>
    <m/>
    <m/>
    <m/>
    <n v="2.5525000000000002"/>
    <n v="2.5525000000000002"/>
    <n v="2.4702000000000002"/>
    <n v="2.5525000000000002"/>
    <n v="2.4702000000000002"/>
    <n v="2.5525000000000002"/>
    <n v="2.5525000000000002"/>
    <n v="2.3879000000000001"/>
    <n v="2.5525000000000002"/>
    <n v="2.4702000000000002"/>
    <n v="2.5525000000000002"/>
    <n v="2.4702000000000002"/>
    <s v="No"/>
    <m/>
    <s v="Complete data set"/>
    <n v="30.136200000000002"/>
  </r>
  <r>
    <x v="3"/>
    <x v="1"/>
    <x v="2"/>
    <s v="Media Destruction"/>
    <n v="3.0000000000000002E-2"/>
    <n v="3.3000000000000002E-2"/>
    <n v="3.2000000000000001E-2"/>
    <n v="3.1000000000000003E-2"/>
    <n v="2.6000000000000002E-2"/>
    <n v="2.3E-2"/>
    <n v="2.1000000000000005E-2"/>
    <n v="1.4E-2"/>
    <n v="2.23E-2"/>
    <n v="0.23400000000000001"/>
    <n v="0.14200000000000002"/>
    <n v="1.0230000000000001"/>
    <n v="1.6313000000000002"/>
    <m/>
    <n v="2.1999999999999999E-2"/>
    <n v="0.13700000000000001"/>
    <n v="1.0449999999999999"/>
    <n v="1.1876"/>
    <n v="0.16"/>
    <n v="6.7500000000000004E-2"/>
    <n v="1.121"/>
    <n v="3.9529000000000001"/>
    <n v="0"/>
    <n v="0"/>
    <n v="7.7008999999999999"/>
    <s v="No"/>
    <m/>
    <s v="Complete data set"/>
    <n v="15.393899999999999"/>
  </r>
  <r>
    <x v="3"/>
    <x v="1"/>
    <x v="3"/>
    <s v="Secure Paper"/>
    <n v="59.62450000000004"/>
    <n v="59.832000000000065"/>
    <n v="55.336500000000051"/>
    <n v="64.408500000000032"/>
    <n v="54.594000000000072"/>
    <n v="46.507500000000022"/>
    <n v="58.684500000000057"/>
    <n v="49.621000000000059"/>
    <n v="48.568000000000033"/>
    <n v="35.103000000000023"/>
    <n v="37.759500000000031"/>
    <n v="28.822500000000016"/>
    <n v="598.86150000000043"/>
    <n v="28.76600000000003"/>
    <n v="25.542000000000026"/>
    <n v="26.932500000000022"/>
    <n v="27.702000000000019"/>
    <n v="28.007500000000022"/>
    <n v="20.020500000000009"/>
    <n v="21.843000000000014"/>
    <n v="23.701500000000017"/>
    <n v="23.085000000000022"/>
    <n v="18.333000000000006"/>
    <n v="19.129500000000011"/>
    <n v="25.612500000000015"/>
    <s v="No"/>
    <m/>
    <s v="Complete data set"/>
    <n v="288.67500000000024"/>
  </r>
  <r>
    <x v="4"/>
    <x v="0"/>
    <x v="4"/>
    <s v="C&amp;D Landfill Lend Lease"/>
    <n v="5.4474999999999998"/>
    <n v="5.4474999999999998"/>
    <n v="5.2717999999999998"/>
    <n v="5.4474999999999998"/>
    <n v="5.2717999999999998"/>
    <n v="5.4474999999999998"/>
    <n v="5.4474999999999998"/>
    <n v="4.9203000000000001"/>
    <n v="5.4474999999999998"/>
    <n v="5.2717999999999998"/>
    <n v="5.4474999999999998"/>
    <n v="5.2717999999999998"/>
    <n v="64.139999999999986"/>
    <n v="0"/>
    <n v="0.26"/>
    <n v="1.1100000000000001"/>
    <n v="0"/>
    <n v="1.45"/>
    <n v="1.32"/>
    <n v="6.53"/>
    <n v="0.59"/>
    <n v="6.79"/>
    <n v="1.3"/>
    <n v="0.93"/>
    <n v="0"/>
    <s v="No"/>
    <n v="0"/>
    <s v="Complete data set"/>
    <n v="20.28"/>
  </r>
  <r>
    <x v="4"/>
    <x v="1"/>
    <x v="1"/>
    <s v="C&amp;D Recycled Lend Lease"/>
    <n v="21.486799999999999"/>
    <n v="21.486799999999999"/>
    <n v="20.793700000000001"/>
    <n v="21.486799999999999"/>
    <n v="20.793700000000001"/>
    <n v="21.486799999999999"/>
    <n v="21.486799999999999"/>
    <n v="19.407499999999999"/>
    <n v="21.486799999999999"/>
    <n v="20.793700000000001"/>
    <n v="21.486799999999999"/>
    <n v="20.793700000000001"/>
    <n v="252.98989999999998"/>
    <n v="0"/>
    <n v="0.82"/>
    <n v="3.49"/>
    <n v="0"/>
    <n v="6.35"/>
    <n v="1.23"/>
    <n v="13.45"/>
    <n v="1.29"/>
    <n v="30.89"/>
    <n v="6.86"/>
    <n v="3.93"/>
    <n v="0"/>
    <s v="No"/>
    <n v="0"/>
    <s v="Complete data set"/>
    <n v="68.31"/>
  </r>
  <r>
    <x v="5"/>
    <x v="1"/>
    <x v="5"/>
    <s v="Mobile Muster"/>
    <n v="1.2141"/>
    <n v="1.7813999999999999"/>
    <n v="1.0392000000000001"/>
    <n v="1.363"/>
    <n v="1.1779999999999999"/>
    <n v="0.89349999999999996"/>
    <n v="1.3694000000000002"/>
    <n v="1.5886"/>
    <n v="1.2527999999999999"/>
    <n v="1.0634999999999999"/>
    <n v="1.5072999999999999"/>
    <n v="1.2608999999999999"/>
    <n v="15.511700000000001"/>
    <n v="1.4975000000000001"/>
    <n v="1.2223999999999999"/>
    <n v="0.85260000000000002"/>
    <n v="0.8962"/>
    <n v="6.8115999999999994"/>
    <n v="0.89979999999999993"/>
    <n v="1.956"/>
    <n v="1.1360000000000001"/>
    <n v="2.5075000000000003"/>
    <n v="0.65620000000000001"/>
    <n v="0.64140000000000008"/>
    <n v="0.58519999999999994"/>
    <s v="No"/>
    <m/>
    <s v="updated 7/16/2020"/>
    <n v="19.662399999999998"/>
  </r>
  <r>
    <x v="6"/>
    <x v="0"/>
    <x v="0"/>
    <s v="Payphones general waste"/>
    <n v="0.37369999999999998"/>
    <n v="0.37369999999999998"/>
    <n v="0.36159999999999998"/>
    <n v="0.37369999999999998"/>
    <n v="0.36159999999999998"/>
    <n v="0.37369999999999998"/>
    <n v="0.37369999999999998"/>
    <n v="0.33750000000000002"/>
    <n v="0.37369999999999998"/>
    <n v="0.36159999999999998"/>
    <n v="0.37369999999999998"/>
    <n v="0.36159999999999998"/>
    <n v="4.3997999999999999"/>
    <n v="0.3049"/>
    <n v="0.3049"/>
    <n v="0.29509999999999997"/>
    <n v="0.3049"/>
    <n v="0.29509999999999997"/>
    <n v="0.3049"/>
    <n v="0.3049"/>
    <n v="0.28520000000000001"/>
    <n v="0.3049"/>
    <n v="0.29509999999999997"/>
    <n v="0.3049"/>
    <n v="0.29509999999999997"/>
    <s v="No"/>
    <m/>
    <s v="Complete data set"/>
    <n v="3.5999000000000003"/>
  </r>
  <r>
    <x v="6"/>
    <x v="0"/>
    <x v="6"/>
    <s v="Payphones haz waste - general"/>
    <n v="8.6999999999999994E-3"/>
    <n v="8.6999999999999994E-3"/>
    <n v="8.5000000000000006E-3"/>
    <n v="8.6999999999999994E-3"/>
    <n v="8.5000000000000006E-3"/>
    <n v="8.6999999999999994E-3"/>
    <n v="8.6999999999999994E-3"/>
    <n v="7.9000000000000008E-3"/>
    <n v="8.6999999999999994E-3"/>
    <n v="8.5000000000000006E-3"/>
    <n v="8.6999999999999994E-3"/>
    <n v="8.5000000000000006E-3"/>
    <n v="0.1028"/>
    <n v="8.5000000000000006E-3"/>
    <n v="8.5000000000000006E-3"/>
    <n v="8.2000000000000007E-3"/>
    <n v="8.5000000000000006E-3"/>
    <n v="8.2000000000000007E-3"/>
    <n v="8.5000000000000006E-3"/>
    <n v="8.5000000000000006E-3"/>
    <n v="7.9000000000000008E-3"/>
    <n v="8.5000000000000006E-3"/>
    <n v="8.2000000000000007E-3"/>
    <n v="8.5000000000000006E-3"/>
    <n v="8.2000000000000007E-3"/>
    <s v="No"/>
    <m/>
    <s v="Complete data set"/>
    <n v="0.1002"/>
  </r>
  <r>
    <x v="6"/>
    <x v="0"/>
    <x v="6"/>
    <s v="Payphones haz waste - PCBs"/>
    <n v="1.1900000000000001E-2"/>
    <n v="1.1900000000000001E-2"/>
    <n v="1.15E-2"/>
    <n v="1.1900000000000001E-2"/>
    <n v="1.15E-2"/>
    <n v="1.1900000000000001E-2"/>
    <n v="1.1900000000000001E-2"/>
    <n v="1.0699999999999999E-2"/>
    <n v="1.1900000000000001E-2"/>
    <n v="1.15E-2"/>
    <n v="1.1900000000000001E-2"/>
    <n v="1.15E-2"/>
    <n v="0.14000000000000001"/>
    <n v="8.5000000000000006E-3"/>
    <n v="8.5000000000000006E-3"/>
    <n v="8.2000000000000007E-3"/>
    <n v="8.5000000000000006E-3"/>
    <n v="8.2000000000000007E-3"/>
    <n v="8.5000000000000006E-3"/>
    <n v="8.5000000000000006E-3"/>
    <n v="7.9000000000000008E-3"/>
    <n v="8.5000000000000006E-3"/>
    <n v="8.2000000000000007E-3"/>
    <n v="8.5000000000000006E-3"/>
    <n v="8.2000000000000007E-3"/>
    <s v="No"/>
    <m/>
    <s v="Complete data set"/>
    <n v="0.1002"/>
  </r>
  <r>
    <x v="6"/>
    <x v="0"/>
    <x v="6"/>
    <s v="Payphones haz waste - sharps &amp; medical"/>
    <n v="8.6999999999999994E-3"/>
    <n v="8.6999999999999994E-3"/>
    <n v="8.3999999999999995E-3"/>
    <n v="8.6999999999999994E-3"/>
    <n v="8.3999999999999995E-3"/>
    <n v="8.6999999999999994E-3"/>
    <n v="8.6999999999999994E-3"/>
    <n v="7.7999999999999996E-3"/>
    <n v="8.6999999999999994E-3"/>
    <n v="8.3999999999999995E-3"/>
    <n v="8.6999999999999994E-3"/>
    <n v="8.3999999999999995E-3"/>
    <n v="0.1023"/>
    <n v="8.6E-3"/>
    <n v="8.6E-3"/>
    <n v="8.3999999999999995E-3"/>
    <n v="8.6E-3"/>
    <n v="8.3999999999999995E-3"/>
    <n v="8.6E-3"/>
    <n v="8.6E-3"/>
    <n v="8.0999999999999996E-3"/>
    <n v="8.6E-3"/>
    <n v="8.3999999999999995E-3"/>
    <n v="8.6E-3"/>
    <n v="8.3999999999999995E-3"/>
    <s v="No"/>
    <m/>
    <s v="Complete data set"/>
    <n v="0.10189999999999999"/>
  </r>
  <r>
    <x v="6"/>
    <x v="1"/>
    <x v="2"/>
    <s v="Payphones e-waste"/>
    <n v="0.2208"/>
    <n v="0.2208"/>
    <n v="0.2137"/>
    <n v="0.2208"/>
    <n v="0.2137"/>
    <n v="0.2208"/>
    <n v="0.2208"/>
    <n v="0.19950000000000001"/>
    <n v="0.2208"/>
    <n v="0.2137"/>
    <n v="0.2208"/>
    <n v="0.2137"/>
    <n v="2.5998999999999999"/>
    <n v="0.14399999999999999"/>
    <n v="0.14399999999999999"/>
    <n v="0.13930000000000001"/>
    <n v="0.14399999999999999"/>
    <n v="0.13930000000000001"/>
    <n v="0.14399999999999999"/>
    <n v="0.14399999999999999"/>
    <n v="0.13469999999999999"/>
    <n v="0.14399999999999999"/>
    <n v="0.13930000000000001"/>
    <n v="0.14399999999999999"/>
    <n v="0.13930000000000001"/>
    <s v="No"/>
    <m/>
    <s v="Complete data set"/>
    <n v="1.6998999999999997"/>
  </r>
  <r>
    <x v="6"/>
    <x v="1"/>
    <x v="2"/>
    <s v="Payphones scrap cable"/>
    <n v="8.4900000000000003E-2"/>
    <n v="8.4900000000000003E-2"/>
    <n v="8.2199999999999995E-2"/>
    <n v="8.4900000000000003E-2"/>
    <n v="8.2199999999999995E-2"/>
    <n v="8.4900000000000003E-2"/>
    <n v="8.4900000000000003E-2"/>
    <n v="7.6700000000000004E-2"/>
    <n v="8.4900000000000003E-2"/>
    <n v="8.2199999999999995E-2"/>
    <n v="8.4900000000000003E-2"/>
    <n v="8.2199999999999995E-2"/>
    <n v="0.99980000000000002"/>
    <n v="5.9299999999999999E-2"/>
    <n v="5.9299999999999999E-2"/>
    <n v="5.74E-2"/>
    <n v="5.9299999999999999E-2"/>
    <n v="5.74E-2"/>
    <n v="5.9299999999999999E-2"/>
    <n v="5.9299999999999999E-2"/>
    <n v="5.5500000000000001E-2"/>
    <n v="5.9299999999999999E-2"/>
    <n v="5.74E-2"/>
    <n v="5.9299999999999999E-2"/>
    <n v="5.74E-2"/>
    <s v="No"/>
    <m/>
    <s v="Complete data set"/>
    <n v="0.70020000000000004"/>
  </r>
  <r>
    <x v="6"/>
    <x v="1"/>
    <x v="3"/>
    <s v="Payphones cardboard"/>
    <n v="0.25309999999999999"/>
    <n v="0.25309999999999999"/>
    <n v="0.24490000000000001"/>
    <n v="0.25309999999999999"/>
    <n v="0.24490000000000001"/>
    <n v="0.25309999999999999"/>
    <n v="0.25309999999999999"/>
    <n v="0.2286"/>
    <n v="0.25309999999999999"/>
    <n v="0.24490000000000001"/>
    <n v="0.25309999999999999"/>
    <n v="0.24490000000000001"/>
    <n v="2.9798999999999993"/>
    <n v="0.2117"/>
    <n v="0.2117"/>
    <n v="0.2049"/>
    <n v="0.2117"/>
    <n v="0.2049"/>
    <n v="0.2117"/>
    <n v="0.2117"/>
    <n v="0.1981"/>
    <n v="0.2117"/>
    <n v="0.2049"/>
    <n v="0.2117"/>
    <n v="0.2049"/>
    <s v="No"/>
    <m/>
    <s v="Complete data set"/>
    <n v="2.4995999999999996"/>
  </r>
  <r>
    <x v="6"/>
    <x v="1"/>
    <x v="3"/>
    <s v="Payphones paper"/>
    <n v="2.8899999999999999E-2"/>
    <n v="2.8899999999999999E-2"/>
    <n v="2.7900000000000001E-2"/>
    <n v="2.8899999999999999E-2"/>
    <n v="2.7900000000000001E-2"/>
    <n v="2.8899999999999999E-2"/>
    <n v="2.8899999999999999E-2"/>
    <n v="2.6100000000000002E-2"/>
    <n v="2.8899999999999999E-2"/>
    <n v="2.7900000000000001E-2"/>
    <n v="2.8899999999999999E-2"/>
    <n v="2.7900000000000001E-2"/>
    <n v="0.33999999999999997"/>
    <n v="2.5399999999999999E-2"/>
    <n v="2.5399999999999999E-2"/>
    <n v="2.46E-2"/>
    <n v="2.5399999999999999E-2"/>
    <n v="2.46E-2"/>
    <n v="2.5399999999999999E-2"/>
    <n v="2.5399999999999999E-2"/>
    <n v="2.3800000000000002E-2"/>
    <n v="2.5399999999999999E-2"/>
    <n v="2.46E-2"/>
    <n v="2.5399999999999999E-2"/>
    <n v="2.46E-2"/>
    <s v="No"/>
    <m/>
    <s v="Complete data set"/>
    <n v="0.3"/>
  </r>
  <r>
    <x v="6"/>
    <x v="1"/>
    <x v="7"/>
    <s v="Payphones comingled"/>
    <n v="1.0200000000000001E-2"/>
    <n v="1.0200000000000001E-2"/>
    <n v="9.9000000000000008E-3"/>
    <n v="1.0200000000000001E-2"/>
    <n v="9.9000000000000008E-3"/>
    <n v="1.0200000000000001E-2"/>
    <n v="1.0200000000000001E-2"/>
    <n v="9.1999999999999998E-3"/>
    <n v="1.0200000000000001E-2"/>
    <n v="9.9000000000000008E-3"/>
    <n v="1.0200000000000001E-2"/>
    <n v="9.9000000000000008E-3"/>
    <n v="0.12020000000000002"/>
    <n v="8.5000000000000006E-3"/>
    <n v="8.5000000000000006E-3"/>
    <n v="8.2000000000000007E-3"/>
    <n v="8.5000000000000006E-3"/>
    <n v="8.2000000000000007E-3"/>
    <n v="8.5000000000000006E-3"/>
    <n v="8.5000000000000006E-3"/>
    <n v="7.9000000000000008E-3"/>
    <n v="8.5000000000000006E-3"/>
    <n v="8.2000000000000007E-3"/>
    <n v="8.5000000000000006E-3"/>
    <n v="8.2000000000000007E-3"/>
    <s v="No"/>
    <m/>
    <s v="Complete data set"/>
    <n v="0.1002"/>
  </r>
  <r>
    <x v="6"/>
    <x v="1"/>
    <x v="1"/>
    <s v="Payphones aluminium"/>
    <n v="0.2208"/>
    <n v="0.2208"/>
    <n v="0.2137"/>
    <n v="0.2208"/>
    <n v="0.2137"/>
    <n v="0.2208"/>
    <n v="0.2208"/>
    <n v="0.19950000000000001"/>
    <n v="0.2208"/>
    <n v="0.2137"/>
    <n v="0.2208"/>
    <n v="0.2137"/>
    <n v="2.5998999999999999"/>
    <n v="0.1779"/>
    <n v="0.1779"/>
    <n v="0.1721"/>
    <n v="0.1779"/>
    <n v="0.1721"/>
    <n v="0.1779"/>
    <n v="0.1779"/>
    <n v="0.16639999999999999"/>
    <n v="0.1779"/>
    <n v="0.1721"/>
    <n v="0.1779"/>
    <n v="0.1721"/>
    <s v="No"/>
    <m/>
    <s v="Complete data set"/>
    <n v="2.1000999999999999"/>
  </r>
  <r>
    <x v="6"/>
    <x v="1"/>
    <x v="1"/>
    <s v="Payphones cabinets"/>
    <n v="0.26500000000000001"/>
    <n v="0.26500000000000001"/>
    <n v="0.25640000000000002"/>
    <n v="0.26500000000000001"/>
    <n v="0.25640000000000002"/>
    <n v="0.26500000000000001"/>
    <n v="0.26500000000000001"/>
    <n v="0.23930000000000001"/>
    <n v="0.26500000000000001"/>
    <n v="0.25640000000000002"/>
    <n v="0.26500000000000001"/>
    <n v="0.25640000000000002"/>
    <n v="3.1199000000000008"/>
    <n v="0.2228"/>
    <n v="0.2228"/>
    <n v="0.21560000000000001"/>
    <n v="0.2228"/>
    <n v="0.21560000000000001"/>
    <n v="0.2228"/>
    <n v="0.2228"/>
    <n v="0.2084"/>
    <n v="0.2228"/>
    <n v="0.21560000000000001"/>
    <n v="0.2228"/>
    <n v="0.21560000000000001"/>
    <s v="No"/>
    <m/>
    <s v="Complete data set"/>
    <n v="2.6303999999999998"/>
  </r>
  <r>
    <x v="6"/>
    <x v="1"/>
    <x v="1"/>
    <s v="Payphones mixed metal"/>
    <n v="0.34820000000000001"/>
    <n v="0.34820000000000001"/>
    <n v="0.33700000000000002"/>
    <n v="0.34820000000000001"/>
    <n v="0.33700000000000002"/>
    <n v="0.34820000000000001"/>
    <n v="0.34820000000000001"/>
    <n v="0.3145"/>
    <n v="0.34820000000000001"/>
    <n v="0.33700000000000002"/>
    <n v="0.34820000000000001"/>
    <n v="0.33700000000000002"/>
    <n v="4.0998999999999999"/>
    <n v="0.3049"/>
    <n v="0.3049"/>
    <n v="0.29509999999999997"/>
    <n v="0.3049"/>
    <n v="0.29509999999999997"/>
    <n v="0.3049"/>
    <n v="0.3049"/>
    <n v="0.28520000000000001"/>
    <n v="0.3049"/>
    <n v="0.29509999999999997"/>
    <n v="0.3049"/>
    <n v="0.29509999999999997"/>
    <s v="No"/>
    <m/>
    <s v="Complete data set"/>
    <n v="3.5999000000000003"/>
  </r>
  <r>
    <x v="6"/>
    <x v="1"/>
    <x v="1"/>
    <s v="Payphones timber"/>
    <n v="1.2699999999999999E-2"/>
    <n v="1.2699999999999999E-2"/>
    <n v="1.23E-2"/>
    <n v="1.2699999999999999E-2"/>
    <n v="1.23E-2"/>
    <n v="1.2699999999999999E-2"/>
    <n v="1.2699999999999999E-2"/>
    <n v="1.15E-2"/>
    <n v="1.2699999999999999E-2"/>
    <n v="1.23E-2"/>
    <n v="1.2699999999999999E-2"/>
    <n v="1.23E-2"/>
    <n v="0.14960000000000001"/>
    <n v="8.5000000000000006E-3"/>
    <n v="8.5000000000000006E-3"/>
    <n v="8.2000000000000007E-3"/>
    <n v="8.5000000000000006E-3"/>
    <n v="8.2000000000000007E-3"/>
    <n v="8.5000000000000006E-3"/>
    <n v="8.5000000000000006E-3"/>
    <n v="7.9000000000000008E-3"/>
    <n v="8.5000000000000006E-3"/>
    <n v="8.2000000000000007E-3"/>
    <n v="8.5000000000000006E-3"/>
    <n v="8.2000000000000007E-3"/>
    <s v="No"/>
    <m/>
    <s v="Complete data set"/>
    <n v="0.1002"/>
  </r>
  <r>
    <x v="7"/>
    <x v="2"/>
    <x v="8"/>
    <s v="MUDDY WATER/SLUDGE - ASBESTOS IMPACTED"/>
    <m/>
    <m/>
    <m/>
    <m/>
    <m/>
    <m/>
    <m/>
    <m/>
    <m/>
    <n v="1.5"/>
    <m/>
    <m/>
    <n v="1.5"/>
    <m/>
    <m/>
    <n v="3.64"/>
    <n v="0"/>
    <n v="0"/>
    <n v="1.5"/>
    <n v="2.34"/>
    <n v="0"/>
    <n v="0"/>
    <n v="0"/>
    <n v="0"/>
    <n v="0"/>
    <s v="Yes"/>
    <n v="2.4933333333333336"/>
    <s v="average for existing data values"/>
    <n v="9.9733333333333345"/>
  </r>
  <r>
    <x v="7"/>
    <x v="2"/>
    <x v="8"/>
    <s v="MUDDY WATER/SLUDGE - RECYCLED"/>
    <n v="11.05"/>
    <n v="8.5399999999999991"/>
    <m/>
    <n v="2.62"/>
    <n v="10.119999999999999"/>
    <n v="10.19"/>
    <n v="8.94"/>
    <n v="1.1599999999999999"/>
    <n v="8.9600000000000009"/>
    <n v="13.6"/>
    <n v="7"/>
    <n v="6.92"/>
    <n v="89.1"/>
    <n v="25.683399999999999"/>
    <n v="24.689999999999998"/>
    <n v="13.6"/>
    <n v="5.16"/>
    <n v="30.1"/>
    <n v="47.64"/>
    <n v="40.700000000000003"/>
    <n v="27.34"/>
    <n v="50.02"/>
    <n v="47.22"/>
    <n v="18.54"/>
    <n v="0"/>
    <s v="Yes"/>
    <n v="30.063036363636368"/>
    <s v="line average"/>
    <n v="360.7564363636364"/>
  </r>
  <r>
    <x v="7"/>
    <x v="2"/>
    <x v="8"/>
    <s v="RECYCLED WATER &amp; NON-HAZ GRIT"/>
    <n v="27.599999999999998"/>
    <n v="80.42"/>
    <n v="112.03800000000001"/>
    <n v="110.43899999999999"/>
    <n v="54.44"/>
    <n v="29.5"/>
    <n v="20.88"/>
    <n v="61.019999999999996"/>
    <n v="14"/>
    <n v="136"/>
    <n v="161.57999999999998"/>
    <n v="48.04"/>
    <n v="855.95699999999988"/>
    <n v="125.81"/>
    <n v="139.4203"/>
    <n v="335.33699999999999"/>
    <n v="410.26100000000002"/>
    <n v="78.83"/>
    <n v="19.5"/>
    <n v="75.454000000000008"/>
    <n v="230.571"/>
    <n v="204.2"/>
    <n v="255.87700000000001"/>
    <n v="245.64"/>
    <n v="0"/>
    <s v="Yes"/>
    <n v="192.80911818181815"/>
    <s v="line average"/>
    <n v="2313.7094181818179"/>
  </r>
  <r>
    <x v="7"/>
    <x v="2"/>
    <x v="8"/>
    <s v="SEPTIC"/>
    <n v="10.65"/>
    <n v="3"/>
    <n v="10"/>
    <n v="2.15"/>
    <m/>
    <n v="8"/>
    <n v="0.1"/>
    <m/>
    <m/>
    <n v="0.2"/>
    <m/>
    <m/>
    <n v="34.1"/>
    <m/>
    <m/>
    <m/>
    <n v="0.5"/>
    <n v="0"/>
    <n v="0"/>
    <n v="0"/>
    <n v="0"/>
    <n v="0"/>
    <n v="3"/>
    <n v="0"/>
    <n v="0"/>
    <s v="Yes"/>
    <n v="1.75"/>
    <s v="average for existing data values"/>
    <n v="5.25"/>
  </r>
  <r>
    <x v="7"/>
    <x v="0"/>
    <x v="4"/>
    <s v="ASBESTOS"/>
    <n v="3.91"/>
    <n v="8.2149999999999999"/>
    <n v="3.9359999999999999"/>
    <n v="7.9507000000000021"/>
    <n v="15.295299999999999"/>
    <n v="7.4163000000000014"/>
    <n v="8.7513000000000005"/>
    <n v="6.2512000000000008"/>
    <n v="11.350000000000001"/>
    <n v="7.9850000000000003"/>
    <n v="6.6334000000000009"/>
    <n v="10.675099999999999"/>
    <n v="98.36930000000001"/>
    <n v="6.9749999999999996"/>
    <n v="10.7982"/>
    <n v="21.0061"/>
    <n v="12.0977"/>
    <n v="26.366299999999995"/>
    <n v="12.475299999999994"/>
    <n v="16.660399999999999"/>
    <n v="13.77"/>
    <n v="17.990800000000004"/>
    <n v="10.480599999999997"/>
    <n v="7.7558000000000007"/>
    <n v="0"/>
    <s v="Yes"/>
    <n v="14.21601818181818"/>
    <s v="line average"/>
    <n v="170.59221818181817"/>
  </r>
  <r>
    <x v="7"/>
    <x v="0"/>
    <x v="4"/>
    <s v="ASBESTOS CONSTRUCTION &amp; DEMOLITION"/>
    <m/>
    <m/>
    <m/>
    <m/>
    <m/>
    <m/>
    <m/>
    <n v="1"/>
    <m/>
    <m/>
    <m/>
    <m/>
    <n v="1"/>
    <m/>
    <m/>
    <m/>
    <m/>
    <m/>
    <m/>
    <m/>
    <m/>
    <m/>
    <m/>
    <m/>
    <m/>
    <s v="No"/>
    <m/>
    <s v="No data received"/>
    <n v="0"/>
  </r>
  <r>
    <x v="7"/>
    <x v="0"/>
    <x v="4"/>
    <s v="BUILDING MAT. LANDFILL"/>
    <n v="0.78"/>
    <n v="0.5"/>
    <n v="0.44"/>
    <n v="0.3"/>
    <m/>
    <m/>
    <n v="0.3"/>
    <m/>
    <m/>
    <n v="0.3"/>
    <n v="5.19"/>
    <m/>
    <n v="7.8100000000000005"/>
    <n v="0.3"/>
    <m/>
    <m/>
    <n v="0.3"/>
    <m/>
    <n v="0.3"/>
    <m/>
    <n v="0.3"/>
    <n v="0"/>
    <n v="0"/>
    <n v="0"/>
    <n v="0"/>
    <s v="Yes"/>
    <n v="0.3"/>
    <s v="last month with data"/>
    <n v="1.5"/>
  </r>
  <r>
    <x v="7"/>
    <x v="0"/>
    <x v="4"/>
    <s v="CONCRETE - LANDFILL"/>
    <m/>
    <n v="3.56"/>
    <m/>
    <n v="3.56"/>
    <m/>
    <n v="4.2080000000000002"/>
    <n v="7.02"/>
    <m/>
    <n v="2.6950000000000003"/>
    <n v="0.3"/>
    <m/>
    <n v="0.1"/>
    <n v="21.443000000000001"/>
    <n v="1.6"/>
    <m/>
    <n v="4.01"/>
    <n v="1.73"/>
    <n v="0"/>
    <n v="0"/>
    <n v="0.16"/>
    <n v="1.73"/>
    <n v="3.46"/>
    <n v="0"/>
    <n v="1.73"/>
    <n v="0"/>
    <s v="Yes"/>
    <n v="1.4420000000000002"/>
    <s v="line average"/>
    <n v="15.862000000000002"/>
  </r>
  <r>
    <x v="7"/>
    <x v="0"/>
    <x v="4"/>
    <s v="CONSTRUCTION &amp; DEMOLITION - LANDFILL"/>
    <m/>
    <m/>
    <m/>
    <m/>
    <m/>
    <m/>
    <m/>
    <n v="3.4"/>
    <n v="4"/>
    <n v="2.5950000000000002"/>
    <n v="8.65"/>
    <n v="37.774999999999999"/>
    <n v="56.42"/>
    <n v="47.42"/>
    <n v="25.22"/>
    <n v="25.22"/>
    <n v="65.260000000000005"/>
    <n v="0"/>
    <n v="0"/>
    <n v="0"/>
    <n v="0"/>
    <n v="1.34"/>
    <n v="8.4740000000000002"/>
    <n v="12.63"/>
    <n v="0"/>
    <s v="Yes"/>
    <n v="16.869454545454545"/>
    <s v="line average"/>
    <n v="202.43345454545454"/>
  </r>
  <r>
    <x v="7"/>
    <x v="0"/>
    <x v="4"/>
    <s v="FIBREGLASS SHEETS - LANDFILL"/>
    <m/>
    <m/>
    <m/>
    <n v="1.1000000000000001"/>
    <n v="1.62"/>
    <m/>
    <m/>
    <n v="0.125"/>
    <m/>
    <m/>
    <m/>
    <n v="0.35"/>
    <n v="3.1950000000000003"/>
    <m/>
    <m/>
    <m/>
    <m/>
    <n v="3"/>
    <n v="0"/>
    <n v="0"/>
    <n v="0"/>
    <n v="0"/>
    <n v="0.4"/>
    <n v="0"/>
    <n v="0"/>
    <s v="Yes"/>
    <n v="1.7"/>
    <s v="average for existing data values"/>
    <n v="5.0999999999999996"/>
  </r>
  <r>
    <x v="7"/>
    <x v="0"/>
    <x v="4"/>
    <s v="SECURE BURIAL"/>
    <m/>
    <m/>
    <m/>
    <m/>
    <m/>
    <m/>
    <m/>
    <m/>
    <m/>
    <m/>
    <m/>
    <m/>
    <m/>
    <n v="1.25"/>
    <m/>
    <m/>
    <m/>
    <m/>
    <m/>
    <m/>
    <n v="0.45600000000000002"/>
    <n v="0"/>
    <n v="0"/>
    <n v="1.1499999999999999"/>
    <n v="0"/>
    <s v="Yes"/>
    <n v="0.57119999999999993"/>
    <s v="line average"/>
    <n v="3.4272"/>
  </r>
  <r>
    <x v="7"/>
    <x v="0"/>
    <x v="9"/>
    <s v="Globes/Bulbs - Mercury/Metal Halide"/>
    <m/>
    <m/>
    <m/>
    <m/>
    <m/>
    <m/>
    <m/>
    <m/>
    <m/>
    <m/>
    <m/>
    <m/>
    <m/>
    <m/>
    <m/>
    <m/>
    <n v="1.6E-2"/>
    <n v="0"/>
    <n v="0"/>
    <n v="0"/>
    <n v="0"/>
    <n v="0"/>
    <n v="0"/>
    <n v="0"/>
    <n v="0"/>
    <s v="Yes"/>
    <n v="1.6E-2"/>
    <s v="last month with data"/>
    <n v="3.2000000000000001E-2"/>
  </r>
  <r>
    <x v="7"/>
    <x v="0"/>
    <x v="9"/>
    <s v="GLOBES_BULBS - MERCURY"/>
    <m/>
    <m/>
    <m/>
    <n v="5.3999999999999999E-2"/>
    <m/>
    <m/>
    <m/>
    <m/>
    <m/>
    <m/>
    <m/>
    <m/>
    <n v="5.3999999999999999E-2"/>
    <m/>
    <m/>
    <m/>
    <m/>
    <m/>
    <m/>
    <m/>
    <m/>
    <m/>
    <m/>
    <m/>
    <m/>
    <s v="No"/>
    <m/>
    <s v="No data received"/>
    <n v="0"/>
  </r>
  <r>
    <x v="7"/>
    <x v="0"/>
    <x v="0"/>
    <s v="CARDBOARD - LOOSE - LANDFILL"/>
    <n v="0.92639999999999989"/>
    <n v="1.4314"/>
    <n v="0.66889999999999994"/>
    <n v="0.71799999999999997"/>
    <n v="0.25700000000000001"/>
    <n v="0.254"/>
    <n v="1.9599999999999997"/>
    <n v="0.66900000000000004"/>
    <n v="0.54360000000000008"/>
    <n v="0.52960000000000007"/>
    <n v="0.14300000000000002"/>
    <n v="0.15429999999999999"/>
    <n v="8.2551999999999985"/>
    <n v="6.3E-2"/>
    <m/>
    <n v="0.14929999999999999"/>
    <n v="9.4500000000000001E-2"/>
    <n v="0.64659999999999995"/>
    <n v="3.8300000000000001E-2"/>
    <n v="2.3300000000000001E-2"/>
    <n v="0.21680000000000002"/>
    <n v="0.18080000000000002"/>
    <n v="4.6600000000000003E-2"/>
    <n v="0"/>
    <n v="0"/>
    <s v="Yes"/>
    <n v="0.14591999999999999"/>
    <s v="line average"/>
    <n v="1.6051200000000001"/>
  </r>
  <r>
    <x v="7"/>
    <x v="0"/>
    <x v="0"/>
    <s v="COMMINGLED - LANDFILL"/>
    <m/>
    <m/>
    <m/>
    <m/>
    <m/>
    <m/>
    <m/>
    <m/>
    <m/>
    <n v="7.1999999999999995E-2"/>
    <m/>
    <m/>
    <n v="7.1999999999999995E-2"/>
    <n v="0.111"/>
    <n v="0.111"/>
    <m/>
    <m/>
    <n v="0.44400000000000001"/>
    <n v="0.33300000000000002"/>
    <m/>
    <n v="0.248"/>
    <n v="0.111"/>
    <n v="0"/>
    <n v="0.222"/>
    <n v="0"/>
    <s v="Yes"/>
    <n v="0.19750000000000001"/>
    <s v="line average"/>
    <n v="1.7775000000000001"/>
  </r>
  <r>
    <x v="7"/>
    <x v="0"/>
    <x v="0"/>
    <s v="GAS CYLINDERS"/>
    <n v="4.3799999999999999E-2"/>
    <m/>
    <n v="6.6199999999999995E-2"/>
    <m/>
    <m/>
    <n v="0.27"/>
    <n v="2.5000000000000001E-2"/>
    <m/>
    <n v="0.06"/>
    <m/>
    <n v="0.129"/>
    <n v="2.5999999999999999E-2"/>
    <n v="0.62000000000000011"/>
    <m/>
    <n v="2.3E-2"/>
    <n v="0"/>
    <n v="0"/>
    <n v="0"/>
    <n v="7.6999999999999999E-2"/>
    <n v="0"/>
    <n v="0.3"/>
    <n v="0"/>
    <n v="0"/>
    <n v="0.35780000000000001"/>
    <n v="0"/>
    <s v="Yes"/>
    <n v="7.578E-2"/>
    <s v="line average"/>
    <n v="0.83357999999999999"/>
  </r>
  <r>
    <x v="7"/>
    <x v="0"/>
    <x v="0"/>
    <s v="GENERAL WASTE"/>
    <n v="365.16790000000032"/>
    <n v="343.13530000000088"/>
    <n v="361.45300000000043"/>
    <n v="419.33660000000066"/>
    <n v="356.52759999999887"/>
    <n v="279.02369999999894"/>
    <n v="290.80759999999873"/>
    <n v="293.6915999999988"/>
    <n v="314.74099999999885"/>
    <n v="258.57549999999929"/>
    <n v="308.46229999999878"/>
    <n v="296.04649999999907"/>
    <n v="3886.9685999999933"/>
    <n v="305.21019999999908"/>
    <n v="265.4768999999992"/>
    <n v="266.41109999999901"/>
    <n v="273.06189999999907"/>
    <n v="235.88789999999929"/>
    <n v="228.55649999999935"/>
    <n v="236.10399999999919"/>
    <n v="247.77689999999885"/>
    <n v="275.37359999999927"/>
    <n v="217.14419999999907"/>
    <n v="243.34909999999923"/>
    <n v="0"/>
    <s v="Yes"/>
    <n v="254.0320272727264"/>
    <s v="line average"/>
    <n v="3048.3843272727167"/>
  </r>
  <r>
    <x v="7"/>
    <x v="0"/>
    <x v="0"/>
    <s v="GENERAL WASTE COMPACTED"/>
    <m/>
    <m/>
    <m/>
    <n v="0.19500000000000001"/>
    <m/>
    <m/>
    <m/>
    <m/>
    <n v="0.19500000000000001"/>
    <m/>
    <m/>
    <m/>
    <n v="0.39"/>
    <m/>
    <m/>
    <m/>
    <m/>
    <m/>
    <m/>
    <m/>
    <m/>
    <m/>
    <m/>
    <m/>
    <m/>
    <s v="No"/>
    <m/>
    <s v="No data received"/>
    <n v="0"/>
  </r>
  <r>
    <x v="7"/>
    <x v="0"/>
    <x v="0"/>
    <s v="GREEN WASTE LANDFILL"/>
    <m/>
    <m/>
    <m/>
    <m/>
    <m/>
    <m/>
    <m/>
    <n v="3.36"/>
    <m/>
    <m/>
    <m/>
    <m/>
    <n v="3.36"/>
    <m/>
    <m/>
    <m/>
    <m/>
    <m/>
    <m/>
    <m/>
    <m/>
    <m/>
    <m/>
    <m/>
    <m/>
    <s v="No"/>
    <m/>
    <s v="No data received"/>
    <n v="0"/>
  </r>
  <r>
    <x v="7"/>
    <x v="0"/>
    <x v="0"/>
    <s v="POLYSTYRENE - LANDFILL"/>
    <n v="1.2E-2"/>
    <n v="1.2E-2"/>
    <n v="1.2E-2"/>
    <n v="1.7999999999999999E-2"/>
    <n v="1.2E-2"/>
    <n v="6.0000000000000001E-3"/>
    <n v="6.0000000000000001E-3"/>
    <n v="1.2E-2"/>
    <n v="1.2E-2"/>
    <n v="1.7999999999999999E-2"/>
    <n v="1.2E-2"/>
    <n v="1.2E-2"/>
    <n v="0.14400000000000002"/>
    <n v="1.2E-2"/>
    <n v="1.2E-2"/>
    <n v="1.2E-2"/>
    <n v="1.7999999999999999E-2"/>
    <n v="1.2E-2"/>
    <n v="1.2E-2"/>
    <n v="1.2E-2"/>
    <n v="1.2E-2"/>
    <n v="1.7999999999999999E-2"/>
    <n v="6.0000000000000001E-3"/>
    <n v="6.0000000000000001E-3"/>
    <n v="0"/>
    <s v="Yes"/>
    <n v="1.2E-2"/>
    <s v="line average"/>
    <n v="0.14400000000000002"/>
  </r>
  <r>
    <x v="7"/>
    <x v="0"/>
    <x v="0"/>
    <s v="SERVICE ONLY"/>
    <m/>
    <m/>
    <m/>
    <n v="0.05"/>
    <m/>
    <m/>
    <m/>
    <m/>
    <m/>
    <m/>
    <m/>
    <m/>
    <n v="0.05"/>
    <m/>
    <m/>
    <m/>
    <m/>
    <m/>
    <m/>
    <m/>
    <m/>
    <m/>
    <m/>
    <m/>
    <m/>
    <s v="No"/>
    <m/>
    <s v="No data received"/>
    <n v="0"/>
  </r>
  <r>
    <x v="7"/>
    <x v="0"/>
    <x v="0"/>
    <s v="TIMBER - ALL WOOD LANDFILL"/>
    <n v="1.42"/>
    <m/>
    <n v="0.96"/>
    <n v="3.42"/>
    <n v="1.34"/>
    <n v="0.84"/>
    <n v="1.1600000000000001"/>
    <m/>
    <n v="0.82"/>
    <n v="5.92"/>
    <n v="0.98"/>
    <n v="0.94"/>
    <n v="17.8"/>
    <n v="2.68"/>
    <m/>
    <n v="0.6"/>
    <n v="3.52"/>
    <n v="0.62"/>
    <n v="3.94"/>
    <n v="1.1399999999999999"/>
    <n v="1"/>
    <n v="1.36"/>
    <n v="0"/>
    <n v="1"/>
    <n v="0"/>
    <s v="Yes"/>
    <n v="1.5860000000000001"/>
    <s v="line average"/>
    <n v="17.446000000000002"/>
  </r>
  <r>
    <x v="7"/>
    <x v="0"/>
    <x v="6"/>
    <s v="Aerosol Cans"/>
    <m/>
    <m/>
    <m/>
    <m/>
    <m/>
    <m/>
    <m/>
    <m/>
    <m/>
    <m/>
    <m/>
    <m/>
    <m/>
    <m/>
    <m/>
    <m/>
    <m/>
    <n v="1.6E-2"/>
    <n v="0"/>
    <n v="0"/>
    <n v="0"/>
    <n v="0"/>
    <n v="0"/>
    <n v="0"/>
    <n v="0"/>
    <s v="Yes"/>
    <n v="1.6E-2"/>
    <s v="last month with data"/>
    <n v="3.2000000000000001E-2"/>
  </r>
  <r>
    <x v="7"/>
    <x v="0"/>
    <x v="6"/>
    <s v="CHEMICALS - MIXED COLLECTION"/>
    <m/>
    <m/>
    <m/>
    <m/>
    <m/>
    <m/>
    <m/>
    <n v="7.8E-2"/>
    <m/>
    <m/>
    <m/>
    <m/>
    <n v="7.8E-2"/>
    <m/>
    <m/>
    <m/>
    <m/>
    <m/>
    <m/>
    <m/>
    <m/>
    <m/>
    <m/>
    <m/>
    <m/>
    <s v="No"/>
    <m/>
    <s v="No data received"/>
    <n v="0"/>
  </r>
  <r>
    <x v="7"/>
    <x v="0"/>
    <x v="6"/>
    <s v="CLINICAL WASTE"/>
    <m/>
    <m/>
    <n v="1.7599999999999998E-2"/>
    <n v="8.0000000000000002E-3"/>
    <n v="6.9399999999999989E-2"/>
    <m/>
    <m/>
    <m/>
    <m/>
    <n v="1.2999999999999999E-2"/>
    <m/>
    <m/>
    <n v="0.10799999999999998"/>
    <m/>
    <n v="1.2E-2"/>
    <n v="0"/>
    <n v="0"/>
    <n v="0"/>
    <n v="0"/>
    <n v="0"/>
    <n v="0"/>
    <n v="0"/>
    <n v="0"/>
    <n v="1.9199999999999998E-2"/>
    <n v="0"/>
    <s v="Yes"/>
    <n v="1.5599999999999999E-2"/>
    <s v="line average"/>
    <n v="4.6799999999999994E-2"/>
  </r>
  <r>
    <x v="7"/>
    <x v="0"/>
    <x v="6"/>
    <s v="FIRE EXTINGUISHER - TO LANDFILL"/>
    <m/>
    <m/>
    <m/>
    <m/>
    <m/>
    <m/>
    <m/>
    <m/>
    <m/>
    <m/>
    <m/>
    <m/>
    <m/>
    <m/>
    <m/>
    <m/>
    <m/>
    <m/>
    <m/>
    <n v="4.24E-2"/>
    <n v="0"/>
    <n v="0"/>
    <n v="0"/>
    <n v="0"/>
    <n v="0"/>
    <s v="Yes"/>
    <n v="4.24E-2"/>
    <s v="last month with data"/>
    <n v="8.48E-2"/>
  </r>
  <r>
    <x v="7"/>
    <x v="0"/>
    <x v="6"/>
    <s v="SHARPS MEDICAL DISPOSAL"/>
    <m/>
    <n v="2.4E-2"/>
    <m/>
    <m/>
    <m/>
    <m/>
    <m/>
    <m/>
    <m/>
    <m/>
    <m/>
    <m/>
    <n v="2.4E-2"/>
    <m/>
    <m/>
    <m/>
    <m/>
    <m/>
    <n v="2.4400000000000002E-2"/>
    <m/>
    <m/>
    <n v="2.4E-2"/>
    <n v="0"/>
    <n v="2.4E-2"/>
    <n v="0"/>
    <s v="Yes"/>
    <n v="1.8099999999999998E-2"/>
    <s v="line average"/>
    <n v="9.0499999999999997E-2"/>
  </r>
  <r>
    <x v="7"/>
    <x v="0"/>
    <x v="6"/>
    <s v="SOLAR PANELS"/>
    <m/>
    <m/>
    <m/>
    <n v="0.40600000000000003"/>
    <m/>
    <m/>
    <m/>
    <m/>
    <m/>
    <m/>
    <m/>
    <m/>
    <n v="0.40600000000000003"/>
    <m/>
    <m/>
    <m/>
    <m/>
    <m/>
    <m/>
    <m/>
    <m/>
    <m/>
    <m/>
    <m/>
    <m/>
    <s v="No"/>
    <m/>
    <s v="No data received"/>
    <n v="0"/>
  </r>
  <r>
    <x v="7"/>
    <x v="0"/>
    <x v="10"/>
    <s v="ABSORBENT - USED"/>
    <m/>
    <m/>
    <m/>
    <m/>
    <m/>
    <n v="0.01"/>
    <m/>
    <m/>
    <m/>
    <m/>
    <m/>
    <m/>
    <n v="0.01"/>
    <n v="3.0000000000000001E-3"/>
    <m/>
    <m/>
    <m/>
    <m/>
    <m/>
    <m/>
    <m/>
    <m/>
    <m/>
    <m/>
    <m/>
    <s v="Yes"/>
    <n v="3.0000000000000001E-3"/>
    <s v="last month with data"/>
    <n v="6.0000000000000001E-3"/>
  </r>
  <r>
    <x v="7"/>
    <x v="1"/>
    <x v="2"/>
    <s v="BATTERIES - LEAD ACID"/>
    <n v="0.92"/>
    <m/>
    <n v="4.1639999999999997"/>
    <m/>
    <n v="2.91"/>
    <m/>
    <n v="2.738"/>
    <n v="3.746"/>
    <n v="1.9380000000000002"/>
    <n v="0.70199999999999996"/>
    <n v="0.98399999999999999"/>
    <n v="3.3380000000000001"/>
    <n v="21.440000000000005"/>
    <n v="13.45"/>
    <n v="3.1619999999999999"/>
    <n v="1.01"/>
    <n v="1.38"/>
    <n v="2.8000000000000001E-2"/>
    <n v="2.0390000000000001"/>
    <n v="12.327999999999999"/>
    <n v="0"/>
    <n v="3.6920000000000002"/>
    <n v="1.1279999999999999"/>
    <n v="0"/>
    <n v="0"/>
    <s v="Yes"/>
    <n v="3.474272727272727"/>
    <s v="line average"/>
    <n v="41.691272727272725"/>
  </r>
  <r>
    <x v="7"/>
    <x v="1"/>
    <x v="2"/>
    <s v="BATTERIES - MIXED RECYCLED"/>
    <n v="1.869"/>
    <n v="0.83929999999999982"/>
    <n v="1.4667999999999999"/>
    <n v="1.7449999999999999"/>
    <n v="8.2475000000000005"/>
    <n v="0.21199999999999999"/>
    <n v="3.0034999999999998"/>
    <n v="0.53400000000000003"/>
    <n v="2.7299999999999998E-2"/>
    <n v="3.4775"/>
    <n v="10.695300000000003"/>
    <n v="0.1079"/>
    <n v="32.225099999999998"/>
    <n v="10.494"/>
    <n v="0.39"/>
    <n v="2.5999999999999999E-2"/>
    <n v="7.2465000000000011"/>
    <n v="0.20500000000000002"/>
    <n v="0"/>
    <n v="6.4999999999999997E-3"/>
    <n v="2.6835"/>
    <n v="0.39050000000000001"/>
    <n v="7.6500000000000012E-2"/>
    <n v="0.23"/>
    <n v="0"/>
    <s v="Yes"/>
    <n v="1.9771363636363632"/>
    <s v="line average"/>
    <n v="23.725636363636358"/>
  </r>
  <r>
    <x v="7"/>
    <x v="1"/>
    <x v="2"/>
    <s v="ELECTRICAL COMP. E-WASTE"/>
    <n v="20.579199999999997"/>
    <n v="18.2712"/>
    <n v="24.062800000000003"/>
    <n v="14.094700000000003"/>
    <n v="21.044499999999996"/>
    <n v="14.457900000000002"/>
    <n v="14.625200000000005"/>
    <n v="13.211900000000002"/>
    <n v="12.983200000000002"/>
    <n v="14.395400000000002"/>
    <n v="16.811700000000002"/>
    <n v="46.738399999999999"/>
    <n v="231.27610000000004"/>
    <n v="11.6463"/>
    <n v="16.5581"/>
    <n v="21.466999999999999"/>
    <n v="7.7153000000000009"/>
    <n v="21.254800000000003"/>
    <n v="9.4846000000000004"/>
    <n v="16.825100000000006"/>
    <n v="8.7027000000000019"/>
    <n v="7.3847000000000005"/>
    <n v="6.4387999999999996"/>
    <n v="9.6120000000000001"/>
    <n v="0"/>
    <s v="Yes"/>
    <n v="12.462672727272729"/>
    <s v="line average/ note Davey exchange credit for Sept 19 was not proccesed in time for reporting. This was mannually adjusted"/>
    <n v="149.55207272727273"/>
  </r>
  <r>
    <x v="7"/>
    <x v="1"/>
    <x v="2"/>
    <s v="FLUORO TUBES - RECYCLED"/>
    <n v="0.108"/>
    <n v="0.48799999999999999"/>
    <n v="0.252"/>
    <n v="0.28999999999999998"/>
    <n v="0.33400000000000002"/>
    <n v="0.09"/>
    <n v="0.12"/>
    <n v="0.2"/>
    <n v="0.1"/>
    <n v="0.18"/>
    <n v="0.72100000000000009"/>
    <n v="0.19500000000000001"/>
    <n v="3.0779999999999998"/>
    <n v="0.193"/>
    <n v="0.06"/>
    <n v="0.432"/>
    <n v="0.24"/>
    <n v="0.57600000000000007"/>
    <n v="0"/>
    <n v="0.03"/>
    <n v="8.7999999999999995E-2"/>
    <n v="1.7999999999999999E-2"/>
    <n v="0"/>
    <n v="0"/>
    <n v="0"/>
    <s v="Yes"/>
    <n v="0.14881818181818185"/>
    <s v="line average"/>
    <n v="1.7858181818181822"/>
  </r>
  <r>
    <x v="7"/>
    <x v="1"/>
    <x v="2"/>
    <s v="Media Destruction"/>
    <m/>
    <m/>
    <n v="0.01"/>
    <m/>
    <m/>
    <m/>
    <m/>
    <n v="3.2000000000000001E-2"/>
    <m/>
    <n v="7.0000000000000001E-3"/>
    <n v="0.52800000000000002"/>
    <n v="0.91200000000000003"/>
    <n v="1.4890000000000001"/>
    <n v="0.36399999999999999"/>
    <m/>
    <n v="5.8999999999999995"/>
    <n v="0"/>
    <n v="0"/>
    <n v="0"/>
    <n v="0"/>
    <n v="0"/>
    <n v="0"/>
    <n v="0"/>
    <n v="0"/>
    <n v="0"/>
    <s v="Yes"/>
    <n v="3.1319999999999997"/>
    <s v="average for existing data values"/>
    <n v="9.395999999999999"/>
  </r>
  <r>
    <x v="7"/>
    <x v="1"/>
    <x v="2"/>
    <s v="METAL - COPPER"/>
    <n v="74.873999999999995"/>
    <n v="37.876999999999995"/>
    <n v="51.697999999999993"/>
    <n v="74.099000000000004"/>
    <n v="73.944800000000001"/>
    <n v="8.6790000000000003"/>
    <n v="2.2679999999999998"/>
    <n v="6.5419999999999998"/>
    <n v="12.78"/>
    <n v="13.6"/>
    <n v="19.208000000000002"/>
    <n v="5.6899999999999995"/>
    <n v="381.25979999999993"/>
    <n v="8.895999999999999"/>
    <n v="5.5389999999999997"/>
    <n v="5.8449999999999998"/>
    <n v="7.886000000000001"/>
    <n v="59.4"/>
    <n v="2.5380000000000003"/>
    <n v="9.104000000000001"/>
    <n v="3.262"/>
    <n v="0"/>
    <n v="0.90600000000000003"/>
    <n v="0"/>
    <n v="0"/>
    <s v="Yes"/>
    <n v="5.4969999999999999"/>
    <s v="average excluding outlier"/>
    <n v="108.873"/>
  </r>
  <r>
    <x v="7"/>
    <x v="1"/>
    <x v="3"/>
    <s v="CARDBOARD - COMPACTED - RECYCLED"/>
    <n v="26.1"/>
    <n v="29.04"/>
    <n v="27.8"/>
    <n v="42.94"/>
    <n v="36.409999999999997"/>
    <n v="32.86"/>
    <n v="32.06"/>
    <n v="30.07"/>
    <n v="28.77"/>
    <n v="29.57"/>
    <n v="40.200000000000003"/>
    <n v="33.32"/>
    <n v="389.13999999999993"/>
    <n v="26.62"/>
    <n v="20.8"/>
    <n v="27.62"/>
    <n v="33.479999999999997"/>
    <n v="28.5"/>
    <n v="18.68"/>
    <n v="13.26"/>
    <n v="9.3800000000000008"/>
    <n v="4.6500000000000004"/>
    <n v="0.63"/>
    <n v="0"/>
    <n v="0"/>
    <s v="Yes"/>
    <n v="16.692727272727272"/>
    <s v="line average"/>
    <n v="200.31272727272727"/>
  </r>
  <r>
    <x v="7"/>
    <x v="1"/>
    <x v="3"/>
    <s v="CARDBOARD - LOOSE - RECYCLED"/>
    <n v="52.886700000000033"/>
    <n v="57.288500000000035"/>
    <n v="46.704000000000043"/>
    <n v="54.956799999999959"/>
    <n v="34.522500000000015"/>
    <n v="30.851799999999994"/>
    <n v="35.437000000000005"/>
    <n v="30.53570000000002"/>
    <n v="28.829700000000003"/>
    <n v="31.352500000000024"/>
    <n v="34.846300000000014"/>
    <n v="29.960200000000004"/>
    <n v="468.1717000000001"/>
    <n v="32.067100000000011"/>
    <n v="32.921700000000008"/>
    <n v="28.47"/>
    <n v="31.65420000000001"/>
    <n v="28.071900000000028"/>
    <n v="27.381800000000005"/>
    <n v="27.805000000000025"/>
    <n v="27.410800000000012"/>
    <n v="28.53680000000001"/>
    <n v="25.186699999999995"/>
    <n v="20.712300000000003"/>
    <n v="0"/>
    <s v="Yes"/>
    <n v="28.201663636363648"/>
    <s v="line average"/>
    <n v="338.41996363636378"/>
  </r>
  <r>
    <x v="7"/>
    <x v="1"/>
    <x v="3"/>
    <s v="PAPER MIXED OFFICE RECYCLED"/>
    <n v="8.6400000000000005E-2"/>
    <n v="8.6400000000000005E-2"/>
    <m/>
    <n v="5.7599999999999998E-2"/>
    <n v="5.7599999999999998E-2"/>
    <n v="8.6400000000000005E-2"/>
    <n v="0.26640000000000003"/>
    <n v="0.28799999999999998"/>
    <n v="0.34559999999999996"/>
    <n v="0.1152"/>
    <n v="7.9200000000000007E-2"/>
    <m/>
    <n v="1.4687999999999999"/>
    <n v="0.2016"/>
    <n v="0.31679999999999997"/>
    <n v="0.48959999999999998"/>
    <n v="0.61919999999999997"/>
    <n v="0"/>
    <n v="1.7000000000000001E-2"/>
    <n v="0.54720000000000002"/>
    <n v="0.23039999999999999"/>
    <n v="1E-3"/>
    <n v="0.1512"/>
    <n v="2.3E-2"/>
    <n v="0"/>
    <s v="Yes"/>
    <n v="0.2360909090909091"/>
    <s v="line average"/>
    <n v="2.8330909090909091"/>
  </r>
  <r>
    <x v="7"/>
    <x v="1"/>
    <x v="3"/>
    <s v="SECURITY DESTRUCTION"/>
    <n v="0.19440000000000002"/>
    <n v="0.4516"/>
    <n v="0.23039999999999999"/>
    <n v="5.7599999999999998E-2"/>
    <n v="0.1152"/>
    <n v="0.32020000000000004"/>
    <n v="0.21600000000000003"/>
    <n v="0.46079999999999999"/>
    <n v="2.2608000000000001"/>
    <n v="0.74160000000000004"/>
    <n v="1.5935999999999999"/>
    <n v="1.008"/>
    <n v="7.6502000000000008"/>
    <n v="0.47520000000000007"/>
    <n v="1.1668000000000001"/>
    <n v="1.1448"/>
    <n v="0.34560000000000002"/>
    <n v="2.8799999999999999E-2"/>
    <n v="0.29580000000000001"/>
    <n v="0.20159999999999997"/>
    <n v="2.8799999999999999E-2"/>
    <n v="0.31679999999999997"/>
    <n v="0.18720000000000001"/>
    <n v="2.8799999999999999E-2"/>
    <n v="0"/>
    <s v="Yes"/>
    <n v="0.38365454545454547"/>
    <s v="line average"/>
    <n v="4.6038545454545456"/>
  </r>
  <r>
    <x v="7"/>
    <x v="1"/>
    <x v="7"/>
    <s v="COMMINGLED - RECYCLED"/>
    <n v="10.733999999999998"/>
    <n v="13.907999999999998"/>
    <n v="11.030999999999999"/>
    <n v="12.023999999999994"/>
    <n v="12.048999999999998"/>
    <n v="9.9299999999999979"/>
    <n v="12.283999999999999"/>
    <n v="11.857999999999997"/>
    <n v="13.192999999999996"/>
    <n v="11.440000000000001"/>
    <n v="13.685999999999995"/>
    <n v="12.803999999999997"/>
    <n v="144.94099999999997"/>
    <n v="10.832999999999998"/>
    <n v="12.456999999999999"/>
    <n v="12.276999999999996"/>
    <n v="12.440999999999997"/>
    <n v="12.912999999999995"/>
    <n v="10.158000000000001"/>
    <n v="10.619000000000003"/>
    <n v="10.180999999999999"/>
    <n v="11.440999999999999"/>
    <n v="8.5130000000000017"/>
    <n v="9.331999999999999"/>
    <n v="0"/>
    <s v="Yes"/>
    <n v="11.014999999999999"/>
    <s v="line average"/>
    <n v="132.17999999999998"/>
  </r>
  <r>
    <x v="7"/>
    <x v="1"/>
    <x v="7"/>
    <s v="COMMINGLE-PUBLIC PLACE RECYCLE"/>
    <m/>
    <m/>
    <m/>
    <m/>
    <m/>
    <m/>
    <m/>
    <m/>
    <m/>
    <m/>
    <m/>
    <m/>
    <m/>
    <n v="0.3"/>
    <m/>
    <m/>
    <m/>
    <n v="0.6"/>
    <m/>
    <n v="0.3"/>
    <m/>
    <m/>
    <n v="0.55100000000000005"/>
    <n v="0"/>
    <n v="0"/>
    <s v="Yes"/>
    <n v="0.55100000000000005"/>
    <s v="last month with data"/>
    <n v="2.302"/>
  </r>
  <r>
    <x v="7"/>
    <x v="1"/>
    <x v="11"/>
    <s v="GREEN WASTE RECYCLED"/>
    <m/>
    <m/>
    <m/>
    <m/>
    <m/>
    <m/>
    <n v="0.6"/>
    <m/>
    <m/>
    <m/>
    <m/>
    <m/>
    <n v="0.6"/>
    <n v="0.94000000000000006"/>
    <m/>
    <m/>
    <m/>
    <n v="5.96"/>
    <m/>
    <m/>
    <m/>
    <m/>
    <m/>
    <m/>
    <m/>
    <s v="Yes"/>
    <n v="3.45"/>
    <s v="average for existing data values"/>
    <n v="10.350000000000001"/>
  </r>
  <r>
    <x v="7"/>
    <x v="1"/>
    <x v="11"/>
    <s v="PALLET - TIMBER"/>
    <m/>
    <n v="5.6000000000000001E-2"/>
    <n v="2.02"/>
    <m/>
    <m/>
    <m/>
    <m/>
    <n v="0.22800000000000001"/>
    <n v="0.12"/>
    <n v="0.28499999999999998"/>
    <n v="0.05"/>
    <m/>
    <n v="2.7590000000000003"/>
    <n v="0.20799999999999999"/>
    <m/>
    <m/>
    <n v="1.708"/>
    <n v="0.624"/>
    <m/>
    <n v="2.8000000000000001E-2"/>
    <n v="28.8"/>
    <m/>
    <n v="1.1200000000000001"/>
    <n v="2.8000000000000001E-2"/>
    <m/>
    <s v="Yes"/>
    <n v="0.6193333333333334"/>
    <s v="average excluding outlier"/>
    <n v="33.135333333333328"/>
  </r>
  <r>
    <x v="7"/>
    <x v="1"/>
    <x v="11"/>
    <s v="PLASTIC PE MIXED LOOSE"/>
    <m/>
    <m/>
    <n v="0.153"/>
    <n v="0.22950000000000001"/>
    <n v="0.153"/>
    <n v="7.6499999999999999E-2"/>
    <n v="0.153"/>
    <n v="0.153"/>
    <n v="0.153"/>
    <n v="0.153"/>
    <n v="0.22950000000000001"/>
    <n v="0.153"/>
    <n v="1.6065"/>
    <n v="0.153"/>
    <n v="0.153"/>
    <n v="0.153"/>
    <n v="0.22950000000000001"/>
    <n v="0.153"/>
    <n v="7.6499999999999999E-2"/>
    <n v="7.6499999999999999E-2"/>
    <n v="0.153"/>
    <n v="0.153"/>
    <n v="0.22950000000000001"/>
    <n v="0.153"/>
    <m/>
    <s v="Yes"/>
    <n v="0.153"/>
    <s v="line average"/>
    <n v="1.8360000000000001"/>
  </r>
  <r>
    <x v="7"/>
    <x v="1"/>
    <x v="11"/>
    <s v="PLASTIC SHRINKWRAP"/>
    <n v="9.4500000000000001E-2"/>
    <n v="7.5600000000000001E-2"/>
    <n v="5.67E-2"/>
    <n v="9.4500000000000001E-2"/>
    <n v="7.5600000000000001E-2"/>
    <n v="5.67E-2"/>
    <n v="9.4500000000000001E-2"/>
    <n v="7.5600000000000001E-2"/>
    <n v="7.5600000000000001E-2"/>
    <n v="9.4500000000000001E-2"/>
    <n v="7.5600000000000001E-2"/>
    <n v="7.5600000000000001E-2"/>
    <n v="0.94500000000000006"/>
    <n v="9.4500000000000001E-2"/>
    <n v="7.5600000000000001E-2"/>
    <n v="7.5600000000000001E-2"/>
    <n v="9.4500000000000001E-2"/>
    <n v="7.5600000000000001E-2"/>
    <n v="1.89E-2"/>
    <m/>
    <m/>
    <m/>
    <m/>
    <m/>
    <m/>
    <s v="Yes"/>
    <n v="7.2450000000000001E-2"/>
    <s v="average for existing data values"/>
    <n v="0.50714999999999999"/>
  </r>
  <r>
    <x v="7"/>
    <x v="1"/>
    <x v="11"/>
    <s v="POLYSTYRENE"/>
    <m/>
    <m/>
    <m/>
    <m/>
    <m/>
    <m/>
    <m/>
    <m/>
    <m/>
    <m/>
    <m/>
    <m/>
    <m/>
    <m/>
    <m/>
    <m/>
    <n v="0.111"/>
    <m/>
    <m/>
    <m/>
    <m/>
    <m/>
    <m/>
    <m/>
    <m/>
    <s v="Yes"/>
    <n v="0.111"/>
    <s v="last month with data"/>
    <n v="0.222"/>
  </r>
  <r>
    <x v="7"/>
    <x v="1"/>
    <x v="11"/>
    <s v="TYRES - RECYCLED"/>
    <m/>
    <m/>
    <m/>
    <m/>
    <m/>
    <m/>
    <m/>
    <m/>
    <m/>
    <n v="1.18"/>
    <m/>
    <m/>
    <n v="1.18"/>
    <m/>
    <m/>
    <m/>
    <m/>
    <m/>
    <n v="0.3"/>
    <m/>
    <m/>
    <m/>
    <m/>
    <m/>
    <m/>
    <s v="Yes"/>
    <n v="0.3"/>
    <s v="last month with data"/>
    <n v="0.6"/>
  </r>
  <r>
    <x v="7"/>
    <x v="1"/>
    <x v="1"/>
    <s v="Asphalt Recycled"/>
    <m/>
    <m/>
    <m/>
    <m/>
    <m/>
    <m/>
    <m/>
    <m/>
    <m/>
    <m/>
    <m/>
    <m/>
    <m/>
    <m/>
    <m/>
    <m/>
    <n v="3.64"/>
    <n v="0"/>
    <n v="0"/>
    <n v="0"/>
    <n v="0"/>
    <n v="0"/>
    <n v="0"/>
    <n v="0"/>
    <n v="0"/>
    <s v="Yes"/>
    <n v="3.64"/>
    <s v="last month with data"/>
    <n v="7.28"/>
  </r>
  <r>
    <x v="7"/>
    <x v="1"/>
    <x v="1"/>
    <s v="BUILDING MAT. RECYCLED"/>
    <n v="8.15"/>
    <n v="0.52"/>
    <m/>
    <n v="12.54"/>
    <n v="6.82"/>
    <n v="2.2999999999999998"/>
    <n v="2.2999999999999998"/>
    <n v="12.760000000000002"/>
    <n v="9.3600000000000012"/>
    <n v="6.33"/>
    <n v="9.32"/>
    <n v="1.94"/>
    <n v="72.34"/>
    <m/>
    <n v="8.32"/>
    <n v="0"/>
    <n v="0"/>
    <n v="0"/>
    <n v="0"/>
    <n v="0"/>
    <n v="0"/>
    <n v="0"/>
    <n v="0"/>
    <n v="0"/>
    <n v="0"/>
    <s v="Yes"/>
    <n v="8.32"/>
    <s v="last month with data"/>
    <n v="16.64"/>
  </r>
  <r>
    <x v="7"/>
    <x v="1"/>
    <x v="1"/>
    <s v="CONCRETE - RECYCLED"/>
    <n v="7.1"/>
    <n v="6.64"/>
    <m/>
    <m/>
    <m/>
    <n v="1.8"/>
    <m/>
    <n v="6.24"/>
    <n v="3.4000000000000004"/>
    <n v="21.62"/>
    <n v="3.96"/>
    <m/>
    <n v="50.76"/>
    <m/>
    <n v="5.63"/>
    <n v="3.05"/>
    <n v="5.34"/>
    <n v="8.76"/>
    <n v="4.4000000000000004"/>
    <n v="13.700000000000001"/>
    <n v="5.22"/>
    <n v="8.84"/>
    <n v="8.76"/>
    <n v="8.14"/>
    <n v="0"/>
    <s v="Yes"/>
    <n v="7.1840000000000002"/>
    <s v="line average"/>
    <n v="79.024000000000001"/>
  </r>
  <r>
    <x v="7"/>
    <x v="1"/>
    <x v="1"/>
    <s v="CONSTRUCTION &amp; DEMOLITION - RECYCLED"/>
    <m/>
    <m/>
    <m/>
    <m/>
    <m/>
    <m/>
    <m/>
    <m/>
    <m/>
    <m/>
    <m/>
    <m/>
    <m/>
    <m/>
    <m/>
    <m/>
    <n v="4.5600000000000005"/>
    <n v="0"/>
    <n v="0"/>
    <n v="1.48"/>
    <n v="0.84"/>
    <n v="1.2"/>
    <n v="0"/>
    <n v="0"/>
    <n v="0"/>
    <s v="No"/>
    <m/>
    <s v="captured in C&amp;D below"/>
    <n v="8.08"/>
  </r>
  <r>
    <x v="7"/>
    <x v="1"/>
    <x v="1"/>
    <s v="CONSTRUCTION &amp; DEMOLITION - RECYLED"/>
    <n v="1.36"/>
    <n v="4.72"/>
    <n v="0.66"/>
    <n v="4.62"/>
    <n v="1.24"/>
    <n v="3.06"/>
    <m/>
    <n v="13.54"/>
    <n v="8.51"/>
    <n v="9.58"/>
    <n v="6.415"/>
    <n v="8.34"/>
    <n v="62.045000000000002"/>
    <n v="8.44"/>
    <n v="20.925000000000001"/>
    <n v="235.35500000000005"/>
    <n v="211.2"/>
    <n v="5.84"/>
    <n v="113.49"/>
    <n v="33.910000000000004"/>
    <n v="12.7"/>
    <n v="43.720000000000006"/>
    <n v="28.490000000000002"/>
    <n v="37.729999999999997"/>
    <n v="0"/>
    <s v="Yes"/>
    <n v="23.969375000000003"/>
    <s v="average excluding outlier"/>
    <n v="775.76937500000008"/>
  </r>
  <r>
    <x v="7"/>
    <x v="1"/>
    <x v="1"/>
    <s v="METAL - MIXED ALL"/>
    <n v="45.851000000000006"/>
    <n v="35.562399999999997"/>
    <n v="48.420000000000009"/>
    <n v="41.947000000000003"/>
    <n v="32.403000000000006"/>
    <n v="29.990000000000006"/>
    <n v="19.182000000000002"/>
    <n v="18.946999999999999"/>
    <n v="9.2520000000000024"/>
    <n v="24.220999999999997"/>
    <n v="25.216999999999999"/>
    <n v="17.757000000000001"/>
    <n v="348.74940000000004"/>
    <n v="30.306000000000001"/>
    <n v="20.889000000000003"/>
    <n v="22.734000000000002"/>
    <n v="26.405999999999995"/>
    <n v="25.420999999999999"/>
    <n v="13.923"/>
    <n v="16.419"/>
    <n v="28.722999999999995"/>
    <n v="2.79"/>
    <n v="17.875"/>
    <n v="13.777000000000001"/>
    <n v="0"/>
    <s v="Yes"/>
    <n v="19.932999999999996"/>
    <s v="line average"/>
    <n v="239.19599999999997"/>
  </r>
  <r>
    <x v="7"/>
    <x v="1"/>
    <x v="1"/>
    <s v="METAL - STEEL MIXED"/>
    <n v="0.76"/>
    <n v="0.36099999999999999"/>
    <n v="0.72300000000000009"/>
    <n v="1.2829999999999999"/>
    <n v="0.22500000000000001"/>
    <n v="0.753"/>
    <n v="0.28999999999999998"/>
    <n v="0.22800000000000001"/>
    <m/>
    <n v="1.3290000000000002"/>
    <n v="5.4109999999999996"/>
    <n v="14.77"/>
    <n v="26.132999999999999"/>
    <n v="2"/>
    <n v="1.4169999999999998"/>
    <n v="0.13"/>
    <n v="0"/>
    <n v="0"/>
    <n v="0"/>
    <n v="0"/>
    <n v="4.6040000000000001"/>
    <n v="0.28199999999999997"/>
    <n v="4.008"/>
    <n v="0"/>
    <n v="0"/>
    <s v="Yes"/>
    <n v="1.131"/>
    <s v="average for existing data values"/>
    <n v="13.571999999999999"/>
  </r>
  <r>
    <x v="7"/>
    <x v="1"/>
    <x v="1"/>
    <s v="TIMBER - ALL WOOD RECYCLE"/>
    <m/>
    <n v="1.02"/>
    <m/>
    <m/>
    <m/>
    <m/>
    <m/>
    <m/>
    <m/>
    <m/>
    <m/>
    <m/>
    <n v="1.02"/>
    <m/>
    <m/>
    <m/>
    <m/>
    <m/>
    <m/>
    <n v="1.5"/>
    <n v="2.1"/>
    <n v="0"/>
    <n v="0"/>
    <n v="0"/>
    <n v="0"/>
    <s v="Yes"/>
    <n v="1.2"/>
    <s v="average for existing data values"/>
    <n v="4.8"/>
  </r>
  <r>
    <x v="8"/>
    <x v="1"/>
    <x v="12"/>
    <s v="Modems Recycled"/>
    <m/>
    <m/>
    <m/>
    <m/>
    <m/>
    <m/>
    <m/>
    <m/>
    <m/>
    <m/>
    <m/>
    <m/>
    <m/>
    <m/>
    <m/>
    <m/>
    <m/>
    <m/>
    <n v="41.884399999999999"/>
    <n v="41.884399999999999"/>
    <m/>
    <m/>
    <m/>
    <m/>
    <n v="61.759"/>
    <s v="No"/>
    <m/>
    <s v="updated 7/16/2020"/>
    <n v="145.52780000000001"/>
  </r>
  <r>
    <x v="9"/>
    <x v="1"/>
    <x v="2"/>
    <s v="Batteries Visionstream"/>
    <n v="194.46770000000001"/>
    <n v="194.46770000000001"/>
    <n v="188.19450000000001"/>
    <n v="194.46770000000001"/>
    <n v="188.19450000000001"/>
    <n v="194.46770000000001"/>
    <n v="194.46770000000001"/>
    <n v="175.6482"/>
    <n v="194.46770000000001"/>
    <n v="188.19450000000001"/>
    <n v="194.46770000000001"/>
    <n v="188.19450000000001"/>
    <n v="2289.7001"/>
    <n v="282.72800000000001"/>
    <n v="282.72800000000001"/>
    <n v="273.60770000000002"/>
    <n v="282.72800000000001"/>
    <n v="273.60770000000002"/>
    <n v="282.72800000000001"/>
    <n v="282.72800000000001"/>
    <n v="264.48750000000001"/>
    <n v="282.72800000000001"/>
    <n v="273.60770000000002"/>
    <n v="282.72800000000001"/>
    <n v="273.60770000000002"/>
    <s v="No"/>
    <m/>
    <s v="Complete data set"/>
    <n v="3338.014300000000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0">
  <r>
    <x v="0"/>
    <x v="0"/>
    <x v="0"/>
    <n v="34244630.4089211"/>
    <n v="123280.66947211596"/>
    <n v="0"/>
    <n v="27738150.631226093"/>
    <n v="3082016.7368028988"/>
    <n v="30820167.368028991"/>
  </r>
  <r>
    <x v="1"/>
    <x v="0"/>
    <x v="0"/>
    <n v="413349909.00840777"/>
    <n v="1488059.672430268"/>
    <n v="0"/>
    <n v="334813426.29681033"/>
    <n v="37201491.810756698"/>
    <n v="372014918.10756701"/>
  </r>
  <r>
    <x v="2"/>
    <x v="0"/>
    <x v="0"/>
    <n v="17903439.147560626"/>
    <n v="64452.380931218249"/>
    <n v="0"/>
    <n v="11100132.271487588"/>
    <n v="1253240.7403292439"/>
    <n v="12353373.011816831"/>
  </r>
  <r>
    <x v="3"/>
    <x v="0"/>
    <x v="0"/>
    <n v="259260326.53119314"/>
    <n v="933337.17551229522"/>
    <n v="0"/>
    <n v="210000864.49026644"/>
    <n v="31111239.183743175"/>
    <n v="241112103.67400962"/>
  </r>
  <r>
    <x v="4"/>
    <x v="0"/>
    <x v="0"/>
    <n v="92592604.639523253"/>
    <n v="333333.37670228368"/>
    <n v="0"/>
    <n v="39814819.994994998"/>
    <n v="8333334.4175570924"/>
    <n v="48148154.412552088"/>
  </r>
  <r>
    <x v="5"/>
    <x v="0"/>
    <x v="0"/>
    <n v="25671551.718824834"/>
    <n v="92417.586187769397"/>
    <n v="0"/>
    <n v="4364163.7922002217"/>
    <n v="513431.03437649668"/>
    <n v="4877594.8265767181"/>
  </r>
  <r>
    <x v="6"/>
    <x v="0"/>
    <x v="0"/>
    <n v="303046392.9443925"/>
    <n v="1090967.0145998129"/>
    <n v="0"/>
    <n v="296985465.08550465"/>
    <n v="33335103.223883174"/>
    <n v="330320568.3093878"/>
  </r>
  <r>
    <x v="7"/>
    <x v="0"/>
    <x v="0"/>
    <n v="135044062.72708139"/>
    <n v="486158.62581749301"/>
    <n v="0"/>
    <n v="91829962.654415354"/>
    <n v="2700881.2545416276"/>
    <n v="94530843.908956975"/>
  </r>
  <r>
    <x v="8"/>
    <x v="0"/>
    <x v="0"/>
    <n v="48.941000000000003"/>
    <n v="0.1761876"/>
    <n v="0"/>
    <n v="39.642210000000006"/>
    <n v="4.4046900000000004"/>
    <n v="44.046900000000008"/>
  </r>
  <r>
    <x v="9"/>
    <x v="0"/>
    <x v="0"/>
    <n v="0"/>
    <n v="0"/>
    <n v="0"/>
    <n v="0"/>
    <n v="0"/>
    <n v="0"/>
  </r>
  <r>
    <x v="10"/>
    <x v="0"/>
    <x v="0"/>
    <n v="0"/>
    <n v="0"/>
    <n v="0"/>
    <n v="0"/>
    <n v="0"/>
    <n v="0"/>
  </r>
  <r>
    <x v="11"/>
    <x v="0"/>
    <x v="0"/>
    <n v="43090.295699999995"/>
    <n v="155.12506451999997"/>
    <n v="0"/>
    <n v="34903.139516999996"/>
    <n v="5170.8354839999993"/>
    <n v="40073.975000999999"/>
  </r>
  <r>
    <x v="12"/>
    <x v="0"/>
    <x v="0"/>
    <n v="0"/>
    <n v="0"/>
    <n v="0"/>
    <n v="0"/>
    <n v="0"/>
    <n v="0"/>
  </r>
  <r>
    <x v="13"/>
    <x v="0"/>
    <x v="0"/>
    <n v="0"/>
    <n v="0"/>
    <n v="0"/>
    <n v="0"/>
    <n v="0"/>
    <n v="0"/>
  </r>
  <r>
    <x v="14"/>
    <x v="0"/>
    <x v="0"/>
    <n v="0"/>
    <n v="0"/>
    <n v="0"/>
    <n v="0"/>
    <n v="0"/>
    <n v="0"/>
  </r>
  <r>
    <x v="15"/>
    <x v="0"/>
    <x v="0"/>
    <n v="28456.728200000001"/>
    <n v="102.44422152"/>
    <n v="0"/>
    <n v="19350.575176000002"/>
    <n v="569.13456400000007"/>
    <n v="19919.709740000002"/>
  </r>
  <r>
    <x v="16"/>
    <x v="0"/>
    <x v="0"/>
    <n v="55711.078600000001"/>
    <n v="200.55988296000001"/>
    <n v="0"/>
    <n v="45125.973666000005"/>
    <n v="5013.9970739999999"/>
    <n v="50139.970740000004"/>
  </r>
  <r>
    <x v="17"/>
    <x v="0"/>
    <x v="0"/>
    <n v="1730964.8966817702"/>
    <n v="6231.473628054373"/>
    <n v="0"/>
    <n v="1402081.5663122339"/>
    <n v="155786.84070135932"/>
    <n v="1557868.4070135932"/>
  </r>
  <r>
    <x v="18"/>
    <x v="0"/>
    <x v="0"/>
    <n v="21296.261000000002"/>
    <n v="76.666539600000007"/>
    <n v="0"/>
    <n v="13203.681820000002"/>
    <n v="1490.7382700000003"/>
    <n v="14694.420090000001"/>
  </r>
  <r>
    <x v="19"/>
    <x v="0"/>
    <x v="0"/>
    <n v="560219.57620000001"/>
    <n v="2016.7904743199999"/>
    <n v="0"/>
    <n v="453777.85672200006"/>
    <n v="67226.349143999993"/>
    <n v="521004.20586600003"/>
  </r>
  <r>
    <x v="20"/>
    <x v="0"/>
    <x v="0"/>
    <n v="194619.56630000001"/>
    <n v="700.63043868"/>
    <n v="0"/>
    <n v="83686.413509000005"/>
    <n v="17515.760966999998"/>
    <n v="101202.174476"/>
  </r>
  <r>
    <x v="21"/>
    <x v="0"/>
    <x v="0"/>
    <n v="84161.480299999996"/>
    <n v="302.98132907999997"/>
    <n v="0"/>
    <n v="14307.451650999999"/>
    <n v="1683.2296059999999"/>
    <n v="15990.681257"/>
  </r>
  <r>
    <x v="22"/>
    <x v="0"/>
    <x v="0"/>
    <n v="1425253.9988000002"/>
    <n v="5130.9143956800008"/>
    <n v="0"/>
    <n v="1396748.9188240001"/>
    <n v="156777.93986800002"/>
    <n v="1553526.8586920002"/>
  </r>
  <r>
    <x v="23"/>
    <x v="0"/>
    <x v="0"/>
    <n v="249285.09072245943"/>
    <n v="897.42632660085394"/>
    <n v="0"/>
    <n v="169513.86169127241"/>
    <n v="4985.7018144491885"/>
    <n v="174499.5635057216"/>
  </r>
  <r>
    <x v="24"/>
    <x v="0"/>
    <x v="0"/>
    <n v="2208961.8330999999"/>
    <n v="7952.2625991599998"/>
    <n v="0"/>
    <n v="1789259.0848110002"/>
    <n v="198806.56497899999"/>
    <n v="1988065.6497900002"/>
  </r>
  <r>
    <x v="25"/>
    <x v="0"/>
    <x v="0"/>
    <n v="4655224.6900000004"/>
    <n v="16758.808884000002"/>
    <n v="0"/>
    <n v="3770731.9989000005"/>
    <n v="418970.22210000001"/>
    <n v="4189702.2210000004"/>
  </r>
  <r>
    <x v="26"/>
    <x v="0"/>
    <x v="0"/>
    <n v="109896.26500000001"/>
    <n v="395.62655400000006"/>
    <n v="0"/>
    <n v="68135.684300000008"/>
    <n v="7692.7385500000019"/>
    <n v="75828.422850000003"/>
  </r>
  <r>
    <x v="27"/>
    <x v="0"/>
    <x v="0"/>
    <n v="3091087.2818000005"/>
    <n v="11127.914214480001"/>
    <n v="0"/>
    <n v="2503780.6982580004"/>
    <n v="370930.47381600004"/>
    <n v="2874711.1720740004"/>
  </r>
  <r>
    <x v="28"/>
    <x v="0"/>
    <x v="0"/>
    <n v="958428.99939999986"/>
    <n v="3450.3443978399996"/>
    <n v="0"/>
    <n v="412124.46974199993"/>
    <n v="86258.609945999982"/>
    <n v="498383.07968799991"/>
  </r>
  <r>
    <x v="29"/>
    <x v="0"/>
    <x v="0"/>
    <n v="590027.58399999992"/>
    <n v="2124.0993023999995"/>
    <n v="0"/>
    <n v="100304.68927999999"/>
    <n v="11800.551679999999"/>
    <n v="112105.24096"/>
  </r>
  <r>
    <x v="30"/>
    <x v="0"/>
    <x v="0"/>
    <n v="12923450.24"/>
    <n v="46524.420864"/>
    <n v="0"/>
    <n v="12664981.235199999"/>
    <n v="1421579.5264000001"/>
    <n v="14086560.761599999"/>
  </r>
  <r>
    <x v="31"/>
    <x v="0"/>
    <x v="0"/>
    <n v="331097.65870000003"/>
    <n v="1191.9515713200001"/>
    <n v="0"/>
    <n v="225146.40791600003"/>
    <n v="6621.9531740000011"/>
    <n v="231768.36109000002"/>
  </r>
  <r>
    <x v="32"/>
    <x v="0"/>
    <x v="0"/>
    <n v="2011702.3574999999"/>
    <n v="7242.128487"/>
    <n v="0"/>
    <n v="1629478.9095749999"/>
    <n v="181053.21217499999"/>
    <n v="1810532.1217499999"/>
  </r>
  <r>
    <x v="33"/>
    <x v="0"/>
    <x v="0"/>
    <n v="27473994.162800003"/>
    <n v="98906.378986080003"/>
    <n v="0"/>
    <n v="22253935.271868005"/>
    <n v="2472659.4746520002"/>
    <n v="24726594.746520005"/>
  </r>
  <r>
    <x v="34"/>
    <x v="0"/>
    <x v="0"/>
    <n v="0"/>
    <n v="0"/>
    <n v="0"/>
    <n v="0"/>
    <n v="0"/>
    <n v="0"/>
  </r>
  <r>
    <x v="35"/>
    <x v="0"/>
    <x v="0"/>
    <n v="0"/>
    <n v="0"/>
    <n v="0"/>
    <n v="0"/>
    <n v="0"/>
    <n v="0"/>
  </r>
  <r>
    <x v="36"/>
    <x v="0"/>
    <x v="0"/>
    <n v="0"/>
    <n v="0"/>
    <n v="0"/>
    <n v="0"/>
    <n v="0"/>
    <n v="0"/>
  </r>
  <r>
    <x v="37"/>
    <x v="0"/>
    <x v="0"/>
    <n v="0"/>
    <n v="0"/>
    <n v="0"/>
    <n v="0"/>
    <n v="0"/>
    <n v="0"/>
  </r>
  <r>
    <x v="38"/>
    <x v="0"/>
    <x v="0"/>
    <n v="41352143.156999998"/>
    <n v="148867.71536519998"/>
    <n v="0"/>
    <n v="40525100.293859996"/>
    <n v="4548735.7472700002"/>
    <n v="45073836.041129999"/>
  </r>
  <r>
    <x v="39"/>
    <x v="0"/>
    <x v="0"/>
    <n v="0"/>
    <n v="0"/>
    <n v="0"/>
    <n v="0"/>
    <n v="0"/>
    <n v="0"/>
  </r>
  <r>
    <x v="40"/>
    <x v="0"/>
    <x v="0"/>
    <n v="40063690.008000001"/>
    <n v="144229.2840288"/>
    <n v="0"/>
    <n v="32451588.906480003"/>
    <n v="3605732.10072"/>
    <n v="36057321.007200003"/>
  </r>
  <r>
    <x v="41"/>
    <x v="0"/>
    <x v="0"/>
    <n v="0"/>
    <n v="0"/>
    <n v="0"/>
    <n v="0"/>
    <n v="0"/>
    <n v="0"/>
  </r>
  <r>
    <x v="42"/>
    <x v="1"/>
    <x v="1"/>
    <m/>
    <m/>
    <m/>
    <m/>
    <m/>
    <m/>
  </r>
  <r>
    <x v="42"/>
    <x v="1"/>
    <x v="1"/>
    <m/>
    <m/>
    <m/>
    <m/>
    <m/>
    <m/>
  </r>
  <r>
    <x v="43"/>
    <x v="2"/>
    <x v="2"/>
    <s v="Sum of Consumption Quantity"/>
    <s v="Sum of Total GJ"/>
    <s v="Sum of Scope 1 kg CO2-e"/>
    <s v="Sum of Scope 2 kg CO2-e"/>
    <s v="Sum of Scope 3 kg CO2-e"/>
    <s v="Sum of Total Emissions"/>
  </r>
  <r>
    <x v="44"/>
    <x v="0"/>
    <x v="0"/>
    <n v="0"/>
    <n v="0"/>
    <n v="0"/>
    <n v="0"/>
    <n v="0"/>
    <n v="0"/>
  </r>
  <r>
    <x v="45"/>
    <x v="0"/>
    <x v="0"/>
    <n v="-244823.99959999998"/>
    <n v="-881.36639855999988"/>
    <n v="0"/>
    <n v="-198307.43967600001"/>
    <n v="-22034.159963999999"/>
    <n v="-220341.59964"/>
  </r>
  <r>
    <x v="46"/>
    <x v="0"/>
    <x v="0"/>
    <n v="-196328.99980000002"/>
    <n v="-706.78439928"/>
    <n v="0"/>
    <n v="-121723.97987600001"/>
    <n v="-13743.029986000003"/>
    <n v="-135467.00986200001"/>
  </r>
  <r>
    <x v="47"/>
    <x v="0"/>
    <x v="0"/>
    <n v="-346876.00040000002"/>
    <n v="-1248.75360144"/>
    <n v="0"/>
    <n v="-280969.56032400002"/>
    <n v="-41625.120048000004"/>
    <n v="-322594.68037200003"/>
  </r>
  <r>
    <x v="48"/>
    <x v="0"/>
    <x v="0"/>
    <n v="-225433.99979999999"/>
    <n v="-811.56239927999991"/>
    <n v="0"/>
    <n v="-96936.619913999995"/>
    <n v="-20289.059981999999"/>
    <n v="-117225.67989599999"/>
  </r>
  <r>
    <x v="49"/>
    <x v="0"/>
    <x v="0"/>
    <n v="-113095.99979999999"/>
    <n v="-407.14559927999994"/>
    <n v="0"/>
    <n v="-19226.319965999999"/>
    <n v="-2261.9199960000001"/>
    <n v="-21488.239962"/>
  </r>
  <r>
    <x v="50"/>
    <x v="0"/>
    <x v="0"/>
    <n v="-198912.9999"/>
    <n v="-716.08679963999998"/>
    <n v="0"/>
    <n v="-194934.739902"/>
    <n v="-21880.429989"/>
    <n v="-216815.169891"/>
  </r>
  <r>
    <x v="51"/>
    <x v="0"/>
    <x v="0"/>
    <n v="-163068.00020000001"/>
    <n v="-587.04480072000001"/>
    <n v="0"/>
    <n v="-110886.24013600001"/>
    <n v="-3261.3600040000001"/>
    <n v="-114147.60014000001"/>
  </r>
  <r>
    <x v="42"/>
    <x v="1"/>
    <x v="1"/>
    <m/>
    <m/>
    <m/>
    <m/>
    <m/>
    <m/>
  </r>
  <r>
    <x v="42"/>
    <x v="1"/>
    <x v="1"/>
    <m/>
    <m/>
    <m/>
    <m/>
    <m/>
    <m/>
  </r>
  <r>
    <x v="43"/>
    <x v="2"/>
    <x v="2"/>
    <s v="Sum of Consumption Quantity"/>
    <s v="Sum of Total GJ"/>
    <s v="Sum of Scope 1 kg CO2-e"/>
    <s v="Sum of Scope 2 kg CO2-e"/>
    <s v="Sum of Scope 3 kg CO2-e"/>
    <s v="Sum of Total Emissions"/>
  </r>
  <r>
    <x v="52"/>
    <x v="0"/>
    <x v="0"/>
    <n v="-1160245.3832"/>
    <n v="-4176.8833795199998"/>
    <n v="0"/>
    <n v="-939798.76039200008"/>
    <n v="-104422.08448799999"/>
    <n v="-1044220.8448800001"/>
  </r>
  <r>
    <x v="53"/>
    <x v="0"/>
    <x v="0"/>
    <n v="-25180391.490000006"/>
    <n v="-90649.409364000021"/>
    <n v="0"/>
    <n v="-20396117.106900007"/>
    <n v="-2266235.2341000005"/>
    <n v="-22662352.341000006"/>
  </r>
  <r>
    <x v="54"/>
    <x v="0"/>
    <x v="0"/>
    <n v="-788271.81990000012"/>
    <n v="-2837.7785516400004"/>
    <n v="0"/>
    <n v="-488728.52833800006"/>
    <n v="-55179.027393000011"/>
    <n v="-543907.55573100003"/>
  </r>
  <r>
    <x v="55"/>
    <x v="0"/>
    <x v="0"/>
    <n v="-15329808.899499999"/>
    <n v="-55187.312038199998"/>
    <n v="0"/>
    <n v="-12417145.208595"/>
    <n v="-1839577.0679399997"/>
    <n v="-14256722.276535001"/>
  </r>
  <r>
    <x v="56"/>
    <x v="0"/>
    <x v="0"/>
    <n v="-5628388.4004000006"/>
    <n v="-20262.198241440001"/>
    <n v="0"/>
    <n v="-2420207.012172"/>
    <n v="-506554.95603600005"/>
    <n v="-2926761.9682080001"/>
  </r>
  <r>
    <x v="57"/>
    <x v="0"/>
    <x v="0"/>
    <n v="-2282765.173"/>
    <n v="-8217.9546227999999"/>
    <n v="0"/>
    <n v="-388070.07941000001"/>
    <n v="-45655.303460000003"/>
    <n v="-433725.38287000003"/>
  </r>
  <r>
    <x v="58"/>
    <x v="0"/>
    <x v="0"/>
    <n v="-19548747.833499998"/>
    <n v="-70375.492200599983"/>
    <n v="0"/>
    <n v="-19157772.876829997"/>
    <n v="-2150362.2616849998"/>
    <n v="-21308135.138514996"/>
  </r>
  <r>
    <x v="59"/>
    <x v="0"/>
    <x v="0"/>
    <n v="-7055148.1730000004"/>
    <n v="-25398.533422799999"/>
    <n v="0"/>
    <n v="-4797500.7576400004"/>
    <n v="-141102.96346"/>
    <n v="-4938603.7211000007"/>
  </r>
  <r>
    <x v="42"/>
    <x v="1"/>
    <x v="1"/>
    <m/>
    <m/>
    <m/>
    <m/>
    <m/>
    <m/>
  </r>
  <r>
    <x v="42"/>
    <x v="1"/>
    <x v="1"/>
    <m/>
    <m/>
    <m/>
    <m/>
    <m/>
    <m/>
  </r>
  <r>
    <x v="43"/>
    <x v="2"/>
    <x v="2"/>
    <s v="Sum of Consumption Quantity"/>
    <s v="Sum of Total GJ"/>
    <s v="Sum of Scope 1 kg CO2-e"/>
    <s v="Sum of Scope 2 kg CO2-e"/>
    <s v="Sum of Scope 3 kg CO2-e"/>
    <s v="Sum of Total Emissions"/>
  </r>
  <r>
    <x v="60"/>
    <x v="0"/>
    <x v="0"/>
    <n v="0"/>
    <n v="0"/>
    <n v="0"/>
    <n v="0"/>
    <n v="0"/>
    <n v="0"/>
  </r>
  <r>
    <x v="61"/>
    <x v="0"/>
    <x v="0"/>
    <n v="879335.93046640581"/>
    <n v="3165.6093496790609"/>
    <n v="0"/>
    <n v="712262.10367778875"/>
    <n v="79140.233741976524"/>
    <n v="791402.3374197653"/>
  </r>
  <r>
    <x v="62"/>
    <x v="0"/>
    <x v="0"/>
    <n v="19301.337913846153"/>
    <n v="69.484816489846153"/>
    <n v="0"/>
    <n v="11966.829506584614"/>
    <n v="1351.0936539692309"/>
    <n v="13317.923160553844"/>
  </r>
  <r>
    <x v="63"/>
    <x v="0"/>
    <x v="0"/>
    <n v="355695.11463636975"/>
    <n v="1280.5024126909311"/>
    <n v="0"/>
    <n v="288113.0428554595"/>
    <n v="42683.413756364367"/>
    <n v="330796.45661182387"/>
  </r>
  <r>
    <x v="64"/>
    <x v="0"/>
    <x v="0"/>
    <n v="130244.99399999998"/>
    <n v="468.88197839999992"/>
    <n v="0"/>
    <n v="56005.347419999991"/>
    <n v="11722.049459999998"/>
    <n v="67727.396879999986"/>
  </r>
  <r>
    <x v="65"/>
    <x v="0"/>
    <x v="0"/>
    <n v="50305.967405882358"/>
    <n v="181.10148266117648"/>
    <n v="0"/>
    <n v="8552.0144590000018"/>
    <n v="1006.1193481176472"/>
    <n v="9558.1338071176488"/>
  </r>
  <r>
    <x v="66"/>
    <x v="0"/>
    <x v="0"/>
    <n v="510705.33473094652"/>
    <n v="1838.5392050314074"/>
    <n v="0"/>
    <n v="500491.22803632758"/>
    <n v="56177.586820404118"/>
    <n v="556668.81485673168"/>
  </r>
  <r>
    <x v="67"/>
    <x v="0"/>
    <x v="0"/>
    <n v="365415.06917622831"/>
    <n v="1315.494249034422"/>
    <n v="0"/>
    <n v="248482.24703983526"/>
    <n v="7308.3013835245665"/>
    <n v="255790.54842335984"/>
  </r>
  <r>
    <x v="42"/>
    <x v="1"/>
    <x v="1"/>
    <m/>
    <m/>
    <m/>
    <m/>
    <m/>
    <m/>
  </r>
  <r>
    <x v="42"/>
    <x v="1"/>
    <x v="1"/>
    <m/>
    <m/>
    <m/>
    <m/>
    <m/>
    <m/>
  </r>
  <r>
    <x v="43"/>
    <x v="2"/>
    <x v="2"/>
    <s v="Sum of Consumption Quantity"/>
    <s v="Sum of Total GJ"/>
    <s v="Sum of Scope 1 kg CO2-e"/>
    <s v="Sum of Scope 2 kg CO2-e"/>
    <s v="Sum of Scope 3 kg CO2-e"/>
    <s v="Sum of Total Emissions"/>
  </r>
  <r>
    <x v="68"/>
    <x v="0"/>
    <x v="0"/>
    <n v="77837.450657894733"/>
    <n v="280.21482236842104"/>
    <n v="0"/>
    <n v="63048.335032894734"/>
    <n v="7005.3705592105262"/>
    <n v="70053.705592105267"/>
  </r>
  <r>
    <x v="69"/>
    <x v="0"/>
    <x v="0"/>
    <n v="402138.0311842105"/>
    <n v="1447.6969122631579"/>
    <n v="0"/>
    <n v="325731.80525921052"/>
    <n v="36192.422806578943"/>
    <n v="361924.22806578944"/>
  </r>
  <r>
    <x v="70"/>
    <x v="0"/>
    <x v="0"/>
    <n v="72552.465789473688"/>
    <n v="261.18887684210529"/>
    <n v="0"/>
    <n v="58767.497289473693"/>
    <n v="8706.2958947368425"/>
    <n v="67473.793184210532"/>
  </r>
  <r>
    <x v="71"/>
    <x v="0"/>
    <x v="0"/>
    <n v="7344.0740000000005"/>
    <n v="26.438666400000002"/>
    <n v="0"/>
    <n v="3157.9518200000002"/>
    <n v="660.96666000000005"/>
    <n v="3818.9184800000003"/>
  </r>
  <r>
    <x v="72"/>
    <x v="0"/>
    <x v="0"/>
    <n v="650385.60624834325"/>
    <n v="2341.3881824940358"/>
    <n v="0"/>
    <n v="637377.89412337635"/>
    <n v="71542.41668731776"/>
    <n v="708920.31081069412"/>
  </r>
  <r>
    <x v="73"/>
    <x v="0"/>
    <x v="0"/>
    <n v="38829.60317460318"/>
    <n v="139.78657142857145"/>
    <n v="0"/>
    <n v="26404.130158730164"/>
    <n v="776.59206349206363"/>
    <n v="27180.722222222226"/>
  </r>
  <r>
    <x v="74"/>
    <x v="3"/>
    <x v="3"/>
    <n v="639.7719201509625"/>
    <n v="639.7719201509625"/>
    <n v="32967.4470453791"/>
    <n v="0"/>
    <n v="2495.1104885887535"/>
    <n v="35462.557533967854"/>
  </r>
  <r>
    <x v="75"/>
    <x v="4"/>
    <x v="3"/>
    <n v="6.2278100999999984"/>
    <n v="240.39346985999995"/>
    <n v="16875.621584171997"/>
    <n v="0"/>
    <n v="865.41649149599982"/>
    <n v="17741.038075667995"/>
  </r>
  <r>
    <x v="76"/>
    <x v="4"/>
    <x v="3"/>
    <n v="11.571999999999999"/>
    <n v="446.67919999999998"/>
    <n v="31450.682472000004"/>
    <n v="0"/>
    <n v="1608.04512"/>
    <n v="33058.727592000003"/>
  </r>
  <r>
    <x v="77"/>
    <x v="4"/>
    <x v="3"/>
    <n v="101.00722989999997"/>
    <n v="3898.8790741399989"/>
    <n v="274520.07561019738"/>
    <n v="0"/>
    <n v="14035.964666903996"/>
    <n v="288556.04027710139"/>
  </r>
  <r>
    <x v="78"/>
    <x v="4"/>
    <x v="3"/>
    <n v="22.600999999999999"/>
    <n v="872.39859999999999"/>
    <n v="61425.585426000005"/>
    <n v="0"/>
    <n v="3140.6349599999999"/>
    <n v="64566.220386000008"/>
  </r>
  <r>
    <x v="79"/>
    <x v="4"/>
    <x v="3"/>
    <n v="36.962000000000003"/>
    <n v="1426.7332000000001"/>
    <n v="100456.28461200002"/>
    <n v="0"/>
    <n v="5136.239520000001"/>
    <n v="105592.52413200002"/>
  </r>
  <r>
    <x v="80"/>
    <x v="4"/>
    <x v="3"/>
    <n v="20.841799999999999"/>
    <n v="804.49347999999998"/>
    <n v="56644.385926800009"/>
    <n v="0"/>
    <n v="2896.176528"/>
    <n v="59540.562454800005"/>
  </r>
  <r>
    <x v="81"/>
    <x v="4"/>
    <x v="3"/>
    <n v="22.584440000000001"/>
    <n v="772.38784800000008"/>
    <n v="52228.866281760005"/>
    <n v="0"/>
    <n v="2780.5962528000005"/>
    <n v="55009.462534560007"/>
  </r>
  <r>
    <x v="82"/>
    <x v="4"/>
    <x v="3"/>
    <n v="7.4206799999999991"/>
    <n v="253.78725599999999"/>
    <n v="17161.094250720002"/>
    <n v="0"/>
    <n v="913.63412159999996"/>
    <n v="18074.728372320002"/>
  </r>
  <r>
    <x v="83"/>
    <x v="4"/>
    <x v="3"/>
    <n v="15.856159999999999"/>
    <n v="542.28067199999998"/>
    <n v="36669.01904064"/>
    <n v="0"/>
    <n v="1952.2104191999999"/>
    <n v="38621.229459839997"/>
  </r>
  <r>
    <x v="84"/>
    <x v="4"/>
    <x v="3"/>
    <n v="2.8568399999999996"/>
    <n v="97.703927999999991"/>
    <n v="6606.7396113599998"/>
    <n v="0"/>
    <n v="351.73414079999998"/>
    <n v="6958.47375216"/>
  </r>
  <r>
    <x v="42"/>
    <x v="1"/>
    <x v="1"/>
    <m/>
    <m/>
    <m/>
    <m/>
    <m/>
    <m/>
  </r>
  <r>
    <x v="42"/>
    <x v="1"/>
    <x v="1"/>
    <m/>
    <m/>
    <m/>
    <m/>
    <m/>
    <m/>
  </r>
  <r>
    <x v="43"/>
    <x v="2"/>
    <x v="2"/>
    <s v="Sum of Consumption Quantity"/>
    <s v="Sum of Total GJ"/>
    <s v="Sum of Scope 1 kg CO2-e"/>
    <s v="Sum of Scope 2 kg CO2-e"/>
    <s v="Sum of Scope 3 kg CO2-e"/>
    <s v="Sum of Total Emissions"/>
  </r>
  <r>
    <x v="85"/>
    <x v="5"/>
    <x v="4"/>
    <n v="706570.09830000007"/>
    <n v="706.57009830000004"/>
    <n v="36409.557165399005"/>
    <n v="0"/>
    <n v="2755.6233833700003"/>
    <n v="39165.180548769007"/>
  </r>
  <r>
    <x v="86"/>
    <x v="5"/>
    <x v="4"/>
    <n v="0"/>
    <n v="0"/>
    <n v="0"/>
    <n v="0"/>
    <n v="0"/>
    <n v="0"/>
  </r>
  <r>
    <x v="87"/>
    <x v="5"/>
    <x v="4"/>
    <n v="6373531.4940999998"/>
    <n v="6373.5314940999997"/>
    <n v="328428.07789097301"/>
    <n v="0"/>
    <n v="24856.77282699"/>
    <n v="353284.85071796301"/>
  </r>
  <r>
    <x v="88"/>
    <x v="5"/>
    <x v="4"/>
    <n v="6097.7156000000004"/>
    <n v="6.0977156000000008"/>
    <n v="314.21528486800003"/>
    <n v="0"/>
    <n v="78.050759680000013"/>
    <n v="392.26604454800002"/>
  </r>
  <r>
    <x v="89"/>
    <x v="5"/>
    <x v="4"/>
    <n v="0"/>
    <n v="0"/>
    <n v="0"/>
    <n v="0"/>
    <n v="0"/>
    <n v="0"/>
  </r>
  <r>
    <x v="90"/>
    <x v="5"/>
    <x v="4"/>
    <n v="3409196.9224999994"/>
    <n v="3409.1969224999993"/>
    <n v="175675.91741642496"/>
    <n v="0"/>
    <n v="13295.867997749998"/>
    <n v="188971.78541417496"/>
  </r>
  <r>
    <x v="91"/>
    <x v="5"/>
    <x v="3"/>
    <n v="150712.5276"/>
    <n v="150.71252760000002"/>
    <n v="7766.2165472280012"/>
    <n v="0"/>
    <n v="587.77885764000007"/>
    <n v="8353.9954048680011"/>
  </r>
  <r>
    <x v="92"/>
    <x v="5"/>
    <x v="3"/>
    <n v="0"/>
    <n v="0"/>
    <n v="0"/>
    <n v="0"/>
    <n v="0"/>
    <n v="0"/>
  </r>
  <r>
    <x v="93"/>
    <x v="5"/>
    <x v="3"/>
    <n v="1587941.2077999997"/>
    <n v="1587.9412077999998"/>
    <n v="81826.610437933996"/>
    <n v="0"/>
    <n v="6192.9707104199988"/>
    <n v="88019.581148353987"/>
  </r>
  <r>
    <x v="94"/>
    <x v="5"/>
    <x v="3"/>
    <n v="1669.8690000000001"/>
    <n v="1.6698690000000003"/>
    <n v="86.048349570000013"/>
    <n v="0"/>
    <n v="21.374323200000006"/>
    <n v="107.42267277000002"/>
  </r>
  <r>
    <x v="95"/>
    <x v="5"/>
    <x v="3"/>
    <n v="0"/>
    <n v="0"/>
    <n v="0"/>
    <n v="0"/>
    <n v="0"/>
    <n v="0"/>
  </r>
  <r>
    <x v="96"/>
    <x v="5"/>
    <x v="3"/>
    <n v="1332450.0844000003"/>
    <n v="1332.4500844000004"/>
    <n v="68661.15284913202"/>
    <n v="0"/>
    <n v="5196.5553291600017"/>
    <n v="73857.708178292029"/>
  </r>
  <r>
    <x v="42"/>
    <x v="1"/>
    <x v="1"/>
    <m/>
    <m/>
    <m/>
    <m/>
    <m/>
    <m/>
  </r>
  <r>
    <x v="42"/>
    <x v="1"/>
    <x v="1"/>
    <m/>
    <m/>
    <m/>
    <m/>
    <m/>
    <m/>
  </r>
  <r>
    <x v="42"/>
    <x v="1"/>
    <x v="1"/>
    <m/>
    <m/>
    <m/>
    <m/>
    <m/>
    <m/>
  </r>
  <r>
    <x v="43"/>
    <x v="2"/>
    <x v="2"/>
    <s v="Sum of Consumption Quantity"/>
    <s v="Sum of Total GJ"/>
    <s v="Sum of Scope 1 kg CO2-e"/>
    <s v="Sum of Scope 2 kg CO2-e"/>
    <s v="Sum of Scope 3 kg CO2-e"/>
    <s v="Sum of Total Emissions"/>
  </r>
  <r>
    <x v="97"/>
    <x v="0"/>
    <x v="3"/>
    <n v="55930.706000000006"/>
    <n v="201.35054160000001"/>
    <n v="0"/>
    <n v="0"/>
    <n v="0"/>
    <n v="0"/>
  </r>
  <r>
    <x v="98"/>
    <x v="0"/>
    <x v="3"/>
    <n v="1014981.8930000027"/>
    <n v="3653.9348148000095"/>
    <n v="0"/>
    <n v="0"/>
    <n v="0"/>
    <n v="0"/>
  </r>
  <r>
    <x v="99"/>
    <x v="0"/>
    <x v="3"/>
    <n v="1491084.953999998"/>
    <n v="5367.9058343999932"/>
    <n v="0"/>
    <n v="0"/>
    <n v="0"/>
    <n v="0"/>
  </r>
  <r>
    <x v="100"/>
    <x v="0"/>
    <x v="3"/>
    <n v="2851749.3266666858"/>
    <n v="10266.297576000068"/>
    <n v="0"/>
    <n v="0"/>
    <n v="0"/>
    <n v="0"/>
  </r>
  <r>
    <x v="101"/>
    <x v="0"/>
    <x v="3"/>
    <n v="667433.51999999851"/>
    <n v="2402.7606719999944"/>
    <n v="0"/>
    <n v="0"/>
    <n v="0"/>
    <n v="0"/>
  </r>
  <r>
    <x v="102"/>
    <x v="0"/>
    <x v="3"/>
    <n v="17561.69999999999"/>
    <n v="63.222119999999961"/>
    <n v="0"/>
    <n v="0"/>
    <n v="0"/>
    <n v="0"/>
  </r>
  <r>
    <x v="103"/>
    <x v="0"/>
    <x v="3"/>
    <n v="980290.9625599999"/>
    <n v="3529.0474652159996"/>
    <n v="0"/>
    <n v="0"/>
    <n v="0"/>
    <n v="0"/>
  </r>
  <r>
    <x v="104"/>
    <x v="0"/>
    <x v="3"/>
    <n v="3338585.8770000166"/>
    <n v="12018.90915720006"/>
    <n v="0"/>
    <n v="0"/>
    <n v="0"/>
    <n v="0"/>
  </r>
  <r>
    <x v="42"/>
    <x v="1"/>
    <x v="1"/>
    <m/>
    <m/>
    <m/>
    <m/>
    <m/>
    <m/>
  </r>
  <r>
    <x v="42"/>
    <x v="1"/>
    <x v="1"/>
    <m/>
    <m/>
    <m/>
    <m/>
    <m/>
    <m/>
  </r>
  <r>
    <x v="43"/>
    <x v="2"/>
    <x v="2"/>
    <s v="Sum of Consumption Quantity"/>
    <s v="Sum of Total GJ"/>
    <s v="Sum of Scope 1 kg CO2-e"/>
    <s v="Sum of Scope 2 kg CO2-e"/>
    <s v="Sum of Scope 3 kg CO2-e"/>
    <s v="Sum of Total Emissions"/>
  </r>
  <r>
    <x v="105"/>
    <x v="4"/>
    <x v="3"/>
    <n v="0"/>
    <n v="0"/>
    <n v="0"/>
    <n v="0"/>
    <n v="0"/>
    <n v="0"/>
  </r>
  <r>
    <x v="106"/>
    <x v="4"/>
    <x v="3"/>
    <n v="9.1600000000000015E-2"/>
    <n v="3.5357600000000007"/>
    <n v="249.30643760000007"/>
    <n v="0"/>
    <n v="12.728736000000003"/>
    <n v="262.03517360000006"/>
  </r>
  <r>
    <x v="107"/>
    <x v="4"/>
    <x v="3"/>
    <n v="0.45657799999999993"/>
    <n v="17.623910799999997"/>
    <n v="1242.6619505079998"/>
    <n v="0"/>
    <n v="63.446078879999995"/>
    <n v="1306.1080293879997"/>
  </r>
  <r>
    <x v="108"/>
    <x v="4"/>
    <x v="3"/>
    <n v="0.34904000000000002"/>
    <n v="13.472944000000002"/>
    <n v="949.97728144000018"/>
    <n v="0"/>
    <n v="48.502598400000011"/>
    <n v="998.47987984000019"/>
  </r>
  <r>
    <x v="109"/>
    <x v="4"/>
    <x v="3"/>
    <n v="0.314222"/>
    <n v="12.1289692"/>
    <n v="855.21361829200009"/>
    <n v="0"/>
    <n v="43.664289119999999"/>
    <n v="898.87790741200013"/>
  </r>
  <r>
    <x v="110"/>
    <x v="4"/>
    <x v="3"/>
    <n v="0.55135999999999996"/>
    <n v="21.282495999999998"/>
    <n v="1500.6287929600001"/>
    <n v="0"/>
    <n v="76.616985599999992"/>
    <n v="1577.24577856"/>
  </r>
  <r>
    <x v="111"/>
    <x v="4"/>
    <x v="3"/>
    <n v="0.23023999999999997"/>
    <n v="8.8872640000000001"/>
    <n v="626.64098464000006"/>
    <n v="0"/>
    <n v="31.994150400000002"/>
    <n v="658.63513504000002"/>
  </r>
  <r>
    <x v="112"/>
    <x v="4"/>
    <x v="3"/>
    <n v="0.11432"/>
    <n v="4.4127520000000002"/>
    <n v="311.14314352000002"/>
    <n v="0"/>
    <n v="15.885907200000002"/>
    <n v="327.02905072000004"/>
  </r>
  <r>
    <x v="113"/>
    <x v="4"/>
    <x v="3"/>
    <n v="1.209829"/>
    <n v="41.376151800000002"/>
    <n v="2797.8553847160006"/>
    <n v="0"/>
    <n v="148.95414648000002"/>
    <n v="2946.8095311960005"/>
  </r>
  <r>
    <x v="114"/>
    <x v="4"/>
    <x v="3"/>
    <n v="3.523282"/>
    <n v="120.49624440000001"/>
    <n v="8147.9560463280013"/>
    <n v="0"/>
    <n v="433.78647984000003"/>
    <n v="8581.7425261680019"/>
  </r>
  <r>
    <x v="115"/>
    <x v="4"/>
    <x v="3"/>
    <n v="1.0454600000000001"/>
    <n v="35.754732000000004"/>
    <n v="2417.7349778400003"/>
    <n v="0"/>
    <n v="128.71703520000003"/>
    <n v="2546.4520130400001"/>
  </r>
  <r>
    <x v="116"/>
    <x v="4"/>
    <x v="3"/>
    <n v="8.4273975181472274"/>
    <n v="288.2169951206352"/>
    <n v="19489.233210057355"/>
    <n v="0"/>
    <n v="1037.5811824342868"/>
    <n v="20526.81439249164"/>
  </r>
  <r>
    <x v="117"/>
    <x v="4"/>
    <x v="3"/>
    <n v="1.8659700000000004"/>
    <n v="63.816174000000018"/>
    <n v="4315.2496858800014"/>
    <n v="0"/>
    <n v="229.73822640000006"/>
    <n v="4544.9879122800012"/>
  </r>
  <r>
    <x v="118"/>
    <x v="4"/>
    <x v="3"/>
    <n v="3.6508249999999993"/>
    <n v="124.85821499999999"/>
    <n v="8442.9124983000002"/>
    <n v="0"/>
    <n v="449.48957399999995"/>
    <n v="8892.4020722999994"/>
  </r>
  <r>
    <x v="119"/>
    <x v="4"/>
    <x v="3"/>
    <n v="9.5476029999999987"/>
    <n v="326.52802259999999"/>
    <n v="22079.824888211999"/>
    <n v="0"/>
    <n v="1175.50088136"/>
    <n v="23255.325769571999"/>
  </r>
  <r>
    <x v="120"/>
    <x v="4"/>
    <x v="3"/>
    <n v="2.0584378000000001"/>
    <n v="70.398572760000008"/>
    <n v="4760.3514900312011"/>
    <n v="0"/>
    <n v="253.43486193600003"/>
    <n v="5013.786351967201"/>
  </r>
  <r>
    <x v="42"/>
    <x v="1"/>
    <x v="1"/>
    <m/>
    <m/>
    <m/>
    <m/>
    <m/>
    <m/>
  </r>
  <r>
    <x v="42"/>
    <x v="1"/>
    <x v="1"/>
    <m/>
    <m/>
    <m/>
    <m/>
    <m/>
    <m/>
  </r>
  <r>
    <x v="43"/>
    <x v="2"/>
    <x v="2"/>
    <s v="Sum of Consumption Quantity"/>
    <s v="Sum of Total GJ"/>
    <s v="Sum of Scope 1 kg CO2-e"/>
    <s v="Sum of Scope 2 kg CO2-e"/>
    <s v="Sum of Scope 3 kg CO2-e"/>
    <s v="Sum of Total Emissions"/>
  </r>
  <r>
    <x v="121"/>
    <x v="4"/>
    <x v="4"/>
    <n v="0.75054999999999994"/>
    <n v="28.971229999999998"/>
    <n v="2039.5745920000002"/>
    <n v="0"/>
    <n v="104.29642799999999"/>
    <n v="2143.87102"/>
  </r>
  <r>
    <x v="122"/>
    <x v="4"/>
    <x v="4"/>
    <n v="0.36635590000000001"/>
    <n v="14.141337740000001"/>
    <n v="995.55017689600015"/>
    <n v="0"/>
    <n v="50.908815864000005"/>
    <n v="1046.4589927600002"/>
  </r>
  <r>
    <x v="123"/>
    <x v="4"/>
    <x v="4"/>
    <n v="1.8733007000000002"/>
    <n v="72.309407020000009"/>
    <n v="5090.5822542080014"/>
    <n v="0"/>
    <n v="260.31386527200004"/>
    <n v="5350.8961194800013"/>
  </r>
  <r>
    <x v="124"/>
    <x v="4"/>
    <x v="4"/>
    <n v="6.7170000000000007E-2"/>
    <n v="2.5927620000000005"/>
    <n v="182.53044480000005"/>
    <n v="0"/>
    <n v="9.333943200000002"/>
    <n v="191.86438800000005"/>
  </r>
  <r>
    <x v="125"/>
    <x v="4"/>
    <x v="4"/>
    <n v="3.2911149999999996"/>
    <n v="127.03703899999999"/>
    <n v="8943.407545600001"/>
    <n v="0"/>
    <n v="457.3333404"/>
    <n v="9400.7408860000014"/>
  </r>
  <r>
    <x v="126"/>
    <x v="4"/>
    <x v="4"/>
    <n v="0"/>
    <n v="0"/>
    <n v="0"/>
    <n v="0"/>
    <n v="0"/>
    <n v="0"/>
  </r>
  <r>
    <x v="127"/>
    <x v="4"/>
    <x v="4"/>
    <n v="145.77691000000002"/>
    <n v="5626.9887260000005"/>
    <n v="396196.27619766007"/>
    <n v="0"/>
    <n v="20257.159413600002"/>
    <n v="416453.43561126007"/>
  </r>
  <r>
    <x v="128"/>
    <x v="4"/>
    <x v="4"/>
    <n v="2643.4545899999998"/>
    <n v="102037.34717399999"/>
    <n v="7184449.6145213405"/>
    <n v="0"/>
    <n v="367334.44982639997"/>
    <n v="7551784.0643477403"/>
  </r>
  <r>
    <x v="129"/>
    <x v="4"/>
    <x v="4"/>
    <n v="228.71070299999997"/>
    <n v="8828.2331357999992"/>
    <n v="621595.89509167802"/>
    <n v="0"/>
    <n v="31781.639288879996"/>
    <n v="653377.53438055806"/>
  </r>
  <r>
    <x v="130"/>
    <x v="4"/>
    <x v="4"/>
    <n v="1782.0954999999999"/>
    <n v="68788.886299999998"/>
    <n v="4843425.484383001"/>
    <n v="0"/>
    <n v="247639.99067999999"/>
    <n v="5091065.4750630008"/>
  </r>
  <r>
    <x v="131"/>
    <x v="4"/>
    <x v="4"/>
    <n v="628.02482000000009"/>
    <n v="24241.758052000005"/>
    <n v="1706862.1844413206"/>
    <n v="0"/>
    <n v="87270.328987200017"/>
    <n v="1794132.5134285206"/>
  </r>
  <r>
    <x v="132"/>
    <x v="4"/>
    <x v="4"/>
    <n v="320.18827000000005"/>
    <n v="12359.267222000002"/>
    <n v="870216.00510102033"/>
    <n v="0"/>
    <n v="44493.361999200009"/>
    <n v="914709.36710022029"/>
  </r>
  <r>
    <x v="133"/>
    <x v="4"/>
    <x v="4"/>
    <n v="1660.22154"/>
    <n v="64084.551444000004"/>
    <n v="4512193.2671720413"/>
    <n v="0"/>
    <n v="230704.38519840001"/>
    <n v="4742897.6523704417"/>
  </r>
  <r>
    <x v="134"/>
    <x v="4"/>
    <x v="4"/>
    <n v="930.21676000000002"/>
    <n v="35906.366936000006"/>
    <n v="2528167.2959637609"/>
    <n v="0"/>
    <n v="129262.92096960002"/>
    <n v="2657430.2169333608"/>
  </r>
  <r>
    <x v="135"/>
    <x v="4"/>
    <x v="4"/>
    <n v="0.34324199999999994"/>
    <n v="8.0318627999999972"/>
    <n v="3.2127451199999992"/>
    <n v="0"/>
    <n v="0"/>
    <n v="3.2127451199999992"/>
  </r>
  <r>
    <x v="136"/>
    <x v="4"/>
    <x v="4"/>
    <n v="13.911406000000003"/>
    <n v="325.52690040000005"/>
    <n v="130.21076016000004"/>
    <n v="0"/>
    <n v="0"/>
    <n v="130.21076016000004"/>
  </r>
  <r>
    <x v="137"/>
    <x v="4"/>
    <x v="4"/>
    <n v="1.856193"/>
    <n v="43.434916199999996"/>
    <n v="17.37396648"/>
    <n v="0"/>
    <n v="0"/>
    <n v="17.37396648"/>
  </r>
  <r>
    <x v="138"/>
    <x v="4"/>
    <x v="4"/>
    <n v="0"/>
    <n v="0"/>
    <n v="0"/>
    <n v="0"/>
    <n v="0"/>
    <n v="0"/>
  </r>
  <r>
    <x v="139"/>
    <x v="4"/>
    <x v="4"/>
    <n v="0"/>
    <n v="0"/>
    <n v="0"/>
    <n v="0"/>
    <n v="0"/>
    <n v="0"/>
  </r>
  <r>
    <x v="140"/>
    <x v="4"/>
    <x v="4"/>
    <n v="7.4894000000000002E-2"/>
    <n v="1.7525195999999998"/>
    <n v="0.70100783999999994"/>
    <n v="0"/>
    <n v="0"/>
    <n v="0.70100783999999994"/>
  </r>
  <r>
    <x v="141"/>
    <x v="4"/>
    <x v="4"/>
    <n v="0.87494140000000009"/>
    <n v="22.923464680000002"/>
    <n v="1398.3313454800002"/>
    <n v="0"/>
    <n v="82.524472848000016"/>
    <n v="1480.8558183280002"/>
  </r>
  <r>
    <x v="142"/>
    <x v="4"/>
    <x v="4"/>
    <n v="0"/>
    <n v="0"/>
    <n v="0"/>
    <n v="0"/>
    <n v="0"/>
    <n v="0"/>
  </r>
  <r>
    <x v="143"/>
    <x v="4"/>
    <x v="4"/>
    <n v="0"/>
    <n v="0"/>
    <n v="0"/>
    <n v="0"/>
    <n v="0"/>
    <n v="0"/>
  </r>
  <r>
    <x v="144"/>
    <x v="4"/>
    <x v="4"/>
    <n v="0"/>
    <n v="0"/>
    <n v="0"/>
    <n v="0"/>
    <n v="0"/>
    <n v="0"/>
  </r>
  <r>
    <x v="145"/>
    <x v="4"/>
    <x v="4"/>
    <n v="0.245786"/>
    <n v="8.4058812000000014"/>
    <n v="585.04933152000001"/>
    <n v="0"/>
    <n v="30.261172320000007"/>
    <n v="615.31050384000002"/>
  </r>
  <r>
    <x v="146"/>
    <x v="4"/>
    <x v="4"/>
    <n v="10.671328000000001"/>
    <n v="364.95941760000005"/>
    <n v="24678.555818112007"/>
    <n v="0"/>
    <n v="1313.8539033600002"/>
    <n v="25992.409721472006"/>
  </r>
  <r>
    <x v="147"/>
    <x v="4"/>
    <x v="4"/>
    <n v="237.36921399999997"/>
    <n v="8118.0271187999997"/>
    <n v="548940.99377325596"/>
    <n v="0"/>
    <n v="29224.897627679999"/>
    <n v="578165.89140093594"/>
  </r>
  <r>
    <x v="148"/>
    <x v="4"/>
    <x v="4"/>
    <n v="6.8618399999999999"/>
    <n v="234.67492800000002"/>
    <n v="15868.718631360003"/>
    <n v="0"/>
    <n v="844.82974080000008"/>
    <n v="16713.548372160003"/>
  </r>
  <r>
    <x v="149"/>
    <x v="4"/>
    <x v="4"/>
    <n v="99.741937000000007"/>
    <n v="3411.1742454000005"/>
    <n v="230663.60247394803"/>
    <n v="0"/>
    <n v="12280.227283440003"/>
    <n v="242943.82975738804"/>
  </r>
  <r>
    <x v="150"/>
    <x v="4"/>
    <x v="4"/>
    <n v="49.040910000000004"/>
    <n v="1677.1991220000002"/>
    <n v="113412.20462964002"/>
    <n v="0"/>
    <n v="6037.916839200001"/>
    <n v="119450.12146884002"/>
  </r>
  <r>
    <x v="151"/>
    <x v="4"/>
    <x v="4"/>
    <n v="22.046290000000003"/>
    <n v="753.9831180000001"/>
    <n v="50984.338439160012"/>
    <n v="0"/>
    <n v="2714.3392248000005"/>
    <n v="53698.677663960014"/>
  </r>
  <r>
    <x v="152"/>
    <x v="4"/>
    <x v="4"/>
    <n v="214.70667599999999"/>
    <n v="7342.9683192000002"/>
    <n v="496531.51774430403"/>
    <n v="0"/>
    <n v="26434.685949120001"/>
    <n v="522966.203693424"/>
  </r>
  <r>
    <x v="153"/>
    <x v="4"/>
    <x v="4"/>
    <n v="50.174939999999999"/>
    <n v="1715.9829480000001"/>
    <n v="116034.76694376001"/>
    <n v="0"/>
    <n v="6177.5386128"/>
    <n v="122212.30555656001"/>
  </r>
  <r>
    <x v="42"/>
    <x v="1"/>
    <x v="1"/>
    <m/>
    <m/>
    <m/>
    <m/>
    <m/>
    <m/>
  </r>
  <r>
    <x v="43"/>
    <x v="2"/>
    <x v="2"/>
    <s v="Sum of Consumption Quantity"/>
    <s v="Sum of Total GJ"/>
    <s v="Sum of Scope 1 kg CO2-e"/>
    <s v="Sum of Scope 2 kg CO2-e"/>
    <s v="Sum of Scope 3 kg CO2-e"/>
    <s v="Sum of Total Emissions"/>
  </r>
  <r>
    <x v="154"/>
    <x v="4"/>
    <x v="3"/>
    <n v="22.187999999999999"/>
    <n v="856.45679999999993"/>
    <n v="59609.393279999989"/>
    <n v="0"/>
    <n v="3083.2444799999998"/>
    <n v="62692.637759999991"/>
  </r>
  <r>
    <x v="155"/>
    <x v="4"/>
    <x v="3"/>
    <n v="568.77"/>
    <n v="21954.522000000001"/>
    <n v="1528034.7312"/>
    <n v="0"/>
    <n v="79036.279200000004"/>
    <n v="1607071.0104"/>
  </r>
  <r>
    <x v="156"/>
    <x v="4"/>
    <x v="3"/>
    <n v="1.27"/>
    <n v="49.022000000000006"/>
    <n v="3411.9312"/>
    <n v="0"/>
    <n v="176.47920000000002"/>
    <n v="3588.4104000000002"/>
  </r>
  <r>
    <x v="157"/>
    <x v="4"/>
    <x v="3"/>
    <n v="101.108"/>
    <n v="3902.7688000000003"/>
    <n v="271632.70847999997"/>
    <n v="0"/>
    <n v="14049.967680000002"/>
    <n v="285682.67615999997"/>
  </r>
  <r>
    <x v="158"/>
    <x v="4"/>
    <x v="3"/>
    <n v="12.291"/>
    <n v="474.43260000000004"/>
    <n v="33020.508959999999"/>
    <n v="0"/>
    <n v="1707.9573600000001"/>
    <n v="34728.46632"/>
  </r>
  <r>
    <x v="159"/>
    <x v="4"/>
    <x v="3"/>
    <n v="18.701000000000001"/>
    <n v="721.85860000000002"/>
    <n v="50241.358560000001"/>
    <n v="0"/>
    <n v="2598.6909600000004"/>
    <n v="52840.04952"/>
  </r>
  <r>
    <x v="160"/>
    <x v="4"/>
    <x v="3"/>
    <n v="222.86500000000001"/>
    <n v="8602.5889999999999"/>
    <n v="598740.19439999992"/>
    <n v="0"/>
    <n v="30969.320400000001"/>
    <n v="629709.51479999989"/>
  </r>
  <r>
    <x v="161"/>
    <x v="4"/>
    <x v="3"/>
    <n v="69.394999999999996"/>
    <n v="2678.6469999999999"/>
    <n v="186433.83119999999"/>
    <n v="0"/>
    <n v="9643.1291999999994"/>
    <n v="196076.96039999998"/>
  </r>
  <r>
    <x v="162"/>
    <x v="4"/>
    <x v="3"/>
    <n v="1.2749999999999999"/>
    <n v="29.834999999999997"/>
    <n v="2076.5159999999996"/>
    <n v="0"/>
    <n v="0"/>
    <n v="2076.5159999999996"/>
  </r>
  <r>
    <x v="163"/>
    <x v="4"/>
    <x v="3"/>
    <n v="0"/>
    <n v="0"/>
    <n v="0"/>
    <n v="0"/>
    <n v="0"/>
    <n v="0"/>
  </r>
  <r>
    <x v="164"/>
    <x v="4"/>
    <x v="3"/>
    <n v="0"/>
    <n v="0"/>
    <n v="0"/>
    <n v="0"/>
    <n v="0"/>
    <n v="0"/>
  </r>
  <r>
    <x v="165"/>
    <x v="4"/>
    <x v="3"/>
    <n v="0"/>
    <n v="0"/>
    <n v="0"/>
    <n v="0"/>
    <n v="0"/>
    <n v="0"/>
  </r>
  <r>
    <x v="166"/>
    <x v="4"/>
    <x v="3"/>
    <n v="0"/>
    <n v="0"/>
    <n v="0"/>
    <n v="0"/>
    <n v="0"/>
    <n v="0"/>
  </r>
  <r>
    <x v="167"/>
    <x v="4"/>
    <x v="3"/>
    <n v="0"/>
    <n v="0"/>
    <n v="0"/>
    <n v="0"/>
    <n v="0"/>
    <n v="0"/>
  </r>
  <r>
    <x v="168"/>
    <x v="4"/>
    <x v="3"/>
    <n v="0"/>
    <n v="0"/>
    <n v="0"/>
    <n v="0"/>
    <n v="0"/>
    <n v="0"/>
  </r>
  <r>
    <x v="169"/>
    <x v="4"/>
    <x v="3"/>
    <n v="0"/>
    <n v="0"/>
    <n v="0"/>
    <n v="0"/>
    <n v="0"/>
    <n v="0"/>
  </r>
  <r>
    <x v="170"/>
    <x v="4"/>
    <x v="3"/>
    <n v="0"/>
    <n v="0"/>
    <n v="0"/>
    <n v="0"/>
    <n v="0"/>
    <n v="0"/>
  </r>
  <r>
    <x v="171"/>
    <x v="4"/>
    <x v="3"/>
    <n v="0"/>
    <n v="0"/>
    <n v="0"/>
    <n v="0"/>
    <n v="0"/>
    <n v="0"/>
  </r>
  <r>
    <x v="172"/>
    <x v="4"/>
    <x v="3"/>
    <n v="0"/>
    <n v="0"/>
    <n v="0"/>
    <n v="0"/>
    <n v="0"/>
    <n v="0"/>
  </r>
  <r>
    <x v="173"/>
    <x v="4"/>
    <x v="3"/>
    <n v="0"/>
    <n v="0"/>
    <n v="0"/>
    <n v="0"/>
    <n v="0"/>
    <n v="0"/>
  </r>
  <r>
    <x v="174"/>
    <x v="4"/>
    <x v="3"/>
    <n v="2.2010000000000001"/>
    <n v="75.274200000000008"/>
    <n v="5239.0843199999999"/>
    <n v="0"/>
    <n v="270.98712000000006"/>
    <n v="5510.0714399999997"/>
  </r>
  <r>
    <x v="175"/>
    <x v="4"/>
    <x v="3"/>
    <n v="0"/>
    <n v="0"/>
    <n v="0"/>
    <n v="0"/>
    <n v="0"/>
    <n v="0"/>
  </r>
  <r>
    <x v="176"/>
    <x v="4"/>
    <x v="3"/>
    <n v="0.56499999999999995"/>
    <n v="19.323"/>
    <n v="1344.8807999999999"/>
    <n v="0"/>
    <n v="69.56280000000001"/>
    <n v="1414.4435999999998"/>
  </r>
  <r>
    <x v="177"/>
    <x v="4"/>
    <x v="3"/>
    <n v="0.33400000000000002"/>
    <n v="11.422800000000002"/>
    <n v="795.02688000000012"/>
    <n v="0"/>
    <n v="41.122080000000011"/>
    <n v="836.1489600000001"/>
  </r>
  <r>
    <x v="178"/>
    <x v="4"/>
    <x v="3"/>
    <n v="0.42699999999999999"/>
    <n v="14.603400000000001"/>
    <n v="1016.3966399999999"/>
    <n v="0"/>
    <n v="52.572240000000001"/>
    <n v="1068.9688799999999"/>
  </r>
  <r>
    <x v="179"/>
    <x v="4"/>
    <x v="3"/>
    <n v="3.3959999999999999"/>
    <n v="116.14320000000001"/>
    <n v="8083.5667199999998"/>
    <n v="0"/>
    <n v="418.11552000000006"/>
    <n v="8501.6822400000001"/>
  </r>
  <r>
    <x v="180"/>
    <x v="4"/>
    <x v="3"/>
    <n v="0.307"/>
    <n v="10.499400000000001"/>
    <n v="730.75824"/>
    <n v="0"/>
    <n v="37.797840000000008"/>
    <n v="768.55608000000007"/>
  </r>
  <r>
    <x v="42"/>
    <x v="1"/>
    <x v="1"/>
    <m/>
    <m/>
    <m/>
    <m/>
    <m/>
    <m/>
  </r>
  <r>
    <x v="42"/>
    <x v="1"/>
    <x v="1"/>
    <m/>
    <m/>
    <m/>
    <m/>
    <m/>
    <m/>
  </r>
  <r>
    <x v="43"/>
    <x v="2"/>
    <x v="2"/>
    <s v="Sum of Consumption Quantity"/>
    <s v="Sum of Total GJ"/>
    <s v="Sum of Scope 1 kg CO2-e"/>
    <s v="Sum of Scope 2 kg CO2-e"/>
    <s v="Sum of Scope 3 kg CO2-e"/>
    <s v="Sum of Total Emissions"/>
  </r>
  <r>
    <x v="181"/>
    <x v="4"/>
    <x v="3"/>
    <n v="56.253999999999998"/>
    <n v="2171.4043999999999"/>
    <n v="152432.58888"/>
    <n v="0"/>
    <n v="7817.05584"/>
    <n v="160249.64471999998"/>
  </r>
  <r>
    <x v="182"/>
    <x v="4"/>
    <x v="3"/>
    <n v="28.414000000000001"/>
    <n v="1096.7804000000001"/>
    <n v="76993.984080000009"/>
    <n v="0"/>
    <n v="3948.4094400000004"/>
    <n v="80942.393520000012"/>
  </r>
  <r>
    <x v="183"/>
    <x v="4"/>
    <x v="3"/>
    <n v="0"/>
    <n v="0"/>
    <n v="0"/>
    <n v="0"/>
    <n v="0"/>
    <n v="0"/>
  </r>
  <r>
    <x v="42"/>
    <x v="1"/>
    <x v="1"/>
    <m/>
    <m/>
    <m/>
    <m/>
    <m/>
    <m/>
  </r>
  <r>
    <x v="42"/>
    <x v="1"/>
    <x v="1"/>
    <m/>
    <m/>
    <m/>
    <m/>
    <m/>
    <m/>
  </r>
  <r>
    <x v="43"/>
    <x v="2"/>
    <x v="2"/>
    <s v="Sum of Consumption Quantity"/>
    <s v="Sum of Total GJ"/>
    <s v="Sum of Scope 1 kg CO2-e"/>
    <s v="Sum of Scope 2 kg CO2-e"/>
    <s v="Sum of Scope 3 kg CO2-e"/>
    <s v="Sum of Total Emissions"/>
  </r>
  <r>
    <x v="184"/>
    <x v="4"/>
    <x v="4"/>
    <n v="3.38618"/>
    <n v="130.706548"/>
    <n v="9097.1757407999994"/>
    <n v="0"/>
    <n v="470.54357279999999"/>
    <n v="9567.7193135999987"/>
  </r>
  <r>
    <x v="185"/>
    <x v="4"/>
    <x v="4"/>
    <n v="0"/>
    <n v="0"/>
    <n v="0"/>
    <n v="0"/>
    <n v="0"/>
    <n v="0"/>
  </r>
  <r>
    <x v="186"/>
    <x v="4"/>
    <x v="4"/>
    <n v="65.845309999999998"/>
    <n v="2541.6289660000002"/>
    <n v="176897.37603360001"/>
    <n v="0"/>
    <n v="9149.8642776000015"/>
    <n v="186047.2403112"/>
  </r>
  <r>
    <x v="187"/>
    <x v="4"/>
    <x v="4"/>
    <n v="13.261990000000001"/>
    <n v="511.91281400000003"/>
    <n v="35629.131854400002"/>
    <n v="0"/>
    <n v="1842.8861304000002"/>
    <n v="37472.017984800004"/>
  </r>
  <r>
    <x v="188"/>
    <x v="4"/>
    <x v="4"/>
    <n v="2.8001900000000002"/>
    <n v="108.08733400000001"/>
    <n v="7522.8784464"/>
    <n v="0"/>
    <n v="389.11440240000007"/>
    <n v="7911.9928488000005"/>
  </r>
  <r>
    <x v="189"/>
    <x v="4"/>
    <x v="4"/>
    <n v="2.6652499999999999"/>
    <n v="102.87864999999999"/>
    <n v="7160.3540399999993"/>
    <n v="0"/>
    <n v="370.36313999999999"/>
    <n v="7530.7171799999996"/>
  </r>
  <r>
    <x v="190"/>
    <x v="4"/>
    <x v="4"/>
    <n v="6.4907999999999992"/>
    <n v="250.54487999999998"/>
    <n v="17437.923647999996"/>
    <n v="0"/>
    <n v="901.96156799999994"/>
    <n v="18339.885215999995"/>
  </r>
  <r>
    <x v="191"/>
    <x v="4"/>
    <x v="4"/>
    <n v="4.7020000000000013E-2"/>
    <n v="1.1002680000000002"/>
    <n v="76.578652800000015"/>
    <n v="0"/>
    <n v="0"/>
    <n v="76.578652800000015"/>
  </r>
  <r>
    <x v="192"/>
    <x v="4"/>
    <x v="4"/>
    <n v="0.100231"/>
    <n v="3.4279002000000003"/>
    <n v="238.58185392000001"/>
    <n v="0"/>
    <n v="12.340440720000002"/>
    <n v="250.92229464000002"/>
  </r>
  <r>
    <x v="193"/>
    <x v="4"/>
    <x v="4"/>
    <n v="1.8675700000000002"/>
    <n v="63.870894000000014"/>
    <n v="4445.4142224000007"/>
    <n v="0"/>
    <n v="229.93521840000005"/>
    <n v="4675.3494408000006"/>
  </r>
  <r>
    <x v="194"/>
    <x v="4"/>
    <x v="4"/>
    <n v="5.8773400000000003E-2"/>
    <n v="2.0100502800000002"/>
    <n v="139.899499488"/>
    <n v="0"/>
    <n v="7.2361810080000009"/>
    <n v="147.13568049599999"/>
  </r>
  <r>
    <x v="195"/>
    <x v="4"/>
    <x v="4"/>
    <n v="0.23545000000000002"/>
    <n v="8.0523900000000008"/>
    <n v="560.44634400000007"/>
    <n v="0"/>
    <n v="28.988604000000002"/>
    <n v="589.43494800000008"/>
  </r>
  <r>
    <x v="42"/>
    <x v="1"/>
    <x v="1"/>
    <m/>
    <m/>
    <m/>
    <m/>
    <m/>
    <m/>
  </r>
  <r>
    <x v="42"/>
    <x v="1"/>
    <x v="1"/>
    <m/>
    <m/>
    <m/>
    <m/>
    <m/>
    <m/>
  </r>
  <r>
    <x v="42"/>
    <x v="1"/>
    <x v="1"/>
    <m/>
    <m/>
    <m/>
    <m/>
    <m/>
    <m/>
  </r>
  <r>
    <x v="43"/>
    <x v="2"/>
    <x v="2"/>
    <s v="Sum of Consumption Quantity"/>
    <s v="Sum of Total GJ"/>
    <s v="Sum of Scope 1 kg CO2-e"/>
    <s v="Sum of Scope 2 kg CO2-e"/>
    <s v="Sum of Scope 3 kg CO2-e"/>
    <s v="Sum of Total Emissions"/>
  </r>
  <r>
    <x v="196"/>
    <x v="4"/>
    <x v="3"/>
    <n v="9.9307329871008392"/>
    <n v="383.32629330209238"/>
    <n v="26909.505789806884"/>
    <n v="0"/>
    <n v="1379.9746558875327"/>
    <n v="28289.480445694418"/>
  </r>
  <r>
    <x v="197"/>
    <x v="4"/>
    <x v="3"/>
    <n v="451.15084051097512"/>
    <n v="17414.422443723641"/>
    <n v="1222492.4555493996"/>
    <n v="0"/>
    <n v="62691.92079740511"/>
    <n v="1285184.3763468047"/>
  </r>
  <r>
    <x v="198"/>
    <x v="4"/>
    <x v="3"/>
    <n v="16.273727671357694"/>
    <n v="628.16588811440704"/>
    <n v="44097.245345631374"/>
    <n v="0"/>
    <n v="2261.3971972118652"/>
    <n v="46358.642542843241"/>
  </r>
  <r>
    <x v="199"/>
    <x v="4"/>
    <x v="3"/>
    <n v="123.66688665848372"/>
    <n v="4773.5418250174716"/>
    <n v="335102.63611622649"/>
    <n v="0"/>
    <n v="17184.750570062897"/>
    <n v="352287.38668628939"/>
  </r>
  <r>
    <x v="200"/>
    <x v="4"/>
    <x v="3"/>
    <n v="37.967194291182167"/>
    <n v="1465.5336996396318"/>
    <n v="102880.46571470215"/>
    <n v="0"/>
    <n v="5275.9213187026744"/>
    <n v="108156.38703340483"/>
  </r>
  <r>
    <x v="201"/>
    <x v="4"/>
    <x v="3"/>
    <n v="20.250371753101401"/>
    <n v="781.66434966971406"/>
    <n v="54872.837346813933"/>
    <n v="0"/>
    <n v="2813.9916588109709"/>
    <n v="57686.829005624902"/>
  </r>
  <r>
    <x v="202"/>
    <x v="4"/>
    <x v="3"/>
    <n v="253.1294340335063"/>
    <n v="9770.7961536933435"/>
    <n v="685909.88998927269"/>
    <n v="0"/>
    <n v="35174.86615329604"/>
    <n v="721084.75614256877"/>
  </r>
  <r>
    <x v="203"/>
    <x v="4"/>
    <x v="3"/>
    <n v="176.37835832619746"/>
    <n v="6808.2046313912224"/>
    <n v="477935.96512366383"/>
    <n v="0"/>
    <n v="24509.536673008402"/>
    <n v="502445.50179667224"/>
  </r>
  <r>
    <x v="204"/>
    <x v="4"/>
    <x v="3"/>
    <n v="0"/>
    <n v="0"/>
    <n v="0"/>
    <n v="0"/>
    <n v="0"/>
    <n v="0"/>
  </r>
  <r>
    <x v="205"/>
    <x v="4"/>
    <x v="3"/>
    <n v="0"/>
    <n v="0"/>
    <n v="0"/>
    <n v="0"/>
    <n v="0"/>
    <n v="0"/>
  </r>
  <r>
    <x v="206"/>
    <x v="4"/>
    <x v="3"/>
    <n v="0"/>
    <n v="0"/>
    <n v="0"/>
    <n v="0"/>
    <n v="0"/>
    <n v="0"/>
  </r>
  <r>
    <x v="207"/>
    <x v="4"/>
    <x v="3"/>
    <n v="0"/>
    <n v="0"/>
    <n v="0"/>
    <n v="0"/>
    <n v="0"/>
    <n v="0"/>
  </r>
  <r>
    <x v="208"/>
    <x v="4"/>
    <x v="3"/>
    <n v="0"/>
    <n v="0"/>
    <n v="0"/>
    <n v="0"/>
    <n v="0"/>
    <n v="0"/>
  </r>
  <r>
    <x v="209"/>
    <x v="4"/>
    <x v="3"/>
    <n v="0"/>
    <n v="0"/>
    <n v="0"/>
    <n v="0"/>
    <n v="0"/>
    <n v="0"/>
  </r>
  <r>
    <x v="210"/>
    <x v="4"/>
    <x v="3"/>
    <n v="0"/>
    <n v="0"/>
    <n v="0"/>
    <n v="0"/>
    <n v="0"/>
    <n v="0"/>
  </r>
  <r>
    <x v="211"/>
    <x v="4"/>
    <x v="3"/>
    <n v="0"/>
    <n v="0"/>
    <n v="0"/>
    <n v="0"/>
    <n v="0"/>
    <n v="0"/>
  </r>
  <r>
    <x v="212"/>
    <x v="4"/>
    <x v="3"/>
    <n v="0"/>
    <n v="0"/>
    <n v="0"/>
    <n v="0"/>
    <n v="0"/>
    <n v="0"/>
  </r>
  <r>
    <x v="213"/>
    <x v="4"/>
    <x v="3"/>
    <n v="0"/>
    <n v="0"/>
    <n v="0"/>
    <n v="0"/>
    <n v="0"/>
    <n v="0"/>
  </r>
  <r>
    <x v="214"/>
    <x v="4"/>
    <x v="3"/>
    <n v="0"/>
    <n v="0"/>
    <n v="0"/>
    <n v="0"/>
    <n v="0"/>
    <n v="0"/>
  </r>
  <r>
    <x v="215"/>
    <x v="4"/>
    <x v="3"/>
    <n v="0"/>
    <n v="0"/>
    <n v="0"/>
    <n v="0"/>
    <n v="0"/>
    <n v="0"/>
  </r>
  <r>
    <x v="216"/>
    <x v="4"/>
    <x v="3"/>
    <n v="0"/>
    <n v="0"/>
    <n v="0"/>
    <n v="0"/>
    <n v="0"/>
    <n v="0"/>
  </r>
  <r>
    <x v="217"/>
    <x v="4"/>
    <x v="3"/>
    <n v="0"/>
    <n v="0"/>
    <n v="0"/>
    <n v="0"/>
    <n v="0"/>
    <n v="0"/>
  </r>
  <r>
    <x v="218"/>
    <x v="4"/>
    <x v="3"/>
    <n v="0"/>
    <n v="0"/>
    <n v="0"/>
    <n v="0"/>
    <n v="0"/>
    <n v="0"/>
  </r>
  <r>
    <x v="219"/>
    <x v="4"/>
    <x v="3"/>
    <n v="0"/>
    <n v="0"/>
    <n v="0"/>
    <n v="0"/>
    <n v="0"/>
    <n v="0"/>
  </r>
  <r>
    <x v="220"/>
    <x v="4"/>
    <x v="3"/>
    <n v="0"/>
    <n v="0"/>
    <n v="0"/>
    <n v="0"/>
    <n v="0"/>
    <n v="0"/>
  </r>
  <r>
    <x v="221"/>
    <x v="4"/>
    <x v="3"/>
    <n v="0"/>
    <n v="0"/>
    <n v="0"/>
    <n v="0"/>
    <n v="0"/>
    <n v="0"/>
  </r>
  <r>
    <x v="222"/>
    <x v="4"/>
    <x v="3"/>
    <n v="0"/>
    <n v="0"/>
    <n v="0"/>
    <n v="0"/>
    <n v="0"/>
    <n v="0"/>
  </r>
  <r>
    <x v="223"/>
    <x v="4"/>
    <x v="3"/>
    <n v="0"/>
    <n v="0"/>
    <n v="0"/>
    <n v="0"/>
    <n v="0"/>
    <n v="0"/>
  </r>
  <r>
    <x v="224"/>
    <x v="4"/>
    <x v="3"/>
    <n v="0"/>
    <n v="0"/>
    <n v="0"/>
    <n v="0"/>
    <n v="0"/>
    <n v="0"/>
  </r>
  <r>
    <x v="225"/>
    <x v="4"/>
    <x v="3"/>
    <n v="0"/>
    <n v="0"/>
    <n v="0"/>
    <n v="0"/>
    <n v="0"/>
    <n v="0"/>
  </r>
  <r>
    <x v="226"/>
    <x v="4"/>
    <x v="3"/>
    <n v="0"/>
    <n v="0"/>
    <n v="0"/>
    <n v="0"/>
    <n v="0"/>
    <n v="0"/>
  </r>
  <r>
    <x v="227"/>
    <x v="4"/>
    <x v="3"/>
    <n v="0"/>
    <n v="0"/>
    <n v="0"/>
    <n v="0"/>
    <n v="0"/>
    <n v="0"/>
  </r>
  <r>
    <x v="228"/>
    <x v="4"/>
    <x v="3"/>
    <n v="0"/>
    <n v="0"/>
    <n v="0"/>
    <n v="0"/>
    <n v="0"/>
    <n v="0"/>
  </r>
  <r>
    <x v="229"/>
    <x v="4"/>
    <x v="3"/>
    <n v="0"/>
    <n v="0"/>
    <n v="0"/>
    <n v="0"/>
    <n v="0"/>
    <n v="0"/>
  </r>
  <r>
    <x v="230"/>
    <x v="4"/>
    <x v="3"/>
    <n v="0"/>
    <n v="0"/>
    <n v="0"/>
    <n v="0"/>
    <n v="0"/>
    <n v="0"/>
  </r>
  <r>
    <x v="231"/>
    <x v="4"/>
    <x v="3"/>
    <n v="0"/>
    <n v="0"/>
    <n v="0"/>
    <n v="0"/>
    <n v="0"/>
    <n v="0"/>
  </r>
  <r>
    <x v="232"/>
    <x v="4"/>
    <x v="3"/>
    <n v="0"/>
    <n v="0"/>
    <n v="0"/>
    <n v="0"/>
    <n v="0"/>
    <n v="0"/>
  </r>
  <r>
    <x v="233"/>
    <x v="4"/>
    <x v="3"/>
    <n v="0"/>
    <n v="0"/>
    <n v="0"/>
    <n v="0"/>
    <n v="0"/>
    <n v="0"/>
  </r>
  <r>
    <x v="234"/>
    <x v="4"/>
    <x v="3"/>
    <n v="0"/>
    <n v="0"/>
    <n v="0"/>
    <n v="0"/>
    <n v="0"/>
    <n v="0"/>
  </r>
  <r>
    <x v="235"/>
    <x v="4"/>
    <x v="3"/>
    <n v="0"/>
    <n v="0"/>
    <n v="0"/>
    <n v="0"/>
    <n v="0"/>
    <n v="0"/>
  </r>
  <r>
    <x v="236"/>
    <x v="4"/>
    <x v="3"/>
    <n v="0"/>
    <n v="0"/>
    <n v="0"/>
    <n v="0"/>
    <n v="0"/>
    <n v="0"/>
  </r>
  <r>
    <x v="237"/>
    <x v="4"/>
    <x v="3"/>
    <n v="0.93127905958239754"/>
    <n v="31.849743837717998"/>
    <n v="2159.4126321972808"/>
    <n v="0"/>
    <n v="114.6590778157848"/>
    <n v="2274.0717100130655"/>
  </r>
  <r>
    <x v="238"/>
    <x v="4"/>
    <x v="3"/>
    <n v="0.01"/>
    <n v="0.34200000000000003"/>
    <n v="23.187600000000007"/>
    <n v="0"/>
    <n v="1.2312000000000001"/>
    <n v="24.418800000000008"/>
  </r>
  <r>
    <x v="239"/>
    <x v="4"/>
    <x v="3"/>
    <n v="0.4333243204748915"/>
    <n v="14.819691760241291"/>
    <n v="1004.7751013443597"/>
    <n v="0"/>
    <n v="53.350890336868652"/>
    <n v="1058.1259916812282"/>
  </r>
  <r>
    <x v="240"/>
    <x v="4"/>
    <x v="3"/>
    <n v="9.69E-2"/>
    <n v="3.3139800000000004"/>
    <n v="224.68784400000007"/>
    <n v="0"/>
    <n v="11.930328000000001"/>
    <n v="236.61817200000007"/>
  </r>
  <r>
    <x v="241"/>
    <x v="4"/>
    <x v="3"/>
    <n v="0.36368791695971503"/>
    <n v="12.438126760022255"/>
    <n v="843.3049943295091"/>
    <n v="0"/>
    <n v="44.777256336080121"/>
    <n v="888.08225066558919"/>
  </r>
  <r>
    <x v="242"/>
    <x v="4"/>
    <x v="3"/>
    <n v="0.7654604466407805"/>
    <n v="26.178747275114695"/>
    <n v="1774.9190652527766"/>
    <n v="0"/>
    <n v="94.243490190412899"/>
    <n v="1869.1625554431894"/>
  </r>
  <r>
    <x v="243"/>
    <x v="4"/>
    <x v="3"/>
    <n v="18.127644394960651"/>
    <n v="619.96543830765427"/>
    <n v="42033.656717258964"/>
    <n v="0"/>
    <n v="2231.8755779075555"/>
    <n v="44265.532295166522"/>
  </r>
  <r>
    <x v="42"/>
    <x v="1"/>
    <x v="1"/>
    <m/>
    <m/>
    <m/>
    <m/>
    <m/>
    <m/>
  </r>
  <r>
    <x v="42"/>
    <x v="1"/>
    <x v="1"/>
    <m/>
    <m/>
    <m/>
    <m/>
    <m/>
    <m/>
  </r>
  <r>
    <x v="43"/>
    <x v="2"/>
    <x v="2"/>
    <s v="Sum of Consumption Quantity"/>
    <s v="Sum of Total GJ"/>
    <s v="Sum of Scope 1 kg CO2-e"/>
    <s v="Sum of Scope 2 kg CO2-e"/>
    <s v="Sum of Scope 3 kg CO2-e"/>
    <s v="Sum of Total Emissions"/>
  </r>
  <r>
    <x v="244"/>
    <x v="4"/>
    <x v="3"/>
    <n v="0.46300010000000003"/>
    <n v="17.87180386"/>
    <n v="1254.6006309720001"/>
    <n v="0"/>
    <n v="64.338493896000003"/>
    <n v="1318.9391248680001"/>
  </r>
  <r>
    <x v="245"/>
    <x v="4"/>
    <x v="3"/>
    <n v="0.43199969999999999"/>
    <n v="16.675188420000001"/>
    <n v="1170.5982270840002"/>
    <n v="0"/>
    <n v="60.030678312000006"/>
    <n v="1230.6289053960002"/>
  </r>
  <r>
    <x v="246"/>
    <x v="4"/>
    <x v="3"/>
    <n v="0"/>
    <n v="0"/>
    <n v="0"/>
    <n v="0"/>
    <n v="0"/>
    <n v="0"/>
  </r>
  <r>
    <x v="247"/>
    <x v="4"/>
    <x v="3"/>
    <n v="0.68999960000000005"/>
    <n v="26.633984560000002"/>
    <n v="1869.7057161120001"/>
    <n v="0"/>
    <n v="95.882344416000009"/>
    <n v="1965.5880605280001"/>
  </r>
  <r>
    <x v="248"/>
    <x v="4"/>
    <x v="3"/>
    <n v="8.6999799999999988E-2"/>
    <n v="3.3581922799999995"/>
    <n v="235.74509805599996"/>
    <n v="0"/>
    <n v="12.089492207999998"/>
    <n v="247.83459026399996"/>
  </r>
  <r>
    <x v="249"/>
    <x v="4"/>
    <x v="3"/>
    <n v="0"/>
    <n v="0"/>
    <n v="0"/>
    <n v="0"/>
    <n v="0"/>
    <n v="0"/>
  </r>
  <r>
    <x v="250"/>
    <x v="4"/>
    <x v="3"/>
    <n v="0.1899999"/>
    <n v="7.33399614"/>
    <n v="514.84652902800008"/>
    <n v="0"/>
    <n v="26.402386104000001"/>
    <n v="541.24891513200009"/>
  </r>
  <r>
    <x v="251"/>
    <x v="4"/>
    <x v="3"/>
    <n v="0"/>
    <n v="0"/>
    <n v="0"/>
    <n v="0"/>
    <n v="0"/>
    <n v="0"/>
  </r>
  <r>
    <x v="252"/>
    <x v="4"/>
    <x v="3"/>
    <n v="0"/>
    <n v="0"/>
    <n v="0"/>
    <n v="0"/>
    <n v="0"/>
    <n v="0"/>
  </r>
  <r>
    <x v="253"/>
    <x v="4"/>
    <x v="3"/>
    <n v="0"/>
    <n v="0"/>
    <n v="0"/>
    <n v="0"/>
    <n v="0"/>
    <n v="0"/>
  </r>
  <r>
    <x v="254"/>
    <x v="4"/>
    <x v="3"/>
    <n v="0"/>
    <n v="0"/>
    <n v="0"/>
    <n v="0"/>
    <n v="0"/>
    <n v="0"/>
  </r>
  <r>
    <x v="255"/>
    <x v="4"/>
    <x v="3"/>
    <n v="0"/>
    <n v="0"/>
    <n v="0"/>
    <n v="0"/>
    <n v="0"/>
    <n v="0"/>
  </r>
  <r>
    <x v="256"/>
    <x v="4"/>
    <x v="3"/>
    <n v="0"/>
    <n v="0"/>
    <n v="0"/>
    <n v="0"/>
    <n v="0"/>
    <n v="0"/>
  </r>
  <r>
    <x v="257"/>
    <x v="4"/>
    <x v="3"/>
    <n v="0"/>
    <n v="0"/>
    <n v="0"/>
    <n v="0"/>
    <n v="0"/>
    <n v="0"/>
  </r>
  <r>
    <x v="258"/>
    <x v="4"/>
    <x v="3"/>
    <n v="0"/>
    <n v="0"/>
    <n v="0"/>
    <n v="0"/>
    <n v="0"/>
    <n v="0"/>
  </r>
  <r>
    <x v="259"/>
    <x v="4"/>
    <x v="3"/>
    <n v="0"/>
    <n v="0"/>
    <n v="0"/>
    <n v="0"/>
    <n v="0"/>
    <n v="0"/>
  </r>
  <r>
    <x v="42"/>
    <x v="1"/>
    <x v="1"/>
    <m/>
    <m/>
    <m/>
    <m/>
    <m/>
    <m/>
  </r>
  <r>
    <x v="42"/>
    <x v="1"/>
    <x v="1"/>
    <m/>
    <m/>
    <m/>
    <m/>
    <m/>
    <m/>
  </r>
  <r>
    <x v="43"/>
    <x v="2"/>
    <x v="2"/>
    <s v="Sum of Consumption Quantity"/>
    <s v="Sum of Total GJ"/>
    <s v="Sum of Scope 1 kg CO2-e"/>
    <s v="Sum of Scope 2 kg CO2-e"/>
    <s v="Sum of Scope 3 kg CO2-e"/>
    <s v="Sum of Total Emissions"/>
  </r>
  <r>
    <x v="260"/>
    <x v="4"/>
    <x v="3"/>
    <n v="0.57964539999999998"/>
    <n v="22.374312440000001"/>
    <n v="1570.6767332880002"/>
    <n v="0"/>
    <n v="80.547524784000004"/>
    <n v="1651.2242580720001"/>
  </r>
  <r>
    <x v="261"/>
    <x v="4"/>
    <x v="3"/>
    <n v="0"/>
    <n v="0"/>
    <n v="0"/>
    <n v="0"/>
    <n v="0"/>
    <n v="0"/>
  </r>
  <r>
    <x v="262"/>
    <x v="4"/>
    <x v="3"/>
    <n v="4.4689399999999997E-2"/>
    <n v="1.7250108399999999"/>
    <n v="121.09576096799999"/>
    <n v="0"/>
    <n v="6.2100390240000003"/>
    <n v="127.30579999199999"/>
  </r>
  <r>
    <x v="263"/>
    <x v="4"/>
    <x v="3"/>
    <n v="0.17353250000000003"/>
    <n v="6.6983545000000015"/>
    <n v="470.2244859000001"/>
    <n v="0"/>
    <n v="24.114076200000007"/>
    <n v="494.3385621000001"/>
  </r>
  <r>
    <x v="264"/>
    <x v="4"/>
    <x v="3"/>
    <n v="5.2300000000000003E-3"/>
    <n v="0.20187800000000003"/>
    <n v="14.171835600000003"/>
    <n v="0"/>
    <n v="0.7267608000000001"/>
    <n v="14.898596400000002"/>
  </r>
  <r>
    <x v="265"/>
    <x v="4"/>
    <x v="3"/>
    <n v="0.21015020000000001"/>
    <n v="8.1117977200000002"/>
    <n v="569.44819994400007"/>
    <n v="0"/>
    <n v="29.202471792000001"/>
    <n v="598.65067173600005"/>
  </r>
  <r>
    <x v="266"/>
    <x v="4"/>
    <x v="3"/>
    <n v="0"/>
    <n v="0"/>
    <n v="0"/>
    <n v="0"/>
    <n v="0"/>
    <n v="0"/>
  </r>
  <r>
    <x v="42"/>
    <x v="1"/>
    <x v="1"/>
    <m/>
    <m/>
    <m/>
    <m/>
    <m/>
    <m/>
  </r>
  <r>
    <x v="42"/>
    <x v="1"/>
    <x v="1"/>
    <m/>
    <m/>
    <m/>
    <m/>
    <m/>
    <m/>
  </r>
  <r>
    <x v="43"/>
    <x v="2"/>
    <x v="2"/>
    <s v="Sum of Consumption Quantity"/>
    <s v="Sum of Total GJ"/>
    <s v="Sum of Scope 1 kg CO2-e"/>
    <s v="Sum of Scope 2 kg CO2-e"/>
    <s v="Sum of Scope 3 kg CO2-e"/>
    <s v="Sum of Total Emissions"/>
  </r>
  <r>
    <x v="267"/>
    <x v="4"/>
    <x v="3"/>
    <n v="0.55479040000000013"/>
    <n v="21.414909440000006"/>
    <n v="1503.3266426880004"/>
    <n v="0"/>
    <n v="77.09367398400002"/>
    <n v="1580.4203166720004"/>
  </r>
  <r>
    <x v="268"/>
    <x v="4"/>
    <x v="3"/>
    <n v="22.875150200000004"/>
    <n v="882.98079772000017"/>
    <n v="61985.251999944012"/>
    <n v="0"/>
    <n v="3178.7308717920005"/>
    <n v="65163.982871736014"/>
  </r>
  <r>
    <x v="269"/>
    <x v="4"/>
    <x v="3"/>
    <n v="1.1978001999999999"/>
    <n v="46.235087719999996"/>
    <n v="3245.7031579439999"/>
    <n v="0"/>
    <n v="166.44631579199998"/>
    <n v="3412.1494737359999"/>
  </r>
  <r>
    <x v="270"/>
    <x v="4"/>
    <x v="3"/>
    <n v="19.458909800000001"/>
    <n v="751.11391828000001"/>
    <n v="52728.197063256004"/>
    <n v="0"/>
    <n v="2704.0101058079999"/>
    <n v="55432.207169064"/>
  </r>
  <r>
    <x v="271"/>
    <x v="4"/>
    <x v="3"/>
    <n v="9.9487403000000008"/>
    <n v="384.02137558000004"/>
    <n v="26958.300565716003"/>
    <n v="0"/>
    <n v="1382.4769520880002"/>
    <n v="28340.777517804003"/>
  </r>
  <r>
    <x v="272"/>
    <x v="4"/>
    <x v="3"/>
    <n v="33.699159799999997"/>
    <n v="1300.78756828"/>
    <n v="91315.287293255999"/>
    <n v="0"/>
    <n v="4682.8352458079999"/>
    <n v="95998.122539064003"/>
  </r>
  <r>
    <x v="273"/>
    <x v="4"/>
    <x v="3"/>
    <n v="16.239150300000002"/>
    <n v="626.83120158000008"/>
    <n v="44003.550350916004"/>
    <n v="0"/>
    <n v="2256.5923256880005"/>
    <n v="46260.142676604002"/>
  </r>
  <r>
    <x v="274"/>
    <x v="4"/>
    <x v="3"/>
    <n v="0.47476020000000002"/>
    <n v="16.236798840000002"/>
    <n v="1100.8549613520004"/>
    <n v="0"/>
    <n v="58.452475824000011"/>
    <n v="1159.3074371760003"/>
  </r>
  <r>
    <x v="275"/>
    <x v="4"/>
    <x v="3"/>
    <n v="19.575559800000001"/>
    <n v="669.48414516000003"/>
    <n v="45391.025041848006"/>
    <n v="0"/>
    <n v="2410.1429225760003"/>
    <n v="47801.167964424007"/>
  </r>
  <r>
    <x v="276"/>
    <x v="4"/>
    <x v="3"/>
    <n v="1.3512497999999999"/>
    <n v="46.212743160000002"/>
    <n v="3133.2239862480005"/>
    <n v="0"/>
    <n v="166.36587537600002"/>
    <n v="3299.5898616240006"/>
  </r>
  <r>
    <x v="277"/>
    <x v="4"/>
    <x v="3"/>
    <n v="27.170869800000002"/>
    <n v="929.24374716000011"/>
    <n v="63002.726057448017"/>
    <n v="0"/>
    <n v="3345.2774897760005"/>
    <n v="66348.003547224012"/>
  </r>
  <r>
    <x v="278"/>
    <x v="4"/>
    <x v="3"/>
    <n v="12.377029800000001"/>
    <n v="423.29441916000007"/>
    <n v="28699.36161904801"/>
    <n v="0"/>
    <n v="1523.8599089760003"/>
    <n v="30223.221528024009"/>
  </r>
  <r>
    <x v="279"/>
    <x v="4"/>
    <x v="3"/>
    <n v="1.5357201000000003"/>
    <n v="52.521627420000016"/>
    <n v="3560.9663390760015"/>
    <n v="0"/>
    <n v="189.07785871200005"/>
    <n v="3750.0441977880014"/>
  </r>
  <r>
    <x v="280"/>
    <x v="4"/>
    <x v="3"/>
    <n v="41.039729999999999"/>
    <n v="1403.5587660000001"/>
    <n v="95161.284334800017"/>
    <n v="0"/>
    <n v="5052.8115576000009"/>
    <n v="100214.09589240002"/>
  </r>
  <r>
    <x v="281"/>
    <x v="4"/>
    <x v="3"/>
    <n v="13.831900000000001"/>
    <n v="473.0509800000001"/>
    <n v="32072.856444000012"/>
    <n v="0"/>
    <n v="1702.9835280000004"/>
    <n v="33775.839972000009"/>
  </r>
  <r>
    <x v="282"/>
    <x v="4"/>
    <x v="3"/>
    <n v="6.6666699999999995E-2"/>
    <n v="2.28000114"/>
    <n v="154.58407729200002"/>
    <n v="0"/>
    <n v="8.2080041040000005"/>
    <n v="162.79208139600001"/>
  </r>
  <r>
    <x v="283"/>
    <x v="4"/>
    <x v="3"/>
    <n v="2.1777700000000004E-2"/>
    <n v="0.7447973400000002"/>
    <n v="50.497259652000025"/>
    <n v="0"/>
    <n v="2.6812704240000009"/>
    <n v="53.17853007600003"/>
  </r>
  <r>
    <x v="284"/>
    <x v="4"/>
    <x v="3"/>
    <n v="0"/>
    <n v="0"/>
    <n v="0"/>
    <n v="0"/>
    <n v="0"/>
    <n v="0"/>
  </r>
  <r>
    <x v="285"/>
    <x v="4"/>
    <x v="3"/>
    <n v="4.5983999000000004"/>
    <n v="157.26527658000003"/>
    <n v="10662.585752124003"/>
    <n v="0"/>
    <n v="566.1549956880001"/>
    <n v="11228.740747812004"/>
  </r>
  <r>
    <x v="286"/>
    <x v="4"/>
    <x v="3"/>
    <n v="0.27839999999999998"/>
    <n v="9.5212800000000009"/>
    <n v="645.54278400000021"/>
    <n v="0"/>
    <n v="34.276608000000003"/>
    <n v="679.81939200000022"/>
  </r>
  <r>
    <x v="42"/>
    <x v="1"/>
    <x v="1"/>
    <m/>
    <m/>
    <m/>
    <m/>
    <m/>
    <m/>
  </r>
  <r>
    <x v="42"/>
    <x v="1"/>
    <x v="1"/>
    <m/>
    <m/>
    <m/>
    <m/>
    <m/>
    <m/>
  </r>
  <r>
    <x v="43"/>
    <x v="2"/>
    <x v="2"/>
    <s v="Sum of Consumption Quantity"/>
    <s v="Sum of Total GJ"/>
    <s v="Sum of Scope 1 kg CO2-e"/>
    <s v="Sum of Scope 2 kg CO2-e"/>
    <s v="Sum of Scope 3 kg CO2-e"/>
    <s v="Sum of Total Emissions"/>
  </r>
  <r>
    <x v="287"/>
    <x v="0"/>
    <x v="3"/>
    <n v="12095703.230562257"/>
    <n v="43544.531630024125"/>
    <n v="0"/>
    <n v="0"/>
    <n v="6217693.646215409"/>
    <n v="6217693.646215409"/>
  </r>
  <r>
    <x v="288"/>
    <x v="0"/>
    <x v="3"/>
    <n v="107088873.38031349"/>
    <n v="385519.94416912855"/>
    <n v="0"/>
    <n v="10856216.780695796"/>
    <n v="28432025.066822872"/>
    <n v="39288241.847518668"/>
  </r>
  <r>
    <x v="289"/>
    <x v="0"/>
    <x v="3"/>
    <n v="188090285.22164094"/>
    <n v="677125.02679790743"/>
    <n v="0"/>
    <n v="30348941.615664311"/>
    <n v="60973664.539981157"/>
    <n v="91322606.15564546"/>
  </r>
  <r>
    <x v="290"/>
    <x v="0"/>
    <x v="3"/>
    <n v="14319615.835764131"/>
    <n v="51550.617008750865"/>
    <n v="0"/>
    <n v="2091946.5045782062"/>
    <n v="5305166.8602369819"/>
    <n v="7397113.3648151886"/>
  </r>
  <r>
    <x v="291"/>
    <x v="0"/>
    <x v="3"/>
    <n v="21938690"/>
    <n v="78979.284"/>
    <n v="1"/>
    <n v="8961954.8650000002"/>
    <n v="181852.5470783714"/>
    <n v="9143808.4120783713"/>
  </r>
  <r>
    <x v="292"/>
    <x v="5"/>
    <x v="3"/>
    <n v="193283.85133931137"/>
    <n v="193.28385133931135"/>
    <n v="0"/>
    <n v="0"/>
    <n v="11533.24740941671"/>
    <n v="11533.24740941671"/>
  </r>
  <r>
    <x v="293"/>
    <x v="5"/>
    <x v="3"/>
    <n v="1711231.6239898934"/>
    <n v="1711.2316239898933"/>
    <n v="24725.735403464623"/>
    <n v="0"/>
    <n v="77052.900060337372"/>
    <n v="101778.635463802"/>
  </r>
  <r>
    <x v="294"/>
    <x v="5"/>
    <x v="3"/>
    <n v="3005597.4451564336"/>
    <n v="3005.5974451564334"/>
    <n v="55408.344823809821"/>
    <n v="0"/>
    <n v="111007.09901618111"/>
    <n v="166415.44383999094"/>
  </r>
  <r>
    <x v="295"/>
    <x v="5"/>
    <x v="3"/>
    <n v="228820.96606360161"/>
    <n v="228.82096606360162"/>
    <n v="3247.6793076868335"/>
    <n v="0"/>
    <n v="10260.628703363041"/>
    <n v="13508.308011049874"/>
  </r>
  <r>
    <x v="296"/>
    <x v="5"/>
    <x v="3"/>
    <n v="350570.31540134159"/>
    <n v="350.57031540134159"/>
    <n v="18064.888352631133"/>
    <n v="1"/>
    <n v="2853.642367366921"/>
    <n v="20919.530719998053"/>
  </r>
  <r>
    <x v="297"/>
    <x v="6"/>
    <x v="3"/>
    <n v="15563.443617427743"/>
    <n v="600.7489236327109"/>
    <n v="0"/>
    <n v="0"/>
    <n v="44335.270564094069"/>
    <n v="44335.270564094069"/>
  </r>
  <r>
    <x v="298"/>
    <x v="6"/>
    <x v="3"/>
    <n v="137790.38813528279"/>
    <n v="5318.7089820219162"/>
    <n v="104694.43988037863"/>
    <n v="0"/>
    <n v="286555.58543752739"/>
    <n v="391250.02531790605"/>
  </r>
  <r>
    <x v="299"/>
    <x v="6"/>
    <x v="3"/>
    <n v="185016.680778571"/>
    <n v="7141.6438780528406"/>
    <n v="234611.65184250913"/>
    <n v="0"/>
    <n v="242742.65313378212"/>
    <n v="477354.30497629126"/>
  </r>
  <r>
    <x v="300"/>
    <x v="6"/>
    <x v="3"/>
    <n v="53393.888473823616"/>
    <n v="2061.0040950895918"/>
    <n v="13751.419744697478"/>
    <n v="0"/>
    <n v="137791.59632028712"/>
    <n v="151543.01606498461"/>
  </r>
  <r>
    <x v="301"/>
    <x v="6"/>
    <x v="3"/>
    <n v="28228.335165540786"/>
    <n v="1089.6137373898744"/>
    <n v="76490.884364769183"/>
    <n v="1"/>
    <n v="3922.6094546035474"/>
    <n v="80414.493819372728"/>
  </r>
  <r>
    <x v="42"/>
    <x v="1"/>
    <x v="1"/>
    <m/>
    <m/>
    <m/>
    <m/>
    <m/>
    <m/>
  </r>
  <r>
    <x v="42"/>
    <x v="1"/>
    <x v="1"/>
    <m/>
    <m/>
    <m/>
    <m/>
    <m/>
    <m/>
  </r>
  <r>
    <x v="43"/>
    <x v="2"/>
    <x v="2"/>
    <s v="Sum of Consumption Quantity"/>
    <s v="Sum of Total GJ"/>
    <s v="Sum of Scope 1 kg CO2-e"/>
    <s v="Sum of Scope 2 kg CO2-e"/>
    <s v="Sum of Scope 3 kg CO2-e"/>
    <s v="Sum of Total Emissions"/>
  </r>
  <r>
    <x v="302"/>
    <x v="0"/>
    <x v="0"/>
    <n v="0"/>
    <n v="0"/>
    <n v="0"/>
    <n v="0"/>
    <n v="0"/>
    <n v="0"/>
  </r>
  <r>
    <x v="303"/>
    <x v="0"/>
    <x v="0"/>
    <n v="-559140.76099999924"/>
    <n v="-2012.9067395999973"/>
    <n v="0"/>
    <n v="-452904.0164099994"/>
    <n v="0"/>
    <n v="-452904.0164099994"/>
  </r>
  <r>
    <x v="304"/>
    <x v="0"/>
    <x v="0"/>
    <n v="0"/>
    <n v="0"/>
    <n v="0"/>
    <n v="0"/>
    <n v="0"/>
    <n v="0"/>
  </r>
  <r>
    <x v="305"/>
    <x v="0"/>
    <x v="0"/>
    <n v="-816554.24599999993"/>
    <n v="-2939.5952855999994"/>
    <n v="0"/>
    <n v="-661408.93926000001"/>
    <n v="0"/>
    <n v="-661408.93926000001"/>
  </r>
  <r>
    <x v="306"/>
    <x v="0"/>
    <x v="0"/>
    <n v="-78722.48090310808"/>
    <n v="-283.40093125118909"/>
    <n v="0"/>
    <n v="-33850.666788336472"/>
    <n v="0"/>
    <n v="-33850.666788336472"/>
  </r>
  <r>
    <x v="307"/>
    <x v="0"/>
    <x v="0"/>
    <n v="0"/>
    <n v="0"/>
    <n v="0"/>
    <n v="0"/>
    <n v="0"/>
    <n v="0"/>
  </r>
  <r>
    <x v="308"/>
    <x v="0"/>
    <x v="0"/>
    <n v="-115694.90591107099"/>
    <n v="-416.50166127985557"/>
    <n v="0"/>
    <n v="-113381.00779284957"/>
    <n v="0"/>
    <n v="-113381.00779284957"/>
  </r>
  <r>
    <x v="309"/>
    <x v="0"/>
    <x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462">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07-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08-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09-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10-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11-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12-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1-01T00:00:00"/>
    <s v="FY21"/>
    <s v="t"/>
    <n v="0"/>
    <n v="0"/>
    <n v="1.55E-2"/>
    <n v="1.55E-2"/>
    <n v="0"/>
    <n v="0"/>
    <n v="31"/>
    <n v="31"/>
    <n v="0"/>
    <n v="0"/>
    <n v="100"/>
    <s v="Consolidation"/>
    <s v="CO2e and Base Measure"/>
    <n v="100"/>
    <n v="100"/>
    <n v="0.02"/>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2-01T00:00:00"/>
    <s v="FY21"/>
    <s v="t"/>
    <n v="0"/>
    <n v="0"/>
    <n v="1.4E-2"/>
    <n v="1.4E-2"/>
    <n v="0"/>
    <n v="0"/>
    <n v="28"/>
    <n v="28"/>
    <n v="0"/>
    <n v="0"/>
    <n v="10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3-01T00:00:00"/>
    <s v="FY21"/>
    <s v="t"/>
    <n v="0"/>
    <n v="0"/>
    <n v="1.55E-2"/>
    <n v="1.55E-2"/>
    <n v="0"/>
    <n v="0"/>
    <n v="31"/>
    <n v="31"/>
    <n v="0"/>
    <n v="0"/>
    <n v="100"/>
    <s v="Consolidation"/>
    <s v="CO2e and Base Measure"/>
    <n v="100"/>
    <n v="100"/>
    <n v="0.02"/>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5-01T00:00:00"/>
    <s v="FY21"/>
    <s v="t"/>
    <n v="0"/>
    <n v="0"/>
    <n v="1.55E-2"/>
    <n v="1.55E-2"/>
    <n v="0"/>
    <n v="0"/>
    <n v="31"/>
    <n v="31"/>
    <n v="0"/>
    <n v="0"/>
    <n v="100"/>
    <s v="Consolidation"/>
    <s v="CO2e and Base Measure"/>
    <n v="100"/>
    <n v="100"/>
    <n v="0.02"/>
    <m/>
    <m/>
    <m/>
    <m/>
    <m/>
    <m/>
    <m/>
    <m/>
    <m/>
    <m/>
    <m/>
    <m/>
    <m/>
    <s v="AUD"/>
    <s v="13566597Waste Recycled - Paper and Cardboard [t]"/>
    <n v="13566597"/>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07-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08-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09-01T00:00:00"/>
    <s v="FY21"/>
    <s v="t"/>
    <n v="9.5764999999999993"/>
    <n v="0"/>
    <n v="0"/>
    <n v="9.5764999999999993"/>
    <n v="30"/>
    <n v="0"/>
    <n v="0"/>
    <n v="30"/>
    <n v="100"/>
    <n v="0"/>
    <n v="0"/>
    <s v="Consolidation"/>
    <s v="CO2e and Base Measure"/>
    <n v="100"/>
    <n v="100"/>
    <n v="9.58"/>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10-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11-01T00:00:00"/>
    <s v="FY21"/>
    <s v="t"/>
    <n v="9.5764999999999993"/>
    <n v="0"/>
    <n v="0"/>
    <n v="9.5764999999999993"/>
    <n v="30"/>
    <n v="0"/>
    <n v="0"/>
    <n v="30"/>
    <n v="100"/>
    <n v="0"/>
    <n v="0"/>
    <s v="Consolidation"/>
    <s v="CO2e and Base Measure"/>
    <n v="100"/>
    <n v="100"/>
    <n v="9.58"/>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12-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1-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2-01T00:00:00"/>
    <s v="FY21"/>
    <s v="t"/>
    <n v="8.9380000000000006"/>
    <n v="0"/>
    <n v="0"/>
    <n v="8.9380000000000006"/>
    <n v="28"/>
    <n v="0"/>
    <n v="0"/>
    <n v="28"/>
    <n v="100"/>
    <n v="0"/>
    <n v="0"/>
    <s v="Consolidation"/>
    <s v="CO2e and Base Measure"/>
    <n v="100"/>
    <n v="100"/>
    <n v="8.94"/>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3-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4-01T00:00:00"/>
    <s v="FY21"/>
    <s v="t"/>
    <n v="0"/>
    <n v="0"/>
    <n v="14.775"/>
    <n v="14.775"/>
    <n v="0"/>
    <n v="0"/>
    <n v="30"/>
    <n v="30"/>
    <n v="0"/>
    <n v="0"/>
    <n v="100"/>
    <s v="Consolidation"/>
    <s v="CO2e and Base Measure"/>
    <n v="100"/>
    <n v="100"/>
    <n v="14.78"/>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5-01T00:00:00"/>
    <s v="FY21"/>
    <s v="t"/>
    <n v="0"/>
    <n v="0"/>
    <n v="15.2675"/>
    <n v="15.2675"/>
    <n v="0"/>
    <n v="0"/>
    <n v="31"/>
    <n v="31"/>
    <n v="0"/>
    <n v="0"/>
    <n v="100"/>
    <s v="Consolidation"/>
    <s v="CO2e and Base Measure"/>
    <n v="100"/>
    <n v="100"/>
    <n v="15.27"/>
    <m/>
    <m/>
    <m/>
    <m/>
    <m/>
    <m/>
    <m/>
    <m/>
    <m/>
    <m/>
    <m/>
    <m/>
    <m/>
    <s v="AUD"/>
    <s v="13602659Waste Recycled - E-waste [t]"/>
    <n v="13602659"/>
  </r>
  <r>
    <d v="2019-07-01T00:00:00"/>
    <d v="2021-06-30T00:00:00"/>
    <s v="Telstra"/>
    <s v="NON-NETWORK"/>
    <s v="NON-NETWORK"/>
    <s v="WA"/>
    <s v="Australia"/>
    <s v="Perth"/>
    <s v="1 NASH STREET"/>
    <n v="423033070100"/>
    <s v="Recycled Waste"/>
    <x v="0"/>
    <x v="1"/>
    <s v="Account"/>
    <s v="Remondis Electrical Comp. (E-Waste)"/>
    <m/>
    <s v="423033070100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565919Waste Recycled - E-waste [t]"/>
    <n v="13565919"/>
  </r>
  <r>
    <d v="2019-07-01T00:00:00"/>
    <d v="2021-06-30T00:00:00"/>
    <s v="Telstra"/>
    <s v="NON-NETWORK"/>
    <s v="NON-NETWORK"/>
    <s v="WA"/>
    <s v="Australia"/>
    <s v="Perth"/>
    <s v="1 NASH STREET"/>
    <n v="423033070100"/>
    <s v="Recycled Waste"/>
    <x v="0"/>
    <x v="1"/>
    <s v="Account"/>
    <s v="Remondis Electrical Comp. (E-Waste)"/>
    <m/>
    <s v="423033070100_RELECTRIC"/>
    <s v="ELECTRICAL COMP. E-WASTE"/>
    <s v="Remondis"/>
    <m/>
    <m/>
    <d v="2021-01-01T00:00:00"/>
    <d v="2021-01-01T00:00:00"/>
    <s v="FY21"/>
    <s v="t"/>
    <n v="0"/>
    <n v="0"/>
    <n v="1.5E-3"/>
    <n v="1.5E-3"/>
    <n v="0"/>
    <n v="0"/>
    <n v="1"/>
    <n v="1"/>
    <n v="0"/>
    <n v="0"/>
    <n v="100"/>
    <s v="Consolidation"/>
    <s v="CO2e and Base Measure"/>
    <n v="100"/>
    <n v="100"/>
    <n v="0"/>
    <m/>
    <m/>
    <m/>
    <m/>
    <m/>
    <m/>
    <m/>
    <m/>
    <m/>
    <m/>
    <m/>
    <m/>
    <m/>
    <s v="AUD"/>
    <s v="13565919Waste Recycled - E-waste [t]"/>
    <n v="13565919"/>
  </r>
  <r>
    <d v="2019-07-01T00:00:00"/>
    <d v="2021-06-30T00:00:00"/>
    <s v="Telstra"/>
    <s v="NON-NETWORK"/>
    <s v="NON-NETWORK"/>
    <s v="WA"/>
    <s v="Australia"/>
    <s v="Perth"/>
    <s v="1 NASH STREET"/>
    <n v="423033070100"/>
    <s v="Waste"/>
    <x v="1"/>
    <x v="2"/>
    <s v="Account"/>
    <s v="Remondis General Waste"/>
    <m/>
    <s v="4230330701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5920Waste - General [t] - Scope 3"/>
    <n v="13565920"/>
  </r>
  <r>
    <d v="2019-07-01T00:00:00"/>
    <d v="2021-06-30T00:00:00"/>
    <s v="Telstra"/>
    <s v="NON-NETWORK"/>
    <s v="NON-NETWORK"/>
    <s v="WA"/>
    <s v="Australia"/>
    <s v="Perth"/>
    <s v="1 NASH STREET"/>
    <n v="423033070100"/>
    <s v="Waste"/>
    <x v="1"/>
    <x v="2"/>
    <s v="Account"/>
    <s v="Remondis General Waste"/>
    <m/>
    <s v="423033070100_WGENERALW"/>
    <s v="GENERAL WASTE"/>
    <s v="Remondis"/>
    <m/>
    <m/>
    <d v="2021-01-01T00:00:00"/>
    <d v="2021-01-01T00:00:00"/>
    <s v="FY21"/>
    <s v="t"/>
    <n v="0"/>
    <n v="0"/>
    <n v="5.0000000000000001E-4"/>
    <n v="5.0000000000000001E-4"/>
    <n v="0"/>
    <n v="0"/>
    <n v="1"/>
    <n v="1"/>
    <n v="0"/>
    <n v="0"/>
    <n v="100"/>
    <s v="Consolidation"/>
    <s v="CO2e and Base Measure"/>
    <n v="100"/>
    <n v="100"/>
    <n v="0"/>
    <m/>
    <m/>
    <m/>
    <m/>
    <m/>
    <n v="6.9999999999999999E-4"/>
    <m/>
    <n v="6.9999999999999999E-4"/>
    <m/>
    <m/>
    <m/>
    <m/>
    <m/>
    <s v="AUD"/>
    <s v="13565920Waste - General [t] - Scope 3"/>
    <n v="13565920"/>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0-07-01T00:00:00"/>
    <s v="FY21"/>
    <s v="t"/>
    <n v="0.108"/>
    <n v="0"/>
    <n v="0"/>
    <n v="0.108"/>
    <n v="1"/>
    <n v="0"/>
    <n v="0"/>
    <n v="1"/>
    <n v="100"/>
    <n v="0"/>
    <n v="0"/>
    <s v="Consolidation"/>
    <s v="CO2e and Base Measure"/>
    <n v="100"/>
    <n v="100"/>
    <n v="0.11"/>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0-12-01T00:00:00"/>
    <s v="FY21"/>
    <s v="t"/>
    <n v="5.3999999999999999E-2"/>
    <n v="0"/>
    <n v="0"/>
    <n v="5.3999999999999999E-2"/>
    <n v="1"/>
    <n v="0"/>
    <n v="0"/>
    <n v="1"/>
    <n v="100"/>
    <n v="0"/>
    <n v="0"/>
    <s v="Consolidation"/>
    <s v="CO2e and Base Measure"/>
    <n v="100"/>
    <n v="100"/>
    <n v="0.05"/>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2-01T00:00:00"/>
    <s v="FY21"/>
    <s v="t"/>
    <n v="0"/>
    <n v="0"/>
    <n v="2.52E-2"/>
    <n v="2.52E-2"/>
    <n v="0"/>
    <n v="0"/>
    <n v="28"/>
    <n v="28"/>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4-01T00:00:00"/>
    <s v="FY21"/>
    <s v="t"/>
    <n v="0"/>
    <n v="0"/>
    <n v="2.7E-2"/>
    <n v="2.7E-2"/>
    <n v="0"/>
    <n v="0"/>
    <n v="30"/>
    <n v="30"/>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0-12-01T00:00:00"/>
    <s v="FY21"/>
    <s v="t"/>
    <n v="0.17799999999999999"/>
    <n v="0"/>
    <n v="0"/>
    <n v="0.17799999999999999"/>
    <n v="1"/>
    <n v="0"/>
    <n v="0"/>
    <n v="1"/>
    <n v="100"/>
    <n v="0"/>
    <n v="0"/>
    <s v="Consolidation"/>
    <s v="CO2e and Base Measure"/>
    <n v="100"/>
    <n v="100"/>
    <n v="0.18"/>
    <m/>
    <m/>
    <m/>
    <m/>
    <m/>
    <m/>
    <m/>
    <m/>
    <m/>
    <m/>
    <m/>
    <m/>
    <m/>
    <s v="AUD"/>
    <s v="13634378Waste Recycled - E-waste [t]"/>
    <n v="13634378"/>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1-02-01T00:00:00"/>
    <s v="FY21"/>
    <s v="t"/>
    <n v="0.19"/>
    <n v="0"/>
    <n v="0"/>
    <n v="0.19"/>
    <n v="1"/>
    <n v="0"/>
    <n v="0"/>
    <n v="1"/>
    <n v="100"/>
    <n v="0"/>
    <n v="0"/>
    <s v="Consolidation"/>
    <s v="CO2e and Base Measure"/>
    <n v="100"/>
    <n v="100"/>
    <n v="0.19"/>
    <m/>
    <m/>
    <m/>
    <m/>
    <m/>
    <m/>
    <m/>
    <m/>
    <m/>
    <m/>
    <m/>
    <m/>
    <m/>
    <s v="AUD"/>
    <s v="13634378Waste Recycled - E-waste [t]"/>
    <n v="13634378"/>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1-03-01T00:00:00"/>
    <s v="FY21"/>
    <s v="t"/>
    <n v="0"/>
    <n v="0"/>
    <n v="0.12709999999999999"/>
    <n v="0.12709999999999999"/>
    <n v="0"/>
    <n v="0"/>
    <n v="31"/>
    <n v="31"/>
    <n v="0"/>
    <n v="0"/>
    <n v="100"/>
    <s v="Consolidation"/>
    <s v="CO2e and Base Measure"/>
    <n v="100"/>
    <n v="100"/>
    <n v="0.13"/>
    <m/>
    <m/>
    <m/>
    <m/>
    <m/>
    <m/>
    <m/>
    <m/>
    <m/>
    <m/>
    <m/>
    <m/>
    <m/>
    <s v="AUD"/>
    <s v="13634378Waste Recycled - E-waste [t]"/>
    <n v="13634378"/>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1-04-01T00:00:00"/>
    <s v="FY21"/>
    <s v="t"/>
    <n v="0"/>
    <n v="0"/>
    <n v="0.123"/>
    <n v="0.123"/>
    <n v="0"/>
    <n v="0"/>
    <n v="30"/>
    <n v="30"/>
    <n v="0"/>
    <n v="0"/>
    <n v="100"/>
    <s v="Consolidation"/>
    <s v="CO2e and Base Measure"/>
    <n v="100"/>
    <n v="100"/>
    <n v="0.12"/>
    <m/>
    <m/>
    <m/>
    <m/>
    <m/>
    <m/>
    <m/>
    <m/>
    <m/>
    <m/>
    <m/>
    <m/>
    <m/>
    <s v="AUD"/>
    <s v="13634378Waste Recycled - E-waste [t]"/>
    <n v="13634378"/>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1-05-01T00:00:00"/>
    <s v="FY21"/>
    <s v="t"/>
    <n v="0"/>
    <n v="0"/>
    <n v="0.12709999999999999"/>
    <n v="0.12709999999999999"/>
    <n v="0"/>
    <n v="0"/>
    <n v="31"/>
    <n v="31"/>
    <n v="0"/>
    <n v="0"/>
    <n v="100"/>
    <s v="Consolidation"/>
    <s v="CO2e and Base Measure"/>
    <n v="100"/>
    <n v="100"/>
    <n v="0.13"/>
    <m/>
    <m/>
    <m/>
    <m/>
    <m/>
    <m/>
    <m/>
    <m/>
    <m/>
    <m/>
    <m/>
    <m/>
    <m/>
    <s v="AUD"/>
    <s v="13634378Waste Recycled - E-waste [t]"/>
    <n v="1363437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1-01T00:00:00"/>
    <s v="FY21"/>
    <s v="t"/>
    <n v="0"/>
    <n v="4.7999999999999996E-3"/>
    <n v="0"/>
    <n v="4.7999999999999996E-3"/>
    <n v="0"/>
    <n v="1"/>
    <n v="0"/>
    <n v="1"/>
    <n v="0"/>
    <n v="100"/>
    <n v="0"/>
    <s v="Consolidation"/>
    <s v="CO2e and Base Measure"/>
    <n v="100"/>
    <n v="100"/>
    <n v="0"/>
    <m/>
    <m/>
    <m/>
    <m/>
    <m/>
    <m/>
    <n v="0"/>
    <m/>
    <m/>
    <m/>
    <m/>
    <m/>
    <m/>
    <s v="AUD"/>
    <s v="13634518Waste Recycled - Commingled [t]"/>
    <n v="1363451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2-01T00:00:00"/>
    <s v="FY21"/>
    <s v="t"/>
    <n v="0"/>
    <n v="4.7999999999999996E-3"/>
    <n v="0"/>
    <n v="4.7999999999999996E-3"/>
    <n v="0"/>
    <n v="1"/>
    <n v="0"/>
    <n v="1"/>
    <n v="0"/>
    <n v="100"/>
    <n v="0"/>
    <s v="Consolidation"/>
    <s v="CO2e and Base Measure"/>
    <n v="100"/>
    <n v="100"/>
    <n v="0"/>
    <m/>
    <m/>
    <m/>
    <m/>
    <m/>
    <m/>
    <n v="0"/>
    <m/>
    <m/>
    <m/>
    <m/>
    <m/>
    <m/>
    <s v="AUD"/>
    <s v="13634518Waste Recycled - Commingled [t]"/>
    <n v="1363451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3-01T00:00:00"/>
    <s v="FY21"/>
    <s v="t"/>
    <n v="0"/>
    <n v="4.7999999999999996E-3"/>
    <n v="0"/>
    <n v="4.7999999999999996E-3"/>
    <n v="0"/>
    <n v="1"/>
    <n v="0"/>
    <n v="1"/>
    <n v="0"/>
    <n v="100"/>
    <n v="0"/>
    <s v="Consolidation"/>
    <s v="CO2e and Base Measure"/>
    <n v="100"/>
    <n v="100"/>
    <n v="0"/>
    <m/>
    <m/>
    <m/>
    <m/>
    <m/>
    <m/>
    <n v="0"/>
    <m/>
    <m/>
    <m/>
    <m/>
    <m/>
    <m/>
    <s v="AUD"/>
    <s v="13634518Waste Recycled - Commingled [t]"/>
    <n v="1363451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4-01T00:00:00"/>
    <s v="FY21"/>
    <s v="t"/>
    <n v="0"/>
    <n v="0"/>
    <n v="6.0000000000000001E-3"/>
    <n v="6.0000000000000001E-3"/>
    <n v="0"/>
    <n v="0"/>
    <n v="30"/>
    <n v="30"/>
    <n v="0"/>
    <n v="0"/>
    <n v="100"/>
    <s v="Consolidation"/>
    <s v="CO2e and Base Measure"/>
    <n v="100"/>
    <n v="100"/>
    <n v="0.01"/>
    <m/>
    <m/>
    <m/>
    <m/>
    <m/>
    <m/>
    <n v="0"/>
    <m/>
    <m/>
    <m/>
    <m/>
    <m/>
    <m/>
    <s v="AUD"/>
    <s v="13634518Waste Recycled - Commingled [t]"/>
    <n v="1363451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5-01T00:00:00"/>
    <s v="FY21"/>
    <s v="t"/>
    <n v="0"/>
    <n v="0"/>
    <n v="6.1999999999999998E-3"/>
    <n v="6.1999999999999998E-3"/>
    <n v="0"/>
    <n v="0"/>
    <n v="31"/>
    <n v="31"/>
    <n v="0"/>
    <n v="0"/>
    <n v="100"/>
    <s v="Consolidation"/>
    <s v="CO2e and Base Measure"/>
    <n v="100"/>
    <n v="100"/>
    <n v="0.01"/>
    <m/>
    <m/>
    <m/>
    <m/>
    <m/>
    <m/>
    <n v="0"/>
    <m/>
    <m/>
    <m/>
    <m/>
    <m/>
    <m/>
    <s v="AUD"/>
    <s v="13634518Waste Recycled - Commingled [t]"/>
    <n v="13634518"/>
  </r>
  <r>
    <d v="2019-07-01T00:00:00"/>
    <d v="2021-06-30T00:00:00"/>
    <s v="Telstra"/>
    <s v="NON-NETWORK"/>
    <s v="NON-NETWORK"/>
    <s v="TAS"/>
    <s v="Australia"/>
    <s v="Launceston"/>
    <s v="104 CAMERON ST LAUNCESTON"/>
    <n v="423031530800"/>
    <s v="Waste"/>
    <x v="1"/>
    <x v="2"/>
    <s v="Account"/>
    <s v="CLEANAWAY General"/>
    <m/>
    <s v="31530800_Landfill_General"/>
    <s v="General"/>
    <s v="Cleanaway"/>
    <m/>
    <d v="2021-02-02T00:00:00"/>
    <m/>
    <d v="2021-02-01T00:00:00"/>
    <s v="FY21"/>
    <s v="t"/>
    <n v="0"/>
    <n v="2.9700000000000001E-2"/>
    <n v="0"/>
    <n v="2.9700000000000001E-2"/>
    <n v="0"/>
    <n v="1"/>
    <n v="0"/>
    <n v="1"/>
    <n v="0"/>
    <n v="100"/>
    <n v="0"/>
    <s v="Consolidation"/>
    <s v="CO2e and Base Measure"/>
    <n v="100"/>
    <n v="100"/>
    <n v="0.03"/>
    <m/>
    <m/>
    <m/>
    <m/>
    <m/>
    <n v="3.8600000000000002E-2"/>
    <m/>
    <n v="3.8600000000000002E-2"/>
    <m/>
    <m/>
    <m/>
    <m/>
    <m/>
    <s v="AUD"/>
    <s v="13639953Waste - General [t] - Scope 3"/>
    <n v="13639953"/>
  </r>
  <r>
    <d v="2019-07-01T00:00:00"/>
    <d v="2021-06-30T00:00:00"/>
    <s v="Telstra"/>
    <s v="NON-NETWORK"/>
    <s v="NON-NETWORK"/>
    <s v="TAS"/>
    <s v="Australia"/>
    <s v="Launceston"/>
    <s v="104 CAMERON ST LAUNCESTON"/>
    <n v="423031530800"/>
    <s v="Waste"/>
    <x v="1"/>
    <x v="2"/>
    <s v="Account"/>
    <s v="CLEANAWAY General"/>
    <m/>
    <s v="31530800_Landfill_General"/>
    <s v="General"/>
    <s v="Cleanaway"/>
    <m/>
    <d v="2021-02-02T00:00:00"/>
    <m/>
    <d v="2021-03-01T00:00:00"/>
    <s v="FY21"/>
    <s v="t"/>
    <n v="0"/>
    <n v="2.9700000000000001E-2"/>
    <n v="0"/>
    <n v="2.9700000000000001E-2"/>
    <n v="0"/>
    <n v="1"/>
    <n v="0"/>
    <n v="1"/>
    <n v="0"/>
    <n v="100"/>
    <n v="0"/>
    <s v="Consolidation"/>
    <s v="CO2e and Base Measure"/>
    <n v="100"/>
    <n v="100"/>
    <n v="0.03"/>
    <m/>
    <m/>
    <m/>
    <m/>
    <m/>
    <n v="3.8600000000000002E-2"/>
    <m/>
    <n v="3.8600000000000002E-2"/>
    <m/>
    <m/>
    <m/>
    <m/>
    <m/>
    <s v="AUD"/>
    <s v="13639953Waste - General [t] - Scope 3"/>
    <n v="13639953"/>
  </r>
  <r>
    <d v="2019-07-01T00:00:00"/>
    <d v="2021-06-30T00:00:00"/>
    <s v="Telstra"/>
    <s v="NON-NETWORK"/>
    <s v="NON-NETWORK"/>
    <s v="TAS"/>
    <s v="Australia"/>
    <s v="Launceston"/>
    <s v="104 CAMERON ST LAUNCESTON"/>
    <n v="423031530800"/>
    <s v="Waste"/>
    <x v="1"/>
    <x v="2"/>
    <s v="Account"/>
    <s v="CLEANAWAY General"/>
    <m/>
    <s v="31530800_Landfill_General"/>
    <s v="General"/>
    <s v="Cleanaway"/>
    <m/>
    <d v="2021-02-02T00:00:00"/>
    <m/>
    <d v="2021-04-01T00:00:00"/>
    <s v="FY21"/>
    <s v="t"/>
    <n v="0"/>
    <n v="0"/>
    <n v="0.03"/>
    <n v="0.03"/>
    <n v="0"/>
    <n v="0"/>
    <n v="30"/>
    <n v="30"/>
    <n v="0"/>
    <n v="0"/>
    <n v="100"/>
    <s v="Consolidation"/>
    <s v="CO2e and Base Measure"/>
    <n v="100"/>
    <n v="100"/>
    <n v="0.03"/>
    <m/>
    <m/>
    <m/>
    <m/>
    <m/>
    <n v="3.9E-2"/>
    <m/>
    <n v="3.9E-2"/>
    <m/>
    <m/>
    <m/>
    <m/>
    <m/>
    <s v="AUD"/>
    <s v="13639953Waste - General [t] - Scope 3"/>
    <n v="13639953"/>
  </r>
  <r>
    <d v="2019-07-01T00:00:00"/>
    <d v="2021-06-30T00:00:00"/>
    <s v="Telstra"/>
    <s v="NON-NETWORK"/>
    <s v="NON-NETWORK"/>
    <s v="TAS"/>
    <s v="Australia"/>
    <s v="Launceston"/>
    <s v="104 CAMERON ST LAUNCESTON"/>
    <n v="423031530800"/>
    <s v="Waste"/>
    <x v="1"/>
    <x v="2"/>
    <s v="Account"/>
    <s v="CLEANAWAY General"/>
    <m/>
    <s v="31530800_Landfill_General"/>
    <s v="General"/>
    <s v="Cleanaway"/>
    <m/>
    <d v="2021-02-02T00:00:00"/>
    <m/>
    <d v="2021-05-01T00:00:00"/>
    <s v="FY21"/>
    <s v="t"/>
    <n v="0"/>
    <n v="0"/>
    <n v="3.1E-2"/>
    <n v="3.1E-2"/>
    <n v="0"/>
    <n v="0"/>
    <n v="31"/>
    <n v="31"/>
    <n v="0"/>
    <n v="0"/>
    <n v="100"/>
    <s v="Consolidation"/>
    <s v="CO2e and Base Measure"/>
    <n v="100"/>
    <n v="100"/>
    <n v="0.03"/>
    <m/>
    <m/>
    <m/>
    <m/>
    <m/>
    <n v="4.0300000000000002E-2"/>
    <m/>
    <n v="4.0300000000000002E-2"/>
    <m/>
    <m/>
    <m/>
    <m/>
    <m/>
    <s v="AUD"/>
    <s v="13639953Waste - General [t] - Scope 3"/>
    <n v="13639953"/>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07-01T00:00:00"/>
    <s v="FY21"/>
    <s v="t"/>
    <n v="1.944"/>
    <n v="0"/>
    <n v="0"/>
    <n v="1.944"/>
    <n v="10"/>
    <n v="0"/>
    <n v="0"/>
    <n v="10"/>
    <n v="100"/>
    <n v="0"/>
    <n v="0"/>
    <s v="Consolidation"/>
    <s v="CO2e and Base Measure"/>
    <n v="100"/>
    <n v="100"/>
    <n v="1.94"/>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08-01T00:00:00"/>
    <s v="FY21"/>
    <s v="t"/>
    <n v="1.0529999999999999"/>
    <n v="0"/>
    <n v="0"/>
    <n v="1.0529999999999999"/>
    <n v="9"/>
    <n v="0"/>
    <n v="0"/>
    <n v="9"/>
    <n v="100"/>
    <n v="0"/>
    <n v="0"/>
    <s v="Consolidation"/>
    <s v="CO2e and Base Measure"/>
    <n v="100"/>
    <n v="100"/>
    <n v="1.05"/>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09-01T00:00:00"/>
    <s v="FY21"/>
    <s v="t"/>
    <n v="0.20949999999999999"/>
    <n v="0"/>
    <n v="0"/>
    <n v="0.20949999999999999"/>
    <n v="12"/>
    <n v="0"/>
    <n v="0"/>
    <n v="12"/>
    <n v="100"/>
    <n v="0"/>
    <n v="0"/>
    <s v="Consolidation"/>
    <s v="CO2e and Base Measure"/>
    <n v="100"/>
    <n v="100"/>
    <n v="0.21"/>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10-01T00:00:00"/>
    <s v="FY21"/>
    <s v="t"/>
    <n v="1.0529999999999999"/>
    <n v="0"/>
    <n v="0"/>
    <n v="1.0529999999999999"/>
    <n v="9"/>
    <n v="0"/>
    <n v="0"/>
    <n v="9"/>
    <n v="100"/>
    <n v="0"/>
    <n v="0"/>
    <s v="Consolidation"/>
    <s v="CO2e and Base Measure"/>
    <n v="100"/>
    <n v="100"/>
    <n v="1.05"/>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11-01T00:00:00"/>
    <s v="FY21"/>
    <s v="t"/>
    <n v="1.944"/>
    <n v="0"/>
    <n v="0"/>
    <n v="1.944"/>
    <n v="10"/>
    <n v="0"/>
    <n v="0"/>
    <n v="10"/>
    <n v="100"/>
    <n v="0"/>
    <n v="0"/>
    <s v="Consolidation"/>
    <s v="CO2e and Base Measure"/>
    <n v="100"/>
    <n v="100"/>
    <n v="1.94"/>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12-01T00:00:00"/>
    <s v="FY21"/>
    <s v="t"/>
    <n v="1.0529999999999999"/>
    <n v="0"/>
    <n v="0"/>
    <n v="1.0529999999999999"/>
    <n v="9"/>
    <n v="0"/>
    <n v="0"/>
    <n v="9"/>
    <n v="100"/>
    <n v="0"/>
    <n v="0"/>
    <s v="Consolidation"/>
    <s v="CO2e and Base Measure"/>
    <n v="100"/>
    <n v="100"/>
    <n v="1.05"/>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1-01T00:00:00"/>
    <s v="FY21"/>
    <s v="t"/>
    <n v="0"/>
    <n v="0"/>
    <n v="1.2152000000000001"/>
    <n v="1.2152000000000001"/>
    <n v="0"/>
    <n v="0"/>
    <n v="31"/>
    <n v="31"/>
    <n v="0"/>
    <n v="0"/>
    <n v="100"/>
    <s v="Consolidation"/>
    <s v="CO2e and Base Measure"/>
    <n v="100"/>
    <n v="100"/>
    <n v="1.22"/>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2-01T00:00:00"/>
    <s v="FY21"/>
    <s v="t"/>
    <n v="0"/>
    <n v="0"/>
    <n v="1.0975999999999999"/>
    <n v="1.0975999999999999"/>
    <n v="0"/>
    <n v="0"/>
    <n v="28"/>
    <n v="28"/>
    <n v="0"/>
    <n v="0"/>
    <n v="100"/>
    <s v="Consolidation"/>
    <s v="CO2e and Base Measure"/>
    <n v="100"/>
    <n v="100"/>
    <n v="1.1000000000000001"/>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3-01T00:00:00"/>
    <s v="FY21"/>
    <s v="t"/>
    <n v="0"/>
    <n v="0"/>
    <n v="1.2152000000000001"/>
    <n v="1.2152000000000001"/>
    <n v="0"/>
    <n v="0"/>
    <n v="31"/>
    <n v="31"/>
    <n v="0"/>
    <n v="0"/>
    <n v="100"/>
    <s v="Consolidation"/>
    <s v="CO2e and Base Measure"/>
    <n v="100"/>
    <n v="100"/>
    <n v="1.22"/>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4-01T00:00:00"/>
    <s v="FY21"/>
    <s v="t"/>
    <n v="0"/>
    <n v="0"/>
    <n v="1.1759999999999999"/>
    <n v="1.1759999999999999"/>
    <n v="0"/>
    <n v="0"/>
    <n v="30"/>
    <n v="30"/>
    <n v="0"/>
    <n v="0"/>
    <n v="100"/>
    <s v="Consolidation"/>
    <s v="CO2e and Base Measure"/>
    <n v="100"/>
    <n v="100"/>
    <n v="1.18"/>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5-01T00:00:00"/>
    <s v="FY21"/>
    <s v="t"/>
    <n v="0"/>
    <n v="0"/>
    <n v="1.2152000000000001"/>
    <n v="1.2152000000000001"/>
    <n v="0"/>
    <n v="0"/>
    <n v="31"/>
    <n v="31"/>
    <n v="0"/>
    <n v="0"/>
    <n v="100"/>
    <s v="Consolidation"/>
    <s v="CO2e and Base Measure"/>
    <n v="100"/>
    <n v="100"/>
    <n v="1.22"/>
    <m/>
    <m/>
    <m/>
    <m/>
    <m/>
    <m/>
    <m/>
    <m/>
    <m/>
    <m/>
    <m/>
    <m/>
    <m/>
    <s v="AUD"/>
    <s v="13566445Waste Recycled - Paper and Cardboard [t]"/>
    <n v="13566445"/>
  </r>
  <r>
    <d v="2019-07-01T00:00:00"/>
    <d v="2021-06-30T00:00:00"/>
    <s v="Telstra"/>
    <s v="NETWORK"/>
    <s v="Network - Telstra/InfraCo Split"/>
    <s v="NSW"/>
    <s v="Australia"/>
    <s v="North Ryde"/>
    <s v="113 WICKS ROAD NORTH RYDE"/>
    <n v="423032177900"/>
    <s v="Recycled Waste"/>
    <x v="0"/>
    <x v="1"/>
    <s v="Account"/>
    <s v="Remondis Electrical Comp. (E-Waste)"/>
    <m/>
    <s v="423032177900_RELECTRIC"/>
    <s v="ELECTRICAL COMP. E-WASTE"/>
    <s v="Remondis"/>
    <m/>
    <m/>
    <d v="2020-12-01T00:00:00"/>
    <d v="2020-11-01T00:00:00"/>
    <s v="FY21"/>
    <s v="t"/>
    <n v="0"/>
    <n v="0.56999999999999995"/>
    <n v="0"/>
    <n v="0.56999999999999995"/>
    <n v="0"/>
    <n v="1"/>
    <n v="0"/>
    <n v="1"/>
    <n v="0"/>
    <n v="100"/>
    <n v="0"/>
    <s v="Consolidation"/>
    <s v="CO2e and Base Measure"/>
    <n v="100"/>
    <n v="100"/>
    <n v="0.56999999999999995"/>
    <m/>
    <m/>
    <m/>
    <m/>
    <m/>
    <m/>
    <m/>
    <m/>
    <m/>
    <m/>
    <m/>
    <m/>
    <m/>
    <s v="AUD"/>
    <s v="13565915Waste Recycled - E-waste [t]"/>
    <n v="13565915"/>
  </r>
  <r>
    <d v="2019-07-01T00:00:00"/>
    <d v="2021-06-30T00:00:00"/>
    <s v="Telstra"/>
    <s v="NETWORK"/>
    <s v="Network - Telstra/InfraCo Split"/>
    <s v="NSW"/>
    <s v="Australia"/>
    <s v="North Ryde"/>
    <s v="113 WICKS ROAD NORTH RYDE"/>
    <n v="423032177900"/>
    <s v="Recycled Waste"/>
    <x v="0"/>
    <x v="1"/>
    <s v="Account"/>
    <s v="Remondis Electrical Comp. (E-Waste)"/>
    <m/>
    <s v="423032177900_RELECTRIC"/>
    <s v="ELECTRICAL COMP. E-WASTE"/>
    <s v="Remondis"/>
    <m/>
    <m/>
    <d v="2020-12-01T00:00:00"/>
    <d v="2020-12-01T00:00:00"/>
    <s v="FY21"/>
    <s v="t"/>
    <n v="0"/>
    <n v="0"/>
    <n v="1.9699999999999999E-2"/>
    <n v="1.9699999999999999E-2"/>
    <n v="0"/>
    <n v="0"/>
    <n v="1"/>
    <n v="1"/>
    <n v="0"/>
    <n v="0"/>
    <n v="100"/>
    <s v="Consolidation"/>
    <s v="CO2e and Base Measure"/>
    <n v="100"/>
    <n v="100"/>
    <n v="0.02"/>
    <m/>
    <m/>
    <m/>
    <m/>
    <m/>
    <m/>
    <m/>
    <m/>
    <m/>
    <m/>
    <m/>
    <m/>
    <m/>
    <s v="AUD"/>
    <s v="13565915Waste Recycled - E-waste [t]"/>
    <n v="13565915"/>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07-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08-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09-01T00:00:00"/>
    <s v="FY21"/>
    <s v="t"/>
    <n v="2.7E-2"/>
    <n v="0"/>
    <n v="0"/>
    <n v="2.7E-2"/>
    <n v="2"/>
    <n v="0"/>
    <n v="0"/>
    <n v="2"/>
    <n v="100"/>
    <n v="0"/>
    <n v="0"/>
    <s v="Consolidation"/>
    <s v="CO2e and Base Measure"/>
    <n v="100"/>
    <n v="100"/>
    <n v="0.03"/>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10-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11-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12-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1-01T00:00:00"/>
    <s v="FY21"/>
    <s v="t"/>
    <n v="0"/>
    <n v="0"/>
    <n v="1.55E-2"/>
    <n v="1.55E-2"/>
    <n v="0"/>
    <n v="0"/>
    <n v="31"/>
    <n v="31"/>
    <n v="0"/>
    <n v="0"/>
    <n v="100"/>
    <s v="Consolidation"/>
    <s v="CO2e and Base Measure"/>
    <n v="100"/>
    <n v="100"/>
    <n v="0.02"/>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2-01T00:00:00"/>
    <s v="FY21"/>
    <s v="t"/>
    <n v="0"/>
    <n v="0"/>
    <n v="1.4E-2"/>
    <n v="1.4E-2"/>
    <n v="0"/>
    <n v="0"/>
    <n v="28"/>
    <n v="28"/>
    <n v="0"/>
    <n v="0"/>
    <n v="10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3-01T00:00:00"/>
    <s v="FY21"/>
    <s v="t"/>
    <n v="0"/>
    <n v="0"/>
    <n v="1.55E-2"/>
    <n v="1.55E-2"/>
    <n v="0"/>
    <n v="0"/>
    <n v="31"/>
    <n v="31"/>
    <n v="0"/>
    <n v="0"/>
    <n v="100"/>
    <s v="Consolidation"/>
    <s v="CO2e and Base Measure"/>
    <n v="100"/>
    <n v="100"/>
    <n v="0.02"/>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5-01T00:00:00"/>
    <s v="FY21"/>
    <s v="t"/>
    <n v="0"/>
    <n v="0"/>
    <n v="1.55E-2"/>
    <n v="1.55E-2"/>
    <n v="0"/>
    <n v="0"/>
    <n v="31"/>
    <n v="31"/>
    <n v="0"/>
    <n v="0"/>
    <n v="100"/>
    <s v="Consolidation"/>
    <s v="CO2e and Base Measure"/>
    <n v="100"/>
    <n v="100"/>
    <n v="0.02"/>
    <m/>
    <m/>
    <m/>
    <m/>
    <m/>
    <m/>
    <m/>
    <m/>
    <m/>
    <m/>
    <m/>
    <m/>
    <m/>
    <s v="AUD"/>
    <s v="13566596Waste Recycled - Paper and Cardboard [t]"/>
    <n v="13566596"/>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0-12-01T00:00:00"/>
    <s v="FY21"/>
    <s v="t"/>
    <n v="8.1000000000000003E-2"/>
    <n v="0"/>
    <n v="0"/>
    <n v="8.1000000000000003E-2"/>
    <n v="1"/>
    <n v="0"/>
    <n v="0"/>
    <n v="1"/>
    <n v="100"/>
    <n v="0"/>
    <n v="0"/>
    <s v="Consolidation"/>
    <s v="CO2e and Base Measure"/>
    <n v="100"/>
    <n v="100"/>
    <n v="0.08"/>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1-01T00:00:00"/>
    <s v="FY21"/>
    <s v="t"/>
    <n v="0"/>
    <n v="0"/>
    <n v="2.4799999999999999E-2"/>
    <n v="2.4799999999999999E-2"/>
    <n v="0"/>
    <n v="0"/>
    <n v="31"/>
    <n v="31"/>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2-01T00:00:00"/>
    <s v="FY21"/>
    <s v="t"/>
    <n v="0"/>
    <n v="0"/>
    <n v="2.24E-2"/>
    <n v="2.24E-2"/>
    <n v="0"/>
    <n v="0"/>
    <n v="28"/>
    <n v="28"/>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3-01T00:00:00"/>
    <s v="FY21"/>
    <s v="t"/>
    <n v="0"/>
    <n v="0"/>
    <n v="2.4799999999999999E-2"/>
    <n v="2.4799999999999999E-2"/>
    <n v="0"/>
    <n v="0"/>
    <n v="31"/>
    <n v="31"/>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4-01T00:00:00"/>
    <s v="FY21"/>
    <s v="t"/>
    <n v="0"/>
    <n v="0"/>
    <n v="2.4E-2"/>
    <n v="2.4E-2"/>
    <n v="0"/>
    <n v="0"/>
    <n v="30"/>
    <n v="30"/>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5-01T00:00:00"/>
    <s v="FY21"/>
    <s v="t"/>
    <n v="0"/>
    <n v="0"/>
    <n v="2.4799999999999999E-2"/>
    <n v="2.4799999999999999E-2"/>
    <n v="0"/>
    <n v="0"/>
    <n v="31"/>
    <n v="31"/>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1"/>
    <s v="Account"/>
    <s v="Remondis Metal - Copper"/>
    <m/>
    <s v="423031582900_RMETCOPPR"/>
    <s v="METAL - COPPER"/>
    <s v="Remondis"/>
    <m/>
    <m/>
    <d v="2021-01-01T00:00:00"/>
    <d v="2020-12-01T00:00:00"/>
    <s v="FY21"/>
    <s v="t"/>
    <n v="1.96"/>
    <n v="0"/>
    <n v="0"/>
    <n v="1.96"/>
    <n v="1"/>
    <n v="0"/>
    <n v="0"/>
    <n v="1"/>
    <n v="100"/>
    <n v="0"/>
    <n v="0"/>
    <s v="Consolidation"/>
    <s v="CO2e and Base Measure"/>
    <n v="100"/>
    <n v="100"/>
    <n v="1.96"/>
    <m/>
    <m/>
    <m/>
    <m/>
    <m/>
    <m/>
    <m/>
    <m/>
    <m/>
    <m/>
    <m/>
    <m/>
    <m/>
    <s v="AUD"/>
    <s v="13633444Waste Recycled - E-waste [t]"/>
    <n v="13633444"/>
  </r>
  <r>
    <d v="2019-07-01T00:00:00"/>
    <d v="2021-06-30T00:00:00"/>
    <s v="Telstra"/>
    <s v="NON-NETWORK"/>
    <s v="NON-NETWORK"/>
    <s v="NSW"/>
    <s v="Australia"/>
    <s v="Mascot"/>
    <s v="12 Lord St Botany"/>
    <n v="423031582900"/>
    <s v="Recycled Waste"/>
    <x v="0"/>
    <x v="1"/>
    <s v="Account"/>
    <s v="Remondis Metal - Copper"/>
    <m/>
    <s v="423031582900_RMETCOPPR"/>
    <s v="METAL - COPPER"/>
    <s v="Remondis"/>
    <m/>
    <m/>
    <d v="2021-01-01T00:00:00"/>
    <d v="2021-01-01T00:00:00"/>
    <s v="FY21"/>
    <s v="t"/>
    <n v="0"/>
    <n v="0"/>
    <n v="6.5299999999999997E-2"/>
    <n v="6.5299999999999997E-2"/>
    <n v="0"/>
    <n v="0"/>
    <n v="1"/>
    <n v="1"/>
    <n v="0"/>
    <n v="0"/>
    <n v="100"/>
    <s v="Consolidation"/>
    <s v="CO2e and Base Measure"/>
    <n v="100"/>
    <n v="100"/>
    <n v="7.0000000000000007E-2"/>
    <m/>
    <m/>
    <m/>
    <m/>
    <m/>
    <m/>
    <m/>
    <m/>
    <m/>
    <m/>
    <m/>
    <m/>
    <m/>
    <s v="AUD"/>
    <s v="13633444Waste Recycled - E-waste [t]"/>
    <n v="1363344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0-12-01T00:00:00"/>
    <s v="FY21"/>
    <s v="t"/>
    <n v="6.7000000000000004E-2"/>
    <n v="0.40500000000000003"/>
    <n v="0"/>
    <n v="0.47199999999999998"/>
    <n v="1"/>
    <n v="3"/>
    <n v="0"/>
    <n v="4"/>
    <n v="14.19"/>
    <n v="85.8"/>
    <n v="0"/>
    <s v="Consolidation"/>
    <s v="CO2e and Base Measure"/>
    <n v="100"/>
    <n v="100"/>
    <n v="0.47"/>
    <m/>
    <m/>
    <m/>
    <m/>
    <m/>
    <n v="0.61360000000000003"/>
    <m/>
    <n v="0.61360000000000003"/>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1-01T00:00:00"/>
    <s v="FY21"/>
    <s v="t"/>
    <n v="0.16300000000000001"/>
    <n v="0"/>
    <n v="0"/>
    <n v="0.16300000000000001"/>
    <n v="4"/>
    <n v="0"/>
    <n v="0"/>
    <n v="4"/>
    <n v="100"/>
    <n v="0"/>
    <n v="0"/>
    <s v="Consolidation"/>
    <s v="CO2e and Base Measure"/>
    <n v="100"/>
    <n v="100"/>
    <n v="0.16"/>
    <m/>
    <m/>
    <m/>
    <m/>
    <m/>
    <n v="0.21190000000000001"/>
    <m/>
    <n v="0.21190000000000001"/>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2-01T00:00:00"/>
    <s v="FY21"/>
    <s v="t"/>
    <n v="0.52600000000000002"/>
    <n v="0"/>
    <n v="0"/>
    <n v="0.52600000000000002"/>
    <n v="4"/>
    <n v="0"/>
    <n v="0"/>
    <n v="4"/>
    <n v="100"/>
    <n v="0"/>
    <n v="0"/>
    <s v="Consolidation"/>
    <s v="CO2e and Base Measure"/>
    <n v="100"/>
    <n v="100"/>
    <n v="0.53"/>
    <m/>
    <m/>
    <m/>
    <m/>
    <m/>
    <n v="0.68379999999999996"/>
    <m/>
    <n v="0.68379999999999996"/>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3-01T00:00:00"/>
    <s v="FY21"/>
    <s v="t"/>
    <n v="4.2149999999999999"/>
    <n v="0"/>
    <n v="0"/>
    <n v="4.2149999999999999"/>
    <n v="5"/>
    <n v="0"/>
    <n v="0"/>
    <n v="5"/>
    <n v="100"/>
    <n v="0"/>
    <n v="0"/>
    <s v="Consolidation"/>
    <s v="CO2e and Base Measure"/>
    <n v="100"/>
    <n v="100"/>
    <n v="4.22"/>
    <m/>
    <m/>
    <m/>
    <m/>
    <m/>
    <n v="5.4794999999999998"/>
    <m/>
    <n v="5.4794999999999998"/>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4-01T00:00:00"/>
    <s v="FY21"/>
    <s v="t"/>
    <n v="0"/>
    <n v="0"/>
    <n v="1.101"/>
    <n v="1.101"/>
    <n v="0"/>
    <n v="0"/>
    <n v="30"/>
    <n v="30"/>
    <n v="0"/>
    <n v="0"/>
    <n v="100"/>
    <s v="Consolidation"/>
    <s v="CO2e and Base Measure"/>
    <n v="100"/>
    <n v="100"/>
    <n v="1.1000000000000001"/>
    <m/>
    <m/>
    <m/>
    <m/>
    <m/>
    <n v="1.4313"/>
    <m/>
    <n v="1.4313"/>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5-01T00:00:00"/>
    <s v="FY21"/>
    <s v="t"/>
    <n v="0"/>
    <n v="0"/>
    <n v="1.1376999999999999"/>
    <n v="1.1376999999999999"/>
    <n v="0"/>
    <n v="0"/>
    <n v="31"/>
    <n v="31"/>
    <n v="0"/>
    <n v="0"/>
    <n v="100"/>
    <s v="Consolidation"/>
    <s v="CO2e and Base Measure"/>
    <n v="100"/>
    <n v="100"/>
    <n v="1.1399999999999999"/>
    <m/>
    <m/>
    <m/>
    <m/>
    <m/>
    <n v="1.4790000000000001"/>
    <m/>
    <n v="1.4790000000000001"/>
    <m/>
    <m/>
    <m/>
    <m/>
    <m/>
    <s v="AUD"/>
    <s v="13633994Waste - General [t] - Scope 3"/>
    <n v="1363399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0-12-01T00:00:00"/>
    <s v="FY21"/>
    <s v="t"/>
    <n v="3.3000000000000002E-2"/>
    <n v="0"/>
    <n v="0"/>
    <n v="3.3000000000000002E-2"/>
    <n v="1"/>
    <n v="0"/>
    <n v="0"/>
    <n v="1"/>
    <n v="100"/>
    <n v="0"/>
    <n v="0"/>
    <s v="Consolidation"/>
    <s v="CO2e and Base Measure"/>
    <n v="100"/>
    <n v="100"/>
    <n v="0.03"/>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1-01T00:00:00"/>
    <s v="FY21"/>
    <s v="t"/>
    <n v="0"/>
    <n v="0.22500000000000001"/>
    <n v="0"/>
    <n v="0.22500000000000001"/>
    <n v="0"/>
    <n v="3"/>
    <n v="0"/>
    <n v="3"/>
    <n v="0"/>
    <n v="100"/>
    <n v="0"/>
    <s v="Consolidation"/>
    <s v="CO2e and Base Measure"/>
    <n v="100"/>
    <n v="100"/>
    <n v="0.23"/>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2-01T00:00:00"/>
    <s v="FY21"/>
    <s v="t"/>
    <n v="0.16"/>
    <n v="7.4999999999999997E-2"/>
    <n v="0"/>
    <n v="0.23499999999999999"/>
    <n v="3"/>
    <n v="1"/>
    <n v="0"/>
    <n v="4"/>
    <n v="68.08"/>
    <n v="31.91"/>
    <n v="0"/>
    <s v="Consolidation"/>
    <s v="CO2e and Base Measure"/>
    <n v="100"/>
    <n v="100"/>
    <n v="0.24"/>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3-01T00:00:00"/>
    <s v="FY21"/>
    <s v="t"/>
    <n v="0.159"/>
    <n v="0"/>
    <n v="0"/>
    <n v="0.159"/>
    <n v="4"/>
    <n v="0"/>
    <n v="0"/>
    <n v="4"/>
    <n v="100"/>
    <n v="0"/>
    <n v="0"/>
    <s v="Consolidation"/>
    <s v="CO2e and Base Measure"/>
    <n v="100"/>
    <n v="100"/>
    <n v="0.16"/>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4-01T00:00:00"/>
    <s v="FY21"/>
    <s v="t"/>
    <n v="0"/>
    <n v="0"/>
    <n v="0.16200000000000001"/>
    <n v="0.16200000000000001"/>
    <n v="0"/>
    <n v="0"/>
    <n v="30"/>
    <n v="30"/>
    <n v="0"/>
    <n v="0"/>
    <n v="100"/>
    <s v="Consolidation"/>
    <s v="CO2e and Base Measure"/>
    <n v="100"/>
    <n v="100"/>
    <n v="0.16"/>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5-01T00:00:00"/>
    <s v="FY21"/>
    <s v="t"/>
    <n v="0"/>
    <n v="0"/>
    <n v="0.16739999999999999"/>
    <n v="0.16739999999999999"/>
    <n v="0"/>
    <n v="0"/>
    <n v="31"/>
    <n v="31"/>
    <n v="0"/>
    <n v="0"/>
    <n v="100"/>
    <s v="Consolidation"/>
    <s v="CO2e and Base Measure"/>
    <n v="100"/>
    <n v="100"/>
    <n v="0.17"/>
    <m/>
    <m/>
    <m/>
    <m/>
    <m/>
    <m/>
    <m/>
    <m/>
    <m/>
    <m/>
    <m/>
    <m/>
    <m/>
    <s v="AUD"/>
    <s v="13634354Waste Recycled - Paper and Cardboard [t]"/>
    <n v="13634354"/>
  </r>
  <r>
    <d v="2019-07-01T00:00:00"/>
    <d v="2021-06-30T00:00:00"/>
    <s v="Telstra"/>
    <s v="NON-NETWORK"/>
    <s v="NON-NETWORK"/>
    <s v="NSW"/>
    <s v="Australia"/>
    <s v="Mascot"/>
    <s v="12 Lord St Botany"/>
    <n v="423031582900"/>
    <s v="Waste"/>
    <x v="1"/>
    <x v="4"/>
    <s v="Account"/>
    <s v="CLEANAWAY Asbestos"/>
    <m/>
    <s v="31582900_Landfill_Asbestos"/>
    <s v="Asbestos"/>
    <s v="Cleanaway"/>
    <m/>
    <d v="2021-02-17T00:00:00"/>
    <m/>
    <d v="2021-02-01T00:00:00"/>
    <s v="FY21"/>
    <s v="t"/>
    <n v="1.7"/>
    <n v="0"/>
    <n v="0"/>
    <n v="1.7"/>
    <n v="1"/>
    <n v="0"/>
    <n v="0"/>
    <n v="1"/>
    <n v="100"/>
    <n v="0"/>
    <n v="0"/>
    <s v="Consolidation"/>
    <s v="CO2e and Base Measure"/>
    <n v="100"/>
    <n v="100"/>
    <n v="1.7"/>
    <m/>
    <m/>
    <m/>
    <m/>
    <m/>
    <n v="2.04"/>
    <m/>
    <n v="2.04"/>
    <m/>
    <m/>
    <m/>
    <m/>
    <m/>
    <s v="AUD"/>
    <s v="13639945Waste - Construction and Demolition [t]"/>
    <n v="13639945"/>
  </r>
  <r>
    <d v="2019-07-01T00:00:00"/>
    <d v="2021-06-30T00:00:00"/>
    <s v="Telstra"/>
    <s v="NON-NETWORK"/>
    <s v="NON-NETWORK"/>
    <s v="NSW"/>
    <s v="Australia"/>
    <s v="Mascot"/>
    <s v="12 Lord St Botany"/>
    <n v="423031582900"/>
    <s v="Waste"/>
    <x v="1"/>
    <x v="4"/>
    <s v="Account"/>
    <s v="CLEANAWAY Asbestos"/>
    <m/>
    <s v="31582900_Landfill_Asbestos"/>
    <s v="Asbestos"/>
    <s v="Cleanaway"/>
    <m/>
    <d v="2021-02-17T00:00:00"/>
    <m/>
    <d v="2021-03-01T00:00:00"/>
    <s v="FY21"/>
    <s v="t"/>
    <n v="0"/>
    <n v="0"/>
    <n v="1.9530000000000001"/>
    <n v="1.9530000000000001"/>
    <n v="0"/>
    <n v="0"/>
    <n v="31"/>
    <n v="31"/>
    <n v="0"/>
    <n v="0"/>
    <n v="100"/>
    <s v="Consolidation"/>
    <s v="CO2e and Base Measure"/>
    <n v="100"/>
    <n v="100"/>
    <n v="1.95"/>
    <m/>
    <m/>
    <m/>
    <m/>
    <m/>
    <n v="2.3435999999999999"/>
    <m/>
    <n v="2.3435999999999999"/>
    <m/>
    <m/>
    <m/>
    <m/>
    <m/>
    <s v="AUD"/>
    <s v="13639945Waste - Construction and Demolition [t]"/>
    <n v="13639945"/>
  </r>
  <r>
    <d v="2019-07-01T00:00:00"/>
    <d v="2021-06-30T00:00:00"/>
    <s v="Telstra"/>
    <s v="NON-NETWORK"/>
    <s v="NON-NETWORK"/>
    <s v="NSW"/>
    <s v="Australia"/>
    <s v="Mascot"/>
    <s v="12 Lord St Botany"/>
    <n v="423031582900"/>
    <s v="Waste"/>
    <x v="1"/>
    <x v="4"/>
    <s v="Account"/>
    <s v="CLEANAWAY Asbestos"/>
    <m/>
    <s v="31582900_Landfill_Asbestos"/>
    <s v="Asbestos"/>
    <s v="Cleanaway"/>
    <m/>
    <d v="2021-02-17T00:00:00"/>
    <m/>
    <d v="2021-04-01T00:00:00"/>
    <s v="FY21"/>
    <s v="t"/>
    <n v="0"/>
    <n v="0"/>
    <n v="1.89"/>
    <n v="1.89"/>
    <n v="0"/>
    <n v="0"/>
    <n v="30"/>
    <n v="30"/>
    <n v="0"/>
    <n v="0"/>
    <n v="100"/>
    <s v="Consolidation"/>
    <s v="CO2e and Base Measure"/>
    <n v="100"/>
    <n v="100"/>
    <n v="1.89"/>
    <m/>
    <m/>
    <m/>
    <m/>
    <m/>
    <n v="2.2679999999999998"/>
    <m/>
    <n v="2.2679999999999998"/>
    <m/>
    <m/>
    <m/>
    <m/>
    <m/>
    <s v="AUD"/>
    <s v="13639945Waste - Construction and Demolition [t]"/>
    <n v="13639945"/>
  </r>
  <r>
    <d v="2019-07-01T00:00:00"/>
    <d v="2021-06-30T00:00:00"/>
    <s v="Telstra"/>
    <s v="NON-NETWORK"/>
    <s v="NON-NETWORK"/>
    <s v="NSW"/>
    <s v="Australia"/>
    <s v="Mascot"/>
    <s v="12 Lord St Botany"/>
    <n v="423031582900"/>
    <s v="Waste"/>
    <x v="1"/>
    <x v="4"/>
    <s v="Account"/>
    <s v="CLEANAWAY Asbestos"/>
    <m/>
    <s v="31582900_Landfill_Asbestos"/>
    <s v="Asbestos"/>
    <s v="Cleanaway"/>
    <m/>
    <d v="2021-02-17T00:00:00"/>
    <m/>
    <d v="2021-05-01T00:00:00"/>
    <s v="FY21"/>
    <s v="t"/>
    <n v="0"/>
    <n v="0"/>
    <n v="1.9530000000000001"/>
    <n v="1.9530000000000001"/>
    <n v="0"/>
    <n v="0"/>
    <n v="31"/>
    <n v="31"/>
    <n v="0"/>
    <n v="0"/>
    <n v="100"/>
    <s v="Consolidation"/>
    <s v="CO2e and Base Measure"/>
    <n v="100"/>
    <n v="100"/>
    <n v="1.95"/>
    <m/>
    <m/>
    <m/>
    <m/>
    <m/>
    <n v="2.3435999999999999"/>
    <m/>
    <n v="2.3435999999999999"/>
    <m/>
    <m/>
    <m/>
    <m/>
    <m/>
    <s v="AUD"/>
    <s v="13639945Waste - Construction and Demolition [t]"/>
    <n v="13639945"/>
  </r>
  <r>
    <d v="2019-07-01T00:00:00"/>
    <d v="2021-06-30T00:00:00"/>
    <s v="Telstra"/>
    <s v="NON-NETWORK"/>
    <s v="NON-NETWORK"/>
    <s v="NSW"/>
    <s v="Australia"/>
    <s v="Mascot"/>
    <s v="12 Lord St Botany"/>
    <n v="423031582900"/>
    <s v="Recycled Waste"/>
    <x v="0"/>
    <x v="5"/>
    <s v="Account"/>
    <s v="CLEANAWAY Construction - Diversion"/>
    <m/>
    <s v="31582900_Diversion_Construction"/>
    <s v="Construction"/>
    <s v="Cleanaway"/>
    <m/>
    <d v="2021-02-02T00:00:00"/>
    <m/>
    <d v="2021-02-01T00:00:00"/>
    <s v="FY21"/>
    <s v="t"/>
    <n v="5.22"/>
    <n v="0"/>
    <n v="0"/>
    <n v="5.22"/>
    <n v="1"/>
    <n v="0"/>
    <n v="0"/>
    <n v="1"/>
    <n v="100"/>
    <n v="0"/>
    <n v="0"/>
    <s v="Consolidation"/>
    <s v="CO2e and Base Measure"/>
    <n v="100"/>
    <n v="100"/>
    <n v="5.22"/>
    <m/>
    <m/>
    <m/>
    <m/>
    <m/>
    <m/>
    <m/>
    <m/>
    <m/>
    <m/>
    <m/>
    <m/>
    <m/>
    <s v="AUD"/>
    <s v="13639946Waste Recycled - Construction and Demolition [t]"/>
    <n v="13639946"/>
  </r>
  <r>
    <d v="2019-07-01T00:00:00"/>
    <d v="2021-06-30T00:00:00"/>
    <s v="Telstra"/>
    <s v="NON-NETWORK"/>
    <s v="NON-NETWORK"/>
    <s v="NSW"/>
    <s v="Australia"/>
    <s v="Mascot"/>
    <s v="12 Lord St Botany"/>
    <n v="423031582900"/>
    <s v="Recycled Waste"/>
    <x v="0"/>
    <x v="5"/>
    <s v="Account"/>
    <s v="CLEANAWAY Construction - Diversion"/>
    <m/>
    <s v="31582900_Diversion_Construction"/>
    <s v="Construction"/>
    <s v="Cleanaway"/>
    <m/>
    <d v="2021-02-02T00:00:00"/>
    <m/>
    <d v="2021-03-01T00:00:00"/>
    <s v="FY21"/>
    <s v="t"/>
    <n v="5.56"/>
    <n v="0"/>
    <n v="0"/>
    <n v="5.56"/>
    <n v="1"/>
    <n v="0"/>
    <n v="0"/>
    <n v="1"/>
    <n v="100"/>
    <n v="0"/>
    <n v="0"/>
    <s v="Consolidation"/>
    <s v="CO2e and Base Measure"/>
    <n v="100"/>
    <n v="100"/>
    <n v="5.56"/>
    <m/>
    <m/>
    <m/>
    <m/>
    <m/>
    <m/>
    <m/>
    <m/>
    <m/>
    <m/>
    <m/>
    <m/>
    <m/>
    <s v="AUD"/>
    <s v="13639946Waste Recycled - Construction and Demolition [t]"/>
    <n v="13639946"/>
  </r>
  <r>
    <d v="2019-07-01T00:00:00"/>
    <d v="2021-06-30T00:00:00"/>
    <s v="Telstra"/>
    <s v="NON-NETWORK"/>
    <s v="NON-NETWORK"/>
    <s v="NSW"/>
    <s v="Australia"/>
    <s v="Mascot"/>
    <s v="12 Lord St Botany"/>
    <n v="423031582900"/>
    <s v="Recycled Waste"/>
    <x v="0"/>
    <x v="5"/>
    <s v="Account"/>
    <s v="CLEANAWAY Construction - Diversion"/>
    <m/>
    <s v="31582900_Diversion_Construction"/>
    <s v="Construction"/>
    <s v="Cleanaway"/>
    <m/>
    <d v="2021-02-02T00:00:00"/>
    <m/>
    <d v="2021-04-01T00:00:00"/>
    <s v="FY21"/>
    <s v="t"/>
    <n v="0"/>
    <n v="0"/>
    <n v="5.3819999999999997"/>
    <n v="5.3819999999999997"/>
    <n v="0"/>
    <n v="0"/>
    <n v="30"/>
    <n v="30"/>
    <n v="0"/>
    <n v="0"/>
    <n v="100"/>
    <s v="Consolidation"/>
    <s v="CO2e and Base Measure"/>
    <n v="100"/>
    <n v="100"/>
    <n v="5.38"/>
    <m/>
    <m/>
    <m/>
    <m/>
    <m/>
    <m/>
    <m/>
    <m/>
    <m/>
    <m/>
    <m/>
    <m/>
    <m/>
    <s v="AUD"/>
    <s v="13639946Waste Recycled - Construction and Demolition [t]"/>
    <n v="13639946"/>
  </r>
  <r>
    <d v="2019-07-01T00:00:00"/>
    <d v="2021-06-30T00:00:00"/>
    <s v="Telstra"/>
    <s v="NON-NETWORK"/>
    <s v="NON-NETWORK"/>
    <s v="NSW"/>
    <s v="Australia"/>
    <s v="Mascot"/>
    <s v="12 Lord St Botany"/>
    <n v="423031582900"/>
    <s v="Recycled Waste"/>
    <x v="0"/>
    <x v="5"/>
    <s v="Account"/>
    <s v="CLEANAWAY Construction - Diversion"/>
    <m/>
    <s v="31582900_Diversion_Construction"/>
    <s v="Construction"/>
    <s v="Cleanaway"/>
    <m/>
    <d v="2021-02-02T00:00:00"/>
    <m/>
    <d v="2021-05-01T00:00:00"/>
    <s v="FY21"/>
    <s v="t"/>
    <n v="0"/>
    <n v="0"/>
    <n v="5.5613999999999999"/>
    <n v="5.5613999999999999"/>
    <n v="0"/>
    <n v="0"/>
    <n v="31"/>
    <n v="31"/>
    <n v="0"/>
    <n v="0"/>
    <n v="100"/>
    <s v="Consolidation"/>
    <s v="CO2e and Base Measure"/>
    <n v="100"/>
    <n v="100"/>
    <n v="5.56"/>
    <m/>
    <m/>
    <m/>
    <m/>
    <m/>
    <m/>
    <m/>
    <m/>
    <m/>
    <m/>
    <m/>
    <m/>
    <m/>
    <s v="AUD"/>
    <s v="13639946Waste Recycled - Construction and Demolition [t]"/>
    <n v="13639946"/>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07-01T00:00:00"/>
    <s v="FY21"/>
    <s v="t"/>
    <n v="5.3999999999999999E-2"/>
    <n v="0"/>
    <n v="0"/>
    <n v="5.3999999999999999E-2"/>
    <n v="1"/>
    <n v="0"/>
    <n v="0"/>
    <n v="1"/>
    <n v="100"/>
    <n v="0"/>
    <n v="0"/>
    <s v="Consolidation"/>
    <s v="CO2e and Base Measure"/>
    <n v="100"/>
    <n v="100"/>
    <n v="0.05"/>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08-01T00:00:00"/>
    <s v="FY21"/>
    <s v="t"/>
    <n v="5.3999999999999999E-2"/>
    <n v="0"/>
    <n v="0"/>
    <n v="5.3999999999999999E-2"/>
    <n v="1"/>
    <n v="0"/>
    <n v="0"/>
    <n v="1"/>
    <n v="100"/>
    <n v="0"/>
    <n v="0"/>
    <s v="Consolidation"/>
    <s v="CO2e and Base Measure"/>
    <n v="100"/>
    <n v="100"/>
    <n v="0.05"/>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09-01T00:00:00"/>
    <s v="FY21"/>
    <s v="t"/>
    <n v="0"/>
    <n v="0"/>
    <n v="7.1999999999999995E-2"/>
    <n v="7.1999999999999995E-2"/>
    <n v="0"/>
    <n v="0"/>
    <n v="30"/>
    <n v="30"/>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10-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11-01T00:00:00"/>
    <s v="FY21"/>
    <s v="t"/>
    <n v="0"/>
    <n v="0"/>
    <n v="7.1999999999999995E-2"/>
    <n v="7.1999999999999995E-2"/>
    <n v="0"/>
    <n v="0"/>
    <n v="30"/>
    <n v="30"/>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12-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1-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2-01T00:00:00"/>
    <s v="FY21"/>
    <s v="t"/>
    <n v="0"/>
    <n v="0"/>
    <n v="6.7199999999999996E-2"/>
    <n v="6.7199999999999996E-2"/>
    <n v="0"/>
    <n v="0"/>
    <n v="28"/>
    <n v="28"/>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3-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4-01T00:00:00"/>
    <s v="FY21"/>
    <s v="t"/>
    <n v="0"/>
    <n v="0"/>
    <n v="7.1999999999999995E-2"/>
    <n v="7.1999999999999995E-2"/>
    <n v="0"/>
    <n v="0"/>
    <n v="30"/>
    <n v="30"/>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5-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WA"/>
    <s v="Australia"/>
    <s v="Applecross"/>
    <s v="125 Riseley Street"/>
    <n v="423031522500"/>
    <s v="Waste"/>
    <x v="1"/>
    <x v="2"/>
    <s v="Account"/>
    <s v="Remondis General Waste"/>
    <m/>
    <s v="4230315225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5658Waste - General [t] - Scope 3"/>
    <n v="13565658"/>
  </r>
  <r>
    <d v="2019-07-01T00:00:00"/>
    <d v="2021-06-30T00:00:00"/>
    <s v="Telstra"/>
    <s v="NON-NETWORK"/>
    <s v="NON-NETWORK"/>
    <s v="WA"/>
    <s v="Australia"/>
    <s v="Applecross"/>
    <s v="125 Riseley Street"/>
    <n v="423031522500"/>
    <s v="Waste"/>
    <x v="1"/>
    <x v="2"/>
    <s v="Account"/>
    <s v="Remondis General Waste"/>
    <m/>
    <s v="423031522500_WGENERALW"/>
    <s v="GENERAL WASTE"/>
    <s v="Remondis"/>
    <m/>
    <m/>
    <d v="2021-01-01T00:00:00"/>
    <d v="2021-01-01T00:00:00"/>
    <s v="FY21"/>
    <s v="t"/>
    <n v="0"/>
    <n v="0"/>
    <n v="5.0000000000000001E-4"/>
    <n v="5.0000000000000001E-4"/>
    <n v="0"/>
    <n v="0"/>
    <n v="1"/>
    <n v="1"/>
    <n v="0"/>
    <n v="0"/>
    <n v="100"/>
    <s v="Consolidation"/>
    <s v="CO2e and Base Measure"/>
    <n v="100"/>
    <n v="100"/>
    <n v="0"/>
    <m/>
    <m/>
    <m/>
    <m/>
    <m/>
    <n v="6.9999999999999999E-4"/>
    <m/>
    <n v="6.9999999999999999E-4"/>
    <m/>
    <m/>
    <m/>
    <m/>
    <m/>
    <s v="AUD"/>
    <s v="13565658Waste - General [t] - Scope 3"/>
    <n v="13565658"/>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0-07-01T00:00:00"/>
    <s v="FY21"/>
    <s v="t"/>
    <n v="2.7E-2"/>
    <n v="0"/>
    <n v="0"/>
    <n v="2.7E-2"/>
    <n v="1"/>
    <n v="0"/>
    <n v="0"/>
    <n v="1"/>
    <n v="100"/>
    <n v="0"/>
    <n v="0"/>
    <s v="Consolidation"/>
    <s v="CO2e and Base Measure"/>
    <n v="100"/>
    <n v="100"/>
    <n v="0.03"/>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0-08-01T00:00:00"/>
    <s v="FY21"/>
    <s v="t"/>
    <n v="2.7E-2"/>
    <n v="0"/>
    <n v="0"/>
    <n v="2.7E-2"/>
    <n v="1"/>
    <n v="0"/>
    <n v="0"/>
    <n v="1"/>
    <n v="100"/>
    <n v="0"/>
    <n v="0"/>
    <s v="Consolidation"/>
    <s v="CO2e and Base Measure"/>
    <n v="100"/>
    <n v="100"/>
    <n v="0.03"/>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0-10-01T00:00:00"/>
    <s v="FY21"/>
    <s v="t"/>
    <n v="2.7E-2"/>
    <n v="0"/>
    <n v="0"/>
    <n v="2.7E-2"/>
    <n v="1"/>
    <n v="0"/>
    <n v="0"/>
    <n v="1"/>
    <n v="100"/>
    <n v="0"/>
    <n v="0"/>
    <s v="Consolidation"/>
    <s v="CO2e and Base Measure"/>
    <n v="100"/>
    <n v="100"/>
    <n v="0.03"/>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0-12-01T00:00:00"/>
    <s v="FY21"/>
    <s v="t"/>
    <n v="2.7E-2"/>
    <n v="0"/>
    <n v="0"/>
    <n v="2.7E-2"/>
    <n v="1"/>
    <n v="0"/>
    <n v="0"/>
    <n v="1"/>
    <n v="100"/>
    <n v="0"/>
    <n v="0"/>
    <s v="Consolidation"/>
    <s v="CO2e and Base Measure"/>
    <n v="100"/>
    <n v="100"/>
    <n v="0.03"/>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59Waste Recycled - Paper and Cardboard [t]"/>
    <n v="13566459"/>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07-01T00:00:00"/>
    <s v="FY21"/>
    <s v="t"/>
    <n v="0"/>
    <n v="0.48"/>
    <n v="0"/>
    <n v="0.48"/>
    <n v="0"/>
    <n v="10"/>
    <n v="0"/>
    <n v="10"/>
    <n v="0"/>
    <n v="100"/>
    <n v="0"/>
    <s v="Consolidation"/>
    <s v="CO2e and Base Measure"/>
    <n v="100"/>
    <n v="100"/>
    <n v="0.48"/>
    <m/>
    <m/>
    <m/>
    <m/>
    <m/>
    <m/>
    <n v="0"/>
    <m/>
    <m/>
    <m/>
    <m/>
    <m/>
    <m/>
    <s v="AUD"/>
    <s v="13565917Waste Recycled - Commingled [t]"/>
    <n v="13565917"/>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09-01T00:00:00"/>
    <s v="FY21"/>
    <s v="t"/>
    <n v="0"/>
    <n v="0.192"/>
    <n v="0"/>
    <n v="0.192"/>
    <n v="0"/>
    <n v="2"/>
    <n v="0"/>
    <n v="2"/>
    <n v="0"/>
    <n v="100"/>
    <n v="0"/>
    <s v="Consolidation"/>
    <s v="CO2e and Base Measure"/>
    <n v="100"/>
    <n v="100"/>
    <n v="0.19"/>
    <m/>
    <m/>
    <m/>
    <m/>
    <m/>
    <m/>
    <n v="0"/>
    <m/>
    <m/>
    <m/>
    <m/>
    <m/>
    <m/>
    <s v="AUD"/>
    <s v="13565917Waste Recycled - Commingled [t]"/>
    <n v="13565917"/>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10-01T00:00:00"/>
    <s v="FY21"/>
    <s v="t"/>
    <n v="0"/>
    <n v="0.38400000000000001"/>
    <n v="0"/>
    <n v="0.38400000000000001"/>
    <n v="0"/>
    <n v="8"/>
    <n v="0"/>
    <n v="8"/>
    <n v="0"/>
    <n v="100"/>
    <n v="0"/>
    <s v="Consolidation"/>
    <s v="CO2e and Base Measure"/>
    <n v="100"/>
    <n v="100"/>
    <n v="0.38"/>
    <m/>
    <m/>
    <m/>
    <m/>
    <m/>
    <m/>
    <n v="0"/>
    <m/>
    <m/>
    <m/>
    <m/>
    <m/>
    <m/>
    <s v="AUD"/>
    <s v="13565917Waste Recycled - Commingled [t]"/>
    <n v="13565917"/>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11-01T00:00:00"/>
    <s v="FY21"/>
    <s v="t"/>
    <n v="0"/>
    <n v="0.38400000000000001"/>
    <n v="0"/>
    <n v="0.38400000000000001"/>
    <n v="0"/>
    <n v="4"/>
    <n v="0"/>
    <n v="4"/>
    <n v="0"/>
    <n v="100"/>
    <n v="0"/>
    <s v="Consolidation"/>
    <s v="CO2e and Base Measure"/>
    <n v="100"/>
    <n v="100"/>
    <n v="0.38"/>
    <m/>
    <m/>
    <m/>
    <m/>
    <m/>
    <m/>
    <n v="0"/>
    <m/>
    <m/>
    <m/>
    <m/>
    <m/>
    <m/>
    <s v="AUD"/>
    <s v="13565917Waste Recycled - Commingled [t]"/>
    <n v="13565917"/>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12-01T00:00:00"/>
    <s v="FY21"/>
    <s v="t"/>
    <n v="0"/>
    <n v="0"/>
    <n v="0.01"/>
    <n v="0.01"/>
    <n v="0"/>
    <n v="0"/>
    <n v="1"/>
    <n v="1"/>
    <n v="0"/>
    <n v="0"/>
    <n v="100"/>
    <s v="Consolidation"/>
    <s v="CO2e and Base Measure"/>
    <n v="100"/>
    <n v="100"/>
    <n v="0.01"/>
    <m/>
    <m/>
    <m/>
    <m/>
    <m/>
    <m/>
    <n v="0"/>
    <m/>
    <m/>
    <m/>
    <m/>
    <m/>
    <m/>
    <s v="AUD"/>
    <s v="13565917Waste Recycled - Commingled [t]"/>
    <n v="135659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0-09-01T00:00:00"/>
    <s v="FY21"/>
    <s v="t"/>
    <n v="8.0000000000000002E-3"/>
    <n v="0"/>
    <n v="0"/>
    <n v="8.0000000000000002E-3"/>
    <n v="1"/>
    <n v="0"/>
    <n v="0"/>
    <n v="1"/>
    <n v="100"/>
    <n v="0"/>
    <n v="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0-10-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0-11-01T00:00:00"/>
    <s v="FY21"/>
    <s v="t"/>
    <n v="0"/>
    <n v="0"/>
    <n v="8.9999999999999993E-3"/>
    <n v="8.9999999999999993E-3"/>
    <n v="0"/>
    <n v="0"/>
    <n v="30"/>
    <n v="30"/>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0-12-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1"/>
    <s v="Account"/>
    <s v="Remondis Electrical Comp. (E-Waste)"/>
    <m/>
    <s v="423033070000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576293Waste Recycled - E-waste [t]"/>
    <n v="13576293"/>
  </r>
  <r>
    <d v="2019-07-01T00:00:00"/>
    <d v="2021-06-30T00:00:00"/>
    <s v="Telstra"/>
    <s v="NON-NETWORK"/>
    <s v="NON-NETWORK"/>
    <s v="WA"/>
    <s v="Australia"/>
    <s v="Perth"/>
    <s v="125 ST GEORGES TERRACE"/>
    <n v="423033070000"/>
    <s v="Recycled Waste"/>
    <x v="0"/>
    <x v="1"/>
    <s v="Account"/>
    <s v="Remondis Electrical Comp. (E-Waste)"/>
    <m/>
    <s v="423033070000_RELECTRIC"/>
    <s v="ELECTRICAL COMP. E-WASTE"/>
    <s v="Remondis"/>
    <m/>
    <m/>
    <d v="2021-01-01T00:00:00"/>
    <d v="2021-01-01T00:00:00"/>
    <s v="FY21"/>
    <s v="t"/>
    <n v="0"/>
    <n v="0"/>
    <n v="1.5E-3"/>
    <n v="1.5E-3"/>
    <n v="0"/>
    <n v="0"/>
    <n v="1"/>
    <n v="1"/>
    <n v="0"/>
    <n v="0"/>
    <n v="100"/>
    <s v="Consolidation"/>
    <s v="CO2e and Base Measure"/>
    <n v="100"/>
    <n v="100"/>
    <n v="0"/>
    <m/>
    <m/>
    <m/>
    <m/>
    <m/>
    <m/>
    <m/>
    <m/>
    <m/>
    <m/>
    <m/>
    <m/>
    <m/>
    <s v="AUD"/>
    <s v="13576293Waste Recycled - E-waste [t]"/>
    <n v="13576293"/>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07-01T00:00:00"/>
    <s v="FY21"/>
    <s v="t"/>
    <n v="2.69E-2"/>
    <n v="0"/>
    <n v="0"/>
    <n v="2.69E-2"/>
    <n v="19"/>
    <n v="0"/>
    <n v="0"/>
    <n v="19"/>
    <n v="100"/>
    <n v="0"/>
    <n v="0"/>
    <s v="Consolidation"/>
    <s v="CO2e and Base Measure"/>
    <n v="100"/>
    <n v="100"/>
    <n v="0.03"/>
    <m/>
    <m/>
    <m/>
    <m/>
    <m/>
    <n v="3.5000000000000003E-2"/>
    <m/>
    <n v="3.5000000000000003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08-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09-01T00:00:00"/>
    <s v="FY21"/>
    <s v="t"/>
    <n v="4.2500000000000003E-2"/>
    <n v="0"/>
    <n v="0"/>
    <n v="4.2500000000000003E-2"/>
    <n v="30"/>
    <n v="0"/>
    <n v="0"/>
    <n v="30"/>
    <n v="100"/>
    <n v="0"/>
    <n v="0"/>
    <s v="Consolidation"/>
    <s v="CO2e and Base Measure"/>
    <n v="100"/>
    <n v="100"/>
    <n v="0.04"/>
    <m/>
    <m/>
    <m/>
    <m/>
    <m/>
    <n v="5.5300000000000002E-2"/>
    <m/>
    <n v="5.5300000000000002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10-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11-01T00:00:00"/>
    <s v="FY21"/>
    <s v="t"/>
    <n v="4.2500000000000003E-2"/>
    <n v="0"/>
    <n v="0"/>
    <n v="4.2500000000000003E-2"/>
    <n v="30"/>
    <n v="0"/>
    <n v="0"/>
    <n v="30"/>
    <n v="100"/>
    <n v="0"/>
    <n v="0"/>
    <s v="Consolidation"/>
    <s v="CO2e and Base Measure"/>
    <n v="100"/>
    <n v="100"/>
    <n v="0.04"/>
    <m/>
    <m/>
    <m/>
    <m/>
    <m/>
    <n v="5.5300000000000002E-2"/>
    <m/>
    <n v="5.5300000000000002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12-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1-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2-01T00:00:00"/>
    <s v="FY21"/>
    <s v="t"/>
    <n v="3.9699999999999999E-2"/>
    <n v="0"/>
    <n v="0"/>
    <n v="3.9699999999999999E-2"/>
    <n v="28"/>
    <n v="0"/>
    <n v="0"/>
    <n v="28"/>
    <n v="100"/>
    <n v="0"/>
    <n v="0"/>
    <s v="Consolidation"/>
    <s v="CO2e and Base Measure"/>
    <n v="100"/>
    <n v="100"/>
    <n v="0.04"/>
    <m/>
    <m/>
    <m/>
    <m/>
    <m/>
    <n v="5.16E-2"/>
    <m/>
    <n v="5.16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3-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4-01T00:00:00"/>
    <s v="FY21"/>
    <s v="t"/>
    <n v="0"/>
    <n v="0"/>
    <n v="4.2000000000000003E-2"/>
    <n v="4.2000000000000003E-2"/>
    <n v="0"/>
    <n v="0"/>
    <n v="30"/>
    <n v="30"/>
    <n v="0"/>
    <n v="0"/>
    <n v="100"/>
    <s v="Consolidation"/>
    <s v="CO2e and Base Measure"/>
    <n v="100"/>
    <n v="100"/>
    <n v="0.04"/>
    <m/>
    <m/>
    <m/>
    <m/>
    <m/>
    <n v="5.4600000000000003E-2"/>
    <m/>
    <n v="5.4600000000000003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5-01T00:00:00"/>
    <s v="FY21"/>
    <s v="t"/>
    <n v="0"/>
    <n v="0"/>
    <n v="4.3400000000000001E-2"/>
    <n v="4.3400000000000001E-2"/>
    <n v="0"/>
    <n v="0"/>
    <n v="31"/>
    <n v="31"/>
    <n v="0"/>
    <n v="0"/>
    <n v="100"/>
    <s v="Consolidation"/>
    <s v="CO2e and Base Measure"/>
    <n v="100"/>
    <n v="100"/>
    <n v="0.04"/>
    <m/>
    <m/>
    <m/>
    <m/>
    <m/>
    <n v="5.6399999999999999E-2"/>
    <m/>
    <n v="5.6399999999999999E-2"/>
    <m/>
    <m/>
    <m/>
    <m/>
    <m/>
    <s v="AUD"/>
    <s v="13644077Waste - General [t] - Scope 3"/>
    <n v="13644077"/>
  </r>
  <r>
    <d v="2019-07-01T00:00:00"/>
    <d v="2021-06-30T00:00:00"/>
    <s v="Telstra"/>
    <s v="NON-NETWORK"/>
    <s v="NON-NETWORK"/>
    <s v="WA"/>
    <s v="Australia"/>
    <s v="Perth"/>
    <s v="125 ST GEORGES TERRACE"/>
    <n v="423033070000"/>
    <s v="Recycled Waste"/>
    <x v="0"/>
    <x v="6"/>
    <s v="Account"/>
    <s v="Recycled - Other Ow"/>
    <m/>
    <s v="BP_Telstra_Level 16_Coffee Grounds"/>
    <s v="423033070000 - Brookfield Properties"/>
    <s v="Dimeo"/>
    <m/>
    <m/>
    <m/>
    <d v="2021-01-01T00:00:00"/>
    <s v="FY21"/>
    <s v="t"/>
    <n v="6.8999999999999999E-3"/>
    <n v="0"/>
    <n v="0"/>
    <n v="6.8999999999999999E-3"/>
    <n v="1"/>
    <n v="0"/>
    <n v="0"/>
    <n v="1"/>
    <n v="100"/>
    <n v="0"/>
    <n v="0"/>
    <s v="Consolidation"/>
    <s v="CO2e and Base Measure"/>
    <n v="100"/>
    <n v="100"/>
    <n v="0.01"/>
    <m/>
    <m/>
    <m/>
    <m/>
    <m/>
    <m/>
    <m/>
    <m/>
    <m/>
    <m/>
    <m/>
    <m/>
    <m/>
    <s v="AUD"/>
    <s v="13644078Waste Recycled - Other [t]"/>
    <n v="13644078"/>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07-01T00:00:00"/>
    <s v="FY21"/>
    <s v="t"/>
    <n v="1.3599999999999999E-2"/>
    <n v="0"/>
    <n v="0"/>
    <n v="1.3599999999999999E-2"/>
    <n v="19"/>
    <n v="0"/>
    <n v="0"/>
    <n v="19"/>
    <n v="100"/>
    <n v="0"/>
    <n v="0"/>
    <s v="Consolidation"/>
    <s v="CO2e and Base Measure"/>
    <n v="100"/>
    <n v="100"/>
    <n v="0.01"/>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08-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09-01T00:00:00"/>
    <s v="FY21"/>
    <s v="t"/>
    <n v="2.1499999999999998E-2"/>
    <n v="0"/>
    <n v="0"/>
    <n v="2.1499999999999998E-2"/>
    <n v="30"/>
    <n v="0"/>
    <n v="0"/>
    <n v="30"/>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10-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11-01T00:00:00"/>
    <s v="FY21"/>
    <s v="t"/>
    <n v="2.1499999999999998E-2"/>
    <n v="0"/>
    <n v="0"/>
    <n v="2.1499999999999998E-2"/>
    <n v="30"/>
    <n v="0"/>
    <n v="0"/>
    <n v="30"/>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12-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1-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2-01T00:00:00"/>
    <s v="FY21"/>
    <s v="t"/>
    <n v="0.02"/>
    <n v="0"/>
    <n v="0"/>
    <n v="0.02"/>
    <n v="28"/>
    <n v="0"/>
    <n v="0"/>
    <n v="28"/>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3-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4-01T00:00:00"/>
    <s v="FY21"/>
    <s v="t"/>
    <n v="0"/>
    <n v="0"/>
    <n v="2.1000000000000001E-2"/>
    <n v="2.1000000000000001E-2"/>
    <n v="0"/>
    <n v="0"/>
    <n v="30"/>
    <n v="30"/>
    <n v="0"/>
    <n v="0"/>
    <n v="10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5-01T00:00:00"/>
    <s v="FY21"/>
    <s v="t"/>
    <n v="0"/>
    <n v="0"/>
    <n v="2.1700000000000001E-2"/>
    <n v="2.1700000000000001E-2"/>
    <n v="0"/>
    <n v="0"/>
    <n v="31"/>
    <n v="31"/>
    <n v="0"/>
    <n v="0"/>
    <n v="10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07-01T00:00:00"/>
    <s v="FY21"/>
    <s v="t"/>
    <n v="5.7200000000000001E-2"/>
    <n v="0"/>
    <n v="0"/>
    <n v="5.7200000000000001E-2"/>
    <n v="1"/>
    <n v="0"/>
    <n v="0"/>
    <n v="1"/>
    <n v="100"/>
    <n v="0"/>
    <n v="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08-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09-01T00:00:00"/>
    <s v="FY21"/>
    <s v="t"/>
    <n v="0"/>
    <n v="0"/>
    <n v="5.7000000000000002E-2"/>
    <n v="5.7000000000000002E-2"/>
    <n v="0"/>
    <n v="0"/>
    <n v="30"/>
    <n v="30"/>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10-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11-01T00:00:00"/>
    <s v="FY21"/>
    <s v="t"/>
    <n v="0"/>
    <n v="0"/>
    <n v="5.7000000000000002E-2"/>
    <n v="5.7000000000000002E-2"/>
    <n v="0"/>
    <n v="0"/>
    <n v="30"/>
    <n v="30"/>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12-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1-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2-01T00:00:00"/>
    <s v="FY21"/>
    <s v="t"/>
    <n v="0"/>
    <n v="0"/>
    <n v="5.3199999999999997E-2"/>
    <n v="5.3199999999999997E-2"/>
    <n v="0"/>
    <n v="0"/>
    <n v="28"/>
    <n v="28"/>
    <n v="0"/>
    <n v="0"/>
    <n v="100"/>
    <s v="Consolidation"/>
    <s v="CO2e and Base Measure"/>
    <n v="100"/>
    <n v="100"/>
    <n v="0.05"/>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3-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4-01T00:00:00"/>
    <s v="FY21"/>
    <s v="t"/>
    <n v="0"/>
    <n v="0"/>
    <n v="5.7000000000000002E-2"/>
    <n v="5.7000000000000002E-2"/>
    <n v="0"/>
    <n v="0"/>
    <n v="30"/>
    <n v="30"/>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5-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6"/>
    <s v="Account"/>
    <s v="Recycled - Other Ow"/>
    <m/>
    <s v="BP_Telstra_Level 16_Glass"/>
    <s v="423033070000 - Brookfield Properties"/>
    <s v="Dimeo"/>
    <m/>
    <m/>
    <m/>
    <d v="2021-01-01T00:00:00"/>
    <s v="FY21"/>
    <s v="t"/>
    <n v="1.47E-2"/>
    <n v="0"/>
    <n v="0"/>
    <n v="1.47E-2"/>
    <n v="1"/>
    <n v="0"/>
    <n v="0"/>
    <n v="1"/>
    <n v="100"/>
    <n v="0"/>
    <n v="0"/>
    <s v="Consolidation"/>
    <s v="CO2e and Base Measure"/>
    <n v="100"/>
    <n v="100"/>
    <n v="0.01"/>
    <m/>
    <m/>
    <m/>
    <m/>
    <m/>
    <m/>
    <m/>
    <m/>
    <m/>
    <m/>
    <m/>
    <m/>
    <m/>
    <s v="AUD"/>
    <s v="13644185Waste Recycled - Other [t]"/>
    <n v="13644185"/>
  </r>
  <r>
    <d v="2019-07-01T00:00:00"/>
    <d v="2021-06-30T00:00:00"/>
    <s v="Telstra"/>
    <s v="NON-NETWORK"/>
    <s v="NON-NETWORK"/>
    <s v="WA"/>
    <s v="Australia"/>
    <s v="Perth"/>
    <s v="125 ST GEORGES TERRACE"/>
    <n v="423033070000"/>
    <s v="Recycled Waste"/>
    <x v="0"/>
    <x v="6"/>
    <s v="Account"/>
    <s v="Recycled - Other Ow"/>
    <m/>
    <s v="BP_Telstra_Level 16_Pallets"/>
    <s v="423033070000 - Brookfield Properties"/>
    <s v="Dimeo"/>
    <m/>
    <m/>
    <m/>
    <d v="2020-07-01T00:00:00"/>
    <s v="FY21"/>
    <s v="t"/>
    <n v="1.4999999999999999E-2"/>
    <n v="0"/>
    <n v="0"/>
    <n v="1.4999999999999999E-2"/>
    <n v="1"/>
    <n v="0"/>
    <n v="0"/>
    <n v="1"/>
    <n v="100"/>
    <n v="0"/>
    <n v="0"/>
    <s v="Consolidation"/>
    <s v="CO2e and Base Measure"/>
    <n v="100"/>
    <n v="100"/>
    <n v="0.02"/>
    <m/>
    <m/>
    <m/>
    <m/>
    <m/>
    <m/>
    <m/>
    <m/>
    <m/>
    <m/>
    <m/>
    <m/>
    <m/>
    <s v="AUD"/>
    <s v="13644186Waste Recycled - Other [t]"/>
    <n v="13644186"/>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0-12-01T00:00:00"/>
    <s v="FY21"/>
    <s v="t"/>
    <n v="1.1000000000000001E-3"/>
    <n v="0"/>
    <n v="0"/>
    <n v="1.1000000000000001E-3"/>
    <n v="16"/>
    <n v="0"/>
    <n v="0"/>
    <n v="16"/>
    <n v="100"/>
    <n v="0"/>
    <n v="0"/>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1-01T00:00:00"/>
    <s v="FY21"/>
    <s v="t"/>
    <n v="2.2000000000000001E-3"/>
    <n v="0"/>
    <n v="0"/>
    <n v="2.2000000000000001E-3"/>
    <n v="31"/>
    <n v="0"/>
    <n v="0"/>
    <n v="31"/>
    <n v="100"/>
    <n v="0"/>
    <n v="0"/>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2-01T00:00:00"/>
    <s v="FY21"/>
    <s v="t"/>
    <n v="4.0000000000000002E-4"/>
    <n v="0"/>
    <n v="0"/>
    <n v="4.0000000000000002E-4"/>
    <n v="6"/>
    <n v="0"/>
    <n v="0"/>
    <n v="6"/>
    <n v="100"/>
    <n v="0"/>
    <n v="0"/>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3-01T00:00:00"/>
    <s v="FY21"/>
    <s v="t"/>
    <n v="0"/>
    <n v="0"/>
    <n v="0"/>
    <n v="0"/>
    <n v="0"/>
    <n v="0"/>
    <n v="31"/>
    <n v="31"/>
    <m/>
    <m/>
    <m/>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4-01T00:00:00"/>
    <s v="FY21"/>
    <s v="t"/>
    <n v="0"/>
    <n v="0"/>
    <n v="0"/>
    <n v="0"/>
    <n v="0"/>
    <n v="0"/>
    <n v="30"/>
    <n v="30"/>
    <m/>
    <m/>
    <m/>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5-01T00:00:00"/>
    <s v="FY21"/>
    <s v="t"/>
    <n v="0"/>
    <n v="0"/>
    <n v="0"/>
    <n v="0"/>
    <n v="0"/>
    <n v="0"/>
    <n v="31"/>
    <n v="31"/>
    <m/>
    <m/>
    <m/>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08-01T00:00:00"/>
    <s v="FY21"/>
    <s v="t"/>
    <n v="4.2099999999999999E-2"/>
    <n v="0"/>
    <n v="0"/>
    <n v="4.2099999999999999E-2"/>
    <n v="25"/>
    <n v="0"/>
    <n v="0"/>
    <n v="25"/>
    <n v="100"/>
    <n v="0"/>
    <n v="0"/>
    <s v="Consolidation"/>
    <s v="CO2e and Base Measure"/>
    <n v="100"/>
    <n v="100"/>
    <n v="0.04"/>
    <m/>
    <m/>
    <m/>
    <m/>
    <m/>
    <n v="5.4699999999999999E-2"/>
    <m/>
    <n v="5.4699999999999999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09-01T00:00:00"/>
    <s v="FY21"/>
    <s v="t"/>
    <n v="5.0500000000000003E-2"/>
    <n v="0"/>
    <n v="0"/>
    <n v="5.0500000000000003E-2"/>
    <n v="30"/>
    <n v="0"/>
    <n v="0"/>
    <n v="30"/>
    <n v="100"/>
    <n v="0"/>
    <n v="0"/>
    <s v="Consolidation"/>
    <s v="CO2e and Base Measure"/>
    <n v="100"/>
    <n v="100"/>
    <n v="0.05"/>
    <m/>
    <m/>
    <m/>
    <m/>
    <m/>
    <n v="6.5699999999999995E-2"/>
    <m/>
    <n v="6.5699999999999995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10-01T00:00:00"/>
    <s v="FY21"/>
    <s v="t"/>
    <n v="5.2200000000000003E-2"/>
    <n v="0"/>
    <n v="0"/>
    <n v="5.2200000000000003E-2"/>
    <n v="31"/>
    <n v="0"/>
    <n v="0"/>
    <n v="31"/>
    <n v="100"/>
    <n v="0"/>
    <n v="0"/>
    <s v="Consolidation"/>
    <s v="CO2e and Base Measure"/>
    <n v="100"/>
    <n v="100"/>
    <n v="0.05"/>
    <m/>
    <m/>
    <m/>
    <m/>
    <m/>
    <n v="6.7900000000000002E-2"/>
    <m/>
    <n v="6.7900000000000002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11-01T00:00:00"/>
    <s v="FY21"/>
    <s v="t"/>
    <n v="5.0500000000000003E-2"/>
    <n v="0"/>
    <n v="0"/>
    <n v="5.0500000000000003E-2"/>
    <n v="30"/>
    <n v="0"/>
    <n v="0"/>
    <n v="30"/>
    <n v="100"/>
    <n v="0"/>
    <n v="0"/>
    <s v="Consolidation"/>
    <s v="CO2e and Base Measure"/>
    <n v="100"/>
    <n v="100"/>
    <n v="0.05"/>
    <m/>
    <m/>
    <m/>
    <m/>
    <m/>
    <n v="6.5699999999999995E-2"/>
    <m/>
    <n v="6.5699999999999995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12-01T00:00:00"/>
    <s v="FY21"/>
    <s v="t"/>
    <n v="5.2200000000000003E-2"/>
    <n v="0"/>
    <n v="0"/>
    <n v="5.2200000000000003E-2"/>
    <n v="31"/>
    <n v="0"/>
    <n v="0"/>
    <n v="31"/>
    <n v="100"/>
    <n v="0"/>
    <n v="0"/>
    <s v="Consolidation"/>
    <s v="CO2e and Base Measure"/>
    <n v="100"/>
    <n v="100"/>
    <n v="0.05"/>
    <m/>
    <m/>
    <m/>
    <m/>
    <m/>
    <n v="6.7900000000000002E-2"/>
    <m/>
    <n v="6.7900000000000002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1-01T00:00:00"/>
    <s v="FY21"/>
    <s v="t"/>
    <n v="5.2200000000000003E-2"/>
    <n v="0"/>
    <n v="0"/>
    <n v="5.2200000000000003E-2"/>
    <n v="31"/>
    <n v="0"/>
    <n v="0"/>
    <n v="31"/>
    <n v="100"/>
    <n v="0"/>
    <n v="0"/>
    <s v="Consolidation"/>
    <s v="CO2e and Base Measure"/>
    <n v="100"/>
    <n v="100"/>
    <n v="0.05"/>
    <m/>
    <m/>
    <m/>
    <m/>
    <m/>
    <n v="6.7900000000000002E-2"/>
    <m/>
    <n v="6.7900000000000002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2-01T00:00:00"/>
    <s v="FY21"/>
    <s v="t"/>
    <n v="4.7100000000000003E-2"/>
    <n v="0"/>
    <n v="0"/>
    <n v="4.7100000000000003E-2"/>
    <n v="28"/>
    <n v="0"/>
    <n v="0"/>
    <n v="28"/>
    <n v="100"/>
    <n v="0"/>
    <n v="0"/>
    <s v="Consolidation"/>
    <s v="CO2e and Base Measure"/>
    <n v="100"/>
    <n v="100"/>
    <n v="0.05"/>
    <m/>
    <m/>
    <m/>
    <m/>
    <m/>
    <n v="6.1199999999999997E-2"/>
    <m/>
    <n v="6.1199999999999997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3-01T00:00:00"/>
    <s v="FY21"/>
    <s v="t"/>
    <n v="5.2200000000000003E-2"/>
    <n v="0"/>
    <n v="0"/>
    <n v="5.2200000000000003E-2"/>
    <n v="31"/>
    <n v="0"/>
    <n v="0"/>
    <n v="31"/>
    <n v="100"/>
    <n v="0"/>
    <n v="0"/>
    <s v="Consolidation"/>
    <s v="CO2e and Base Measure"/>
    <n v="100"/>
    <n v="100"/>
    <n v="0.05"/>
    <m/>
    <m/>
    <m/>
    <m/>
    <m/>
    <n v="6.7900000000000002E-2"/>
    <m/>
    <n v="6.7900000000000002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4-01T00:00:00"/>
    <s v="FY21"/>
    <s v="t"/>
    <n v="0"/>
    <n v="0"/>
    <n v="4.8000000000000001E-2"/>
    <n v="4.8000000000000001E-2"/>
    <n v="0"/>
    <n v="0"/>
    <n v="30"/>
    <n v="30"/>
    <n v="0"/>
    <n v="0"/>
    <n v="100"/>
    <s v="Consolidation"/>
    <s v="CO2e and Base Measure"/>
    <n v="100"/>
    <n v="100"/>
    <n v="0.05"/>
    <m/>
    <m/>
    <m/>
    <m/>
    <m/>
    <n v="6.2399999999999997E-2"/>
    <m/>
    <n v="6.2399999999999997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5-01T00:00:00"/>
    <s v="FY21"/>
    <s v="t"/>
    <n v="0"/>
    <n v="0"/>
    <n v="4.9599999999999998E-2"/>
    <n v="4.9599999999999998E-2"/>
    <n v="0"/>
    <n v="0"/>
    <n v="31"/>
    <n v="31"/>
    <n v="0"/>
    <n v="0"/>
    <n v="100"/>
    <s v="Consolidation"/>
    <s v="CO2e and Base Measure"/>
    <n v="100"/>
    <n v="100"/>
    <n v="0.05"/>
    <m/>
    <m/>
    <m/>
    <m/>
    <m/>
    <n v="6.4500000000000002E-2"/>
    <m/>
    <n v="6.4500000000000002E-2"/>
    <m/>
    <m/>
    <m/>
    <m/>
    <m/>
    <s v="AUD"/>
    <s v="13644188Waste - General [t] - Scope 3"/>
    <n v="13644188"/>
  </r>
  <r>
    <d v="2019-07-01T00:00:00"/>
    <d v="2021-06-30T00:00:00"/>
    <s v="Telstra"/>
    <s v="NON-NETWORK"/>
    <s v="NON-NETWORK"/>
    <s v="WA"/>
    <s v="Australia"/>
    <s v="Perth"/>
    <s v="125 ST GEORGES TERRACE"/>
    <n v="423033070000"/>
    <s v="Recycled Waste"/>
    <x v="0"/>
    <x v="6"/>
    <s v="Account"/>
    <s v="Recycled - Other Ow"/>
    <m/>
    <s v="BP_Telstra_Level 17_Organic"/>
    <s v="423033070000 - Brookfield Properties"/>
    <s v="Dimeo"/>
    <m/>
    <m/>
    <m/>
    <d v="2020-12-01T00:00:00"/>
    <s v="FY21"/>
    <s v="t"/>
    <n v="1E-4"/>
    <n v="0"/>
    <n v="0"/>
    <n v="1E-4"/>
    <n v="18"/>
    <n v="0"/>
    <n v="0"/>
    <n v="18"/>
    <n v="100"/>
    <n v="0"/>
    <n v="0"/>
    <s v="Consolidation"/>
    <s v="CO2e and Base Measure"/>
    <n v="100"/>
    <n v="100"/>
    <n v="0"/>
    <m/>
    <m/>
    <m/>
    <m/>
    <m/>
    <m/>
    <m/>
    <m/>
    <m/>
    <m/>
    <m/>
    <m/>
    <m/>
    <s v="AUD"/>
    <s v="13644189Waste Recycled - Other [t]"/>
    <n v="13644189"/>
  </r>
  <r>
    <d v="2019-07-01T00:00:00"/>
    <d v="2021-06-30T00:00:00"/>
    <s v="Telstra"/>
    <s v="NON-NETWORK"/>
    <s v="NON-NETWORK"/>
    <s v="WA"/>
    <s v="Australia"/>
    <s v="Perth"/>
    <s v="125 ST GEORGES TERRACE"/>
    <n v="423033070000"/>
    <s v="Recycled Waste"/>
    <x v="0"/>
    <x v="6"/>
    <s v="Account"/>
    <s v="Recycled - Other Ow"/>
    <m/>
    <s v="BP_Telstra_Level 17_Organic"/>
    <s v="423033070000 - Brookfield Properties"/>
    <s v="Dimeo"/>
    <m/>
    <m/>
    <m/>
    <d v="2021-01-01T00:00:00"/>
    <s v="FY21"/>
    <s v="t"/>
    <n v="2.0000000000000001E-4"/>
    <n v="0"/>
    <n v="0"/>
    <n v="2.0000000000000001E-4"/>
    <n v="31"/>
    <n v="0"/>
    <n v="0"/>
    <n v="31"/>
    <n v="100"/>
    <n v="0"/>
    <n v="0"/>
    <s v="Consolidation"/>
    <s v="CO2e and Base Measure"/>
    <n v="100"/>
    <n v="100"/>
    <n v="0"/>
    <m/>
    <m/>
    <m/>
    <m/>
    <m/>
    <m/>
    <m/>
    <m/>
    <m/>
    <m/>
    <m/>
    <m/>
    <m/>
    <s v="AUD"/>
    <s v="13644189Waste Recycled - Other [t]"/>
    <n v="13644189"/>
  </r>
  <r>
    <d v="2019-07-01T00:00:00"/>
    <d v="2021-06-30T00:00:00"/>
    <s v="Telstra"/>
    <s v="NON-NETWORK"/>
    <s v="NON-NETWORK"/>
    <s v="WA"/>
    <s v="Australia"/>
    <s v="Perth"/>
    <s v="125 ST GEORGES TERRACE"/>
    <n v="423033070000"/>
    <s v="Recycled Waste"/>
    <x v="0"/>
    <x v="6"/>
    <s v="Account"/>
    <s v="Recycled - Other Ow"/>
    <m/>
    <s v="BP_Telstra_Level 17_Organic"/>
    <s v="423033070000 - Brookfield Properties"/>
    <s v="Dimeo"/>
    <m/>
    <m/>
    <m/>
    <d v="2021-02-01T00:00:00"/>
    <s v="FY21"/>
    <s v="t"/>
    <n v="2.0000000000000001E-4"/>
    <n v="0"/>
    <n v="0"/>
    <n v="2.0000000000000001E-4"/>
    <n v="28"/>
    <n v="0"/>
    <n v="0"/>
    <n v="28"/>
    <n v="100"/>
    <n v="0"/>
    <n v="0"/>
    <s v="Consolidation"/>
    <s v="CO2e and Base Measure"/>
    <n v="100"/>
    <n v="100"/>
    <n v="0"/>
    <m/>
    <m/>
    <m/>
    <m/>
    <m/>
    <m/>
    <m/>
    <m/>
    <m/>
    <m/>
    <m/>
    <m/>
    <m/>
    <s v="AUD"/>
    <s v="13644189Waste Recycled - Other [t]"/>
    <n v="13644189"/>
  </r>
  <r>
    <d v="2019-07-01T00:00:00"/>
    <d v="2021-06-30T00:00:00"/>
    <s v="Telstra"/>
    <s v="NON-NETWORK"/>
    <s v="NON-NETWORK"/>
    <s v="WA"/>
    <s v="Australia"/>
    <s v="Perth"/>
    <s v="125 ST GEORGES TERRACE"/>
    <n v="423033070000"/>
    <s v="Recycled Waste"/>
    <x v="0"/>
    <x v="6"/>
    <s v="Account"/>
    <s v="Recycled - Other Ow"/>
    <m/>
    <s v="BP_Telstra_Level 17_Organic"/>
    <s v="423033070000 - Brookfield Properties"/>
    <s v="Dimeo"/>
    <m/>
    <m/>
    <m/>
    <d v="2021-03-01T00:00:00"/>
    <s v="FY21"/>
    <s v="t"/>
    <n v="2.0000000000000001E-4"/>
    <n v="0"/>
    <n v="0"/>
    <n v="2.0000000000000001E-4"/>
    <n v="26"/>
    <n v="0"/>
    <n v="0"/>
    <n v="26"/>
    <n v="100"/>
    <n v="0"/>
    <n v="0"/>
    <s v="Consolidation"/>
    <s v="CO2e and Base Measure"/>
    <n v="100"/>
    <n v="100"/>
    <n v="0"/>
    <m/>
    <m/>
    <m/>
    <m/>
    <m/>
    <m/>
    <m/>
    <m/>
    <m/>
    <m/>
    <m/>
    <m/>
    <m/>
    <s v="AUD"/>
    <s v="13644189Waste Recycled - Other [t]"/>
    <n v="13644189"/>
  </r>
  <r>
    <d v="2019-07-01T00:00:00"/>
    <d v="2021-06-30T00:00:00"/>
    <s v="Telstra"/>
    <s v="NON-NETWORK"/>
    <s v="NON-NETWORK"/>
    <s v="WA"/>
    <s v="Australia"/>
    <s v="Perth"/>
    <s v="125 ST GEORGES TERRACE"/>
    <n v="423033070000"/>
    <s v="Recycled Waste"/>
    <x v="0"/>
    <x v="6"/>
    <s v="Account"/>
    <s v="Recycled - Other Ow"/>
    <m/>
    <s v="BP_Telstra_Level 17_Pallets"/>
    <s v="423033070000 - Brookfield Properties"/>
    <s v="Dimeo"/>
    <m/>
    <m/>
    <m/>
    <d v="2020-07-01T00:00:00"/>
    <s v="FY21"/>
    <s v="t"/>
    <n v="5.0000000000000001E-3"/>
    <n v="0"/>
    <n v="0"/>
    <n v="5.0000000000000001E-3"/>
    <n v="1"/>
    <n v="0"/>
    <n v="0"/>
    <n v="1"/>
    <n v="100"/>
    <n v="0"/>
    <n v="0"/>
    <s v="Consolidation"/>
    <s v="CO2e and Base Measure"/>
    <n v="100"/>
    <n v="100"/>
    <n v="0.01"/>
    <m/>
    <m/>
    <m/>
    <m/>
    <m/>
    <m/>
    <m/>
    <m/>
    <m/>
    <m/>
    <m/>
    <m/>
    <m/>
    <s v="AUD"/>
    <s v="13644190Waste Recycled - Other [t]"/>
    <n v="13644190"/>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0-12-01T00:00:00"/>
    <s v="FY21"/>
    <s v="t"/>
    <n v="3.0999999999999999E-3"/>
    <n v="0"/>
    <n v="0"/>
    <n v="3.0999999999999999E-3"/>
    <n v="16"/>
    <n v="0"/>
    <n v="0"/>
    <n v="16"/>
    <n v="100"/>
    <n v="0"/>
    <n v="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1-01T00:00:00"/>
    <s v="FY21"/>
    <s v="t"/>
    <n v="6.0000000000000001E-3"/>
    <n v="0"/>
    <n v="0"/>
    <n v="6.0000000000000001E-3"/>
    <n v="31"/>
    <n v="0"/>
    <n v="0"/>
    <n v="31"/>
    <n v="100"/>
    <n v="0"/>
    <n v="0"/>
    <s v="Consolidation"/>
    <s v="CO2e and Base Measure"/>
    <n v="100"/>
    <n v="100"/>
    <n v="0.01"/>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2-01T00:00:00"/>
    <s v="FY21"/>
    <s v="t"/>
    <n v="2.3E-3"/>
    <n v="0"/>
    <n v="0"/>
    <n v="2.3E-3"/>
    <n v="12"/>
    <n v="0"/>
    <n v="0"/>
    <n v="12"/>
    <n v="100"/>
    <n v="0"/>
    <n v="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3-01T00:00:00"/>
    <s v="FY21"/>
    <s v="t"/>
    <n v="0"/>
    <n v="0"/>
    <n v="3.0999999999999999E-3"/>
    <n v="3.0999999999999999E-3"/>
    <n v="0"/>
    <n v="0"/>
    <n v="31"/>
    <n v="31"/>
    <n v="0"/>
    <n v="0"/>
    <n v="10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4-01T00:00:00"/>
    <s v="FY21"/>
    <s v="t"/>
    <n v="0"/>
    <n v="0"/>
    <n v="3.0000000000000001E-3"/>
    <n v="3.0000000000000001E-3"/>
    <n v="0"/>
    <n v="0"/>
    <n v="30"/>
    <n v="30"/>
    <n v="0"/>
    <n v="0"/>
    <n v="10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5-01T00:00:00"/>
    <s v="FY21"/>
    <s v="t"/>
    <n v="0"/>
    <n v="0"/>
    <n v="3.0999999999999999E-3"/>
    <n v="3.0999999999999999E-3"/>
    <n v="0"/>
    <n v="0"/>
    <n v="31"/>
    <n v="31"/>
    <n v="0"/>
    <n v="0"/>
    <n v="10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07-01T00:00:00"/>
    <s v="FY21"/>
    <s v="t"/>
    <n v="8.3000000000000001E-3"/>
    <n v="0"/>
    <n v="0"/>
    <n v="8.3000000000000001E-3"/>
    <n v="19"/>
    <n v="0"/>
    <n v="0"/>
    <n v="19"/>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08-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09-01T00:00:00"/>
    <s v="FY21"/>
    <s v="t"/>
    <n v="1.2999999999999999E-2"/>
    <n v="0"/>
    <n v="0"/>
    <n v="1.2999999999999999E-2"/>
    <n v="30"/>
    <n v="0"/>
    <n v="0"/>
    <n v="30"/>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10-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11-01T00:00:00"/>
    <s v="FY21"/>
    <s v="t"/>
    <n v="1.2999999999999999E-2"/>
    <n v="0"/>
    <n v="0"/>
    <n v="1.2999999999999999E-2"/>
    <n v="30"/>
    <n v="0"/>
    <n v="0"/>
    <n v="30"/>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12-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1-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2-01T00:00:00"/>
    <s v="FY21"/>
    <s v="t"/>
    <n v="1.2200000000000001E-2"/>
    <n v="0"/>
    <n v="0"/>
    <n v="1.2200000000000001E-2"/>
    <n v="28"/>
    <n v="0"/>
    <n v="0"/>
    <n v="28"/>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3-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4-01T00:00:00"/>
    <s v="FY21"/>
    <s v="t"/>
    <n v="0"/>
    <n v="0"/>
    <n v="1.2E-2"/>
    <n v="1.2E-2"/>
    <n v="0"/>
    <n v="0"/>
    <n v="30"/>
    <n v="30"/>
    <n v="0"/>
    <n v="0"/>
    <n v="10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5-01T00:00:00"/>
    <s v="FY21"/>
    <s v="t"/>
    <n v="0"/>
    <n v="0"/>
    <n v="1.24E-2"/>
    <n v="1.24E-2"/>
    <n v="0"/>
    <n v="0"/>
    <n v="31"/>
    <n v="31"/>
    <n v="0"/>
    <n v="0"/>
    <n v="100"/>
    <s v="Consolidation"/>
    <s v="CO2e and Base Measure"/>
    <n v="100"/>
    <n v="100"/>
    <n v="0.01"/>
    <m/>
    <m/>
    <m/>
    <m/>
    <m/>
    <m/>
    <n v="0"/>
    <m/>
    <m/>
    <m/>
    <m/>
    <m/>
    <m/>
    <s v="AUD"/>
    <s v="13644192Waste Recycled - Commingled [t]"/>
    <n v="13644192"/>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07-01T00:00:00"/>
    <s v="FY21"/>
    <s v="t"/>
    <n v="0"/>
    <n v="0.13"/>
    <n v="0"/>
    <n v="0.13"/>
    <n v="0"/>
    <n v="1"/>
    <n v="0"/>
    <n v="1"/>
    <n v="0"/>
    <n v="100"/>
    <n v="0"/>
    <s v="Consolidation"/>
    <s v="CO2e and Base Measure"/>
    <n v="100"/>
    <n v="100"/>
    <n v="0.13"/>
    <m/>
    <m/>
    <m/>
    <m/>
    <m/>
    <n v="0.16900000000000001"/>
    <m/>
    <n v="0.16900000000000001"/>
    <m/>
    <m/>
    <m/>
    <m/>
    <m/>
    <s v="AUD"/>
    <s v="13565531Waste - General [t] - Scope 3"/>
    <n v="13565531"/>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08-01T00:00:00"/>
    <s v="FY21"/>
    <s v="t"/>
    <n v="0"/>
    <n v="0.13"/>
    <n v="0"/>
    <n v="0.13"/>
    <n v="0"/>
    <n v="1"/>
    <n v="0"/>
    <n v="1"/>
    <n v="0"/>
    <n v="100"/>
    <n v="0"/>
    <s v="Consolidation"/>
    <s v="CO2e and Base Measure"/>
    <n v="100"/>
    <n v="100"/>
    <n v="0.13"/>
    <m/>
    <m/>
    <m/>
    <m/>
    <m/>
    <n v="0.16900000000000001"/>
    <m/>
    <n v="0.16900000000000001"/>
    <m/>
    <m/>
    <m/>
    <m/>
    <m/>
    <s v="AUD"/>
    <s v="13565531Waste - General [t] - Scope 3"/>
    <n v="13565531"/>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09-01T00:00:00"/>
    <s v="FY21"/>
    <s v="t"/>
    <n v="0"/>
    <n v="0.13"/>
    <n v="0"/>
    <n v="0.13"/>
    <n v="0"/>
    <n v="1"/>
    <n v="0"/>
    <n v="1"/>
    <n v="0"/>
    <n v="100"/>
    <n v="0"/>
    <s v="Consolidation"/>
    <s v="CO2e and Base Measure"/>
    <n v="100"/>
    <n v="100"/>
    <n v="0.13"/>
    <m/>
    <m/>
    <m/>
    <m/>
    <m/>
    <n v="0.16900000000000001"/>
    <m/>
    <n v="0.16900000000000001"/>
    <m/>
    <m/>
    <m/>
    <m/>
    <m/>
    <s v="AUD"/>
    <s v="13565531Waste - General [t] - Scope 3"/>
    <n v="13565531"/>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10-01T00:00:00"/>
    <s v="FY21"/>
    <s v="t"/>
    <n v="0"/>
    <n v="0.13"/>
    <n v="0"/>
    <n v="0.13"/>
    <n v="0"/>
    <n v="1"/>
    <n v="0"/>
    <n v="1"/>
    <n v="0"/>
    <n v="100"/>
    <n v="0"/>
    <s v="Consolidation"/>
    <s v="CO2e and Base Measure"/>
    <n v="100"/>
    <n v="100"/>
    <n v="0.13"/>
    <m/>
    <m/>
    <m/>
    <m/>
    <m/>
    <n v="0.16900000000000001"/>
    <m/>
    <n v="0.16900000000000001"/>
    <m/>
    <m/>
    <m/>
    <m/>
    <m/>
    <s v="AUD"/>
    <s v="13565531Waste - General [t] - Scope 3"/>
    <n v="13565531"/>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11-01T00:00:00"/>
    <s v="FY21"/>
    <s v="t"/>
    <n v="0"/>
    <n v="0"/>
    <n v="4.3E-3"/>
    <n v="4.3E-3"/>
    <n v="0"/>
    <n v="0"/>
    <n v="1"/>
    <n v="1"/>
    <n v="0"/>
    <n v="0"/>
    <n v="100"/>
    <s v="Consolidation"/>
    <s v="CO2e and Base Measure"/>
    <n v="100"/>
    <n v="100"/>
    <n v="0"/>
    <m/>
    <m/>
    <m/>
    <m/>
    <m/>
    <n v="5.5999999999999999E-3"/>
    <m/>
    <n v="5.5999999999999999E-3"/>
    <m/>
    <m/>
    <m/>
    <m/>
    <m/>
    <s v="AUD"/>
    <s v="13565531Waste - General [t] - Scope 3"/>
    <n v="13565531"/>
  </r>
  <r>
    <d v="2019-07-01T00:00:00"/>
    <d v="2021-06-30T00:00:00"/>
    <s v="Telstra"/>
    <s v="NON-NETWORK"/>
    <s v="NON-NETWORK"/>
    <s v="WA"/>
    <s v="Australia"/>
    <s v="Kununurra"/>
    <s v="13 KONKERBERRY DRIVE"/>
    <n v="423031103200"/>
    <s v="Waste"/>
    <x v="1"/>
    <x v="2"/>
    <s v="Account"/>
    <s v="CLEANAWAY General"/>
    <m/>
    <s v="31103200_Landfill_General"/>
    <s v="General"/>
    <s v="Cleanaway"/>
    <m/>
    <m/>
    <m/>
    <d v="2021-03-01T00:00:00"/>
    <s v="FY21"/>
    <s v="t"/>
    <n v="0"/>
    <n v="0.09"/>
    <n v="0"/>
    <n v="0.09"/>
    <n v="0"/>
    <n v="1"/>
    <n v="0"/>
    <n v="1"/>
    <n v="0"/>
    <n v="100"/>
    <n v="0"/>
    <s v="Consolidation"/>
    <s v="CO2e and Base Measure"/>
    <n v="100"/>
    <n v="100"/>
    <n v="0.09"/>
    <m/>
    <m/>
    <m/>
    <m/>
    <m/>
    <n v="0.11700000000000001"/>
    <m/>
    <n v="0.11700000000000001"/>
    <m/>
    <m/>
    <m/>
    <m/>
    <m/>
    <s v="AUD"/>
    <s v="13641250Waste - General [t] - Scope 3"/>
    <n v="13641250"/>
  </r>
  <r>
    <d v="2019-07-01T00:00:00"/>
    <d v="2021-06-30T00:00:00"/>
    <s v="Telstra"/>
    <s v="NON-NETWORK"/>
    <s v="NON-NETWORK"/>
    <s v="WA"/>
    <s v="Australia"/>
    <s v="Kununurra"/>
    <s v="13 KONKERBERRY DRIVE"/>
    <n v="423031103200"/>
    <s v="Waste"/>
    <x v="1"/>
    <x v="2"/>
    <s v="Account"/>
    <s v="CLEANAWAY General"/>
    <m/>
    <s v="31103200_Landfill_General"/>
    <s v="General"/>
    <s v="Cleanaway"/>
    <m/>
    <m/>
    <m/>
    <d v="2021-04-01T00:00:00"/>
    <s v="FY21"/>
    <s v="t"/>
    <n v="0"/>
    <n v="0"/>
    <n v="0.09"/>
    <n v="0.09"/>
    <n v="0"/>
    <n v="0"/>
    <n v="30"/>
    <n v="30"/>
    <n v="0"/>
    <n v="0"/>
    <n v="100"/>
    <s v="Consolidation"/>
    <s v="CO2e and Base Measure"/>
    <n v="100"/>
    <n v="100"/>
    <n v="0.09"/>
    <m/>
    <m/>
    <m/>
    <m/>
    <m/>
    <n v="0.11700000000000001"/>
    <m/>
    <n v="0.11700000000000001"/>
    <m/>
    <m/>
    <m/>
    <m/>
    <m/>
    <s v="AUD"/>
    <s v="13641250Waste - General [t] - Scope 3"/>
    <n v="13641250"/>
  </r>
  <r>
    <d v="2019-07-01T00:00:00"/>
    <d v="2021-06-30T00:00:00"/>
    <s v="Telstra"/>
    <s v="NON-NETWORK"/>
    <s v="NON-NETWORK"/>
    <s v="WA"/>
    <s v="Australia"/>
    <s v="Kununurra"/>
    <s v="13 KONKERBERRY DRIVE"/>
    <n v="423031103200"/>
    <s v="Waste"/>
    <x v="1"/>
    <x v="2"/>
    <s v="Account"/>
    <s v="CLEANAWAY General"/>
    <m/>
    <s v="31103200_Landfill_General"/>
    <s v="General"/>
    <s v="Cleanaway"/>
    <m/>
    <m/>
    <m/>
    <d v="2021-05-01T00:00:00"/>
    <s v="FY21"/>
    <s v="t"/>
    <n v="0"/>
    <n v="0"/>
    <n v="9.2999999999999999E-2"/>
    <n v="9.2999999999999999E-2"/>
    <n v="0"/>
    <n v="0"/>
    <n v="31"/>
    <n v="31"/>
    <n v="0"/>
    <n v="0"/>
    <n v="100"/>
    <s v="Consolidation"/>
    <s v="CO2e and Base Measure"/>
    <n v="100"/>
    <n v="100"/>
    <n v="0.09"/>
    <m/>
    <m/>
    <m/>
    <m/>
    <m/>
    <n v="0.12089999999999999"/>
    <m/>
    <n v="0.12089999999999999"/>
    <m/>
    <m/>
    <m/>
    <m/>
    <m/>
    <s v="AUD"/>
    <s v="13641250Waste - General [t] - Scope 3"/>
    <n v="13641250"/>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651Waste - General [t] - Scope 3"/>
    <n v="13634651"/>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2-01T00:00:00"/>
    <s v="FY21"/>
    <s v="t"/>
    <n v="0.02"/>
    <n v="0"/>
    <n v="0"/>
    <n v="0.02"/>
    <n v="1"/>
    <n v="0"/>
    <n v="0"/>
    <n v="1"/>
    <n v="100"/>
    <n v="0"/>
    <n v="0"/>
    <s v="Consolidation"/>
    <s v="CO2e and Base Measure"/>
    <n v="100"/>
    <n v="100"/>
    <n v="0.02"/>
    <m/>
    <m/>
    <m/>
    <m/>
    <m/>
    <n v="2.5999999999999999E-2"/>
    <m/>
    <n v="2.5999999999999999E-2"/>
    <m/>
    <m/>
    <m/>
    <m/>
    <m/>
    <s v="AUD"/>
    <s v="13634651Waste - General [t] - Scope 3"/>
    <n v="13634651"/>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3-01T00:00:00"/>
    <s v="FY21"/>
    <s v="t"/>
    <n v="0.05"/>
    <n v="0"/>
    <n v="0"/>
    <n v="0.05"/>
    <n v="2"/>
    <n v="0"/>
    <n v="0"/>
    <n v="2"/>
    <n v="100"/>
    <n v="0"/>
    <n v="0"/>
    <s v="Consolidation"/>
    <s v="CO2e and Base Measure"/>
    <n v="100"/>
    <n v="100"/>
    <n v="0.05"/>
    <m/>
    <m/>
    <m/>
    <m/>
    <m/>
    <n v="6.5000000000000002E-2"/>
    <m/>
    <n v="6.5000000000000002E-2"/>
    <m/>
    <m/>
    <m/>
    <m/>
    <m/>
    <s v="AUD"/>
    <s v="13634651Waste - General [t] - Scope 3"/>
    <n v="13634651"/>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4-01T00:00:00"/>
    <s v="FY21"/>
    <s v="t"/>
    <n v="0"/>
    <n v="0"/>
    <n v="4.4999999999999998E-2"/>
    <n v="4.4999999999999998E-2"/>
    <n v="0"/>
    <n v="0"/>
    <n v="30"/>
    <n v="30"/>
    <n v="0"/>
    <n v="0"/>
    <n v="100"/>
    <s v="Consolidation"/>
    <s v="CO2e and Base Measure"/>
    <n v="100"/>
    <n v="100"/>
    <n v="0.05"/>
    <m/>
    <m/>
    <m/>
    <m/>
    <m/>
    <n v="5.8500000000000003E-2"/>
    <m/>
    <n v="5.8500000000000003E-2"/>
    <m/>
    <m/>
    <m/>
    <m/>
    <m/>
    <s v="AUD"/>
    <s v="13634651Waste - General [t] - Scope 3"/>
    <n v="13634651"/>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5-01T00:00:00"/>
    <s v="FY21"/>
    <s v="t"/>
    <n v="0"/>
    <n v="0"/>
    <n v="4.65E-2"/>
    <n v="4.65E-2"/>
    <n v="0"/>
    <n v="0"/>
    <n v="31"/>
    <n v="31"/>
    <n v="0"/>
    <n v="0"/>
    <n v="100"/>
    <s v="Consolidation"/>
    <s v="CO2e and Base Measure"/>
    <n v="100"/>
    <n v="100"/>
    <n v="0.05"/>
    <m/>
    <m/>
    <m/>
    <m/>
    <m/>
    <n v="6.0499999999999998E-2"/>
    <m/>
    <n v="6.0499999999999998E-2"/>
    <m/>
    <m/>
    <m/>
    <m/>
    <m/>
    <s v="AUD"/>
    <s v="13634651Waste - General [t] - Scope 3"/>
    <n v="13634651"/>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1-01T00:00:00"/>
    <s v="FY21"/>
    <s v="t"/>
    <n v="0.02"/>
    <n v="0"/>
    <n v="0"/>
    <n v="0.02"/>
    <n v="1"/>
    <n v="0"/>
    <n v="0"/>
    <n v="1"/>
    <n v="100"/>
    <n v="0"/>
    <n v="0"/>
    <s v="Consolidation"/>
    <s v="CO2e and Base Measure"/>
    <n v="100"/>
    <n v="100"/>
    <n v="0.02"/>
    <m/>
    <m/>
    <m/>
    <m/>
    <m/>
    <m/>
    <m/>
    <m/>
    <m/>
    <m/>
    <m/>
    <m/>
    <m/>
    <s v="AUD"/>
    <s v="13634652Waste Recycled - Paper and Cardboard [t]"/>
    <n v="13634652"/>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2-01T00:00:00"/>
    <s v="FY21"/>
    <s v="t"/>
    <n v="3.1E-2"/>
    <n v="0"/>
    <n v="0"/>
    <n v="3.1E-2"/>
    <n v="1"/>
    <n v="0"/>
    <n v="0"/>
    <n v="1"/>
    <n v="100"/>
    <n v="0"/>
    <n v="0"/>
    <s v="Consolidation"/>
    <s v="CO2e and Base Measure"/>
    <n v="100"/>
    <n v="100"/>
    <n v="0.03"/>
    <m/>
    <m/>
    <m/>
    <m/>
    <m/>
    <m/>
    <m/>
    <m/>
    <m/>
    <m/>
    <m/>
    <m/>
    <m/>
    <s v="AUD"/>
    <s v="13634652Waste Recycled - Paper and Cardboard [t]"/>
    <n v="13634652"/>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3-01T00:00:00"/>
    <s v="FY21"/>
    <s v="t"/>
    <n v="0.02"/>
    <n v="0"/>
    <n v="0"/>
    <n v="0.02"/>
    <n v="1"/>
    <n v="0"/>
    <n v="0"/>
    <n v="1"/>
    <n v="100"/>
    <n v="0"/>
    <n v="0"/>
    <s v="Consolidation"/>
    <s v="CO2e and Base Measure"/>
    <n v="100"/>
    <n v="100"/>
    <n v="0.02"/>
    <m/>
    <m/>
    <m/>
    <m/>
    <m/>
    <m/>
    <m/>
    <m/>
    <m/>
    <m/>
    <m/>
    <m/>
    <m/>
    <s v="AUD"/>
    <s v="13634652Waste Recycled - Paper and Cardboard [t]"/>
    <n v="13634652"/>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4-01T00:00:00"/>
    <s v="FY21"/>
    <s v="t"/>
    <n v="0"/>
    <n v="0"/>
    <n v="2.4E-2"/>
    <n v="2.4E-2"/>
    <n v="0"/>
    <n v="0"/>
    <n v="30"/>
    <n v="30"/>
    <n v="0"/>
    <n v="0"/>
    <n v="100"/>
    <s v="Consolidation"/>
    <s v="CO2e and Base Measure"/>
    <n v="100"/>
    <n v="100"/>
    <n v="0.02"/>
    <m/>
    <m/>
    <m/>
    <m/>
    <m/>
    <m/>
    <m/>
    <m/>
    <m/>
    <m/>
    <m/>
    <m/>
    <m/>
    <s v="AUD"/>
    <s v="13634652Waste Recycled - Paper and Cardboard [t]"/>
    <n v="13634652"/>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5-01T00:00:00"/>
    <s v="FY21"/>
    <s v="t"/>
    <n v="0"/>
    <n v="0"/>
    <n v="2.4799999999999999E-2"/>
    <n v="2.4799999999999999E-2"/>
    <n v="0"/>
    <n v="0"/>
    <n v="31"/>
    <n v="31"/>
    <n v="0"/>
    <n v="0"/>
    <n v="100"/>
    <s v="Consolidation"/>
    <s v="CO2e and Base Measure"/>
    <n v="100"/>
    <n v="100"/>
    <n v="0.02"/>
    <m/>
    <m/>
    <m/>
    <m/>
    <m/>
    <m/>
    <m/>
    <m/>
    <m/>
    <m/>
    <m/>
    <m/>
    <m/>
    <s v="AUD"/>
    <s v="13634652Waste Recycled - Paper and Cardboard [t]"/>
    <n v="13634652"/>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07-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08-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09-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10-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11-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12-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1-01T00:00:00"/>
    <s v="FY21"/>
    <s v="t"/>
    <n v="0"/>
    <n v="0"/>
    <n v="1.24E-2"/>
    <n v="1.24E-2"/>
    <n v="0"/>
    <n v="0"/>
    <n v="31"/>
    <n v="31"/>
    <n v="0"/>
    <n v="0"/>
    <n v="10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2-01T00:00:00"/>
    <s v="FY21"/>
    <s v="t"/>
    <n v="0"/>
    <n v="0"/>
    <n v="1.12E-2"/>
    <n v="1.12E-2"/>
    <n v="0"/>
    <n v="0"/>
    <n v="28"/>
    <n v="28"/>
    <n v="0"/>
    <n v="0"/>
    <n v="10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3-01T00:00:00"/>
    <s v="FY21"/>
    <s v="t"/>
    <n v="0"/>
    <n v="0"/>
    <n v="1.24E-2"/>
    <n v="1.24E-2"/>
    <n v="0"/>
    <n v="0"/>
    <n v="31"/>
    <n v="31"/>
    <n v="0"/>
    <n v="0"/>
    <n v="10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4-01T00:00:00"/>
    <s v="FY21"/>
    <s v="t"/>
    <n v="0"/>
    <n v="0"/>
    <n v="1.2E-2"/>
    <n v="1.2E-2"/>
    <n v="0"/>
    <n v="0"/>
    <n v="30"/>
    <n v="30"/>
    <n v="0"/>
    <n v="0"/>
    <n v="10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5-01T00:00:00"/>
    <s v="FY21"/>
    <s v="t"/>
    <n v="0"/>
    <n v="0"/>
    <n v="1.24E-2"/>
    <n v="1.24E-2"/>
    <n v="0"/>
    <n v="0"/>
    <n v="31"/>
    <n v="31"/>
    <n v="0"/>
    <n v="0"/>
    <n v="100"/>
    <s v="Consolidation"/>
    <s v="CO2e and Base Measure"/>
    <n v="100"/>
    <n v="100"/>
    <n v="0.01"/>
    <m/>
    <m/>
    <m/>
    <m/>
    <m/>
    <m/>
    <m/>
    <m/>
    <m/>
    <m/>
    <m/>
    <m/>
    <m/>
    <s v="AUD"/>
    <s v="13566543Waste Recycled - Paper and Cardboard [t]"/>
    <n v="13566543"/>
  </r>
  <r>
    <d v="2019-07-01T00:00:00"/>
    <d v="2021-06-30T00:00:00"/>
    <s v="Telstra"/>
    <s v="NON-NETWORK"/>
    <s v="NON-NETWORK"/>
    <s v="VIC"/>
    <s v="Australia"/>
    <s v="Geelong"/>
    <s v="149 MYERS GEELONG"/>
    <n v="423031620900"/>
    <s v="Recycled Waste"/>
    <x v="0"/>
    <x v="0"/>
    <s v="Account"/>
    <s v="Remondis Cardboard - Loose - Recycled"/>
    <m/>
    <s v="423031620900_RCARDBOAR"/>
    <s v="CARDBOARD - LOOSE - RECYCLED"/>
    <s v="Remondis"/>
    <m/>
    <m/>
    <d v="2020-11-01T00:00:00"/>
    <d v="2020-10-01T00:00:00"/>
    <s v="FY21"/>
    <s v="t"/>
    <n v="0"/>
    <n v="2.3300000000000001E-2"/>
    <n v="0"/>
    <n v="2.3300000000000001E-2"/>
    <n v="0"/>
    <n v="1"/>
    <n v="0"/>
    <n v="1"/>
    <n v="0"/>
    <n v="100"/>
    <n v="0"/>
    <s v="Consolidation"/>
    <s v="CO2e and Base Measure"/>
    <n v="100"/>
    <n v="100"/>
    <n v="0.02"/>
    <m/>
    <m/>
    <m/>
    <m/>
    <m/>
    <m/>
    <n v="0"/>
    <m/>
    <m/>
    <m/>
    <m/>
    <m/>
    <m/>
    <s v="AUD"/>
    <s v="13565735Waste Recycled - Cardboard [t]"/>
    <n v="13565735"/>
  </r>
  <r>
    <d v="2019-07-01T00:00:00"/>
    <d v="2021-06-30T00:00:00"/>
    <s v="Telstra"/>
    <s v="NON-NETWORK"/>
    <s v="NON-NETWORK"/>
    <s v="VIC"/>
    <s v="Australia"/>
    <s v="Geelong"/>
    <s v="149 MYERS GEELONG"/>
    <n v="423031620900"/>
    <s v="Recycled Waste"/>
    <x v="0"/>
    <x v="0"/>
    <s v="Account"/>
    <s v="Remondis Cardboard - Loose - Recycled"/>
    <m/>
    <s v="423031620900_RCARDBOAR"/>
    <s v="CARDBOARD - LOOSE - RECYCLED"/>
    <s v="Remondis"/>
    <m/>
    <m/>
    <d v="2020-11-01T00:00:00"/>
    <d v="2020-11-01T00:00:00"/>
    <s v="FY21"/>
    <s v="t"/>
    <n v="0"/>
    <n v="0"/>
    <n v="2.9999999999999997E-4"/>
    <n v="2.9999999999999997E-4"/>
    <n v="0"/>
    <n v="0"/>
    <n v="1"/>
    <n v="1"/>
    <n v="0"/>
    <n v="0"/>
    <n v="100"/>
    <s v="Consolidation"/>
    <s v="CO2e and Base Measure"/>
    <n v="100"/>
    <n v="100"/>
    <n v="0"/>
    <m/>
    <m/>
    <m/>
    <m/>
    <m/>
    <m/>
    <n v="0"/>
    <m/>
    <m/>
    <m/>
    <m/>
    <m/>
    <m/>
    <s v="AUD"/>
    <s v="13565735Waste Recycled - Cardboard [t]"/>
    <n v="13565735"/>
  </r>
  <r>
    <d v="2019-07-01T00:00:00"/>
    <d v="2021-06-30T00:00:00"/>
    <s v="Telstra"/>
    <s v="NON-NETWORK"/>
    <s v="NON-NETWORK"/>
    <s v="VIC"/>
    <s v="Australia"/>
    <s v="Geelong"/>
    <s v="149 MYERS GEELONG"/>
    <n v="423031620900"/>
    <s v="Recycled Waste"/>
    <x v="0"/>
    <x v="3"/>
    <s v="Account"/>
    <s v="Remondis Commingled - Recycled"/>
    <m/>
    <s v="423031620900_RCOMINGLE"/>
    <s v="COMMINGLED - RECYCLED"/>
    <s v="Remondis"/>
    <m/>
    <m/>
    <d v="2020-12-01T00:00:00"/>
    <d v="2020-10-01T00:00:00"/>
    <s v="FY21"/>
    <s v="t"/>
    <n v="0"/>
    <n v="4.8000000000000001E-2"/>
    <n v="0"/>
    <n v="4.8000000000000001E-2"/>
    <n v="0"/>
    <n v="1"/>
    <n v="0"/>
    <n v="1"/>
    <n v="0"/>
    <n v="100"/>
    <n v="0"/>
    <s v="Consolidation"/>
    <s v="CO2e and Base Measure"/>
    <n v="100"/>
    <n v="100"/>
    <n v="0.05"/>
    <m/>
    <m/>
    <m/>
    <m/>
    <m/>
    <m/>
    <n v="0"/>
    <m/>
    <m/>
    <m/>
    <m/>
    <m/>
    <m/>
    <s v="AUD"/>
    <s v="13565737Waste Recycled - Commingled [t]"/>
    <n v="13565737"/>
  </r>
  <r>
    <d v="2019-07-01T00:00:00"/>
    <d v="2021-06-30T00:00:00"/>
    <s v="Telstra"/>
    <s v="NON-NETWORK"/>
    <s v="NON-NETWORK"/>
    <s v="VIC"/>
    <s v="Australia"/>
    <s v="Geelong"/>
    <s v="149 MYERS GEELONG"/>
    <n v="423031620900"/>
    <s v="Recycled Waste"/>
    <x v="0"/>
    <x v="3"/>
    <s v="Account"/>
    <s v="Remondis Commingled - Recycled"/>
    <m/>
    <s v="423031620900_RCOMINGLE"/>
    <s v="COMMINGLED - RECYCLED"/>
    <s v="Remondis"/>
    <m/>
    <m/>
    <d v="2020-12-01T00:00:00"/>
    <d v="2020-11-01T00:00:00"/>
    <s v="FY21"/>
    <s v="t"/>
    <n v="0"/>
    <n v="2.4E-2"/>
    <n v="0"/>
    <n v="2.4E-2"/>
    <n v="0"/>
    <n v="1"/>
    <n v="0"/>
    <n v="1"/>
    <n v="0"/>
    <n v="100"/>
    <n v="0"/>
    <s v="Consolidation"/>
    <s v="CO2e and Base Measure"/>
    <n v="100"/>
    <n v="100"/>
    <n v="0.02"/>
    <m/>
    <m/>
    <m/>
    <m/>
    <m/>
    <m/>
    <n v="0"/>
    <m/>
    <m/>
    <m/>
    <m/>
    <m/>
    <m/>
    <s v="AUD"/>
    <s v="13565737Waste Recycled - Commingled [t]"/>
    <n v="13565737"/>
  </r>
  <r>
    <d v="2019-07-01T00:00:00"/>
    <d v="2021-06-30T00:00:00"/>
    <s v="Telstra"/>
    <s v="NON-NETWORK"/>
    <s v="NON-NETWORK"/>
    <s v="VIC"/>
    <s v="Australia"/>
    <s v="Geelong"/>
    <s v="149 MYERS GEELONG"/>
    <n v="423031620900"/>
    <s v="Recycled Waste"/>
    <x v="0"/>
    <x v="3"/>
    <s v="Account"/>
    <s v="Remondis Commingled - Recycled"/>
    <m/>
    <s v="423031620900_RCOMINGLE"/>
    <s v="COMMINGLED - RECYCLED"/>
    <s v="Remondis"/>
    <m/>
    <m/>
    <d v="2020-12-01T00:00:00"/>
    <d v="2020-12-01T00:00:00"/>
    <s v="FY21"/>
    <s v="t"/>
    <n v="0"/>
    <n v="0"/>
    <n v="8.9999999999999998E-4"/>
    <n v="8.9999999999999998E-4"/>
    <n v="0"/>
    <n v="0"/>
    <n v="1"/>
    <n v="1"/>
    <n v="0"/>
    <n v="0"/>
    <n v="100"/>
    <s v="Consolidation"/>
    <s v="CO2e and Base Measure"/>
    <n v="100"/>
    <n v="100"/>
    <n v="0"/>
    <m/>
    <m/>
    <m/>
    <m/>
    <m/>
    <m/>
    <n v="0"/>
    <m/>
    <m/>
    <m/>
    <m/>
    <m/>
    <m/>
    <s v="AUD"/>
    <s v="13565737Waste Recycled - Commingled [t]"/>
    <n v="13565737"/>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07-01T00:00:00"/>
    <s v="FY21"/>
    <s v="t"/>
    <n v="0"/>
    <n v="6.2399999999999997E-2"/>
    <n v="0"/>
    <n v="6.2399999999999997E-2"/>
    <n v="0"/>
    <n v="4"/>
    <n v="0"/>
    <n v="4"/>
    <n v="0"/>
    <n v="100"/>
    <n v="0"/>
    <s v="Consolidation"/>
    <s v="CO2e and Base Measure"/>
    <n v="100"/>
    <n v="100"/>
    <n v="0.06"/>
    <m/>
    <m/>
    <m/>
    <m/>
    <m/>
    <n v="8.1100000000000005E-2"/>
    <m/>
    <n v="8.1100000000000005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09-01T00:00:00"/>
    <s v="FY21"/>
    <s v="t"/>
    <n v="0"/>
    <n v="6.2399999999999997E-2"/>
    <n v="0"/>
    <n v="6.2399999999999997E-2"/>
    <n v="0"/>
    <n v="4"/>
    <n v="0"/>
    <n v="4"/>
    <n v="0"/>
    <n v="100"/>
    <n v="0"/>
    <s v="Consolidation"/>
    <s v="CO2e and Base Measure"/>
    <n v="100"/>
    <n v="100"/>
    <n v="0.06"/>
    <m/>
    <m/>
    <m/>
    <m/>
    <m/>
    <n v="8.1100000000000005E-2"/>
    <m/>
    <n v="8.1100000000000005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10-01T00:00:00"/>
    <s v="FY21"/>
    <s v="t"/>
    <n v="0"/>
    <n v="7.8E-2"/>
    <n v="0"/>
    <n v="7.8E-2"/>
    <n v="0"/>
    <n v="5"/>
    <n v="0"/>
    <n v="5"/>
    <n v="0"/>
    <n v="100"/>
    <n v="0"/>
    <s v="Consolidation"/>
    <s v="CO2e and Base Measure"/>
    <n v="100"/>
    <n v="100"/>
    <n v="0.08"/>
    <m/>
    <m/>
    <m/>
    <m/>
    <m/>
    <n v="0.1014"/>
    <m/>
    <n v="0.1014"/>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1-01-01T00:00:00"/>
    <s v="FY21"/>
    <s v="t"/>
    <n v="0"/>
    <n v="0"/>
    <n v="2E-3"/>
    <n v="2E-3"/>
    <n v="0"/>
    <n v="0"/>
    <n v="1"/>
    <n v="1"/>
    <n v="0"/>
    <n v="0"/>
    <n v="100"/>
    <s v="Consolidation"/>
    <s v="CO2e and Base Measure"/>
    <n v="100"/>
    <n v="100"/>
    <n v="0"/>
    <m/>
    <m/>
    <m/>
    <m/>
    <m/>
    <n v="2.5999999999999999E-3"/>
    <m/>
    <n v="2.5999999999999999E-3"/>
    <m/>
    <m/>
    <m/>
    <m/>
    <m/>
    <s v="AUD"/>
    <s v="13565738Waste - General [t] - Scope 3"/>
    <n v="13565738"/>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07-01T00:00:00"/>
    <s v="FY21"/>
    <s v="t"/>
    <n v="0"/>
    <n v="1.1879999999999999"/>
    <n v="0"/>
    <n v="1.1879999999999999"/>
    <n v="0"/>
    <n v="9"/>
    <n v="0"/>
    <n v="9"/>
    <n v="0"/>
    <n v="100"/>
    <n v="0"/>
    <s v="Consolidation"/>
    <s v="CO2e and Base Measure"/>
    <n v="100"/>
    <n v="100"/>
    <n v="1.1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08-01T00:00:00"/>
    <s v="FY21"/>
    <s v="t"/>
    <n v="0"/>
    <n v="1.1879999999999999"/>
    <n v="0"/>
    <n v="1.1879999999999999"/>
    <n v="0"/>
    <n v="9"/>
    <n v="0"/>
    <n v="9"/>
    <n v="0"/>
    <n v="100"/>
    <n v="0"/>
    <s v="Consolidation"/>
    <s v="CO2e and Base Measure"/>
    <n v="100"/>
    <n v="100"/>
    <n v="1.1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09-01T00:00:00"/>
    <s v="FY21"/>
    <s v="t"/>
    <n v="0"/>
    <n v="0.99"/>
    <n v="0"/>
    <n v="0.99"/>
    <n v="0"/>
    <n v="8"/>
    <n v="0"/>
    <n v="8"/>
    <n v="0"/>
    <n v="100"/>
    <n v="0"/>
    <s v="Consolidation"/>
    <s v="CO2e and Base Measure"/>
    <n v="100"/>
    <n v="100"/>
    <n v="0.9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10-01T00:00:00"/>
    <s v="FY21"/>
    <s v="t"/>
    <n v="0"/>
    <n v="1.1879999999999999"/>
    <n v="0"/>
    <n v="1.1879999999999999"/>
    <n v="0"/>
    <n v="9"/>
    <n v="0"/>
    <n v="9"/>
    <n v="0"/>
    <n v="100"/>
    <n v="0"/>
    <s v="Consolidation"/>
    <s v="CO2e and Base Measure"/>
    <n v="100"/>
    <n v="100"/>
    <n v="1.1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11-01T00:00:00"/>
    <s v="FY21"/>
    <s v="t"/>
    <n v="0"/>
    <n v="1.1879999999999999"/>
    <n v="0"/>
    <n v="1.1879999999999999"/>
    <n v="0"/>
    <n v="9"/>
    <n v="0"/>
    <n v="9"/>
    <n v="0"/>
    <n v="100"/>
    <n v="0"/>
    <s v="Consolidation"/>
    <s v="CO2e and Base Measure"/>
    <n v="100"/>
    <n v="100"/>
    <n v="1.1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12-01T00:00:00"/>
    <s v="FY21"/>
    <s v="t"/>
    <n v="0"/>
    <n v="0.13200000000000001"/>
    <n v="0"/>
    <n v="0.13200000000000001"/>
    <n v="0"/>
    <n v="1"/>
    <n v="0"/>
    <n v="1"/>
    <n v="0"/>
    <n v="100"/>
    <n v="0"/>
    <s v="Consolidation"/>
    <s v="CO2e and Base Measure"/>
    <n v="100"/>
    <n v="100"/>
    <n v="0.13"/>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1-01-01T00:00:00"/>
    <s v="FY21"/>
    <s v="t"/>
    <n v="0"/>
    <n v="0"/>
    <n v="3.32E-2"/>
    <n v="3.32E-2"/>
    <n v="0"/>
    <n v="0"/>
    <n v="1"/>
    <n v="1"/>
    <n v="0"/>
    <n v="0"/>
    <n v="100"/>
    <s v="Consolidation"/>
    <s v="CO2e and Base Measure"/>
    <n v="100"/>
    <n v="100"/>
    <n v="0.03"/>
    <m/>
    <m/>
    <m/>
    <m/>
    <m/>
    <m/>
    <n v="0"/>
    <m/>
    <m/>
    <m/>
    <m/>
    <m/>
    <m/>
    <s v="AUD"/>
    <s v="13565911Waste Recycled - Commingled [t]"/>
    <n v="13565911"/>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07-01T00:00:00"/>
    <s v="FY21"/>
    <s v="t"/>
    <n v="0"/>
    <n v="1.2987"/>
    <n v="0"/>
    <n v="1.2987"/>
    <n v="0"/>
    <n v="9"/>
    <n v="0"/>
    <n v="9"/>
    <n v="0"/>
    <n v="100"/>
    <n v="0"/>
    <s v="Consolidation"/>
    <s v="CO2e and Base Measure"/>
    <n v="100"/>
    <n v="100"/>
    <n v="1.3"/>
    <m/>
    <m/>
    <m/>
    <m/>
    <m/>
    <n v="1.6882999999999999"/>
    <m/>
    <n v="1.6882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08-01T00:00:00"/>
    <s v="FY21"/>
    <s v="t"/>
    <n v="0"/>
    <n v="1.1544000000000001"/>
    <n v="0"/>
    <n v="1.1544000000000001"/>
    <n v="0"/>
    <n v="8"/>
    <n v="0"/>
    <n v="8"/>
    <n v="0"/>
    <n v="100"/>
    <n v="0"/>
    <s v="Consolidation"/>
    <s v="CO2e and Base Measure"/>
    <n v="100"/>
    <n v="100"/>
    <n v="1.1499999999999999"/>
    <m/>
    <m/>
    <m/>
    <m/>
    <m/>
    <n v="1.5006999999999999"/>
    <m/>
    <n v="1.5006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09-01T00:00:00"/>
    <s v="FY21"/>
    <s v="t"/>
    <n v="0"/>
    <n v="1.2987"/>
    <n v="0"/>
    <n v="1.2987"/>
    <n v="0"/>
    <n v="9"/>
    <n v="0"/>
    <n v="9"/>
    <n v="0"/>
    <n v="100"/>
    <n v="0"/>
    <s v="Consolidation"/>
    <s v="CO2e and Base Measure"/>
    <n v="100"/>
    <n v="100"/>
    <n v="1.3"/>
    <m/>
    <m/>
    <m/>
    <m/>
    <m/>
    <n v="1.6882999999999999"/>
    <m/>
    <n v="1.6882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10-01T00:00:00"/>
    <s v="FY21"/>
    <s v="t"/>
    <n v="0"/>
    <n v="1.2987"/>
    <n v="0"/>
    <n v="1.2987"/>
    <n v="0"/>
    <n v="9"/>
    <n v="0"/>
    <n v="9"/>
    <n v="0"/>
    <n v="100"/>
    <n v="0"/>
    <s v="Consolidation"/>
    <s v="CO2e and Base Measure"/>
    <n v="100"/>
    <n v="100"/>
    <n v="1.3"/>
    <m/>
    <m/>
    <m/>
    <m/>
    <m/>
    <n v="1.6882999999999999"/>
    <m/>
    <n v="1.6882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11-01T00:00:00"/>
    <s v="FY21"/>
    <s v="t"/>
    <n v="0"/>
    <n v="1.1544000000000001"/>
    <n v="0"/>
    <n v="1.1544000000000001"/>
    <n v="0"/>
    <n v="8"/>
    <n v="0"/>
    <n v="8"/>
    <n v="0"/>
    <n v="100"/>
    <n v="0"/>
    <s v="Consolidation"/>
    <s v="CO2e and Base Measure"/>
    <n v="100"/>
    <n v="100"/>
    <n v="1.1499999999999999"/>
    <m/>
    <m/>
    <m/>
    <m/>
    <m/>
    <n v="1.5006999999999999"/>
    <m/>
    <n v="1.5006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12-01T00:00:00"/>
    <s v="FY21"/>
    <s v="t"/>
    <n v="0"/>
    <n v="0.43290000000000001"/>
    <n v="0"/>
    <n v="0.43290000000000001"/>
    <n v="0"/>
    <n v="3"/>
    <n v="0"/>
    <n v="3"/>
    <n v="0"/>
    <n v="100"/>
    <n v="0"/>
    <s v="Consolidation"/>
    <s v="CO2e and Base Measure"/>
    <n v="100"/>
    <n v="100"/>
    <n v="0.43"/>
    <m/>
    <m/>
    <m/>
    <m/>
    <m/>
    <n v="0.56279999999999997"/>
    <m/>
    <n v="0.56279999999999997"/>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1-01-01T00:00:00"/>
    <s v="FY21"/>
    <s v="t"/>
    <n v="0"/>
    <n v="0"/>
    <n v="3.73E-2"/>
    <n v="3.73E-2"/>
    <n v="0"/>
    <n v="0"/>
    <n v="1"/>
    <n v="1"/>
    <n v="0"/>
    <n v="0"/>
    <n v="100"/>
    <s v="Consolidation"/>
    <s v="CO2e and Base Measure"/>
    <n v="100"/>
    <n v="100"/>
    <n v="0.04"/>
    <m/>
    <m/>
    <m/>
    <m/>
    <m/>
    <n v="4.8500000000000001E-2"/>
    <m/>
    <n v="4.8500000000000001E-2"/>
    <m/>
    <m/>
    <m/>
    <m/>
    <m/>
    <s v="AUD"/>
    <s v="13565913Waste - General [t] - Scope 3"/>
    <n v="13565913"/>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1-01T00:00:00"/>
    <s v="FY21"/>
    <s v="t"/>
    <n v="0"/>
    <n v="0.495"/>
    <n v="0"/>
    <n v="0.495"/>
    <n v="0"/>
    <n v="4"/>
    <n v="0"/>
    <n v="4"/>
    <n v="0"/>
    <n v="100"/>
    <n v="0"/>
    <s v="Consolidation"/>
    <s v="CO2e and Base Measure"/>
    <n v="100"/>
    <n v="100"/>
    <n v="0.5"/>
    <m/>
    <m/>
    <m/>
    <m/>
    <m/>
    <n v="0.64349999999999996"/>
    <m/>
    <n v="0.64349999999999996"/>
    <m/>
    <m/>
    <m/>
    <m/>
    <m/>
    <s v="AUD"/>
    <s v="13634512Waste - General [t] - Scope 3"/>
    <n v="13634512"/>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2-01T00:00:00"/>
    <s v="FY21"/>
    <s v="t"/>
    <n v="0"/>
    <n v="1.2375"/>
    <n v="0"/>
    <n v="1.2375"/>
    <n v="0"/>
    <n v="12"/>
    <n v="0"/>
    <n v="12"/>
    <n v="0"/>
    <n v="100"/>
    <n v="0"/>
    <s v="Consolidation"/>
    <s v="CO2e and Base Measure"/>
    <n v="100"/>
    <n v="100"/>
    <n v="1.24"/>
    <m/>
    <m/>
    <m/>
    <m/>
    <m/>
    <n v="1.6088"/>
    <m/>
    <n v="1.6088"/>
    <m/>
    <m/>
    <m/>
    <m/>
    <m/>
    <s v="AUD"/>
    <s v="13634512Waste - General [t] - Scope 3"/>
    <n v="13634512"/>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3-01T00:00:00"/>
    <s v="FY21"/>
    <s v="t"/>
    <n v="0"/>
    <n v="1.2869999999999999"/>
    <n v="0"/>
    <n v="1.2869999999999999"/>
    <n v="0"/>
    <n v="13"/>
    <n v="0"/>
    <n v="13"/>
    <n v="0"/>
    <n v="100"/>
    <n v="0"/>
    <s v="Consolidation"/>
    <s v="CO2e and Base Measure"/>
    <n v="100"/>
    <n v="100"/>
    <n v="1.29"/>
    <m/>
    <m/>
    <m/>
    <m/>
    <m/>
    <n v="1.6731"/>
    <m/>
    <n v="1.6731"/>
    <m/>
    <m/>
    <m/>
    <m/>
    <m/>
    <s v="AUD"/>
    <s v="13634512Waste - General [t] - Scope 3"/>
    <n v="13634512"/>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4-01T00:00:00"/>
    <s v="FY21"/>
    <s v="t"/>
    <n v="0"/>
    <n v="0"/>
    <n v="1.0169999999999999"/>
    <n v="1.0169999999999999"/>
    <n v="0"/>
    <n v="0"/>
    <n v="30"/>
    <n v="30"/>
    <n v="0"/>
    <n v="0"/>
    <n v="100"/>
    <s v="Consolidation"/>
    <s v="CO2e and Base Measure"/>
    <n v="100"/>
    <n v="100"/>
    <n v="1.02"/>
    <m/>
    <m/>
    <m/>
    <m/>
    <m/>
    <n v="1.3221000000000001"/>
    <m/>
    <n v="1.3221000000000001"/>
    <m/>
    <m/>
    <m/>
    <m/>
    <m/>
    <s v="AUD"/>
    <s v="13634512Waste - General [t] - Scope 3"/>
    <n v="13634512"/>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5-01T00:00:00"/>
    <s v="FY21"/>
    <s v="t"/>
    <n v="0"/>
    <n v="0"/>
    <n v="1.0508999999999999"/>
    <n v="1.0508999999999999"/>
    <n v="0"/>
    <n v="0"/>
    <n v="31"/>
    <n v="31"/>
    <n v="0"/>
    <n v="0"/>
    <n v="100"/>
    <s v="Consolidation"/>
    <s v="CO2e and Base Measure"/>
    <n v="100"/>
    <n v="100"/>
    <n v="1.05"/>
    <m/>
    <m/>
    <m/>
    <m/>
    <m/>
    <n v="1.3662000000000001"/>
    <m/>
    <n v="1.3662000000000001"/>
    <m/>
    <m/>
    <m/>
    <m/>
    <m/>
    <s v="AUD"/>
    <s v="13634512Waste - General [t] - Scope 3"/>
    <n v="13634512"/>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1-01T00:00:00"/>
    <s v="FY21"/>
    <s v="t"/>
    <n v="0"/>
    <n v="3.3000000000000002E-2"/>
    <n v="0"/>
    <n v="3.3000000000000002E-2"/>
    <n v="0"/>
    <n v="1"/>
    <n v="0"/>
    <n v="1"/>
    <n v="0"/>
    <n v="100"/>
    <n v="0"/>
    <s v="Consolidation"/>
    <s v="CO2e and Base Measure"/>
    <n v="100"/>
    <n v="100"/>
    <n v="0.03"/>
    <m/>
    <m/>
    <m/>
    <m/>
    <m/>
    <m/>
    <m/>
    <m/>
    <m/>
    <m/>
    <m/>
    <m/>
    <m/>
    <s v="AUD"/>
    <s v="13634513Waste Recycled - Paper and Cardboard [t]"/>
    <n v="13634513"/>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2-01T00:00:00"/>
    <s v="FY21"/>
    <s v="t"/>
    <n v="0"/>
    <n v="6.6000000000000003E-2"/>
    <n v="0"/>
    <n v="6.6000000000000003E-2"/>
    <n v="0"/>
    <n v="3"/>
    <n v="0"/>
    <n v="3"/>
    <n v="0"/>
    <n v="100"/>
    <n v="0"/>
    <s v="Consolidation"/>
    <s v="CO2e and Base Measure"/>
    <n v="100"/>
    <n v="100"/>
    <n v="7.0000000000000007E-2"/>
    <m/>
    <m/>
    <m/>
    <m/>
    <m/>
    <m/>
    <m/>
    <m/>
    <m/>
    <m/>
    <m/>
    <m/>
    <m/>
    <s v="AUD"/>
    <s v="13634513Waste Recycled - Paper and Cardboard [t]"/>
    <n v="13634513"/>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3-01T00:00:00"/>
    <s v="FY21"/>
    <s v="t"/>
    <n v="0"/>
    <n v="0.26400000000000001"/>
    <n v="0"/>
    <n v="0.26400000000000001"/>
    <n v="0"/>
    <n v="11"/>
    <n v="0"/>
    <n v="11"/>
    <n v="0"/>
    <n v="100"/>
    <n v="0"/>
    <s v="Consolidation"/>
    <s v="CO2e and Base Measure"/>
    <n v="100"/>
    <n v="100"/>
    <n v="0.26"/>
    <m/>
    <m/>
    <m/>
    <m/>
    <m/>
    <m/>
    <m/>
    <m/>
    <m/>
    <m/>
    <m/>
    <m/>
    <m/>
    <s v="AUD"/>
    <s v="13634513Waste Recycled - Paper and Cardboard [t]"/>
    <n v="13634513"/>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4-01T00:00:00"/>
    <s v="FY21"/>
    <s v="t"/>
    <n v="0"/>
    <n v="0"/>
    <n v="0.123"/>
    <n v="0.123"/>
    <n v="0"/>
    <n v="0"/>
    <n v="30"/>
    <n v="30"/>
    <n v="0"/>
    <n v="0"/>
    <n v="100"/>
    <s v="Consolidation"/>
    <s v="CO2e and Base Measure"/>
    <n v="100"/>
    <n v="100"/>
    <n v="0.12"/>
    <m/>
    <m/>
    <m/>
    <m/>
    <m/>
    <m/>
    <m/>
    <m/>
    <m/>
    <m/>
    <m/>
    <m/>
    <m/>
    <s v="AUD"/>
    <s v="13634513Waste Recycled - Paper and Cardboard [t]"/>
    <n v="13634513"/>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5-01T00:00:00"/>
    <s v="FY21"/>
    <s v="t"/>
    <n v="0"/>
    <n v="0"/>
    <n v="0.12709999999999999"/>
    <n v="0.12709999999999999"/>
    <n v="0"/>
    <n v="0"/>
    <n v="31"/>
    <n v="31"/>
    <n v="0"/>
    <n v="0"/>
    <n v="100"/>
    <s v="Consolidation"/>
    <s v="CO2e and Base Measure"/>
    <n v="100"/>
    <n v="100"/>
    <n v="0.13"/>
    <m/>
    <m/>
    <m/>
    <m/>
    <m/>
    <m/>
    <m/>
    <m/>
    <m/>
    <m/>
    <m/>
    <m/>
    <m/>
    <s v="AUD"/>
    <s v="13634513Waste Recycled - Paper and Cardboard [t]"/>
    <n v="13634513"/>
  </r>
  <r>
    <d v="2019-07-01T00:00:00"/>
    <d v="2021-06-30T00:00:00"/>
    <s v="Telstra"/>
    <s v="NON-NETWORK"/>
    <s v="NON-NETWORK"/>
    <s v="NSW"/>
    <s v="Australia"/>
    <s v="Griffith"/>
    <s v="176B WAKADEN ST"/>
    <n v="423033084000"/>
    <s v="Recycled Waste"/>
    <x v="0"/>
    <x v="0"/>
    <s v="Account"/>
    <s v="Remondis Cardboard - Loose - Recycled"/>
    <m/>
    <s v="423033084000_RCARDBOAR"/>
    <s v="CARDBOARD - LOOSE - RECYCLED"/>
    <s v="Remondis"/>
    <m/>
    <m/>
    <d v="2021-01-01T00:00:00"/>
    <d v="2020-07-01T00:00:00"/>
    <s v="FY21"/>
    <s v="t"/>
    <n v="0"/>
    <n v="5.0000000000000001E-3"/>
    <n v="0"/>
    <n v="5.0000000000000001E-3"/>
    <n v="0"/>
    <n v="1"/>
    <n v="0"/>
    <n v="1"/>
    <n v="0"/>
    <n v="100"/>
    <n v="0"/>
    <s v="Consolidation"/>
    <s v="CO2e and Base Measure"/>
    <n v="100"/>
    <n v="100"/>
    <n v="0.01"/>
    <m/>
    <m/>
    <m/>
    <m/>
    <m/>
    <m/>
    <n v="0"/>
    <m/>
    <m/>
    <m/>
    <m/>
    <m/>
    <m/>
    <s v="AUD"/>
    <s v="13565921Waste Recycled - Cardboard [t]"/>
    <n v="13565921"/>
  </r>
  <r>
    <d v="2019-07-01T00:00:00"/>
    <d v="2021-06-30T00:00:00"/>
    <s v="Telstra"/>
    <s v="NON-NETWORK"/>
    <s v="NON-NETWORK"/>
    <s v="NSW"/>
    <s v="Australia"/>
    <s v="Griffith"/>
    <s v="176B WAKADEN ST"/>
    <n v="423033084000"/>
    <s v="Recycled Waste"/>
    <x v="0"/>
    <x v="0"/>
    <s v="Account"/>
    <s v="Remondis Cardboard - Loose - Recycled"/>
    <m/>
    <s v="423033084000_RCARDBOAR"/>
    <s v="CARDBOARD - LOOSE - RECYCLED"/>
    <s v="Remondis"/>
    <m/>
    <m/>
    <d v="2021-01-01T00:00:00"/>
    <d v="2020-08-01T00:00:00"/>
    <s v="FY21"/>
    <s v="t"/>
    <n v="0"/>
    <n v="5.0000000000000001E-3"/>
    <n v="0"/>
    <n v="5.0000000000000001E-3"/>
    <n v="0"/>
    <n v="1"/>
    <n v="0"/>
    <n v="1"/>
    <n v="0"/>
    <n v="100"/>
    <n v="0"/>
    <s v="Consolidation"/>
    <s v="CO2e and Base Measure"/>
    <n v="100"/>
    <n v="100"/>
    <n v="0.01"/>
    <m/>
    <m/>
    <m/>
    <m/>
    <m/>
    <m/>
    <n v="0"/>
    <m/>
    <m/>
    <m/>
    <m/>
    <m/>
    <m/>
    <s v="AUD"/>
    <s v="13565921Waste Recycled - Cardboard [t]"/>
    <n v="13565921"/>
  </r>
  <r>
    <d v="2019-07-01T00:00:00"/>
    <d v="2021-06-30T00:00:00"/>
    <s v="Telstra"/>
    <s v="NON-NETWORK"/>
    <s v="NON-NETWORK"/>
    <s v="NSW"/>
    <s v="Australia"/>
    <s v="Griffith"/>
    <s v="176B WAKADEN ST"/>
    <n v="423033084000"/>
    <s v="Recycled Waste"/>
    <x v="0"/>
    <x v="0"/>
    <s v="Account"/>
    <s v="Remondis Cardboard - Loose - Recycled"/>
    <m/>
    <s v="423033084000_RCARDBOAR"/>
    <s v="CARDBOARD - LOOSE - RECYCLED"/>
    <s v="Remondis"/>
    <m/>
    <m/>
    <d v="2021-01-01T00:00:00"/>
    <d v="2020-12-01T00:00:00"/>
    <s v="FY21"/>
    <s v="t"/>
    <n v="0"/>
    <n v="5.0000000000000001E-3"/>
    <n v="0"/>
    <n v="5.0000000000000001E-3"/>
    <n v="0"/>
    <n v="1"/>
    <n v="0"/>
    <n v="1"/>
    <n v="0"/>
    <n v="100"/>
    <n v="0"/>
    <s v="Consolidation"/>
    <s v="CO2e and Base Measure"/>
    <n v="100"/>
    <n v="100"/>
    <n v="0.01"/>
    <m/>
    <m/>
    <m/>
    <m/>
    <m/>
    <m/>
    <n v="0"/>
    <m/>
    <m/>
    <m/>
    <m/>
    <m/>
    <m/>
    <s v="AUD"/>
    <s v="13565921Waste Recycled - Cardboard [t]"/>
    <n v="13565921"/>
  </r>
  <r>
    <d v="2019-07-01T00:00:00"/>
    <d v="2021-06-30T00:00:00"/>
    <s v="Telstra"/>
    <s v="NON-NETWORK"/>
    <s v="NON-NETWORK"/>
    <s v="NSW"/>
    <s v="Australia"/>
    <s v="Griffith"/>
    <s v="176B WAKADEN ST"/>
    <n v="423033084000"/>
    <s v="Recycled Waste"/>
    <x v="0"/>
    <x v="0"/>
    <s v="Account"/>
    <s v="Remondis Cardboard - Loose - Recycled"/>
    <m/>
    <s v="423033084000_RCARDBOAR"/>
    <s v="CARDBOARD - LOOSE - RECYCLED"/>
    <s v="Remondis"/>
    <m/>
    <m/>
    <d v="2021-01-01T00:00:00"/>
    <d v="2021-01-01T00:00:00"/>
    <s v="FY21"/>
    <s v="t"/>
    <n v="0"/>
    <n v="0"/>
    <n v="1E-4"/>
    <n v="1E-4"/>
    <n v="0"/>
    <n v="0"/>
    <n v="1"/>
    <n v="1"/>
    <n v="0"/>
    <n v="0"/>
    <n v="100"/>
    <s v="Consolidation"/>
    <s v="CO2e and Base Measure"/>
    <n v="100"/>
    <n v="100"/>
    <n v="0"/>
    <m/>
    <m/>
    <m/>
    <m/>
    <m/>
    <m/>
    <n v="0"/>
    <m/>
    <m/>
    <m/>
    <m/>
    <m/>
    <m/>
    <s v="AUD"/>
    <s v="13565921Waste Recycled - Cardboard [t]"/>
    <n v="13565921"/>
  </r>
  <r>
    <d v="2019-07-01T00:00:00"/>
    <d v="2021-06-30T00:00:00"/>
    <s v="Telstra"/>
    <s v="NON-NETWORK"/>
    <s v="NON-NETWORK"/>
    <s v="NSW"/>
    <s v="Australia"/>
    <s v="Griffith"/>
    <s v="176B WAKADEN ST"/>
    <n v="423033084000"/>
    <s v="Waste"/>
    <x v="1"/>
    <x v="2"/>
    <s v="Account"/>
    <s v="Remondis General Waste"/>
    <m/>
    <s v="4230330840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923Waste - General [t] - Scope 3"/>
    <n v="13565923"/>
  </r>
  <r>
    <d v="2019-07-01T00:00:00"/>
    <d v="2021-06-30T00:00:00"/>
    <s v="Telstra"/>
    <s v="NON-NETWORK"/>
    <s v="NON-NETWORK"/>
    <s v="NSW"/>
    <s v="Australia"/>
    <s v="Griffith"/>
    <s v="176B WAKADEN ST"/>
    <n v="423033084000"/>
    <s v="Waste"/>
    <x v="1"/>
    <x v="2"/>
    <s v="Account"/>
    <s v="Remondis General Waste"/>
    <m/>
    <s v="4230330840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923Waste - General [t] - Scope 3"/>
    <n v="13565923"/>
  </r>
  <r>
    <d v="2019-07-01T00:00:00"/>
    <d v="2021-06-30T00:00:00"/>
    <s v="Telstra"/>
    <s v="NON-NETWORK"/>
    <s v="NON-NETWORK"/>
    <s v="NSW"/>
    <s v="Australia"/>
    <s v="Griffith"/>
    <s v="176B WAKADEN ST"/>
    <n v="423033084000"/>
    <s v="Waste"/>
    <x v="1"/>
    <x v="2"/>
    <s v="Account"/>
    <s v="Remondis General Waste"/>
    <m/>
    <s v="423033084000_WGENERALW"/>
    <s v="GENERAL WASTE"/>
    <s v="Remondis"/>
    <m/>
    <m/>
    <d v="2020-12-01T00:00:00"/>
    <d v="2020-12-01T00:00:00"/>
    <s v="FY21"/>
    <s v="t"/>
    <n v="0"/>
    <n v="0"/>
    <n v="4.3E-3"/>
    <n v="4.3E-3"/>
    <n v="0"/>
    <n v="0"/>
    <n v="1"/>
    <n v="1"/>
    <n v="0"/>
    <n v="0"/>
    <n v="100"/>
    <s v="Consolidation"/>
    <s v="CO2e and Base Measure"/>
    <n v="100"/>
    <n v="100"/>
    <n v="0"/>
    <m/>
    <m/>
    <m/>
    <m/>
    <m/>
    <n v="5.5999999999999999E-3"/>
    <m/>
    <n v="5.5999999999999999E-3"/>
    <m/>
    <m/>
    <m/>
    <m/>
    <m/>
    <s v="AUD"/>
    <s v="13565923Waste - General [t] - Scope 3"/>
    <n v="13565923"/>
  </r>
  <r>
    <d v="2019-07-01T00:00:00"/>
    <d v="2021-06-30T00:00:00"/>
    <s v="Telstra"/>
    <s v="NON-NETWORK"/>
    <s v="NON-NETWORK"/>
    <s v="NSW"/>
    <s v="Australia"/>
    <s v="Griffith"/>
    <s v="176B WAKADEN ST"/>
    <n v="423033084000"/>
    <s v="Waste"/>
    <x v="1"/>
    <x v="2"/>
    <s v="Account"/>
    <s v="CLEANAWAY General"/>
    <m/>
    <s v="33084000_Landfill_General"/>
    <s v="General"/>
    <s v="Cleanaway"/>
    <m/>
    <m/>
    <m/>
    <d v="2021-03-01T00:00:00"/>
    <s v="FY21"/>
    <s v="t"/>
    <n v="0.40600000000000003"/>
    <n v="0"/>
    <n v="0"/>
    <n v="0.40600000000000003"/>
    <n v="1"/>
    <n v="0"/>
    <n v="0"/>
    <n v="1"/>
    <n v="100"/>
    <n v="0"/>
    <n v="0"/>
    <s v="Consolidation"/>
    <s v="CO2e and Base Measure"/>
    <n v="100"/>
    <n v="100"/>
    <n v="0.41"/>
    <m/>
    <m/>
    <m/>
    <m/>
    <m/>
    <n v="0.52780000000000005"/>
    <m/>
    <n v="0.52780000000000005"/>
    <m/>
    <m/>
    <m/>
    <m/>
    <m/>
    <s v="AUD"/>
    <s v="13641246Waste - General [t] - Scope 3"/>
    <n v="13641246"/>
  </r>
  <r>
    <d v="2019-07-01T00:00:00"/>
    <d v="2021-06-30T00:00:00"/>
    <s v="Telstra"/>
    <s v="NON-NETWORK"/>
    <s v="NON-NETWORK"/>
    <s v="NSW"/>
    <s v="Australia"/>
    <s v="Griffith"/>
    <s v="176B WAKADEN ST"/>
    <n v="423033084000"/>
    <s v="Waste"/>
    <x v="1"/>
    <x v="2"/>
    <s v="Account"/>
    <s v="CLEANAWAY General"/>
    <m/>
    <s v="33084000_Landfill_General"/>
    <s v="General"/>
    <s v="Cleanaway"/>
    <m/>
    <m/>
    <m/>
    <d v="2021-04-01T00:00:00"/>
    <s v="FY21"/>
    <s v="t"/>
    <n v="0"/>
    <n v="0"/>
    <n v="0.40500000000000003"/>
    <n v="0.40500000000000003"/>
    <n v="0"/>
    <n v="0"/>
    <n v="30"/>
    <n v="30"/>
    <n v="0"/>
    <n v="0"/>
    <n v="100"/>
    <s v="Consolidation"/>
    <s v="CO2e and Base Measure"/>
    <n v="100"/>
    <n v="100"/>
    <n v="0.41"/>
    <m/>
    <m/>
    <m/>
    <m/>
    <m/>
    <n v="0.52649999999999997"/>
    <m/>
    <n v="0.52649999999999997"/>
    <m/>
    <m/>
    <m/>
    <m/>
    <m/>
    <s v="AUD"/>
    <s v="13641246Waste - General [t] - Scope 3"/>
    <n v="13641246"/>
  </r>
  <r>
    <d v="2019-07-01T00:00:00"/>
    <d v="2021-06-30T00:00:00"/>
    <s v="Telstra"/>
    <s v="NON-NETWORK"/>
    <s v="NON-NETWORK"/>
    <s v="NSW"/>
    <s v="Australia"/>
    <s v="Griffith"/>
    <s v="176B WAKADEN ST"/>
    <n v="423033084000"/>
    <s v="Waste"/>
    <x v="1"/>
    <x v="2"/>
    <s v="Account"/>
    <s v="CLEANAWAY General"/>
    <m/>
    <s v="33084000_Landfill_General"/>
    <s v="General"/>
    <s v="Cleanaway"/>
    <m/>
    <m/>
    <m/>
    <d v="2021-05-01T00:00:00"/>
    <s v="FY21"/>
    <s v="t"/>
    <n v="0"/>
    <n v="0"/>
    <n v="0.41849999999999998"/>
    <n v="0.41849999999999998"/>
    <n v="0"/>
    <n v="0"/>
    <n v="31"/>
    <n v="31"/>
    <n v="0"/>
    <n v="0"/>
    <n v="100"/>
    <s v="Consolidation"/>
    <s v="CO2e and Base Measure"/>
    <n v="100"/>
    <n v="100"/>
    <n v="0.42"/>
    <m/>
    <m/>
    <m/>
    <m/>
    <m/>
    <n v="0.54410000000000003"/>
    <m/>
    <n v="0.54410000000000003"/>
    <m/>
    <m/>
    <m/>
    <m/>
    <m/>
    <s v="AUD"/>
    <s v="13641246Waste - General [t] - Scope 3"/>
    <n v="13641246"/>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07-01T00:00:00"/>
    <s v="FY21"/>
    <s v="t"/>
    <n v="3.9E-2"/>
    <n v="6.9900000000000004E-2"/>
    <n v="0"/>
    <n v="0.1089"/>
    <n v="1"/>
    <n v="3"/>
    <n v="0"/>
    <n v="4"/>
    <n v="35.81"/>
    <n v="64.180000000000007"/>
    <n v="0"/>
    <s v="Consolidation"/>
    <s v="CO2e and Base Measure"/>
    <n v="100"/>
    <n v="100"/>
    <n v="0.11"/>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08-01T00:00:00"/>
    <s v="FY21"/>
    <s v="t"/>
    <n v="1.7999999999999999E-2"/>
    <n v="4.6600000000000003E-2"/>
    <n v="0"/>
    <n v="6.4600000000000005E-2"/>
    <n v="2"/>
    <n v="2"/>
    <n v="0"/>
    <n v="4"/>
    <n v="27.86"/>
    <n v="72.13"/>
    <n v="0"/>
    <s v="Consolidation"/>
    <s v="CO2e and Base Measure"/>
    <n v="100"/>
    <n v="100"/>
    <n v="0.06"/>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09-01T00:00:00"/>
    <s v="FY21"/>
    <s v="t"/>
    <n v="4.2999999999999997E-2"/>
    <n v="2.3300000000000001E-2"/>
    <n v="0"/>
    <n v="6.6299999999999998E-2"/>
    <n v="4"/>
    <n v="1"/>
    <n v="0"/>
    <n v="5"/>
    <n v="64.849999999999994"/>
    <n v="35.14"/>
    <n v="0"/>
    <s v="Consolidation"/>
    <s v="CO2e and Base Measure"/>
    <n v="100"/>
    <n v="100"/>
    <n v="7.0000000000000007E-2"/>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10-01T00:00:00"/>
    <s v="FY21"/>
    <s v="t"/>
    <n v="6.8000000000000005E-2"/>
    <n v="4.6600000000000003E-2"/>
    <n v="0"/>
    <n v="0.11459999999999999"/>
    <n v="2"/>
    <n v="2"/>
    <n v="0"/>
    <n v="4"/>
    <n v="59.33"/>
    <n v="40.659999999999997"/>
    <n v="0"/>
    <s v="Consolidation"/>
    <s v="CO2e and Base Measure"/>
    <n v="100"/>
    <n v="100"/>
    <n v="0.11"/>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11-01T00:00:00"/>
    <s v="FY21"/>
    <s v="t"/>
    <n v="1.4E-2"/>
    <n v="2.3300000000000001E-2"/>
    <n v="0"/>
    <n v="3.73E-2"/>
    <n v="2"/>
    <n v="1"/>
    <n v="0"/>
    <n v="3"/>
    <n v="37.53"/>
    <n v="62.46"/>
    <n v="0"/>
    <s v="Consolidation"/>
    <s v="CO2e and Base Measure"/>
    <n v="100"/>
    <n v="100"/>
    <n v="0.04"/>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12-01T00:00:00"/>
    <s v="FY21"/>
    <s v="t"/>
    <n v="4.0000000000000001E-3"/>
    <n v="0"/>
    <n v="0"/>
    <n v="4.0000000000000001E-3"/>
    <n v="1"/>
    <n v="0"/>
    <n v="0"/>
    <n v="1"/>
    <n v="100"/>
    <n v="0"/>
    <n v="0"/>
    <s v="Consolidation"/>
    <s v="CO2e and Base Measure"/>
    <n v="100"/>
    <n v="100"/>
    <n v="0"/>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1-01-01T00:00:00"/>
    <s v="FY21"/>
    <s v="t"/>
    <n v="0"/>
    <n v="2.3300000000000001E-2"/>
    <n v="0"/>
    <n v="2.3300000000000001E-2"/>
    <n v="0"/>
    <n v="1"/>
    <n v="0"/>
    <n v="1"/>
    <n v="0"/>
    <n v="100"/>
    <n v="0"/>
    <s v="Consolidation"/>
    <s v="CO2e and Base Measure"/>
    <n v="100"/>
    <n v="100"/>
    <n v="0.02"/>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1-02-01T00:00:00"/>
    <s v="FY21"/>
    <s v="t"/>
    <n v="0"/>
    <n v="0"/>
    <n v="2.2000000000000001E-3"/>
    <n v="2.2000000000000001E-3"/>
    <n v="0"/>
    <n v="0"/>
    <n v="1"/>
    <n v="1"/>
    <n v="0"/>
    <n v="0"/>
    <n v="100"/>
    <s v="Consolidation"/>
    <s v="CO2e and Base Measure"/>
    <n v="100"/>
    <n v="100"/>
    <n v="0"/>
    <m/>
    <m/>
    <m/>
    <m/>
    <m/>
    <m/>
    <n v="0"/>
    <m/>
    <m/>
    <m/>
    <m/>
    <m/>
    <m/>
    <s v="AUD"/>
    <s v="13565594Waste Recycled - Cardboard [t]"/>
    <n v="13565594"/>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07-01T00:00:00"/>
    <s v="FY21"/>
    <s v="t"/>
    <n v="0.32400000000000001"/>
    <n v="0"/>
    <n v="0"/>
    <n v="0.32400000000000001"/>
    <n v="4"/>
    <n v="0"/>
    <n v="0"/>
    <n v="4"/>
    <n v="100"/>
    <n v="0"/>
    <n v="0"/>
    <s v="Consolidation"/>
    <s v="CO2e and Base Measure"/>
    <n v="100"/>
    <n v="100"/>
    <n v="0.32"/>
    <m/>
    <m/>
    <m/>
    <m/>
    <m/>
    <n v="0.42120000000000002"/>
    <m/>
    <n v="0.42120000000000002"/>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08-01T00:00:00"/>
    <s v="FY21"/>
    <s v="t"/>
    <n v="0.36399999999999999"/>
    <n v="0"/>
    <n v="0"/>
    <n v="0.36399999999999999"/>
    <n v="4"/>
    <n v="0"/>
    <n v="0"/>
    <n v="4"/>
    <n v="100"/>
    <n v="0"/>
    <n v="0"/>
    <s v="Consolidation"/>
    <s v="CO2e and Base Measure"/>
    <n v="100"/>
    <n v="100"/>
    <n v="0.36"/>
    <m/>
    <m/>
    <m/>
    <m/>
    <m/>
    <n v="0.47320000000000001"/>
    <m/>
    <n v="0.47320000000000001"/>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09-01T00:00:00"/>
    <s v="FY21"/>
    <s v="t"/>
    <n v="0.70599999999999996"/>
    <n v="0"/>
    <n v="0"/>
    <n v="0.70599999999999996"/>
    <n v="5"/>
    <n v="0"/>
    <n v="0"/>
    <n v="5"/>
    <n v="100"/>
    <n v="0"/>
    <n v="0"/>
    <s v="Consolidation"/>
    <s v="CO2e and Base Measure"/>
    <n v="100"/>
    <n v="100"/>
    <n v="0.71"/>
    <m/>
    <m/>
    <m/>
    <m/>
    <m/>
    <n v="0.91779999999999995"/>
    <m/>
    <n v="0.91779999999999995"/>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10-01T00:00:00"/>
    <s v="FY21"/>
    <s v="t"/>
    <n v="0.32600000000000001"/>
    <n v="0"/>
    <n v="0"/>
    <n v="0.32600000000000001"/>
    <n v="4"/>
    <n v="0"/>
    <n v="0"/>
    <n v="4"/>
    <n v="100"/>
    <n v="0"/>
    <n v="0"/>
    <s v="Consolidation"/>
    <s v="CO2e and Base Measure"/>
    <n v="100"/>
    <n v="100"/>
    <n v="0.33"/>
    <m/>
    <m/>
    <m/>
    <m/>
    <m/>
    <n v="0.42380000000000001"/>
    <m/>
    <n v="0.42380000000000001"/>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11-01T00:00:00"/>
    <s v="FY21"/>
    <s v="t"/>
    <n v="0.35199999999999998"/>
    <n v="0.14430000000000001"/>
    <n v="0"/>
    <n v="0.49630000000000002"/>
    <n v="3"/>
    <n v="1"/>
    <n v="0"/>
    <n v="4"/>
    <n v="70.92"/>
    <n v="29.07"/>
    <n v="0"/>
    <s v="Consolidation"/>
    <s v="CO2e and Base Measure"/>
    <n v="100"/>
    <n v="100"/>
    <n v="0.5"/>
    <m/>
    <m/>
    <m/>
    <m/>
    <m/>
    <n v="0.6452"/>
    <m/>
    <n v="0.6452"/>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12-01T00:00:00"/>
    <s v="FY21"/>
    <s v="t"/>
    <n v="3.2000000000000001E-2"/>
    <n v="7.22E-2"/>
    <n v="0"/>
    <n v="0.1042"/>
    <n v="1"/>
    <n v="1"/>
    <n v="0"/>
    <n v="2"/>
    <n v="30.71"/>
    <n v="69.28"/>
    <n v="0"/>
    <s v="Consolidation"/>
    <s v="CO2e and Base Measure"/>
    <n v="100"/>
    <n v="100"/>
    <n v="0.1"/>
    <m/>
    <m/>
    <m/>
    <m/>
    <m/>
    <n v="0.13550000000000001"/>
    <m/>
    <n v="0.13550000000000001"/>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1-01-01T00:00:00"/>
    <s v="FY21"/>
    <s v="t"/>
    <n v="0"/>
    <n v="0.14430000000000001"/>
    <n v="0"/>
    <n v="0.14430000000000001"/>
    <n v="0"/>
    <n v="1"/>
    <n v="0"/>
    <n v="1"/>
    <n v="0"/>
    <n v="100"/>
    <n v="0"/>
    <s v="Consolidation"/>
    <s v="CO2e and Base Measure"/>
    <n v="100"/>
    <n v="100"/>
    <n v="0.14000000000000001"/>
    <m/>
    <m/>
    <m/>
    <m/>
    <m/>
    <n v="0.18759999999999999"/>
    <m/>
    <n v="0.18759999999999999"/>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1-02-01T00:00:00"/>
    <s v="FY21"/>
    <s v="t"/>
    <n v="0"/>
    <n v="0"/>
    <n v="1.09E-2"/>
    <n v="1.09E-2"/>
    <n v="0"/>
    <n v="0"/>
    <n v="1"/>
    <n v="1"/>
    <n v="0"/>
    <n v="0"/>
    <n v="100"/>
    <s v="Consolidation"/>
    <s v="CO2e and Base Measure"/>
    <n v="100"/>
    <n v="100"/>
    <n v="0.01"/>
    <m/>
    <m/>
    <m/>
    <m/>
    <m/>
    <n v="1.4200000000000001E-2"/>
    <m/>
    <n v="1.4200000000000001E-2"/>
    <m/>
    <m/>
    <m/>
    <m/>
    <m/>
    <s v="AUD"/>
    <s v="13565595Waste - General [t] - Scope 3"/>
    <n v="13565595"/>
  </r>
  <r>
    <d v="2019-07-01T00:00:00"/>
    <d v="2021-06-30T00:00:00"/>
    <s v="Telstra"/>
    <s v="NETWORK"/>
    <s v="Network - InfraCo"/>
    <s v="NSW"/>
    <s v="Australia"/>
    <s v="Chippendale"/>
    <s v="184 BROADWAY CHIPPENDALE"/>
    <n v="423031228200"/>
    <s v="Recycled Waste"/>
    <x v="0"/>
    <x v="5"/>
    <s v="Account"/>
    <s v="Remondis Construction &amp; Demolition - Recycled"/>
    <m/>
    <s v="423031228200_RCONSDEM"/>
    <s v="CONSTRUCTION &amp; DEMOLITION - RECYCLED"/>
    <s v="Remondis"/>
    <m/>
    <d v="2020-11-06T00:00:00"/>
    <d v="2020-11-06T00:00:00"/>
    <d v="2020-11-01T00:00:00"/>
    <s v="FY21"/>
    <s v="t"/>
    <n v="1"/>
    <n v="0"/>
    <n v="0"/>
    <n v="1"/>
    <n v="1"/>
    <n v="0"/>
    <n v="0"/>
    <n v="1"/>
    <n v="100"/>
    <n v="0"/>
    <n v="0"/>
    <s v="Consolidation"/>
    <s v="CO2e and Base Measure"/>
    <n v="100"/>
    <n v="100"/>
    <n v="1"/>
    <m/>
    <m/>
    <m/>
    <m/>
    <m/>
    <m/>
    <m/>
    <m/>
    <m/>
    <m/>
    <m/>
    <m/>
    <m/>
    <s v="AUD"/>
    <s v="13632357Waste Recycled - Construction and Demolition [t]"/>
    <n v="13632357"/>
  </r>
  <r>
    <d v="2019-07-01T00:00:00"/>
    <d v="2021-06-30T00:00:00"/>
    <s v="Telstra"/>
    <s v="NETWORK"/>
    <s v="Network - InfraCo"/>
    <s v="NSW"/>
    <s v="Australia"/>
    <s v="Chippendale"/>
    <s v="184 BROADWAY CHIPPENDALE"/>
    <n v="423031228200"/>
    <s v="Waste"/>
    <x v="1"/>
    <x v="2"/>
    <s v="Account"/>
    <s v="CLEANAWAY General"/>
    <m/>
    <s v="45782_Landfill_General"/>
    <s v="General"/>
    <s v="Cleanaway"/>
    <m/>
    <d v="2021-02-16T00:00:00"/>
    <m/>
    <d v="2021-02-01T00:00:00"/>
    <s v="FY21"/>
    <s v="t"/>
    <n v="0"/>
    <n v="0.2475"/>
    <n v="0"/>
    <n v="0.2475"/>
    <n v="0"/>
    <n v="4"/>
    <n v="0"/>
    <n v="4"/>
    <n v="0"/>
    <n v="100"/>
    <n v="0"/>
    <s v="Consolidation"/>
    <s v="CO2e and Base Measure"/>
    <n v="100"/>
    <n v="100"/>
    <n v="0.25"/>
    <m/>
    <m/>
    <m/>
    <m/>
    <m/>
    <n v="0.32179999999999997"/>
    <m/>
    <n v="0.32179999999999997"/>
    <m/>
    <m/>
    <m/>
    <m/>
    <m/>
    <s v="AUD"/>
    <s v="13639885Waste - General [t] - Scope 3"/>
    <n v="13639885"/>
  </r>
  <r>
    <d v="2019-07-01T00:00:00"/>
    <d v="2021-06-30T00:00:00"/>
    <s v="Telstra"/>
    <s v="NETWORK"/>
    <s v="Network - InfraCo"/>
    <s v="NSW"/>
    <s v="Australia"/>
    <s v="Chippendale"/>
    <s v="184 BROADWAY CHIPPENDALE"/>
    <n v="423031228200"/>
    <s v="Waste"/>
    <x v="1"/>
    <x v="2"/>
    <s v="Account"/>
    <s v="CLEANAWAY General"/>
    <m/>
    <s v="45782_Landfill_General"/>
    <s v="General"/>
    <s v="Cleanaway"/>
    <m/>
    <d v="2021-02-16T00:00:00"/>
    <m/>
    <d v="2021-03-01T00:00:00"/>
    <s v="FY21"/>
    <s v="t"/>
    <n v="2.8000000000000001E-2"/>
    <n v="0.29699999999999999"/>
    <n v="0"/>
    <n v="0.32500000000000001"/>
    <n v="1"/>
    <n v="6"/>
    <n v="0"/>
    <n v="7"/>
    <n v="8.61"/>
    <n v="91.38"/>
    <n v="0"/>
    <s v="Consolidation"/>
    <s v="CO2e and Base Measure"/>
    <n v="100"/>
    <n v="100"/>
    <n v="0.33"/>
    <m/>
    <m/>
    <m/>
    <m/>
    <m/>
    <n v="0.42249999999999999"/>
    <m/>
    <n v="0.42249999999999999"/>
    <m/>
    <m/>
    <m/>
    <m/>
    <m/>
    <s v="AUD"/>
    <s v="13639885Waste - General [t] - Scope 3"/>
    <n v="13639885"/>
  </r>
  <r>
    <d v="2019-07-01T00:00:00"/>
    <d v="2021-06-30T00:00:00"/>
    <s v="Telstra"/>
    <s v="NETWORK"/>
    <s v="Network - InfraCo"/>
    <s v="NSW"/>
    <s v="Australia"/>
    <s v="Chippendale"/>
    <s v="184 BROADWAY CHIPPENDALE"/>
    <n v="423031228200"/>
    <s v="Waste"/>
    <x v="1"/>
    <x v="2"/>
    <s v="Account"/>
    <s v="CLEANAWAY General"/>
    <m/>
    <s v="45782_Landfill_General"/>
    <s v="General"/>
    <s v="Cleanaway"/>
    <m/>
    <d v="2021-02-16T00:00:00"/>
    <m/>
    <d v="2021-04-01T00:00:00"/>
    <s v="FY21"/>
    <s v="t"/>
    <n v="0"/>
    <n v="0"/>
    <n v="0.29699999999999999"/>
    <n v="0.29699999999999999"/>
    <n v="0"/>
    <n v="0"/>
    <n v="30"/>
    <n v="30"/>
    <n v="0"/>
    <n v="0"/>
    <n v="100"/>
    <s v="Consolidation"/>
    <s v="CO2e and Base Measure"/>
    <n v="100"/>
    <n v="100"/>
    <n v="0.3"/>
    <m/>
    <m/>
    <m/>
    <m/>
    <m/>
    <n v="0.3861"/>
    <m/>
    <n v="0.3861"/>
    <m/>
    <m/>
    <m/>
    <m/>
    <m/>
    <s v="AUD"/>
    <s v="13639885Waste - General [t] - Scope 3"/>
    <n v="13639885"/>
  </r>
  <r>
    <d v="2019-07-01T00:00:00"/>
    <d v="2021-06-30T00:00:00"/>
    <s v="Telstra"/>
    <s v="NETWORK"/>
    <s v="Network - InfraCo"/>
    <s v="NSW"/>
    <s v="Australia"/>
    <s v="Chippendale"/>
    <s v="184 BROADWAY CHIPPENDALE"/>
    <n v="423031228200"/>
    <s v="Waste"/>
    <x v="1"/>
    <x v="2"/>
    <s v="Account"/>
    <s v="CLEANAWAY General"/>
    <m/>
    <s v="45782_Landfill_General"/>
    <s v="General"/>
    <s v="Cleanaway"/>
    <m/>
    <d v="2021-02-16T00:00:00"/>
    <m/>
    <d v="2021-05-01T00:00:00"/>
    <s v="FY21"/>
    <s v="t"/>
    <n v="0"/>
    <n v="0"/>
    <n v="0.30690000000000001"/>
    <n v="0.30690000000000001"/>
    <n v="0"/>
    <n v="0"/>
    <n v="31"/>
    <n v="31"/>
    <n v="0"/>
    <n v="0"/>
    <n v="100"/>
    <s v="Consolidation"/>
    <s v="CO2e and Base Measure"/>
    <n v="100"/>
    <n v="100"/>
    <n v="0.31"/>
    <m/>
    <m/>
    <m/>
    <m/>
    <m/>
    <n v="0.39900000000000002"/>
    <m/>
    <n v="0.39900000000000002"/>
    <m/>
    <m/>
    <m/>
    <m/>
    <m/>
    <s v="AUD"/>
    <s v="13639885Waste - General [t] - Scope 3"/>
    <n v="13639885"/>
  </r>
  <r>
    <d v="2019-07-01T00:00:00"/>
    <d v="2021-06-30T00:00:00"/>
    <s v="Telstra"/>
    <s v="NETWORK"/>
    <s v="Network - InfraCo"/>
    <s v="NSW"/>
    <s v="Australia"/>
    <s v="Chippendale"/>
    <s v="184 BROADWAY CHIPPENDALE"/>
    <n v="423031228200"/>
    <s v="Recycled Waste"/>
    <x v="0"/>
    <x v="0"/>
    <s v="Account"/>
    <s v="CLEANAWAY Cardboard"/>
    <m/>
    <s v="45782_Diversion_Cardboard"/>
    <s v="Cardboard"/>
    <s v="Cleanaway"/>
    <m/>
    <d v="2021-03-11T00:00:00"/>
    <m/>
    <d v="2021-03-01T00:00:00"/>
    <s v="FY21"/>
    <s v="t"/>
    <n v="0"/>
    <n v="2.75E-2"/>
    <n v="0"/>
    <n v="2.75E-2"/>
    <n v="0"/>
    <n v="1"/>
    <n v="0"/>
    <n v="1"/>
    <n v="0"/>
    <n v="100"/>
    <n v="0"/>
    <s v="Consolidation"/>
    <s v="CO2e and Base Measure"/>
    <n v="100"/>
    <n v="100"/>
    <n v="0.03"/>
    <m/>
    <m/>
    <m/>
    <m/>
    <m/>
    <m/>
    <m/>
    <m/>
    <m/>
    <m/>
    <m/>
    <m/>
    <m/>
    <s v="AUD"/>
    <s v="13641213Waste Recycled - Paper and Cardboard [t]"/>
    <n v="13641213"/>
  </r>
  <r>
    <d v="2019-07-01T00:00:00"/>
    <d v="2021-06-30T00:00:00"/>
    <s v="Telstra"/>
    <s v="NETWORK"/>
    <s v="Network - InfraCo"/>
    <s v="NSW"/>
    <s v="Australia"/>
    <s v="Chippendale"/>
    <s v="184 BROADWAY CHIPPENDALE"/>
    <n v="423031228200"/>
    <s v="Recycled Waste"/>
    <x v="0"/>
    <x v="0"/>
    <s v="Account"/>
    <s v="CLEANAWAY Cardboard"/>
    <m/>
    <s v="45782_Diversion_Cardboard"/>
    <s v="Cardboard"/>
    <s v="Cleanaway"/>
    <m/>
    <d v="2021-03-11T00:00:00"/>
    <m/>
    <d v="2021-04-01T00:00:00"/>
    <s v="FY21"/>
    <s v="t"/>
    <n v="0"/>
    <n v="0"/>
    <n v="2.7E-2"/>
    <n v="2.7E-2"/>
    <n v="0"/>
    <n v="0"/>
    <n v="30"/>
    <n v="30"/>
    <n v="0"/>
    <n v="0"/>
    <n v="100"/>
    <s v="Consolidation"/>
    <s v="CO2e and Base Measure"/>
    <n v="100"/>
    <n v="100"/>
    <n v="0.03"/>
    <m/>
    <m/>
    <m/>
    <m/>
    <m/>
    <m/>
    <m/>
    <m/>
    <m/>
    <m/>
    <m/>
    <m/>
    <m/>
    <s v="AUD"/>
    <s v="13641213Waste Recycled - Paper and Cardboard [t]"/>
    <n v="13641213"/>
  </r>
  <r>
    <d v="2019-07-01T00:00:00"/>
    <d v="2021-06-30T00:00:00"/>
    <s v="Telstra"/>
    <s v="NETWORK"/>
    <s v="Network - InfraCo"/>
    <s v="NSW"/>
    <s v="Australia"/>
    <s v="Chippendale"/>
    <s v="184 BROADWAY CHIPPENDALE"/>
    <n v="423031228200"/>
    <s v="Recycled Waste"/>
    <x v="0"/>
    <x v="0"/>
    <s v="Account"/>
    <s v="CLEANAWAY Cardboard"/>
    <m/>
    <s v="45782_Diversion_Cardboard"/>
    <s v="Cardboard"/>
    <s v="Cleanaway"/>
    <m/>
    <d v="2021-03-11T00:00:00"/>
    <m/>
    <d v="2021-05-01T00:00:00"/>
    <s v="FY21"/>
    <s v="t"/>
    <n v="0"/>
    <n v="0"/>
    <n v="2.7900000000000001E-2"/>
    <n v="2.7900000000000001E-2"/>
    <n v="0"/>
    <n v="0"/>
    <n v="31"/>
    <n v="31"/>
    <n v="0"/>
    <n v="0"/>
    <n v="100"/>
    <s v="Consolidation"/>
    <s v="CO2e and Base Measure"/>
    <n v="100"/>
    <n v="100"/>
    <n v="0.03"/>
    <m/>
    <m/>
    <m/>
    <m/>
    <m/>
    <m/>
    <m/>
    <m/>
    <m/>
    <m/>
    <m/>
    <m/>
    <m/>
    <s v="AUD"/>
    <s v="13641213Waste Recycled - Paper and Cardboard [t]"/>
    <n v="13641213"/>
  </r>
  <r>
    <d v="2019-07-01T00:00:00"/>
    <d v="2021-06-30T00:00:00"/>
    <s v="Telstra"/>
    <s v="NON-NETWORK"/>
    <s v="NON-NETWORK"/>
    <s v="NSW"/>
    <s v="Australia"/>
    <s v="Port Macquarie"/>
    <s v="19 Jambali Road Port Macquarie"/>
    <n v="423034105400"/>
    <s v="Waste"/>
    <x v="1"/>
    <x v="2"/>
    <s v="Account"/>
    <s v="CLEANAWAY General"/>
    <m/>
    <s v="34105400_Landfill_General"/>
    <s v="General"/>
    <s v="Cleanaway"/>
    <m/>
    <d v="2021-02-11T00:00:00"/>
    <m/>
    <d v="2021-02-01T00:00:00"/>
    <s v="FY21"/>
    <s v="t"/>
    <n v="8.6999999999999994E-2"/>
    <n v="0"/>
    <n v="0"/>
    <n v="8.6999999999999994E-2"/>
    <n v="2"/>
    <n v="0"/>
    <n v="0"/>
    <n v="2"/>
    <n v="100"/>
    <n v="0"/>
    <n v="0"/>
    <s v="Consolidation"/>
    <s v="CO2e and Base Measure"/>
    <n v="100"/>
    <n v="100"/>
    <n v="0.09"/>
    <m/>
    <m/>
    <m/>
    <m/>
    <m/>
    <n v="0.11310000000000001"/>
    <m/>
    <n v="0.11310000000000001"/>
    <m/>
    <m/>
    <m/>
    <m/>
    <m/>
    <s v="AUD"/>
    <s v="13639956Waste - General [t] - Scope 3"/>
    <n v="13639956"/>
  </r>
  <r>
    <d v="2019-07-01T00:00:00"/>
    <d v="2021-06-30T00:00:00"/>
    <s v="Telstra"/>
    <s v="NON-NETWORK"/>
    <s v="NON-NETWORK"/>
    <s v="NSW"/>
    <s v="Australia"/>
    <s v="Port Macquarie"/>
    <s v="19 Jambali Road Port Macquarie"/>
    <n v="423034105400"/>
    <s v="Waste"/>
    <x v="1"/>
    <x v="2"/>
    <s v="Account"/>
    <s v="CLEANAWAY General"/>
    <m/>
    <s v="34105400_Landfill_General"/>
    <s v="General"/>
    <s v="Cleanaway"/>
    <m/>
    <d v="2021-02-11T00:00:00"/>
    <m/>
    <d v="2021-03-01T00:00:00"/>
    <s v="FY21"/>
    <s v="t"/>
    <n v="0"/>
    <n v="2.9700000000000001E-2"/>
    <n v="0"/>
    <n v="2.9700000000000001E-2"/>
    <n v="0"/>
    <n v="1"/>
    <n v="0"/>
    <n v="1"/>
    <n v="0"/>
    <n v="100"/>
    <n v="0"/>
    <s v="Consolidation"/>
    <s v="CO2e and Base Measure"/>
    <n v="100"/>
    <n v="100"/>
    <n v="0.03"/>
    <m/>
    <m/>
    <m/>
    <m/>
    <m/>
    <n v="3.8600000000000002E-2"/>
    <m/>
    <n v="3.8600000000000002E-2"/>
    <m/>
    <m/>
    <m/>
    <m/>
    <m/>
    <s v="AUD"/>
    <s v="13639956Waste - General [t] - Scope 3"/>
    <n v="13639956"/>
  </r>
  <r>
    <d v="2019-07-01T00:00:00"/>
    <d v="2021-06-30T00:00:00"/>
    <s v="Telstra"/>
    <s v="NON-NETWORK"/>
    <s v="NON-NETWORK"/>
    <s v="NSW"/>
    <s v="Australia"/>
    <s v="Port Macquarie"/>
    <s v="19 Jambali Road Port Macquarie"/>
    <n v="423034105400"/>
    <s v="Waste"/>
    <x v="1"/>
    <x v="2"/>
    <s v="Account"/>
    <s v="CLEANAWAY General"/>
    <m/>
    <s v="34105400_Landfill_General"/>
    <s v="General"/>
    <s v="Cleanaway"/>
    <m/>
    <d v="2021-02-11T00:00:00"/>
    <m/>
    <d v="2021-04-01T00:00:00"/>
    <s v="FY21"/>
    <s v="t"/>
    <n v="0"/>
    <n v="0"/>
    <n v="0.06"/>
    <n v="0.06"/>
    <n v="0"/>
    <n v="0"/>
    <n v="30"/>
    <n v="30"/>
    <n v="0"/>
    <n v="0"/>
    <n v="100"/>
    <s v="Consolidation"/>
    <s v="CO2e and Base Measure"/>
    <n v="100"/>
    <n v="100"/>
    <n v="0.06"/>
    <m/>
    <m/>
    <m/>
    <m/>
    <m/>
    <n v="7.8E-2"/>
    <m/>
    <n v="7.8E-2"/>
    <m/>
    <m/>
    <m/>
    <m/>
    <m/>
    <s v="AUD"/>
    <s v="13639956Waste - General [t] - Scope 3"/>
    <n v="13639956"/>
  </r>
  <r>
    <d v="2019-07-01T00:00:00"/>
    <d v="2021-06-30T00:00:00"/>
    <s v="Telstra"/>
    <s v="NON-NETWORK"/>
    <s v="NON-NETWORK"/>
    <s v="NSW"/>
    <s v="Australia"/>
    <s v="Port Macquarie"/>
    <s v="19 Jambali Road Port Macquarie"/>
    <n v="423034105400"/>
    <s v="Waste"/>
    <x v="1"/>
    <x v="2"/>
    <s v="Account"/>
    <s v="CLEANAWAY General"/>
    <m/>
    <s v="34105400_Landfill_General"/>
    <s v="General"/>
    <s v="Cleanaway"/>
    <m/>
    <d v="2021-02-11T00:00:00"/>
    <m/>
    <d v="2021-05-01T00:00:00"/>
    <s v="FY21"/>
    <s v="t"/>
    <n v="0"/>
    <n v="0"/>
    <n v="6.2E-2"/>
    <n v="6.2E-2"/>
    <n v="0"/>
    <n v="0"/>
    <n v="31"/>
    <n v="31"/>
    <n v="0"/>
    <n v="0"/>
    <n v="100"/>
    <s v="Consolidation"/>
    <s v="CO2e and Base Measure"/>
    <n v="100"/>
    <n v="100"/>
    <n v="0.06"/>
    <m/>
    <m/>
    <m/>
    <m/>
    <m/>
    <n v="8.0600000000000005E-2"/>
    <m/>
    <n v="8.0600000000000005E-2"/>
    <m/>
    <m/>
    <m/>
    <m/>
    <m/>
    <s v="AUD"/>
    <s v="13639956Waste - General [t] - Scope 3"/>
    <n v="13639956"/>
  </r>
  <r>
    <d v="2019-07-01T00:00:00"/>
    <d v="2021-06-30T00:00:00"/>
    <s v="Telstra"/>
    <s v="NON-NETWORK"/>
    <s v="NON-NETWORK"/>
    <s v="NSW"/>
    <s v="Australia"/>
    <s v="Port Macquarie"/>
    <s v="19 Jambali Road Port Macquarie"/>
    <n v="423034105400"/>
    <s v="Recycled Waste"/>
    <x v="0"/>
    <x v="0"/>
    <s v="Account"/>
    <s v="CLEANAWAY Cardboard"/>
    <m/>
    <s v="34105400_Diversion_Cardboard"/>
    <s v="Cardboard"/>
    <s v="Cleanaway"/>
    <m/>
    <d v="2021-02-12T00:00:00"/>
    <m/>
    <d v="2021-02-01T00:00:00"/>
    <s v="FY21"/>
    <s v="t"/>
    <n v="0"/>
    <n v="3.3000000000000002E-2"/>
    <n v="0"/>
    <n v="3.3000000000000002E-2"/>
    <n v="0"/>
    <n v="2"/>
    <n v="0"/>
    <n v="2"/>
    <n v="0"/>
    <n v="100"/>
    <n v="0"/>
    <s v="Consolidation"/>
    <s v="CO2e and Base Measure"/>
    <n v="100"/>
    <n v="100"/>
    <n v="0.03"/>
    <m/>
    <m/>
    <m/>
    <m/>
    <m/>
    <m/>
    <m/>
    <m/>
    <m/>
    <m/>
    <m/>
    <m/>
    <m/>
    <s v="AUD"/>
    <s v="13639957Waste Recycled - Paper and Cardboard [t]"/>
    <n v="13639957"/>
  </r>
  <r>
    <d v="2019-07-01T00:00:00"/>
    <d v="2021-06-30T00:00:00"/>
    <s v="Telstra"/>
    <s v="NON-NETWORK"/>
    <s v="NON-NETWORK"/>
    <s v="NSW"/>
    <s v="Australia"/>
    <s v="Port Macquarie"/>
    <s v="19 Jambali Road Port Macquarie"/>
    <n v="423034105400"/>
    <s v="Recycled Waste"/>
    <x v="0"/>
    <x v="0"/>
    <s v="Account"/>
    <s v="CLEANAWAY Cardboard"/>
    <m/>
    <s v="34105400_Diversion_Cardboard"/>
    <s v="Cardboard"/>
    <s v="Cleanaway"/>
    <m/>
    <d v="2021-02-12T00:00:00"/>
    <m/>
    <d v="2021-03-01T00:00:00"/>
    <s v="FY21"/>
    <s v="t"/>
    <n v="0"/>
    <n v="1.6500000000000001E-2"/>
    <n v="0"/>
    <n v="1.6500000000000001E-2"/>
    <n v="0"/>
    <n v="1"/>
    <n v="0"/>
    <n v="1"/>
    <n v="0"/>
    <n v="100"/>
    <n v="0"/>
    <s v="Consolidation"/>
    <s v="CO2e and Base Measure"/>
    <n v="100"/>
    <n v="100"/>
    <n v="0.02"/>
    <m/>
    <m/>
    <m/>
    <m/>
    <m/>
    <m/>
    <m/>
    <m/>
    <m/>
    <m/>
    <m/>
    <m/>
    <m/>
    <s v="AUD"/>
    <s v="13639957Waste Recycled - Paper and Cardboard [t]"/>
    <n v="13639957"/>
  </r>
  <r>
    <d v="2019-07-01T00:00:00"/>
    <d v="2021-06-30T00:00:00"/>
    <s v="Telstra"/>
    <s v="NON-NETWORK"/>
    <s v="NON-NETWORK"/>
    <s v="NSW"/>
    <s v="Australia"/>
    <s v="Port Macquarie"/>
    <s v="19 Jambali Road Port Macquarie"/>
    <n v="423034105400"/>
    <s v="Recycled Waste"/>
    <x v="0"/>
    <x v="0"/>
    <s v="Account"/>
    <s v="CLEANAWAY Cardboard"/>
    <m/>
    <s v="34105400_Diversion_Cardboard"/>
    <s v="Cardboard"/>
    <s v="Cleanaway"/>
    <m/>
    <d v="2021-02-12T00:00:00"/>
    <m/>
    <d v="2021-04-01T00:00:00"/>
    <s v="FY21"/>
    <s v="t"/>
    <n v="0"/>
    <n v="0"/>
    <n v="2.7E-2"/>
    <n v="2.7E-2"/>
    <n v="0"/>
    <n v="0"/>
    <n v="30"/>
    <n v="30"/>
    <n v="0"/>
    <n v="0"/>
    <n v="100"/>
    <s v="Consolidation"/>
    <s v="CO2e and Base Measure"/>
    <n v="100"/>
    <n v="100"/>
    <n v="0.03"/>
    <m/>
    <m/>
    <m/>
    <m/>
    <m/>
    <m/>
    <m/>
    <m/>
    <m/>
    <m/>
    <m/>
    <m/>
    <m/>
    <s v="AUD"/>
    <s v="13639957Waste Recycled - Paper and Cardboard [t]"/>
    <n v="13639957"/>
  </r>
  <r>
    <d v="2019-07-01T00:00:00"/>
    <d v="2021-06-30T00:00:00"/>
    <s v="Telstra"/>
    <s v="NON-NETWORK"/>
    <s v="NON-NETWORK"/>
    <s v="NSW"/>
    <s v="Australia"/>
    <s v="Port Macquarie"/>
    <s v="19 Jambali Road Port Macquarie"/>
    <n v="423034105400"/>
    <s v="Recycled Waste"/>
    <x v="0"/>
    <x v="0"/>
    <s v="Account"/>
    <s v="CLEANAWAY Cardboard"/>
    <m/>
    <s v="34105400_Diversion_Cardboard"/>
    <s v="Cardboard"/>
    <s v="Cleanaway"/>
    <m/>
    <d v="2021-02-12T00:00:00"/>
    <m/>
    <d v="2021-05-01T00:00:00"/>
    <s v="FY21"/>
    <s v="t"/>
    <n v="0"/>
    <n v="0"/>
    <n v="2.7900000000000001E-2"/>
    <n v="2.7900000000000001E-2"/>
    <n v="0"/>
    <n v="0"/>
    <n v="31"/>
    <n v="31"/>
    <n v="0"/>
    <n v="0"/>
    <n v="100"/>
    <s v="Consolidation"/>
    <s v="CO2e and Base Measure"/>
    <n v="100"/>
    <n v="100"/>
    <n v="0.03"/>
    <m/>
    <m/>
    <m/>
    <m/>
    <m/>
    <m/>
    <m/>
    <m/>
    <m/>
    <m/>
    <m/>
    <m/>
    <m/>
    <s v="AUD"/>
    <s v="13639957Waste Recycled - Paper and Cardboard [t]"/>
    <n v="13639957"/>
  </r>
  <r>
    <d v="2019-07-01T00:00:00"/>
    <d v="2021-06-30T00:00:00"/>
    <s v="Telstra"/>
    <s v="NON-NETWORK"/>
    <s v="NON-NETWORK"/>
    <s v="QLD"/>
    <s v="Australia"/>
    <s v="Nerang"/>
    <s v="2 EVERS NERANG"/>
    <n v="423031785300"/>
    <s v="Waste"/>
    <x v="1"/>
    <x v="4"/>
    <s v="Account"/>
    <s v="Remondis Asbestos"/>
    <m/>
    <s v="423031785300_WASBESTOS"/>
    <s v="Asbestos"/>
    <s v="Remondis"/>
    <m/>
    <m/>
    <d v="2020-12-01T00:00:00"/>
    <d v="2020-08-01T00:00:00"/>
    <s v="FY21"/>
    <s v="t"/>
    <n v="0.3"/>
    <n v="0"/>
    <n v="0"/>
    <n v="0.3"/>
    <n v="1"/>
    <n v="0"/>
    <n v="0"/>
    <n v="1"/>
    <n v="100"/>
    <n v="0"/>
    <n v="0"/>
    <s v="Consolidation"/>
    <s v="CO2e and Base Measure"/>
    <n v="100"/>
    <n v="100"/>
    <n v="0.3"/>
    <m/>
    <m/>
    <m/>
    <m/>
    <m/>
    <n v="0.36"/>
    <m/>
    <n v="0.36"/>
    <m/>
    <m/>
    <m/>
    <m/>
    <m/>
    <s v="AUD"/>
    <s v="13565816Waste - Construction and Demolition [t]"/>
    <n v="13565816"/>
  </r>
  <r>
    <d v="2019-07-01T00:00:00"/>
    <d v="2021-06-30T00:00:00"/>
    <s v="Telstra"/>
    <s v="NON-NETWORK"/>
    <s v="NON-NETWORK"/>
    <s v="QLD"/>
    <s v="Australia"/>
    <s v="Nerang"/>
    <s v="2 EVERS NERANG"/>
    <n v="423031785300"/>
    <s v="Waste"/>
    <x v="1"/>
    <x v="4"/>
    <s v="Account"/>
    <s v="Remondis Asbestos"/>
    <m/>
    <s v="423031785300_WASBESTOS"/>
    <s v="Asbestos"/>
    <s v="Remondis"/>
    <m/>
    <m/>
    <d v="2020-12-01T00:00:00"/>
    <d v="2020-09-01T00:00:00"/>
    <s v="FY21"/>
    <s v="t"/>
    <n v="2.0000000000000001E-4"/>
    <n v="0"/>
    <n v="0"/>
    <n v="2.0000000000000001E-4"/>
    <n v="1"/>
    <n v="0"/>
    <n v="0"/>
    <n v="1"/>
    <n v="100"/>
    <n v="0"/>
    <n v="0"/>
    <s v="Consolidation"/>
    <s v="CO2e and Base Measure"/>
    <n v="100"/>
    <n v="100"/>
    <n v="0"/>
    <m/>
    <m/>
    <m/>
    <m/>
    <m/>
    <n v="2.0000000000000001E-4"/>
    <m/>
    <n v="2.0000000000000001E-4"/>
    <m/>
    <m/>
    <m/>
    <m/>
    <m/>
    <s v="AUD"/>
    <s v="13565816Waste - Construction and Demolition [t]"/>
    <n v="13565816"/>
  </r>
  <r>
    <d v="2019-07-01T00:00:00"/>
    <d v="2021-06-30T00:00:00"/>
    <s v="Telstra"/>
    <s v="NON-NETWORK"/>
    <s v="NON-NETWORK"/>
    <s v="QLD"/>
    <s v="Australia"/>
    <s v="Nerang"/>
    <s v="2 EVERS NERANG"/>
    <n v="423031785300"/>
    <s v="Waste"/>
    <x v="1"/>
    <x v="4"/>
    <s v="Account"/>
    <s v="Remondis Asbestos"/>
    <m/>
    <s v="423031785300_WASBESTOS"/>
    <s v="Asbestos"/>
    <s v="Remondis"/>
    <m/>
    <m/>
    <d v="2020-12-01T00:00:00"/>
    <d v="2020-10-01T00:00:00"/>
    <s v="FY21"/>
    <s v="t"/>
    <n v="0"/>
    <n v="0.12"/>
    <n v="0"/>
    <n v="0.12"/>
    <n v="0"/>
    <n v="1"/>
    <n v="0"/>
    <n v="1"/>
    <n v="0"/>
    <n v="100"/>
    <n v="0"/>
    <s v="Consolidation"/>
    <s v="CO2e and Base Measure"/>
    <n v="100"/>
    <n v="100"/>
    <n v="0.12"/>
    <m/>
    <m/>
    <m/>
    <m/>
    <m/>
    <n v="0.14399999999999999"/>
    <m/>
    <n v="0.14399999999999999"/>
    <m/>
    <m/>
    <m/>
    <m/>
    <m/>
    <s v="AUD"/>
    <s v="13565816Waste - Construction and Demolition [t]"/>
    <n v="13565816"/>
  </r>
  <r>
    <d v="2019-07-01T00:00:00"/>
    <d v="2021-06-30T00:00:00"/>
    <s v="Telstra"/>
    <s v="NON-NETWORK"/>
    <s v="NON-NETWORK"/>
    <s v="QLD"/>
    <s v="Australia"/>
    <s v="Nerang"/>
    <s v="2 EVERS NERANG"/>
    <n v="423031785300"/>
    <s v="Waste"/>
    <x v="1"/>
    <x v="4"/>
    <s v="Account"/>
    <s v="Remondis Asbestos"/>
    <m/>
    <s v="423031785300_WASBESTOS"/>
    <s v="Asbestos"/>
    <s v="Remondis"/>
    <m/>
    <m/>
    <d v="2020-12-01T00:00:00"/>
    <d v="2020-11-01T00:00:00"/>
    <s v="FY21"/>
    <s v="t"/>
    <n v="0.2"/>
    <n v="0.12"/>
    <n v="0"/>
    <n v="0.32"/>
    <n v="1"/>
    <n v="1"/>
    <n v="0"/>
    <n v="2"/>
    <n v="62.5"/>
    <n v="37.5"/>
    <n v="0"/>
    <s v="Consolidation"/>
    <s v="CO2e and Base Measure"/>
    <n v="100"/>
    <n v="100"/>
    <n v="0.32"/>
    <m/>
    <m/>
    <m/>
    <m/>
    <m/>
    <n v="0.38400000000000001"/>
    <m/>
    <n v="0.38400000000000001"/>
    <m/>
    <m/>
    <m/>
    <m/>
    <m/>
    <s v="AUD"/>
    <s v="13565816Waste - Construction and Demolition [t]"/>
    <n v="13565816"/>
  </r>
  <r>
    <d v="2019-07-01T00:00:00"/>
    <d v="2021-06-30T00:00:00"/>
    <s v="Telstra"/>
    <s v="NON-NETWORK"/>
    <s v="NON-NETWORK"/>
    <s v="QLD"/>
    <s v="Australia"/>
    <s v="Nerang"/>
    <s v="2 EVERS NERANG"/>
    <n v="423031785300"/>
    <s v="Waste"/>
    <x v="1"/>
    <x v="4"/>
    <s v="Account"/>
    <s v="Remondis Asbestos"/>
    <m/>
    <s v="423031785300_WASBESTOS"/>
    <s v="Asbestos"/>
    <s v="Remondis"/>
    <m/>
    <m/>
    <d v="2020-12-01T00:00:00"/>
    <d v="2020-12-01T00:00:00"/>
    <s v="FY21"/>
    <s v="t"/>
    <n v="0"/>
    <n v="0"/>
    <n v="8.2000000000000007E-3"/>
    <n v="8.2000000000000007E-3"/>
    <n v="0"/>
    <n v="0"/>
    <n v="1"/>
    <n v="1"/>
    <n v="0"/>
    <n v="0"/>
    <n v="100"/>
    <s v="Consolidation"/>
    <s v="CO2e and Base Measure"/>
    <n v="100"/>
    <n v="100"/>
    <n v="0.01"/>
    <m/>
    <m/>
    <m/>
    <m/>
    <m/>
    <n v="9.7999999999999997E-3"/>
    <m/>
    <n v="9.7999999999999997E-3"/>
    <m/>
    <m/>
    <m/>
    <m/>
    <m/>
    <s v="AUD"/>
    <s v="13565816Waste - Construction and Demolition [t]"/>
    <n v="13565816"/>
  </r>
  <r>
    <d v="2019-07-01T00:00:00"/>
    <d v="2021-06-30T00:00:00"/>
    <s v="Telstra"/>
    <s v="NON-NETWORK"/>
    <s v="NON-NETWORK"/>
    <s v="QLD"/>
    <s v="Australia"/>
    <s v="Nerang"/>
    <s v="2 EVERS NERANG"/>
    <n v="423031785300"/>
    <s v="Recycled Waste"/>
    <x v="0"/>
    <x v="1"/>
    <s v="Account"/>
    <s v="Remondis Batteries - Mixed Recycled"/>
    <m/>
    <s v="423031785300_RBATTERY."/>
    <s v="BATTERIES - MIXED RECYCLED"/>
    <s v="Remondis"/>
    <m/>
    <m/>
    <d v="2021-01-01T00:00:00"/>
    <d v="2020-12-01T00:00:00"/>
    <s v="FY21"/>
    <s v="t"/>
    <n v="4.7E-2"/>
    <n v="0"/>
    <n v="0"/>
    <n v="4.7E-2"/>
    <n v="1"/>
    <n v="0"/>
    <n v="0"/>
    <n v="1"/>
    <n v="100"/>
    <n v="0"/>
    <n v="0"/>
    <s v="Consolidation"/>
    <s v="CO2e and Base Measure"/>
    <n v="100"/>
    <n v="100"/>
    <n v="0.05"/>
    <m/>
    <m/>
    <m/>
    <m/>
    <m/>
    <m/>
    <m/>
    <m/>
    <m/>
    <m/>
    <m/>
    <m/>
    <m/>
    <s v="AUD"/>
    <s v="13565817Waste Recycled - E-waste [t]"/>
    <n v="13565817"/>
  </r>
  <r>
    <d v="2019-07-01T00:00:00"/>
    <d v="2021-06-30T00:00:00"/>
    <s v="Telstra"/>
    <s v="NON-NETWORK"/>
    <s v="NON-NETWORK"/>
    <s v="QLD"/>
    <s v="Australia"/>
    <s v="Nerang"/>
    <s v="2 EVERS NERANG"/>
    <n v="423031785300"/>
    <s v="Recycled Waste"/>
    <x v="0"/>
    <x v="1"/>
    <s v="Account"/>
    <s v="Remondis Batteries - Mixed Recycled"/>
    <m/>
    <s v="423031785300_RBATTERY."/>
    <s v="BATTERIES - MIXED RECYCLED"/>
    <s v="Remondis"/>
    <m/>
    <m/>
    <d v="2021-01-01T00:00:00"/>
    <d v="2021-01-01T00:00:00"/>
    <s v="FY21"/>
    <s v="t"/>
    <n v="0"/>
    <n v="0"/>
    <n v="1.6000000000000001E-3"/>
    <n v="1.6000000000000001E-3"/>
    <n v="0"/>
    <n v="0"/>
    <n v="1"/>
    <n v="1"/>
    <n v="0"/>
    <n v="0"/>
    <n v="100"/>
    <s v="Consolidation"/>
    <s v="CO2e and Base Measure"/>
    <n v="100"/>
    <n v="100"/>
    <n v="0"/>
    <m/>
    <m/>
    <m/>
    <m/>
    <m/>
    <m/>
    <m/>
    <m/>
    <m/>
    <m/>
    <m/>
    <m/>
    <m/>
    <s v="AUD"/>
    <s v="13565817Waste Recycled - E-waste [t]"/>
    <n v="13565817"/>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818Waste Recycled - Cardboard [t]"/>
    <n v="13565818"/>
  </r>
  <r>
    <d v="2019-07-01T00:00:00"/>
    <d v="2021-06-30T00:00:00"/>
    <s v="Telstra"/>
    <s v="NON-NETWORK"/>
    <s v="NON-NETWORK"/>
    <s v="QLD"/>
    <s v="Australia"/>
    <s v="Nerang"/>
    <s v="2 EVERS NERANG"/>
    <n v="423031785300"/>
    <s v="No Recovery"/>
    <x v="1"/>
    <x v="7"/>
    <s v="Account"/>
    <s v="Remondis Clinical Waste"/>
    <m/>
    <s v="423031785300_WMEDMEDIC"/>
    <s v="CLINICAL WASTE"/>
    <s v="Remondis"/>
    <m/>
    <m/>
    <d v="2021-01-01T00:00:00"/>
    <d v="2020-12-01T00:00:00"/>
    <s v="FY21"/>
    <s v="t"/>
    <n v="0"/>
    <n v="1.9199999999999998E-2"/>
    <n v="0"/>
    <n v="1.9199999999999998E-2"/>
    <n v="0"/>
    <n v="1"/>
    <n v="0"/>
    <n v="1"/>
    <n v="0"/>
    <n v="100"/>
    <n v="0"/>
    <s v="Consolidation"/>
    <s v="CO2e and Base Measure"/>
    <n v="100"/>
    <n v="100"/>
    <n v="0.02"/>
    <m/>
    <m/>
    <m/>
    <m/>
    <m/>
    <n v="2.3E-2"/>
    <m/>
    <n v="2.3E-2"/>
    <m/>
    <m/>
    <m/>
    <m/>
    <m/>
    <s v="AUD"/>
    <s v="13565819Hazardous Waste [t]"/>
    <n v="13565819"/>
  </r>
  <r>
    <d v="2019-07-01T00:00:00"/>
    <d v="2021-06-30T00:00:00"/>
    <s v="Telstra"/>
    <s v="NON-NETWORK"/>
    <s v="NON-NETWORK"/>
    <s v="QLD"/>
    <s v="Australia"/>
    <s v="Nerang"/>
    <s v="2 EVERS NERANG"/>
    <n v="423031785300"/>
    <s v="No Recovery"/>
    <x v="1"/>
    <x v="7"/>
    <s v="Account"/>
    <s v="Remondis Clinical Waste"/>
    <m/>
    <s v="423031785300_WMEDMEDIC"/>
    <s v="CLINICAL WASTE"/>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565819Hazardous Waste [t]"/>
    <n v="13565819"/>
  </r>
  <r>
    <d v="2019-07-01T00:00:00"/>
    <d v="2021-06-30T00:00:00"/>
    <s v="Telstra"/>
    <s v="NON-NETWORK"/>
    <s v="NON-NETWORK"/>
    <s v="QLD"/>
    <s v="Australia"/>
    <s v="Nerang"/>
    <s v="2 EVERS NERANG"/>
    <n v="423031785300"/>
    <s v="Recycled Waste"/>
    <x v="0"/>
    <x v="1"/>
    <s v="Account"/>
    <s v="Remondis Electrical Comp. (E-Waste)"/>
    <m/>
    <s v="423031785300_RELECTRIC"/>
    <s v="ELECTRICAL COMP. E-WASTE"/>
    <s v="Remondis"/>
    <m/>
    <m/>
    <d v="2020-12-01T00:00:00"/>
    <d v="2020-10-01T00:00:00"/>
    <s v="FY21"/>
    <s v="t"/>
    <n v="0"/>
    <n v="0.12540000000000001"/>
    <n v="0"/>
    <n v="0.12540000000000001"/>
    <n v="0"/>
    <n v="1"/>
    <n v="0"/>
    <n v="1"/>
    <n v="0"/>
    <n v="100"/>
    <n v="0"/>
    <s v="Consolidation"/>
    <s v="CO2e and Base Measure"/>
    <n v="100"/>
    <n v="100"/>
    <n v="0.13"/>
    <m/>
    <m/>
    <m/>
    <m/>
    <m/>
    <m/>
    <m/>
    <m/>
    <m/>
    <m/>
    <m/>
    <m/>
    <m/>
    <s v="AUD"/>
    <s v="13565821Waste Recycled - E-waste [t]"/>
    <n v="13565821"/>
  </r>
  <r>
    <d v="2019-07-01T00:00:00"/>
    <d v="2021-06-30T00:00:00"/>
    <s v="Telstra"/>
    <s v="NON-NETWORK"/>
    <s v="NON-NETWORK"/>
    <s v="QLD"/>
    <s v="Australia"/>
    <s v="Nerang"/>
    <s v="2 EVERS NERANG"/>
    <n v="423031785300"/>
    <s v="Recycled Waste"/>
    <x v="0"/>
    <x v="1"/>
    <s v="Account"/>
    <s v="Remondis Electrical Comp. (E-Waste)"/>
    <m/>
    <s v="423031785300_RELECTRIC"/>
    <s v="ELECTRICAL COMP. E-WASTE"/>
    <s v="Remondis"/>
    <m/>
    <m/>
    <d v="2020-12-01T00:00:00"/>
    <d v="2020-11-01T00:00:00"/>
    <s v="FY21"/>
    <s v="t"/>
    <n v="0"/>
    <n v="0.25080000000000002"/>
    <n v="0"/>
    <n v="0.25080000000000002"/>
    <n v="0"/>
    <n v="2"/>
    <n v="0"/>
    <n v="2"/>
    <n v="0"/>
    <n v="100"/>
    <n v="0"/>
    <s v="Consolidation"/>
    <s v="CO2e and Base Measure"/>
    <n v="100"/>
    <n v="100"/>
    <n v="0.25"/>
    <m/>
    <m/>
    <m/>
    <m/>
    <m/>
    <m/>
    <m/>
    <m/>
    <m/>
    <m/>
    <m/>
    <m/>
    <m/>
    <s v="AUD"/>
    <s v="13565821Waste Recycled - E-waste [t]"/>
    <n v="13565821"/>
  </r>
  <r>
    <d v="2019-07-01T00:00:00"/>
    <d v="2021-06-30T00:00:00"/>
    <s v="Telstra"/>
    <s v="NON-NETWORK"/>
    <s v="NON-NETWORK"/>
    <s v="QLD"/>
    <s v="Australia"/>
    <s v="Nerang"/>
    <s v="2 EVERS NERANG"/>
    <n v="423031785300"/>
    <s v="Recycled Waste"/>
    <x v="0"/>
    <x v="1"/>
    <s v="Account"/>
    <s v="Remondis Electrical Comp. (E-Waste)"/>
    <m/>
    <s v="423031785300_RELECTRIC"/>
    <s v="ELECTRICAL COMP. E-WASTE"/>
    <s v="Remondis"/>
    <m/>
    <m/>
    <d v="2020-12-01T00:00:00"/>
    <d v="2020-12-01T00:00:00"/>
    <s v="FY21"/>
    <s v="t"/>
    <n v="0"/>
    <n v="0"/>
    <n v="2.8E-3"/>
    <n v="2.8E-3"/>
    <n v="0"/>
    <n v="0"/>
    <n v="1"/>
    <n v="1"/>
    <n v="0"/>
    <n v="0"/>
    <n v="100"/>
    <s v="Consolidation"/>
    <s v="CO2e and Base Measure"/>
    <n v="100"/>
    <n v="100"/>
    <n v="0"/>
    <m/>
    <m/>
    <m/>
    <m/>
    <m/>
    <m/>
    <m/>
    <m/>
    <m/>
    <m/>
    <m/>
    <m/>
    <m/>
    <s v="AUD"/>
    <s v="13565821Waste Recycled - E-waste [t]"/>
    <n v="13565821"/>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07-01T00:00:00"/>
    <s v="FY21"/>
    <s v="t"/>
    <n v="0"/>
    <n v="1.885"/>
    <n v="0"/>
    <n v="1.885"/>
    <n v="0"/>
    <n v="10"/>
    <n v="0"/>
    <n v="10"/>
    <n v="0"/>
    <n v="100"/>
    <n v="0"/>
    <s v="Consolidation"/>
    <s v="CO2e and Base Measure"/>
    <n v="100"/>
    <n v="100"/>
    <n v="1.89"/>
    <m/>
    <m/>
    <m/>
    <m/>
    <m/>
    <n v="2.4504999999999999"/>
    <m/>
    <n v="2.4504999999999999"/>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08-01T00:00:00"/>
    <s v="FY21"/>
    <s v="t"/>
    <n v="0"/>
    <n v="1.7549999999999999"/>
    <n v="0"/>
    <n v="1.7549999999999999"/>
    <n v="0"/>
    <n v="9"/>
    <n v="0"/>
    <n v="9"/>
    <n v="0"/>
    <n v="100"/>
    <n v="0"/>
    <s v="Consolidation"/>
    <s v="CO2e and Base Measure"/>
    <n v="100"/>
    <n v="100"/>
    <n v="1.76"/>
    <m/>
    <m/>
    <m/>
    <m/>
    <m/>
    <n v="2.2814999999999999"/>
    <m/>
    <n v="2.2814999999999999"/>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09-01T00:00:00"/>
    <s v="FY21"/>
    <s v="t"/>
    <n v="0"/>
    <n v="1.56"/>
    <n v="0"/>
    <n v="1.56"/>
    <n v="0"/>
    <n v="8"/>
    <n v="0"/>
    <n v="8"/>
    <n v="0"/>
    <n v="100"/>
    <n v="0"/>
    <s v="Consolidation"/>
    <s v="CO2e and Base Measure"/>
    <n v="100"/>
    <n v="100"/>
    <n v="1.56"/>
    <m/>
    <m/>
    <m/>
    <m/>
    <m/>
    <n v="2.028"/>
    <m/>
    <n v="2.028"/>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10-01T00:00:00"/>
    <s v="FY21"/>
    <s v="t"/>
    <n v="0"/>
    <n v="1.56"/>
    <n v="0"/>
    <n v="1.56"/>
    <n v="0"/>
    <n v="8"/>
    <n v="0"/>
    <n v="8"/>
    <n v="0"/>
    <n v="100"/>
    <n v="0"/>
    <s v="Consolidation"/>
    <s v="CO2e and Base Measure"/>
    <n v="100"/>
    <n v="100"/>
    <n v="1.56"/>
    <m/>
    <m/>
    <m/>
    <m/>
    <m/>
    <n v="2.028"/>
    <m/>
    <n v="2.028"/>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11-01T00:00:00"/>
    <s v="FY21"/>
    <s v="t"/>
    <n v="0"/>
    <n v="2.21"/>
    <n v="0"/>
    <n v="2.21"/>
    <n v="0"/>
    <n v="11"/>
    <n v="0"/>
    <n v="11"/>
    <n v="0"/>
    <n v="100"/>
    <n v="0"/>
    <s v="Consolidation"/>
    <s v="CO2e and Base Measure"/>
    <n v="100"/>
    <n v="100"/>
    <n v="2.21"/>
    <m/>
    <m/>
    <m/>
    <m/>
    <m/>
    <n v="2.8730000000000002"/>
    <m/>
    <n v="2.8730000000000002"/>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12-01T00:00:00"/>
    <s v="FY21"/>
    <s v="t"/>
    <n v="0"/>
    <n v="0"/>
    <n v="5.8900000000000001E-2"/>
    <n v="5.8900000000000001E-2"/>
    <n v="0"/>
    <n v="0"/>
    <n v="1"/>
    <n v="1"/>
    <n v="0"/>
    <n v="0"/>
    <n v="100"/>
    <s v="Consolidation"/>
    <s v="CO2e and Base Measure"/>
    <n v="100"/>
    <n v="100"/>
    <n v="0.06"/>
    <m/>
    <m/>
    <m/>
    <m/>
    <m/>
    <n v="7.6600000000000001E-2"/>
    <m/>
    <n v="7.6600000000000001E-2"/>
    <m/>
    <m/>
    <m/>
    <m/>
    <m/>
    <s v="AUD"/>
    <s v="13565824Waste - General [t] - Scope 3"/>
    <n v="13565824"/>
  </r>
  <r>
    <d v="2019-07-01T00:00:00"/>
    <d v="2021-06-30T00:00:00"/>
    <s v="Telstra"/>
    <s v="NON-NETWORK"/>
    <s v="NON-NETWORK"/>
    <s v="QLD"/>
    <s v="Australia"/>
    <s v="Nerang"/>
    <s v="2 EVERS NERANG"/>
    <n v="423031785300"/>
    <s v="Recycled Waste"/>
    <x v="0"/>
    <x v="5"/>
    <s v="Account"/>
    <s v="Remondis Metal - Mixed All"/>
    <m/>
    <s v="423031785300_RMETMIXED"/>
    <s v="METAL - MIXED ALL"/>
    <s v="Remondis"/>
    <m/>
    <m/>
    <d v="2021-01-01T00:00:00"/>
    <d v="2020-07-01T00:00:00"/>
    <s v="FY21"/>
    <s v="t"/>
    <n v="0.435"/>
    <n v="0"/>
    <n v="0"/>
    <n v="0.435"/>
    <n v="1"/>
    <n v="0"/>
    <n v="0"/>
    <n v="1"/>
    <n v="100"/>
    <n v="0"/>
    <n v="0"/>
    <s v="Consolidation"/>
    <s v="CO2e and Base Measure"/>
    <n v="100"/>
    <n v="100"/>
    <n v="0.44"/>
    <m/>
    <m/>
    <m/>
    <m/>
    <m/>
    <m/>
    <m/>
    <m/>
    <m/>
    <m/>
    <m/>
    <m/>
    <m/>
    <s v="AUD"/>
    <s v="13565825Waste Recycled - Construction and Demolition [t]"/>
    <n v="13565825"/>
  </r>
  <r>
    <d v="2019-07-01T00:00:00"/>
    <d v="2021-06-30T00:00:00"/>
    <s v="Telstra"/>
    <s v="NON-NETWORK"/>
    <s v="NON-NETWORK"/>
    <s v="QLD"/>
    <s v="Australia"/>
    <s v="Nerang"/>
    <s v="2 EVERS NERANG"/>
    <n v="423031785300"/>
    <s v="Recycled Waste"/>
    <x v="0"/>
    <x v="5"/>
    <s v="Account"/>
    <s v="Remondis Metal - Mixed All"/>
    <m/>
    <s v="423031785300_RMETMIXED"/>
    <s v="METAL - MIXED ALL"/>
    <s v="Remondis"/>
    <m/>
    <m/>
    <d v="2021-01-01T00:00:00"/>
    <d v="2020-12-01T00:00:00"/>
    <s v="FY21"/>
    <s v="t"/>
    <n v="0.125"/>
    <n v="0"/>
    <n v="0"/>
    <n v="0.125"/>
    <n v="1"/>
    <n v="0"/>
    <n v="0"/>
    <n v="1"/>
    <n v="100"/>
    <n v="0"/>
    <n v="0"/>
    <s v="Consolidation"/>
    <s v="CO2e and Base Measure"/>
    <n v="100"/>
    <n v="100"/>
    <n v="0.13"/>
    <m/>
    <m/>
    <m/>
    <m/>
    <m/>
    <m/>
    <m/>
    <m/>
    <m/>
    <m/>
    <m/>
    <m/>
    <m/>
    <s v="AUD"/>
    <s v="13565825Waste Recycled - Construction and Demolition [t]"/>
    <n v="13565825"/>
  </r>
  <r>
    <d v="2019-07-01T00:00:00"/>
    <d v="2021-06-30T00:00:00"/>
    <s v="Telstra"/>
    <s v="NON-NETWORK"/>
    <s v="NON-NETWORK"/>
    <s v="QLD"/>
    <s v="Australia"/>
    <s v="Nerang"/>
    <s v="2 EVERS NERANG"/>
    <n v="423031785300"/>
    <s v="Recycled Waste"/>
    <x v="0"/>
    <x v="5"/>
    <s v="Account"/>
    <s v="Remondis Metal - Mixed All"/>
    <m/>
    <s v="423031785300_RMETMIXED"/>
    <s v="METAL - MIXED ALL"/>
    <s v="Remondis"/>
    <m/>
    <m/>
    <d v="2021-01-01T00:00:00"/>
    <d v="2021-01-01T00:00:00"/>
    <s v="FY21"/>
    <s v="t"/>
    <n v="0"/>
    <n v="0"/>
    <n v="3.0999999999999999E-3"/>
    <n v="3.0999999999999999E-3"/>
    <n v="0"/>
    <n v="0"/>
    <n v="1"/>
    <n v="1"/>
    <n v="0"/>
    <n v="0"/>
    <n v="100"/>
    <s v="Consolidation"/>
    <s v="CO2e and Base Measure"/>
    <n v="100"/>
    <n v="100"/>
    <n v="0"/>
    <m/>
    <m/>
    <m/>
    <m/>
    <m/>
    <m/>
    <m/>
    <m/>
    <m/>
    <m/>
    <m/>
    <m/>
    <m/>
    <s v="AUD"/>
    <s v="13565825Waste Recycled - Construction and Demolition [t]"/>
    <n v="13565825"/>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07-01T00:00:00"/>
    <s v="FY21"/>
    <s v="t"/>
    <n v="8.1000000000000003E-2"/>
    <n v="0"/>
    <n v="0"/>
    <n v="8.1000000000000003E-2"/>
    <n v="1"/>
    <n v="0"/>
    <n v="0"/>
    <n v="1"/>
    <n v="100"/>
    <n v="0"/>
    <n v="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08-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09-01T00:00:00"/>
    <s v="FY21"/>
    <s v="t"/>
    <n v="0"/>
    <n v="0"/>
    <n v="8.1000000000000003E-2"/>
    <n v="8.1000000000000003E-2"/>
    <n v="0"/>
    <n v="0"/>
    <n v="30"/>
    <n v="30"/>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10-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11-01T00:00:00"/>
    <s v="FY21"/>
    <s v="t"/>
    <n v="0"/>
    <n v="0"/>
    <n v="8.1000000000000003E-2"/>
    <n v="8.1000000000000003E-2"/>
    <n v="0"/>
    <n v="0"/>
    <n v="30"/>
    <n v="30"/>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12-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1-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2-01T00:00:00"/>
    <s v="FY21"/>
    <s v="t"/>
    <n v="0"/>
    <n v="0"/>
    <n v="7.5600000000000001E-2"/>
    <n v="7.5600000000000001E-2"/>
    <n v="0"/>
    <n v="0"/>
    <n v="28"/>
    <n v="28"/>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3-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4-01T00:00:00"/>
    <s v="FY21"/>
    <s v="t"/>
    <n v="0"/>
    <n v="0"/>
    <n v="8.1000000000000003E-2"/>
    <n v="8.1000000000000003E-2"/>
    <n v="0"/>
    <n v="0"/>
    <n v="30"/>
    <n v="30"/>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5-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0-12-01T00:00:00"/>
    <s v="FY21"/>
    <s v="t"/>
    <n v="0.72799999999999998"/>
    <n v="0.27"/>
    <n v="0"/>
    <n v="0.998"/>
    <n v="5"/>
    <n v="2"/>
    <n v="0"/>
    <n v="7"/>
    <n v="72.94"/>
    <n v="27.05"/>
    <n v="0"/>
    <s v="Consolidation"/>
    <s v="CO2e and Base Measure"/>
    <n v="100"/>
    <n v="100"/>
    <n v="1"/>
    <m/>
    <m/>
    <m/>
    <m/>
    <m/>
    <n v="1.2974000000000001"/>
    <m/>
    <n v="1.2974000000000001"/>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1-01T00:00:00"/>
    <s v="FY21"/>
    <s v="t"/>
    <n v="0.58399999999999996"/>
    <n v="0.27"/>
    <n v="0"/>
    <n v="0.85399999999999998"/>
    <n v="6"/>
    <n v="2"/>
    <n v="0"/>
    <n v="8"/>
    <n v="68.38"/>
    <n v="31.61"/>
    <n v="0"/>
    <s v="Consolidation"/>
    <s v="CO2e and Base Measure"/>
    <n v="100"/>
    <n v="100"/>
    <n v="0.85"/>
    <m/>
    <m/>
    <m/>
    <m/>
    <m/>
    <n v="1.1102000000000001"/>
    <m/>
    <n v="1.1102000000000001"/>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2-01T00:00:00"/>
    <s v="FY21"/>
    <s v="t"/>
    <n v="3"/>
    <n v="0.67500000000000004"/>
    <n v="0"/>
    <n v="3.6749999999999998"/>
    <n v="4"/>
    <n v="5"/>
    <n v="0"/>
    <n v="9"/>
    <n v="81.63"/>
    <n v="18.36"/>
    <n v="0"/>
    <s v="Consolidation"/>
    <s v="CO2e and Base Measure"/>
    <n v="100"/>
    <n v="100"/>
    <n v="3.68"/>
    <m/>
    <m/>
    <m/>
    <m/>
    <m/>
    <n v="4.7774999999999999"/>
    <m/>
    <n v="4.7774999999999999"/>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3-01T00:00:00"/>
    <s v="FY21"/>
    <s v="t"/>
    <n v="0.20699999999999999"/>
    <n v="0.69120000000000004"/>
    <n v="0"/>
    <n v="0.8982"/>
    <n v="3"/>
    <n v="7"/>
    <n v="0"/>
    <n v="10"/>
    <n v="23.04"/>
    <n v="76.95"/>
    <n v="0"/>
    <s v="Consolidation"/>
    <s v="CO2e and Base Measure"/>
    <n v="100"/>
    <n v="100"/>
    <n v="0.9"/>
    <m/>
    <m/>
    <m/>
    <m/>
    <m/>
    <n v="1.1677"/>
    <m/>
    <n v="1.1677"/>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4-01T00:00:00"/>
    <s v="FY21"/>
    <s v="t"/>
    <n v="0"/>
    <n v="0"/>
    <n v="1.605"/>
    <n v="1.605"/>
    <n v="0"/>
    <n v="0"/>
    <n v="30"/>
    <n v="30"/>
    <n v="0"/>
    <n v="0"/>
    <n v="100"/>
    <s v="Consolidation"/>
    <s v="CO2e and Base Measure"/>
    <n v="100"/>
    <n v="100"/>
    <n v="1.61"/>
    <m/>
    <m/>
    <m/>
    <m/>
    <m/>
    <n v="2.0865"/>
    <m/>
    <n v="2.0865"/>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5-01T00:00:00"/>
    <s v="FY21"/>
    <s v="t"/>
    <n v="0"/>
    <n v="0"/>
    <n v="1.6585000000000001"/>
    <n v="1.6585000000000001"/>
    <n v="0"/>
    <n v="0"/>
    <n v="31"/>
    <n v="31"/>
    <n v="0"/>
    <n v="0"/>
    <n v="100"/>
    <s v="Consolidation"/>
    <s v="CO2e and Base Measure"/>
    <n v="100"/>
    <n v="100"/>
    <n v="1.66"/>
    <m/>
    <m/>
    <m/>
    <m/>
    <m/>
    <n v="2.1560999999999999"/>
    <m/>
    <n v="2.1560999999999999"/>
    <m/>
    <m/>
    <m/>
    <m/>
    <m/>
    <s v="AUD"/>
    <s v="13634379Waste - General [t] - Scope 3"/>
    <n v="13634379"/>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0-12-01T00:00:00"/>
    <s v="FY21"/>
    <s v="t"/>
    <n v="5.7000000000000002E-2"/>
    <n v="0.15"/>
    <n v="0"/>
    <n v="0.20699999999999999"/>
    <n v="1"/>
    <n v="2"/>
    <n v="0"/>
    <n v="3"/>
    <n v="27.53"/>
    <n v="72.459999999999994"/>
    <n v="0"/>
    <s v="Consolidation"/>
    <s v="CO2e and Base Measure"/>
    <n v="100"/>
    <n v="100"/>
    <n v="0.21"/>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1-01T00:00:00"/>
    <s v="FY21"/>
    <s v="t"/>
    <n v="7.0000000000000007E-2"/>
    <n v="0"/>
    <n v="0"/>
    <n v="7.0000000000000007E-2"/>
    <n v="2"/>
    <n v="0"/>
    <n v="0"/>
    <n v="2"/>
    <n v="100"/>
    <n v="0"/>
    <n v="0"/>
    <s v="Consolidation"/>
    <s v="CO2e and Base Measure"/>
    <n v="100"/>
    <n v="100"/>
    <n v="7.0000000000000007E-2"/>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2-01T00:00:00"/>
    <s v="FY21"/>
    <s v="t"/>
    <n v="0.13300000000000001"/>
    <n v="0"/>
    <n v="0"/>
    <n v="0.13300000000000001"/>
    <n v="2"/>
    <n v="0"/>
    <n v="0"/>
    <n v="2"/>
    <n v="100"/>
    <n v="0"/>
    <n v="0"/>
    <s v="Consolidation"/>
    <s v="CO2e and Base Measure"/>
    <n v="100"/>
    <n v="100"/>
    <n v="0.13"/>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3-01T00:00:00"/>
    <s v="FY21"/>
    <s v="t"/>
    <n v="5.2999999999999999E-2"/>
    <n v="7.4999999999999997E-2"/>
    <n v="0"/>
    <n v="0.128"/>
    <n v="1"/>
    <n v="1"/>
    <n v="0"/>
    <n v="2"/>
    <n v="41.4"/>
    <n v="58.59"/>
    <n v="0"/>
    <s v="Consolidation"/>
    <s v="CO2e and Base Measure"/>
    <n v="100"/>
    <n v="100"/>
    <n v="0.13"/>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4-01T00:00:00"/>
    <s v="FY21"/>
    <s v="t"/>
    <n v="0"/>
    <n v="0"/>
    <n v="0.13500000000000001"/>
    <n v="0.13500000000000001"/>
    <n v="0"/>
    <n v="0"/>
    <n v="30"/>
    <n v="30"/>
    <n v="0"/>
    <n v="0"/>
    <n v="100"/>
    <s v="Consolidation"/>
    <s v="CO2e and Base Measure"/>
    <n v="100"/>
    <n v="100"/>
    <n v="0.14000000000000001"/>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5-01T00:00:00"/>
    <s v="FY21"/>
    <s v="t"/>
    <n v="0"/>
    <n v="0"/>
    <n v="0.13950000000000001"/>
    <n v="0.13950000000000001"/>
    <n v="0"/>
    <n v="0"/>
    <n v="31"/>
    <n v="31"/>
    <n v="0"/>
    <n v="0"/>
    <n v="100"/>
    <s v="Consolidation"/>
    <s v="CO2e and Base Measure"/>
    <n v="100"/>
    <n v="100"/>
    <n v="0.14000000000000001"/>
    <m/>
    <m/>
    <m/>
    <m/>
    <m/>
    <m/>
    <m/>
    <m/>
    <m/>
    <m/>
    <m/>
    <m/>
    <m/>
    <s v="AUD"/>
    <s v="13634380Waste Recycled - Paper and Cardboard [t]"/>
    <n v="13634380"/>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07-01T00:00:00"/>
    <s v="FY21"/>
    <s v="t"/>
    <n v="0.108"/>
    <n v="0"/>
    <n v="0"/>
    <n v="0.108"/>
    <n v="2"/>
    <n v="0"/>
    <n v="0"/>
    <n v="2"/>
    <n v="100"/>
    <n v="0"/>
    <n v="0"/>
    <s v="Consolidation"/>
    <s v="CO2e and Base Measure"/>
    <n v="100"/>
    <n v="100"/>
    <n v="0.1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08-01T00:00:00"/>
    <s v="FY21"/>
    <s v="t"/>
    <n v="5.3999999999999999E-2"/>
    <n v="0"/>
    <n v="0"/>
    <n v="5.3999999999999999E-2"/>
    <n v="1"/>
    <n v="0"/>
    <n v="0"/>
    <n v="1"/>
    <n v="100"/>
    <n v="0"/>
    <n v="0"/>
    <s v="Consolidation"/>
    <s v="CO2e and Base Measure"/>
    <n v="100"/>
    <n v="100"/>
    <n v="0.05"/>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09-01T00:00:00"/>
    <s v="FY21"/>
    <s v="t"/>
    <n v="1.2E-2"/>
    <n v="0"/>
    <n v="0"/>
    <n v="1.2E-2"/>
    <n v="3"/>
    <n v="0"/>
    <n v="0"/>
    <n v="3"/>
    <n v="100"/>
    <n v="0"/>
    <n v="0"/>
    <s v="Consolidation"/>
    <s v="CO2e and Base Measure"/>
    <n v="100"/>
    <n v="100"/>
    <n v="0.0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10-01T00:00:00"/>
    <s v="FY21"/>
    <s v="t"/>
    <n v="0.108"/>
    <n v="0"/>
    <n v="0"/>
    <n v="0.108"/>
    <n v="2"/>
    <n v="0"/>
    <n v="0"/>
    <n v="2"/>
    <n v="100"/>
    <n v="0"/>
    <n v="0"/>
    <s v="Consolidation"/>
    <s v="CO2e and Base Measure"/>
    <n v="100"/>
    <n v="100"/>
    <n v="0.1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11-01T00:00:00"/>
    <s v="FY21"/>
    <s v="t"/>
    <n v="0.108"/>
    <n v="0"/>
    <n v="0"/>
    <n v="0.108"/>
    <n v="2"/>
    <n v="0"/>
    <n v="0"/>
    <n v="2"/>
    <n v="100"/>
    <n v="0"/>
    <n v="0"/>
    <s v="Consolidation"/>
    <s v="CO2e and Base Measure"/>
    <n v="100"/>
    <n v="100"/>
    <n v="0.1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12-01T00:00:00"/>
    <s v="FY21"/>
    <s v="t"/>
    <n v="0.108"/>
    <n v="0"/>
    <n v="0"/>
    <n v="0.108"/>
    <n v="2"/>
    <n v="0"/>
    <n v="0"/>
    <n v="2"/>
    <n v="100"/>
    <n v="0"/>
    <n v="0"/>
    <s v="Consolidation"/>
    <s v="CO2e and Base Measure"/>
    <n v="100"/>
    <n v="100"/>
    <n v="0.1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1-01T00:00:00"/>
    <s v="FY21"/>
    <s v="t"/>
    <n v="0"/>
    <n v="0"/>
    <n v="8.0600000000000005E-2"/>
    <n v="8.0600000000000005E-2"/>
    <n v="0"/>
    <n v="0"/>
    <n v="31"/>
    <n v="31"/>
    <n v="0"/>
    <n v="0"/>
    <n v="100"/>
    <s v="Consolidation"/>
    <s v="CO2e and Base Measure"/>
    <n v="100"/>
    <n v="100"/>
    <n v="0.08"/>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2-01T00:00:00"/>
    <s v="FY21"/>
    <s v="t"/>
    <n v="0"/>
    <n v="0"/>
    <n v="7.2800000000000004E-2"/>
    <n v="7.2800000000000004E-2"/>
    <n v="0"/>
    <n v="0"/>
    <n v="28"/>
    <n v="28"/>
    <n v="0"/>
    <n v="0"/>
    <n v="100"/>
    <s v="Consolidation"/>
    <s v="CO2e and Base Measure"/>
    <n v="100"/>
    <n v="100"/>
    <n v="7.0000000000000007E-2"/>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3-01T00:00:00"/>
    <s v="FY21"/>
    <s v="t"/>
    <n v="0"/>
    <n v="0"/>
    <n v="8.0600000000000005E-2"/>
    <n v="8.0600000000000005E-2"/>
    <n v="0"/>
    <n v="0"/>
    <n v="31"/>
    <n v="31"/>
    <n v="0"/>
    <n v="0"/>
    <n v="100"/>
    <s v="Consolidation"/>
    <s v="CO2e and Base Measure"/>
    <n v="100"/>
    <n v="100"/>
    <n v="0.08"/>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4-01T00:00:00"/>
    <s v="FY21"/>
    <s v="t"/>
    <n v="0"/>
    <n v="0"/>
    <n v="7.8E-2"/>
    <n v="7.8E-2"/>
    <n v="0"/>
    <n v="0"/>
    <n v="30"/>
    <n v="30"/>
    <n v="0"/>
    <n v="0"/>
    <n v="100"/>
    <s v="Consolidation"/>
    <s v="CO2e and Base Measure"/>
    <n v="100"/>
    <n v="100"/>
    <n v="0.08"/>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5-01T00:00:00"/>
    <s v="FY21"/>
    <s v="t"/>
    <n v="0"/>
    <n v="0"/>
    <n v="8.0600000000000005E-2"/>
    <n v="8.0600000000000005E-2"/>
    <n v="0"/>
    <n v="0"/>
    <n v="31"/>
    <n v="31"/>
    <n v="0"/>
    <n v="0"/>
    <n v="100"/>
    <s v="Consolidation"/>
    <s v="CO2e and Base Measure"/>
    <n v="100"/>
    <n v="100"/>
    <n v="0.08"/>
    <m/>
    <m/>
    <m/>
    <m/>
    <m/>
    <m/>
    <m/>
    <m/>
    <m/>
    <m/>
    <m/>
    <m/>
    <m/>
    <s v="AUD"/>
    <s v="13566589Waste Recycled - Paper and Cardboard [t]"/>
    <n v="13566589"/>
  </r>
  <r>
    <d v="2019-07-01T00:00:00"/>
    <d v="2021-06-30T00:00:00"/>
    <s v="Telstra"/>
    <s v="NON-NETWORK"/>
    <s v="NON-NETWORK"/>
    <s v="NSW"/>
    <s v="Australia"/>
    <s v="Erina"/>
    <s v="2 ILYA AVE ERINA"/>
    <n v="423031860900"/>
    <s v="Waste"/>
    <x v="1"/>
    <x v="2"/>
    <s v="Account"/>
    <s v="CLEANAWAY General"/>
    <m/>
    <s v="31860900_Landfill_General"/>
    <s v="General"/>
    <s v="Cleanaway"/>
    <m/>
    <d v="2021-02-05T00:00:00"/>
    <m/>
    <d v="2021-02-01T00:00:00"/>
    <s v="FY21"/>
    <s v="t"/>
    <n v="9.2999999999999999E-2"/>
    <n v="0"/>
    <n v="0"/>
    <n v="9.2999999999999999E-2"/>
    <n v="4"/>
    <n v="0"/>
    <n v="0"/>
    <n v="4"/>
    <n v="100"/>
    <n v="0"/>
    <n v="0"/>
    <s v="Consolidation"/>
    <s v="CO2e and Base Measure"/>
    <n v="100"/>
    <n v="100"/>
    <n v="0.09"/>
    <m/>
    <m/>
    <m/>
    <m/>
    <m/>
    <n v="0.12089999999999999"/>
    <m/>
    <n v="0.12089999999999999"/>
    <m/>
    <m/>
    <m/>
    <m/>
    <m/>
    <s v="AUD"/>
    <s v="13639950Waste - General [t] - Scope 3"/>
    <n v="13639950"/>
  </r>
  <r>
    <d v="2019-07-01T00:00:00"/>
    <d v="2021-06-30T00:00:00"/>
    <s v="Telstra"/>
    <s v="NON-NETWORK"/>
    <s v="NON-NETWORK"/>
    <s v="NSW"/>
    <s v="Australia"/>
    <s v="Erina"/>
    <s v="2 ILYA AVE ERINA"/>
    <n v="423031860900"/>
    <s v="Waste"/>
    <x v="1"/>
    <x v="2"/>
    <s v="Account"/>
    <s v="CLEANAWAY General"/>
    <m/>
    <s v="31860900_Landfill_General"/>
    <s v="General"/>
    <s v="Cleanaway"/>
    <m/>
    <d v="2021-02-05T00:00:00"/>
    <m/>
    <d v="2021-03-01T00:00:00"/>
    <s v="FY21"/>
    <s v="t"/>
    <n v="8.2000000000000003E-2"/>
    <n v="0"/>
    <n v="0"/>
    <n v="8.2000000000000003E-2"/>
    <n v="4"/>
    <n v="0"/>
    <n v="0"/>
    <n v="4"/>
    <n v="100"/>
    <n v="0"/>
    <n v="0"/>
    <s v="Consolidation"/>
    <s v="CO2e and Base Measure"/>
    <n v="100"/>
    <n v="100"/>
    <n v="0.08"/>
    <m/>
    <m/>
    <m/>
    <m/>
    <m/>
    <n v="0.1066"/>
    <m/>
    <n v="0.1066"/>
    <m/>
    <m/>
    <m/>
    <m/>
    <m/>
    <s v="AUD"/>
    <s v="13639950Waste - General [t] - Scope 3"/>
    <n v="13639950"/>
  </r>
  <r>
    <d v="2019-07-01T00:00:00"/>
    <d v="2021-06-30T00:00:00"/>
    <s v="Telstra"/>
    <s v="NON-NETWORK"/>
    <s v="NON-NETWORK"/>
    <s v="NSW"/>
    <s v="Australia"/>
    <s v="Erina"/>
    <s v="2 ILYA AVE ERINA"/>
    <n v="423031860900"/>
    <s v="Waste"/>
    <x v="1"/>
    <x v="2"/>
    <s v="Account"/>
    <s v="CLEANAWAY General"/>
    <m/>
    <s v="31860900_Landfill_General"/>
    <s v="General"/>
    <s v="Cleanaway"/>
    <m/>
    <d v="2021-02-05T00:00:00"/>
    <m/>
    <d v="2021-04-01T00:00:00"/>
    <s v="FY21"/>
    <s v="t"/>
    <n v="0"/>
    <n v="0"/>
    <n v="0.09"/>
    <n v="0.09"/>
    <n v="0"/>
    <n v="0"/>
    <n v="30"/>
    <n v="30"/>
    <n v="0"/>
    <n v="0"/>
    <n v="100"/>
    <s v="Consolidation"/>
    <s v="CO2e and Base Measure"/>
    <n v="100"/>
    <n v="100"/>
    <n v="0.09"/>
    <m/>
    <m/>
    <m/>
    <m/>
    <m/>
    <n v="0.11700000000000001"/>
    <m/>
    <n v="0.11700000000000001"/>
    <m/>
    <m/>
    <m/>
    <m/>
    <m/>
    <s v="AUD"/>
    <s v="13639950Waste - General [t] - Scope 3"/>
    <n v="13639950"/>
  </r>
  <r>
    <d v="2019-07-01T00:00:00"/>
    <d v="2021-06-30T00:00:00"/>
    <s v="Telstra"/>
    <s v="NON-NETWORK"/>
    <s v="NON-NETWORK"/>
    <s v="NSW"/>
    <s v="Australia"/>
    <s v="Erina"/>
    <s v="2 ILYA AVE ERINA"/>
    <n v="423031860900"/>
    <s v="Waste"/>
    <x v="1"/>
    <x v="2"/>
    <s v="Account"/>
    <s v="CLEANAWAY General"/>
    <m/>
    <s v="31860900_Landfill_General"/>
    <s v="General"/>
    <s v="Cleanaway"/>
    <m/>
    <d v="2021-02-05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9950Waste - General [t] - Scope 3"/>
    <n v="13639950"/>
  </r>
  <r>
    <d v="2019-07-01T00:00:00"/>
    <d v="2021-06-30T00:00:00"/>
    <s v="Telstra"/>
    <s v="NON-NETWORK"/>
    <s v="NON-NETWORK"/>
    <s v="ACT"/>
    <s v="Australia"/>
    <s v="Canberra"/>
    <s v="2 Torrens Street"/>
    <s v="TBTC Braddon"/>
    <s v="Recycled Waste"/>
    <x v="0"/>
    <x v="1"/>
    <s v="Account"/>
    <s v="Recycled - Network E Waste"/>
    <m/>
    <s v="TBTC Braddon_E-waste"/>
    <s v="E-waste"/>
    <m/>
    <m/>
    <m/>
    <m/>
    <d v="2020-07-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08-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09-01T00:00:00"/>
    <s v="FY21"/>
    <s v="t"/>
    <n v="0"/>
    <n v="2.5700000000000001E-2"/>
    <n v="0"/>
    <n v="2.5700000000000001E-2"/>
    <n v="0"/>
    <n v="30"/>
    <n v="0"/>
    <n v="30"/>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10-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11-01T00:00:00"/>
    <s v="FY21"/>
    <s v="t"/>
    <n v="0"/>
    <n v="2.5700000000000001E-2"/>
    <n v="0"/>
    <n v="2.5700000000000001E-2"/>
    <n v="0"/>
    <n v="30"/>
    <n v="0"/>
    <n v="30"/>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12-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1-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2-01T00:00:00"/>
    <s v="FY21"/>
    <s v="t"/>
    <n v="0"/>
    <n v="2.3900000000000001E-2"/>
    <n v="0"/>
    <n v="2.3900000000000001E-2"/>
    <n v="0"/>
    <n v="28"/>
    <n v="0"/>
    <n v="28"/>
    <n v="0"/>
    <n v="100"/>
    <n v="0"/>
    <s v="Consolidation"/>
    <s v="CO2e and Base Measure"/>
    <n v="100"/>
    <n v="100"/>
    <n v="0.02"/>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3-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4-01T00:00:00"/>
    <s v="FY21"/>
    <s v="t"/>
    <n v="0"/>
    <n v="2.5700000000000001E-2"/>
    <n v="0"/>
    <n v="2.5700000000000001E-2"/>
    <n v="0"/>
    <n v="30"/>
    <n v="0"/>
    <n v="30"/>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5-01T00:00:00"/>
    <s v="FY21"/>
    <s v="t"/>
    <n v="0"/>
    <n v="0"/>
    <n v="2.7900000000000001E-2"/>
    <n v="2.7900000000000001E-2"/>
    <n v="0"/>
    <n v="0"/>
    <n v="31"/>
    <n v="31"/>
    <n v="0"/>
    <n v="0"/>
    <n v="100"/>
    <s v="Consolidation"/>
    <s v="CO2e and Base Measure"/>
    <n v="100"/>
    <n v="100"/>
    <n v="0.03"/>
    <m/>
    <m/>
    <m/>
    <m/>
    <m/>
    <m/>
    <m/>
    <m/>
    <m/>
    <m/>
    <m/>
    <m/>
    <m/>
    <s v="AUD"/>
    <s v="13644528Waste Recycled - E-waste [t]"/>
    <n v="13644528"/>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07-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08-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09-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10-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11-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12-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1-01T00:00:00"/>
    <s v="FY21"/>
    <s v="t"/>
    <n v="0"/>
    <n v="0"/>
    <n v="1.24E-2"/>
    <n v="1.24E-2"/>
    <n v="0"/>
    <n v="0"/>
    <n v="31"/>
    <n v="31"/>
    <n v="0"/>
    <n v="0"/>
    <n v="10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2-01T00:00:00"/>
    <s v="FY21"/>
    <s v="t"/>
    <n v="0"/>
    <n v="0"/>
    <n v="1.12E-2"/>
    <n v="1.12E-2"/>
    <n v="0"/>
    <n v="0"/>
    <n v="28"/>
    <n v="28"/>
    <n v="0"/>
    <n v="0"/>
    <n v="10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3-01T00:00:00"/>
    <s v="FY21"/>
    <s v="t"/>
    <n v="0"/>
    <n v="0"/>
    <n v="1.24E-2"/>
    <n v="1.24E-2"/>
    <n v="0"/>
    <n v="0"/>
    <n v="31"/>
    <n v="31"/>
    <n v="0"/>
    <n v="0"/>
    <n v="10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4-01T00:00:00"/>
    <s v="FY21"/>
    <s v="t"/>
    <n v="0"/>
    <n v="0"/>
    <n v="1.2E-2"/>
    <n v="1.2E-2"/>
    <n v="0"/>
    <n v="0"/>
    <n v="30"/>
    <n v="30"/>
    <n v="0"/>
    <n v="0"/>
    <n v="10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5-01T00:00:00"/>
    <s v="FY21"/>
    <s v="t"/>
    <n v="0"/>
    <n v="0"/>
    <n v="1.24E-2"/>
    <n v="1.24E-2"/>
    <n v="0"/>
    <n v="0"/>
    <n v="31"/>
    <n v="31"/>
    <n v="0"/>
    <n v="0"/>
    <n v="100"/>
    <s v="Consolidation"/>
    <s v="CO2e and Base Measure"/>
    <n v="100"/>
    <n v="100"/>
    <n v="0.01"/>
    <m/>
    <m/>
    <m/>
    <m/>
    <m/>
    <m/>
    <m/>
    <m/>
    <m/>
    <m/>
    <m/>
    <m/>
    <m/>
    <s v="AUD"/>
    <s v="13566637Waste Recycled - Paper and Cardboard [t]"/>
    <n v="13566637"/>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07-01T00:00:00"/>
    <s v="FY21"/>
    <s v="t"/>
    <n v="0"/>
    <n v="0.58250000000000002"/>
    <n v="0"/>
    <n v="0.58250000000000002"/>
    <n v="0"/>
    <n v="14"/>
    <n v="0"/>
    <n v="14"/>
    <n v="0"/>
    <n v="100"/>
    <n v="0"/>
    <s v="Consolidation"/>
    <s v="CO2e and Base Measure"/>
    <n v="100"/>
    <n v="100"/>
    <n v="0.57999999999999996"/>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08-01T00:00:00"/>
    <s v="FY21"/>
    <s v="t"/>
    <n v="0"/>
    <n v="0.55920000000000003"/>
    <n v="0"/>
    <n v="0.55920000000000003"/>
    <n v="0"/>
    <n v="17"/>
    <n v="0"/>
    <n v="17"/>
    <n v="0"/>
    <n v="100"/>
    <n v="0"/>
    <s v="Consolidation"/>
    <s v="CO2e and Base Measure"/>
    <n v="100"/>
    <n v="100"/>
    <n v="0.56000000000000005"/>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09-01T00:00:00"/>
    <s v="FY21"/>
    <s v="t"/>
    <n v="0"/>
    <n v="0.58250000000000002"/>
    <n v="0"/>
    <n v="0.58250000000000002"/>
    <n v="0"/>
    <n v="15"/>
    <n v="0"/>
    <n v="15"/>
    <n v="0"/>
    <n v="100"/>
    <n v="0"/>
    <s v="Consolidation"/>
    <s v="CO2e and Base Measure"/>
    <n v="100"/>
    <n v="100"/>
    <n v="0.57999999999999996"/>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10-01T00:00:00"/>
    <s v="FY21"/>
    <s v="t"/>
    <n v="0"/>
    <n v="0.48930000000000001"/>
    <n v="0"/>
    <n v="0.48930000000000001"/>
    <n v="0"/>
    <n v="15"/>
    <n v="0"/>
    <n v="15"/>
    <n v="0"/>
    <n v="100"/>
    <n v="0"/>
    <s v="Consolidation"/>
    <s v="CO2e and Base Measure"/>
    <n v="100"/>
    <n v="100"/>
    <n v="0.49"/>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11-01T00:00:00"/>
    <s v="FY21"/>
    <s v="t"/>
    <n v="0"/>
    <n v="0.44269999999999998"/>
    <n v="0"/>
    <n v="0.44269999999999998"/>
    <n v="0"/>
    <n v="15"/>
    <n v="0"/>
    <n v="15"/>
    <n v="0"/>
    <n v="100"/>
    <n v="0"/>
    <s v="Consolidation"/>
    <s v="CO2e and Base Measure"/>
    <n v="100"/>
    <n v="100"/>
    <n v="0.44"/>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12-01T00:00:00"/>
    <s v="FY21"/>
    <s v="t"/>
    <n v="0"/>
    <n v="0"/>
    <n v="1.7399999999999999E-2"/>
    <n v="1.7399999999999999E-2"/>
    <n v="0"/>
    <n v="0"/>
    <n v="1"/>
    <n v="1"/>
    <n v="0"/>
    <n v="0"/>
    <n v="100"/>
    <s v="Consolidation"/>
    <s v="CO2e and Base Measure"/>
    <n v="100"/>
    <n v="100"/>
    <n v="0.02"/>
    <m/>
    <m/>
    <m/>
    <m/>
    <m/>
    <m/>
    <n v="0"/>
    <m/>
    <m/>
    <m/>
    <m/>
    <m/>
    <m/>
    <s v="AUD"/>
    <s v="13565708Waste Recycled - Cardboard [t]"/>
    <n v="13565708"/>
  </r>
  <r>
    <d v="2019-07-01T00:00:00"/>
    <d v="2021-06-30T00:00:00"/>
    <s v="Telstra"/>
    <s v="NON-NETWORK"/>
    <s v="NON-NETWORK"/>
    <s v="SA"/>
    <s v="Australia"/>
    <s v="Adelaide"/>
    <s v="22 - 38 Pirie St Adelaide"/>
    <n v="423031592000"/>
    <s v="Recycled Waste"/>
    <x v="0"/>
    <x v="1"/>
    <s v="Account"/>
    <s v="Remondis Electrical Comp. (E-Waste)"/>
    <m/>
    <s v="423031592000_RELECTRIC"/>
    <s v="ELECTRICAL COMP. E-WASTE"/>
    <s v="Remondis"/>
    <m/>
    <m/>
    <d v="2020-11-01T00:00:00"/>
    <d v="2020-10-01T00:00:00"/>
    <s v="FY21"/>
    <s v="t"/>
    <n v="3.4000000000000002E-2"/>
    <n v="0"/>
    <n v="0"/>
    <n v="3.4000000000000002E-2"/>
    <n v="1"/>
    <n v="0"/>
    <n v="0"/>
    <n v="1"/>
    <n v="100"/>
    <n v="0"/>
    <n v="0"/>
    <s v="Consolidation"/>
    <s v="CO2e and Base Measure"/>
    <n v="100"/>
    <n v="100"/>
    <n v="0.03"/>
    <m/>
    <m/>
    <m/>
    <m/>
    <m/>
    <m/>
    <m/>
    <m/>
    <m/>
    <m/>
    <m/>
    <m/>
    <m/>
    <s v="AUD"/>
    <s v="13565710Waste Recycled - E-waste [t]"/>
    <n v="13565710"/>
  </r>
  <r>
    <d v="2019-07-01T00:00:00"/>
    <d v="2021-06-30T00:00:00"/>
    <s v="Telstra"/>
    <s v="NON-NETWORK"/>
    <s v="NON-NETWORK"/>
    <s v="SA"/>
    <s v="Australia"/>
    <s v="Adelaide"/>
    <s v="22 - 38 Pirie St Adelaide"/>
    <n v="423031592000"/>
    <s v="Recycled Waste"/>
    <x v="0"/>
    <x v="1"/>
    <s v="Account"/>
    <s v="Remondis Electrical Comp. (E-Waste)"/>
    <m/>
    <s v="423031592000_RELECTRIC"/>
    <s v="ELECTRICAL COMP. E-WASTE"/>
    <s v="Remondis"/>
    <m/>
    <m/>
    <d v="2020-11-01T00:00:00"/>
    <d v="2020-11-01T00:00:00"/>
    <s v="FY21"/>
    <s v="t"/>
    <n v="0"/>
    <n v="0"/>
    <n v="1.1000000000000001E-3"/>
    <n v="1.1000000000000001E-3"/>
    <n v="0"/>
    <n v="0"/>
    <n v="1"/>
    <n v="1"/>
    <n v="0"/>
    <n v="0"/>
    <n v="100"/>
    <s v="Consolidation"/>
    <s v="CO2e and Base Measure"/>
    <n v="100"/>
    <n v="100"/>
    <n v="0"/>
    <m/>
    <m/>
    <m/>
    <m/>
    <m/>
    <m/>
    <m/>
    <m/>
    <m/>
    <m/>
    <m/>
    <m/>
    <m/>
    <s v="AUD"/>
    <s v="13565710Waste Recycled - E-waste [t]"/>
    <n v="13565710"/>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07-01T00:00:00"/>
    <s v="FY21"/>
    <s v="t"/>
    <n v="0"/>
    <n v="0.36099999999999999"/>
    <n v="0"/>
    <n v="0.36099999999999999"/>
    <n v="0"/>
    <n v="5"/>
    <n v="0"/>
    <n v="5"/>
    <n v="0"/>
    <n v="100"/>
    <n v="0"/>
    <s v="Consolidation"/>
    <s v="CO2e and Base Measure"/>
    <n v="100"/>
    <n v="100"/>
    <n v="0.36"/>
    <m/>
    <m/>
    <m/>
    <m/>
    <m/>
    <n v="0.46929999999999999"/>
    <m/>
    <n v="0.46929999999999999"/>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08-01T00:00:00"/>
    <s v="FY21"/>
    <s v="t"/>
    <n v="0"/>
    <n v="0.2888"/>
    <n v="0"/>
    <n v="0.2888"/>
    <n v="0"/>
    <n v="4"/>
    <n v="0"/>
    <n v="4"/>
    <n v="0"/>
    <n v="100"/>
    <n v="0"/>
    <s v="Consolidation"/>
    <s v="CO2e and Base Measure"/>
    <n v="100"/>
    <n v="100"/>
    <n v="0.28999999999999998"/>
    <m/>
    <m/>
    <m/>
    <m/>
    <m/>
    <n v="0.37540000000000001"/>
    <m/>
    <n v="0.37540000000000001"/>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10-01T00:00:00"/>
    <s v="FY21"/>
    <s v="t"/>
    <n v="0"/>
    <n v="0.4078"/>
    <n v="0"/>
    <n v="0.4078"/>
    <n v="0"/>
    <n v="6"/>
    <n v="0"/>
    <n v="6"/>
    <n v="0"/>
    <n v="100"/>
    <n v="0"/>
    <s v="Consolidation"/>
    <s v="CO2e and Base Measure"/>
    <n v="100"/>
    <n v="100"/>
    <n v="0.41"/>
    <m/>
    <m/>
    <m/>
    <m/>
    <m/>
    <n v="0.53010000000000002"/>
    <m/>
    <n v="0.53010000000000002"/>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11-01T00:00:00"/>
    <s v="FY21"/>
    <s v="t"/>
    <n v="0"/>
    <n v="0.2888"/>
    <n v="0"/>
    <n v="0.2888"/>
    <n v="0"/>
    <n v="4"/>
    <n v="0"/>
    <n v="4"/>
    <n v="0"/>
    <n v="100"/>
    <n v="0"/>
    <s v="Consolidation"/>
    <s v="CO2e and Base Measure"/>
    <n v="100"/>
    <n v="100"/>
    <n v="0.28999999999999998"/>
    <m/>
    <m/>
    <m/>
    <m/>
    <m/>
    <n v="0.37540000000000001"/>
    <m/>
    <n v="0.37540000000000001"/>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12-01T00:00:00"/>
    <s v="FY21"/>
    <s v="t"/>
    <n v="0"/>
    <n v="0.2888"/>
    <n v="0"/>
    <n v="0.2888"/>
    <n v="0"/>
    <n v="4"/>
    <n v="0"/>
    <n v="4"/>
    <n v="0"/>
    <n v="100"/>
    <n v="0"/>
    <s v="Consolidation"/>
    <s v="CO2e and Base Measure"/>
    <n v="100"/>
    <n v="100"/>
    <n v="0.28999999999999998"/>
    <m/>
    <m/>
    <m/>
    <m/>
    <m/>
    <n v="0.37540000000000001"/>
    <m/>
    <n v="0.37540000000000001"/>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1-01-01T00:00:00"/>
    <s v="FY21"/>
    <s v="t"/>
    <n v="0"/>
    <n v="0"/>
    <n v="1.0200000000000001E-2"/>
    <n v="1.0200000000000001E-2"/>
    <n v="0"/>
    <n v="0"/>
    <n v="1"/>
    <n v="1"/>
    <n v="0"/>
    <n v="0"/>
    <n v="100"/>
    <s v="Consolidation"/>
    <s v="CO2e and Base Measure"/>
    <n v="100"/>
    <n v="100"/>
    <n v="0.01"/>
    <m/>
    <m/>
    <m/>
    <m/>
    <m/>
    <n v="1.3299999999999999E-2"/>
    <m/>
    <n v="1.3299999999999999E-2"/>
    <m/>
    <m/>
    <m/>
    <m/>
    <m/>
    <s v="AUD"/>
    <s v="13565712Waste - General [t] - Scope 3"/>
    <n v="13565712"/>
  </r>
  <r>
    <d v="2019-07-01T00:00:00"/>
    <d v="2021-06-30T00:00:00"/>
    <s v="Telstra"/>
    <s v="NON-NETWORK"/>
    <s v="NON-NETWORK"/>
    <s v="SA"/>
    <s v="Australia"/>
    <s v="Adelaide"/>
    <s v="22 - 38 Pirie St Adelaide"/>
    <n v="423031592000"/>
    <s v="Recycled Waste"/>
    <x v="0"/>
    <x v="0"/>
    <s v="Account"/>
    <s v="Remondis Security Destruction"/>
    <m/>
    <s v="423031592000_RPAPSECUR"/>
    <s v="SECURITY DESTRUCTION"/>
    <s v="Remondis"/>
    <m/>
    <m/>
    <d v="2020-09-01T00:00:00"/>
    <d v="2020-08-01T00:00:00"/>
    <s v="FY21"/>
    <s v="t"/>
    <n v="0"/>
    <n v="5.7599999999999998E-2"/>
    <n v="0"/>
    <n v="5.7599999999999998E-2"/>
    <n v="0"/>
    <n v="1"/>
    <n v="0"/>
    <n v="1"/>
    <n v="0"/>
    <n v="100"/>
    <n v="0"/>
    <s v="Consolidation"/>
    <s v="CO2e and Base Measure"/>
    <n v="100"/>
    <n v="100"/>
    <n v="0.06"/>
    <m/>
    <m/>
    <m/>
    <m/>
    <m/>
    <m/>
    <n v="0"/>
    <m/>
    <m/>
    <m/>
    <m/>
    <m/>
    <m/>
    <s v="AUD"/>
    <s v="13565714Waste Recycled - Cardboard [t]"/>
    <n v="13565714"/>
  </r>
  <r>
    <d v="2019-07-01T00:00:00"/>
    <d v="2021-06-30T00:00:00"/>
    <s v="Telstra"/>
    <s v="NON-NETWORK"/>
    <s v="NON-NETWORK"/>
    <s v="SA"/>
    <s v="Australia"/>
    <s v="Adelaide"/>
    <s v="22 - 38 Pirie St Adelaide"/>
    <n v="423031592000"/>
    <s v="Recycled Waste"/>
    <x v="0"/>
    <x v="0"/>
    <s v="Account"/>
    <s v="Remondis Security Destruction"/>
    <m/>
    <s v="423031592000_RPAPSECUR"/>
    <s v="SECURITY DESTRUCTION"/>
    <s v="Remondis"/>
    <m/>
    <m/>
    <d v="2020-09-01T00:00:00"/>
    <d v="2020-09-01T00:00:00"/>
    <s v="FY21"/>
    <s v="t"/>
    <n v="0"/>
    <n v="0"/>
    <n v="1.9E-3"/>
    <n v="1.9E-3"/>
    <n v="0"/>
    <n v="0"/>
    <n v="1"/>
    <n v="1"/>
    <n v="0"/>
    <n v="0"/>
    <n v="100"/>
    <s v="Consolidation"/>
    <s v="CO2e and Base Measure"/>
    <n v="100"/>
    <n v="100"/>
    <n v="0"/>
    <m/>
    <m/>
    <m/>
    <m/>
    <m/>
    <m/>
    <n v="0"/>
    <m/>
    <m/>
    <m/>
    <m/>
    <m/>
    <m/>
    <s v="AUD"/>
    <s v="13565714Waste Recycled - Cardboard [t]"/>
    <n v="13565714"/>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07-01T00:00:00"/>
    <s v="FY21"/>
    <s v="t"/>
    <n v="2.052"/>
    <n v="0"/>
    <n v="0"/>
    <n v="2.052"/>
    <n v="2"/>
    <n v="0"/>
    <n v="0"/>
    <n v="2"/>
    <n v="100"/>
    <n v="0"/>
    <n v="0"/>
    <s v="Consolidation"/>
    <s v="CO2e and Base Measure"/>
    <n v="100"/>
    <n v="100"/>
    <n v="2.0499999999999998"/>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08-01T00:00:00"/>
    <s v="FY21"/>
    <s v="t"/>
    <n v="2.1194999999999999"/>
    <n v="0"/>
    <n v="0"/>
    <n v="2.1194999999999999"/>
    <n v="4"/>
    <n v="0"/>
    <n v="0"/>
    <n v="4"/>
    <n v="100"/>
    <n v="0"/>
    <n v="0"/>
    <s v="Consolidation"/>
    <s v="CO2e and Base Measure"/>
    <n v="100"/>
    <n v="100"/>
    <n v="2.12"/>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09-01T00:00:00"/>
    <s v="FY21"/>
    <s v="t"/>
    <n v="0.14399999999999999"/>
    <n v="0"/>
    <n v="0"/>
    <n v="0.14399999999999999"/>
    <n v="2"/>
    <n v="0"/>
    <n v="0"/>
    <n v="2"/>
    <n v="100"/>
    <n v="0"/>
    <n v="0"/>
    <s v="Consolidation"/>
    <s v="CO2e and Base Measure"/>
    <n v="100"/>
    <n v="100"/>
    <n v="0.14000000000000001"/>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10-01T00:00:00"/>
    <s v="FY21"/>
    <s v="t"/>
    <n v="1.9575"/>
    <n v="0"/>
    <n v="0"/>
    <n v="1.9575"/>
    <n v="3"/>
    <n v="0"/>
    <n v="0"/>
    <n v="3"/>
    <n v="100"/>
    <n v="0"/>
    <n v="0"/>
    <s v="Consolidation"/>
    <s v="CO2e and Base Measure"/>
    <n v="100"/>
    <n v="100"/>
    <n v="1.96"/>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11-01T00:00:00"/>
    <s v="FY21"/>
    <s v="t"/>
    <n v="2.9159999999999999"/>
    <n v="0"/>
    <n v="0"/>
    <n v="2.9159999999999999"/>
    <n v="3"/>
    <n v="0"/>
    <n v="0"/>
    <n v="3"/>
    <n v="100"/>
    <n v="0"/>
    <n v="0"/>
    <s v="Consolidation"/>
    <s v="CO2e and Base Measure"/>
    <n v="100"/>
    <n v="100"/>
    <n v="2.92"/>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12-01T00:00:00"/>
    <s v="FY21"/>
    <s v="t"/>
    <n v="0.97199999999999998"/>
    <n v="0"/>
    <n v="0"/>
    <n v="0.97199999999999998"/>
    <n v="1"/>
    <n v="0"/>
    <n v="0"/>
    <n v="1"/>
    <n v="100"/>
    <n v="0"/>
    <n v="0"/>
    <s v="Consolidation"/>
    <s v="CO2e and Base Measure"/>
    <n v="100"/>
    <n v="100"/>
    <n v="0.97"/>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1-01T00:00:00"/>
    <s v="FY21"/>
    <s v="t"/>
    <n v="0"/>
    <n v="0"/>
    <n v="1.9281999999999999"/>
    <n v="1.9281999999999999"/>
    <n v="0"/>
    <n v="0"/>
    <n v="31"/>
    <n v="31"/>
    <n v="0"/>
    <n v="0"/>
    <n v="100"/>
    <s v="Consolidation"/>
    <s v="CO2e and Base Measure"/>
    <n v="100"/>
    <n v="100"/>
    <n v="1.93"/>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2-01T00:00:00"/>
    <s v="FY21"/>
    <s v="t"/>
    <n v="0"/>
    <n v="0"/>
    <n v="1.7416"/>
    <n v="1.7416"/>
    <n v="0"/>
    <n v="0"/>
    <n v="28"/>
    <n v="28"/>
    <n v="0"/>
    <n v="0"/>
    <n v="100"/>
    <s v="Consolidation"/>
    <s v="CO2e and Base Measure"/>
    <n v="100"/>
    <n v="100"/>
    <n v="1.74"/>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3-01T00:00:00"/>
    <s v="FY21"/>
    <s v="t"/>
    <n v="0"/>
    <n v="0"/>
    <n v="1.9281999999999999"/>
    <n v="1.9281999999999999"/>
    <n v="0"/>
    <n v="0"/>
    <n v="31"/>
    <n v="31"/>
    <n v="0"/>
    <n v="0"/>
    <n v="100"/>
    <s v="Consolidation"/>
    <s v="CO2e and Base Measure"/>
    <n v="100"/>
    <n v="100"/>
    <n v="1.93"/>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4-01T00:00:00"/>
    <s v="FY21"/>
    <s v="t"/>
    <n v="0"/>
    <n v="0"/>
    <n v="1.8660000000000001"/>
    <n v="1.8660000000000001"/>
    <n v="0"/>
    <n v="0"/>
    <n v="30"/>
    <n v="30"/>
    <n v="0"/>
    <n v="0"/>
    <n v="100"/>
    <s v="Consolidation"/>
    <s v="CO2e and Base Measure"/>
    <n v="100"/>
    <n v="100"/>
    <n v="1.87"/>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5-01T00:00:00"/>
    <s v="FY21"/>
    <s v="t"/>
    <n v="0"/>
    <n v="0"/>
    <n v="1.9281999999999999"/>
    <n v="1.9281999999999999"/>
    <n v="0"/>
    <n v="0"/>
    <n v="31"/>
    <n v="31"/>
    <n v="0"/>
    <n v="0"/>
    <n v="100"/>
    <s v="Consolidation"/>
    <s v="CO2e and Base Measure"/>
    <n v="100"/>
    <n v="100"/>
    <n v="1.93"/>
    <m/>
    <m/>
    <m/>
    <m/>
    <m/>
    <m/>
    <m/>
    <m/>
    <m/>
    <m/>
    <m/>
    <m/>
    <m/>
    <s v="AUD"/>
    <s v="13566469Waste Recycled - Paper and Cardboard [t]"/>
    <n v="1356646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0-12-01T00:00:00"/>
    <s v="FY21"/>
    <s v="t"/>
    <n v="0.12"/>
    <n v="6.0299999999999999E-2"/>
    <n v="0"/>
    <n v="0.18029999999999999"/>
    <n v="4"/>
    <n v="2"/>
    <n v="0"/>
    <n v="6"/>
    <n v="66.55"/>
    <n v="33.44"/>
    <n v="0"/>
    <s v="Consolidation"/>
    <s v="CO2e and Base Measure"/>
    <n v="100"/>
    <n v="100"/>
    <n v="0.18"/>
    <m/>
    <m/>
    <m/>
    <m/>
    <m/>
    <n v="0.2344"/>
    <m/>
    <n v="0.2344"/>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1-01T00:00:00"/>
    <s v="FY21"/>
    <s v="t"/>
    <n v="0"/>
    <n v="0.18090000000000001"/>
    <n v="0"/>
    <n v="0.18090000000000001"/>
    <n v="0"/>
    <n v="6"/>
    <n v="0"/>
    <n v="6"/>
    <n v="0"/>
    <n v="100"/>
    <n v="0"/>
    <s v="Consolidation"/>
    <s v="CO2e and Base Measure"/>
    <n v="100"/>
    <n v="100"/>
    <n v="0.18"/>
    <m/>
    <m/>
    <m/>
    <m/>
    <m/>
    <n v="0.23519999999999999"/>
    <m/>
    <n v="0.23519999999999999"/>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2-01T00:00:00"/>
    <s v="FY21"/>
    <s v="t"/>
    <n v="3.5000000000000003E-2"/>
    <n v="0.19170000000000001"/>
    <n v="0"/>
    <n v="0.22670000000000001"/>
    <n v="1"/>
    <n v="7"/>
    <n v="0"/>
    <n v="8"/>
    <n v="15.43"/>
    <n v="84.56"/>
    <n v="0"/>
    <s v="Consolidation"/>
    <s v="CO2e and Base Measure"/>
    <n v="100"/>
    <n v="100"/>
    <n v="0.23"/>
    <m/>
    <m/>
    <m/>
    <m/>
    <m/>
    <n v="0.29470000000000002"/>
    <m/>
    <n v="0.29470000000000002"/>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3-01T00:00:00"/>
    <s v="FY21"/>
    <s v="t"/>
    <n v="0"/>
    <n v="0.31230000000000002"/>
    <n v="0"/>
    <n v="0.31230000000000002"/>
    <n v="0"/>
    <n v="11"/>
    <n v="0"/>
    <n v="11"/>
    <n v="0"/>
    <n v="100"/>
    <n v="0"/>
    <s v="Consolidation"/>
    <s v="CO2e and Base Measure"/>
    <n v="100"/>
    <n v="100"/>
    <n v="0.31"/>
    <m/>
    <m/>
    <m/>
    <m/>
    <m/>
    <n v="0.40600000000000003"/>
    <m/>
    <n v="0.40600000000000003"/>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4-01T00:00:00"/>
    <s v="FY21"/>
    <s v="t"/>
    <n v="0"/>
    <n v="0"/>
    <n v="0.22500000000000001"/>
    <n v="0.22500000000000001"/>
    <n v="0"/>
    <n v="0"/>
    <n v="30"/>
    <n v="30"/>
    <n v="0"/>
    <n v="0"/>
    <n v="100"/>
    <s v="Consolidation"/>
    <s v="CO2e and Base Measure"/>
    <n v="100"/>
    <n v="100"/>
    <n v="0.23"/>
    <m/>
    <m/>
    <m/>
    <m/>
    <m/>
    <n v="0.29249999999999998"/>
    <m/>
    <n v="0.29249999999999998"/>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5-01T00:00:00"/>
    <s v="FY21"/>
    <s v="t"/>
    <n v="0"/>
    <n v="0"/>
    <n v="0.23250000000000001"/>
    <n v="0.23250000000000001"/>
    <n v="0"/>
    <n v="0"/>
    <n v="31"/>
    <n v="31"/>
    <n v="0"/>
    <n v="0"/>
    <n v="100"/>
    <s v="Consolidation"/>
    <s v="CO2e and Base Measure"/>
    <n v="100"/>
    <n v="100"/>
    <n v="0.23"/>
    <m/>
    <m/>
    <m/>
    <m/>
    <m/>
    <n v="0.30230000000000001"/>
    <m/>
    <n v="0.30230000000000001"/>
    <m/>
    <m/>
    <m/>
    <m/>
    <m/>
    <s v="AUD"/>
    <s v="13634329Waste - General [t] - Scope 3"/>
    <n v="13634329"/>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1-01T00:00:00"/>
    <s v="FY21"/>
    <s v="t"/>
    <n v="0"/>
    <n v="0.22"/>
    <n v="0"/>
    <n v="0.22"/>
    <n v="0"/>
    <n v="4"/>
    <n v="0"/>
    <n v="4"/>
    <n v="0"/>
    <n v="100"/>
    <n v="0"/>
    <s v="Consolidation"/>
    <s v="CO2e and Base Measure"/>
    <n v="100"/>
    <n v="100"/>
    <n v="0.22"/>
    <m/>
    <m/>
    <m/>
    <m/>
    <m/>
    <m/>
    <m/>
    <m/>
    <m/>
    <m/>
    <m/>
    <m/>
    <m/>
    <s v="AUD"/>
    <s v="13634505Waste Recycled - Paper and Cardboard [t]"/>
    <n v="13634505"/>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2-01T00:00:00"/>
    <s v="FY21"/>
    <s v="t"/>
    <n v="0"/>
    <n v="0.1925"/>
    <n v="0"/>
    <n v="0.1925"/>
    <n v="0"/>
    <n v="4"/>
    <n v="0"/>
    <n v="4"/>
    <n v="0"/>
    <n v="100"/>
    <n v="0"/>
    <s v="Consolidation"/>
    <s v="CO2e and Base Measure"/>
    <n v="100"/>
    <n v="100"/>
    <n v="0.19"/>
    <m/>
    <m/>
    <m/>
    <m/>
    <m/>
    <m/>
    <m/>
    <m/>
    <m/>
    <m/>
    <m/>
    <m/>
    <m/>
    <s v="AUD"/>
    <s v="13634505Waste Recycled - Paper and Cardboard [t]"/>
    <n v="13634505"/>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3-01T00:00:00"/>
    <s v="FY21"/>
    <s v="t"/>
    <n v="0"/>
    <n v="0.30249999999999999"/>
    <n v="0"/>
    <n v="0.30249999999999999"/>
    <n v="0"/>
    <n v="5"/>
    <n v="0"/>
    <n v="5"/>
    <n v="0"/>
    <n v="100"/>
    <n v="0"/>
    <s v="Consolidation"/>
    <s v="CO2e and Base Measure"/>
    <n v="100"/>
    <n v="100"/>
    <n v="0.3"/>
    <m/>
    <m/>
    <m/>
    <m/>
    <m/>
    <m/>
    <m/>
    <m/>
    <m/>
    <m/>
    <m/>
    <m/>
    <m/>
    <s v="AUD"/>
    <s v="13634505Waste Recycled - Paper and Cardboard [t]"/>
    <n v="13634505"/>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4-01T00:00:00"/>
    <s v="FY21"/>
    <s v="t"/>
    <n v="0"/>
    <n v="0"/>
    <n v="0.24"/>
    <n v="0.24"/>
    <n v="0"/>
    <n v="0"/>
    <n v="30"/>
    <n v="30"/>
    <n v="0"/>
    <n v="0"/>
    <n v="100"/>
    <s v="Consolidation"/>
    <s v="CO2e and Base Measure"/>
    <n v="100"/>
    <n v="100"/>
    <n v="0.24"/>
    <m/>
    <m/>
    <m/>
    <m/>
    <m/>
    <m/>
    <m/>
    <m/>
    <m/>
    <m/>
    <m/>
    <m/>
    <m/>
    <s v="AUD"/>
    <s v="13634505Waste Recycled - Paper and Cardboard [t]"/>
    <n v="13634505"/>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5-01T00:00:00"/>
    <s v="FY21"/>
    <s v="t"/>
    <n v="0"/>
    <n v="0"/>
    <n v="0.248"/>
    <n v="0.248"/>
    <n v="0"/>
    <n v="0"/>
    <n v="31"/>
    <n v="31"/>
    <n v="0"/>
    <n v="0"/>
    <n v="100"/>
    <s v="Consolidation"/>
    <s v="CO2e and Base Measure"/>
    <n v="100"/>
    <n v="100"/>
    <n v="0.25"/>
    <m/>
    <m/>
    <m/>
    <m/>
    <m/>
    <m/>
    <m/>
    <m/>
    <m/>
    <m/>
    <m/>
    <m/>
    <m/>
    <s v="AUD"/>
    <s v="13634505Waste Recycled - Paper and Cardboard [t]"/>
    <n v="13634505"/>
  </r>
  <r>
    <d v="2019-07-01T00:00:00"/>
    <d v="2021-06-30T00:00:00"/>
    <s v="Telstra"/>
    <s v="NON-NETWORK"/>
    <s v="NON-NETWORK"/>
    <s v="SA"/>
    <s v="Australia"/>
    <s v="Adelaide"/>
    <s v="22 - 38 Pirie St Adelaide"/>
    <n v="423031592000"/>
    <s v="Recycled Waste"/>
    <x v="0"/>
    <x v="1"/>
    <s v="Account"/>
    <s v="CLEANAWAY eWaste"/>
    <m/>
    <s v="31592000_Diversion_eWaste"/>
    <s v="eWaste"/>
    <s v="Cleanaway"/>
    <m/>
    <d v="2021-01-19T00:00:00"/>
    <m/>
    <d v="2021-01-01T00:00:00"/>
    <s v="FY21"/>
    <s v="t"/>
    <n v="3.3000000000000002E-2"/>
    <n v="0"/>
    <n v="0"/>
    <n v="3.3000000000000002E-2"/>
    <n v="1"/>
    <n v="0"/>
    <n v="0"/>
    <n v="1"/>
    <n v="100"/>
    <n v="0"/>
    <n v="0"/>
    <s v="Consolidation"/>
    <s v="CO2e and Base Measure"/>
    <n v="100"/>
    <n v="100"/>
    <n v="0.03"/>
    <m/>
    <m/>
    <m/>
    <m/>
    <m/>
    <m/>
    <m/>
    <m/>
    <m/>
    <m/>
    <m/>
    <m/>
    <m/>
    <s v="AUD"/>
    <s v="13641198Waste Recycled - E-waste [t]"/>
    <n v="13641198"/>
  </r>
  <r>
    <d v="2019-07-01T00:00:00"/>
    <d v="2021-06-30T00:00:00"/>
    <s v="Telstra"/>
    <s v="NON-NETWORK"/>
    <s v="NON-NETWORK"/>
    <s v="SA"/>
    <s v="Australia"/>
    <s v="Adelaide"/>
    <s v="22 - 38 Pirie St Adelaide"/>
    <n v="423031592000"/>
    <s v="Recycled Waste"/>
    <x v="0"/>
    <x v="1"/>
    <s v="Account"/>
    <s v="CLEANAWAY eWaste"/>
    <m/>
    <s v="31592000_Diversion_eWaste"/>
    <s v="eWaste"/>
    <s v="Cleanaway"/>
    <m/>
    <d v="2021-01-19T00:00:00"/>
    <m/>
    <d v="2021-03-01T00:00:00"/>
    <s v="FY21"/>
    <s v="t"/>
    <n v="7.0000000000000007E-2"/>
    <n v="0"/>
    <n v="0"/>
    <n v="7.0000000000000007E-2"/>
    <n v="1"/>
    <n v="0"/>
    <n v="0"/>
    <n v="1"/>
    <n v="100"/>
    <n v="0"/>
    <n v="0"/>
    <s v="Consolidation"/>
    <s v="CO2e and Base Measure"/>
    <n v="100"/>
    <n v="100"/>
    <n v="7.0000000000000007E-2"/>
    <m/>
    <m/>
    <m/>
    <m/>
    <m/>
    <m/>
    <m/>
    <m/>
    <m/>
    <m/>
    <m/>
    <m/>
    <m/>
    <s v="AUD"/>
    <s v="13641198Waste Recycled - E-waste [t]"/>
    <n v="13641198"/>
  </r>
  <r>
    <d v="2019-07-01T00:00:00"/>
    <d v="2021-06-30T00:00:00"/>
    <s v="Telstra"/>
    <s v="NON-NETWORK"/>
    <s v="NON-NETWORK"/>
    <s v="SA"/>
    <s v="Australia"/>
    <s v="Adelaide"/>
    <s v="22 - 38 Pirie St Adelaide"/>
    <n v="423031592000"/>
    <s v="Recycled Waste"/>
    <x v="0"/>
    <x v="1"/>
    <s v="Account"/>
    <s v="CLEANAWAY eWaste"/>
    <m/>
    <s v="31592000_Diversion_eWaste"/>
    <s v="eWaste"/>
    <s v="Cleanaway"/>
    <m/>
    <d v="2021-01-19T00:00:00"/>
    <m/>
    <d v="2021-04-01T00:00:00"/>
    <s v="FY21"/>
    <s v="t"/>
    <n v="0"/>
    <n v="0"/>
    <n v="3.5999999999999997E-2"/>
    <n v="3.5999999999999997E-2"/>
    <n v="0"/>
    <n v="0"/>
    <n v="30"/>
    <n v="30"/>
    <n v="0"/>
    <n v="0"/>
    <n v="100"/>
    <s v="Consolidation"/>
    <s v="CO2e and Base Measure"/>
    <n v="100"/>
    <n v="100"/>
    <n v="0.04"/>
    <m/>
    <m/>
    <m/>
    <m/>
    <m/>
    <m/>
    <m/>
    <m/>
    <m/>
    <m/>
    <m/>
    <m/>
    <m/>
    <s v="AUD"/>
    <s v="13641198Waste Recycled - E-waste [t]"/>
    <n v="13641198"/>
  </r>
  <r>
    <d v="2019-07-01T00:00:00"/>
    <d v="2021-06-30T00:00:00"/>
    <s v="Telstra"/>
    <s v="NON-NETWORK"/>
    <s v="NON-NETWORK"/>
    <s v="SA"/>
    <s v="Australia"/>
    <s v="Adelaide"/>
    <s v="22 - 38 Pirie St Adelaide"/>
    <n v="423031592000"/>
    <s v="Recycled Waste"/>
    <x v="0"/>
    <x v="1"/>
    <s v="Account"/>
    <s v="CLEANAWAY eWaste"/>
    <m/>
    <s v="31592000_Diversion_eWaste"/>
    <s v="eWaste"/>
    <s v="Cleanaway"/>
    <m/>
    <d v="2021-01-19T00:00:00"/>
    <m/>
    <d v="2021-05-01T00:00:00"/>
    <s v="FY21"/>
    <s v="t"/>
    <n v="0"/>
    <n v="0"/>
    <n v="3.7199999999999997E-2"/>
    <n v="3.7199999999999997E-2"/>
    <n v="0"/>
    <n v="0"/>
    <n v="31"/>
    <n v="31"/>
    <n v="0"/>
    <n v="0"/>
    <n v="100"/>
    <s v="Consolidation"/>
    <s v="CO2e and Base Measure"/>
    <n v="100"/>
    <n v="100"/>
    <n v="0.04"/>
    <m/>
    <m/>
    <m/>
    <m/>
    <m/>
    <m/>
    <m/>
    <m/>
    <m/>
    <m/>
    <m/>
    <m/>
    <m/>
    <s v="AUD"/>
    <s v="13641198Waste Recycled - E-waste [t]"/>
    <n v="1364119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0-12-01T00:00:00"/>
    <s v="FY21"/>
    <s v="t"/>
    <n v="2.7E-2"/>
    <n v="0"/>
    <n v="0"/>
    <n v="2.7E-2"/>
    <n v="1"/>
    <n v="0"/>
    <n v="0"/>
    <n v="1"/>
    <n v="100"/>
    <n v="0"/>
    <n v="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2-01T00:00:00"/>
    <s v="FY21"/>
    <s v="t"/>
    <n v="0"/>
    <n v="0"/>
    <n v="2.52E-2"/>
    <n v="2.52E-2"/>
    <n v="0"/>
    <n v="0"/>
    <n v="28"/>
    <n v="28"/>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4-01T00:00:00"/>
    <s v="FY21"/>
    <s v="t"/>
    <n v="0"/>
    <n v="0"/>
    <n v="2.7E-2"/>
    <n v="2.7E-2"/>
    <n v="0"/>
    <n v="0"/>
    <n v="30"/>
    <n v="30"/>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No Recovery"/>
    <x v="1"/>
    <x v="7"/>
    <s v="Account"/>
    <s v="Remondis Clinical Waste"/>
    <m/>
    <s v="423032066600_WMEDMEDIC"/>
    <s v="CLINICAL WASTE"/>
    <s v="Remondis"/>
    <m/>
    <m/>
    <d v="2021-01-01T00:00:00"/>
    <d v="2020-12-01T00:00:00"/>
    <s v="FY21"/>
    <s v="t"/>
    <n v="0"/>
    <n v="1.9199999999999998E-2"/>
    <n v="0"/>
    <n v="1.9199999999999998E-2"/>
    <n v="0"/>
    <n v="1"/>
    <n v="0"/>
    <n v="1"/>
    <n v="0"/>
    <n v="100"/>
    <n v="0"/>
    <s v="Consolidation"/>
    <s v="CO2e and Base Measure"/>
    <n v="100"/>
    <n v="100"/>
    <n v="0.02"/>
    <m/>
    <m/>
    <m/>
    <m/>
    <m/>
    <n v="2.3E-2"/>
    <m/>
    <n v="2.3E-2"/>
    <m/>
    <m/>
    <m/>
    <m/>
    <m/>
    <s v="AUD"/>
    <s v="13633430Hazardous Waste [t]"/>
    <n v="13633430"/>
  </r>
  <r>
    <d v="2019-07-01T00:00:00"/>
    <d v="2021-06-30T00:00:00"/>
    <s v="Telstra"/>
    <s v="NON-NETWORK"/>
    <s v="NON-NETWORK"/>
    <s v="VIC"/>
    <s v="Australia"/>
    <s v="Hoppers Crossing"/>
    <s v="22 PRINCES HWY WERRIBEE"/>
    <n v="423032066600"/>
    <s v="No Recovery"/>
    <x v="1"/>
    <x v="7"/>
    <s v="Account"/>
    <s v="Remondis Clinical Waste"/>
    <m/>
    <s v="423032066600_WMEDMEDIC"/>
    <s v="CLINICAL WASTE"/>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633430Hazardous Waste [t]"/>
    <n v="13633430"/>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0-12-01T00:00:00"/>
    <s v="FY21"/>
    <s v="t"/>
    <n v="0.16"/>
    <n v="0"/>
    <n v="0"/>
    <n v="0.16"/>
    <n v="2"/>
    <n v="0"/>
    <n v="0"/>
    <n v="2"/>
    <n v="100"/>
    <n v="0"/>
    <n v="0"/>
    <s v="Consolidation"/>
    <s v="CO2e and Base Measure"/>
    <n v="100"/>
    <n v="100"/>
    <n v="0.16"/>
    <m/>
    <m/>
    <m/>
    <m/>
    <m/>
    <n v="0.20799999999999999"/>
    <m/>
    <n v="0.20799999999999999"/>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1-01T00:00:00"/>
    <s v="FY21"/>
    <s v="t"/>
    <n v="0.39800000000000002"/>
    <n v="0"/>
    <n v="0"/>
    <n v="0.39800000000000002"/>
    <n v="3"/>
    <n v="0"/>
    <n v="0"/>
    <n v="3"/>
    <n v="100"/>
    <n v="0"/>
    <n v="0"/>
    <s v="Consolidation"/>
    <s v="CO2e and Base Measure"/>
    <n v="100"/>
    <n v="100"/>
    <n v="0.4"/>
    <m/>
    <m/>
    <m/>
    <m/>
    <m/>
    <n v="0.51739999999999997"/>
    <m/>
    <n v="0.51739999999999997"/>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2-01T00:00:00"/>
    <s v="FY21"/>
    <s v="t"/>
    <n v="6.5000000000000002E-2"/>
    <n v="0.13500000000000001"/>
    <n v="0"/>
    <n v="0.2"/>
    <n v="2"/>
    <n v="1"/>
    <n v="0"/>
    <n v="3"/>
    <n v="32.5"/>
    <n v="67.5"/>
    <n v="0"/>
    <s v="Consolidation"/>
    <s v="CO2e and Base Measure"/>
    <n v="100"/>
    <n v="100"/>
    <n v="0.2"/>
    <m/>
    <m/>
    <m/>
    <m/>
    <m/>
    <n v="0.26"/>
    <m/>
    <n v="0.26"/>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3-01T00:00:00"/>
    <s v="FY21"/>
    <s v="t"/>
    <n v="0.32200000000000001"/>
    <n v="0"/>
    <n v="0"/>
    <n v="0.32200000000000001"/>
    <n v="2"/>
    <n v="0"/>
    <n v="0"/>
    <n v="2"/>
    <n v="100"/>
    <n v="0"/>
    <n v="0"/>
    <s v="Consolidation"/>
    <s v="CO2e and Base Measure"/>
    <n v="100"/>
    <n v="100"/>
    <n v="0.32"/>
    <m/>
    <m/>
    <m/>
    <m/>
    <m/>
    <n v="0.41860000000000003"/>
    <m/>
    <n v="0.41860000000000003"/>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4-01T00:00:00"/>
    <s v="FY21"/>
    <s v="t"/>
    <n v="0"/>
    <n v="0"/>
    <n v="0.24299999999999999"/>
    <n v="0.24299999999999999"/>
    <n v="0"/>
    <n v="0"/>
    <n v="30"/>
    <n v="30"/>
    <n v="0"/>
    <n v="0"/>
    <n v="100"/>
    <s v="Consolidation"/>
    <s v="CO2e and Base Measure"/>
    <n v="100"/>
    <n v="100"/>
    <n v="0.24"/>
    <m/>
    <m/>
    <m/>
    <m/>
    <m/>
    <n v="0.31590000000000001"/>
    <m/>
    <n v="0.31590000000000001"/>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5-01T00:00:00"/>
    <s v="FY21"/>
    <s v="t"/>
    <n v="0"/>
    <n v="0"/>
    <n v="0.25109999999999999"/>
    <n v="0.25109999999999999"/>
    <n v="0"/>
    <n v="0"/>
    <n v="31"/>
    <n v="31"/>
    <n v="0"/>
    <n v="0"/>
    <n v="100"/>
    <s v="Consolidation"/>
    <s v="CO2e and Base Measure"/>
    <n v="100"/>
    <n v="100"/>
    <n v="0.25"/>
    <m/>
    <m/>
    <m/>
    <m/>
    <m/>
    <n v="0.32640000000000002"/>
    <m/>
    <n v="0.32640000000000002"/>
    <m/>
    <m/>
    <m/>
    <m/>
    <m/>
    <s v="AUD"/>
    <s v="13634004Waste - General [t] - Scope 3"/>
    <n v="13634004"/>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0-12-01T00:00:00"/>
    <s v="FY21"/>
    <s v="t"/>
    <n v="3.9E-2"/>
    <n v="7.4999999999999997E-2"/>
    <n v="0"/>
    <n v="0.114"/>
    <n v="1"/>
    <n v="1"/>
    <n v="0"/>
    <n v="2"/>
    <n v="34.21"/>
    <n v="65.78"/>
    <n v="0"/>
    <s v="Consolidation"/>
    <s v="CO2e and Base Measure"/>
    <n v="100"/>
    <n v="100"/>
    <n v="0.11"/>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1-01T00:00:00"/>
    <s v="FY21"/>
    <s v="t"/>
    <n v="1.129"/>
    <n v="7.4999999999999997E-2"/>
    <n v="0"/>
    <n v="1.204"/>
    <n v="2"/>
    <n v="1"/>
    <n v="0"/>
    <n v="3"/>
    <n v="93.77"/>
    <n v="6.22"/>
    <n v="0"/>
    <s v="Consolidation"/>
    <s v="CO2e and Base Measure"/>
    <n v="100"/>
    <n v="100"/>
    <n v="1.2"/>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2-01T00:00:00"/>
    <s v="FY21"/>
    <s v="t"/>
    <n v="1.1180000000000001"/>
    <n v="7.4999999999999997E-2"/>
    <n v="0"/>
    <n v="1.1930000000000001"/>
    <n v="2"/>
    <n v="1"/>
    <n v="0"/>
    <n v="3"/>
    <n v="93.71"/>
    <n v="6.28"/>
    <n v="0"/>
    <s v="Consolidation"/>
    <s v="CO2e and Base Measure"/>
    <n v="100"/>
    <n v="100"/>
    <n v="1.19"/>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3-01T00:00:00"/>
    <s v="FY21"/>
    <s v="t"/>
    <n v="1.1000000000000001"/>
    <n v="7.4999999999999997E-2"/>
    <n v="0"/>
    <n v="1.175"/>
    <n v="1"/>
    <n v="1"/>
    <n v="0"/>
    <n v="2"/>
    <n v="93.61"/>
    <n v="6.38"/>
    <n v="0"/>
    <s v="Consolidation"/>
    <s v="CO2e and Base Measure"/>
    <n v="100"/>
    <n v="100"/>
    <n v="1.18"/>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4-01T00:00:00"/>
    <s v="FY21"/>
    <s v="t"/>
    <n v="0"/>
    <n v="0"/>
    <n v="0.92100000000000004"/>
    <n v="0.92100000000000004"/>
    <n v="0"/>
    <n v="0"/>
    <n v="30"/>
    <n v="30"/>
    <n v="0"/>
    <n v="0"/>
    <n v="100"/>
    <s v="Consolidation"/>
    <s v="CO2e and Base Measure"/>
    <n v="100"/>
    <n v="100"/>
    <n v="0.92"/>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5-01T00:00:00"/>
    <s v="FY21"/>
    <s v="t"/>
    <n v="0"/>
    <n v="0"/>
    <n v="0.95169999999999999"/>
    <n v="0.95169999999999999"/>
    <n v="0"/>
    <n v="0"/>
    <n v="31"/>
    <n v="31"/>
    <n v="0"/>
    <n v="0"/>
    <n v="100"/>
    <s v="Consolidation"/>
    <s v="CO2e and Base Measure"/>
    <n v="100"/>
    <n v="100"/>
    <n v="0.95"/>
    <m/>
    <m/>
    <m/>
    <m/>
    <m/>
    <m/>
    <m/>
    <m/>
    <m/>
    <m/>
    <m/>
    <m/>
    <m/>
    <s v="AUD"/>
    <s v="13634397Waste Recycled - Paper and Cardboard [t]"/>
    <n v="13634397"/>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07-01T00:00:00"/>
    <s v="FY21"/>
    <s v="t"/>
    <n v="0.32400000000000001"/>
    <n v="0"/>
    <n v="0"/>
    <n v="0.32400000000000001"/>
    <n v="2"/>
    <n v="0"/>
    <n v="0"/>
    <n v="2"/>
    <n v="100"/>
    <n v="0"/>
    <n v="0"/>
    <s v="Consolidation"/>
    <s v="CO2e and Base Measure"/>
    <n v="100"/>
    <n v="100"/>
    <n v="0.32"/>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08-01T00:00:00"/>
    <s v="FY21"/>
    <s v="t"/>
    <n v="0.378"/>
    <n v="0"/>
    <n v="0"/>
    <n v="0.378"/>
    <n v="2"/>
    <n v="0"/>
    <n v="0"/>
    <n v="2"/>
    <n v="100"/>
    <n v="0"/>
    <n v="0"/>
    <s v="Consolidation"/>
    <s v="CO2e and Base Measure"/>
    <n v="100"/>
    <n v="100"/>
    <n v="0.38"/>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09-01T00:00:00"/>
    <s v="FY21"/>
    <s v="t"/>
    <n v="3.4000000000000002E-2"/>
    <n v="0"/>
    <n v="0"/>
    <n v="3.4000000000000002E-2"/>
    <n v="3"/>
    <n v="0"/>
    <n v="0"/>
    <n v="3"/>
    <n v="100"/>
    <n v="0"/>
    <n v="0"/>
    <s v="Consolidation"/>
    <s v="CO2e and Base Measure"/>
    <n v="100"/>
    <n v="100"/>
    <n v="0.03"/>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10-01T00:00:00"/>
    <s v="FY21"/>
    <s v="t"/>
    <n v="0.27"/>
    <n v="0"/>
    <n v="0"/>
    <n v="0.27"/>
    <n v="2"/>
    <n v="0"/>
    <n v="0"/>
    <n v="2"/>
    <n v="100"/>
    <n v="0"/>
    <n v="0"/>
    <s v="Consolidation"/>
    <s v="CO2e and Base Measure"/>
    <n v="100"/>
    <n v="100"/>
    <n v="0.27"/>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11-01T00:00:00"/>
    <s v="FY21"/>
    <s v="t"/>
    <n v="0.27"/>
    <n v="0"/>
    <n v="0"/>
    <n v="0.27"/>
    <n v="2"/>
    <n v="0"/>
    <n v="0"/>
    <n v="2"/>
    <n v="100"/>
    <n v="0"/>
    <n v="0"/>
    <s v="Consolidation"/>
    <s v="CO2e and Base Measure"/>
    <n v="100"/>
    <n v="100"/>
    <n v="0.27"/>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12-01T00:00:00"/>
    <s v="FY21"/>
    <s v="t"/>
    <n v="0.27"/>
    <n v="0"/>
    <n v="0"/>
    <n v="0.27"/>
    <n v="2"/>
    <n v="0"/>
    <n v="0"/>
    <n v="2"/>
    <n v="100"/>
    <n v="0"/>
    <n v="0"/>
    <s v="Consolidation"/>
    <s v="CO2e and Base Measure"/>
    <n v="100"/>
    <n v="100"/>
    <n v="0.27"/>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1-01T00:00:00"/>
    <s v="FY21"/>
    <s v="t"/>
    <n v="0"/>
    <n v="0"/>
    <n v="0.27900000000000003"/>
    <n v="0.27900000000000003"/>
    <n v="0"/>
    <n v="0"/>
    <n v="31"/>
    <n v="31"/>
    <n v="0"/>
    <n v="0"/>
    <n v="100"/>
    <s v="Consolidation"/>
    <s v="CO2e and Base Measure"/>
    <n v="100"/>
    <n v="100"/>
    <n v="0.28000000000000003"/>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2-01T00:00:00"/>
    <s v="FY21"/>
    <s v="t"/>
    <n v="0"/>
    <n v="0"/>
    <n v="0.252"/>
    <n v="0.252"/>
    <n v="0"/>
    <n v="0"/>
    <n v="28"/>
    <n v="28"/>
    <n v="0"/>
    <n v="0"/>
    <n v="100"/>
    <s v="Consolidation"/>
    <s v="CO2e and Base Measure"/>
    <n v="100"/>
    <n v="100"/>
    <n v="0.25"/>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3-01T00:00:00"/>
    <s v="FY21"/>
    <s v="t"/>
    <n v="0"/>
    <n v="0"/>
    <n v="0.27900000000000003"/>
    <n v="0.27900000000000003"/>
    <n v="0"/>
    <n v="0"/>
    <n v="31"/>
    <n v="31"/>
    <n v="0"/>
    <n v="0"/>
    <n v="100"/>
    <s v="Consolidation"/>
    <s v="CO2e and Base Measure"/>
    <n v="100"/>
    <n v="100"/>
    <n v="0.28000000000000003"/>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4-01T00:00:00"/>
    <s v="FY21"/>
    <s v="t"/>
    <n v="0"/>
    <n v="0"/>
    <n v="0.27"/>
    <n v="0.27"/>
    <n v="0"/>
    <n v="0"/>
    <n v="30"/>
    <n v="30"/>
    <n v="0"/>
    <n v="0"/>
    <n v="100"/>
    <s v="Consolidation"/>
    <s v="CO2e and Base Measure"/>
    <n v="100"/>
    <n v="100"/>
    <n v="0.27"/>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5-01T00:00:00"/>
    <s v="FY21"/>
    <s v="t"/>
    <n v="0"/>
    <n v="0"/>
    <n v="0.27900000000000003"/>
    <n v="0.27900000000000003"/>
    <n v="0"/>
    <n v="0"/>
    <n v="31"/>
    <n v="31"/>
    <n v="0"/>
    <n v="0"/>
    <n v="100"/>
    <s v="Consolidation"/>
    <s v="CO2e and Base Measure"/>
    <n v="100"/>
    <n v="100"/>
    <n v="0.28000000000000003"/>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07-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08-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09-01T00:00:00"/>
    <s v="FY21"/>
    <s v="t"/>
    <n v="0.86199999999999999"/>
    <n v="0"/>
    <n v="0"/>
    <n v="0.86199999999999999"/>
    <n v="30"/>
    <n v="0"/>
    <n v="0"/>
    <n v="30"/>
    <n v="100"/>
    <n v="0"/>
    <n v="0"/>
    <s v="Consolidation"/>
    <s v="CO2e and Base Measure"/>
    <n v="100"/>
    <n v="100"/>
    <n v="0.86"/>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10-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11-01T00:00:00"/>
    <s v="FY21"/>
    <s v="t"/>
    <n v="0.86199999999999999"/>
    <n v="0"/>
    <n v="0"/>
    <n v="0.86199999999999999"/>
    <n v="30"/>
    <n v="0"/>
    <n v="0"/>
    <n v="30"/>
    <n v="100"/>
    <n v="0"/>
    <n v="0"/>
    <s v="Consolidation"/>
    <s v="CO2e and Base Measure"/>
    <n v="100"/>
    <n v="100"/>
    <n v="0.86"/>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12-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1-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2-01T00:00:00"/>
    <s v="FY21"/>
    <s v="t"/>
    <n v="0.80449999999999999"/>
    <n v="0"/>
    <n v="0"/>
    <n v="0.80449999999999999"/>
    <n v="28"/>
    <n v="0"/>
    <n v="0"/>
    <n v="28"/>
    <n v="100"/>
    <n v="0"/>
    <n v="0"/>
    <s v="Consolidation"/>
    <s v="CO2e and Base Measure"/>
    <n v="100"/>
    <n v="100"/>
    <n v="0.8"/>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3-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4-01T00:00:00"/>
    <s v="FY21"/>
    <s v="t"/>
    <n v="0.86199999999999999"/>
    <n v="0"/>
    <n v="0"/>
    <n v="0.86199999999999999"/>
    <n v="30"/>
    <n v="0"/>
    <n v="0"/>
    <n v="30"/>
    <n v="100"/>
    <n v="0"/>
    <n v="0"/>
    <s v="Consolidation"/>
    <s v="CO2e and Base Measure"/>
    <n v="100"/>
    <n v="100"/>
    <n v="0.86"/>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5-01T00:00:00"/>
    <s v="FY21"/>
    <s v="t"/>
    <n v="0"/>
    <n v="0"/>
    <n v="0.89280000000000004"/>
    <n v="0.89280000000000004"/>
    <n v="0"/>
    <n v="0"/>
    <n v="31"/>
    <n v="31"/>
    <n v="0"/>
    <n v="0"/>
    <n v="10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07-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08-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09-01T00:00:00"/>
    <s v="FY21"/>
    <s v="t"/>
    <n v="3.4201000000000001"/>
    <n v="0"/>
    <n v="0"/>
    <n v="3.4201000000000001"/>
    <n v="30"/>
    <n v="0"/>
    <n v="0"/>
    <n v="30"/>
    <n v="100"/>
    <n v="0"/>
    <n v="0"/>
    <s v="Consolidation"/>
    <s v="CO2e and Base Measure"/>
    <n v="100"/>
    <n v="100"/>
    <n v="3.42"/>
    <m/>
    <m/>
    <m/>
    <m/>
    <m/>
    <n v="4.4461000000000004"/>
    <m/>
    <n v="4.4461000000000004"/>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10-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11-01T00:00:00"/>
    <s v="FY21"/>
    <s v="t"/>
    <n v="3.4201000000000001"/>
    <n v="0"/>
    <n v="0"/>
    <n v="3.4201000000000001"/>
    <n v="30"/>
    <n v="0"/>
    <n v="0"/>
    <n v="30"/>
    <n v="100"/>
    <n v="0"/>
    <n v="0"/>
    <s v="Consolidation"/>
    <s v="CO2e and Base Measure"/>
    <n v="100"/>
    <n v="100"/>
    <n v="3.42"/>
    <m/>
    <m/>
    <m/>
    <m/>
    <m/>
    <n v="4.4461000000000004"/>
    <m/>
    <n v="4.4461000000000004"/>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12-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1-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2-01T00:00:00"/>
    <s v="FY21"/>
    <s v="t"/>
    <n v="3.1920999999999999"/>
    <n v="0"/>
    <n v="0"/>
    <n v="3.1920999999999999"/>
    <n v="28"/>
    <n v="0"/>
    <n v="0"/>
    <n v="28"/>
    <n v="100"/>
    <n v="0"/>
    <n v="0"/>
    <s v="Consolidation"/>
    <s v="CO2e and Base Measure"/>
    <n v="100"/>
    <n v="100"/>
    <n v="3.19"/>
    <m/>
    <m/>
    <m/>
    <m/>
    <m/>
    <n v="4.1497000000000002"/>
    <m/>
    <n v="4.1497000000000002"/>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3-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4-01T00:00:00"/>
    <s v="FY21"/>
    <s v="t"/>
    <n v="3.4201000000000001"/>
    <n v="0"/>
    <n v="0"/>
    <n v="3.4201000000000001"/>
    <n v="30"/>
    <n v="0"/>
    <n v="0"/>
    <n v="30"/>
    <n v="100"/>
    <n v="0"/>
    <n v="0"/>
    <s v="Consolidation"/>
    <s v="CO2e and Base Measure"/>
    <n v="100"/>
    <n v="100"/>
    <n v="3.42"/>
    <m/>
    <m/>
    <m/>
    <m/>
    <m/>
    <n v="4.4461000000000004"/>
    <m/>
    <n v="4.4461000000000004"/>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5-01T00:00:00"/>
    <s v="FY21"/>
    <s v="t"/>
    <n v="0"/>
    <n v="0"/>
    <n v="3.5464000000000002"/>
    <n v="3.5464000000000002"/>
    <n v="0"/>
    <n v="0"/>
    <n v="31"/>
    <n v="31"/>
    <n v="0"/>
    <n v="0"/>
    <n v="100"/>
    <s v="Consolidation"/>
    <s v="CO2e and Base Measure"/>
    <n v="100"/>
    <n v="100"/>
    <n v="3.55"/>
    <m/>
    <m/>
    <m/>
    <m/>
    <m/>
    <n v="4.6102999999999996"/>
    <m/>
    <n v="4.6102999999999996"/>
    <m/>
    <m/>
    <m/>
    <m/>
    <m/>
    <s v="AUD"/>
    <s v="13644422Waste - General [t] - Scope 3"/>
    <n v="13644422"/>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07-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08-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09-01T00:00:00"/>
    <s v="FY21"/>
    <s v="t"/>
    <n v="0.1694"/>
    <n v="0"/>
    <n v="0"/>
    <n v="0.1694"/>
    <n v="30"/>
    <n v="0"/>
    <n v="0"/>
    <n v="30"/>
    <n v="100"/>
    <n v="0"/>
    <n v="0"/>
    <s v="Consolidation"/>
    <s v="CO2e and Base Measure"/>
    <n v="100"/>
    <n v="100"/>
    <n v="0.17"/>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10-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11-01T00:00:00"/>
    <s v="FY21"/>
    <s v="t"/>
    <n v="0.1694"/>
    <n v="0"/>
    <n v="0"/>
    <n v="0.1694"/>
    <n v="30"/>
    <n v="0"/>
    <n v="0"/>
    <n v="30"/>
    <n v="100"/>
    <n v="0"/>
    <n v="0"/>
    <s v="Consolidation"/>
    <s v="CO2e and Base Measure"/>
    <n v="100"/>
    <n v="100"/>
    <n v="0.17"/>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12-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1-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2-01T00:00:00"/>
    <s v="FY21"/>
    <s v="t"/>
    <n v="0.15809999999999999"/>
    <n v="0"/>
    <n v="0"/>
    <n v="0.15809999999999999"/>
    <n v="28"/>
    <n v="0"/>
    <n v="0"/>
    <n v="28"/>
    <n v="100"/>
    <n v="0"/>
    <n v="0"/>
    <s v="Consolidation"/>
    <s v="CO2e and Base Measure"/>
    <n v="100"/>
    <n v="100"/>
    <n v="0.16"/>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3-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4-01T00:00:00"/>
    <s v="FY21"/>
    <s v="t"/>
    <n v="0.1694"/>
    <n v="0"/>
    <n v="0"/>
    <n v="0.1694"/>
    <n v="30"/>
    <n v="0"/>
    <n v="0"/>
    <n v="30"/>
    <n v="100"/>
    <n v="0"/>
    <n v="0"/>
    <s v="Consolidation"/>
    <s v="CO2e and Base Measure"/>
    <n v="100"/>
    <n v="100"/>
    <n v="0.17"/>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5-01T00:00:00"/>
    <s v="FY21"/>
    <s v="t"/>
    <n v="0"/>
    <n v="0"/>
    <n v="0.1767"/>
    <n v="0.1767"/>
    <n v="0"/>
    <n v="0"/>
    <n v="31"/>
    <n v="31"/>
    <n v="0"/>
    <n v="0"/>
    <n v="10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07-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08-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09-01T00:00:00"/>
    <s v="FY21"/>
    <s v="kL"/>
    <n v="8.5000000000000006E-2"/>
    <n v="0"/>
    <n v="0"/>
    <n v="8.5000000000000006E-2"/>
    <n v="30"/>
    <n v="0"/>
    <n v="0"/>
    <n v="30"/>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10-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11-01T00:00:00"/>
    <s v="FY21"/>
    <s v="kL"/>
    <n v="8.5000000000000006E-2"/>
    <n v="0"/>
    <n v="0"/>
    <n v="8.5000000000000006E-2"/>
    <n v="30"/>
    <n v="0"/>
    <n v="0"/>
    <n v="30"/>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12-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1-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2-01T00:00:00"/>
    <s v="FY21"/>
    <s v="kL"/>
    <n v="7.9299999999999995E-2"/>
    <n v="0"/>
    <n v="0"/>
    <n v="7.9299999999999995E-2"/>
    <n v="28"/>
    <n v="0"/>
    <n v="0"/>
    <n v="28"/>
    <n v="100"/>
    <n v="0"/>
    <n v="0"/>
    <s v="Consolidation"/>
    <s v="CO2e and Base Measure"/>
    <n v="100"/>
    <n v="100"/>
    <n v="0.08"/>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3-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4-01T00:00:00"/>
    <s v="FY21"/>
    <s v="kL"/>
    <n v="8.5000000000000006E-2"/>
    <n v="0"/>
    <n v="0"/>
    <n v="8.5000000000000006E-2"/>
    <n v="30"/>
    <n v="0"/>
    <n v="0"/>
    <n v="30"/>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5-01T00:00:00"/>
    <s v="FY21"/>
    <s v="kL"/>
    <n v="0"/>
    <n v="0"/>
    <n v="8.6800000000000002E-2"/>
    <n v="8.6800000000000002E-2"/>
    <n v="0"/>
    <n v="0"/>
    <n v="31"/>
    <n v="31"/>
    <n v="0"/>
    <n v="0"/>
    <n v="100"/>
    <s v="Consolidation"/>
    <s v="CO2e and Base Measure"/>
    <n v="100"/>
    <n v="100"/>
    <n v="0.09"/>
    <m/>
    <m/>
    <m/>
    <m/>
    <m/>
    <m/>
    <m/>
    <m/>
    <m/>
    <m/>
    <m/>
    <m/>
    <m/>
    <s v="AUD"/>
    <s v="13644424Wastewater [kL]"/>
    <n v="13644424"/>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07-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08-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09-01T00:00:00"/>
    <s v="FY21"/>
    <s v="t"/>
    <n v="0"/>
    <n v="7.3999999999999996E-2"/>
    <n v="0"/>
    <n v="7.3999999999999996E-2"/>
    <n v="0"/>
    <n v="30"/>
    <n v="0"/>
    <n v="30"/>
    <n v="0"/>
    <n v="100"/>
    <n v="0"/>
    <s v="Consolidation"/>
    <s v="CO2e and Base Measure"/>
    <n v="100"/>
    <n v="100"/>
    <n v="7.0000000000000007E-2"/>
    <m/>
    <m/>
    <m/>
    <m/>
    <m/>
    <n v="9.6199999999999994E-2"/>
    <m/>
    <n v="9.6199999999999994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10-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11-01T00:00:00"/>
    <s v="FY21"/>
    <s v="t"/>
    <n v="0"/>
    <n v="7.3999999999999996E-2"/>
    <n v="0"/>
    <n v="7.3999999999999996E-2"/>
    <n v="0"/>
    <n v="30"/>
    <n v="0"/>
    <n v="30"/>
    <n v="0"/>
    <n v="100"/>
    <n v="0"/>
    <s v="Consolidation"/>
    <s v="CO2e and Base Measure"/>
    <n v="100"/>
    <n v="100"/>
    <n v="7.0000000000000007E-2"/>
    <m/>
    <m/>
    <m/>
    <m/>
    <m/>
    <n v="9.6199999999999994E-2"/>
    <m/>
    <n v="9.6199999999999994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12-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1-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2-01T00:00:00"/>
    <s v="FY21"/>
    <s v="t"/>
    <n v="0"/>
    <n v="6.9099999999999995E-2"/>
    <n v="0"/>
    <n v="6.9099999999999995E-2"/>
    <n v="0"/>
    <n v="28"/>
    <n v="0"/>
    <n v="28"/>
    <n v="0"/>
    <n v="100"/>
    <n v="0"/>
    <s v="Consolidation"/>
    <s v="CO2e and Base Measure"/>
    <n v="100"/>
    <n v="100"/>
    <n v="7.0000000000000007E-2"/>
    <m/>
    <m/>
    <m/>
    <m/>
    <m/>
    <n v="8.9800000000000005E-2"/>
    <m/>
    <n v="8.98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3-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4-01T00:00:00"/>
    <s v="FY21"/>
    <s v="t"/>
    <n v="0"/>
    <n v="7.3999999999999996E-2"/>
    <n v="0"/>
    <n v="7.3999999999999996E-2"/>
    <n v="0"/>
    <n v="30"/>
    <n v="0"/>
    <n v="30"/>
    <n v="0"/>
    <n v="100"/>
    <n v="0"/>
    <s v="Consolidation"/>
    <s v="CO2e and Base Measure"/>
    <n v="100"/>
    <n v="100"/>
    <n v="7.0000000000000007E-2"/>
    <m/>
    <m/>
    <m/>
    <m/>
    <m/>
    <n v="9.6199999999999994E-2"/>
    <m/>
    <n v="9.6199999999999994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5-01T00:00:00"/>
    <s v="FY21"/>
    <s v="t"/>
    <n v="0"/>
    <n v="0"/>
    <n v="7.7499999999999999E-2"/>
    <n v="7.7499999999999999E-2"/>
    <n v="0"/>
    <n v="0"/>
    <n v="31"/>
    <n v="31"/>
    <n v="0"/>
    <n v="0"/>
    <n v="100"/>
    <s v="Consolidation"/>
    <s v="CO2e and Base Measure"/>
    <n v="100"/>
    <n v="100"/>
    <n v="0.08"/>
    <m/>
    <m/>
    <m/>
    <m/>
    <m/>
    <n v="0.1008"/>
    <m/>
    <n v="0.1008"/>
    <m/>
    <m/>
    <m/>
    <m/>
    <m/>
    <s v="AUD"/>
    <s v="13644531Waste - General [t] - Scope 3"/>
    <n v="13644531"/>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07-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08-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09-01T00:00:00"/>
    <s v="FY21"/>
    <s v="t"/>
    <n v="0.71050000000000002"/>
    <n v="0"/>
    <n v="0"/>
    <n v="0.71050000000000002"/>
    <n v="30"/>
    <n v="0"/>
    <n v="0"/>
    <n v="30"/>
    <n v="100"/>
    <n v="0"/>
    <n v="0"/>
    <s v="Consolidation"/>
    <s v="CO2e and Base Measure"/>
    <n v="100"/>
    <n v="100"/>
    <n v="0.71"/>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10-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11-01T00:00:00"/>
    <s v="FY21"/>
    <s v="t"/>
    <n v="0.71050000000000002"/>
    <n v="0"/>
    <n v="0"/>
    <n v="0.71050000000000002"/>
    <n v="30"/>
    <n v="0"/>
    <n v="0"/>
    <n v="30"/>
    <n v="100"/>
    <n v="0"/>
    <n v="0"/>
    <s v="Consolidation"/>
    <s v="CO2e and Base Measure"/>
    <n v="100"/>
    <n v="100"/>
    <n v="0.71"/>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12-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1-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2-01T00:00:00"/>
    <s v="FY21"/>
    <s v="t"/>
    <n v="0.66320000000000001"/>
    <n v="0"/>
    <n v="0"/>
    <n v="0.66320000000000001"/>
    <n v="28"/>
    <n v="0"/>
    <n v="0"/>
    <n v="28"/>
    <n v="100"/>
    <n v="0"/>
    <n v="0"/>
    <s v="Consolidation"/>
    <s v="CO2e and Base Measure"/>
    <n v="100"/>
    <n v="100"/>
    <n v="0.66"/>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3-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4-01T00:00:00"/>
    <s v="FY21"/>
    <s v="t"/>
    <n v="0.71050000000000002"/>
    <n v="0"/>
    <n v="0"/>
    <n v="0.71050000000000002"/>
    <n v="30"/>
    <n v="0"/>
    <n v="0"/>
    <n v="30"/>
    <n v="100"/>
    <n v="0"/>
    <n v="0"/>
    <s v="Consolidation"/>
    <s v="CO2e and Base Measure"/>
    <n v="100"/>
    <n v="100"/>
    <n v="0.71"/>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5-01T00:00:00"/>
    <s v="FY21"/>
    <s v="t"/>
    <n v="0"/>
    <n v="0"/>
    <n v="0.73780000000000001"/>
    <n v="0.73780000000000001"/>
    <n v="0"/>
    <n v="0"/>
    <n v="31"/>
    <n v="31"/>
    <n v="0"/>
    <n v="0"/>
    <n v="100"/>
    <s v="Consolidation"/>
    <s v="CO2e and Base Measure"/>
    <n v="100"/>
    <n v="100"/>
    <n v="0.74"/>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07-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08-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09-01T00:00:00"/>
    <s v="FY21"/>
    <s v="t"/>
    <n v="0"/>
    <n v="0.29409999999999997"/>
    <n v="0"/>
    <n v="0.29409999999999997"/>
    <n v="0"/>
    <n v="30"/>
    <n v="0"/>
    <n v="30"/>
    <n v="0"/>
    <n v="100"/>
    <n v="0"/>
    <s v="Consolidation"/>
    <s v="CO2e and Base Measure"/>
    <n v="100"/>
    <n v="100"/>
    <n v="0.28999999999999998"/>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10-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11-01T00:00:00"/>
    <s v="FY21"/>
    <s v="t"/>
    <n v="0"/>
    <n v="0.29409999999999997"/>
    <n v="0"/>
    <n v="0.29409999999999997"/>
    <n v="0"/>
    <n v="30"/>
    <n v="0"/>
    <n v="30"/>
    <n v="0"/>
    <n v="100"/>
    <n v="0"/>
    <s v="Consolidation"/>
    <s v="CO2e and Base Measure"/>
    <n v="100"/>
    <n v="100"/>
    <n v="0.28999999999999998"/>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12-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1-01-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1-02-01T00:00:00"/>
    <s v="FY21"/>
    <s v="t"/>
    <n v="0"/>
    <n v="0.27450000000000002"/>
    <n v="0"/>
    <n v="0.27450000000000002"/>
    <n v="0"/>
    <n v="28"/>
    <n v="0"/>
    <n v="28"/>
    <n v="0"/>
    <n v="100"/>
    <n v="0"/>
    <s v="Consolidation"/>
    <s v="CO2e and Base Measure"/>
    <n v="100"/>
    <n v="100"/>
    <n v="0.27"/>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1-03-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1-04-01T00:00:00"/>
    <s v="FY21"/>
    <s v="t"/>
    <n v="0"/>
    <n v="0.29409999999999997"/>
    <n v="0"/>
    <n v="0.29409999999999997"/>
    <n v="0"/>
    <n v="30"/>
    <n v="0"/>
    <n v="30"/>
    <n v="0"/>
    <n v="100"/>
    <n v="0"/>
    <s v="Consolidation"/>
    <s v="CO2e and Base Measure"/>
    <n v="100"/>
    <n v="100"/>
    <n v="0.28999999999999998"/>
    <m/>
    <m/>
    <m/>
    <m/>
    <m/>
    <m/>
    <m/>
    <m/>
    <m/>
    <m/>
    <m/>
    <m/>
    <m/>
    <s v="AUD"/>
    <s v="13644533Waste Recycled - Other [t]"/>
    <n v="13644533"/>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07-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08-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09-01T00:00:00"/>
    <s v="FY21"/>
    <s v="t"/>
    <n v="0"/>
    <n v="8.2900000000000001E-2"/>
    <n v="0"/>
    <n v="8.2900000000000001E-2"/>
    <n v="0"/>
    <n v="30"/>
    <n v="0"/>
    <n v="30"/>
    <n v="0"/>
    <n v="100"/>
    <n v="0"/>
    <s v="Consolidation"/>
    <s v="CO2e and Base Measure"/>
    <n v="100"/>
    <n v="100"/>
    <n v="0.08"/>
    <m/>
    <m/>
    <m/>
    <m/>
    <m/>
    <n v="0.10780000000000001"/>
    <m/>
    <n v="0.10780000000000001"/>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10-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11-01T00:00:00"/>
    <s v="FY21"/>
    <s v="t"/>
    <n v="0"/>
    <n v="8.2900000000000001E-2"/>
    <n v="0"/>
    <n v="8.2900000000000001E-2"/>
    <n v="0"/>
    <n v="30"/>
    <n v="0"/>
    <n v="30"/>
    <n v="0"/>
    <n v="100"/>
    <n v="0"/>
    <s v="Consolidation"/>
    <s v="CO2e and Base Measure"/>
    <n v="100"/>
    <n v="100"/>
    <n v="0.08"/>
    <m/>
    <m/>
    <m/>
    <m/>
    <m/>
    <n v="0.10780000000000001"/>
    <m/>
    <n v="0.10780000000000001"/>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12-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1-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2-01T00:00:00"/>
    <s v="FY21"/>
    <s v="t"/>
    <n v="0"/>
    <n v="7.7399999999999997E-2"/>
    <n v="0"/>
    <n v="7.7399999999999997E-2"/>
    <n v="0"/>
    <n v="28"/>
    <n v="0"/>
    <n v="28"/>
    <n v="0"/>
    <n v="100"/>
    <n v="0"/>
    <s v="Consolidation"/>
    <s v="CO2e and Base Measure"/>
    <n v="100"/>
    <n v="100"/>
    <n v="0.08"/>
    <m/>
    <m/>
    <m/>
    <m/>
    <m/>
    <n v="0.10059999999999999"/>
    <m/>
    <n v="0.10059999999999999"/>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3-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4-01T00:00:00"/>
    <s v="FY21"/>
    <s v="t"/>
    <n v="0"/>
    <n v="8.2900000000000001E-2"/>
    <n v="0"/>
    <n v="8.2900000000000001E-2"/>
    <n v="0"/>
    <n v="30"/>
    <n v="0"/>
    <n v="30"/>
    <n v="0"/>
    <n v="100"/>
    <n v="0"/>
    <s v="Consolidation"/>
    <s v="CO2e and Base Measure"/>
    <n v="100"/>
    <n v="100"/>
    <n v="0.08"/>
    <m/>
    <m/>
    <m/>
    <m/>
    <m/>
    <n v="0.10780000000000001"/>
    <m/>
    <n v="0.10780000000000001"/>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5-01T00:00:00"/>
    <s v="FY21"/>
    <s v="t"/>
    <n v="0"/>
    <n v="0"/>
    <n v="8.6800000000000002E-2"/>
    <n v="8.6800000000000002E-2"/>
    <n v="0"/>
    <n v="0"/>
    <n v="31"/>
    <n v="31"/>
    <n v="0"/>
    <n v="0"/>
    <n v="100"/>
    <s v="Consolidation"/>
    <s v="CO2e and Base Measure"/>
    <n v="100"/>
    <n v="100"/>
    <n v="0.09"/>
    <m/>
    <m/>
    <m/>
    <m/>
    <m/>
    <n v="0.1128"/>
    <m/>
    <n v="0.1128"/>
    <m/>
    <m/>
    <m/>
    <m/>
    <m/>
    <s v="AUD"/>
    <s v="13644534Waste - General [t] - Scope 3"/>
    <n v="13644534"/>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07-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08-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09-01T00:00:00"/>
    <s v="FY21"/>
    <s v="t"/>
    <n v="1.1861999999999999"/>
    <n v="0"/>
    <n v="0"/>
    <n v="1.1861999999999999"/>
    <n v="30"/>
    <n v="0"/>
    <n v="0"/>
    <n v="30"/>
    <n v="100"/>
    <n v="0"/>
    <n v="0"/>
    <s v="Consolidation"/>
    <s v="CO2e and Base Measure"/>
    <n v="100"/>
    <n v="100"/>
    <n v="1.19"/>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10-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11-01T00:00:00"/>
    <s v="FY21"/>
    <s v="t"/>
    <n v="1.1861999999999999"/>
    <n v="0"/>
    <n v="0"/>
    <n v="1.1861999999999999"/>
    <n v="30"/>
    <n v="0"/>
    <n v="0"/>
    <n v="30"/>
    <n v="100"/>
    <n v="0"/>
    <n v="0"/>
    <s v="Consolidation"/>
    <s v="CO2e and Base Measure"/>
    <n v="100"/>
    <n v="100"/>
    <n v="1.19"/>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12-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1-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2-01T00:00:00"/>
    <s v="FY21"/>
    <s v="t"/>
    <n v="1.1071"/>
    <n v="0"/>
    <n v="0"/>
    <n v="1.1071"/>
    <n v="28"/>
    <n v="0"/>
    <n v="0"/>
    <n v="28"/>
    <n v="100"/>
    <n v="0"/>
    <n v="0"/>
    <s v="Consolidation"/>
    <s v="CO2e and Base Measure"/>
    <n v="100"/>
    <n v="100"/>
    <n v="1.1100000000000001"/>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3-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4-01T00:00:00"/>
    <s v="FY21"/>
    <s v="t"/>
    <n v="1.1861999999999999"/>
    <n v="0"/>
    <n v="0"/>
    <n v="1.1861999999999999"/>
    <n v="30"/>
    <n v="0"/>
    <n v="0"/>
    <n v="30"/>
    <n v="100"/>
    <n v="0"/>
    <n v="0"/>
    <s v="Consolidation"/>
    <s v="CO2e and Base Measure"/>
    <n v="100"/>
    <n v="100"/>
    <n v="1.19"/>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5-01T00:00:00"/>
    <s v="FY21"/>
    <s v="t"/>
    <n v="0"/>
    <n v="0"/>
    <n v="1.2306999999999999"/>
    <n v="1.2306999999999999"/>
    <n v="0"/>
    <n v="0"/>
    <n v="31"/>
    <n v="31"/>
    <n v="0"/>
    <n v="0"/>
    <n v="10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07-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08-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09-01T00:00:00"/>
    <s v="FY21"/>
    <s v="t"/>
    <n v="0"/>
    <n v="0.33260000000000001"/>
    <n v="0"/>
    <n v="0.33260000000000001"/>
    <n v="0"/>
    <n v="30"/>
    <n v="0"/>
    <n v="30"/>
    <n v="0"/>
    <n v="100"/>
    <n v="0"/>
    <s v="Consolidation"/>
    <s v="CO2e and Base Measure"/>
    <n v="100"/>
    <n v="100"/>
    <n v="0.33"/>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10-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11-01T00:00:00"/>
    <s v="FY21"/>
    <s v="t"/>
    <n v="0"/>
    <n v="0.33260000000000001"/>
    <n v="0"/>
    <n v="0.33260000000000001"/>
    <n v="0"/>
    <n v="30"/>
    <n v="0"/>
    <n v="30"/>
    <n v="0"/>
    <n v="100"/>
    <n v="0"/>
    <s v="Consolidation"/>
    <s v="CO2e and Base Measure"/>
    <n v="100"/>
    <n v="100"/>
    <n v="0.33"/>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12-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1-01-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1-02-01T00:00:00"/>
    <s v="FY21"/>
    <s v="t"/>
    <n v="0"/>
    <n v="0.31040000000000001"/>
    <n v="0"/>
    <n v="0.31040000000000001"/>
    <n v="0"/>
    <n v="28"/>
    <n v="0"/>
    <n v="28"/>
    <n v="0"/>
    <n v="100"/>
    <n v="0"/>
    <s v="Consolidation"/>
    <s v="CO2e and Base Measure"/>
    <n v="100"/>
    <n v="100"/>
    <n v="0.31"/>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1-03-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1-04-01T00:00:00"/>
    <s v="FY21"/>
    <s v="t"/>
    <n v="0"/>
    <n v="0.33260000000000001"/>
    <n v="0"/>
    <n v="0.33260000000000001"/>
    <n v="0"/>
    <n v="30"/>
    <n v="0"/>
    <n v="30"/>
    <n v="0"/>
    <n v="100"/>
    <n v="0"/>
    <s v="Consolidation"/>
    <s v="CO2e and Base Measure"/>
    <n v="100"/>
    <n v="100"/>
    <n v="0.33"/>
    <m/>
    <m/>
    <m/>
    <m/>
    <m/>
    <m/>
    <m/>
    <m/>
    <m/>
    <m/>
    <m/>
    <m/>
    <m/>
    <s v="AUD"/>
    <s v="13644536Waste Recycled - Other [t]"/>
    <n v="13644536"/>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07-01T00:00:00"/>
    <s v="FY21"/>
    <s v="t"/>
    <n v="2.7E-2"/>
    <n v="0"/>
    <n v="0"/>
    <n v="2.7E-2"/>
    <n v="2"/>
    <n v="0"/>
    <n v="0"/>
    <n v="2"/>
    <n v="100"/>
    <n v="0"/>
    <n v="0"/>
    <s v="Consolidation"/>
    <s v="CO2e and Base Measure"/>
    <n v="100"/>
    <n v="100"/>
    <n v="0.03"/>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08-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09-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10-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11-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12-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1-01T00:00:00"/>
    <s v="FY21"/>
    <s v="t"/>
    <n v="0"/>
    <n v="0"/>
    <n v="1.55E-2"/>
    <n v="1.55E-2"/>
    <n v="0"/>
    <n v="0"/>
    <n v="31"/>
    <n v="31"/>
    <n v="0"/>
    <n v="0"/>
    <n v="100"/>
    <s v="Consolidation"/>
    <s v="CO2e and Base Measure"/>
    <n v="100"/>
    <n v="100"/>
    <n v="0.02"/>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2-01T00:00:00"/>
    <s v="FY21"/>
    <s v="t"/>
    <n v="0"/>
    <n v="0"/>
    <n v="1.4E-2"/>
    <n v="1.4E-2"/>
    <n v="0"/>
    <n v="0"/>
    <n v="28"/>
    <n v="28"/>
    <n v="0"/>
    <n v="0"/>
    <n v="10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3-01T00:00:00"/>
    <s v="FY21"/>
    <s v="t"/>
    <n v="0"/>
    <n v="0"/>
    <n v="1.55E-2"/>
    <n v="1.55E-2"/>
    <n v="0"/>
    <n v="0"/>
    <n v="31"/>
    <n v="31"/>
    <n v="0"/>
    <n v="0"/>
    <n v="100"/>
    <s v="Consolidation"/>
    <s v="CO2e and Base Measure"/>
    <n v="100"/>
    <n v="100"/>
    <n v="0.02"/>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5-01T00:00:00"/>
    <s v="FY21"/>
    <s v="t"/>
    <n v="0"/>
    <n v="0"/>
    <n v="1.55E-2"/>
    <n v="1.55E-2"/>
    <n v="0"/>
    <n v="0"/>
    <n v="31"/>
    <n v="31"/>
    <n v="0"/>
    <n v="0"/>
    <n v="100"/>
    <s v="Consolidation"/>
    <s v="CO2e and Base Measure"/>
    <n v="100"/>
    <n v="100"/>
    <n v="0.02"/>
    <m/>
    <m/>
    <m/>
    <m/>
    <m/>
    <m/>
    <m/>
    <m/>
    <m/>
    <m/>
    <m/>
    <m/>
    <m/>
    <s v="AUD"/>
    <s v="13566522Waste Recycled - Paper and Cardboard [t]"/>
    <n v="13566522"/>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07-01T00:00:00"/>
    <s v="FY21"/>
    <s v="t"/>
    <n v="1.35E-2"/>
    <n v="0"/>
    <n v="0"/>
    <n v="1.35E-2"/>
    <n v="1"/>
    <n v="0"/>
    <n v="0"/>
    <n v="1"/>
    <n v="100"/>
    <n v="0"/>
    <n v="0"/>
    <s v="Consolidation"/>
    <s v="CO2e and Base Measure"/>
    <n v="100"/>
    <n v="100"/>
    <n v="0.01"/>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08-01T00:00:00"/>
    <s v="FY21"/>
    <s v="t"/>
    <n v="1.35E-2"/>
    <n v="0"/>
    <n v="0"/>
    <n v="1.35E-2"/>
    <n v="1"/>
    <n v="0"/>
    <n v="0"/>
    <n v="1"/>
    <n v="100"/>
    <n v="0"/>
    <n v="0"/>
    <s v="Consolidation"/>
    <s v="CO2e and Base Measure"/>
    <n v="100"/>
    <n v="100"/>
    <n v="0.01"/>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09-01T00:00:00"/>
    <s v="FY21"/>
    <s v="t"/>
    <n v="1.35E-2"/>
    <n v="0"/>
    <n v="0"/>
    <n v="1.35E-2"/>
    <n v="1"/>
    <n v="0"/>
    <n v="0"/>
    <n v="1"/>
    <n v="100"/>
    <n v="0"/>
    <n v="0"/>
    <s v="Consolidation"/>
    <s v="CO2e and Base Measure"/>
    <n v="100"/>
    <n v="100"/>
    <n v="0.01"/>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10-01T00:00:00"/>
    <s v="FY21"/>
    <s v="t"/>
    <n v="1.35E-2"/>
    <n v="0"/>
    <n v="0"/>
    <n v="1.35E-2"/>
    <n v="1"/>
    <n v="0"/>
    <n v="0"/>
    <n v="1"/>
    <n v="100"/>
    <n v="0"/>
    <n v="0"/>
    <s v="Consolidation"/>
    <s v="CO2e and Base Measure"/>
    <n v="100"/>
    <n v="100"/>
    <n v="0.01"/>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11-01T00:00:00"/>
    <s v="FY21"/>
    <s v="t"/>
    <n v="2.7E-2"/>
    <n v="0"/>
    <n v="0"/>
    <n v="2.7E-2"/>
    <n v="1"/>
    <n v="0"/>
    <n v="0"/>
    <n v="1"/>
    <n v="100"/>
    <n v="0"/>
    <n v="0"/>
    <s v="Consolidation"/>
    <s v="CO2e and Base Measure"/>
    <n v="100"/>
    <n v="100"/>
    <n v="0.03"/>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12-01T00:00:00"/>
    <s v="FY21"/>
    <s v="t"/>
    <n v="2.7E-2"/>
    <n v="0"/>
    <n v="0"/>
    <n v="2.7E-2"/>
    <n v="1"/>
    <n v="0"/>
    <n v="0"/>
    <n v="1"/>
    <n v="100"/>
    <n v="0"/>
    <n v="0"/>
    <s v="Consolidation"/>
    <s v="CO2e and Base Measure"/>
    <n v="100"/>
    <n v="100"/>
    <n v="0.03"/>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49Waste Recycled - Paper and Cardboard [t]"/>
    <n v="13566449"/>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0-07-01T00:00:00"/>
    <s v="FY21"/>
    <s v="t"/>
    <n v="3.1859999999999999"/>
    <n v="0"/>
    <n v="0"/>
    <n v="3.1859999999999999"/>
    <n v="4"/>
    <n v="0"/>
    <n v="0"/>
    <n v="4"/>
    <n v="100"/>
    <n v="0"/>
    <n v="0"/>
    <s v="Consolidation"/>
    <s v="CO2e and Base Measure"/>
    <n v="100"/>
    <n v="100"/>
    <n v="3.19"/>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0-08-01T00:00:00"/>
    <s v="FY21"/>
    <s v="t"/>
    <n v="3.1859999999999999"/>
    <n v="0"/>
    <n v="0"/>
    <n v="3.1859999999999999"/>
    <n v="4"/>
    <n v="0"/>
    <n v="0"/>
    <n v="4"/>
    <n v="100"/>
    <n v="0"/>
    <n v="0"/>
    <s v="Consolidation"/>
    <s v="CO2e and Base Measure"/>
    <n v="100"/>
    <n v="100"/>
    <n v="3.19"/>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0-09-01T00:00:00"/>
    <s v="FY21"/>
    <s v="t"/>
    <n v="0.11799999999999999"/>
    <n v="0"/>
    <n v="0"/>
    <n v="0.11799999999999999"/>
    <n v="2"/>
    <n v="0"/>
    <n v="0"/>
    <n v="2"/>
    <n v="100"/>
    <n v="0"/>
    <n v="0"/>
    <s v="Consolidation"/>
    <s v="CO2e and Base Measure"/>
    <n v="100"/>
    <n v="100"/>
    <n v="0.12"/>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0-12-01T00:00:00"/>
    <s v="FY21"/>
    <s v="t"/>
    <n v="3.1859999999999999"/>
    <n v="0"/>
    <n v="0"/>
    <n v="3.1859999999999999"/>
    <n v="4"/>
    <n v="0"/>
    <n v="0"/>
    <n v="4"/>
    <n v="100"/>
    <n v="0"/>
    <n v="0"/>
    <s v="Consolidation"/>
    <s v="CO2e and Base Measure"/>
    <n v="100"/>
    <n v="100"/>
    <n v="3.19"/>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1-01T00:00:00"/>
    <s v="FY21"/>
    <s v="t"/>
    <n v="0"/>
    <n v="0"/>
    <n v="2.0305"/>
    <n v="2.0305"/>
    <n v="0"/>
    <n v="0"/>
    <n v="31"/>
    <n v="31"/>
    <n v="0"/>
    <n v="0"/>
    <n v="100"/>
    <s v="Consolidation"/>
    <s v="CO2e and Base Measure"/>
    <n v="100"/>
    <n v="100"/>
    <n v="2.0299999999999998"/>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2-01T00:00:00"/>
    <s v="FY21"/>
    <s v="t"/>
    <n v="0"/>
    <n v="0"/>
    <n v="1.8340000000000001"/>
    <n v="1.8340000000000001"/>
    <n v="0"/>
    <n v="0"/>
    <n v="28"/>
    <n v="28"/>
    <n v="0"/>
    <n v="0"/>
    <n v="100"/>
    <s v="Consolidation"/>
    <s v="CO2e and Base Measure"/>
    <n v="100"/>
    <n v="100"/>
    <n v="1.83"/>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3-01T00:00:00"/>
    <s v="FY21"/>
    <s v="t"/>
    <n v="0"/>
    <n v="0"/>
    <n v="2.0305"/>
    <n v="2.0305"/>
    <n v="0"/>
    <n v="0"/>
    <n v="31"/>
    <n v="31"/>
    <n v="0"/>
    <n v="0"/>
    <n v="100"/>
    <s v="Consolidation"/>
    <s v="CO2e and Base Measure"/>
    <n v="100"/>
    <n v="100"/>
    <n v="2.0299999999999998"/>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4-01T00:00:00"/>
    <s v="FY21"/>
    <s v="t"/>
    <n v="0"/>
    <n v="0"/>
    <n v="1.9650000000000001"/>
    <n v="1.9650000000000001"/>
    <n v="0"/>
    <n v="0"/>
    <n v="30"/>
    <n v="30"/>
    <n v="0"/>
    <n v="0"/>
    <n v="100"/>
    <s v="Consolidation"/>
    <s v="CO2e and Base Measure"/>
    <n v="100"/>
    <n v="100"/>
    <n v="1.97"/>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5-01T00:00:00"/>
    <s v="FY21"/>
    <s v="t"/>
    <n v="0"/>
    <n v="0"/>
    <n v="2.0305"/>
    <n v="2.0305"/>
    <n v="0"/>
    <n v="0"/>
    <n v="31"/>
    <n v="31"/>
    <n v="0"/>
    <n v="0"/>
    <n v="100"/>
    <s v="Consolidation"/>
    <s v="CO2e and Base Measure"/>
    <n v="100"/>
    <n v="100"/>
    <n v="2.0299999999999998"/>
    <m/>
    <m/>
    <m/>
    <m/>
    <m/>
    <m/>
    <m/>
    <m/>
    <m/>
    <m/>
    <m/>
    <m/>
    <m/>
    <s v="AUD"/>
    <s v="13566467Waste Recycled - Paper and Cardboard [t]"/>
    <n v="13566467"/>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07-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08-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09-01T00:00:00"/>
    <s v="FY21"/>
    <s v="t"/>
    <n v="0.86280000000000001"/>
    <n v="0"/>
    <n v="0"/>
    <n v="0.86280000000000001"/>
    <n v="30"/>
    <n v="0"/>
    <n v="0"/>
    <n v="30"/>
    <n v="100"/>
    <n v="0"/>
    <n v="0"/>
    <s v="Consolidation"/>
    <s v="CO2e and Base Measure"/>
    <n v="100"/>
    <n v="100"/>
    <n v="0.86"/>
    <m/>
    <m/>
    <m/>
    <m/>
    <m/>
    <n v="1.1215999999999999"/>
    <m/>
    <n v="1.121599999999999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10-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11-01T00:00:00"/>
    <s v="FY21"/>
    <s v="t"/>
    <n v="0.86280000000000001"/>
    <n v="0"/>
    <n v="0"/>
    <n v="0.86280000000000001"/>
    <n v="30"/>
    <n v="0"/>
    <n v="0"/>
    <n v="30"/>
    <n v="100"/>
    <n v="0"/>
    <n v="0"/>
    <s v="Consolidation"/>
    <s v="CO2e and Base Measure"/>
    <n v="100"/>
    <n v="100"/>
    <n v="0.86"/>
    <m/>
    <m/>
    <m/>
    <m/>
    <m/>
    <n v="1.1215999999999999"/>
    <m/>
    <n v="1.121599999999999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12-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1-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2-01T00:00:00"/>
    <s v="FY21"/>
    <s v="t"/>
    <n v="0.80530000000000002"/>
    <n v="0"/>
    <n v="0"/>
    <n v="0.80530000000000002"/>
    <n v="28"/>
    <n v="0"/>
    <n v="0"/>
    <n v="28"/>
    <n v="100"/>
    <n v="0"/>
    <n v="0"/>
    <s v="Consolidation"/>
    <s v="CO2e and Base Measure"/>
    <n v="100"/>
    <n v="100"/>
    <n v="0.81"/>
    <m/>
    <m/>
    <m/>
    <m/>
    <m/>
    <n v="1.0468999999999999"/>
    <m/>
    <n v="1.046899999999999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3-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4-01T00:00:00"/>
    <s v="FY21"/>
    <s v="t"/>
    <n v="0"/>
    <n v="0"/>
    <n v="0.86699999999999999"/>
    <n v="0.86699999999999999"/>
    <n v="0"/>
    <n v="0"/>
    <n v="30"/>
    <n v="30"/>
    <n v="0"/>
    <n v="0"/>
    <n v="100"/>
    <s v="Consolidation"/>
    <s v="CO2e and Base Measure"/>
    <n v="100"/>
    <n v="100"/>
    <n v="0.87"/>
    <m/>
    <m/>
    <m/>
    <m/>
    <m/>
    <n v="1.1271"/>
    <m/>
    <n v="1.1271"/>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5-01T00:00:00"/>
    <s v="FY21"/>
    <s v="t"/>
    <n v="0"/>
    <n v="0"/>
    <n v="0.89590000000000003"/>
    <n v="0.89590000000000003"/>
    <n v="0"/>
    <n v="0"/>
    <n v="31"/>
    <n v="31"/>
    <n v="0"/>
    <n v="0"/>
    <n v="100"/>
    <s v="Consolidation"/>
    <s v="CO2e and Base Measure"/>
    <n v="100"/>
    <n v="100"/>
    <n v="0.9"/>
    <m/>
    <m/>
    <m/>
    <m/>
    <m/>
    <n v="1.1647000000000001"/>
    <m/>
    <n v="1.1647000000000001"/>
    <m/>
    <m/>
    <m/>
    <m/>
    <m/>
    <s v="AUD"/>
    <s v="13644425Waste - General [t] - Scope 3"/>
    <n v="13644425"/>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07-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08-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09-01T00:00:00"/>
    <s v="FY21"/>
    <s v="t"/>
    <n v="0.86819999999999997"/>
    <n v="0"/>
    <n v="0"/>
    <n v="0.86819999999999997"/>
    <n v="30"/>
    <n v="0"/>
    <n v="0"/>
    <n v="30"/>
    <n v="100"/>
    <n v="0"/>
    <n v="0"/>
    <s v="Consolidation"/>
    <s v="CO2e and Base Measure"/>
    <n v="100"/>
    <n v="100"/>
    <n v="0.87"/>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10-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11-01T00:00:00"/>
    <s v="FY21"/>
    <s v="t"/>
    <n v="0.86819999999999997"/>
    <n v="0"/>
    <n v="0"/>
    <n v="0.86819999999999997"/>
    <n v="30"/>
    <n v="0"/>
    <n v="0"/>
    <n v="30"/>
    <n v="100"/>
    <n v="0"/>
    <n v="0"/>
    <s v="Consolidation"/>
    <s v="CO2e and Base Measure"/>
    <n v="100"/>
    <n v="100"/>
    <n v="0.87"/>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12-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1-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2-01T00:00:00"/>
    <s v="FY21"/>
    <s v="t"/>
    <n v="0.81040000000000001"/>
    <n v="0"/>
    <n v="0"/>
    <n v="0.81040000000000001"/>
    <n v="28"/>
    <n v="0"/>
    <n v="0"/>
    <n v="28"/>
    <n v="100"/>
    <n v="0"/>
    <n v="0"/>
    <s v="Consolidation"/>
    <s v="CO2e and Base Measure"/>
    <n v="100"/>
    <n v="100"/>
    <n v="0.81"/>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3-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4-01T00:00:00"/>
    <s v="FY21"/>
    <s v="t"/>
    <n v="0"/>
    <n v="0"/>
    <n v="0.87"/>
    <n v="0.87"/>
    <n v="0"/>
    <n v="0"/>
    <n v="30"/>
    <n v="30"/>
    <n v="0"/>
    <n v="0"/>
    <n v="100"/>
    <s v="Consolidation"/>
    <s v="CO2e and Base Measure"/>
    <n v="100"/>
    <n v="100"/>
    <n v="0.87"/>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5-01T00:00:00"/>
    <s v="FY21"/>
    <s v="t"/>
    <n v="0"/>
    <n v="0"/>
    <n v="0.89900000000000002"/>
    <n v="0.89900000000000002"/>
    <n v="0"/>
    <n v="0"/>
    <n v="31"/>
    <n v="31"/>
    <n v="0"/>
    <n v="0"/>
    <n v="10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07-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08-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09-01T00:00:00"/>
    <s v="FY21"/>
    <s v="t"/>
    <n v="0.14230000000000001"/>
    <n v="0"/>
    <n v="0"/>
    <n v="0.14230000000000001"/>
    <n v="30"/>
    <n v="0"/>
    <n v="0"/>
    <n v="30"/>
    <n v="100"/>
    <n v="0"/>
    <n v="0"/>
    <s v="Consolidation"/>
    <s v="CO2e and Base Measure"/>
    <n v="100"/>
    <n v="100"/>
    <n v="0.14000000000000001"/>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10-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11-01T00:00:00"/>
    <s v="FY21"/>
    <s v="t"/>
    <n v="0.14230000000000001"/>
    <n v="0"/>
    <n v="0"/>
    <n v="0.14230000000000001"/>
    <n v="30"/>
    <n v="0"/>
    <n v="0"/>
    <n v="30"/>
    <n v="100"/>
    <n v="0"/>
    <n v="0"/>
    <s v="Consolidation"/>
    <s v="CO2e and Base Measure"/>
    <n v="100"/>
    <n v="100"/>
    <n v="0.14000000000000001"/>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12-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1-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2-01T00:00:00"/>
    <s v="FY21"/>
    <s v="t"/>
    <n v="0.1328"/>
    <n v="0"/>
    <n v="0"/>
    <n v="0.1328"/>
    <n v="28"/>
    <n v="0"/>
    <n v="0"/>
    <n v="28"/>
    <n v="100"/>
    <n v="0"/>
    <n v="0"/>
    <s v="Consolidation"/>
    <s v="CO2e and Base Measure"/>
    <n v="100"/>
    <n v="100"/>
    <n v="0.13"/>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3-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4-01T00:00:00"/>
    <s v="FY21"/>
    <s v="t"/>
    <n v="0"/>
    <n v="0"/>
    <n v="0.14399999999999999"/>
    <n v="0.14399999999999999"/>
    <n v="0"/>
    <n v="0"/>
    <n v="30"/>
    <n v="30"/>
    <n v="0"/>
    <n v="0"/>
    <n v="100"/>
    <s v="Consolidation"/>
    <s v="CO2e and Base Measure"/>
    <n v="100"/>
    <n v="100"/>
    <n v="0.14000000000000001"/>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5-01T00:00:00"/>
    <s v="FY21"/>
    <s v="t"/>
    <n v="0"/>
    <n v="0"/>
    <n v="0.14879999999999999"/>
    <n v="0.14879999999999999"/>
    <n v="0"/>
    <n v="0"/>
    <n v="31"/>
    <n v="31"/>
    <n v="0"/>
    <n v="0"/>
    <n v="10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1"/>
    <s v="Account"/>
    <s v="Recycled - Network E Waste"/>
    <m/>
    <s v="423031591800_E-waste"/>
    <s v="E-waste"/>
    <s v="WVTech"/>
    <m/>
    <m/>
    <m/>
    <d v="2020-07-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08-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09-01T00:00:00"/>
    <s v="FY21"/>
    <s v="t"/>
    <n v="0"/>
    <n v="4.8999999999999998E-3"/>
    <n v="0"/>
    <n v="4.8999999999999998E-3"/>
    <n v="0"/>
    <n v="30"/>
    <n v="0"/>
    <n v="30"/>
    <n v="0"/>
    <n v="100"/>
    <n v="0"/>
    <s v="Consolidation"/>
    <s v="CO2e and Base Measure"/>
    <n v="100"/>
    <n v="100"/>
    <n v="0"/>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10-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11-01T00:00:00"/>
    <s v="FY21"/>
    <s v="t"/>
    <n v="0"/>
    <n v="4.8999999999999998E-3"/>
    <n v="0"/>
    <n v="4.8999999999999998E-3"/>
    <n v="0"/>
    <n v="30"/>
    <n v="0"/>
    <n v="30"/>
    <n v="0"/>
    <n v="100"/>
    <n v="0"/>
    <s v="Consolidation"/>
    <s v="CO2e and Base Measure"/>
    <n v="100"/>
    <n v="100"/>
    <n v="0"/>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12-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1-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2-01T00:00:00"/>
    <s v="FY21"/>
    <s v="t"/>
    <n v="0"/>
    <n v="4.5999999999999999E-3"/>
    <n v="0"/>
    <n v="4.5999999999999999E-3"/>
    <n v="0"/>
    <n v="28"/>
    <n v="0"/>
    <n v="28"/>
    <n v="0"/>
    <n v="100"/>
    <n v="0"/>
    <s v="Consolidation"/>
    <s v="CO2e and Base Measure"/>
    <n v="100"/>
    <n v="100"/>
    <n v="0"/>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3-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4-01T00:00:00"/>
    <s v="FY21"/>
    <s v="t"/>
    <n v="0"/>
    <n v="4.8999999999999998E-3"/>
    <n v="0"/>
    <n v="4.8999999999999998E-3"/>
    <n v="0"/>
    <n v="30"/>
    <n v="0"/>
    <n v="30"/>
    <n v="0"/>
    <n v="100"/>
    <n v="0"/>
    <s v="Consolidation"/>
    <s v="CO2e and Base Measure"/>
    <n v="100"/>
    <n v="100"/>
    <n v="0"/>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5-01T00:00:00"/>
    <s v="FY21"/>
    <s v="t"/>
    <n v="0"/>
    <n v="0"/>
    <n v="6.1999999999999998E-3"/>
    <n v="6.1999999999999998E-3"/>
    <n v="0"/>
    <n v="0"/>
    <n v="31"/>
    <n v="31"/>
    <n v="0"/>
    <n v="0"/>
    <n v="100"/>
    <s v="Consolidation"/>
    <s v="CO2e and Base Measure"/>
    <n v="100"/>
    <n v="100"/>
    <n v="0.01"/>
    <m/>
    <m/>
    <m/>
    <m/>
    <m/>
    <m/>
    <m/>
    <m/>
    <m/>
    <m/>
    <m/>
    <m/>
    <m/>
    <s v="AUD"/>
    <s v="13644541Waste Recycled - E-waste [t]"/>
    <n v="13644541"/>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0-07-01T00:00:00"/>
    <s v="FY21"/>
    <s v="t"/>
    <n v="5.3999999999999999E-2"/>
    <n v="0"/>
    <n v="0"/>
    <n v="5.3999999999999999E-2"/>
    <n v="1"/>
    <n v="0"/>
    <n v="0"/>
    <n v="1"/>
    <n v="100"/>
    <n v="0"/>
    <n v="0"/>
    <s v="Consolidation"/>
    <s v="CO2e and Base Measure"/>
    <n v="100"/>
    <n v="100"/>
    <n v="0.05"/>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0-11-01T00:00:00"/>
    <s v="FY21"/>
    <s v="t"/>
    <n v="2.7E-2"/>
    <n v="0"/>
    <n v="0"/>
    <n v="2.7E-2"/>
    <n v="1"/>
    <n v="0"/>
    <n v="0"/>
    <n v="1"/>
    <n v="100"/>
    <n v="0"/>
    <n v="0"/>
    <s v="Consolidation"/>
    <s v="CO2e and Base Measure"/>
    <n v="100"/>
    <n v="100"/>
    <n v="0.03"/>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0-12-01T00:00:00"/>
    <s v="FY21"/>
    <s v="t"/>
    <n v="0"/>
    <n v="0"/>
    <n v="2.1700000000000001E-2"/>
    <n v="2.1700000000000001E-2"/>
    <n v="0"/>
    <n v="0"/>
    <n v="31"/>
    <n v="31"/>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1-01T00:00:00"/>
    <s v="FY21"/>
    <s v="t"/>
    <n v="0"/>
    <n v="0"/>
    <n v="2.1700000000000001E-2"/>
    <n v="2.1700000000000001E-2"/>
    <n v="0"/>
    <n v="0"/>
    <n v="31"/>
    <n v="31"/>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2-01T00:00:00"/>
    <s v="FY21"/>
    <s v="t"/>
    <n v="0"/>
    <n v="0"/>
    <n v="1.9599999999999999E-2"/>
    <n v="1.9599999999999999E-2"/>
    <n v="0"/>
    <n v="0"/>
    <n v="28"/>
    <n v="28"/>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3-01T00:00:00"/>
    <s v="FY21"/>
    <s v="t"/>
    <n v="0"/>
    <n v="0"/>
    <n v="2.1700000000000001E-2"/>
    <n v="2.1700000000000001E-2"/>
    <n v="0"/>
    <n v="0"/>
    <n v="31"/>
    <n v="31"/>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4-01T00:00:00"/>
    <s v="FY21"/>
    <s v="t"/>
    <n v="0"/>
    <n v="0"/>
    <n v="2.1000000000000001E-2"/>
    <n v="2.1000000000000001E-2"/>
    <n v="0"/>
    <n v="0"/>
    <n v="30"/>
    <n v="30"/>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5-01T00:00:00"/>
    <s v="FY21"/>
    <s v="t"/>
    <n v="0"/>
    <n v="0"/>
    <n v="2.1700000000000001E-2"/>
    <n v="2.1700000000000001E-2"/>
    <n v="0"/>
    <n v="0"/>
    <n v="31"/>
    <n v="31"/>
    <n v="0"/>
    <n v="0"/>
    <n v="100"/>
    <s v="Consolidation"/>
    <s v="CO2e and Base Measure"/>
    <n v="100"/>
    <n v="100"/>
    <n v="0.02"/>
    <m/>
    <m/>
    <m/>
    <m/>
    <m/>
    <m/>
    <m/>
    <m/>
    <m/>
    <m/>
    <m/>
    <m/>
    <m/>
    <s v="AUD"/>
    <s v="13566509Waste Recycled - Paper and Cardboard [t]"/>
    <n v="13566509"/>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0-12-01T00:00:00"/>
    <s v="FY21"/>
    <s v="t"/>
    <n v="2.7E-2"/>
    <n v="0"/>
    <n v="0"/>
    <n v="2.7E-2"/>
    <n v="1"/>
    <n v="0"/>
    <n v="0"/>
    <n v="1"/>
    <n v="100"/>
    <n v="0"/>
    <n v="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1-01T00:00:00"/>
    <s v="FY21"/>
    <s v="t"/>
    <n v="0"/>
    <n v="0"/>
    <n v="2.7900000000000001E-2"/>
    <n v="2.7900000000000001E-2"/>
    <n v="0"/>
    <n v="0"/>
    <n v="31"/>
    <n v="31"/>
    <n v="0"/>
    <n v="0"/>
    <n v="10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2-01T00:00:00"/>
    <s v="FY21"/>
    <s v="t"/>
    <n v="0"/>
    <n v="0"/>
    <n v="2.52E-2"/>
    <n v="2.52E-2"/>
    <n v="0"/>
    <n v="0"/>
    <n v="28"/>
    <n v="28"/>
    <n v="0"/>
    <n v="0"/>
    <n v="10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3-01T00:00:00"/>
    <s v="FY21"/>
    <s v="t"/>
    <n v="0"/>
    <n v="0"/>
    <n v="2.7900000000000001E-2"/>
    <n v="2.7900000000000001E-2"/>
    <n v="0"/>
    <n v="0"/>
    <n v="31"/>
    <n v="31"/>
    <n v="0"/>
    <n v="0"/>
    <n v="10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4-01T00:00:00"/>
    <s v="FY21"/>
    <s v="t"/>
    <n v="0"/>
    <n v="0"/>
    <n v="2.7E-2"/>
    <n v="2.7E-2"/>
    <n v="0"/>
    <n v="0"/>
    <n v="30"/>
    <n v="30"/>
    <n v="0"/>
    <n v="0"/>
    <n v="10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5-01T00:00:00"/>
    <s v="FY21"/>
    <s v="t"/>
    <n v="0"/>
    <n v="0"/>
    <n v="2.7900000000000001E-2"/>
    <n v="2.7900000000000001E-2"/>
    <n v="0"/>
    <n v="0"/>
    <n v="31"/>
    <n v="31"/>
    <n v="0"/>
    <n v="0"/>
    <n v="100"/>
    <s v="Consolidation"/>
    <s v="CO2e and Base Measure"/>
    <n v="100"/>
    <n v="100"/>
    <n v="0.03"/>
    <m/>
    <m/>
    <m/>
    <m/>
    <m/>
    <m/>
    <m/>
    <m/>
    <m/>
    <m/>
    <m/>
    <m/>
    <m/>
    <s v="AUD"/>
    <s v="13566436Waste Recycled - Paper and Cardboard [t]"/>
    <n v="13566436"/>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12-01T00:00:00"/>
    <s v="FY21"/>
    <s v="t"/>
    <n v="0"/>
    <n v="0"/>
    <n v="1.18E-2"/>
    <n v="1.18E-2"/>
    <n v="0"/>
    <n v="0"/>
    <n v="1"/>
    <n v="1"/>
    <n v="0"/>
    <n v="0"/>
    <n v="100"/>
    <s v="Consolidation"/>
    <s v="CO2e and Base Measure"/>
    <n v="100"/>
    <n v="100"/>
    <n v="0.01"/>
    <m/>
    <m/>
    <m/>
    <m/>
    <m/>
    <n v="1.5299999999999999E-2"/>
    <m/>
    <n v="1.5299999999999999E-2"/>
    <m/>
    <m/>
    <m/>
    <m/>
    <m/>
    <s v="AUD"/>
    <s v="13565488Waste - General [t] - Scope 3"/>
    <n v="13565488"/>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0-07-01T00:00:00"/>
    <s v="FY21"/>
    <s v="t"/>
    <n v="2.7E-2"/>
    <n v="0"/>
    <n v="0"/>
    <n v="2.7E-2"/>
    <n v="1"/>
    <n v="0"/>
    <n v="0"/>
    <n v="1"/>
    <n v="100"/>
    <n v="0"/>
    <n v="0"/>
    <s v="Consolidation"/>
    <s v="CO2e and Base Measure"/>
    <n v="100"/>
    <n v="100"/>
    <n v="0.03"/>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0-09-01T00:00:00"/>
    <s v="FY21"/>
    <s v="t"/>
    <n v="2E-3"/>
    <n v="0"/>
    <n v="0"/>
    <n v="2E-3"/>
    <n v="1"/>
    <n v="0"/>
    <n v="0"/>
    <n v="1"/>
    <n v="100"/>
    <n v="0"/>
    <n v="0"/>
    <s v="Consolidation"/>
    <s v="CO2e and Base Measure"/>
    <n v="100"/>
    <n v="100"/>
    <n v="0"/>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0-10-01T00:00:00"/>
    <s v="FY21"/>
    <s v="t"/>
    <n v="2.7E-2"/>
    <n v="0"/>
    <n v="0"/>
    <n v="2.7E-2"/>
    <n v="1"/>
    <n v="0"/>
    <n v="0"/>
    <n v="1"/>
    <n v="100"/>
    <n v="0"/>
    <n v="0"/>
    <s v="Consolidation"/>
    <s v="CO2e and Base Measure"/>
    <n v="100"/>
    <n v="100"/>
    <n v="0.03"/>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0-12-01T00:00:00"/>
    <s v="FY21"/>
    <s v="t"/>
    <n v="2.7E-2"/>
    <n v="0"/>
    <n v="0"/>
    <n v="2.7E-2"/>
    <n v="1"/>
    <n v="0"/>
    <n v="0"/>
    <n v="1"/>
    <n v="100"/>
    <n v="0"/>
    <n v="0"/>
    <s v="Consolidation"/>
    <s v="CO2e and Base Measure"/>
    <n v="100"/>
    <n v="100"/>
    <n v="0.03"/>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1-01T00:00:00"/>
    <s v="FY21"/>
    <s v="t"/>
    <n v="0"/>
    <n v="0"/>
    <n v="1.55E-2"/>
    <n v="1.55E-2"/>
    <n v="0"/>
    <n v="0"/>
    <n v="31"/>
    <n v="31"/>
    <n v="0"/>
    <n v="0"/>
    <n v="100"/>
    <s v="Consolidation"/>
    <s v="CO2e and Base Measure"/>
    <n v="100"/>
    <n v="100"/>
    <n v="0.02"/>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2-01T00:00:00"/>
    <s v="FY21"/>
    <s v="t"/>
    <n v="0"/>
    <n v="0"/>
    <n v="1.4E-2"/>
    <n v="1.4E-2"/>
    <n v="0"/>
    <n v="0"/>
    <n v="28"/>
    <n v="28"/>
    <n v="0"/>
    <n v="0"/>
    <n v="100"/>
    <s v="Consolidation"/>
    <s v="CO2e and Base Measure"/>
    <n v="100"/>
    <n v="100"/>
    <n v="0.01"/>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3-01T00:00:00"/>
    <s v="FY21"/>
    <s v="t"/>
    <n v="0"/>
    <n v="0"/>
    <n v="1.55E-2"/>
    <n v="1.55E-2"/>
    <n v="0"/>
    <n v="0"/>
    <n v="31"/>
    <n v="31"/>
    <n v="0"/>
    <n v="0"/>
    <n v="100"/>
    <s v="Consolidation"/>
    <s v="CO2e and Base Measure"/>
    <n v="100"/>
    <n v="100"/>
    <n v="0.02"/>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5-01T00:00:00"/>
    <s v="FY21"/>
    <s v="t"/>
    <n v="0"/>
    <n v="0"/>
    <n v="1.55E-2"/>
    <n v="1.55E-2"/>
    <n v="0"/>
    <n v="0"/>
    <n v="31"/>
    <n v="31"/>
    <n v="0"/>
    <n v="0"/>
    <n v="100"/>
    <s v="Consolidation"/>
    <s v="CO2e and Base Measure"/>
    <n v="100"/>
    <n v="100"/>
    <n v="0.02"/>
    <m/>
    <m/>
    <m/>
    <m/>
    <m/>
    <m/>
    <m/>
    <m/>
    <m/>
    <m/>
    <m/>
    <m/>
    <m/>
    <s v="AUD"/>
    <s v="13566532Waste Recycled - Paper and Cardboard [t]"/>
    <n v="13566532"/>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07-01T00:00:00"/>
    <s v="FY21"/>
    <s v="t"/>
    <n v="3.6720000000000002"/>
    <n v="0"/>
    <n v="0"/>
    <n v="3.6720000000000002"/>
    <n v="4"/>
    <n v="0"/>
    <n v="0"/>
    <n v="4"/>
    <n v="100"/>
    <n v="0"/>
    <n v="0"/>
    <s v="Consolidation"/>
    <s v="CO2e and Base Measure"/>
    <n v="100"/>
    <n v="100"/>
    <n v="3.67"/>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08-01T00:00:00"/>
    <s v="FY21"/>
    <s v="t"/>
    <n v="0.189"/>
    <n v="0"/>
    <n v="0"/>
    <n v="0.189"/>
    <n v="2"/>
    <n v="0"/>
    <n v="0"/>
    <n v="2"/>
    <n v="100"/>
    <n v="0"/>
    <n v="0"/>
    <s v="Consolidation"/>
    <s v="CO2e and Base Measure"/>
    <n v="100"/>
    <n v="100"/>
    <n v="0.19"/>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09-01T00:00:00"/>
    <s v="FY21"/>
    <s v="t"/>
    <n v="0"/>
    <n v="0"/>
    <n v="2.7869999999999999"/>
    <n v="2.7869999999999999"/>
    <n v="0"/>
    <n v="0"/>
    <n v="30"/>
    <n v="30"/>
    <n v="0"/>
    <n v="0"/>
    <n v="100"/>
    <s v="Consolidation"/>
    <s v="CO2e and Base Measure"/>
    <n v="100"/>
    <n v="100"/>
    <n v="2.79"/>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10-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11-01T00:00:00"/>
    <s v="FY21"/>
    <s v="t"/>
    <n v="0"/>
    <n v="0"/>
    <n v="2.7869999999999999"/>
    <n v="2.7869999999999999"/>
    <n v="0"/>
    <n v="0"/>
    <n v="30"/>
    <n v="30"/>
    <n v="0"/>
    <n v="0"/>
    <n v="100"/>
    <s v="Consolidation"/>
    <s v="CO2e and Base Measure"/>
    <n v="100"/>
    <n v="100"/>
    <n v="2.79"/>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12-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1-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2-01T00:00:00"/>
    <s v="FY21"/>
    <s v="t"/>
    <n v="0"/>
    <n v="0"/>
    <n v="2.6012"/>
    <n v="2.6012"/>
    <n v="0"/>
    <n v="0"/>
    <n v="28"/>
    <n v="28"/>
    <n v="0"/>
    <n v="0"/>
    <n v="100"/>
    <s v="Consolidation"/>
    <s v="CO2e and Base Measure"/>
    <n v="100"/>
    <n v="100"/>
    <n v="2.6"/>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3-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4-01T00:00:00"/>
    <s v="FY21"/>
    <s v="t"/>
    <n v="0"/>
    <n v="0"/>
    <n v="2.7869999999999999"/>
    <n v="2.7869999999999999"/>
    <n v="0"/>
    <n v="0"/>
    <n v="30"/>
    <n v="30"/>
    <n v="0"/>
    <n v="0"/>
    <n v="100"/>
    <s v="Consolidation"/>
    <s v="CO2e and Base Measure"/>
    <n v="100"/>
    <n v="100"/>
    <n v="2.79"/>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5-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0-07-01T00:00:00"/>
    <s v="FY21"/>
    <s v="t"/>
    <n v="0.48599999999999999"/>
    <n v="0"/>
    <n v="0"/>
    <n v="0.48599999999999999"/>
    <n v="2"/>
    <n v="0"/>
    <n v="0"/>
    <n v="2"/>
    <n v="100"/>
    <n v="0"/>
    <n v="0"/>
    <s v="Consolidation"/>
    <s v="CO2e and Base Measure"/>
    <n v="100"/>
    <n v="100"/>
    <n v="0.49"/>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0-08-01T00:00:00"/>
    <s v="FY21"/>
    <s v="t"/>
    <n v="0.24299999999999999"/>
    <n v="0"/>
    <n v="0"/>
    <n v="0.24299999999999999"/>
    <n v="1"/>
    <n v="0"/>
    <n v="0"/>
    <n v="1"/>
    <n v="100"/>
    <n v="0"/>
    <n v="0"/>
    <s v="Consolidation"/>
    <s v="CO2e and Base Measure"/>
    <n v="100"/>
    <n v="100"/>
    <n v="0.24"/>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0-12-01T00:00:00"/>
    <s v="FY21"/>
    <s v="t"/>
    <n v="0.24299999999999999"/>
    <n v="0"/>
    <n v="0"/>
    <n v="0.24299999999999999"/>
    <n v="1"/>
    <n v="0"/>
    <n v="0"/>
    <n v="1"/>
    <n v="100"/>
    <n v="0"/>
    <n v="0"/>
    <s v="Consolidation"/>
    <s v="CO2e and Base Measure"/>
    <n v="100"/>
    <n v="100"/>
    <n v="0.24"/>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1-01T00:00:00"/>
    <s v="FY21"/>
    <s v="t"/>
    <n v="0"/>
    <n v="0"/>
    <n v="0.1767"/>
    <n v="0.1767"/>
    <n v="0"/>
    <n v="0"/>
    <n v="31"/>
    <n v="31"/>
    <n v="0"/>
    <n v="0"/>
    <n v="100"/>
    <s v="Consolidation"/>
    <s v="CO2e and Base Measure"/>
    <n v="100"/>
    <n v="100"/>
    <n v="0.18"/>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2-01T00:00:00"/>
    <s v="FY21"/>
    <s v="t"/>
    <n v="0"/>
    <n v="0"/>
    <n v="0.15959999999999999"/>
    <n v="0.15959999999999999"/>
    <n v="0"/>
    <n v="0"/>
    <n v="28"/>
    <n v="28"/>
    <n v="0"/>
    <n v="0"/>
    <n v="100"/>
    <s v="Consolidation"/>
    <s v="CO2e and Base Measure"/>
    <n v="100"/>
    <n v="100"/>
    <n v="0.16"/>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3-01T00:00:00"/>
    <s v="FY21"/>
    <s v="t"/>
    <n v="0"/>
    <n v="0"/>
    <n v="0.1767"/>
    <n v="0.1767"/>
    <n v="0"/>
    <n v="0"/>
    <n v="31"/>
    <n v="31"/>
    <n v="0"/>
    <n v="0"/>
    <n v="100"/>
    <s v="Consolidation"/>
    <s v="CO2e and Base Measure"/>
    <n v="100"/>
    <n v="100"/>
    <n v="0.18"/>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4-01T00:00:00"/>
    <s v="FY21"/>
    <s v="t"/>
    <n v="0"/>
    <n v="0"/>
    <n v="0.17100000000000001"/>
    <n v="0.17100000000000001"/>
    <n v="0"/>
    <n v="0"/>
    <n v="30"/>
    <n v="30"/>
    <n v="0"/>
    <n v="0"/>
    <n v="100"/>
    <s v="Consolidation"/>
    <s v="CO2e and Base Measure"/>
    <n v="100"/>
    <n v="100"/>
    <n v="0.17"/>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5-01T00:00:00"/>
    <s v="FY21"/>
    <s v="t"/>
    <n v="0"/>
    <n v="0"/>
    <n v="0.1767"/>
    <n v="0.1767"/>
    <n v="0"/>
    <n v="0"/>
    <n v="31"/>
    <n v="31"/>
    <n v="0"/>
    <n v="0"/>
    <n v="100"/>
    <s v="Consolidation"/>
    <s v="CO2e and Base Measure"/>
    <n v="100"/>
    <n v="100"/>
    <n v="0.18"/>
    <m/>
    <m/>
    <m/>
    <m/>
    <m/>
    <m/>
    <m/>
    <m/>
    <m/>
    <m/>
    <m/>
    <m/>
    <m/>
    <s v="AUD"/>
    <s v="13566417Waste Recycled - Paper and Cardboard [t]"/>
    <n v="13566417"/>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0-12-01T00:00:00"/>
    <s v="FY21"/>
    <s v="t"/>
    <n v="0.48599999999999999"/>
    <n v="0.13500000000000001"/>
    <n v="0"/>
    <n v="0.621"/>
    <n v="6"/>
    <n v="1"/>
    <n v="0"/>
    <n v="7"/>
    <n v="78.260000000000005"/>
    <n v="21.73"/>
    <n v="0"/>
    <s v="Consolidation"/>
    <s v="CO2e and Base Measure"/>
    <n v="100"/>
    <n v="100"/>
    <n v="0.62"/>
    <m/>
    <m/>
    <m/>
    <m/>
    <m/>
    <n v="0.80730000000000002"/>
    <m/>
    <n v="0.80730000000000002"/>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1-01T00:00:00"/>
    <s v="FY21"/>
    <s v="t"/>
    <n v="0.628"/>
    <n v="0"/>
    <n v="0"/>
    <n v="0.628"/>
    <n v="8"/>
    <n v="0"/>
    <n v="0"/>
    <n v="8"/>
    <n v="100"/>
    <n v="0"/>
    <n v="0"/>
    <s v="Consolidation"/>
    <s v="CO2e and Base Measure"/>
    <n v="100"/>
    <n v="100"/>
    <n v="0.63"/>
    <m/>
    <m/>
    <m/>
    <m/>
    <m/>
    <n v="0.81640000000000001"/>
    <m/>
    <n v="0.81640000000000001"/>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2-01T00:00:00"/>
    <s v="FY21"/>
    <s v="t"/>
    <n v="0.64900000000000002"/>
    <n v="0"/>
    <n v="0"/>
    <n v="0.64900000000000002"/>
    <n v="8"/>
    <n v="0"/>
    <n v="0"/>
    <n v="8"/>
    <n v="100"/>
    <n v="0"/>
    <n v="0"/>
    <s v="Consolidation"/>
    <s v="CO2e and Base Measure"/>
    <n v="100"/>
    <n v="100"/>
    <n v="0.65"/>
    <m/>
    <m/>
    <m/>
    <m/>
    <m/>
    <n v="0.84370000000000001"/>
    <m/>
    <n v="0.84370000000000001"/>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3-01T00:00:00"/>
    <s v="FY21"/>
    <s v="t"/>
    <n v="0.73799999999999999"/>
    <n v="0"/>
    <n v="0"/>
    <n v="0.73799999999999999"/>
    <n v="9"/>
    <n v="0"/>
    <n v="0"/>
    <n v="9"/>
    <n v="100"/>
    <n v="0"/>
    <n v="0"/>
    <s v="Consolidation"/>
    <s v="CO2e and Base Measure"/>
    <n v="100"/>
    <n v="100"/>
    <n v="0.74"/>
    <m/>
    <m/>
    <m/>
    <m/>
    <m/>
    <n v="0.95940000000000003"/>
    <m/>
    <n v="0.95940000000000003"/>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4-01T00:00:00"/>
    <s v="FY21"/>
    <s v="t"/>
    <n v="0"/>
    <n v="0"/>
    <n v="0.55500000000000005"/>
    <n v="0.55500000000000005"/>
    <n v="0"/>
    <n v="0"/>
    <n v="30"/>
    <n v="30"/>
    <n v="0"/>
    <n v="0"/>
    <n v="100"/>
    <s v="Consolidation"/>
    <s v="CO2e and Base Measure"/>
    <n v="100"/>
    <n v="100"/>
    <n v="0.56000000000000005"/>
    <m/>
    <m/>
    <m/>
    <m/>
    <m/>
    <n v="0.72150000000000003"/>
    <m/>
    <n v="0.72150000000000003"/>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5-01T00:00:00"/>
    <s v="FY21"/>
    <s v="t"/>
    <n v="0"/>
    <n v="0"/>
    <n v="0.57350000000000001"/>
    <n v="0.57350000000000001"/>
    <n v="0"/>
    <n v="0"/>
    <n v="31"/>
    <n v="31"/>
    <n v="0"/>
    <n v="0"/>
    <n v="100"/>
    <s v="Consolidation"/>
    <s v="CO2e and Base Measure"/>
    <n v="100"/>
    <n v="100"/>
    <n v="0.56999999999999995"/>
    <m/>
    <m/>
    <m/>
    <m/>
    <m/>
    <n v="0.74560000000000004"/>
    <m/>
    <n v="0.74560000000000004"/>
    <m/>
    <m/>
    <m/>
    <m/>
    <m/>
    <s v="AUD"/>
    <s v="13633995Waste - General [t] - Scope 3"/>
    <n v="13633995"/>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1-01T00:00:00"/>
    <s v="FY21"/>
    <s v="t"/>
    <n v="0.153"/>
    <n v="0.22500000000000001"/>
    <n v="0"/>
    <n v="0.378"/>
    <n v="4"/>
    <n v="3"/>
    <n v="0"/>
    <n v="7"/>
    <n v="40.47"/>
    <n v="59.52"/>
    <n v="0"/>
    <s v="Consolidation"/>
    <s v="CO2e and Base Measure"/>
    <n v="100"/>
    <n v="100"/>
    <n v="0.38"/>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2-01T00:00:00"/>
    <s v="FY21"/>
    <s v="t"/>
    <n v="0.124"/>
    <n v="0.375"/>
    <n v="0"/>
    <n v="0.499"/>
    <n v="2"/>
    <n v="5"/>
    <n v="0"/>
    <n v="7"/>
    <n v="24.84"/>
    <n v="75.150000000000006"/>
    <n v="0"/>
    <s v="Consolidation"/>
    <s v="CO2e and Base Measure"/>
    <n v="100"/>
    <n v="100"/>
    <n v="0.5"/>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3-01T00:00:00"/>
    <s v="FY21"/>
    <s v="t"/>
    <n v="0.158"/>
    <n v="0.3"/>
    <n v="0"/>
    <n v="0.45800000000000002"/>
    <n v="5"/>
    <n v="4"/>
    <n v="0"/>
    <n v="9"/>
    <n v="34.49"/>
    <n v="65.5"/>
    <n v="0"/>
    <s v="Consolidation"/>
    <s v="CO2e and Base Measure"/>
    <n v="100"/>
    <n v="100"/>
    <n v="0.46"/>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4-01T00:00:00"/>
    <s v="FY21"/>
    <s v="t"/>
    <n v="0"/>
    <n v="0"/>
    <n v="0.45"/>
    <n v="0.45"/>
    <n v="0"/>
    <n v="0"/>
    <n v="30"/>
    <n v="30"/>
    <n v="0"/>
    <n v="0"/>
    <n v="100"/>
    <s v="Consolidation"/>
    <s v="CO2e and Base Measure"/>
    <n v="100"/>
    <n v="100"/>
    <n v="0.45"/>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5-01T00:00:00"/>
    <s v="FY21"/>
    <s v="t"/>
    <n v="0"/>
    <n v="0"/>
    <n v="0.46500000000000002"/>
    <n v="0.46500000000000002"/>
    <n v="0"/>
    <n v="0"/>
    <n v="31"/>
    <n v="31"/>
    <n v="0"/>
    <n v="0"/>
    <n v="100"/>
    <s v="Consolidation"/>
    <s v="CO2e and Base Measure"/>
    <n v="100"/>
    <n v="100"/>
    <n v="0.47"/>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07-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08-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09-01T00:00:00"/>
    <s v="FY21"/>
    <s v="t"/>
    <n v="0"/>
    <n v="3.0000000000000001E-3"/>
    <n v="0"/>
    <n v="3.0000000000000001E-3"/>
    <n v="0"/>
    <n v="30"/>
    <n v="0"/>
    <n v="30"/>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10-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11-01T00:00:00"/>
    <s v="FY21"/>
    <s v="t"/>
    <n v="0"/>
    <n v="3.0000000000000001E-3"/>
    <n v="0"/>
    <n v="3.0000000000000001E-3"/>
    <n v="0"/>
    <n v="30"/>
    <n v="0"/>
    <n v="30"/>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12-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1-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2-01T00:00:00"/>
    <s v="FY21"/>
    <s v="t"/>
    <n v="0"/>
    <n v="2.8E-3"/>
    <n v="0"/>
    <n v="2.8E-3"/>
    <n v="0"/>
    <n v="28"/>
    <n v="0"/>
    <n v="28"/>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3-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4-01T00:00:00"/>
    <s v="FY21"/>
    <s v="t"/>
    <n v="0"/>
    <n v="3.0000000000000001E-3"/>
    <n v="0"/>
    <n v="3.0000000000000001E-3"/>
    <n v="0"/>
    <n v="30"/>
    <n v="0"/>
    <n v="30"/>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5-01T00:00:00"/>
    <s v="FY21"/>
    <s v="t"/>
    <n v="0"/>
    <n v="0"/>
    <n v="3.0999999999999999E-3"/>
    <n v="3.0999999999999999E-3"/>
    <n v="0"/>
    <n v="0"/>
    <n v="31"/>
    <n v="31"/>
    <n v="0"/>
    <n v="0"/>
    <n v="100"/>
    <s v="Consolidation"/>
    <s v="CO2e and Base Measure"/>
    <n v="100"/>
    <n v="100"/>
    <n v="0"/>
    <m/>
    <m/>
    <m/>
    <m/>
    <m/>
    <m/>
    <m/>
    <m/>
    <m/>
    <m/>
    <m/>
    <m/>
    <m/>
    <s v="AUD"/>
    <s v="13644543Waste Recycled - E-waste [t]"/>
    <n v="13644543"/>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07-01T00:00:00"/>
    <s v="FY21"/>
    <s v="t"/>
    <n v="1.35E-2"/>
    <n v="0"/>
    <n v="0"/>
    <n v="1.35E-2"/>
    <n v="1"/>
    <n v="0"/>
    <n v="0"/>
    <n v="1"/>
    <n v="100"/>
    <n v="0"/>
    <n v="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08-01T00:00:00"/>
    <s v="FY21"/>
    <s v="t"/>
    <n v="1.35E-2"/>
    <n v="0"/>
    <n v="0"/>
    <n v="1.35E-2"/>
    <n v="1"/>
    <n v="0"/>
    <n v="0"/>
    <n v="1"/>
    <n v="100"/>
    <n v="0"/>
    <n v="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09-01T00:00:00"/>
    <s v="FY21"/>
    <s v="t"/>
    <n v="1.35E-2"/>
    <n v="0"/>
    <n v="0"/>
    <n v="1.35E-2"/>
    <n v="1"/>
    <n v="0"/>
    <n v="0"/>
    <n v="1"/>
    <n v="100"/>
    <n v="0"/>
    <n v="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10-01T00:00:00"/>
    <s v="FY21"/>
    <s v="t"/>
    <n v="1.35E-2"/>
    <n v="0"/>
    <n v="0"/>
    <n v="1.35E-2"/>
    <n v="1"/>
    <n v="0"/>
    <n v="0"/>
    <n v="1"/>
    <n v="100"/>
    <n v="0"/>
    <n v="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11-01T00:00:00"/>
    <s v="FY21"/>
    <s v="t"/>
    <n v="2.7E-2"/>
    <n v="0"/>
    <n v="0"/>
    <n v="2.7E-2"/>
    <n v="2"/>
    <n v="0"/>
    <n v="0"/>
    <n v="2"/>
    <n v="100"/>
    <n v="0"/>
    <n v="0"/>
    <s v="Consolidation"/>
    <s v="CO2e and Base Measure"/>
    <n v="100"/>
    <n v="100"/>
    <n v="0.03"/>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12-01T00:00:00"/>
    <s v="FY21"/>
    <s v="t"/>
    <n v="0"/>
    <n v="0"/>
    <n v="1.55E-2"/>
    <n v="1.55E-2"/>
    <n v="0"/>
    <n v="0"/>
    <n v="31"/>
    <n v="31"/>
    <n v="0"/>
    <n v="0"/>
    <n v="100"/>
    <s v="Consolidation"/>
    <s v="CO2e and Base Measure"/>
    <n v="100"/>
    <n v="100"/>
    <n v="0.02"/>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1-01T00:00:00"/>
    <s v="FY21"/>
    <s v="t"/>
    <n v="0"/>
    <n v="0"/>
    <n v="1.55E-2"/>
    <n v="1.55E-2"/>
    <n v="0"/>
    <n v="0"/>
    <n v="31"/>
    <n v="31"/>
    <n v="0"/>
    <n v="0"/>
    <n v="100"/>
    <s v="Consolidation"/>
    <s v="CO2e and Base Measure"/>
    <n v="100"/>
    <n v="100"/>
    <n v="0.02"/>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2-01T00:00:00"/>
    <s v="FY21"/>
    <s v="t"/>
    <n v="0"/>
    <n v="0"/>
    <n v="1.4E-2"/>
    <n v="1.4E-2"/>
    <n v="0"/>
    <n v="0"/>
    <n v="28"/>
    <n v="28"/>
    <n v="0"/>
    <n v="0"/>
    <n v="10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3-01T00:00:00"/>
    <s v="FY21"/>
    <s v="t"/>
    <n v="0"/>
    <n v="0"/>
    <n v="1.55E-2"/>
    <n v="1.55E-2"/>
    <n v="0"/>
    <n v="0"/>
    <n v="31"/>
    <n v="31"/>
    <n v="0"/>
    <n v="0"/>
    <n v="100"/>
    <s v="Consolidation"/>
    <s v="CO2e and Base Measure"/>
    <n v="100"/>
    <n v="100"/>
    <n v="0.02"/>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5-01T00:00:00"/>
    <s v="FY21"/>
    <s v="t"/>
    <n v="0"/>
    <n v="0"/>
    <n v="1.55E-2"/>
    <n v="1.55E-2"/>
    <n v="0"/>
    <n v="0"/>
    <n v="31"/>
    <n v="31"/>
    <n v="0"/>
    <n v="0"/>
    <n v="100"/>
    <s v="Consolidation"/>
    <s v="CO2e and Base Measure"/>
    <n v="100"/>
    <n v="100"/>
    <n v="0.02"/>
    <m/>
    <m/>
    <m/>
    <m/>
    <m/>
    <m/>
    <m/>
    <m/>
    <m/>
    <m/>
    <m/>
    <m/>
    <m/>
    <s v="AUD"/>
    <s v="13566386Waste Recycled - Paper and Cardboard [t]"/>
    <n v="13566386"/>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0-12-01T00:00:00"/>
    <s v="FY21"/>
    <s v="t"/>
    <n v="5.3999999999999999E-2"/>
    <n v="0.54"/>
    <n v="0"/>
    <n v="0.59399999999999997"/>
    <n v="1"/>
    <n v="2"/>
    <n v="0"/>
    <n v="3"/>
    <n v="9.09"/>
    <n v="90.9"/>
    <n v="0"/>
    <s v="Consolidation"/>
    <s v="CO2e and Base Measure"/>
    <n v="100"/>
    <n v="100"/>
    <n v="0.59"/>
    <m/>
    <m/>
    <m/>
    <m/>
    <m/>
    <n v="0.7722"/>
    <m/>
    <n v="0.7722"/>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1-01T00:00:00"/>
    <s v="FY21"/>
    <s v="t"/>
    <n v="0.13100000000000001"/>
    <n v="0.27"/>
    <n v="0"/>
    <n v="0.40100000000000002"/>
    <n v="3"/>
    <n v="1"/>
    <n v="0"/>
    <n v="4"/>
    <n v="32.659999999999997"/>
    <n v="67.33"/>
    <n v="0"/>
    <s v="Consolidation"/>
    <s v="CO2e and Base Measure"/>
    <n v="100"/>
    <n v="100"/>
    <n v="0.4"/>
    <m/>
    <m/>
    <m/>
    <m/>
    <m/>
    <n v="0.52129999999999999"/>
    <m/>
    <n v="0.52129999999999999"/>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2-01T00:00:00"/>
    <s v="FY21"/>
    <s v="t"/>
    <n v="0.255"/>
    <n v="0"/>
    <n v="0"/>
    <n v="0.255"/>
    <n v="4"/>
    <n v="0"/>
    <n v="0"/>
    <n v="4"/>
    <n v="100"/>
    <n v="0"/>
    <n v="0"/>
    <s v="Consolidation"/>
    <s v="CO2e and Base Measure"/>
    <n v="100"/>
    <n v="100"/>
    <n v="0.26"/>
    <m/>
    <m/>
    <m/>
    <m/>
    <m/>
    <n v="0.33150000000000002"/>
    <m/>
    <n v="0.33150000000000002"/>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3-01T00:00:00"/>
    <s v="FY21"/>
    <s v="t"/>
    <n v="0.17199999999999999"/>
    <n v="0"/>
    <n v="0"/>
    <n v="0.17199999999999999"/>
    <n v="4"/>
    <n v="0"/>
    <n v="0"/>
    <n v="4"/>
    <n v="100"/>
    <n v="0"/>
    <n v="0"/>
    <s v="Consolidation"/>
    <s v="CO2e and Base Measure"/>
    <n v="100"/>
    <n v="100"/>
    <n v="0.17"/>
    <m/>
    <m/>
    <m/>
    <m/>
    <m/>
    <n v="0.22359999999999999"/>
    <m/>
    <n v="0.22359999999999999"/>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4-01T00:00:00"/>
    <s v="FY21"/>
    <s v="t"/>
    <n v="0"/>
    <n v="0"/>
    <n v="0.35399999999999998"/>
    <n v="0.35399999999999998"/>
    <n v="0"/>
    <n v="0"/>
    <n v="30"/>
    <n v="30"/>
    <n v="0"/>
    <n v="0"/>
    <n v="100"/>
    <s v="Consolidation"/>
    <s v="CO2e and Base Measure"/>
    <n v="100"/>
    <n v="100"/>
    <n v="0.35"/>
    <m/>
    <m/>
    <m/>
    <m/>
    <m/>
    <n v="0.4602"/>
    <m/>
    <n v="0.4602"/>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5-01T00:00:00"/>
    <s v="FY21"/>
    <s v="t"/>
    <n v="0"/>
    <n v="0"/>
    <n v="0.36580000000000001"/>
    <n v="0.36580000000000001"/>
    <n v="0"/>
    <n v="0"/>
    <n v="31"/>
    <n v="31"/>
    <n v="0"/>
    <n v="0"/>
    <n v="100"/>
    <s v="Consolidation"/>
    <s v="CO2e and Base Measure"/>
    <n v="100"/>
    <n v="100"/>
    <n v="0.37"/>
    <m/>
    <m/>
    <m/>
    <m/>
    <m/>
    <n v="0.47549999999999998"/>
    <m/>
    <n v="0.47549999999999998"/>
    <m/>
    <m/>
    <m/>
    <m/>
    <m/>
    <s v="AUD"/>
    <s v="13634394Waste - General [t] - Scope 3"/>
    <n v="13634394"/>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0-12-01T00:00:00"/>
    <s v="FY21"/>
    <s v="t"/>
    <n v="3.5999999999999997E-2"/>
    <n v="0"/>
    <n v="0"/>
    <n v="3.5999999999999997E-2"/>
    <n v="1"/>
    <n v="0"/>
    <n v="0"/>
    <n v="1"/>
    <n v="100"/>
    <n v="0"/>
    <n v="0"/>
    <s v="Consolidation"/>
    <s v="CO2e and Base Measure"/>
    <n v="100"/>
    <n v="100"/>
    <n v="0.04"/>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1-01T00:00:00"/>
    <s v="FY21"/>
    <s v="t"/>
    <n v="5.5E-2"/>
    <n v="7.4999999999999997E-2"/>
    <n v="0"/>
    <n v="0.13"/>
    <n v="1"/>
    <n v="1"/>
    <n v="0"/>
    <n v="2"/>
    <n v="42.3"/>
    <n v="57.69"/>
    <n v="0"/>
    <s v="Consolidation"/>
    <s v="CO2e and Base Measure"/>
    <n v="100"/>
    <n v="100"/>
    <n v="0.13"/>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2-01T00:00:00"/>
    <s v="FY21"/>
    <s v="t"/>
    <n v="5.5E-2"/>
    <n v="7.4999999999999997E-2"/>
    <n v="0"/>
    <n v="0.13"/>
    <n v="1"/>
    <n v="1"/>
    <n v="0"/>
    <n v="2"/>
    <n v="42.3"/>
    <n v="57.69"/>
    <n v="0"/>
    <s v="Consolidation"/>
    <s v="CO2e and Base Measure"/>
    <n v="100"/>
    <n v="100"/>
    <n v="0.13"/>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3-01T00:00:00"/>
    <s v="FY21"/>
    <s v="t"/>
    <n v="3.5999999999999997E-2"/>
    <n v="7.4999999999999997E-2"/>
    <n v="0"/>
    <n v="0.111"/>
    <n v="1"/>
    <n v="1"/>
    <n v="0"/>
    <n v="2"/>
    <n v="32.43"/>
    <n v="67.56"/>
    <n v="0"/>
    <s v="Consolidation"/>
    <s v="CO2e and Base Measure"/>
    <n v="100"/>
    <n v="100"/>
    <n v="0.11"/>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4-01T00:00:00"/>
    <s v="FY21"/>
    <s v="t"/>
    <n v="0"/>
    <n v="0"/>
    <n v="0.10199999999999999"/>
    <n v="0.10199999999999999"/>
    <n v="0"/>
    <n v="0"/>
    <n v="30"/>
    <n v="30"/>
    <n v="0"/>
    <n v="0"/>
    <n v="100"/>
    <s v="Consolidation"/>
    <s v="CO2e and Base Measure"/>
    <n v="100"/>
    <n v="100"/>
    <n v="0.1"/>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5-01T00:00:00"/>
    <s v="FY21"/>
    <s v="t"/>
    <n v="0"/>
    <n v="0"/>
    <n v="0.10539999999999999"/>
    <n v="0.10539999999999999"/>
    <n v="0"/>
    <n v="0"/>
    <n v="31"/>
    <n v="31"/>
    <n v="0"/>
    <n v="0"/>
    <n v="100"/>
    <s v="Consolidation"/>
    <s v="CO2e and Base Measure"/>
    <n v="100"/>
    <n v="100"/>
    <n v="0.11"/>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0-12-01T00:00:00"/>
    <s v="FY21"/>
    <s v="t"/>
    <n v="0"/>
    <n v="1.9199999999999998E-2"/>
    <n v="0"/>
    <n v="1.9199999999999998E-2"/>
    <n v="0"/>
    <n v="1"/>
    <n v="0"/>
    <n v="1"/>
    <n v="0"/>
    <n v="100"/>
    <n v="0"/>
    <s v="Consolidation"/>
    <s v="CO2e and Base Measure"/>
    <n v="100"/>
    <n v="100"/>
    <n v="0.02"/>
    <m/>
    <m/>
    <m/>
    <m/>
    <m/>
    <m/>
    <n v="0"/>
    <m/>
    <m/>
    <m/>
    <m/>
    <m/>
    <m/>
    <s v="AUD"/>
    <s v="13634396Waste Recycled - Commingled [t]"/>
    <n v="13634396"/>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1-01-01T00:00:00"/>
    <s v="FY21"/>
    <s v="t"/>
    <n v="0"/>
    <n v="1.9199999999999998E-2"/>
    <n v="0"/>
    <n v="1.9199999999999998E-2"/>
    <n v="0"/>
    <n v="1"/>
    <n v="0"/>
    <n v="1"/>
    <n v="0"/>
    <n v="100"/>
    <n v="0"/>
    <s v="Consolidation"/>
    <s v="CO2e and Base Measure"/>
    <n v="100"/>
    <n v="100"/>
    <n v="0.02"/>
    <m/>
    <m/>
    <m/>
    <m/>
    <m/>
    <m/>
    <n v="0"/>
    <m/>
    <m/>
    <m/>
    <m/>
    <m/>
    <m/>
    <s v="AUD"/>
    <s v="13634396Waste Recycled - Commingled [t]"/>
    <n v="13634396"/>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1-03-01T00:00:00"/>
    <s v="FY21"/>
    <s v="t"/>
    <n v="0"/>
    <n v="3.8399999999999997E-2"/>
    <n v="0"/>
    <n v="3.8399999999999997E-2"/>
    <n v="0"/>
    <n v="2"/>
    <n v="0"/>
    <n v="2"/>
    <n v="0"/>
    <n v="100"/>
    <n v="0"/>
    <s v="Consolidation"/>
    <s v="CO2e and Base Measure"/>
    <n v="100"/>
    <n v="100"/>
    <n v="0.04"/>
    <m/>
    <m/>
    <m/>
    <m/>
    <m/>
    <m/>
    <n v="0"/>
    <m/>
    <m/>
    <m/>
    <m/>
    <m/>
    <m/>
    <s v="AUD"/>
    <s v="13634396Waste Recycled - Commingled [t]"/>
    <n v="13634396"/>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1-04-01T00:00:00"/>
    <s v="FY21"/>
    <s v="t"/>
    <n v="0"/>
    <n v="0"/>
    <n v="1.7999999999999999E-2"/>
    <n v="1.7999999999999999E-2"/>
    <n v="0"/>
    <n v="0"/>
    <n v="30"/>
    <n v="30"/>
    <n v="0"/>
    <n v="0"/>
    <n v="100"/>
    <s v="Consolidation"/>
    <s v="CO2e and Base Measure"/>
    <n v="100"/>
    <n v="100"/>
    <n v="0.02"/>
    <m/>
    <m/>
    <m/>
    <m/>
    <m/>
    <m/>
    <n v="0"/>
    <m/>
    <m/>
    <m/>
    <m/>
    <m/>
    <m/>
    <s v="AUD"/>
    <s v="13634396Waste Recycled - Commingled [t]"/>
    <n v="13634396"/>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1-05-01T00:00:00"/>
    <s v="FY21"/>
    <s v="t"/>
    <n v="0"/>
    <n v="0"/>
    <n v="1.8599999999999998E-2"/>
    <n v="1.8599999999999998E-2"/>
    <n v="0"/>
    <n v="0"/>
    <n v="31"/>
    <n v="31"/>
    <n v="0"/>
    <n v="0"/>
    <n v="100"/>
    <s v="Consolidation"/>
    <s v="CO2e and Base Measure"/>
    <n v="100"/>
    <n v="100"/>
    <n v="0.02"/>
    <m/>
    <m/>
    <m/>
    <m/>
    <m/>
    <m/>
    <n v="0"/>
    <m/>
    <m/>
    <m/>
    <m/>
    <m/>
    <m/>
    <s v="AUD"/>
    <s v="13634396Waste Recycled - Commingled [t]"/>
    <n v="13634396"/>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07-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08-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09-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10-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11-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12-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1-01T00:00:00"/>
    <s v="FY21"/>
    <s v="t"/>
    <n v="0"/>
    <n v="0"/>
    <n v="1.24E-2"/>
    <n v="1.24E-2"/>
    <n v="0"/>
    <n v="0"/>
    <n v="31"/>
    <n v="31"/>
    <n v="0"/>
    <n v="0"/>
    <n v="10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2-01T00:00:00"/>
    <s v="FY21"/>
    <s v="t"/>
    <n v="0"/>
    <n v="0"/>
    <n v="1.12E-2"/>
    <n v="1.12E-2"/>
    <n v="0"/>
    <n v="0"/>
    <n v="28"/>
    <n v="28"/>
    <n v="0"/>
    <n v="0"/>
    <n v="10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3-01T00:00:00"/>
    <s v="FY21"/>
    <s v="t"/>
    <n v="0"/>
    <n v="0"/>
    <n v="1.24E-2"/>
    <n v="1.24E-2"/>
    <n v="0"/>
    <n v="0"/>
    <n v="31"/>
    <n v="31"/>
    <n v="0"/>
    <n v="0"/>
    <n v="10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4-01T00:00:00"/>
    <s v="FY21"/>
    <s v="t"/>
    <n v="0"/>
    <n v="0"/>
    <n v="1.2E-2"/>
    <n v="1.2E-2"/>
    <n v="0"/>
    <n v="0"/>
    <n v="30"/>
    <n v="30"/>
    <n v="0"/>
    <n v="0"/>
    <n v="10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5-01T00:00:00"/>
    <s v="FY21"/>
    <s v="t"/>
    <n v="0"/>
    <n v="0"/>
    <n v="1.24E-2"/>
    <n v="1.24E-2"/>
    <n v="0"/>
    <n v="0"/>
    <n v="31"/>
    <n v="31"/>
    <n v="0"/>
    <n v="0"/>
    <n v="100"/>
    <s v="Consolidation"/>
    <s v="CO2e and Base Measure"/>
    <n v="100"/>
    <n v="100"/>
    <n v="0.01"/>
    <m/>
    <m/>
    <m/>
    <m/>
    <m/>
    <m/>
    <m/>
    <m/>
    <m/>
    <m/>
    <m/>
    <m/>
    <m/>
    <s v="AUD"/>
    <s v="13566638Waste Recycled - Paper and Cardboard [t]"/>
    <n v="13566638"/>
  </r>
  <r>
    <d v="2019-07-01T00:00:00"/>
    <d v="2021-06-30T00:00:00"/>
    <s v="Telstra"/>
    <s v="NETWORK"/>
    <s v="Network - InfraCo"/>
    <s v="NSW"/>
    <s v="Australia"/>
    <s v="Mount Druitt"/>
    <s v="38-48 QUARRY DR"/>
    <n v="423032012200"/>
    <s v="Recycled Waste"/>
    <x v="0"/>
    <x v="1"/>
    <s v="Account"/>
    <s v="Remondis Metal - Copper"/>
    <m/>
    <s v="423031854500_RMETCOPPR"/>
    <s v="METAL - COPPER"/>
    <s v="Remondis"/>
    <m/>
    <m/>
    <d v="2021-01-01T00:00:00"/>
    <d v="2020-12-01T00:00:00"/>
    <s v="FY21"/>
    <s v="t"/>
    <n v="0"/>
    <n v="3"/>
    <n v="0"/>
    <n v="3"/>
    <n v="0"/>
    <n v="1"/>
    <n v="0"/>
    <n v="1"/>
    <n v="0"/>
    <n v="100"/>
    <n v="0"/>
    <s v="Consolidation"/>
    <s v="CO2e and Base Measure"/>
    <n v="100"/>
    <n v="100"/>
    <n v="3"/>
    <m/>
    <m/>
    <m/>
    <m/>
    <m/>
    <m/>
    <m/>
    <m/>
    <m/>
    <m/>
    <m/>
    <m/>
    <m/>
    <s v="AUD"/>
    <s v="13566007Waste Recycled - E-waste [t]"/>
    <n v="13566007"/>
  </r>
  <r>
    <d v="2019-07-01T00:00:00"/>
    <d v="2021-06-30T00:00:00"/>
    <s v="Telstra"/>
    <s v="NETWORK"/>
    <s v="Network - InfraCo"/>
    <s v="NSW"/>
    <s v="Australia"/>
    <s v="Mount Druitt"/>
    <s v="38-48 QUARRY DR"/>
    <n v="423032012200"/>
    <s v="Recycled Waste"/>
    <x v="0"/>
    <x v="1"/>
    <s v="Account"/>
    <s v="Remondis Metal - Copper"/>
    <m/>
    <s v="423031854500_RMETCOPPR"/>
    <s v="METAL - COPPER"/>
    <s v="Remondis"/>
    <m/>
    <m/>
    <d v="2021-01-01T00:00:00"/>
    <d v="2021-01-01T00:00:00"/>
    <s v="FY21"/>
    <s v="t"/>
    <n v="0"/>
    <n v="0"/>
    <n v="0.1"/>
    <n v="0.1"/>
    <n v="0"/>
    <n v="0"/>
    <n v="1"/>
    <n v="1"/>
    <n v="0"/>
    <n v="0"/>
    <n v="100"/>
    <s v="Consolidation"/>
    <s v="CO2e and Base Measure"/>
    <n v="100"/>
    <n v="100"/>
    <n v="0.1"/>
    <m/>
    <m/>
    <m/>
    <m/>
    <m/>
    <m/>
    <m/>
    <m/>
    <m/>
    <m/>
    <m/>
    <m/>
    <m/>
    <s v="AUD"/>
    <s v="13566007Waste Recycled - E-waste [t]"/>
    <n v="13566007"/>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0-07-01T00:00:00"/>
    <s v="FY21"/>
    <s v="t"/>
    <n v="2.7E-2"/>
    <n v="0"/>
    <n v="0"/>
    <n v="2.7E-2"/>
    <n v="1"/>
    <n v="0"/>
    <n v="0"/>
    <n v="1"/>
    <n v="100"/>
    <n v="0"/>
    <n v="0"/>
    <s v="Consolidation"/>
    <s v="CO2e and Base Measure"/>
    <n v="100"/>
    <n v="100"/>
    <n v="0.03"/>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0-11-01T00:00:00"/>
    <s v="FY21"/>
    <s v="t"/>
    <n v="2.7E-2"/>
    <n v="0"/>
    <n v="0"/>
    <n v="2.7E-2"/>
    <n v="1"/>
    <n v="0"/>
    <n v="0"/>
    <n v="1"/>
    <n v="100"/>
    <n v="0"/>
    <n v="0"/>
    <s v="Consolidation"/>
    <s v="CO2e and Base Measure"/>
    <n v="100"/>
    <n v="100"/>
    <n v="0.03"/>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0-12-01T00:00:00"/>
    <s v="FY21"/>
    <s v="t"/>
    <n v="0"/>
    <n v="0"/>
    <n v="1.24E-2"/>
    <n v="1.24E-2"/>
    <n v="0"/>
    <n v="0"/>
    <n v="31"/>
    <n v="31"/>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1-01T00:00:00"/>
    <s v="FY21"/>
    <s v="t"/>
    <n v="0"/>
    <n v="0"/>
    <n v="1.24E-2"/>
    <n v="1.24E-2"/>
    <n v="0"/>
    <n v="0"/>
    <n v="31"/>
    <n v="31"/>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2-01T00:00:00"/>
    <s v="FY21"/>
    <s v="t"/>
    <n v="0"/>
    <n v="0"/>
    <n v="1.12E-2"/>
    <n v="1.12E-2"/>
    <n v="0"/>
    <n v="0"/>
    <n v="28"/>
    <n v="28"/>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3-01T00:00:00"/>
    <s v="FY21"/>
    <s v="t"/>
    <n v="0"/>
    <n v="0"/>
    <n v="1.24E-2"/>
    <n v="1.24E-2"/>
    <n v="0"/>
    <n v="0"/>
    <n v="31"/>
    <n v="31"/>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4-01T00:00:00"/>
    <s v="FY21"/>
    <s v="t"/>
    <n v="0"/>
    <n v="0"/>
    <n v="1.2E-2"/>
    <n v="1.2E-2"/>
    <n v="0"/>
    <n v="0"/>
    <n v="30"/>
    <n v="30"/>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5-01T00:00:00"/>
    <s v="FY21"/>
    <s v="t"/>
    <n v="0"/>
    <n v="0"/>
    <n v="1.24E-2"/>
    <n v="1.24E-2"/>
    <n v="0"/>
    <n v="0"/>
    <n v="31"/>
    <n v="31"/>
    <n v="0"/>
    <n v="0"/>
    <n v="100"/>
    <s v="Consolidation"/>
    <s v="CO2e and Base Measure"/>
    <n v="100"/>
    <n v="100"/>
    <n v="0.01"/>
    <m/>
    <m/>
    <m/>
    <m/>
    <m/>
    <m/>
    <m/>
    <m/>
    <m/>
    <m/>
    <m/>
    <m/>
    <m/>
    <s v="AUD"/>
    <s v="13566433Waste Recycled - Paper and Cardboard [t]"/>
    <n v="13566433"/>
  </r>
  <r>
    <d v="2019-07-01T00:00:00"/>
    <d v="2021-06-30T00:00:00"/>
    <s v="Telstra"/>
    <s v="NON-NETWORK"/>
    <s v="NON-NETWORK"/>
    <s v="NSW"/>
    <s v="Australia"/>
    <s v="Sydney"/>
    <s v="400 GEORGE ST SYDNEY"/>
    <n v="423031477800"/>
    <s v="Recycled Waste"/>
    <x v="0"/>
    <x v="1"/>
    <s v="Account"/>
    <s v="Remondis Electrical Comp. (E-Waste)"/>
    <m/>
    <s v="423031477800_RELECTRIC"/>
    <s v="ELECTRICAL COMP. E-WASTE"/>
    <s v="Remondis"/>
    <m/>
    <m/>
    <d v="2021-01-01T00:00:00"/>
    <d v="2020-12-01T00:00:00"/>
    <s v="FY21"/>
    <s v="t"/>
    <n v="0.19700000000000001"/>
    <n v="0"/>
    <n v="0"/>
    <n v="0.19700000000000001"/>
    <n v="1"/>
    <n v="0"/>
    <n v="0"/>
    <n v="1"/>
    <n v="100"/>
    <n v="0"/>
    <n v="0"/>
    <s v="Consolidation"/>
    <s v="CO2e and Base Measure"/>
    <n v="100"/>
    <n v="100"/>
    <n v="0.2"/>
    <m/>
    <m/>
    <m/>
    <m/>
    <m/>
    <m/>
    <m/>
    <m/>
    <m/>
    <m/>
    <m/>
    <m/>
    <m/>
    <s v="AUD"/>
    <s v="13565648Waste Recycled - E-waste [t]"/>
    <n v="13565648"/>
  </r>
  <r>
    <d v="2019-07-01T00:00:00"/>
    <d v="2021-06-30T00:00:00"/>
    <s v="Telstra"/>
    <s v="NON-NETWORK"/>
    <s v="NON-NETWORK"/>
    <s v="NSW"/>
    <s v="Australia"/>
    <s v="Sydney"/>
    <s v="400 GEORGE ST SYDNEY"/>
    <n v="423031477800"/>
    <s v="Recycled Waste"/>
    <x v="0"/>
    <x v="1"/>
    <s v="Account"/>
    <s v="Remondis Electrical Comp. (E-Waste)"/>
    <m/>
    <s v="423031477800_RELECTRIC"/>
    <s v="ELECTRICAL COMP. E-WASTE"/>
    <s v="Remondis"/>
    <m/>
    <m/>
    <d v="2021-01-01T00:00:00"/>
    <d v="2021-01-01T00:00:00"/>
    <s v="FY21"/>
    <s v="t"/>
    <n v="0"/>
    <n v="0"/>
    <n v="6.6E-3"/>
    <n v="6.6E-3"/>
    <n v="0"/>
    <n v="0"/>
    <n v="1"/>
    <n v="1"/>
    <n v="0"/>
    <n v="0"/>
    <n v="100"/>
    <s v="Consolidation"/>
    <s v="CO2e and Base Measure"/>
    <n v="100"/>
    <n v="100"/>
    <n v="0.01"/>
    <m/>
    <m/>
    <m/>
    <m/>
    <m/>
    <m/>
    <m/>
    <m/>
    <m/>
    <m/>
    <m/>
    <m/>
    <m/>
    <s v="AUD"/>
    <s v="13565648Waste Recycled - E-waste [t]"/>
    <n v="13565648"/>
  </r>
  <r>
    <d v="2019-07-01T00:00:00"/>
    <d v="2021-06-30T00:00:00"/>
    <s v="Telstra"/>
    <s v="NON-NETWORK"/>
    <s v="NON-NETWORK"/>
    <s v="NSW"/>
    <s v="Australia"/>
    <s v="Sydney"/>
    <s v="400 GEORGE ST SYDNEY"/>
    <n v="423031477800"/>
    <s v="Waste"/>
    <x v="1"/>
    <x v="2"/>
    <s v="Account"/>
    <s v="Remondis General Waste"/>
    <m/>
    <s v="423031477800_WGENERALW"/>
    <s v="GENERAL WASTE"/>
    <s v="Remondis"/>
    <m/>
    <m/>
    <d v="2021-01-01T00:00:00"/>
    <d v="2020-12-01T00:00:00"/>
    <s v="FY21"/>
    <s v="t"/>
    <n v="0"/>
    <n v="0.53039999999999998"/>
    <n v="0"/>
    <n v="0.53039999999999998"/>
    <n v="0"/>
    <n v="10"/>
    <n v="0"/>
    <n v="10"/>
    <n v="0"/>
    <n v="100"/>
    <n v="0"/>
    <s v="Consolidation"/>
    <s v="CO2e and Base Measure"/>
    <n v="100"/>
    <n v="100"/>
    <n v="0.53"/>
    <m/>
    <m/>
    <m/>
    <m/>
    <m/>
    <n v="0.6895"/>
    <m/>
    <n v="0.6895"/>
    <m/>
    <m/>
    <m/>
    <m/>
    <m/>
    <s v="AUD"/>
    <s v="13565650Waste - General [t] - Scope 3"/>
    <n v="13565650"/>
  </r>
  <r>
    <d v="2019-07-01T00:00:00"/>
    <d v="2021-06-30T00:00:00"/>
    <s v="Telstra"/>
    <s v="NON-NETWORK"/>
    <s v="NON-NETWORK"/>
    <s v="NSW"/>
    <s v="Australia"/>
    <s v="Sydney"/>
    <s v="400 GEORGE ST SYDNEY"/>
    <n v="423031477800"/>
    <s v="Waste"/>
    <x v="1"/>
    <x v="2"/>
    <s v="Account"/>
    <s v="Remondis General Waste"/>
    <m/>
    <s v="423031477800_WGENERALW"/>
    <s v="GENERAL WASTE"/>
    <s v="Remondis"/>
    <m/>
    <m/>
    <d v="2021-01-01T00:00:00"/>
    <d v="2021-01-01T00:00:00"/>
    <s v="FY21"/>
    <s v="t"/>
    <n v="0"/>
    <n v="0"/>
    <n v="1.77E-2"/>
    <n v="1.77E-2"/>
    <n v="0"/>
    <n v="0"/>
    <n v="1"/>
    <n v="1"/>
    <n v="0"/>
    <n v="0"/>
    <n v="100"/>
    <s v="Consolidation"/>
    <s v="CO2e and Base Measure"/>
    <n v="100"/>
    <n v="100"/>
    <n v="0.02"/>
    <m/>
    <m/>
    <m/>
    <m/>
    <m/>
    <n v="2.3E-2"/>
    <m/>
    <n v="2.3E-2"/>
    <m/>
    <m/>
    <m/>
    <m/>
    <m/>
    <s v="AUD"/>
    <s v="13565650Waste - General [t] - Scope 3"/>
    <n v="13565650"/>
  </r>
  <r>
    <d v="2019-07-01T00:00:00"/>
    <d v="2021-06-30T00:00:00"/>
    <s v="Telstra"/>
    <s v="NON-NETWORK"/>
    <s v="NON-NETWORK"/>
    <s v="NSW"/>
    <s v="Australia"/>
    <s v="Sydney"/>
    <s v="400 GEORGE ST SYDNEY"/>
    <n v="423031477800"/>
    <s v="Recycled Waste"/>
    <x v="0"/>
    <x v="0"/>
    <s v="Account"/>
    <s v="Remondis Paper Mixed Office Recycled"/>
    <m/>
    <s v="423031477800_RPAPERMIX"/>
    <s v="PAPER MIXED OFFICE RECYCLED"/>
    <s v="Remondis"/>
    <m/>
    <m/>
    <d v="2021-01-01T00:00:00"/>
    <d v="2020-12-01T00:00:00"/>
    <s v="FY21"/>
    <s v="t"/>
    <n v="0"/>
    <n v="2.8799999999999999E-2"/>
    <n v="0"/>
    <n v="2.8799999999999999E-2"/>
    <n v="0"/>
    <n v="1"/>
    <n v="0"/>
    <n v="1"/>
    <n v="0"/>
    <n v="100"/>
    <n v="0"/>
    <s v="Consolidation"/>
    <s v="CO2e and Base Measure"/>
    <n v="100"/>
    <n v="100"/>
    <n v="0.03"/>
    <m/>
    <m/>
    <m/>
    <m/>
    <m/>
    <m/>
    <n v="0"/>
    <m/>
    <m/>
    <m/>
    <m/>
    <m/>
    <m/>
    <s v="AUD"/>
    <s v="13565652Waste Recycled - Cardboard [t]"/>
    <n v="13565652"/>
  </r>
  <r>
    <d v="2019-07-01T00:00:00"/>
    <d v="2021-06-30T00:00:00"/>
    <s v="Telstra"/>
    <s v="NON-NETWORK"/>
    <s v="NON-NETWORK"/>
    <s v="NSW"/>
    <s v="Australia"/>
    <s v="Sydney"/>
    <s v="400 GEORGE ST SYDNEY"/>
    <n v="423031477800"/>
    <s v="Recycled Waste"/>
    <x v="0"/>
    <x v="0"/>
    <s v="Account"/>
    <s v="Remondis Paper Mixed Office Recycled"/>
    <m/>
    <s v="423031477800_RPAPERMIX"/>
    <s v="PAPER MIXED OFFICE RECYCLED"/>
    <s v="Remondis"/>
    <m/>
    <m/>
    <d v="2021-01-01T00:00:00"/>
    <d v="2021-01-01T00:00:00"/>
    <s v="FY21"/>
    <s v="t"/>
    <n v="0"/>
    <n v="0"/>
    <n v="1E-3"/>
    <n v="1E-3"/>
    <n v="0"/>
    <n v="0"/>
    <n v="1"/>
    <n v="1"/>
    <n v="0"/>
    <n v="0"/>
    <n v="100"/>
    <s v="Consolidation"/>
    <s v="CO2e and Base Measure"/>
    <n v="100"/>
    <n v="100"/>
    <n v="0"/>
    <m/>
    <m/>
    <m/>
    <m/>
    <m/>
    <m/>
    <n v="0"/>
    <m/>
    <m/>
    <m/>
    <m/>
    <m/>
    <m/>
    <s v="AUD"/>
    <s v="13565652Waste Recycled - Cardboard [t]"/>
    <n v="13565652"/>
  </r>
  <r>
    <d v="2019-07-01T00:00:00"/>
    <d v="2021-06-30T00:00:00"/>
    <s v="Telstra"/>
    <s v="NON-NETWORK"/>
    <s v="NON-NETWORK"/>
    <s v="NSW"/>
    <s v="Australia"/>
    <s v="Sydney"/>
    <s v="400 GEORGE ST SYDNEY"/>
    <n v="423031477800"/>
    <s v="Recycled Waste"/>
    <x v="0"/>
    <x v="3"/>
    <s v="Account"/>
    <s v="Remondis Commingled - Recycled"/>
    <m/>
    <s v="423031477800_RCOMINGLE"/>
    <s v="COMMINGLED - RECYCLED"/>
    <s v="Remondis"/>
    <m/>
    <m/>
    <d v="2021-01-01T00:00:00"/>
    <d v="2020-12-01T00:00:00"/>
    <s v="FY21"/>
    <s v="t"/>
    <n v="0"/>
    <n v="2.4E-2"/>
    <n v="0"/>
    <n v="2.4E-2"/>
    <n v="0"/>
    <n v="1"/>
    <n v="0"/>
    <n v="1"/>
    <n v="0"/>
    <n v="100"/>
    <n v="0"/>
    <s v="Consolidation"/>
    <s v="CO2e and Base Measure"/>
    <n v="100"/>
    <n v="100"/>
    <n v="0.02"/>
    <m/>
    <m/>
    <m/>
    <m/>
    <m/>
    <m/>
    <n v="0"/>
    <m/>
    <m/>
    <m/>
    <m/>
    <m/>
    <m/>
    <s v="AUD"/>
    <s v="13576264Waste Recycled - Commingled [t]"/>
    <n v="13576264"/>
  </r>
  <r>
    <d v="2019-07-01T00:00:00"/>
    <d v="2021-06-30T00:00:00"/>
    <s v="Telstra"/>
    <s v="NON-NETWORK"/>
    <s v="NON-NETWORK"/>
    <s v="NSW"/>
    <s v="Australia"/>
    <s v="Sydney"/>
    <s v="400 GEORGE ST SYDNEY"/>
    <n v="423031477800"/>
    <s v="Recycled Waste"/>
    <x v="0"/>
    <x v="3"/>
    <s v="Account"/>
    <s v="Remondis Commingled - Recycled"/>
    <m/>
    <s v="423031477800_RCOMINGLE"/>
    <s v="COMMINGLED - RECYCLED"/>
    <s v="Remondis"/>
    <m/>
    <m/>
    <d v="2021-01-01T00:00:00"/>
    <d v="2021-01-01T00:00:00"/>
    <s v="FY21"/>
    <s v="t"/>
    <n v="0"/>
    <n v="0"/>
    <n v="8.0000000000000004E-4"/>
    <n v="8.0000000000000004E-4"/>
    <n v="0"/>
    <n v="0"/>
    <n v="1"/>
    <n v="1"/>
    <n v="0"/>
    <n v="0"/>
    <n v="100"/>
    <s v="Consolidation"/>
    <s v="CO2e and Base Measure"/>
    <n v="100"/>
    <n v="100"/>
    <n v="0"/>
    <m/>
    <m/>
    <m/>
    <m/>
    <m/>
    <m/>
    <n v="0"/>
    <m/>
    <m/>
    <m/>
    <m/>
    <m/>
    <m/>
    <s v="AUD"/>
    <s v="13576264Waste Recycled - Commingled [t]"/>
    <n v="13576264"/>
  </r>
  <r>
    <d v="2019-07-01T00:00:00"/>
    <d v="2021-06-30T00:00:00"/>
    <s v="Telstra"/>
    <s v="NON-NETWORK"/>
    <s v="NON-NETWORK"/>
    <s v="NSW"/>
    <s v="Australia"/>
    <s v="Sydney"/>
    <s v="400 GEORGE ST SYDNEY"/>
    <n v="423031477800"/>
    <s v="Recycled Waste"/>
    <x v="0"/>
    <x v="0"/>
    <s v="Account"/>
    <s v="Remondis Security Destruction"/>
    <m/>
    <s v="423031477800_RPAPSECUR"/>
    <s v="SECURITY DESTRUCTION"/>
    <s v="Remondis"/>
    <m/>
    <m/>
    <d v="2021-01-01T00:00:00"/>
    <d v="2020-12-01T00:00:00"/>
    <s v="FY21"/>
    <s v="t"/>
    <n v="0"/>
    <n v="7.9200000000000007E-2"/>
    <n v="0"/>
    <n v="7.9200000000000007E-2"/>
    <n v="0"/>
    <n v="1"/>
    <n v="0"/>
    <n v="1"/>
    <n v="0"/>
    <n v="100"/>
    <n v="0"/>
    <s v="Consolidation"/>
    <s v="CO2e and Base Measure"/>
    <n v="100"/>
    <n v="100"/>
    <n v="0.08"/>
    <m/>
    <m/>
    <m/>
    <m/>
    <m/>
    <m/>
    <n v="0"/>
    <m/>
    <m/>
    <m/>
    <m/>
    <m/>
    <m/>
    <s v="AUD"/>
    <s v="13602593Waste Recycled - Cardboard [t]"/>
    <n v="13602593"/>
  </r>
  <r>
    <d v="2019-07-01T00:00:00"/>
    <d v="2021-06-30T00:00:00"/>
    <s v="Telstra"/>
    <s v="NON-NETWORK"/>
    <s v="NON-NETWORK"/>
    <s v="NSW"/>
    <s v="Australia"/>
    <s v="Sydney"/>
    <s v="400 GEORGE ST SYDNEY"/>
    <n v="423031477800"/>
    <s v="Recycled Waste"/>
    <x v="0"/>
    <x v="0"/>
    <s v="Account"/>
    <s v="Remondis Security Destruction"/>
    <m/>
    <s v="423031477800_RPAPSECUR"/>
    <s v="SECURITY DESTRUCTION"/>
    <s v="Remondis"/>
    <m/>
    <m/>
    <d v="2021-01-01T00:00:00"/>
    <d v="2021-01-01T00:00:00"/>
    <s v="FY21"/>
    <s v="t"/>
    <n v="0"/>
    <n v="0"/>
    <n v="2.5999999999999999E-3"/>
    <n v="2.5999999999999999E-3"/>
    <n v="0"/>
    <n v="0"/>
    <n v="1"/>
    <n v="1"/>
    <n v="0"/>
    <n v="0"/>
    <n v="100"/>
    <s v="Consolidation"/>
    <s v="CO2e and Base Measure"/>
    <n v="100"/>
    <n v="100"/>
    <n v="0"/>
    <m/>
    <m/>
    <m/>
    <m/>
    <m/>
    <m/>
    <n v="0"/>
    <m/>
    <m/>
    <m/>
    <m/>
    <m/>
    <m/>
    <s v="AUD"/>
    <s v="13602593Waste Recycled - Cardboard [t]"/>
    <n v="13602593"/>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0-12-01T00:00:00"/>
    <s v="FY21"/>
    <s v="t"/>
    <n v="0.28999999999999998"/>
    <n v="0"/>
    <n v="0"/>
    <n v="0.28999999999999998"/>
    <n v="2"/>
    <n v="0"/>
    <n v="0"/>
    <n v="2"/>
    <n v="100"/>
    <n v="0"/>
    <n v="0"/>
    <s v="Consolidation"/>
    <s v="CO2e and Base Measure"/>
    <n v="100"/>
    <n v="100"/>
    <n v="0.28999999999999998"/>
    <m/>
    <m/>
    <m/>
    <m/>
    <m/>
    <n v="0.377"/>
    <m/>
    <n v="0.377"/>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1-01T00:00:00"/>
    <s v="FY21"/>
    <s v="t"/>
    <n v="7.1999999999999995E-2"/>
    <n v="0"/>
    <n v="0"/>
    <n v="7.1999999999999995E-2"/>
    <n v="2"/>
    <n v="0"/>
    <n v="0"/>
    <n v="2"/>
    <n v="100"/>
    <n v="0"/>
    <n v="0"/>
    <s v="Consolidation"/>
    <s v="CO2e and Base Measure"/>
    <n v="100"/>
    <n v="100"/>
    <n v="7.0000000000000007E-2"/>
    <m/>
    <m/>
    <m/>
    <m/>
    <m/>
    <n v="9.3600000000000003E-2"/>
    <m/>
    <n v="9.3600000000000003E-2"/>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2-01T00:00:00"/>
    <s v="FY21"/>
    <s v="t"/>
    <n v="7.5999999999999998E-2"/>
    <n v="6.7500000000000004E-2"/>
    <n v="0"/>
    <n v="0.14349999999999999"/>
    <n v="1"/>
    <n v="1"/>
    <n v="0"/>
    <n v="2"/>
    <n v="52.96"/>
    <n v="47.03"/>
    <n v="0"/>
    <s v="Consolidation"/>
    <s v="CO2e and Base Measure"/>
    <n v="100"/>
    <n v="100"/>
    <n v="0.14000000000000001"/>
    <m/>
    <m/>
    <m/>
    <m/>
    <m/>
    <n v="0.18659999999999999"/>
    <m/>
    <n v="0.18659999999999999"/>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3-01T00:00:00"/>
    <s v="FY21"/>
    <s v="t"/>
    <n v="7.9000000000000001E-2"/>
    <n v="6.7500000000000004E-2"/>
    <n v="0"/>
    <n v="0.14649999999999999"/>
    <n v="1"/>
    <n v="1"/>
    <n v="0"/>
    <n v="2"/>
    <n v="53.92"/>
    <n v="46.07"/>
    <n v="0"/>
    <s v="Consolidation"/>
    <s v="CO2e and Base Measure"/>
    <n v="100"/>
    <n v="100"/>
    <n v="0.15"/>
    <m/>
    <m/>
    <m/>
    <m/>
    <m/>
    <n v="0.1905"/>
    <m/>
    <n v="0.1905"/>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4-01T00:00:00"/>
    <s v="FY21"/>
    <s v="t"/>
    <n v="0"/>
    <n v="0"/>
    <n v="0.16200000000000001"/>
    <n v="0.16200000000000001"/>
    <n v="0"/>
    <n v="0"/>
    <n v="30"/>
    <n v="30"/>
    <n v="0"/>
    <n v="0"/>
    <n v="100"/>
    <s v="Consolidation"/>
    <s v="CO2e and Base Measure"/>
    <n v="100"/>
    <n v="100"/>
    <n v="0.16"/>
    <m/>
    <m/>
    <m/>
    <m/>
    <m/>
    <n v="0.21060000000000001"/>
    <m/>
    <n v="0.21060000000000001"/>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5-01T00:00:00"/>
    <s v="FY21"/>
    <s v="t"/>
    <n v="0"/>
    <n v="0"/>
    <n v="0.16739999999999999"/>
    <n v="0.16739999999999999"/>
    <n v="0"/>
    <n v="0"/>
    <n v="31"/>
    <n v="31"/>
    <n v="0"/>
    <n v="0"/>
    <n v="100"/>
    <s v="Consolidation"/>
    <s v="CO2e and Base Measure"/>
    <n v="100"/>
    <n v="100"/>
    <n v="0.17"/>
    <m/>
    <m/>
    <m/>
    <m/>
    <m/>
    <n v="0.21759999999999999"/>
    <m/>
    <n v="0.21759999999999999"/>
    <m/>
    <m/>
    <m/>
    <m/>
    <m/>
    <s v="AUD"/>
    <s v="13634371Waste - General [t] - Scope 3"/>
    <n v="13634371"/>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0-12-01T00:00:00"/>
    <s v="FY21"/>
    <s v="t"/>
    <n v="0.217"/>
    <n v="0"/>
    <n v="0"/>
    <n v="0.217"/>
    <n v="1"/>
    <n v="0"/>
    <n v="0"/>
    <n v="1"/>
    <n v="100"/>
    <n v="0"/>
    <n v="0"/>
    <s v="Consolidation"/>
    <s v="CO2e and Base Measure"/>
    <n v="100"/>
    <n v="100"/>
    <n v="0.22"/>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1-01T00:00:00"/>
    <s v="FY21"/>
    <s v="t"/>
    <n v="3.5000000000000003E-2"/>
    <n v="0"/>
    <n v="0"/>
    <n v="3.5000000000000003E-2"/>
    <n v="2"/>
    <n v="0"/>
    <n v="0"/>
    <n v="2"/>
    <n v="100"/>
    <n v="0"/>
    <n v="0"/>
    <s v="Consolidation"/>
    <s v="CO2e and Base Measure"/>
    <n v="100"/>
    <n v="100"/>
    <n v="0.04"/>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2-01T00:00:00"/>
    <s v="FY21"/>
    <s v="t"/>
    <n v="0.06"/>
    <n v="3.7499999999999999E-2"/>
    <n v="0"/>
    <n v="9.7500000000000003E-2"/>
    <n v="1"/>
    <n v="1"/>
    <n v="0"/>
    <n v="2"/>
    <n v="61.53"/>
    <n v="38.46"/>
    <n v="0"/>
    <s v="Consolidation"/>
    <s v="CO2e and Base Measure"/>
    <n v="100"/>
    <n v="100"/>
    <n v="0.1"/>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3-01T00:00:00"/>
    <s v="FY21"/>
    <s v="t"/>
    <n v="0"/>
    <n v="3.7499999999999999E-2"/>
    <n v="0"/>
    <n v="3.7499999999999999E-2"/>
    <n v="0"/>
    <n v="1"/>
    <n v="0"/>
    <n v="1"/>
    <n v="0"/>
    <n v="100"/>
    <n v="0"/>
    <s v="Consolidation"/>
    <s v="CO2e and Base Measure"/>
    <n v="100"/>
    <n v="100"/>
    <n v="0.04"/>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4-01T00:00:00"/>
    <s v="FY21"/>
    <s v="t"/>
    <n v="0"/>
    <n v="0"/>
    <n v="9.6000000000000002E-2"/>
    <n v="9.6000000000000002E-2"/>
    <n v="0"/>
    <n v="0"/>
    <n v="30"/>
    <n v="30"/>
    <n v="0"/>
    <n v="0"/>
    <n v="100"/>
    <s v="Consolidation"/>
    <s v="CO2e and Base Measure"/>
    <n v="100"/>
    <n v="100"/>
    <n v="0.1"/>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5-01T00:00:00"/>
    <s v="FY21"/>
    <s v="t"/>
    <n v="0"/>
    <n v="0"/>
    <n v="9.9199999999999997E-2"/>
    <n v="9.9199999999999997E-2"/>
    <n v="0"/>
    <n v="0"/>
    <n v="31"/>
    <n v="31"/>
    <n v="0"/>
    <n v="0"/>
    <n v="100"/>
    <s v="Consolidation"/>
    <s v="CO2e and Base Measure"/>
    <n v="100"/>
    <n v="100"/>
    <n v="0.1"/>
    <m/>
    <m/>
    <m/>
    <m/>
    <m/>
    <m/>
    <m/>
    <m/>
    <m/>
    <m/>
    <m/>
    <m/>
    <m/>
    <s v="AUD"/>
    <s v="13634372Waste Recycled - Paper and Cardboard [t]"/>
    <n v="13634372"/>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0-12-01T00:00:00"/>
    <s v="FY21"/>
    <s v="t"/>
    <n v="7.9000000000000001E-2"/>
    <n v="0"/>
    <n v="0"/>
    <n v="7.9000000000000001E-2"/>
    <n v="2"/>
    <n v="0"/>
    <n v="0"/>
    <n v="2"/>
    <n v="100"/>
    <n v="0"/>
    <n v="0"/>
    <s v="Consolidation"/>
    <s v="CO2e and Base Measure"/>
    <n v="100"/>
    <n v="100"/>
    <n v="0.08"/>
    <m/>
    <m/>
    <m/>
    <m/>
    <m/>
    <n v="0.1027"/>
    <m/>
    <n v="0.1027"/>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1-01T00:00:00"/>
    <s v="FY21"/>
    <s v="t"/>
    <n v="2.1999999999999999E-2"/>
    <n v="0.13500000000000001"/>
    <n v="0"/>
    <n v="0.157"/>
    <n v="1"/>
    <n v="1"/>
    <n v="0"/>
    <n v="2"/>
    <n v="14.01"/>
    <n v="85.98"/>
    <n v="0"/>
    <s v="Consolidation"/>
    <s v="CO2e and Base Measure"/>
    <n v="100"/>
    <n v="100"/>
    <n v="0.16"/>
    <m/>
    <m/>
    <m/>
    <m/>
    <m/>
    <n v="0.2041"/>
    <m/>
    <n v="0.2041"/>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2-01T00:00:00"/>
    <s v="FY21"/>
    <s v="t"/>
    <n v="0.14699999999999999"/>
    <n v="0.13500000000000001"/>
    <n v="0"/>
    <n v="0.28199999999999997"/>
    <n v="1"/>
    <n v="1"/>
    <n v="0"/>
    <n v="2"/>
    <n v="52.12"/>
    <n v="47.87"/>
    <n v="0"/>
    <s v="Consolidation"/>
    <s v="CO2e and Base Measure"/>
    <n v="100"/>
    <n v="100"/>
    <n v="0.28000000000000003"/>
    <m/>
    <m/>
    <m/>
    <m/>
    <m/>
    <n v="0.36659999999999998"/>
    <m/>
    <n v="0.36659999999999998"/>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3-01T00:00:00"/>
    <s v="FY21"/>
    <s v="t"/>
    <n v="0.157"/>
    <n v="0"/>
    <n v="0"/>
    <n v="0.157"/>
    <n v="3"/>
    <n v="0"/>
    <n v="0"/>
    <n v="3"/>
    <n v="100"/>
    <n v="0"/>
    <n v="0"/>
    <s v="Consolidation"/>
    <s v="CO2e and Base Measure"/>
    <n v="100"/>
    <n v="100"/>
    <n v="0.16"/>
    <m/>
    <m/>
    <m/>
    <m/>
    <m/>
    <n v="0.2041"/>
    <m/>
    <n v="0.2041"/>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4-01T00:00:00"/>
    <s v="FY21"/>
    <s v="t"/>
    <n v="0"/>
    <n v="0"/>
    <n v="0.16800000000000001"/>
    <n v="0.16800000000000001"/>
    <n v="0"/>
    <n v="0"/>
    <n v="30"/>
    <n v="30"/>
    <n v="0"/>
    <n v="0"/>
    <n v="100"/>
    <s v="Consolidation"/>
    <s v="CO2e and Base Measure"/>
    <n v="100"/>
    <n v="100"/>
    <n v="0.17"/>
    <m/>
    <m/>
    <m/>
    <m/>
    <m/>
    <n v="0.21840000000000001"/>
    <m/>
    <n v="0.21840000000000001"/>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5-01T00:00:00"/>
    <s v="FY21"/>
    <s v="t"/>
    <n v="0"/>
    <n v="0"/>
    <n v="0.1736"/>
    <n v="0.1736"/>
    <n v="0"/>
    <n v="0"/>
    <n v="31"/>
    <n v="31"/>
    <n v="0"/>
    <n v="0"/>
    <n v="100"/>
    <s v="Consolidation"/>
    <s v="CO2e and Base Measure"/>
    <n v="100"/>
    <n v="100"/>
    <n v="0.17"/>
    <m/>
    <m/>
    <m/>
    <m/>
    <m/>
    <n v="0.22570000000000001"/>
    <m/>
    <n v="0.22570000000000001"/>
    <m/>
    <m/>
    <m/>
    <m/>
    <m/>
    <s v="AUD"/>
    <s v="13634237Waste - General [t] - Scope 3"/>
    <n v="13634237"/>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0-12-01T00:00:00"/>
    <s v="FY21"/>
    <s v="t"/>
    <n v="0.24"/>
    <n v="0.27"/>
    <n v="0"/>
    <n v="0.51"/>
    <n v="1"/>
    <n v="2"/>
    <n v="0"/>
    <n v="3"/>
    <n v="47.05"/>
    <n v="52.94"/>
    <n v="0"/>
    <s v="Consolidation"/>
    <s v="CO2e and Base Measure"/>
    <n v="100"/>
    <n v="100"/>
    <n v="0.51"/>
    <m/>
    <m/>
    <m/>
    <m/>
    <m/>
    <n v="0.66300000000000003"/>
    <m/>
    <n v="0.66300000000000003"/>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1-01T00:00:00"/>
    <s v="FY21"/>
    <s v="t"/>
    <n v="0.26500000000000001"/>
    <n v="0.27"/>
    <n v="0"/>
    <n v="0.53500000000000003"/>
    <n v="2"/>
    <n v="2"/>
    <n v="0"/>
    <n v="4"/>
    <n v="49.53"/>
    <n v="50.46"/>
    <n v="0"/>
    <s v="Consolidation"/>
    <s v="CO2e and Base Measure"/>
    <n v="100"/>
    <n v="100"/>
    <n v="0.54"/>
    <m/>
    <m/>
    <m/>
    <m/>
    <m/>
    <n v="0.69550000000000001"/>
    <m/>
    <n v="0.69550000000000001"/>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2-01T00:00:00"/>
    <s v="FY21"/>
    <s v="t"/>
    <n v="0.42499999999999999"/>
    <n v="0.13500000000000001"/>
    <n v="0"/>
    <n v="0.56000000000000005"/>
    <n v="3"/>
    <n v="1"/>
    <n v="0"/>
    <n v="4"/>
    <n v="75.89"/>
    <n v="24.1"/>
    <n v="0"/>
    <s v="Consolidation"/>
    <s v="CO2e and Base Measure"/>
    <n v="100"/>
    <n v="100"/>
    <n v="0.56000000000000005"/>
    <m/>
    <m/>
    <m/>
    <m/>
    <m/>
    <n v="0.72799999999999998"/>
    <m/>
    <n v="0.72799999999999998"/>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3-01T00:00:00"/>
    <s v="FY21"/>
    <s v="t"/>
    <n v="1.0649999999999999"/>
    <n v="0"/>
    <n v="0"/>
    <n v="1.0649999999999999"/>
    <n v="5"/>
    <n v="0"/>
    <n v="0"/>
    <n v="5"/>
    <n v="100"/>
    <n v="0"/>
    <n v="0"/>
    <s v="Consolidation"/>
    <s v="CO2e and Base Measure"/>
    <n v="100"/>
    <n v="100"/>
    <n v="1.07"/>
    <m/>
    <m/>
    <m/>
    <m/>
    <m/>
    <n v="1.3845000000000001"/>
    <m/>
    <n v="1.3845000000000001"/>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4-01T00:00:00"/>
    <s v="FY21"/>
    <s v="t"/>
    <n v="0"/>
    <n v="0"/>
    <n v="0.66600000000000004"/>
    <n v="0.66600000000000004"/>
    <n v="0"/>
    <n v="0"/>
    <n v="30"/>
    <n v="30"/>
    <n v="0"/>
    <n v="0"/>
    <n v="100"/>
    <s v="Consolidation"/>
    <s v="CO2e and Base Measure"/>
    <n v="100"/>
    <n v="100"/>
    <n v="0.67"/>
    <m/>
    <m/>
    <m/>
    <m/>
    <m/>
    <n v="0.86580000000000001"/>
    <m/>
    <n v="0.86580000000000001"/>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5-01T00:00:00"/>
    <s v="FY21"/>
    <s v="t"/>
    <n v="0"/>
    <n v="0"/>
    <n v="0.68820000000000003"/>
    <n v="0.68820000000000003"/>
    <n v="0"/>
    <n v="0"/>
    <n v="31"/>
    <n v="31"/>
    <n v="0"/>
    <n v="0"/>
    <n v="100"/>
    <s v="Consolidation"/>
    <s v="CO2e and Base Measure"/>
    <n v="100"/>
    <n v="100"/>
    <n v="0.69"/>
    <m/>
    <m/>
    <m/>
    <m/>
    <m/>
    <n v="0.89470000000000005"/>
    <m/>
    <n v="0.89470000000000005"/>
    <m/>
    <m/>
    <m/>
    <m/>
    <m/>
    <s v="AUD"/>
    <s v="13634261Waste - General [t] - Scope 3"/>
    <n v="13634261"/>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1-01T00:00:00"/>
    <s v="FY21"/>
    <s v="t"/>
    <n v="0"/>
    <n v="0.39600000000000002"/>
    <n v="0"/>
    <n v="0.39600000000000002"/>
    <n v="0"/>
    <n v="5"/>
    <n v="0"/>
    <n v="5"/>
    <n v="0"/>
    <n v="100"/>
    <n v="0"/>
    <s v="Consolidation"/>
    <s v="CO2e and Base Measure"/>
    <n v="100"/>
    <n v="100"/>
    <n v="0.4"/>
    <m/>
    <m/>
    <m/>
    <m/>
    <m/>
    <n v="0.51480000000000004"/>
    <m/>
    <n v="0.51480000000000004"/>
    <m/>
    <m/>
    <m/>
    <m/>
    <m/>
    <s v="AUD"/>
    <s v="13634434Waste - General [t] - Scope 3"/>
    <n v="13634434"/>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2-01T00:00:00"/>
    <s v="FY21"/>
    <s v="t"/>
    <n v="0"/>
    <n v="0.69299999999999995"/>
    <n v="0"/>
    <n v="0.69299999999999995"/>
    <n v="0"/>
    <n v="8"/>
    <n v="0"/>
    <n v="8"/>
    <n v="0"/>
    <n v="100"/>
    <n v="0"/>
    <s v="Consolidation"/>
    <s v="CO2e and Base Measure"/>
    <n v="100"/>
    <n v="100"/>
    <n v="0.69"/>
    <m/>
    <m/>
    <m/>
    <m/>
    <m/>
    <n v="0.90090000000000003"/>
    <m/>
    <n v="0.90090000000000003"/>
    <m/>
    <m/>
    <m/>
    <m/>
    <m/>
    <s v="AUD"/>
    <s v="13634434Waste - General [t] - Scope 3"/>
    <n v="13634434"/>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3-01T00:00:00"/>
    <s v="FY21"/>
    <s v="t"/>
    <n v="0"/>
    <n v="0.59399999999999997"/>
    <n v="0"/>
    <n v="0.59399999999999997"/>
    <n v="0"/>
    <n v="7"/>
    <n v="0"/>
    <n v="7"/>
    <n v="0"/>
    <n v="100"/>
    <n v="0"/>
    <s v="Consolidation"/>
    <s v="CO2e and Base Measure"/>
    <n v="100"/>
    <n v="100"/>
    <n v="0.59"/>
    <m/>
    <m/>
    <m/>
    <m/>
    <m/>
    <n v="0.7722"/>
    <m/>
    <n v="0.7722"/>
    <m/>
    <m/>
    <m/>
    <m/>
    <m/>
    <s v="AUD"/>
    <s v="13634434Waste - General [t] - Scope 3"/>
    <n v="13634434"/>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4-01T00:00:00"/>
    <s v="FY21"/>
    <s v="t"/>
    <n v="0"/>
    <n v="0"/>
    <n v="0.56699999999999995"/>
    <n v="0.56699999999999995"/>
    <n v="0"/>
    <n v="0"/>
    <n v="30"/>
    <n v="30"/>
    <n v="0"/>
    <n v="0"/>
    <n v="100"/>
    <s v="Consolidation"/>
    <s v="CO2e and Base Measure"/>
    <n v="100"/>
    <n v="100"/>
    <n v="0.56999999999999995"/>
    <m/>
    <m/>
    <m/>
    <m/>
    <m/>
    <n v="0.73709999999999998"/>
    <m/>
    <n v="0.73709999999999998"/>
    <m/>
    <m/>
    <m/>
    <m/>
    <m/>
    <s v="AUD"/>
    <s v="13634434Waste - General [t] - Scope 3"/>
    <n v="13634434"/>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5-01T00:00:00"/>
    <s v="FY21"/>
    <s v="t"/>
    <n v="0"/>
    <n v="0"/>
    <n v="0.58589999999999998"/>
    <n v="0.58589999999999998"/>
    <n v="0"/>
    <n v="0"/>
    <n v="31"/>
    <n v="31"/>
    <n v="0"/>
    <n v="0"/>
    <n v="100"/>
    <s v="Consolidation"/>
    <s v="CO2e and Base Measure"/>
    <n v="100"/>
    <n v="100"/>
    <n v="0.59"/>
    <m/>
    <m/>
    <m/>
    <m/>
    <m/>
    <n v="0.76170000000000004"/>
    <m/>
    <n v="0.76170000000000004"/>
    <m/>
    <m/>
    <m/>
    <m/>
    <m/>
    <s v="AUD"/>
    <s v="13634434Waste - General [t] - Scope 3"/>
    <n v="13634434"/>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1-01T00:00:00"/>
    <s v="FY21"/>
    <s v="t"/>
    <n v="0"/>
    <n v="5.5E-2"/>
    <n v="0"/>
    <n v="5.5E-2"/>
    <n v="0"/>
    <n v="2"/>
    <n v="0"/>
    <n v="2"/>
    <n v="0"/>
    <n v="100"/>
    <n v="0"/>
    <s v="Consolidation"/>
    <s v="CO2e and Base Measure"/>
    <n v="100"/>
    <n v="100"/>
    <n v="0.06"/>
    <m/>
    <m/>
    <m/>
    <m/>
    <m/>
    <m/>
    <m/>
    <m/>
    <m/>
    <m/>
    <m/>
    <m/>
    <m/>
    <s v="AUD"/>
    <s v="13634435Waste Recycled - Paper and Cardboard [t]"/>
    <n v="13634435"/>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2-01T00:00:00"/>
    <s v="FY21"/>
    <s v="t"/>
    <n v="0"/>
    <n v="5.5E-2"/>
    <n v="0"/>
    <n v="5.5E-2"/>
    <n v="0"/>
    <n v="2"/>
    <n v="0"/>
    <n v="2"/>
    <n v="0"/>
    <n v="100"/>
    <n v="0"/>
    <s v="Consolidation"/>
    <s v="CO2e and Base Measure"/>
    <n v="100"/>
    <n v="100"/>
    <n v="0.06"/>
    <m/>
    <m/>
    <m/>
    <m/>
    <m/>
    <m/>
    <m/>
    <m/>
    <m/>
    <m/>
    <m/>
    <m/>
    <m/>
    <s v="AUD"/>
    <s v="13634435Waste Recycled - Paper and Cardboard [t]"/>
    <n v="13634435"/>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3-01T00:00:00"/>
    <s v="FY21"/>
    <s v="t"/>
    <n v="0"/>
    <n v="0.11"/>
    <n v="0"/>
    <n v="0.11"/>
    <n v="0"/>
    <n v="4"/>
    <n v="0"/>
    <n v="4"/>
    <n v="0"/>
    <n v="100"/>
    <n v="0"/>
    <s v="Consolidation"/>
    <s v="CO2e and Base Measure"/>
    <n v="100"/>
    <n v="100"/>
    <n v="0.11"/>
    <m/>
    <m/>
    <m/>
    <m/>
    <m/>
    <m/>
    <m/>
    <m/>
    <m/>
    <m/>
    <m/>
    <m/>
    <m/>
    <s v="AUD"/>
    <s v="13634435Waste Recycled - Paper and Cardboard [t]"/>
    <n v="13634435"/>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4-01T00:00:00"/>
    <s v="FY21"/>
    <s v="t"/>
    <n v="0"/>
    <n v="0"/>
    <n v="7.4999999999999997E-2"/>
    <n v="7.4999999999999997E-2"/>
    <n v="0"/>
    <n v="0"/>
    <n v="30"/>
    <n v="30"/>
    <n v="0"/>
    <n v="0"/>
    <n v="100"/>
    <s v="Consolidation"/>
    <s v="CO2e and Base Measure"/>
    <n v="100"/>
    <n v="100"/>
    <n v="0.08"/>
    <m/>
    <m/>
    <m/>
    <m/>
    <m/>
    <m/>
    <m/>
    <m/>
    <m/>
    <m/>
    <m/>
    <m/>
    <m/>
    <s v="AUD"/>
    <s v="13634435Waste Recycled - Paper and Cardboard [t]"/>
    <n v="13634435"/>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5-01T00:00:00"/>
    <s v="FY21"/>
    <s v="t"/>
    <n v="0"/>
    <n v="0"/>
    <n v="7.7499999999999999E-2"/>
    <n v="7.7499999999999999E-2"/>
    <n v="0"/>
    <n v="0"/>
    <n v="31"/>
    <n v="31"/>
    <n v="0"/>
    <n v="0"/>
    <n v="100"/>
    <s v="Consolidation"/>
    <s v="CO2e and Base Measure"/>
    <n v="100"/>
    <n v="100"/>
    <n v="0.08"/>
    <m/>
    <m/>
    <m/>
    <m/>
    <m/>
    <m/>
    <m/>
    <m/>
    <m/>
    <m/>
    <m/>
    <m/>
    <m/>
    <s v="AUD"/>
    <s v="13634435Waste Recycled - Paper and Cardboard [t]"/>
    <n v="13634435"/>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0-12-01T00:00:00"/>
    <s v="FY21"/>
    <s v="t"/>
    <n v="0.02"/>
    <n v="6.7500000000000004E-2"/>
    <n v="0"/>
    <n v="8.7499999999999994E-2"/>
    <n v="1"/>
    <n v="1"/>
    <n v="0"/>
    <n v="2"/>
    <n v="22.85"/>
    <n v="77.14"/>
    <n v="0"/>
    <s v="Consolidation"/>
    <s v="CO2e and Base Measure"/>
    <n v="100"/>
    <n v="100"/>
    <n v="0.09"/>
    <m/>
    <m/>
    <m/>
    <m/>
    <m/>
    <n v="0.1138"/>
    <m/>
    <n v="0.1138"/>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2-01T00:00:00"/>
    <s v="FY21"/>
    <s v="t"/>
    <n v="0.04"/>
    <n v="0"/>
    <n v="0"/>
    <n v="0.04"/>
    <n v="1"/>
    <n v="0"/>
    <n v="0"/>
    <n v="1"/>
    <n v="100"/>
    <n v="0"/>
    <n v="0"/>
    <s v="Consolidation"/>
    <s v="CO2e and Base Measure"/>
    <n v="100"/>
    <n v="100"/>
    <n v="0.04"/>
    <m/>
    <m/>
    <m/>
    <m/>
    <m/>
    <n v="5.1999999999999998E-2"/>
    <m/>
    <n v="5.1999999999999998E-2"/>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3-01T00:00:00"/>
    <s v="FY21"/>
    <s v="t"/>
    <n v="6.0999999999999999E-2"/>
    <n v="6.7500000000000004E-2"/>
    <n v="0"/>
    <n v="0.1285"/>
    <n v="2"/>
    <n v="1"/>
    <n v="0"/>
    <n v="3"/>
    <n v="47.47"/>
    <n v="52.52"/>
    <n v="0"/>
    <s v="Consolidation"/>
    <s v="CO2e and Base Measure"/>
    <n v="100"/>
    <n v="100"/>
    <n v="0.13"/>
    <m/>
    <m/>
    <m/>
    <m/>
    <m/>
    <n v="0.1671"/>
    <m/>
    <n v="0.1671"/>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4-01T00:00:00"/>
    <s v="FY21"/>
    <s v="t"/>
    <n v="0"/>
    <n v="0"/>
    <n v="9.9000000000000005E-2"/>
    <n v="9.9000000000000005E-2"/>
    <n v="0"/>
    <n v="0"/>
    <n v="30"/>
    <n v="30"/>
    <n v="0"/>
    <n v="0"/>
    <n v="100"/>
    <s v="Consolidation"/>
    <s v="CO2e and Base Measure"/>
    <n v="100"/>
    <n v="100"/>
    <n v="0.1"/>
    <m/>
    <m/>
    <m/>
    <m/>
    <m/>
    <n v="0.12870000000000001"/>
    <m/>
    <n v="0.12870000000000001"/>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5-01T00:00:00"/>
    <s v="FY21"/>
    <s v="t"/>
    <n v="0"/>
    <n v="0"/>
    <n v="0.1023"/>
    <n v="0.1023"/>
    <n v="0"/>
    <n v="0"/>
    <n v="31"/>
    <n v="31"/>
    <n v="0"/>
    <n v="0"/>
    <n v="100"/>
    <s v="Consolidation"/>
    <s v="CO2e and Base Measure"/>
    <n v="100"/>
    <n v="100"/>
    <n v="0.1"/>
    <m/>
    <m/>
    <m/>
    <m/>
    <m/>
    <n v="0.13300000000000001"/>
    <m/>
    <n v="0.13300000000000001"/>
    <m/>
    <m/>
    <m/>
    <m/>
    <m/>
    <s v="AUD"/>
    <s v="13634294Waste - General [t] - Scope 3"/>
    <n v="13634294"/>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0-12-01T00:00:00"/>
    <s v="FY21"/>
    <s v="t"/>
    <n v="0.05"/>
    <n v="0"/>
    <n v="0"/>
    <n v="0.05"/>
    <n v="1"/>
    <n v="0"/>
    <n v="0"/>
    <n v="1"/>
    <n v="100"/>
    <n v="0"/>
    <n v="0"/>
    <s v="Consolidation"/>
    <s v="CO2e and Base Measure"/>
    <n v="100"/>
    <n v="100"/>
    <n v="0.05"/>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1-01T00:00:00"/>
    <s v="FY21"/>
    <s v="t"/>
    <n v="0"/>
    <n v="3.7499999999999999E-2"/>
    <n v="0"/>
    <n v="3.7499999999999999E-2"/>
    <n v="0"/>
    <n v="1"/>
    <n v="0"/>
    <n v="1"/>
    <n v="0"/>
    <n v="100"/>
    <n v="0"/>
    <s v="Consolidation"/>
    <s v="CO2e and Base Measure"/>
    <n v="100"/>
    <n v="100"/>
    <n v="0.04"/>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2-01T00:00:00"/>
    <s v="FY21"/>
    <s v="t"/>
    <n v="0"/>
    <n v="3.7499999999999999E-2"/>
    <n v="0"/>
    <n v="3.7499999999999999E-2"/>
    <n v="0"/>
    <n v="1"/>
    <n v="0"/>
    <n v="1"/>
    <n v="0"/>
    <n v="100"/>
    <n v="0"/>
    <s v="Consolidation"/>
    <s v="CO2e and Base Measure"/>
    <n v="100"/>
    <n v="100"/>
    <n v="0.04"/>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3-01T00:00:00"/>
    <s v="FY21"/>
    <s v="t"/>
    <n v="0.02"/>
    <n v="0"/>
    <n v="0"/>
    <n v="0.02"/>
    <n v="1"/>
    <n v="0"/>
    <n v="0"/>
    <n v="1"/>
    <n v="100"/>
    <n v="0"/>
    <n v="0"/>
    <s v="Consolidation"/>
    <s v="CO2e and Base Measure"/>
    <n v="100"/>
    <n v="100"/>
    <n v="0.02"/>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4-01T00:00:00"/>
    <s v="FY21"/>
    <s v="t"/>
    <n v="0"/>
    <n v="0"/>
    <n v="3.5999999999999997E-2"/>
    <n v="3.5999999999999997E-2"/>
    <n v="0"/>
    <n v="0"/>
    <n v="30"/>
    <n v="30"/>
    <n v="0"/>
    <n v="0"/>
    <n v="100"/>
    <s v="Consolidation"/>
    <s v="CO2e and Base Measure"/>
    <n v="100"/>
    <n v="100"/>
    <n v="0.04"/>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5-01T00:00:00"/>
    <s v="FY21"/>
    <s v="t"/>
    <n v="0"/>
    <n v="0"/>
    <n v="3.7199999999999997E-2"/>
    <n v="3.7199999999999997E-2"/>
    <n v="0"/>
    <n v="0"/>
    <n v="31"/>
    <n v="31"/>
    <n v="0"/>
    <n v="0"/>
    <n v="100"/>
    <s v="Consolidation"/>
    <s v="CO2e and Base Measure"/>
    <n v="100"/>
    <n v="100"/>
    <n v="0.04"/>
    <m/>
    <m/>
    <m/>
    <m/>
    <m/>
    <m/>
    <m/>
    <m/>
    <m/>
    <m/>
    <m/>
    <m/>
    <m/>
    <s v="AUD"/>
    <s v="13634295Waste Recycled - Paper and Cardboard [t]"/>
    <n v="13634295"/>
  </r>
  <r>
    <d v="2019-07-01T00:00:00"/>
    <d v="2021-06-30T00:00:00"/>
    <s v="Telstra"/>
    <s v="NETWORK"/>
    <s v="Network - Telstra"/>
    <s v="VIC"/>
    <s v="Australia"/>
    <s v="Warrnambool"/>
    <s v="423032918300_300012913210_6203705856"/>
    <n v="423032918300"/>
    <s v="Waste"/>
    <x v="1"/>
    <x v="2"/>
    <s v="Account"/>
    <s v="CLEANAWAY General"/>
    <m/>
    <s v="44189_Landfill_General"/>
    <s v="General"/>
    <s v="Cleanaway"/>
    <m/>
    <d v="2021-02-04T00:00:00"/>
    <m/>
    <d v="2021-02-01T00:00:00"/>
    <s v="FY21"/>
    <s v="t"/>
    <n v="0"/>
    <n v="0.14849999999999999"/>
    <n v="0"/>
    <n v="0.14849999999999999"/>
    <n v="0"/>
    <n v="2"/>
    <n v="0"/>
    <n v="2"/>
    <n v="0"/>
    <n v="100"/>
    <n v="0"/>
    <s v="Consolidation"/>
    <s v="CO2e and Base Measure"/>
    <n v="100"/>
    <n v="100"/>
    <n v="0.15"/>
    <m/>
    <m/>
    <m/>
    <m/>
    <m/>
    <n v="0.19309999999999999"/>
    <m/>
    <n v="0.19309999999999999"/>
    <m/>
    <m/>
    <m/>
    <m/>
    <m/>
    <s v="AUD"/>
    <s v="13639890Waste - General [t] - Scope 3"/>
    <n v="13639890"/>
  </r>
  <r>
    <d v="2019-07-01T00:00:00"/>
    <d v="2021-06-30T00:00:00"/>
    <s v="Telstra"/>
    <s v="NETWORK"/>
    <s v="Network - Telstra"/>
    <s v="VIC"/>
    <s v="Australia"/>
    <s v="Warrnambool"/>
    <s v="423032918300_300012913210_6203705856"/>
    <n v="423032918300"/>
    <s v="Waste"/>
    <x v="1"/>
    <x v="2"/>
    <s v="Account"/>
    <s v="CLEANAWAY General"/>
    <m/>
    <s v="44189_Landfill_General"/>
    <s v="General"/>
    <s v="Cleanaway"/>
    <m/>
    <d v="2021-02-04T00:00:00"/>
    <m/>
    <d v="2021-03-01T00:00:00"/>
    <s v="FY21"/>
    <s v="t"/>
    <n v="0"/>
    <n v="9.9000000000000005E-2"/>
    <n v="0"/>
    <n v="9.9000000000000005E-2"/>
    <n v="0"/>
    <n v="2"/>
    <n v="0"/>
    <n v="2"/>
    <n v="0"/>
    <n v="100"/>
    <n v="0"/>
    <s v="Consolidation"/>
    <s v="CO2e and Base Measure"/>
    <n v="100"/>
    <n v="100"/>
    <n v="0.1"/>
    <m/>
    <m/>
    <m/>
    <m/>
    <m/>
    <n v="0.12870000000000001"/>
    <m/>
    <n v="0.12870000000000001"/>
    <m/>
    <m/>
    <m/>
    <m/>
    <m/>
    <s v="AUD"/>
    <s v="13639890Waste - General [t] - Scope 3"/>
    <n v="13639890"/>
  </r>
  <r>
    <d v="2019-07-01T00:00:00"/>
    <d v="2021-06-30T00:00:00"/>
    <s v="Telstra"/>
    <s v="NETWORK"/>
    <s v="Network - Telstra"/>
    <s v="VIC"/>
    <s v="Australia"/>
    <s v="Warrnambool"/>
    <s v="423032918300_300012913210_6203705856"/>
    <n v="423032918300"/>
    <s v="Waste"/>
    <x v="1"/>
    <x v="2"/>
    <s v="Account"/>
    <s v="CLEANAWAY General"/>
    <m/>
    <s v="44189_Landfill_General"/>
    <s v="General"/>
    <s v="Cleanaway"/>
    <m/>
    <d v="2021-02-04T00:00:00"/>
    <m/>
    <d v="2021-04-01T00:00:00"/>
    <s v="FY21"/>
    <s v="t"/>
    <n v="0"/>
    <n v="0"/>
    <n v="0.129"/>
    <n v="0.129"/>
    <n v="0"/>
    <n v="0"/>
    <n v="30"/>
    <n v="30"/>
    <n v="0"/>
    <n v="0"/>
    <n v="100"/>
    <s v="Consolidation"/>
    <s v="CO2e and Base Measure"/>
    <n v="100"/>
    <n v="100"/>
    <n v="0.13"/>
    <m/>
    <m/>
    <m/>
    <m/>
    <m/>
    <n v="0.16769999999999999"/>
    <m/>
    <n v="0.16769999999999999"/>
    <m/>
    <m/>
    <m/>
    <m/>
    <m/>
    <s v="AUD"/>
    <s v="13639890Waste - General [t] - Scope 3"/>
    <n v="13639890"/>
  </r>
  <r>
    <d v="2019-07-01T00:00:00"/>
    <d v="2021-06-30T00:00:00"/>
    <s v="Telstra"/>
    <s v="NETWORK"/>
    <s v="Network - Telstra"/>
    <s v="VIC"/>
    <s v="Australia"/>
    <s v="Warrnambool"/>
    <s v="423032918300_300012913210_6203705856"/>
    <n v="423032918300"/>
    <s v="Waste"/>
    <x v="1"/>
    <x v="2"/>
    <s v="Account"/>
    <s v="CLEANAWAY General"/>
    <m/>
    <s v="44189_Landfill_General"/>
    <s v="General"/>
    <s v="Cleanaway"/>
    <m/>
    <d v="2021-02-04T00:00:00"/>
    <m/>
    <d v="2021-05-01T00:00:00"/>
    <s v="FY21"/>
    <s v="t"/>
    <n v="0"/>
    <n v="0"/>
    <n v="0.1333"/>
    <n v="0.1333"/>
    <n v="0"/>
    <n v="0"/>
    <n v="31"/>
    <n v="31"/>
    <n v="0"/>
    <n v="0"/>
    <n v="100"/>
    <s v="Consolidation"/>
    <s v="CO2e and Base Measure"/>
    <n v="100"/>
    <n v="100"/>
    <n v="0.13"/>
    <m/>
    <m/>
    <m/>
    <m/>
    <m/>
    <n v="0.17330000000000001"/>
    <m/>
    <n v="0.17330000000000001"/>
    <m/>
    <m/>
    <m/>
    <m/>
    <m/>
    <s v="AUD"/>
    <s v="13639890Waste - General [t] - Scope 3"/>
    <n v="13639890"/>
  </r>
  <r>
    <d v="2019-07-01T00:00:00"/>
    <d v="2021-06-30T00:00:00"/>
    <s v="Telstra"/>
    <s v="NETWORK"/>
    <s v="Network - Telstra"/>
    <s v="VIC"/>
    <s v="Australia"/>
    <s v="Shepparton"/>
    <s v="423032918600_300011867490_6203713821"/>
    <n v="423032918600"/>
    <s v="Waste"/>
    <x v="1"/>
    <x v="2"/>
    <s v="Account"/>
    <s v="CLEANAWAY General"/>
    <m/>
    <s v="44212_Landfill_General"/>
    <s v="General"/>
    <s v="Cleanaway"/>
    <m/>
    <d v="2021-02-05T00:00:00"/>
    <m/>
    <d v="2021-02-01T00:00:00"/>
    <s v="FY21"/>
    <s v="t"/>
    <n v="0.35199999999999998"/>
    <n v="0"/>
    <n v="0"/>
    <n v="0.35199999999999998"/>
    <n v="1"/>
    <n v="0"/>
    <n v="0"/>
    <n v="1"/>
    <n v="100"/>
    <n v="0"/>
    <n v="0"/>
    <s v="Consolidation"/>
    <s v="CO2e and Base Measure"/>
    <n v="100"/>
    <n v="100"/>
    <n v="0.35"/>
    <m/>
    <m/>
    <m/>
    <m/>
    <m/>
    <n v="0.45760000000000001"/>
    <m/>
    <n v="0.45760000000000001"/>
    <m/>
    <m/>
    <m/>
    <m/>
    <m/>
    <s v="AUD"/>
    <s v="13639930Waste - General [t] - Scope 3"/>
    <n v="13639930"/>
  </r>
  <r>
    <d v="2019-07-01T00:00:00"/>
    <d v="2021-06-30T00:00:00"/>
    <s v="Telstra"/>
    <s v="NETWORK"/>
    <s v="Network - Telstra"/>
    <s v="VIC"/>
    <s v="Australia"/>
    <s v="Shepparton"/>
    <s v="423032918600_300011867490_6203713821"/>
    <n v="423032918600"/>
    <s v="Waste"/>
    <x v="1"/>
    <x v="2"/>
    <s v="Account"/>
    <s v="CLEANAWAY General"/>
    <m/>
    <s v="44212_Landfill_General"/>
    <s v="General"/>
    <s v="Cleanaway"/>
    <m/>
    <d v="2021-02-05T00:00:00"/>
    <m/>
    <d v="2021-03-01T00:00:00"/>
    <s v="FY21"/>
    <s v="t"/>
    <n v="0.44800000000000001"/>
    <n v="0"/>
    <n v="0"/>
    <n v="0.44800000000000001"/>
    <n v="1"/>
    <n v="0"/>
    <n v="0"/>
    <n v="1"/>
    <n v="100"/>
    <n v="0"/>
    <n v="0"/>
    <s v="Consolidation"/>
    <s v="CO2e and Base Measure"/>
    <n v="100"/>
    <n v="100"/>
    <n v="0.45"/>
    <m/>
    <m/>
    <m/>
    <m/>
    <m/>
    <n v="0.58240000000000003"/>
    <m/>
    <n v="0.58240000000000003"/>
    <m/>
    <m/>
    <m/>
    <m/>
    <m/>
    <s v="AUD"/>
    <s v="13639930Waste - General [t] - Scope 3"/>
    <n v="13639930"/>
  </r>
  <r>
    <d v="2019-07-01T00:00:00"/>
    <d v="2021-06-30T00:00:00"/>
    <s v="Telstra"/>
    <s v="NETWORK"/>
    <s v="Network - Telstra"/>
    <s v="VIC"/>
    <s v="Australia"/>
    <s v="Shepparton"/>
    <s v="423032918600_300011867490_6203713821"/>
    <n v="423032918600"/>
    <s v="Waste"/>
    <x v="1"/>
    <x v="2"/>
    <s v="Account"/>
    <s v="CLEANAWAY General"/>
    <m/>
    <s v="44212_Landfill_General"/>
    <s v="General"/>
    <s v="Cleanaway"/>
    <m/>
    <d v="2021-02-05T00:00:00"/>
    <m/>
    <d v="2021-04-01T00:00:00"/>
    <s v="FY21"/>
    <s v="t"/>
    <n v="0"/>
    <n v="0"/>
    <n v="0.41399999999999998"/>
    <n v="0.41399999999999998"/>
    <n v="0"/>
    <n v="0"/>
    <n v="30"/>
    <n v="30"/>
    <n v="0"/>
    <n v="0"/>
    <n v="100"/>
    <s v="Consolidation"/>
    <s v="CO2e and Base Measure"/>
    <n v="100"/>
    <n v="100"/>
    <n v="0.41"/>
    <m/>
    <m/>
    <m/>
    <m/>
    <m/>
    <n v="0.53820000000000001"/>
    <m/>
    <n v="0.53820000000000001"/>
    <m/>
    <m/>
    <m/>
    <m/>
    <m/>
    <s v="AUD"/>
    <s v="13639930Waste - General [t] - Scope 3"/>
    <n v="13639930"/>
  </r>
  <r>
    <d v="2019-07-01T00:00:00"/>
    <d v="2021-06-30T00:00:00"/>
    <s v="Telstra"/>
    <s v="NETWORK"/>
    <s v="Network - Telstra"/>
    <s v="VIC"/>
    <s v="Australia"/>
    <s v="Shepparton"/>
    <s v="423032918600_300011867490_6203713821"/>
    <n v="423032918600"/>
    <s v="Waste"/>
    <x v="1"/>
    <x v="2"/>
    <s v="Account"/>
    <s v="CLEANAWAY General"/>
    <m/>
    <s v="44212_Landfill_General"/>
    <s v="General"/>
    <s v="Cleanaway"/>
    <m/>
    <d v="2021-02-05T00:00:00"/>
    <m/>
    <d v="2021-05-01T00:00:00"/>
    <s v="FY21"/>
    <s v="t"/>
    <n v="0"/>
    <n v="0"/>
    <n v="0.42780000000000001"/>
    <n v="0.42780000000000001"/>
    <n v="0"/>
    <n v="0"/>
    <n v="31"/>
    <n v="31"/>
    <n v="0"/>
    <n v="0"/>
    <n v="100"/>
    <s v="Consolidation"/>
    <s v="CO2e and Base Measure"/>
    <n v="100"/>
    <n v="100"/>
    <n v="0.43"/>
    <m/>
    <m/>
    <m/>
    <m/>
    <m/>
    <n v="0.55610000000000004"/>
    <m/>
    <n v="0.55610000000000004"/>
    <m/>
    <m/>
    <m/>
    <m/>
    <m/>
    <s v="AUD"/>
    <s v="13639930Waste - General [t] - Scope 3"/>
    <n v="13639930"/>
  </r>
  <r>
    <d v="2019-07-01T00:00:00"/>
    <d v="2021-06-30T00:00:00"/>
    <s v="Telstra"/>
    <s v="NETWORK"/>
    <s v="Network - Telstra"/>
    <s v="VIC"/>
    <s v="Australia"/>
    <s v="Shepparton"/>
    <s v="423032918600_300011867490_6203713821"/>
    <n v="423032918600"/>
    <s v="Recycled Waste"/>
    <x v="0"/>
    <x v="0"/>
    <s v="Account"/>
    <s v="CLEANAWAY Cardboard"/>
    <m/>
    <s v="44212_Diversion_Cardboard"/>
    <s v="Cardboard"/>
    <s v="Cleanaway"/>
    <m/>
    <d v="2021-03-18T00:00:00"/>
    <m/>
    <d v="2021-03-01T00:00:00"/>
    <s v="FY21"/>
    <s v="t"/>
    <n v="0.12"/>
    <n v="0"/>
    <n v="0"/>
    <n v="0.12"/>
    <n v="1"/>
    <n v="0"/>
    <n v="0"/>
    <n v="1"/>
    <n v="100"/>
    <n v="0"/>
    <n v="0"/>
    <s v="Consolidation"/>
    <s v="CO2e and Base Measure"/>
    <n v="100"/>
    <n v="100"/>
    <n v="0.12"/>
    <m/>
    <m/>
    <m/>
    <m/>
    <m/>
    <m/>
    <m/>
    <m/>
    <m/>
    <m/>
    <m/>
    <m/>
    <m/>
    <s v="AUD"/>
    <s v="13641216Waste Recycled - Paper and Cardboard [t]"/>
    <n v="13641216"/>
  </r>
  <r>
    <d v="2019-07-01T00:00:00"/>
    <d v="2021-06-30T00:00:00"/>
    <s v="Telstra"/>
    <s v="NETWORK"/>
    <s v="Network - Telstra"/>
    <s v="VIC"/>
    <s v="Australia"/>
    <s v="Shepparton"/>
    <s v="423032918600_300011867490_6203713821"/>
    <n v="423032918600"/>
    <s v="Recycled Waste"/>
    <x v="0"/>
    <x v="0"/>
    <s v="Account"/>
    <s v="CLEANAWAY Cardboard"/>
    <m/>
    <s v="44212_Diversion_Cardboard"/>
    <s v="Cardboard"/>
    <s v="Cleanaway"/>
    <m/>
    <d v="2021-03-18T00:00:00"/>
    <m/>
    <d v="2021-04-01T00:00:00"/>
    <s v="FY21"/>
    <s v="t"/>
    <n v="0"/>
    <n v="0"/>
    <n v="0.12"/>
    <n v="0.12"/>
    <n v="0"/>
    <n v="0"/>
    <n v="30"/>
    <n v="30"/>
    <n v="0"/>
    <n v="0"/>
    <n v="100"/>
    <s v="Consolidation"/>
    <s v="CO2e and Base Measure"/>
    <n v="100"/>
    <n v="100"/>
    <n v="0.12"/>
    <m/>
    <m/>
    <m/>
    <m/>
    <m/>
    <m/>
    <m/>
    <m/>
    <m/>
    <m/>
    <m/>
    <m/>
    <m/>
    <s v="AUD"/>
    <s v="13641216Waste Recycled - Paper and Cardboard [t]"/>
    <n v="13641216"/>
  </r>
  <r>
    <d v="2019-07-01T00:00:00"/>
    <d v="2021-06-30T00:00:00"/>
    <s v="Telstra"/>
    <s v="NETWORK"/>
    <s v="Network - Telstra"/>
    <s v="VIC"/>
    <s v="Australia"/>
    <s v="Shepparton"/>
    <s v="423032918600_300011867490_6203713821"/>
    <n v="423032918600"/>
    <s v="Recycled Waste"/>
    <x v="0"/>
    <x v="0"/>
    <s v="Account"/>
    <s v="CLEANAWAY Cardboard"/>
    <m/>
    <s v="44212_Diversion_Cardboard"/>
    <s v="Cardboard"/>
    <s v="Cleanaway"/>
    <m/>
    <d v="2021-03-18T00:00:00"/>
    <m/>
    <d v="2021-05-01T00:00:00"/>
    <s v="FY21"/>
    <s v="t"/>
    <n v="0"/>
    <n v="0"/>
    <n v="0.124"/>
    <n v="0.124"/>
    <n v="0"/>
    <n v="0"/>
    <n v="31"/>
    <n v="31"/>
    <n v="0"/>
    <n v="0"/>
    <n v="100"/>
    <s v="Consolidation"/>
    <s v="CO2e and Base Measure"/>
    <n v="100"/>
    <n v="100"/>
    <n v="0.12"/>
    <m/>
    <m/>
    <m/>
    <m/>
    <m/>
    <m/>
    <m/>
    <m/>
    <m/>
    <m/>
    <m/>
    <m/>
    <m/>
    <s v="AUD"/>
    <s v="13641216Waste Recycled - Paper and Cardboard [t]"/>
    <n v="13641216"/>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07-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08-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09-01T00:00:00"/>
    <s v="FY21"/>
    <s v="t"/>
    <n v="1.2E-2"/>
    <n v="0"/>
    <n v="0"/>
    <n v="1.2E-2"/>
    <n v="1"/>
    <n v="0"/>
    <n v="0"/>
    <n v="1"/>
    <n v="100"/>
    <n v="0"/>
    <n v="0"/>
    <s v="Consolidation"/>
    <s v="CO2e and Base Measure"/>
    <n v="100"/>
    <n v="100"/>
    <n v="0.01"/>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10-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11-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12-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1-01T00:00:00"/>
    <s v="FY21"/>
    <s v="t"/>
    <n v="0"/>
    <n v="0"/>
    <n v="0.16739999999999999"/>
    <n v="0.16739999999999999"/>
    <n v="0"/>
    <n v="0"/>
    <n v="31"/>
    <n v="31"/>
    <n v="0"/>
    <n v="0"/>
    <n v="100"/>
    <s v="Consolidation"/>
    <s v="CO2e and Base Measure"/>
    <n v="100"/>
    <n v="100"/>
    <n v="0.17"/>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2-01T00:00:00"/>
    <s v="FY21"/>
    <s v="t"/>
    <n v="0"/>
    <n v="0"/>
    <n v="0.1512"/>
    <n v="0.1512"/>
    <n v="0"/>
    <n v="0"/>
    <n v="28"/>
    <n v="28"/>
    <n v="0"/>
    <n v="0"/>
    <n v="100"/>
    <s v="Consolidation"/>
    <s v="CO2e and Base Measure"/>
    <n v="100"/>
    <n v="100"/>
    <n v="0.15"/>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3-01T00:00:00"/>
    <s v="FY21"/>
    <s v="t"/>
    <n v="0"/>
    <n v="0"/>
    <n v="0.16739999999999999"/>
    <n v="0.16739999999999999"/>
    <n v="0"/>
    <n v="0"/>
    <n v="31"/>
    <n v="31"/>
    <n v="0"/>
    <n v="0"/>
    <n v="100"/>
    <s v="Consolidation"/>
    <s v="CO2e and Base Measure"/>
    <n v="100"/>
    <n v="100"/>
    <n v="0.17"/>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4-01T00:00:00"/>
    <s v="FY21"/>
    <s v="t"/>
    <n v="0"/>
    <n v="0"/>
    <n v="0.16200000000000001"/>
    <n v="0.16200000000000001"/>
    <n v="0"/>
    <n v="0"/>
    <n v="30"/>
    <n v="30"/>
    <n v="0"/>
    <n v="0"/>
    <n v="10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5-01T00:00:00"/>
    <s v="FY21"/>
    <s v="t"/>
    <n v="0"/>
    <n v="0"/>
    <n v="0.16739999999999999"/>
    <n v="0.16739999999999999"/>
    <n v="0"/>
    <n v="0"/>
    <n v="31"/>
    <n v="31"/>
    <n v="0"/>
    <n v="0"/>
    <n v="100"/>
    <s v="Consolidation"/>
    <s v="CO2e and Base Measure"/>
    <n v="100"/>
    <n v="100"/>
    <n v="0.17"/>
    <m/>
    <m/>
    <m/>
    <m/>
    <m/>
    <m/>
    <m/>
    <m/>
    <m/>
    <m/>
    <m/>
    <m/>
    <m/>
    <s v="AUD"/>
    <s v="13566410Waste Recycled - Paper and Cardboard [t]"/>
    <n v="13566410"/>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0-12-01T00:00:00"/>
    <s v="FY21"/>
    <s v="t"/>
    <n v="0.155"/>
    <n v="0.18629999999999999"/>
    <n v="0"/>
    <n v="0.34129999999999999"/>
    <n v="5"/>
    <n v="9"/>
    <n v="0"/>
    <n v="14"/>
    <n v="45.41"/>
    <n v="54.58"/>
    <n v="0"/>
    <s v="Consolidation"/>
    <s v="CO2e and Base Measure"/>
    <n v="100"/>
    <n v="100"/>
    <n v="0.34"/>
    <m/>
    <m/>
    <m/>
    <m/>
    <m/>
    <n v="0.44369999999999998"/>
    <m/>
    <n v="0.44369999999999998"/>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1-01T00:00:00"/>
    <s v="FY21"/>
    <s v="t"/>
    <n v="6.4000000000000001E-2"/>
    <n v="0.27810000000000001"/>
    <n v="0"/>
    <n v="0.34210000000000002"/>
    <n v="4"/>
    <n v="14"/>
    <n v="0"/>
    <n v="18"/>
    <n v="18.7"/>
    <n v="81.290000000000006"/>
    <n v="0"/>
    <s v="Consolidation"/>
    <s v="CO2e and Base Measure"/>
    <n v="100"/>
    <n v="100"/>
    <n v="0.34"/>
    <m/>
    <m/>
    <m/>
    <m/>
    <m/>
    <n v="0.44469999999999998"/>
    <m/>
    <n v="0.44469999999999998"/>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2-01T00:00:00"/>
    <s v="FY21"/>
    <s v="t"/>
    <n v="0"/>
    <n v="0.35370000000000001"/>
    <n v="0"/>
    <n v="0.35370000000000001"/>
    <n v="0"/>
    <n v="15"/>
    <n v="0"/>
    <n v="15"/>
    <n v="0"/>
    <n v="100"/>
    <n v="0"/>
    <s v="Consolidation"/>
    <s v="CO2e and Base Measure"/>
    <n v="100"/>
    <n v="100"/>
    <n v="0.35"/>
    <m/>
    <m/>
    <m/>
    <m/>
    <m/>
    <n v="0.45979999999999999"/>
    <m/>
    <n v="0.45979999999999999"/>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3-01T00:00:00"/>
    <s v="FY21"/>
    <s v="t"/>
    <n v="0.03"/>
    <n v="0.48060000000000003"/>
    <n v="0"/>
    <n v="0.51060000000000005"/>
    <n v="1"/>
    <n v="22"/>
    <n v="0"/>
    <n v="23"/>
    <n v="5.87"/>
    <n v="94.12"/>
    <n v="0"/>
    <s v="Consolidation"/>
    <s v="CO2e and Base Measure"/>
    <n v="100"/>
    <n v="100"/>
    <n v="0.51"/>
    <m/>
    <m/>
    <m/>
    <m/>
    <m/>
    <n v="0.66379999999999995"/>
    <m/>
    <n v="0.66379999999999995"/>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4-01T00:00:00"/>
    <s v="FY21"/>
    <s v="t"/>
    <n v="0"/>
    <n v="0"/>
    <n v="0.38700000000000001"/>
    <n v="0.38700000000000001"/>
    <n v="0"/>
    <n v="0"/>
    <n v="30"/>
    <n v="30"/>
    <n v="0"/>
    <n v="0"/>
    <n v="100"/>
    <s v="Consolidation"/>
    <s v="CO2e and Base Measure"/>
    <n v="100"/>
    <n v="100"/>
    <n v="0.39"/>
    <m/>
    <m/>
    <m/>
    <m/>
    <m/>
    <n v="0.50309999999999999"/>
    <m/>
    <n v="0.50309999999999999"/>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5-01T00:00:00"/>
    <s v="FY21"/>
    <s v="t"/>
    <n v="0"/>
    <n v="0"/>
    <n v="0.39989999999999998"/>
    <n v="0.39989999999999998"/>
    <n v="0"/>
    <n v="0"/>
    <n v="31"/>
    <n v="31"/>
    <n v="0"/>
    <n v="0"/>
    <n v="100"/>
    <s v="Consolidation"/>
    <s v="CO2e and Base Measure"/>
    <n v="100"/>
    <n v="100"/>
    <n v="0.4"/>
    <m/>
    <m/>
    <m/>
    <m/>
    <m/>
    <n v="0.51990000000000003"/>
    <m/>
    <n v="0.51990000000000003"/>
    <m/>
    <m/>
    <m/>
    <m/>
    <m/>
    <s v="AUD"/>
    <s v="13634366Waste - General [t] - Scope 3"/>
    <n v="13634366"/>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0-12-01T00:00:00"/>
    <s v="FY21"/>
    <s v="t"/>
    <n v="0"/>
    <n v="3.3000000000000002E-2"/>
    <n v="0"/>
    <n v="3.3000000000000002E-2"/>
    <n v="0"/>
    <n v="2"/>
    <n v="0"/>
    <n v="2"/>
    <n v="0"/>
    <n v="100"/>
    <n v="0"/>
    <s v="Consolidation"/>
    <s v="CO2e and Base Measure"/>
    <n v="100"/>
    <n v="100"/>
    <n v="0.03"/>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1-01T00:00:00"/>
    <s v="FY21"/>
    <s v="t"/>
    <n v="0"/>
    <n v="4.9500000000000002E-2"/>
    <n v="0"/>
    <n v="4.9500000000000002E-2"/>
    <n v="0"/>
    <n v="3"/>
    <n v="0"/>
    <n v="3"/>
    <n v="0"/>
    <n v="100"/>
    <n v="0"/>
    <s v="Consolidation"/>
    <s v="CO2e and Base Measure"/>
    <n v="100"/>
    <n v="100"/>
    <n v="0.05"/>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2-01T00:00:00"/>
    <s v="FY21"/>
    <s v="t"/>
    <n v="0"/>
    <n v="8.2500000000000004E-2"/>
    <n v="0"/>
    <n v="8.2500000000000004E-2"/>
    <n v="0"/>
    <n v="5"/>
    <n v="0"/>
    <n v="5"/>
    <n v="0"/>
    <n v="100"/>
    <n v="0"/>
    <s v="Consolidation"/>
    <s v="CO2e and Base Measure"/>
    <n v="100"/>
    <n v="100"/>
    <n v="0.08"/>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3-01T00:00:00"/>
    <s v="FY21"/>
    <s v="t"/>
    <n v="0"/>
    <n v="6.6000000000000003E-2"/>
    <n v="0"/>
    <n v="6.6000000000000003E-2"/>
    <n v="0"/>
    <n v="4"/>
    <n v="0"/>
    <n v="4"/>
    <n v="0"/>
    <n v="100"/>
    <n v="0"/>
    <s v="Consolidation"/>
    <s v="CO2e and Base Measure"/>
    <n v="100"/>
    <n v="100"/>
    <n v="7.0000000000000007E-2"/>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4-01T00:00:00"/>
    <s v="FY21"/>
    <s v="t"/>
    <n v="0"/>
    <n v="0"/>
    <n v="5.7000000000000002E-2"/>
    <n v="5.7000000000000002E-2"/>
    <n v="0"/>
    <n v="0"/>
    <n v="30"/>
    <n v="30"/>
    <n v="0"/>
    <n v="0"/>
    <n v="100"/>
    <s v="Consolidation"/>
    <s v="CO2e and Base Measure"/>
    <n v="100"/>
    <n v="100"/>
    <n v="0.06"/>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5-01T00:00:00"/>
    <s v="FY21"/>
    <s v="t"/>
    <n v="0"/>
    <n v="0"/>
    <n v="5.8900000000000001E-2"/>
    <n v="5.8900000000000001E-2"/>
    <n v="0"/>
    <n v="0"/>
    <n v="31"/>
    <n v="31"/>
    <n v="0"/>
    <n v="0"/>
    <n v="100"/>
    <s v="Consolidation"/>
    <s v="CO2e and Base Measure"/>
    <n v="100"/>
    <n v="100"/>
    <n v="0.06"/>
    <m/>
    <m/>
    <m/>
    <m/>
    <m/>
    <m/>
    <m/>
    <m/>
    <m/>
    <m/>
    <m/>
    <m/>
    <m/>
    <s v="AUD"/>
    <s v="13634367Waste Recycled - Paper and Cardboard [t]"/>
    <n v="13634367"/>
  </r>
  <r>
    <d v="2019-07-01T00:00:00"/>
    <d v="2021-06-30T00:00:00"/>
    <s v="Telstra"/>
    <s v="NON-NETWORK"/>
    <s v="NON-NETWORK"/>
    <s v="TAS"/>
    <s v="Australia"/>
    <s v="Hobart"/>
    <s v="46-48 VICTORIA RD MT BARKER"/>
    <n v="423030947700"/>
    <s v="Recycled Waste"/>
    <x v="0"/>
    <x v="3"/>
    <s v="Account"/>
    <s v="CLEANAWAY Commingle - Diversion"/>
    <m/>
    <s v="30947700_Diversion_Commingle"/>
    <s v="Commingle"/>
    <s v="Cleanaway"/>
    <m/>
    <d v="2021-02-11T00:00:00"/>
    <m/>
    <d v="2021-02-01T00:00:00"/>
    <s v="FY21"/>
    <s v="t"/>
    <n v="0"/>
    <n v="9.5999999999999992E-3"/>
    <n v="0"/>
    <n v="9.5999999999999992E-3"/>
    <n v="0"/>
    <n v="2"/>
    <n v="0"/>
    <n v="2"/>
    <n v="0"/>
    <n v="100"/>
    <n v="0"/>
    <s v="Consolidation"/>
    <s v="CO2e and Base Measure"/>
    <n v="100"/>
    <n v="100"/>
    <n v="0.01"/>
    <m/>
    <m/>
    <m/>
    <m/>
    <m/>
    <m/>
    <n v="0"/>
    <m/>
    <m/>
    <m/>
    <m/>
    <m/>
    <m/>
    <s v="AUD"/>
    <s v="13639951Waste Recycled - Commingled [t]"/>
    <n v="13639951"/>
  </r>
  <r>
    <d v="2019-07-01T00:00:00"/>
    <d v="2021-06-30T00:00:00"/>
    <s v="Telstra"/>
    <s v="NON-NETWORK"/>
    <s v="NON-NETWORK"/>
    <s v="TAS"/>
    <s v="Australia"/>
    <s v="Hobart"/>
    <s v="46-48 VICTORIA RD MT BARKER"/>
    <n v="423030947700"/>
    <s v="Recycled Waste"/>
    <x v="0"/>
    <x v="3"/>
    <s v="Account"/>
    <s v="CLEANAWAY Commingle - Diversion"/>
    <m/>
    <s v="30947700_Diversion_Commingle"/>
    <s v="Commingle"/>
    <s v="Cleanaway"/>
    <m/>
    <d v="2021-02-11T00:00:00"/>
    <m/>
    <d v="2021-03-01T00:00:00"/>
    <s v="FY21"/>
    <s v="t"/>
    <n v="0"/>
    <n v="2.8799999999999999E-2"/>
    <n v="0"/>
    <n v="2.8799999999999999E-2"/>
    <n v="0"/>
    <n v="3"/>
    <n v="0"/>
    <n v="3"/>
    <n v="0"/>
    <n v="100"/>
    <n v="0"/>
    <s v="Consolidation"/>
    <s v="CO2e and Base Measure"/>
    <n v="100"/>
    <n v="100"/>
    <n v="0.03"/>
    <m/>
    <m/>
    <m/>
    <m/>
    <m/>
    <m/>
    <n v="0"/>
    <m/>
    <m/>
    <m/>
    <m/>
    <m/>
    <m/>
    <s v="AUD"/>
    <s v="13639951Waste Recycled - Commingled [t]"/>
    <n v="13639951"/>
  </r>
  <r>
    <d v="2019-07-01T00:00:00"/>
    <d v="2021-06-30T00:00:00"/>
    <s v="Telstra"/>
    <s v="NON-NETWORK"/>
    <s v="NON-NETWORK"/>
    <s v="TAS"/>
    <s v="Australia"/>
    <s v="Hobart"/>
    <s v="46-48 VICTORIA RD MT BARKER"/>
    <n v="423030947700"/>
    <s v="Recycled Waste"/>
    <x v="0"/>
    <x v="3"/>
    <s v="Account"/>
    <s v="CLEANAWAY Commingle - Diversion"/>
    <m/>
    <s v="30947700_Diversion_Commingle"/>
    <s v="Commingle"/>
    <s v="Cleanaway"/>
    <m/>
    <d v="2021-02-11T00:00:00"/>
    <m/>
    <d v="2021-04-01T00:00:00"/>
    <s v="FY21"/>
    <s v="t"/>
    <n v="0"/>
    <n v="0"/>
    <n v="2.1000000000000001E-2"/>
    <n v="2.1000000000000001E-2"/>
    <n v="0"/>
    <n v="0"/>
    <n v="30"/>
    <n v="30"/>
    <n v="0"/>
    <n v="0"/>
    <n v="100"/>
    <s v="Consolidation"/>
    <s v="CO2e and Base Measure"/>
    <n v="100"/>
    <n v="100"/>
    <n v="0.02"/>
    <m/>
    <m/>
    <m/>
    <m/>
    <m/>
    <m/>
    <n v="0"/>
    <m/>
    <m/>
    <m/>
    <m/>
    <m/>
    <m/>
    <s v="AUD"/>
    <s v="13639951Waste Recycled - Commingled [t]"/>
    <n v="13639951"/>
  </r>
  <r>
    <d v="2019-07-01T00:00:00"/>
    <d v="2021-06-30T00:00:00"/>
    <s v="Telstra"/>
    <s v="NON-NETWORK"/>
    <s v="NON-NETWORK"/>
    <s v="TAS"/>
    <s v="Australia"/>
    <s v="Hobart"/>
    <s v="46-48 VICTORIA RD MT BARKER"/>
    <n v="423030947700"/>
    <s v="Recycled Waste"/>
    <x v="0"/>
    <x v="3"/>
    <s v="Account"/>
    <s v="CLEANAWAY Commingle - Diversion"/>
    <m/>
    <s v="30947700_Diversion_Commingle"/>
    <s v="Commingle"/>
    <s v="Cleanaway"/>
    <m/>
    <d v="2021-02-11T00:00:00"/>
    <m/>
    <d v="2021-05-01T00:00:00"/>
    <s v="FY21"/>
    <s v="t"/>
    <n v="0"/>
    <n v="0"/>
    <n v="2.1700000000000001E-2"/>
    <n v="2.1700000000000001E-2"/>
    <n v="0"/>
    <n v="0"/>
    <n v="31"/>
    <n v="31"/>
    <n v="0"/>
    <n v="0"/>
    <n v="100"/>
    <s v="Consolidation"/>
    <s v="CO2e and Base Measure"/>
    <n v="100"/>
    <n v="100"/>
    <n v="0.02"/>
    <m/>
    <m/>
    <m/>
    <m/>
    <m/>
    <m/>
    <n v="0"/>
    <m/>
    <m/>
    <m/>
    <m/>
    <m/>
    <m/>
    <s v="AUD"/>
    <s v="13639951Waste Recycled - Commingled [t]"/>
    <n v="13639951"/>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07-01T00:00:00"/>
    <s v="FY21"/>
    <s v="t"/>
    <n v="0"/>
    <n v="0.12509999999999999"/>
    <n v="0"/>
    <n v="0.12509999999999999"/>
    <n v="0"/>
    <n v="9"/>
    <n v="0"/>
    <n v="9"/>
    <n v="0"/>
    <n v="100"/>
    <n v="0"/>
    <s v="Consolidation"/>
    <s v="CO2e and Base Measure"/>
    <n v="100"/>
    <n v="100"/>
    <n v="0.13"/>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08-01T00:00:00"/>
    <s v="FY21"/>
    <s v="t"/>
    <n v="0"/>
    <n v="0.11119999999999999"/>
    <n v="0"/>
    <n v="0.11119999999999999"/>
    <n v="0"/>
    <n v="8"/>
    <n v="0"/>
    <n v="8"/>
    <n v="0"/>
    <n v="100"/>
    <n v="0"/>
    <s v="Consolidation"/>
    <s v="CO2e and Base Measure"/>
    <n v="100"/>
    <n v="100"/>
    <n v="0.11"/>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09-01T00:00:00"/>
    <s v="FY21"/>
    <s v="t"/>
    <n v="0"/>
    <n v="0.125"/>
    <n v="0"/>
    <n v="0.125"/>
    <n v="0"/>
    <n v="8"/>
    <n v="0"/>
    <n v="8"/>
    <n v="0"/>
    <n v="100"/>
    <n v="0"/>
    <s v="Consolidation"/>
    <s v="CO2e and Base Measure"/>
    <n v="100"/>
    <n v="100"/>
    <n v="0.13"/>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10-01T00:00:00"/>
    <s v="FY21"/>
    <s v="t"/>
    <n v="0"/>
    <n v="0.11119999999999999"/>
    <n v="0"/>
    <n v="0.11119999999999999"/>
    <n v="0"/>
    <n v="8"/>
    <n v="0"/>
    <n v="8"/>
    <n v="0"/>
    <n v="100"/>
    <n v="0"/>
    <s v="Consolidation"/>
    <s v="CO2e and Base Measure"/>
    <n v="100"/>
    <n v="100"/>
    <n v="0.11"/>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11-01T00:00:00"/>
    <s v="FY21"/>
    <s v="t"/>
    <n v="0"/>
    <n v="0.15279999999999999"/>
    <n v="0"/>
    <n v="0.15279999999999999"/>
    <n v="0"/>
    <n v="9"/>
    <n v="0"/>
    <n v="9"/>
    <n v="0"/>
    <n v="100"/>
    <n v="0"/>
    <s v="Consolidation"/>
    <s v="CO2e and Base Measure"/>
    <n v="100"/>
    <n v="100"/>
    <n v="0.15"/>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12-01T00:00:00"/>
    <s v="FY21"/>
    <s v="t"/>
    <n v="0"/>
    <n v="0"/>
    <n v="4.1000000000000003E-3"/>
    <n v="4.1000000000000003E-3"/>
    <n v="0"/>
    <n v="0"/>
    <n v="1"/>
    <n v="1"/>
    <n v="0"/>
    <n v="0"/>
    <n v="100"/>
    <s v="Consolidation"/>
    <s v="CO2e and Base Measure"/>
    <n v="100"/>
    <n v="100"/>
    <n v="0"/>
    <m/>
    <m/>
    <m/>
    <m/>
    <m/>
    <m/>
    <n v="0"/>
    <m/>
    <m/>
    <m/>
    <m/>
    <m/>
    <m/>
    <s v="AUD"/>
    <s v="13565504Waste Recycled - Cardboard [t]"/>
    <n v="13565504"/>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07-01T00:00:00"/>
    <s v="FY21"/>
    <s v="t"/>
    <n v="0"/>
    <n v="0.48"/>
    <n v="0"/>
    <n v="0.48"/>
    <n v="0"/>
    <n v="15"/>
    <n v="0"/>
    <n v="15"/>
    <n v="0"/>
    <n v="100"/>
    <n v="0"/>
    <s v="Consolidation"/>
    <s v="CO2e and Base Measure"/>
    <n v="100"/>
    <n v="100"/>
    <n v="0.48"/>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08-01T00:00:00"/>
    <s v="FY21"/>
    <s v="t"/>
    <n v="0"/>
    <n v="0.33600000000000002"/>
    <n v="0"/>
    <n v="0.33600000000000002"/>
    <n v="0"/>
    <n v="13"/>
    <n v="0"/>
    <n v="13"/>
    <n v="0"/>
    <n v="100"/>
    <n v="0"/>
    <s v="Consolidation"/>
    <s v="CO2e and Base Measure"/>
    <n v="100"/>
    <n v="100"/>
    <n v="0.34"/>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09-01T00:00:00"/>
    <s v="FY21"/>
    <s v="t"/>
    <n v="0"/>
    <n v="0.28799999999999998"/>
    <n v="0"/>
    <n v="0.28799999999999998"/>
    <n v="0"/>
    <n v="12"/>
    <n v="0"/>
    <n v="12"/>
    <n v="0"/>
    <n v="100"/>
    <n v="0"/>
    <s v="Consolidation"/>
    <s v="CO2e and Base Measure"/>
    <n v="100"/>
    <n v="100"/>
    <n v="0.28999999999999998"/>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10-01T00:00:00"/>
    <s v="FY21"/>
    <s v="t"/>
    <n v="0"/>
    <n v="0.312"/>
    <n v="0"/>
    <n v="0.312"/>
    <n v="0"/>
    <n v="13"/>
    <n v="0"/>
    <n v="13"/>
    <n v="0"/>
    <n v="100"/>
    <n v="0"/>
    <s v="Consolidation"/>
    <s v="CO2e and Base Measure"/>
    <n v="100"/>
    <n v="100"/>
    <n v="0.31"/>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11-01T00:00:00"/>
    <s v="FY21"/>
    <s v="t"/>
    <n v="0"/>
    <n v="0.45600000000000002"/>
    <n v="0"/>
    <n v="0.45600000000000002"/>
    <n v="0"/>
    <n v="16"/>
    <n v="0"/>
    <n v="16"/>
    <n v="0"/>
    <n v="100"/>
    <n v="0"/>
    <s v="Consolidation"/>
    <s v="CO2e and Base Measure"/>
    <n v="100"/>
    <n v="100"/>
    <n v="0.46"/>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12-01T00:00:00"/>
    <s v="FY21"/>
    <s v="t"/>
    <n v="0"/>
    <n v="0"/>
    <n v="1.2E-2"/>
    <n v="1.2E-2"/>
    <n v="0"/>
    <n v="0"/>
    <n v="1"/>
    <n v="1"/>
    <n v="0"/>
    <n v="0"/>
    <n v="100"/>
    <s v="Consolidation"/>
    <s v="CO2e and Base Measure"/>
    <n v="100"/>
    <n v="100"/>
    <n v="0.01"/>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1"/>
    <s v="Account"/>
    <s v="Remondis Electrical Comp. (E-Waste)"/>
    <m/>
    <s v="423030947700_RELECTRIC"/>
    <s v="ELECTRICAL COMP. E-WASTE"/>
    <s v="Remondis"/>
    <m/>
    <m/>
    <d v="2020-12-01T00:00:00"/>
    <d v="2020-11-01T00:00:00"/>
    <s v="FY21"/>
    <s v="t"/>
    <n v="0"/>
    <n v="4.5600000000000002E-2"/>
    <n v="0"/>
    <n v="4.5600000000000002E-2"/>
    <n v="0"/>
    <n v="1"/>
    <n v="0"/>
    <n v="1"/>
    <n v="0"/>
    <n v="100"/>
    <n v="0"/>
    <s v="Consolidation"/>
    <s v="CO2e and Base Measure"/>
    <n v="100"/>
    <n v="100"/>
    <n v="0.05"/>
    <m/>
    <m/>
    <m/>
    <m/>
    <m/>
    <m/>
    <m/>
    <m/>
    <m/>
    <m/>
    <m/>
    <m/>
    <m/>
    <s v="AUD"/>
    <s v="13565506Waste Recycled - E-waste [t]"/>
    <n v="13565506"/>
  </r>
  <r>
    <d v="2019-07-01T00:00:00"/>
    <d v="2021-06-30T00:00:00"/>
    <s v="Telstra"/>
    <s v="NON-NETWORK"/>
    <s v="NON-NETWORK"/>
    <s v="TAS"/>
    <s v="Australia"/>
    <s v="Hobart"/>
    <s v="46-48 VICTORIA RD MT BARKER SA 5251"/>
    <n v="423030947700"/>
    <s v="Recycled Waste"/>
    <x v="0"/>
    <x v="1"/>
    <s v="Account"/>
    <s v="Remondis Electrical Comp. (E-Waste)"/>
    <m/>
    <s v="423030947700_RELECTRIC"/>
    <s v="ELECTRICAL COMP. E-WASTE"/>
    <s v="Remondis"/>
    <m/>
    <m/>
    <d v="2020-12-01T00:00:00"/>
    <d v="2020-12-01T00:00:00"/>
    <s v="FY21"/>
    <s v="t"/>
    <n v="0"/>
    <n v="0"/>
    <n v="1.6000000000000001E-3"/>
    <n v="1.6000000000000001E-3"/>
    <n v="0"/>
    <n v="0"/>
    <n v="1"/>
    <n v="1"/>
    <n v="0"/>
    <n v="0"/>
    <n v="100"/>
    <s v="Consolidation"/>
    <s v="CO2e and Base Measure"/>
    <n v="100"/>
    <n v="100"/>
    <n v="0"/>
    <m/>
    <m/>
    <m/>
    <m/>
    <m/>
    <m/>
    <m/>
    <m/>
    <m/>
    <m/>
    <m/>
    <m/>
    <m/>
    <s v="AUD"/>
    <s v="13565506Waste Recycled - E-waste [t]"/>
    <n v="13565506"/>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07-01T00:00:00"/>
    <s v="FY21"/>
    <s v="t"/>
    <n v="0"/>
    <n v="0.85019999999999996"/>
    <n v="0"/>
    <n v="0.85019999999999996"/>
    <n v="0"/>
    <n v="23"/>
    <n v="0"/>
    <n v="23"/>
    <n v="0"/>
    <n v="100"/>
    <n v="0"/>
    <s v="Consolidation"/>
    <s v="CO2e and Base Measure"/>
    <n v="100"/>
    <n v="100"/>
    <n v="0.85"/>
    <m/>
    <m/>
    <m/>
    <m/>
    <m/>
    <n v="1.1052999999999999"/>
    <m/>
    <n v="1.1052999999999999"/>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08-01T00:00:00"/>
    <s v="FY21"/>
    <s v="t"/>
    <n v="0"/>
    <n v="0.78"/>
    <n v="0"/>
    <n v="0.78"/>
    <n v="0"/>
    <n v="20"/>
    <n v="0"/>
    <n v="20"/>
    <n v="0"/>
    <n v="100"/>
    <n v="0"/>
    <s v="Consolidation"/>
    <s v="CO2e and Base Measure"/>
    <n v="100"/>
    <n v="100"/>
    <n v="0.78"/>
    <m/>
    <m/>
    <m/>
    <m/>
    <m/>
    <n v="1.014"/>
    <m/>
    <n v="1.014"/>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09-01T00:00:00"/>
    <s v="FY21"/>
    <s v="t"/>
    <n v="0"/>
    <n v="0.82679999999999998"/>
    <n v="0"/>
    <n v="0.82679999999999998"/>
    <n v="0"/>
    <n v="21"/>
    <n v="0"/>
    <n v="21"/>
    <n v="0"/>
    <n v="100"/>
    <n v="0"/>
    <s v="Consolidation"/>
    <s v="CO2e and Base Measure"/>
    <n v="100"/>
    <n v="100"/>
    <n v="0.83"/>
    <m/>
    <m/>
    <m/>
    <m/>
    <m/>
    <n v="1.0748"/>
    <m/>
    <n v="1.0748"/>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10-01T00:00:00"/>
    <s v="FY21"/>
    <s v="t"/>
    <n v="0"/>
    <n v="0.83850000000000002"/>
    <n v="0"/>
    <n v="0.83850000000000002"/>
    <n v="0"/>
    <n v="22"/>
    <n v="0"/>
    <n v="22"/>
    <n v="0"/>
    <n v="100"/>
    <n v="0"/>
    <s v="Consolidation"/>
    <s v="CO2e and Base Measure"/>
    <n v="100"/>
    <n v="100"/>
    <n v="0.84"/>
    <m/>
    <m/>
    <m/>
    <m/>
    <m/>
    <n v="1.0901000000000001"/>
    <m/>
    <n v="1.0901000000000001"/>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11-01T00:00:00"/>
    <s v="FY21"/>
    <s v="t"/>
    <n v="0"/>
    <n v="0.82289999999999996"/>
    <n v="0"/>
    <n v="0.82289999999999996"/>
    <n v="0"/>
    <n v="22"/>
    <n v="0"/>
    <n v="22"/>
    <n v="0"/>
    <n v="100"/>
    <n v="0"/>
    <s v="Consolidation"/>
    <s v="CO2e and Base Measure"/>
    <n v="100"/>
    <n v="100"/>
    <n v="0.82"/>
    <m/>
    <m/>
    <m/>
    <m/>
    <m/>
    <n v="1.0698000000000001"/>
    <m/>
    <n v="1.0698000000000001"/>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12-01T00:00:00"/>
    <s v="FY21"/>
    <s v="t"/>
    <n v="0"/>
    <n v="9.3600000000000003E-2"/>
    <n v="0"/>
    <n v="9.3600000000000003E-2"/>
    <n v="0"/>
    <n v="3"/>
    <n v="0"/>
    <n v="3"/>
    <n v="0"/>
    <n v="100"/>
    <n v="0"/>
    <s v="Consolidation"/>
    <s v="CO2e and Base Measure"/>
    <n v="100"/>
    <n v="100"/>
    <n v="0.09"/>
    <m/>
    <m/>
    <m/>
    <m/>
    <m/>
    <n v="0.1217"/>
    <m/>
    <n v="0.1217"/>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1-01-01T00:00:00"/>
    <s v="FY21"/>
    <s v="t"/>
    <n v="0"/>
    <n v="0"/>
    <n v="2.3199999999999998E-2"/>
    <n v="2.3199999999999998E-2"/>
    <n v="0"/>
    <n v="0"/>
    <n v="1"/>
    <n v="1"/>
    <n v="0"/>
    <n v="0"/>
    <n v="100"/>
    <s v="Consolidation"/>
    <s v="CO2e and Base Measure"/>
    <n v="100"/>
    <n v="100"/>
    <n v="0.02"/>
    <m/>
    <m/>
    <m/>
    <m/>
    <m/>
    <n v="3.0200000000000001E-2"/>
    <m/>
    <n v="3.0200000000000001E-2"/>
    <m/>
    <m/>
    <m/>
    <m/>
    <m/>
    <s v="AUD"/>
    <s v="13565507Waste - General [t] - Scope 3"/>
    <n v="13565507"/>
  </r>
  <r>
    <d v="2019-07-01T00:00:00"/>
    <d v="2021-06-30T00:00:00"/>
    <s v="Telstra"/>
    <s v="NETWORK"/>
    <s v="Network - Telstra/InfraCo Split"/>
    <s v="SA"/>
    <s v="Australia"/>
    <s v="South Australia"/>
    <s v="49 Rundle Mall Adelaide Sa"/>
    <n v="423033115600"/>
    <s v="Waste"/>
    <x v="1"/>
    <x v="2"/>
    <s v="Account"/>
    <s v="CLEANAWAY General"/>
    <m/>
    <s v="30331156_Landfill_General"/>
    <m/>
    <s v="Cleanaway"/>
    <m/>
    <m/>
    <m/>
    <d v="2021-03-01T00:00:00"/>
    <s v="FY21"/>
    <s v="t"/>
    <n v="0.216"/>
    <n v="0"/>
    <n v="0"/>
    <n v="0.216"/>
    <n v="4"/>
    <n v="0"/>
    <n v="0"/>
    <n v="4"/>
    <n v="100"/>
    <n v="0"/>
    <n v="0"/>
    <s v="Consolidation"/>
    <s v="CO2e and Base Measure"/>
    <n v="100"/>
    <n v="100"/>
    <n v="0.22"/>
    <m/>
    <m/>
    <m/>
    <m/>
    <m/>
    <n v="0.28079999999999999"/>
    <m/>
    <n v="0.28079999999999999"/>
    <m/>
    <m/>
    <m/>
    <m/>
    <m/>
    <s v="AUD"/>
    <s v="13641252Waste - General [t] - Scope 3"/>
    <n v="13641252"/>
  </r>
  <r>
    <d v="2019-07-01T00:00:00"/>
    <d v="2021-06-30T00:00:00"/>
    <s v="Telstra"/>
    <s v="NETWORK"/>
    <s v="Network - Telstra/InfraCo Split"/>
    <s v="SA"/>
    <s v="Australia"/>
    <s v="South Australia"/>
    <s v="49 Rundle Mall Adelaide Sa"/>
    <n v="423033115600"/>
    <s v="Waste"/>
    <x v="1"/>
    <x v="2"/>
    <s v="Account"/>
    <s v="CLEANAWAY General"/>
    <m/>
    <s v="30331156_Landfill_General"/>
    <m/>
    <s v="Cleanaway"/>
    <m/>
    <m/>
    <m/>
    <d v="2021-04-01T00:00:00"/>
    <s v="FY21"/>
    <s v="t"/>
    <n v="0"/>
    <n v="0"/>
    <n v="0.216"/>
    <n v="0.216"/>
    <n v="0"/>
    <n v="0"/>
    <n v="30"/>
    <n v="30"/>
    <n v="0"/>
    <n v="0"/>
    <n v="100"/>
    <s v="Consolidation"/>
    <s v="CO2e and Base Measure"/>
    <n v="100"/>
    <n v="100"/>
    <n v="0.22"/>
    <m/>
    <m/>
    <m/>
    <m/>
    <m/>
    <n v="0.28079999999999999"/>
    <m/>
    <n v="0.28079999999999999"/>
    <m/>
    <m/>
    <m/>
    <m/>
    <m/>
    <s v="AUD"/>
    <s v="13641252Waste - General [t] - Scope 3"/>
    <n v="13641252"/>
  </r>
  <r>
    <d v="2019-07-01T00:00:00"/>
    <d v="2021-06-30T00:00:00"/>
    <s v="Telstra"/>
    <s v="NETWORK"/>
    <s v="Network - Telstra/InfraCo Split"/>
    <s v="SA"/>
    <s v="Australia"/>
    <s v="South Australia"/>
    <s v="49 Rundle Mall Adelaide Sa"/>
    <n v="423033115600"/>
    <s v="Waste"/>
    <x v="1"/>
    <x v="2"/>
    <s v="Account"/>
    <s v="CLEANAWAY General"/>
    <m/>
    <s v="30331156_Landfill_General"/>
    <m/>
    <s v="Cleanaway"/>
    <m/>
    <m/>
    <m/>
    <d v="2021-05-01T00:00:00"/>
    <s v="FY21"/>
    <s v="t"/>
    <n v="0"/>
    <n v="0"/>
    <n v="0.22320000000000001"/>
    <n v="0.22320000000000001"/>
    <n v="0"/>
    <n v="0"/>
    <n v="31"/>
    <n v="31"/>
    <n v="0"/>
    <n v="0"/>
    <n v="100"/>
    <s v="Consolidation"/>
    <s v="CO2e and Base Measure"/>
    <n v="100"/>
    <n v="100"/>
    <n v="0.22"/>
    <m/>
    <m/>
    <m/>
    <m/>
    <m/>
    <n v="0.29020000000000001"/>
    <m/>
    <n v="0.29020000000000001"/>
    <m/>
    <m/>
    <m/>
    <m/>
    <m/>
    <s v="AUD"/>
    <s v="13641252Waste - General [t] - Scope 3"/>
    <n v="13641252"/>
  </r>
  <r>
    <d v="2019-07-01T00:00:00"/>
    <d v="2021-06-30T00:00:00"/>
    <s v="Telstra"/>
    <s v="NETWORK"/>
    <s v="Network - Telstra/InfraCo Split"/>
    <s v="SA"/>
    <s v="Australia"/>
    <s v="South Australia"/>
    <s v="49 Rundle Mall Adelaide Sa"/>
    <n v="423033115600"/>
    <s v="Recycled Waste"/>
    <x v="0"/>
    <x v="0"/>
    <s v="Account"/>
    <s v="CLEANAWAY Cardboard"/>
    <m/>
    <s v="30331156_Diversion_Cardboard"/>
    <m/>
    <s v="Cleanaway"/>
    <m/>
    <m/>
    <m/>
    <d v="2021-03-01T00:00:00"/>
    <s v="FY21"/>
    <s v="t"/>
    <n v="0.02"/>
    <n v="1.2E-2"/>
    <n v="0"/>
    <n v="3.2000000000000001E-2"/>
    <n v="1"/>
    <n v="2"/>
    <n v="0"/>
    <n v="3"/>
    <n v="62.5"/>
    <n v="37.5"/>
    <n v="0"/>
    <s v="Consolidation"/>
    <s v="CO2e and Base Measure"/>
    <n v="100"/>
    <n v="100"/>
    <n v="0.03"/>
    <m/>
    <m/>
    <m/>
    <m/>
    <m/>
    <m/>
    <m/>
    <m/>
    <m/>
    <m/>
    <m/>
    <m/>
    <m/>
    <s v="AUD"/>
    <s v="13641256Waste Recycled - Paper and Cardboard [t]"/>
    <n v="13641256"/>
  </r>
  <r>
    <d v="2019-07-01T00:00:00"/>
    <d v="2021-06-30T00:00:00"/>
    <s v="Telstra"/>
    <s v="NETWORK"/>
    <s v="Network - Telstra/InfraCo Split"/>
    <s v="SA"/>
    <s v="Australia"/>
    <s v="South Australia"/>
    <s v="49 Rundle Mall Adelaide Sa"/>
    <n v="423033115600"/>
    <s v="Recycled Waste"/>
    <x v="0"/>
    <x v="0"/>
    <s v="Account"/>
    <s v="CLEANAWAY Cardboard"/>
    <m/>
    <s v="30331156_Diversion_Cardboard"/>
    <m/>
    <s v="Cleanaway"/>
    <m/>
    <m/>
    <m/>
    <d v="2021-04-01T00:00:00"/>
    <s v="FY21"/>
    <s v="t"/>
    <n v="0"/>
    <n v="0"/>
    <n v="3.3000000000000002E-2"/>
    <n v="3.3000000000000002E-2"/>
    <n v="0"/>
    <n v="0"/>
    <n v="30"/>
    <n v="30"/>
    <n v="0"/>
    <n v="0"/>
    <n v="100"/>
    <s v="Consolidation"/>
    <s v="CO2e and Base Measure"/>
    <n v="100"/>
    <n v="100"/>
    <n v="0.03"/>
    <m/>
    <m/>
    <m/>
    <m/>
    <m/>
    <m/>
    <m/>
    <m/>
    <m/>
    <m/>
    <m/>
    <m/>
    <m/>
    <s v="AUD"/>
    <s v="13641256Waste Recycled - Paper and Cardboard [t]"/>
    <n v="13641256"/>
  </r>
  <r>
    <d v="2019-07-01T00:00:00"/>
    <d v="2021-06-30T00:00:00"/>
    <s v="Telstra"/>
    <s v="NETWORK"/>
    <s v="Network - Telstra/InfraCo Split"/>
    <s v="SA"/>
    <s v="Australia"/>
    <s v="South Australia"/>
    <s v="49 Rundle Mall Adelaide Sa"/>
    <n v="423033115600"/>
    <s v="Recycled Waste"/>
    <x v="0"/>
    <x v="0"/>
    <s v="Account"/>
    <s v="CLEANAWAY Cardboard"/>
    <m/>
    <s v="30331156_Diversion_Cardboard"/>
    <m/>
    <s v="Cleanaway"/>
    <m/>
    <m/>
    <m/>
    <d v="2021-05-01T00:00:00"/>
    <s v="FY21"/>
    <s v="t"/>
    <n v="0"/>
    <n v="0"/>
    <n v="3.4099999999999998E-2"/>
    <n v="3.4099999999999998E-2"/>
    <n v="0"/>
    <n v="0"/>
    <n v="31"/>
    <n v="31"/>
    <n v="0"/>
    <n v="0"/>
    <n v="100"/>
    <s v="Consolidation"/>
    <s v="CO2e and Base Measure"/>
    <n v="100"/>
    <n v="100"/>
    <n v="0.03"/>
    <m/>
    <m/>
    <m/>
    <m/>
    <m/>
    <m/>
    <m/>
    <m/>
    <m/>
    <m/>
    <m/>
    <m/>
    <m/>
    <s v="AUD"/>
    <s v="13641256Waste Recycled - Paper and Cardboard [t]"/>
    <n v="13641256"/>
  </r>
  <r>
    <d v="2019-07-01T00:00:00"/>
    <d v="2021-06-30T00:00:00"/>
    <s v="Telstra"/>
    <s v="NETWORK"/>
    <s v="NETWORK"/>
    <s v="ACT"/>
    <s v="Australia"/>
    <s v="Canberra"/>
    <s v="50 Mort Street"/>
    <n v="423034085200"/>
    <s v="Recycled Waste"/>
    <x v="0"/>
    <x v="1"/>
    <s v="Account"/>
    <s v="Recycled - Network E Waste"/>
    <m/>
    <s v="423034085200_E-waste"/>
    <s v="E-waste"/>
    <s v="WVTech"/>
    <m/>
    <m/>
    <m/>
    <d v="2020-07-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08-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09-01T00:00:00"/>
    <s v="FY21"/>
    <s v="t"/>
    <n v="0"/>
    <n v="4.8999999999999998E-3"/>
    <n v="0"/>
    <n v="4.8999999999999998E-3"/>
    <n v="0"/>
    <n v="30"/>
    <n v="0"/>
    <n v="30"/>
    <n v="0"/>
    <n v="100"/>
    <n v="0"/>
    <s v="Consolidation"/>
    <s v="CO2e and Base Measure"/>
    <n v="100"/>
    <n v="100"/>
    <n v="0"/>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10-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11-01T00:00:00"/>
    <s v="FY21"/>
    <s v="t"/>
    <n v="0"/>
    <n v="4.8999999999999998E-3"/>
    <n v="0"/>
    <n v="4.8999999999999998E-3"/>
    <n v="0"/>
    <n v="30"/>
    <n v="0"/>
    <n v="30"/>
    <n v="0"/>
    <n v="100"/>
    <n v="0"/>
    <s v="Consolidation"/>
    <s v="CO2e and Base Measure"/>
    <n v="100"/>
    <n v="100"/>
    <n v="0"/>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12-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1-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2-01T00:00:00"/>
    <s v="FY21"/>
    <s v="t"/>
    <n v="0"/>
    <n v="4.5999999999999999E-3"/>
    <n v="0"/>
    <n v="4.5999999999999999E-3"/>
    <n v="0"/>
    <n v="28"/>
    <n v="0"/>
    <n v="28"/>
    <n v="0"/>
    <n v="100"/>
    <n v="0"/>
    <s v="Consolidation"/>
    <s v="CO2e and Base Measure"/>
    <n v="100"/>
    <n v="100"/>
    <n v="0"/>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3-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4-01T00:00:00"/>
    <s v="FY21"/>
    <s v="t"/>
    <n v="0"/>
    <n v="4.8999999999999998E-3"/>
    <n v="0"/>
    <n v="4.8999999999999998E-3"/>
    <n v="0"/>
    <n v="30"/>
    <n v="0"/>
    <n v="30"/>
    <n v="0"/>
    <n v="100"/>
    <n v="0"/>
    <s v="Consolidation"/>
    <s v="CO2e and Base Measure"/>
    <n v="100"/>
    <n v="100"/>
    <n v="0"/>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5-01T00:00:00"/>
    <s v="FY21"/>
    <s v="t"/>
    <n v="0"/>
    <n v="0"/>
    <n v="6.1999999999999998E-3"/>
    <n v="6.1999999999999998E-3"/>
    <n v="0"/>
    <n v="0"/>
    <n v="31"/>
    <n v="31"/>
    <n v="0"/>
    <n v="0"/>
    <n v="100"/>
    <s v="Consolidation"/>
    <s v="CO2e and Base Measure"/>
    <n v="100"/>
    <n v="100"/>
    <n v="0.01"/>
    <m/>
    <m/>
    <m/>
    <m/>
    <m/>
    <m/>
    <m/>
    <m/>
    <m/>
    <m/>
    <m/>
    <m/>
    <m/>
    <s v="AUD"/>
    <s v="13644548Waste Recycled - E-waste [t]"/>
    <n v="13644548"/>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0-07-01T00:00:00"/>
    <s v="FY21"/>
    <s v="t"/>
    <n v="2.7E-2"/>
    <n v="0"/>
    <n v="0"/>
    <n v="2.7E-2"/>
    <n v="1"/>
    <n v="0"/>
    <n v="0"/>
    <n v="1"/>
    <n v="100"/>
    <n v="0"/>
    <n v="0"/>
    <s v="Consolidation"/>
    <s v="CO2e and Base Measure"/>
    <n v="100"/>
    <n v="100"/>
    <n v="0.03"/>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0-09-01T00:00:00"/>
    <s v="FY21"/>
    <s v="t"/>
    <n v="4.0000000000000001E-3"/>
    <n v="0"/>
    <n v="0"/>
    <n v="4.0000000000000001E-3"/>
    <n v="1"/>
    <n v="0"/>
    <n v="0"/>
    <n v="1"/>
    <n v="100"/>
    <n v="0"/>
    <n v="0"/>
    <s v="Consolidation"/>
    <s v="CO2e and Base Measure"/>
    <n v="100"/>
    <n v="100"/>
    <n v="0"/>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0-12-01T00:00:00"/>
    <s v="FY21"/>
    <s v="t"/>
    <n v="2.7E-2"/>
    <n v="0"/>
    <n v="0"/>
    <n v="2.7E-2"/>
    <n v="1"/>
    <n v="0"/>
    <n v="0"/>
    <n v="1"/>
    <n v="100"/>
    <n v="0"/>
    <n v="0"/>
    <s v="Consolidation"/>
    <s v="CO2e and Base Measure"/>
    <n v="100"/>
    <n v="100"/>
    <n v="0.03"/>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492Waste Recycled - Paper and Cardboard [t]"/>
    <n v="13566492"/>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07-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08-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09-01T00:00:00"/>
    <s v="FY21"/>
    <s v="t"/>
    <n v="0"/>
    <n v="0.59609999999999996"/>
    <n v="0"/>
    <n v="0.59609999999999996"/>
    <n v="0"/>
    <n v="30"/>
    <n v="0"/>
    <n v="30"/>
    <n v="0"/>
    <n v="100"/>
    <n v="0"/>
    <s v="Consolidation"/>
    <s v="CO2e and Base Measure"/>
    <n v="100"/>
    <n v="100"/>
    <n v="0.6"/>
    <m/>
    <m/>
    <m/>
    <m/>
    <m/>
    <n v="0.77490000000000003"/>
    <m/>
    <n v="0.77490000000000003"/>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10-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11-01T00:00:00"/>
    <s v="FY21"/>
    <s v="t"/>
    <n v="0"/>
    <n v="0.59609999999999996"/>
    <n v="0"/>
    <n v="0.59609999999999996"/>
    <n v="0"/>
    <n v="30"/>
    <n v="0"/>
    <n v="30"/>
    <n v="0"/>
    <n v="100"/>
    <n v="0"/>
    <s v="Consolidation"/>
    <s v="CO2e and Base Measure"/>
    <n v="100"/>
    <n v="100"/>
    <n v="0.6"/>
    <m/>
    <m/>
    <m/>
    <m/>
    <m/>
    <n v="0.77490000000000003"/>
    <m/>
    <n v="0.77490000000000003"/>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12-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1-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2-01T00:00:00"/>
    <s v="FY21"/>
    <s v="t"/>
    <n v="0"/>
    <n v="0.55630000000000002"/>
    <n v="0"/>
    <n v="0.55630000000000002"/>
    <n v="0"/>
    <n v="28"/>
    <n v="0"/>
    <n v="28"/>
    <n v="0"/>
    <n v="100"/>
    <n v="0"/>
    <s v="Consolidation"/>
    <s v="CO2e and Base Measure"/>
    <n v="100"/>
    <n v="100"/>
    <n v="0.56000000000000005"/>
    <m/>
    <m/>
    <m/>
    <m/>
    <m/>
    <n v="0.72319999999999995"/>
    <m/>
    <n v="0.72319999999999995"/>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3-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4-01T00:00:00"/>
    <s v="FY21"/>
    <s v="t"/>
    <n v="0"/>
    <n v="0.59609999999999996"/>
    <n v="0"/>
    <n v="0.59609999999999996"/>
    <n v="0"/>
    <n v="30"/>
    <n v="0"/>
    <n v="30"/>
    <n v="0"/>
    <n v="100"/>
    <n v="0"/>
    <s v="Consolidation"/>
    <s v="CO2e and Base Measure"/>
    <n v="100"/>
    <n v="100"/>
    <n v="0.6"/>
    <m/>
    <m/>
    <m/>
    <m/>
    <m/>
    <n v="0.77490000000000003"/>
    <m/>
    <n v="0.77490000000000003"/>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5-01T00:00:00"/>
    <s v="FY21"/>
    <s v="t"/>
    <n v="0"/>
    <n v="0"/>
    <n v="0.6169"/>
    <n v="0.6169"/>
    <n v="0"/>
    <n v="0"/>
    <n v="31"/>
    <n v="31"/>
    <n v="0"/>
    <n v="0"/>
    <n v="100"/>
    <s v="Consolidation"/>
    <s v="CO2e and Base Measure"/>
    <n v="100"/>
    <n v="100"/>
    <n v="0.62"/>
    <m/>
    <m/>
    <m/>
    <m/>
    <m/>
    <n v="0.80200000000000005"/>
    <m/>
    <n v="0.80200000000000005"/>
    <m/>
    <m/>
    <m/>
    <m/>
    <m/>
    <s v="AUD"/>
    <s v="13644537Waste - General [t] - Scope 3"/>
    <n v="13644537"/>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07-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08-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09-01T00:00:00"/>
    <s v="FY21"/>
    <s v="t"/>
    <n v="3.3098999999999998"/>
    <n v="0"/>
    <n v="0"/>
    <n v="3.3098999999999998"/>
    <n v="30"/>
    <n v="0"/>
    <n v="0"/>
    <n v="30"/>
    <n v="100"/>
    <n v="0"/>
    <n v="0"/>
    <s v="Consolidation"/>
    <s v="CO2e and Base Measure"/>
    <n v="100"/>
    <n v="100"/>
    <n v="3.31"/>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10-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11-01T00:00:00"/>
    <s v="FY21"/>
    <s v="t"/>
    <n v="3.3098999999999998"/>
    <n v="0"/>
    <n v="0"/>
    <n v="3.3098999999999998"/>
    <n v="30"/>
    <n v="0"/>
    <n v="0"/>
    <n v="30"/>
    <n v="100"/>
    <n v="0"/>
    <n v="0"/>
    <s v="Consolidation"/>
    <s v="CO2e and Base Measure"/>
    <n v="100"/>
    <n v="100"/>
    <n v="3.31"/>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12-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1-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2-01T00:00:00"/>
    <s v="FY21"/>
    <s v="t"/>
    <n v="3.0891999999999999"/>
    <n v="0"/>
    <n v="0"/>
    <n v="3.0891999999999999"/>
    <n v="28"/>
    <n v="0"/>
    <n v="0"/>
    <n v="28"/>
    <n v="100"/>
    <n v="0"/>
    <n v="0"/>
    <s v="Consolidation"/>
    <s v="CO2e and Base Measure"/>
    <n v="100"/>
    <n v="100"/>
    <n v="3.09"/>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3-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4-01T00:00:00"/>
    <s v="FY21"/>
    <s v="t"/>
    <n v="3.3098999999999998"/>
    <n v="0"/>
    <n v="0"/>
    <n v="3.3098999999999998"/>
    <n v="30"/>
    <n v="0"/>
    <n v="0"/>
    <n v="30"/>
    <n v="100"/>
    <n v="0"/>
    <n v="0"/>
    <s v="Consolidation"/>
    <s v="CO2e and Base Measure"/>
    <n v="100"/>
    <n v="100"/>
    <n v="3.31"/>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5-01T00:00:00"/>
    <s v="FY21"/>
    <s v="t"/>
    <n v="0"/>
    <n v="0"/>
    <n v="3.4317000000000002"/>
    <n v="3.4317000000000002"/>
    <n v="0"/>
    <n v="0"/>
    <n v="31"/>
    <n v="31"/>
    <n v="0"/>
    <n v="0"/>
    <n v="100"/>
    <s v="Consolidation"/>
    <s v="CO2e and Base Measure"/>
    <n v="100"/>
    <n v="100"/>
    <n v="3.43"/>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07-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08-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09-01T00:00:00"/>
    <s v="FY21"/>
    <s v="t"/>
    <n v="0"/>
    <n v="2.3841999999999999"/>
    <n v="0"/>
    <n v="2.3841999999999999"/>
    <n v="0"/>
    <n v="30"/>
    <n v="0"/>
    <n v="30"/>
    <n v="0"/>
    <n v="100"/>
    <n v="0"/>
    <s v="Consolidation"/>
    <s v="CO2e and Base Measure"/>
    <n v="100"/>
    <n v="100"/>
    <n v="2.38"/>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10-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11-01T00:00:00"/>
    <s v="FY21"/>
    <s v="t"/>
    <n v="0"/>
    <n v="2.3841999999999999"/>
    <n v="0"/>
    <n v="2.3841999999999999"/>
    <n v="0"/>
    <n v="30"/>
    <n v="0"/>
    <n v="30"/>
    <n v="0"/>
    <n v="100"/>
    <n v="0"/>
    <s v="Consolidation"/>
    <s v="CO2e and Base Measure"/>
    <n v="100"/>
    <n v="100"/>
    <n v="2.38"/>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12-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1-01-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1-02-01T00:00:00"/>
    <s v="FY21"/>
    <s v="t"/>
    <n v="0"/>
    <n v="2.2252999999999998"/>
    <n v="0"/>
    <n v="2.2252999999999998"/>
    <n v="0"/>
    <n v="28"/>
    <n v="0"/>
    <n v="28"/>
    <n v="0"/>
    <n v="100"/>
    <n v="0"/>
    <s v="Consolidation"/>
    <s v="CO2e and Base Measure"/>
    <n v="100"/>
    <n v="100"/>
    <n v="2.23"/>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1-03-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1-04-01T00:00:00"/>
    <s v="FY21"/>
    <s v="t"/>
    <n v="0"/>
    <n v="2.3841999999999999"/>
    <n v="0"/>
    <n v="2.3841999999999999"/>
    <n v="0"/>
    <n v="30"/>
    <n v="0"/>
    <n v="30"/>
    <n v="0"/>
    <n v="100"/>
    <n v="0"/>
    <s v="Consolidation"/>
    <s v="CO2e and Base Measure"/>
    <n v="100"/>
    <n v="100"/>
    <n v="2.38"/>
    <m/>
    <m/>
    <m/>
    <m/>
    <m/>
    <m/>
    <m/>
    <m/>
    <m/>
    <m/>
    <m/>
    <m/>
    <m/>
    <s v="AUD"/>
    <s v="13644539Waste Recycled - Other [t]"/>
    <n v="13644539"/>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07-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08-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09-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10-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11-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12-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1-01T00:00:00"/>
    <s v="FY21"/>
    <s v="t"/>
    <n v="0"/>
    <n v="0"/>
    <n v="1.24E-2"/>
    <n v="1.24E-2"/>
    <n v="0"/>
    <n v="0"/>
    <n v="31"/>
    <n v="31"/>
    <n v="0"/>
    <n v="0"/>
    <n v="10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2-01T00:00:00"/>
    <s v="FY21"/>
    <s v="t"/>
    <n v="0"/>
    <n v="0"/>
    <n v="1.12E-2"/>
    <n v="1.12E-2"/>
    <n v="0"/>
    <n v="0"/>
    <n v="28"/>
    <n v="28"/>
    <n v="0"/>
    <n v="0"/>
    <n v="10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3-01T00:00:00"/>
    <s v="FY21"/>
    <s v="t"/>
    <n v="0"/>
    <n v="0"/>
    <n v="1.24E-2"/>
    <n v="1.24E-2"/>
    <n v="0"/>
    <n v="0"/>
    <n v="31"/>
    <n v="31"/>
    <n v="0"/>
    <n v="0"/>
    <n v="10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4-01T00:00:00"/>
    <s v="FY21"/>
    <s v="t"/>
    <n v="0"/>
    <n v="0"/>
    <n v="1.2E-2"/>
    <n v="1.2E-2"/>
    <n v="0"/>
    <n v="0"/>
    <n v="30"/>
    <n v="30"/>
    <n v="0"/>
    <n v="0"/>
    <n v="10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5-01T00:00:00"/>
    <s v="FY21"/>
    <s v="t"/>
    <n v="0"/>
    <n v="0"/>
    <n v="1.24E-2"/>
    <n v="1.24E-2"/>
    <n v="0"/>
    <n v="0"/>
    <n v="31"/>
    <n v="31"/>
    <n v="0"/>
    <n v="0"/>
    <n v="100"/>
    <s v="Consolidation"/>
    <s v="CO2e and Base Measure"/>
    <n v="100"/>
    <n v="100"/>
    <n v="0.01"/>
    <m/>
    <m/>
    <m/>
    <m/>
    <m/>
    <m/>
    <m/>
    <m/>
    <m/>
    <m/>
    <m/>
    <m/>
    <m/>
    <s v="AUD"/>
    <s v="13566428Waste Recycled - Paper and Cardboard [t]"/>
    <n v="13566428"/>
  </r>
  <r>
    <d v="2019-07-01T00:00:00"/>
    <d v="2021-06-30T00:00:00"/>
    <s v="Telstra"/>
    <s v="NON-NETWORK"/>
    <s v="NON-NETWORK"/>
    <s v="TAS"/>
    <s v="Australia"/>
    <s v="Tasmania"/>
    <s v="66-80 Collins St Hobart"/>
    <m/>
    <s v="Waste"/>
    <x v="1"/>
    <x v="2"/>
    <s v="Account"/>
    <s v="Landfill - General Waste Ow"/>
    <m/>
    <s v="EWRE General Waste"/>
    <m/>
    <s v="EWRE"/>
    <m/>
    <d v="2020-07-01T00:00:00"/>
    <m/>
    <d v="2020-07-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08-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09-01T00:00:00"/>
    <s v="FY21"/>
    <s v="t"/>
    <n v="0"/>
    <n v="3.2517999999999998"/>
    <n v="0"/>
    <n v="3.2517999999999998"/>
    <n v="0"/>
    <n v="30"/>
    <n v="0"/>
    <n v="30"/>
    <n v="0"/>
    <n v="100"/>
    <n v="0"/>
    <s v="Consolidation"/>
    <s v="CO2e and Base Measure"/>
    <n v="100"/>
    <n v="100"/>
    <n v="3.25"/>
    <m/>
    <m/>
    <m/>
    <m/>
    <m/>
    <n v="4.2272999999999996"/>
    <m/>
    <n v="4.227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10-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11-01T00:00:00"/>
    <s v="FY21"/>
    <s v="t"/>
    <n v="0"/>
    <n v="3.2517999999999998"/>
    <n v="0"/>
    <n v="3.2517999999999998"/>
    <n v="0"/>
    <n v="30"/>
    <n v="0"/>
    <n v="30"/>
    <n v="0"/>
    <n v="100"/>
    <n v="0"/>
    <s v="Consolidation"/>
    <s v="CO2e and Base Measure"/>
    <n v="100"/>
    <n v="100"/>
    <n v="3.25"/>
    <m/>
    <m/>
    <m/>
    <m/>
    <m/>
    <n v="4.2272999999999996"/>
    <m/>
    <n v="4.227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12-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1-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2-01T00:00:00"/>
    <s v="FY21"/>
    <s v="t"/>
    <n v="0"/>
    <n v="3.0350000000000001"/>
    <n v="0"/>
    <n v="3.0350000000000001"/>
    <n v="0"/>
    <n v="28"/>
    <n v="0"/>
    <n v="28"/>
    <n v="0"/>
    <n v="100"/>
    <n v="0"/>
    <s v="Consolidation"/>
    <s v="CO2e and Base Measure"/>
    <n v="100"/>
    <n v="100"/>
    <n v="3.04"/>
    <m/>
    <m/>
    <m/>
    <m/>
    <m/>
    <n v="3.9455"/>
    <m/>
    <n v="3.9455"/>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3-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4-01T00:00:00"/>
    <s v="FY21"/>
    <s v="t"/>
    <n v="0"/>
    <n v="0"/>
    <n v="3.2639999999999998"/>
    <n v="3.2639999999999998"/>
    <n v="0"/>
    <n v="0"/>
    <n v="30"/>
    <n v="30"/>
    <n v="0"/>
    <n v="0"/>
    <n v="100"/>
    <s v="Consolidation"/>
    <s v="CO2e and Base Measure"/>
    <n v="100"/>
    <n v="100"/>
    <n v="3.26"/>
    <m/>
    <m/>
    <m/>
    <m/>
    <m/>
    <n v="4.2431999999999999"/>
    <m/>
    <n v="4.2431999999999999"/>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5-01T00:00:00"/>
    <s v="FY21"/>
    <s v="t"/>
    <n v="0"/>
    <n v="0"/>
    <n v="3.3727999999999998"/>
    <n v="3.3727999999999998"/>
    <n v="0"/>
    <n v="0"/>
    <n v="31"/>
    <n v="31"/>
    <n v="0"/>
    <n v="0"/>
    <n v="100"/>
    <s v="Consolidation"/>
    <s v="CO2e and Base Measure"/>
    <n v="100"/>
    <n v="100"/>
    <n v="3.37"/>
    <m/>
    <m/>
    <m/>
    <m/>
    <m/>
    <n v="4.3845999999999998"/>
    <m/>
    <n v="4.3845999999999998"/>
    <m/>
    <m/>
    <m/>
    <m/>
    <m/>
    <s v="AUD"/>
    <s v="13643565Waste - General [t] - Scope 3"/>
    <n v="13643565"/>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07-01T00:00:00"/>
    <s v="FY21"/>
    <s v="t"/>
    <n v="0.32400000000000001"/>
    <n v="0"/>
    <n v="0"/>
    <n v="0.32400000000000001"/>
    <n v="2"/>
    <n v="0"/>
    <n v="0"/>
    <n v="2"/>
    <n v="100"/>
    <n v="0"/>
    <n v="0"/>
    <s v="Consolidation"/>
    <s v="CO2e and Base Measure"/>
    <n v="100"/>
    <n v="100"/>
    <n v="0.32"/>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08-01T00:00:00"/>
    <s v="FY21"/>
    <s v="t"/>
    <n v="0.32400000000000001"/>
    <n v="0"/>
    <n v="0"/>
    <n v="0.32400000000000001"/>
    <n v="2"/>
    <n v="0"/>
    <n v="0"/>
    <n v="2"/>
    <n v="100"/>
    <n v="0"/>
    <n v="0"/>
    <s v="Consolidation"/>
    <s v="CO2e and Base Measure"/>
    <n v="100"/>
    <n v="100"/>
    <n v="0.32"/>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09-01T00:00:00"/>
    <s v="FY21"/>
    <s v="t"/>
    <n v="2.4E-2"/>
    <n v="0"/>
    <n v="0"/>
    <n v="2.4E-2"/>
    <n v="2"/>
    <n v="0"/>
    <n v="0"/>
    <n v="2"/>
    <n v="100"/>
    <n v="0"/>
    <n v="0"/>
    <s v="Consolidation"/>
    <s v="CO2e and Base Measure"/>
    <n v="100"/>
    <n v="100"/>
    <n v="0.02"/>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10-01T00:00:00"/>
    <s v="FY21"/>
    <s v="t"/>
    <n v="0.32400000000000001"/>
    <n v="0"/>
    <n v="0"/>
    <n v="0.32400000000000001"/>
    <n v="2"/>
    <n v="0"/>
    <n v="0"/>
    <n v="2"/>
    <n v="100"/>
    <n v="0"/>
    <n v="0"/>
    <s v="Consolidation"/>
    <s v="CO2e and Base Measure"/>
    <n v="100"/>
    <n v="100"/>
    <n v="0.32"/>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11-01T00:00:00"/>
    <s v="FY21"/>
    <s v="t"/>
    <n v="0.48599999999999999"/>
    <n v="0"/>
    <n v="0"/>
    <n v="0.48599999999999999"/>
    <n v="3"/>
    <n v="0"/>
    <n v="0"/>
    <n v="3"/>
    <n v="100"/>
    <n v="0"/>
    <n v="0"/>
    <s v="Consolidation"/>
    <s v="CO2e and Base Measure"/>
    <n v="100"/>
    <n v="100"/>
    <n v="0.49"/>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12-01T00:00:00"/>
    <s v="FY21"/>
    <s v="t"/>
    <n v="0.16200000000000001"/>
    <n v="0"/>
    <n v="0"/>
    <n v="0.16200000000000001"/>
    <n v="1"/>
    <n v="0"/>
    <n v="0"/>
    <n v="1"/>
    <n v="100"/>
    <n v="0"/>
    <n v="0"/>
    <s v="Consolidation"/>
    <s v="CO2e and Base Measure"/>
    <n v="100"/>
    <n v="100"/>
    <n v="0.16"/>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1-01T00:00:00"/>
    <s v="FY21"/>
    <s v="t"/>
    <n v="0"/>
    <n v="0"/>
    <n v="0.31"/>
    <n v="0.31"/>
    <n v="0"/>
    <n v="0"/>
    <n v="31"/>
    <n v="31"/>
    <n v="0"/>
    <n v="0"/>
    <n v="100"/>
    <s v="Consolidation"/>
    <s v="CO2e and Base Measure"/>
    <n v="100"/>
    <n v="100"/>
    <n v="0.31"/>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2-01T00:00:00"/>
    <s v="FY21"/>
    <s v="t"/>
    <n v="0"/>
    <n v="0"/>
    <n v="0.28000000000000003"/>
    <n v="0.28000000000000003"/>
    <n v="0"/>
    <n v="0"/>
    <n v="28"/>
    <n v="28"/>
    <n v="0"/>
    <n v="0"/>
    <n v="100"/>
    <s v="Consolidation"/>
    <s v="CO2e and Base Measure"/>
    <n v="100"/>
    <n v="100"/>
    <n v="0.28000000000000003"/>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3-01T00:00:00"/>
    <s v="FY21"/>
    <s v="t"/>
    <n v="0"/>
    <n v="0"/>
    <n v="0.31"/>
    <n v="0.31"/>
    <n v="0"/>
    <n v="0"/>
    <n v="31"/>
    <n v="31"/>
    <n v="0"/>
    <n v="0"/>
    <n v="100"/>
    <s v="Consolidation"/>
    <s v="CO2e and Base Measure"/>
    <n v="100"/>
    <n v="100"/>
    <n v="0.31"/>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4-01T00:00:00"/>
    <s v="FY21"/>
    <s v="t"/>
    <n v="0"/>
    <n v="0"/>
    <n v="0.3"/>
    <n v="0.3"/>
    <n v="0"/>
    <n v="0"/>
    <n v="30"/>
    <n v="30"/>
    <n v="0"/>
    <n v="0"/>
    <n v="100"/>
    <s v="Consolidation"/>
    <s v="CO2e and Base Measure"/>
    <n v="100"/>
    <n v="100"/>
    <n v="0.3"/>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5-01T00:00:00"/>
    <s v="FY21"/>
    <s v="t"/>
    <n v="0"/>
    <n v="0"/>
    <n v="0.31"/>
    <n v="0.31"/>
    <n v="0"/>
    <n v="0"/>
    <n v="31"/>
    <n v="31"/>
    <n v="0"/>
    <n v="0"/>
    <n v="100"/>
    <s v="Consolidation"/>
    <s v="CO2e and Base Measure"/>
    <n v="100"/>
    <n v="100"/>
    <n v="0.31"/>
    <m/>
    <m/>
    <m/>
    <m/>
    <m/>
    <m/>
    <m/>
    <m/>
    <m/>
    <m/>
    <m/>
    <m/>
    <m/>
    <s v="AUD"/>
    <s v="13566514Waste Recycled - Paper and Cardboard [t]"/>
    <n v="13566514"/>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08-01T00:00:00"/>
    <s v="FY21"/>
    <s v="t"/>
    <n v="0.189"/>
    <n v="0"/>
    <n v="0"/>
    <n v="0.189"/>
    <n v="1"/>
    <n v="0"/>
    <n v="0"/>
    <n v="1"/>
    <n v="100"/>
    <n v="0"/>
    <n v="0"/>
    <s v="Consolidation"/>
    <s v="CO2e and Base Measure"/>
    <n v="100"/>
    <n v="100"/>
    <n v="0.19"/>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09-01T00:00:00"/>
    <s v="FY21"/>
    <s v="t"/>
    <n v="0"/>
    <n v="0"/>
    <n v="0.189"/>
    <n v="0.189"/>
    <n v="0"/>
    <n v="0"/>
    <n v="30"/>
    <n v="30"/>
    <n v="0"/>
    <n v="0"/>
    <n v="100"/>
    <s v="Consolidation"/>
    <s v="CO2e and Base Measure"/>
    <n v="100"/>
    <n v="100"/>
    <n v="0.19"/>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10-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11-01T00:00:00"/>
    <s v="FY21"/>
    <s v="t"/>
    <n v="0"/>
    <n v="0"/>
    <n v="0.189"/>
    <n v="0.189"/>
    <n v="0"/>
    <n v="0"/>
    <n v="30"/>
    <n v="30"/>
    <n v="0"/>
    <n v="0"/>
    <n v="100"/>
    <s v="Consolidation"/>
    <s v="CO2e and Base Measure"/>
    <n v="100"/>
    <n v="100"/>
    <n v="0.19"/>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12-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1-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2-01T00:00:00"/>
    <s v="FY21"/>
    <s v="t"/>
    <n v="0"/>
    <n v="0"/>
    <n v="0.1764"/>
    <n v="0.1764"/>
    <n v="0"/>
    <n v="0"/>
    <n v="28"/>
    <n v="28"/>
    <n v="0"/>
    <n v="0"/>
    <n v="100"/>
    <s v="Consolidation"/>
    <s v="CO2e and Base Measure"/>
    <n v="100"/>
    <n v="100"/>
    <n v="0.18"/>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3-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4-01T00:00:00"/>
    <s v="FY21"/>
    <s v="t"/>
    <n v="0"/>
    <n v="0"/>
    <n v="0.189"/>
    <n v="0.189"/>
    <n v="0"/>
    <n v="0"/>
    <n v="30"/>
    <n v="30"/>
    <n v="0"/>
    <n v="0"/>
    <n v="100"/>
    <s v="Consolidation"/>
    <s v="CO2e and Base Measure"/>
    <n v="100"/>
    <n v="100"/>
    <n v="0.19"/>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5-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0-12-01T00:00:00"/>
    <s v="FY21"/>
    <s v="t"/>
    <n v="1.8069999999999999"/>
    <n v="0.40500000000000003"/>
    <n v="0"/>
    <n v="2.2120000000000002"/>
    <n v="7"/>
    <n v="1"/>
    <n v="0"/>
    <n v="8"/>
    <n v="81.69"/>
    <n v="18.3"/>
    <n v="0"/>
    <s v="Consolidation"/>
    <s v="CO2e and Base Measure"/>
    <n v="100"/>
    <n v="100"/>
    <n v="2.21"/>
    <m/>
    <m/>
    <m/>
    <m/>
    <m/>
    <n v="2.8755999999999999"/>
    <m/>
    <n v="2.8755999999999999"/>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1-01T00:00:00"/>
    <s v="FY21"/>
    <s v="t"/>
    <n v="1.7090000000000001"/>
    <n v="0"/>
    <n v="0"/>
    <n v="1.7090000000000001"/>
    <n v="6"/>
    <n v="0"/>
    <n v="0"/>
    <n v="6"/>
    <n v="100"/>
    <n v="0"/>
    <n v="0"/>
    <s v="Consolidation"/>
    <s v="CO2e and Base Measure"/>
    <n v="100"/>
    <n v="100"/>
    <n v="1.71"/>
    <m/>
    <m/>
    <m/>
    <m/>
    <m/>
    <n v="2.2216999999999998"/>
    <m/>
    <n v="2.2216999999999998"/>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2-01T00:00:00"/>
    <s v="FY21"/>
    <s v="t"/>
    <n v="5.335"/>
    <n v="0"/>
    <n v="0"/>
    <n v="5.335"/>
    <n v="8"/>
    <n v="0"/>
    <n v="0"/>
    <n v="8"/>
    <n v="100"/>
    <n v="0"/>
    <n v="0"/>
    <s v="Consolidation"/>
    <s v="CO2e and Base Measure"/>
    <n v="100"/>
    <n v="100"/>
    <n v="5.34"/>
    <m/>
    <m/>
    <m/>
    <m/>
    <m/>
    <n v="6.9355000000000002"/>
    <m/>
    <n v="6.9355000000000002"/>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3-01T00:00:00"/>
    <s v="FY21"/>
    <s v="t"/>
    <n v="7.6609999999999996"/>
    <n v="0"/>
    <n v="0"/>
    <n v="7.6609999999999996"/>
    <n v="10"/>
    <n v="0"/>
    <n v="0"/>
    <n v="10"/>
    <n v="100"/>
    <n v="0"/>
    <n v="0"/>
    <s v="Consolidation"/>
    <s v="CO2e and Base Measure"/>
    <n v="100"/>
    <n v="100"/>
    <n v="7.66"/>
    <m/>
    <m/>
    <m/>
    <m/>
    <m/>
    <n v="9.9593000000000007"/>
    <m/>
    <n v="9.9593000000000007"/>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4-01T00:00:00"/>
    <s v="FY21"/>
    <s v="t"/>
    <n v="0"/>
    <n v="0"/>
    <n v="4.2300000000000004"/>
    <n v="4.2300000000000004"/>
    <n v="0"/>
    <n v="0"/>
    <n v="30"/>
    <n v="30"/>
    <n v="0"/>
    <n v="0"/>
    <n v="100"/>
    <s v="Consolidation"/>
    <s v="CO2e and Base Measure"/>
    <n v="100"/>
    <n v="100"/>
    <n v="4.2300000000000004"/>
    <m/>
    <m/>
    <m/>
    <m/>
    <m/>
    <n v="5.4989999999999997"/>
    <m/>
    <n v="5.4989999999999997"/>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5-01T00:00:00"/>
    <s v="FY21"/>
    <s v="t"/>
    <n v="0"/>
    <n v="0"/>
    <n v="4.3710000000000004"/>
    <n v="4.3710000000000004"/>
    <n v="0"/>
    <n v="0"/>
    <n v="31"/>
    <n v="31"/>
    <n v="0"/>
    <n v="0"/>
    <n v="100"/>
    <s v="Consolidation"/>
    <s v="CO2e and Base Measure"/>
    <n v="100"/>
    <n v="100"/>
    <n v="4.37"/>
    <m/>
    <m/>
    <m/>
    <m/>
    <m/>
    <n v="5.6822999999999997"/>
    <m/>
    <n v="5.6822999999999997"/>
    <m/>
    <m/>
    <m/>
    <m/>
    <m/>
    <s v="AUD"/>
    <s v="13634381Waste - General [t] - Scope 3"/>
    <n v="13634381"/>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0-12-01T00:00:00"/>
    <s v="FY21"/>
    <s v="t"/>
    <n v="0.16200000000000001"/>
    <n v="0.45"/>
    <n v="0"/>
    <n v="0.61199999999999999"/>
    <n v="2"/>
    <n v="2"/>
    <n v="0"/>
    <n v="4"/>
    <n v="26.47"/>
    <n v="73.52"/>
    <n v="0"/>
    <s v="Consolidation"/>
    <s v="CO2e and Base Measure"/>
    <n v="100"/>
    <n v="100"/>
    <n v="0.61"/>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1-01T00:00:00"/>
    <s v="FY21"/>
    <s v="t"/>
    <n v="0.17299999999999999"/>
    <n v="0"/>
    <n v="0"/>
    <n v="0.17299999999999999"/>
    <n v="3"/>
    <n v="0"/>
    <n v="0"/>
    <n v="3"/>
    <n v="100"/>
    <n v="0"/>
    <n v="0"/>
    <s v="Consolidation"/>
    <s v="CO2e and Base Measure"/>
    <n v="100"/>
    <n v="100"/>
    <n v="0.17"/>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2-01T00:00:00"/>
    <s v="FY21"/>
    <s v="t"/>
    <n v="0.81799999999999995"/>
    <n v="0"/>
    <n v="0"/>
    <n v="0.81799999999999995"/>
    <n v="4"/>
    <n v="0"/>
    <n v="0"/>
    <n v="4"/>
    <n v="100"/>
    <n v="0"/>
    <n v="0"/>
    <s v="Consolidation"/>
    <s v="CO2e and Base Measure"/>
    <n v="100"/>
    <n v="100"/>
    <n v="0.82"/>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3-01T00:00:00"/>
    <s v="FY21"/>
    <s v="t"/>
    <n v="0.45600000000000002"/>
    <n v="0.22500000000000001"/>
    <n v="0"/>
    <n v="0.68100000000000005"/>
    <n v="4"/>
    <n v="1"/>
    <n v="0"/>
    <n v="5"/>
    <n v="66.959999999999994"/>
    <n v="33.03"/>
    <n v="0"/>
    <s v="Consolidation"/>
    <s v="CO2e and Base Measure"/>
    <n v="100"/>
    <n v="100"/>
    <n v="0.68"/>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4-01T00:00:00"/>
    <s v="FY21"/>
    <s v="t"/>
    <n v="0"/>
    <n v="0"/>
    <n v="0.56999999999999995"/>
    <n v="0.56999999999999995"/>
    <n v="0"/>
    <n v="0"/>
    <n v="30"/>
    <n v="30"/>
    <n v="0"/>
    <n v="0"/>
    <n v="100"/>
    <s v="Consolidation"/>
    <s v="CO2e and Base Measure"/>
    <n v="100"/>
    <n v="100"/>
    <n v="0.56999999999999995"/>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5-01T00:00:00"/>
    <s v="FY21"/>
    <s v="t"/>
    <n v="0"/>
    <n v="0"/>
    <n v="0.58899999999999997"/>
    <n v="0.58899999999999997"/>
    <n v="0"/>
    <n v="0"/>
    <n v="31"/>
    <n v="31"/>
    <n v="0"/>
    <n v="0"/>
    <n v="100"/>
    <s v="Consolidation"/>
    <s v="CO2e and Base Measure"/>
    <n v="100"/>
    <n v="100"/>
    <n v="0.59"/>
    <m/>
    <m/>
    <m/>
    <m/>
    <m/>
    <m/>
    <m/>
    <m/>
    <m/>
    <m/>
    <m/>
    <m/>
    <m/>
    <s v="AUD"/>
    <s v="13634382Waste Recycled - Paper and Cardboard [t]"/>
    <n v="13634382"/>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1-01T00:00:00"/>
    <s v="FY21"/>
    <s v="t"/>
    <n v="1.5"/>
    <n v="0"/>
    <n v="0"/>
    <n v="1.5"/>
    <n v="1"/>
    <n v="0"/>
    <n v="0"/>
    <n v="1"/>
    <n v="100"/>
    <n v="0"/>
    <n v="0"/>
    <s v="Consolidation"/>
    <s v="CO2e and Base Measure"/>
    <n v="100"/>
    <n v="100"/>
    <n v="1.5"/>
    <m/>
    <m/>
    <m/>
    <m/>
    <m/>
    <m/>
    <m/>
    <m/>
    <m/>
    <m/>
    <m/>
    <m/>
    <m/>
    <s v="AUD"/>
    <s v="13634519Waste Recycled - Construction and Demolition [t]"/>
    <n v="13634519"/>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2-01T00:00:00"/>
    <s v="FY21"/>
    <s v="t"/>
    <n v="2.14"/>
    <n v="0"/>
    <n v="0"/>
    <n v="2.14"/>
    <n v="1"/>
    <n v="0"/>
    <n v="0"/>
    <n v="1"/>
    <n v="100"/>
    <n v="0"/>
    <n v="0"/>
    <s v="Consolidation"/>
    <s v="CO2e and Base Measure"/>
    <n v="100"/>
    <n v="100"/>
    <n v="2.14"/>
    <m/>
    <m/>
    <m/>
    <m/>
    <m/>
    <m/>
    <m/>
    <m/>
    <m/>
    <m/>
    <m/>
    <m/>
    <m/>
    <s v="AUD"/>
    <s v="13634519Waste Recycled - Construction and Demolition [t]"/>
    <n v="13634519"/>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3-01T00:00:00"/>
    <s v="FY21"/>
    <s v="t"/>
    <n v="8.92"/>
    <n v="0"/>
    <n v="0"/>
    <n v="8.92"/>
    <n v="4"/>
    <n v="0"/>
    <n v="0"/>
    <n v="4"/>
    <n v="100"/>
    <n v="0"/>
    <n v="0"/>
    <s v="Consolidation"/>
    <s v="CO2e and Base Measure"/>
    <n v="100"/>
    <n v="100"/>
    <n v="8.92"/>
    <m/>
    <m/>
    <m/>
    <m/>
    <m/>
    <m/>
    <m/>
    <m/>
    <m/>
    <m/>
    <m/>
    <m/>
    <m/>
    <s v="AUD"/>
    <s v="13634519Waste Recycled - Construction and Demolition [t]"/>
    <n v="13634519"/>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4-01T00:00:00"/>
    <s v="FY21"/>
    <s v="t"/>
    <n v="0"/>
    <n v="0"/>
    <n v="4.2329999999999997"/>
    <n v="4.2329999999999997"/>
    <n v="0"/>
    <n v="0"/>
    <n v="30"/>
    <n v="30"/>
    <n v="0"/>
    <n v="0"/>
    <n v="100"/>
    <s v="Consolidation"/>
    <s v="CO2e and Base Measure"/>
    <n v="100"/>
    <n v="100"/>
    <n v="4.2300000000000004"/>
    <m/>
    <m/>
    <m/>
    <m/>
    <m/>
    <m/>
    <m/>
    <m/>
    <m/>
    <m/>
    <m/>
    <m/>
    <m/>
    <s v="AUD"/>
    <s v="13634519Waste Recycled - Construction and Demolition [t]"/>
    <n v="13634519"/>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5-01T00:00:00"/>
    <s v="FY21"/>
    <s v="t"/>
    <n v="0"/>
    <n v="0"/>
    <n v="4.3741000000000003"/>
    <n v="4.3741000000000003"/>
    <n v="0"/>
    <n v="0"/>
    <n v="31"/>
    <n v="31"/>
    <n v="0"/>
    <n v="0"/>
    <n v="100"/>
    <s v="Consolidation"/>
    <s v="CO2e and Base Measure"/>
    <n v="100"/>
    <n v="100"/>
    <n v="4.37"/>
    <m/>
    <m/>
    <m/>
    <m/>
    <m/>
    <m/>
    <m/>
    <m/>
    <m/>
    <m/>
    <m/>
    <m/>
    <m/>
    <s v="AUD"/>
    <s v="13634519Waste Recycled - Construction and Demolition [t]"/>
    <n v="13634519"/>
  </r>
  <r>
    <d v="2019-07-01T00:00:00"/>
    <d v="2021-06-30T00:00:00"/>
    <s v="Telstra"/>
    <s v="NON-NETWORK"/>
    <s v="NON-NETWORK"/>
    <s v="SA"/>
    <s v="Australia"/>
    <s v="Plympton"/>
    <s v="7 HUDSON NETLEY"/>
    <n v="423031641800"/>
    <s v="Recycled Waste"/>
    <x v="0"/>
    <x v="3"/>
    <s v="Account"/>
    <s v="CLEANAWAY Commingle - Diversion"/>
    <m/>
    <s v="31641800_Diversion_Commingle"/>
    <s v="Commingle"/>
    <s v="Cleanaway"/>
    <m/>
    <m/>
    <m/>
    <d v="2021-03-01T00:00:00"/>
    <s v="FY21"/>
    <s v="t"/>
    <n v="0.25"/>
    <n v="0"/>
    <n v="0"/>
    <n v="0.25"/>
    <n v="2"/>
    <n v="0"/>
    <n v="0"/>
    <n v="2"/>
    <n v="100"/>
    <n v="0"/>
    <n v="0"/>
    <s v="Consolidation"/>
    <s v="CO2e and Base Measure"/>
    <n v="100"/>
    <n v="100"/>
    <n v="0.25"/>
    <m/>
    <m/>
    <m/>
    <m/>
    <m/>
    <m/>
    <n v="0"/>
    <m/>
    <m/>
    <m/>
    <m/>
    <m/>
    <m/>
    <s v="AUD"/>
    <s v="13641243Waste Recycled - Commingled [t]"/>
    <n v="13641243"/>
  </r>
  <r>
    <d v="2019-07-01T00:00:00"/>
    <d v="2021-06-30T00:00:00"/>
    <s v="Telstra"/>
    <s v="NON-NETWORK"/>
    <s v="NON-NETWORK"/>
    <s v="SA"/>
    <s v="Australia"/>
    <s v="Plympton"/>
    <s v="7 HUDSON NETLEY"/>
    <n v="423031641800"/>
    <s v="Recycled Waste"/>
    <x v="0"/>
    <x v="3"/>
    <s v="Account"/>
    <s v="CLEANAWAY Commingle - Diversion"/>
    <m/>
    <s v="31641800_Diversion_Commingle"/>
    <s v="Commingle"/>
    <s v="Cleanaway"/>
    <m/>
    <m/>
    <m/>
    <d v="2021-04-01T00:00:00"/>
    <s v="FY21"/>
    <s v="t"/>
    <n v="0"/>
    <n v="0"/>
    <n v="0.249"/>
    <n v="0.249"/>
    <n v="0"/>
    <n v="0"/>
    <n v="30"/>
    <n v="30"/>
    <n v="0"/>
    <n v="0"/>
    <n v="100"/>
    <s v="Consolidation"/>
    <s v="CO2e and Base Measure"/>
    <n v="100"/>
    <n v="100"/>
    <n v="0.25"/>
    <m/>
    <m/>
    <m/>
    <m/>
    <m/>
    <m/>
    <n v="0"/>
    <m/>
    <m/>
    <m/>
    <m/>
    <m/>
    <m/>
    <s v="AUD"/>
    <s v="13641243Waste Recycled - Commingled [t]"/>
    <n v="13641243"/>
  </r>
  <r>
    <d v="2019-07-01T00:00:00"/>
    <d v="2021-06-30T00:00:00"/>
    <s v="Telstra"/>
    <s v="NON-NETWORK"/>
    <s v="NON-NETWORK"/>
    <s v="SA"/>
    <s v="Australia"/>
    <s v="Plympton"/>
    <s v="7 HUDSON NETLEY"/>
    <n v="423031641800"/>
    <s v="Recycled Waste"/>
    <x v="0"/>
    <x v="3"/>
    <s v="Account"/>
    <s v="CLEANAWAY Commingle - Diversion"/>
    <m/>
    <s v="31641800_Diversion_Commingle"/>
    <s v="Commingle"/>
    <s v="Cleanaway"/>
    <m/>
    <m/>
    <m/>
    <d v="2021-05-01T00:00:00"/>
    <s v="FY21"/>
    <s v="t"/>
    <n v="0"/>
    <n v="0"/>
    <n v="0.25729999999999997"/>
    <n v="0.25729999999999997"/>
    <n v="0"/>
    <n v="0"/>
    <n v="31"/>
    <n v="31"/>
    <n v="0"/>
    <n v="0"/>
    <n v="100"/>
    <s v="Consolidation"/>
    <s v="CO2e and Base Measure"/>
    <n v="100"/>
    <n v="100"/>
    <n v="0.26"/>
    <m/>
    <m/>
    <m/>
    <m/>
    <m/>
    <m/>
    <n v="0"/>
    <m/>
    <m/>
    <m/>
    <m/>
    <m/>
    <m/>
    <s v="AUD"/>
    <s v="13641243Waste Recycled - Commingled [t]"/>
    <n v="13641243"/>
  </r>
  <r>
    <d v="2019-07-01T00:00:00"/>
    <d v="2021-06-30T00:00:00"/>
    <s v="Telstra"/>
    <s v="NON-NETWORK"/>
    <s v="NON-NETWORK"/>
    <s v="VIC"/>
    <s v="Australia"/>
    <s v="West Melbourne"/>
    <s v="717 BOURKE ST DOCKLANDS"/>
    <n v="423032049100"/>
    <s v="Recycled Waste"/>
    <x v="0"/>
    <x v="3"/>
    <s v="Account"/>
    <s v="Remondis Commingled - Recycled"/>
    <m/>
    <s v="423032049100_RCOMINGLE"/>
    <s v="COMMINGLED - RECYCLED"/>
    <s v="Remondis"/>
    <m/>
    <m/>
    <d v="2020-10-01T00:00:00"/>
    <d v="2020-07-01T00:00:00"/>
    <s v="FY21"/>
    <s v="t"/>
    <n v="0"/>
    <n v="0.19800000000000001"/>
    <n v="0"/>
    <n v="0.19800000000000001"/>
    <n v="0"/>
    <n v="3"/>
    <n v="0"/>
    <n v="3"/>
    <n v="0"/>
    <n v="100"/>
    <n v="0"/>
    <s v="Consolidation"/>
    <s v="CO2e and Base Measure"/>
    <n v="100"/>
    <n v="100"/>
    <n v="0.2"/>
    <m/>
    <m/>
    <m/>
    <m/>
    <m/>
    <m/>
    <n v="0"/>
    <m/>
    <m/>
    <m/>
    <m/>
    <m/>
    <m/>
    <s v="AUD"/>
    <s v="13565893Waste Recycled - Commingled [t]"/>
    <n v="13565893"/>
  </r>
  <r>
    <d v="2019-07-01T00:00:00"/>
    <d v="2021-06-30T00:00:00"/>
    <s v="Telstra"/>
    <s v="NON-NETWORK"/>
    <s v="NON-NETWORK"/>
    <s v="VIC"/>
    <s v="Australia"/>
    <s v="West Melbourne"/>
    <s v="717 BOURKE ST DOCKLANDS"/>
    <n v="423032049100"/>
    <s v="Recycled Waste"/>
    <x v="0"/>
    <x v="3"/>
    <s v="Account"/>
    <s v="Remondis Commingled - Recycled"/>
    <m/>
    <s v="423032049100_RCOMINGLE"/>
    <s v="COMMINGLED - RECYCLED"/>
    <s v="Remondis"/>
    <m/>
    <m/>
    <d v="2020-10-01T00:00:00"/>
    <d v="2020-08-01T00:00:00"/>
    <s v="FY21"/>
    <s v="t"/>
    <n v="0"/>
    <n v="0.13200000000000001"/>
    <n v="0"/>
    <n v="0.13200000000000001"/>
    <n v="0"/>
    <n v="2"/>
    <n v="0"/>
    <n v="2"/>
    <n v="0"/>
    <n v="100"/>
    <n v="0"/>
    <s v="Consolidation"/>
    <s v="CO2e and Base Measure"/>
    <n v="100"/>
    <n v="100"/>
    <n v="0.13"/>
    <m/>
    <m/>
    <m/>
    <m/>
    <m/>
    <m/>
    <n v="0"/>
    <m/>
    <m/>
    <m/>
    <m/>
    <m/>
    <m/>
    <s v="AUD"/>
    <s v="13565893Waste Recycled - Commingled [t]"/>
    <n v="13565893"/>
  </r>
  <r>
    <d v="2019-07-01T00:00:00"/>
    <d v="2021-06-30T00:00:00"/>
    <s v="Telstra"/>
    <s v="NON-NETWORK"/>
    <s v="NON-NETWORK"/>
    <s v="VIC"/>
    <s v="Australia"/>
    <s v="West Melbourne"/>
    <s v="717 BOURKE ST DOCKLANDS"/>
    <n v="423032049100"/>
    <s v="Recycled Waste"/>
    <x v="0"/>
    <x v="3"/>
    <s v="Account"/>
    <s v="Remondis Commingled - Recycled"/>
    <m/>
    <s v="423032049100_RCOMINGLE"/>
    <s v="COMMINGLED - RECYCLED"/>
    <s v="Remondis"/>
    <m/>
    <m/>
    <d v="2020-10-01T00:00:00"/>
    <d v="2020-09-01T00:00:00"/>
    <s v="FY21"/>
    <s v="t"/>
    <n v="0"/>
    <n v="0.19800000000000001"/>
    <n v="0"/>
    <n v="0.19800000000000001"/>
    <n v="0"/>
    <n v="3"/>
    <n v="0"/>
    <n v="3"/>
    <n v="0"/>
    <n v="100"/>
    <n v="0"/>
    <s v="Consolidation"/>
    <s v="CO2e and Base Measure"/>
    <n v="100"/>
    <n v="100"/>
    <n v="0.2"/>
    <m/>
    <m/>
    <m/>
    <m/>
    <m/>
    <m/>
    <n v="0"/>
    <m/>
    <m/>
    <m/>
    <m/>
    <m/>
    <m/>
    <s v="AUD"/>
    <s v="13565893Waste Recycled - Commingled [t]"/>
    <n v="13565893"/>
  </r>
  <r>
    <d v="2019-07-01T00:00:00"/>
    <d v="2021-06-30T00:00:00"/>
    <s v="Telstra"/>
    <s v="NON-NETWORK"/>
    <s v="NON-NETWORK"/>
    <s v="VIC"/>
    <s v="Australia"/>
    <s v="West Melbourne"/>
    <s v="717 BOURKE ST DOCKLANDS"/>
    <n v="423032049100"/>
    <s v="Recycled Waste"/>
    <x v="0"/>
    <x v="3"/>
    <s v="Account"/>
    <s v="Remondis Commingled - Recycled"/>
    <m/>
    <s v="423032049100_RCOMINGLE"/>
    <s v="COMMINGLED - RECYCLED"/>
    <s v="Remondis"/>
    <m/>
    <m/>
    <d v="2020-10-01T00:00:00"/>
    <d v="2020-10-01T00:00:00"/>
    <s v="FY21"/>
    <s v="t"/>
    <n v="0"/>
    <n v="0"/>
    <n v="6.0000000000000001E-3"/>
    <n v="6.0000000000000001E-3"/>
    <n v="0"/>
    <n v="0"/>
    <n v="1"/>
    <n v="1"/>
    <n v="0"/>
    <n v="0"/>
    <n v="100"/>
    <s v="Consolidation"/>
    <s v="CO2e and Base Measure"/>
    <n v="100"/>
    <n v="100"/>
    <n v="0.01"/>
    <m/>
    <m/>
    <m/>
    <m/>
    <m/>
    <m/>
    <n v="0"/>
    <m/>
    <m/>
    <m/>
    <m/>
    <m/>
    <m/>
    <s v="AUD"/>
    <s v="13565893Waste Recycled - Commingled [t]"/>
    <n v="13565893"/>
  </r>
  <r>
    <d v="2019-07-01T00:00:00"/>
    <d v="2021-06-30T00:00:00"/>
    <s v="Telstra"/>
    <s v="NON-NETWORK"/>
    <s v="NON-NETWORK"/>
    <s v="VIC"/>
    <s v="Australia"/>
    <s v="West Melbourne"/>
    <s v="717 BOURKE ST DOCKLANDS"/>
    <n v="423032049100"/>
    <s v="Recycled Waste"/>
    <x v="0"/>
    <x v="1"/>
    <s v="Account"/>
    <s v="Remondis Electrical Comp. (E-Waste)"/>
    <m/>
    <s v="4230320491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5894Waste Recycled - E-waste [t]"/>
    <n v="13565894"/>
  </r>
  <r>
    <d v="2019-07-01T00:00:00"/>
    <d v="2021-06-30T00:00:00"/>
    <s v="Telstra"/>
    <s v="NON-NETWORK"/>
    <s v="NON-NETWORK"/>
    <s v="VIC"/>
    <s v="Australia"/>
    <s v="West Melbourne"/>
    <s v="717 BOURKE ST DOCKLANDS"/>
    <n v="423032049100"/>
    <s v="Recycled Waste"/>
    <x v="0"/>
    <x v="1"/>
    <s v="Account"/>
    <s v="Remondis Electrical Comp. (E-Waste)"/>
    <m/>
    <s v="423032049100_RELECTRIC"/>
    <s v="ELECTRICAL COMP. E-WASTE"/>
    <s v="Remondis"/>
    <m/>
    <m/>
    <d v="2021-01-01T00:00:00"/>
    <d v="2021-01-01T00:00:00"/>
    <s v="FY21"/>
    <s v="t"/>
    <n v="0"/>
    <n v="0"/>
    <n v="1.1999999999999999E-3"/>
    <n v="1.1999999999999999E-3"/>
    <n v="0"/>
    <n v="0"/>
    <n v="1"/>
    <n v="1"/>
    <n v="0"/>
    <n v="0"/>
    <n v="100"/>
    <s v="Consolidation"/>
    <s v="CO2e and Base Measure"/>
    <n v="100"/>
    <n v="100"/>
    <n v="0"/>
    <m/>
    <m/>
    <m/>
    <m/>
    <m/>
    <m/>
    <m/>
    <m/>
    <m/>
    <m/>
    <m/>
    <m/>
    <m/>
    <s v="AUD"/>
    <s v="13565894Waste Recycled - E-waste [t]"/>
    <n v="13565894"/>
  </r>
  <r>
    <d v="2019-07-01T00:00:00"/>
    <d v="2021-06-30T00:00:00"/>
    <s v="Telstra"/>
    <s v="NON-NETWORK"/>
    <s v="NON-NETWORK"/>
    <s v="VIC"/>
    <s v="Australia"/>
    <s v="West Melbourne"/>
    <s v="717 BOURKE ST DOCKLANDS"/>
    <n v="423032049100"/>
    <s v="Waste"/>
    <x v="1"/>
    <x v="2"/>
    <s v="Account"/>
    <s v="Remondis General Waste"/>
    <m/>
    <s v="423032049100_WGENERALW"/>
    <s v="GENERAL WASTE"/>
    <s v="Remondis"/>
    <m/>
    <m/>
    <d v="2021-01-01T00:00:00"/>
    <d v="2020-12-01T00:00:00"/>
    <s v="FY21"/>
    <s v="t"/>
    <n v="0"/>
    <n v="8.5800000000000001E-2"/>
    <n v="0"/>
    <n v="8.5800000000000001E-2"/>
    <n v="0"/>
    <n v="1"/>
    <n v="0"/>
    <n v="1"/>
    <n v="0"/>
    <n v="100"/>
    <n v="0"/>
    <s v="Consolidation"/>
    <s v="CO2e and Base Measure"/>
    <n v="100"/>
    <n v="100"/>
    <n v="0.09"/>
    <m/>
    <m/>
    <m/>
    <m/>
    <m/>
    <n v="0.1115"/>
    <m/>
    <n v="0.1115"/>
    <m/>
    <m/>
    <m/>
    <m/>
    <m/>
    <s v="AUD"/>
    <s v="13565896Waste - General [t] - Scope 3"/>
    <n v="13565896"/>
  </r>
  <r>
    <d v="2019-07-01T00:00:00"/>
    <d v="2021-06-30T00:00:00"/>
    <s v="Telstra"/>
    <s v="NON-NETWORK"/>
    <s v="NON-NETWORK"/>
    <s v="VIC"/>
    <s v="Australia"/>
    <s v="West Melbourne"/>
    <s v="717 BOURKE ST DOCKLANDS"/>
    <n v="423032049100"/>
    <s v="Waste"/>
    <x v="1"/>
    <x v="2"/>
    <s v="Account"/>
    <s v="Remondis General Waste"/>
    <m/>
    <s v="423032049100_WGENERALW"/>
    <s v="GENERAL WASTE"/>
    <s v="Remondis"/>
    <m/>
    <m/>
    <d v="2021-01-01T00:00:00"/>
    <d v="2021-01-01T00:00:00"/>
    <s v="FY21"/>
    <s v="t"/>
    <n v="0"/>
    <n v="0"/>
    <n v="2.8999999999999998E-3"/>
    <n v="2.8999999999999998E-3"/>
    <n v="0"/>
    <n v="0"/>
    <n v="1"/>
    <n v="1"/>
    <n v="0"/>
    <n v="0"/>
    <n v="100"/>
    <s v="Consolidation"/>
    <s v="CO2e and Base Measure"/>
    <n v="100"/>
    <n v="100"/>
    <n v="0"/>
    <m/>
    <m/>
    <m/>
    <m/>
    <m/>
    <n v="3.8E-3"/>
    <m/>
    <n v="3.8E-3"/>
    <m/>
    <m/>
    <m/>
    <m/>
    <m/>
    <s v="AUD"/>
    <s v="13565896Waste - General [t] - Scope 3"/>
    <n v="13565896"/>
  </r>
  <r>
    <d v="2019-07-01T00:00:00"/>
    <d v="2021-06-30T00:00:00"/>
    <s v="Telstra"/>
    <s v="NON-NETWORK"/>
    <s v="NON-NETWORK"/>
    <s v="VIC"/>
    <s v="Australia"/>
    <s v="West Melbourne"/>
    <s v="717 BOURKE ST DOCKLANDS"/>
    <n v="423032049100"/>
    <s v="Recycled Waste"/>
    <x v="0"/>
    <x v="0"/>
    <s v="Account"/>
    <s v="Remondis Paper Mixed Office Recycled"/>
    <m/>
    <s v="423032049100_RPAPERMIX"/>
    <s v="PAPER MIXED OFFICE RECYCLED"/>
    <s v="Remondis"/>
    <m/>
    <m/>
    <d v="2021-01-01T00:00:00"/>
    <d v="2020-12-01T00:00:00"/>
    <s v="FY21"/>
    <s v="t"/>
    <n v="0"/>
    <n v="7.9200000000000007E-2"/>
    <n v="0"/>
    <n v="7.9200000000000007E-2"/>
    <n v="0"/>
    <n v="1"/>
    <n v="0"/>
    <n v="1"/>
    <n v="0"/>
    <n v="100"/>
    <n v="0"/>
    <s v="Consolidation"/>
    <s v="CO2e and Base Measure"/>
    <n v="100"/>
    <n v="100"/>
    <n v="0.08"/>
    <m/>
    <m/>
    <m/>
    <m/>
    <m/>
    <m/>
    <n v="0"/>
    <m/>
    <m/>
    <m/>
    <m/>
    <m/>
    <m/>
    <s v="AUD"/>
    <s v="13565897Waste Recycled - Cardboard [t]"/>
    <n v="13565897"/>
  </r>
  <r>
    <d v="2019-07-01T00:00:00"/>
    <d v="2021-06-30T00:00:00"/>
    <s v="Telstra"/>
    <s v="NON-NETWORK"/>
    <s v="NON-NETWORK"/>
    <s v="VIC"/>
    <s v="Australia"/>
    <s v="West Melbourne"/>
    <s v="717 BOURKE ST DOCKLANDS"/>
    <n v="423032049100"/>
    <s v="Recycled Waste"/>
    <x v="0"/>
    <x v="0"/>
    <s v="Account"/>
    <s v="Remondis Paper Mixed Office Recycled"/>
    <m/>
    <s v="423032049100_RPAPERMIX"/>
    <s v="PAPER MIXED OFFICE RECYCLED"/>
    <s v="Remondis"/>
    <m/>
    <m/>
    <d v="2021-01-01T00:00:00"/>
    <d v="2021-01-01T00:00:00"/>
    <s v="FY21"/>
    <s v="t"/>
    <n v="0"/>
    <n v="0"/>
    <n v="2.5999999999999999E-3"/>
    <n v="2.5999999999999999E-3"/>
    <n v="0"/>
    <n v="0"/>
    <n v="1"/>
    <n v="1"/>
    <n v="0"/>
    <n v="0"/>
    <n v="100"/>
    <s v="Consolidation"/>
    <s v="CO2e and Base Measure"/>
    <n v="100"/>
    <n v="100"/>
    <n v="0"/>
    <m/>
    <m/>
    <m/>
    <m/>
    <m/>
    <m/>
    <n v="0"/>
    <m/>
    <m/>
    <m/>
    <m/>
    <m/>
    <m/>
    <s v="AUD"/>
    <s v="13565897Waste Recycled - Cardboard [t]"/>
    <n v="13565897"/>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07-01T00:00:00"/>
    <s v="FY21"/>
    <s v="t"/>
    <n v="0.35099999999999998"/>
    <n v="0"/>
    <n v="0"/>
    <n v="0.35099999999999998"/>
    <n v="2"/>
    <n v="0"/>
    <n v="0"/>
    <n v="2"/>
    <n v="100"/>
    <n v="0"/>
    <n v="0"/>
    <s v="Consolidation"/>
    <s v="CO2e and Base Measure"/>
    <n v="100"/>
    <n v="100"/>
    <n v="0.35"/>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08-01T00:00:00"/>
    <s v="FY21"/>
    <s v="t"/>
    <n v="0.108"/>
    <n v="0"/>
    <n v="0"/>
    <n v="0.108"/>
    <n v="1"/>
    <n v="0"/>
    <n v="0"/>
    <n v="1"/>
    <n v="100"/>
    <n v="0"/>
    <n v="0"/>
    <s v="Consolidation"/>
    <s v="CO2e and Base Measure"/>
    <n v="100"/>
    <n v="100"/>
    <n v="0.11"/>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09-01T00:00:00"/>
    <s v="FY21"/>
    <s v="t"/>
    <n v="1.7999999999999999E-2"/>
    <n v="0"/>
    <n v="0"/>
    <n v="1.7999999999999999E-2"/>
    <n v="1"/>
    <n v="0"/>
    <n v="0"/>
    <n v="1"/>
    <n v="100"/>
    <n v="0"/>
    <n v="0"/>
    <s v="Consolidation"/>
    <s v="CO2e and Base Measure"/>
    <n v="100"/>
    <n v="100"/>
    <n v="0.02"/>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10-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11-01T00:00:00"/>
    <s v="FY21"/>
    <s v="t"/>
    <n v="0"/>
    <n v="0"/>
    <n v="0.18"/>
    <n v="0.18"/>
    <n v="0"/>
    <n v="0"/>
    <n v="30"/>
    <n v="30"/>
    <n v="0"/>
    <n v="0"/>
    <n v="100"/>
    <s v="Consolidation"/>
    <s v="CO2e and Base Measure"/>
    <n v="100"/>
    <n v="100"/>
    <n v="0.18"/>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12-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1-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2-01T00:00:00"/>
    <s v="FY21"/>
    <s v="t"/>
    <n v="0"/>
    <n v="0"/>
    <n v="0.16800000000000001"/>
    <n v="0.16800000000000001"/>
    <n v="0"/>
    <n v="0"/>
    <n v="28"/>
    <n v="28"/>
    <n v="0"/>
    <n v="0"/>
    <n v="100"/>
    <s v="Consolidation"/>
    <s v="CO2e and Base Measure"/>
    <n v="100"/>
    <n v="100"/>
    <n v="0.17"/>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3-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4-01T00:00:00"/>
    <s v="FY21"/>
    <s v="t"/>
    <n v="0"/>
    <n v="0"/>
    <n v="0.18"/>
    <n v="0.18"/>
    <n v="0"/>
    <n v="0"/>
    <n v="30"/>
    <n v="30"/>
    <n v="0"/>
    <n v="0"/>
    <n v="100"/>
    <s v="Consolidation"/>
    <s v="CO2e and Base Measure"/>
    <n v="100"/>
    <n v="100"/>
    <n v="0.18"/>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5-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07-01T00:00:00"/>
    <s v="FY21"/>
    <s v="t"/>
    <n v="2.8799999999999999E-2"/>
    <n v="0"/>
    <n v="0"/>
    <n v="2.8799999999999999E-2"/>
    <n v="31"/>
    <n v="0"/>
    <n v="0"/>
    <n v="31"/>
    <n v="100"/>
    <n v="0"/>
    <n v="0"/>
    <s v="Consolidation"/>
    <s v="CO2e and Base Measure"/>
    <n v="100"/>
    <n v="100"/>
    <n v="0.03"/>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08-01T00:00:00"/>
    <s v="FY21"/>
    <s v="t"/>
    <n v="1.1999999999999999E-3"/>
    <n v="0"/>
    <n v="0"/>
    <n v="1.1999999999999999E-3"/>
    <n v="31"/>
    <n v="0"/>
    <n v="0"/>
    <n v="31"/>
    <n v="100"/>
    <n v="0"/>
    <n v="0"/>
    <s v="Consolidation"/>
    <s v="CO2e and Base Measure"/>
    <n v="100"/>
    <n v="100"/>
    <n v="0"/>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09-01T00:00:00"/>
    <s v="FY21"/>
    <s v="t"/>
    <n v="1.0800000000000001E-2"/>
    <n v="0"/>
    <n v="0"/>
    <n v="1.0800000000000001E-2"/>
    <n v="30"/>
    <n v="0"/>
    <n v="0"/>
    <n v="30"/>
    <n v="100"/>
    <n v="0"/>
    <n v="0"/>
    <s v="Consolidation"/>
    <s v="CO2e and Base Measure"/>
    <n v="100"/>
    <n v="100"/>
    <n v="0.01"/>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10-01T00:00:00"/>
    <s v="FY21"/>
    <s v="t"/>
    <n v="1.4500000000000001E-2"/>
    <n v="0"/>
    <n v="0"/>
    <n v="1.4500000000000001E-2"/>
    <n v="31"/>
    <n v="0"/>
    <n v="0"/>
    <n v="31"/>
    <n v="100"/>
    <n v="0"/>
    <n v="0"/>
    <s v="Consolidation"/>
    <s v="CO2e and Base Measure"/>
    <n v="100"/>
    <n v="100"/>
    <n v="0.01"/>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11-01T00:00:00"/>
    <s v="FY21"/>
    <s v="t"/>
    <n v="0"/>
    <n v="0"/>
    <n v="1.4999999999999999E-2"/>
    <n v="1.4999999999999999E-2"/>
    <n v="0"/>
    <n v="0"/>
    <n v="30"/>
    <n v="30"/>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12-01T00:00:00"/>
    <s v="FY21"/>
    <s v="t"/>
    <n v="0"/>
    <n v="0"/>
    <n v="1.55E-2"/>
    <n v="1.55E-2"/>
    <n v="0"/>
    <n v="0"/>
    <n v="31"/>
    <n v="31"/>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1-01T00:00:00"/>
    <s v="FY21"/>
    <s v="t"/>
    <n v="0"/>
    <n v="0"/>
    <n v="1.55E-2"/>
    <n v="1.55E-2"/>
    <n v="0"/>
    <n v="0"/>
    <n v="31"/>
    <n v="31"/>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2-01T00:00:00"/>
    <s v="FY21"/>
    <s v="t"/>
    <n v="0"/>
    <n v="0"/>
    <n v="1.4E-2"/>
    <n v="1.4E-2"/>
    <n v="0"/>
    <n v="0"/>
    <n v="28"/>
    <n v="28"/>
    <n v="0"/>
    <n v="0"/>
    <n v="100"/>
    <s v="Consolidation"/>
    <s v="CO2e and Base Measure"/>
    <n v="100"/>
    <n v="100"/>
    <n v="0.01"/>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3-01T00:00:00"/>
    <s v="FY21"/>
    <s v="t"/>
    <n v="0"/>
    <n v="0"/>
    <n v="1.55E-2"/>
    <n v="1.55E-2"/>
    <n v="0"/>
    <n v="0"/>
    <n v="31"/>
    <n v="31"/>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4-01T00:00:00"/>
    <s v="FY21"/>
    <s v="t"/>
    <n v="0"/>
    <n v="0"/>
    <n v="1.4999999999999999E-2"/>
    <n v="1.4999999999999999E-2"/>
    <n v="0"/>
    <n v="0"/>
    <n v="30"/>
    <n v="30"/>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5-01T00:00:00"/>
    <s v="FY21"/>
    <s v="t"/>
    <n v="0"/>
    <n v="0"/>
    <n v="1.55E-2"/>
    <n v="1.55E-2"/>
    <n v="0"/>
    <n v="0"/>
    <n v="31"/>
    <n v="31"/>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07-01T00:00:00"/>
    <s v="FY21"/>
    <s v="t"/>
    <n v="2.3400000000000001E-2"/>
    <n v="0"/>
    <n v="0"/>
    <n v="2.3400000000000001E-2"/>
    <n v="31"/>
    <n v="0"/>
    <n v="0"/>
    <n v="31"/>
    <n v="100"/>
    <n v="0"/>
    <n v="0"/>
    <s v="Consolidation"/>
    <s v="CO2e and Base Measure"/>
    <n v="100"/>
    <n v="100"/>
    <n v="0.02"/>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08-01T00:00:00"/>
    <s v="FY21"/>
    <s v="t"/>
    <n v="7.1000000000000004E-3"/>
    <n v="0"/>
    <n v="0"/>
    <n v="7.1000000000000004E-3"/>
    <n v="31"/>
    <n v="0"/>
    <n v="0"/>
    <n v="31"/>
    <n v="100"/>
    <n v="0"/>
    <n v="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09-01T00:00:00"/>
    <s v="FY21"/>
    <s v="t"/>
    <n v="6.4000000000000003E-3"/>
    <n v="0"/>
    <n v="0"/>
    <n v="6.4000000000000003E-3"/>
    <n v="30"/>
    <n v="0"/>
    <n v="0"/>
    <n v="30"/>
    <n v="100"/>
    <n v="0"/>
    <n v="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10-01T00:00:00"/>
    <s v="FY21"/>
    <s v="t"/>
    <n v="1E-3"/>
    <n v="0"/>
    <n v="0"/>
    <n v="1E-3"/>
    <n v="31"/>
    <n v="0"/>
    <n v="0"/>
    <n v="31"/>
    <n v="100"/>
    <n v="0"/>
    <n v="0"/>
    <s v="Consolidation"/>
    <s v="CO2e and Base Measure"/>
    <n v="100"/>
    <n v="100"/>
    <n v="0"/>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11-01T00:00:00"/>
    <s v="FY21"/>
    <s v="t"/>
    <n v="0"/>
    <n v="0"/>
    <n v="8.9999999999999993E-3"/>
    <n v="8.9999999999999993E-3"/>
    <n v="0"/>
    <n v="0"/>
    <n v="30"/>
    <n v="30"/>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12-01T00:00:00"/>
    <s v="FY21"/>
    <s v="t"/>
    <n v="0"/>
    <n v="0"/>
    <n v="9.2999999999999992E-3"/>
    <n v="9.2999999999999992E-3"/>
    <n v="0"/>
    <n v="0"/>
    <n v="31"/>
    <n v="31"/>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1-01T00:00:00"/>
    <s v="FY21"/>
    <s v="t"/>
    <n v="0"/>
    <n v="0"/>
    <n v="9.2999999999999992E-3"/>
    <n v="9.2999999999999992E-3"/>
    <n v="0"/>
    <n v="0"/>
    <n v="31"/>
    <n v="31"/>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2-01T00:00:00"/>
    <s v="FY21"/>
    <s v="t"/>
    <n v="0"/>
    <n v="0"/>
    <n v="8.3999999999999995E-3"/>
    <n v="8.3999999999999995E-3"/>
    <n v="0"/>
    <n v="0"/>
    <n v="28"/>
    <n v="28"/>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3-01T00:00:00"/>
    <s v="FY21"/>
    <s v="t"/>
    <n v="0"/>
    <n v="0"/>
    <n v="9.2999999999999992E-3"/>
    <n v="9.2999999999999992E-3"/>
    <n v="0"/>
    <n v="0"/>
    <n v="31"/>
    <n v="31"/>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4-01T00:00:00"/>
    <s v="FY21"/>
    <s v="t"/>
    <n v="0"/>
    <n v="0"/>
    <n v="8.9999999999999993E-3"/>
    <n v="8.9999999999999993E-3"/>
    <n v="0"/>
    <n v="0"/>
    <n v="30"/>
    <n v="30"/>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5-01T00:00:00"/>
    <s v="FY21"/>
    <s v="t"/>
    <n v="0"/>
    <n v="0"/>
    <n v="9.2999999999999992E-3"/>
    <n v="9.2999999999999992E-3"/>
    <n v="0"/>
    <n v="0"/>
    <n v="31"/>
    <n v="31"/>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6"/>
    <s v="Account"/>
    <s v="Recycled - Other Ow"/>
    <m/>
    <s v="423032049100_Organic"/>
    <s v="Organic"/>
    <s v="Knight Frank"/>
    <m/>
    <m/>
    <m/>
    <d v="2020-08-01T00:00:00"/>
    <s v="FY21"/>
    <s v="t"/>
    <n v="2.9999999999999997E-4"/>
    <n v="0"/>
    <n v="0"/>
    <n v="2.9999999999999997E-4"/>
    <n v="31"/>
    <n v="0"/>
    <n v="0"/>
    <n v="31"/>
    <n v="100"/>
    <n v="0"/>
    <n v="0"/>
    <s v="Consolidation"/>
    <s v="CO2e and Base Measure"/>
    <n v="100"/>
    <n v="100"/>
    <n v="0"/>
    <m/>
    <m/>
    <m/>
    <m/>
    <m/>
    <m/>
    <m/>
    <m/>
    <m/>
    <m/>
    <m/>
    <m/>
    <m/>
    <s v="AUD"/>
    <s v="13644433Waste Recycled - Other [t]"/>
    <n v="13644433"/>
  </r>
  <r>
    <d v="2019-07-01T00:00:00"/>
    <d v="2021-06-30T00:00:00"/>
    <s v="Telstra"/>
    <s v="NON-NETWORK"/>
    <s v="NON-NETWORK"/>
    <s v="VIC"/>
    <s v="Australia"/>
    <s v="West Melbourne"/>
    <s v="717 BOURKE ST DOCKLANDS"/>
    <n v="423032049100"/>
    <s v="Recycled Waste"/>
    <x v="0"/>
    <x v="6"/>
    <s v="Account"/>
    <s v="Recycled - Other Ow"/>
    <m/>
    <s v="423032049100_General - Recycled"/>
    <s v="General - Recycled"/>
    <s v="Knight Frank"/>
    <m/>
    <m/>
    <m/>
    <d v="2020-07-01T00:00:00"/>
    <s v="FY21"/>
    <s v="t"/>
    <n v="5.91E-2"/>
    <n v="0"/>
    <n v="0"/>
    <n v="5.91E-2"/>
    <n v="31"/>
    <n v="0"/>
    <n v="0"/>
    <n v="31"/>
    <n v="100"/>
    <n v="0"/>
    <n v="0"/>
    <s v="Consolidation"/>
    <s v="CO2e and Base Measure"/>
    <n v="100"/>
    <n v="100"/>
    <n v="0.06"/>
    <m/>
    <m/>
    <m/>
    <m/>
    <m/>
    <m/>
    <m/>
    <m/>
    <m/>
    <m/>
    <m/>
    <m/>
    <m/>
    <s v="AUD"/>
    <s v="13644434Waste Recycled - Other [t]"/>
    <n v="13644434"/>
  </r>
  <r>
    <d v="2019-07-01T00:00:00"/>
    <d v="2021-06-30T00:00:00"/>
    <s v="Telstra"/>
    <s v="NON-NETWORK"/>
    <s v="NON-NETWORK"/>
    <s v="VIC"/>
    <s v="Australia"/>
    <s v="West Melbourne"/>
    <s v="717 BOURKE ST DOCKLANDS"/>
    <n v="423032049100"/>
    <s v="Recycled Waste"/>
    <x v="0"/>
    <x v="6"/>
    <s v="Account"/>
    <s v="Recycled - Other Ow"/>
    <m/>
    <s v="423032049100_General - Recycled"/>
    <s v="General - Recycled"/>
    <s v="Knight Frank"/>
    <m/>
    <m/>
    <m/>
    <d v="2020-08-01T00:00:00"/>
    <s v="FY21"/>
    <s v="t"/>
    <n v="1.9199999999999998E-2"/>
    <n v="0"/>
    <n v="0"/>
    <n v="1.9199999999999998E-2"/>
    <n v="31"/>
    <n v="0"/>
    <n v="0"/>
    <n v="31"/>
    <n v="100"/>
    <n v="0"/>
    <n v="0"/>
    <s v="Consolidation"/>
    <s v="CO2e and Base Measure"/>
    <n v="100"/>
    <n v="100"/>
    <n v="0.02"/>
    <m/>
    <m/>
    <m/>
    <m/>
    <m/>
    <m/>
    <m/>
    <m/>
    <m/>
    <m/>
    <m/>
    <m/>
    <m/>
    <s v="AUD"/>
    <s v="13644434Waste Recycled - Other [t]"/>
    <n v="13644434"/>
  </r>
  <r>
    <d v="2019-07-01T00:00:00"/>
    <d v="2021-06-30T00:00:00"/>
    <s v="Telstra"/>
    <s v="NON-NETWORK"/>
    <s v="NON-NETWORK"/>
    <s v="VIC"/>
    <s v="Australia"/>
    <s v="West Melbourne"/>
    <s v="717 BOURKE ST DOCKLANDS"/>
    <n v="423032049100"/>
    <s v="Recycled Waste"/>
    <x v="0"/>
    <x v="6"/>
    <s v="Account"/>
    <s v="Recycled - Other Ow"/>
    <m/>
    <s v="423032049100_General - Recycled"/>
    <s v="General - Recycled"/>
    <s v="Knight Frank"/>
    <m/>
    <m/>
    <m/>
    <d v="2020-09-01T00:00:00"/>
    <s v="FY21"/>
    <s v="t"/>
    <n v="2.41E-2"/>
    <n v="0"/>
    <n v="0"/>
    <n v="2.41E-2"/>
    <n v="30"/>
    <n v="0"/>
    <n v="0"/>
    <n v="30"/>
    <n v="100"/>
    <n v="0"/>
    <n v="0"/>
    <s v="Consolidation"/>
    <s v="CO2e and Base Measure"/>
    <n v="100"/>
    <n v="100"/>
    <n v="0.02"/>
    <m/>
    <m/>
    <m/>
    <m/>
    <m/>
    <m/>
    <m/>
    <m/>
    <m/>
    <m/>
    <m/>
    <m/>
    <m/>
    <s v="AUD"/>
    <s v="13644434Waste Recycled - Other [t]"/>
    <n v="13644434"/>
  </r>
  <r>
    <d v="2019-07-01T00:00:00"/>
    <d v="2021-06-30T00:00:00"/>
    <s v="Telstra"/>
    <s v="NON-NETWORK"/>
    <s v="NON-NETWORK"/>
    <s v="VIC"/>
    <s v="Australia"/>
    <s v="West Melbourne"/>
    <s v="717 BOURKE ST DOCKLANDS"/>
    <n v="423032049100"/>
    <s v="Recycled Waste"/>
    <x v="0"/>
    <x v="6"/>
    <s v="Account"/>
    <s v="Recycled - Other Ow"/>
    <m/>
    <s v="423032049100_General - Recycled"/>
    <s v="General - Recycled"/>
    <s v="Knight Frank"/>
    <m/>
    <m/>
    <m/>
    <d v="2020-10-01T00:00:00"/>
    <s v="FY21"/>
    <s v="t"/>
    <n v="6.3E-3"/>
    <n v="0"/>
    <n v="0"/>
    <n v="6.3E-3"/>
    <n v="31"/>
    <n v="0"/>
    <n v="0"/>
    <n v="31"/>
    <n v="100"/>
    <n v="0"/>
    <n v="0"/>
    <s v="Consolidation"/>
    <s v="CO2e and Base Measure"/>
    <n v="100"/>
    <n v="100"/>
    <n v="0.01"/>
    <m/>
    <m/>
    <m/>
    <m/>
    <m/>
    <m/>
    <m/>
    <m/>
    <m/>
    <m/>
    <m/>
    <m/>
    <m/>
    <s v="AUD"/>
    <s v="13644434Waste Recycled - Other [t]"/>
    <n v="13644434"/>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08-01T00:00:00"/>
    <s v="FY21"/>
    <s v="t"/>
    <n v="0.188"/>
    <n v="0"/>
    <n v="0"/>
    <n v="0.188"/>
    <n v="31"/>
    <n v="0"/>
    <n v="0"/>
    <n v="31"/>
    <n v="100"/>
    <n v="0"/>
    <n v="0"/>
    <s v="Consolidation"/>
    <s v="CO2e and Base Measure"/>
    <n v="100"/>
    <n v="100"/>
    <n v="0.19"/>
    <m/>
    <m/>
    <m/>
    <m/>
    <m/>
    <n v="0.24440000000000001"/>
    <m/>
    <n v="0.24440000000000001"/>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09-01T00:00:00"/>
    <s v="FY21"/>
    <s v="t"/>
    <n v="5.7500000000000002E-2"/>
    <n v="0"/>
    <n v="0"/>
    <n v="5.7500000000000002E-2"/>
    <n v="30"/>
    <n v="0"/>
    <n v="0"/>
    <n v="30"/>
    <n v="100"/>
    <n v="0"/>
    <n v="0"/>
    <s v="Consolidation"/>
    <s v="CO2e and Base Measure"/>
    <n v="100"/>
    <n v="100"/>
    <n v="0.06"/>
    <m/>
    <m/>
    <m/>
    <m/>
    <m/>
    <n v="7.4800000000000005E-2"/>
    <m/>
    <n v="7.4800000000000005E-2"/>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10-01T00:00:00"/>
    <s v="FY21"/>
    <s v="t"/>
    <n v="8.9999999999999993E-3"/>
    <n v="0"/>
    <n v="0"/>
    <n v="8.9999999999999993E-3"/>
    <n v="31"/>
    <n v="0"/>
    <n v="0"/>
    <n v="31"/>
    <n v="100"/>
    <n v="0"/>
    <n v="0"/>
    <s v="Consolidation"/>
    <s v="CO2e and Base Measure"/>
    <n v="100"/>
    <n v="100"/>
    <n v="0.01"/>
    <m/>
    <m/>
    <m/>
    <m/>
    <m/>
    <n v="1.17E-2"/>
    <m/>
    <n v="1.17E-2"/>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11-01T00:00:00"/>
    <s v="FY21"/>
    <s v="t"/>
    <n v="0"/>
    <n v="0"/>
    <n v="8.4000000000000005E-2"/>
    <n v="8.4000000000000005E-2"/>
    <n v="0"/>
    <n v="0"/>
    <n v="30"/>
    <n v="30"/>
    <n v="0"/>
    <n v="0"/>
    <n v="100"/>
    <s v="Consolidation"/>
    <s v="CO2e and Base Measure"/>
    <n v="100"/>
    <n v="100"/>
    <n v="0.08"/>
    <m/>
    <m/>
    <m/>
    <m/>
    <m/>
    <n v="0.10920000000000001"/>
    <m/>
    <n v="0.10920000000000001"/>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12-01T00:00:00"/>
    <s v="FY21"/>
    <s v="t"/>
    <n v="0"/>
    <n v="0"/>
    <n v="8.6800000000000002E-2"/>
    <n v="8.6800000000000002E-2"/>
    <n v="0"/>
    <n v="0"/>
    <n v="31"/>
    <n v="31"/>
    <n v="0"/>
    <n v="0"/>
    <n v="100"/>
    <s v="Consolidation"/>
    <s v="CO2e and Base Measure"/>
    <n v="100"/>
    <n v="100"/>
    <n v="0.09"/>
    <m/>
    <m/>
    <m/>
    <m/>
    <m/>
    <n v="0.1128"/>
    <m/>
    <n v="0.1128"/>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1-01T00:00:00"/>
    <s v="FY21"/>
    <s v="t"/>
    <n v="0"/>
    <n v="0"/>
    <n v="8.6800000000000002E-2"/>
    <n v="8.6800000000000002E-2"/>
    <n v="0"/>
    <n v="0"/>
    <n v="31"/>
    <n v="31"/>
    <n v="0"/>
    <n v="0"/>
    <n v="100"/>
    <s v="Consolidation"/>
    <s v="CO2e and Base Measure"/>
    <n v="100"/>
    <n v="100"/>
    <n v="0.09"/>
    <m/>
    <m/>
    <m/>
    <m/>
    <m/>
    <n v="0.1128"/>
    <m/>
    <n v="0.1128"/>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2-01T00:00:00"/>
    <s v="FY21"/>
    <s v="t"/>
    <n v="0"/>
    <n v="0"/>
    <n v="7.8399999999999997E-2"/>
    <n v="7.8399999999999997E-2"/>
    <n v="0"/>
    <n v="0"/>
    <n v="28"/>
    <n v="28"/>
    <n v="0"/>
    <n v="0"/>
    <n v="100"/>
    <s v="Consolidation"/>
    <s v="CO2e and Base Measure"/>
    <n v="100"/>
    <n v="100"/>
    <n v="0.08"/>
    <m/>
    <m/>
    <m/>
    <m/>
    <m/>
    <n v="0.1019"/>
    <m/>
    <n v="0.1019"/>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3-01T00:00:00"/>
    <s v="FY21"/>
    <s v="t"/>
    <n v="0"/>
    <n v="0"/>
    <n v="8.6800000000000002E-2"/>
    <n v="8.6800000000000002E-2"/>
    <n v="0"/>
    <n v="0"/>
    <n v="31"/>
    <n v="31"/>
    <n v="0"/>
    <n v="0"/>
    <n v="100"/>
    <s v="Consolidation"/>
    <s v="CO2e and Base Measure"/>
    <n v="100"/>
    <n v="100"/>
    <n v="0.09"/>
    <m/>
    <m/>
    <m/>
    <m/>
    <m/>
    <n v="0.1128"/>
    <m/>
    <n v="0.1128"/>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4-01T00:00:00"/>
    <s v="FY21"/>
    <s v="t"/>
    <n v="0"/>
    <n v="0"/>
    <n v="8.4000000000000005E-2"/>
    <n v="8.4000000000000005E-2"/>
    <n v="0"/>
    <n v="0"/>
    <n v="30"/>
    <n v="30"/>
    <n v="0"/>
    <n v="0"/>
    <n v="100"/>
    <s v="Consolidation"/>
    <s v="CO2e and Base Measure"/>
    <n v="100"/>
    <n v="100"/>
    <n v="0.08"/>
    <m/>
    <m/>
    <m/>
    <m/>
    <m/>
    <n v="0.10920000000000001"/>
    <m/>
    <n v="0.10920000000000001"/>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5-01T00:00:00"/>
    <s v="FY21"/>
    <s v="t"/>
    <n v="0"/>
    <n v="0"/>
    <n v="8.6800000000000002E-2"/>
    <n v="8.6800000000000002E-2"/>
    <n v="0"/>
    <n v="0"/>
    <n v="31"/>
    <n v="31"/>
    <n v="0"/>
    <n v="0"/>
    <n v="100"/>
    <s v="Consolidation"/>
    <s v="CO2e and Base Measure"/>
    <n v="100"/>
    <n v="100"/>
    <n v="0.09"/>
    <m/>
    <m/>
    <m/>
    <m/>
    <m/>
    <n v="0.1128"/>
    <m/>
    <n v="0.1128"/>
    <m/>
    <m/>
    <m/>
    <m/>
    <m/>
    <s v="AUD"/>
    <s v="13644435Waste - General [t] - Scope 3"/>
    <n v="13644435"/>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666Waste Recycled - Cardboard [t]"/>
    <n v="13564666"/>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0-09-01T00:00:00"/>
    <s v="FY21"/>
    <s v="t"/>
    <n v="0"/>
    <n v="3.15E-2"/>
    <n v="0"/>
    <n v="3.15E-2"/>
    <n v="0"/>
    <n v="1"/>
    <n v="0"/>
    <n v="1"/>
    <n v="0"/>
    <n v="100"/>
    <n v="0"/>
    <s v="Consolidation"/>
    <s v="CO2e and Base Measure"/>
    <n v="100"/>
    <n v="100"/>
    <n v="0.03"/>
    <m/>
    <m/>
    <m/>
    <m/>
    <m/>
    <m/>
    <n v="0"/>
    <m/>
    <m/>
    <m/>
    <m/>
    <m/>
    <m/>
    <s v="AUD"/>
    <s v="13564666Waste Recycled - Cardboard [t]"/>
    <n v="13564666"/>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4666Waste Recycled - Cardboard [t]"/>
    <n v="13564666"/>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666Waste Recycled - Cardboard [t]"/>
    <n v="13564666"/>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1-01-01T00:00:00"/>
    <s v="FY21"/>
    <s v="t"/>
    <n v="0"/>
    <n v="0"/>
    <n v="8.9999999999999998E-4"/>
    <n v="8.9999999999999998E-4"/>
    <n v="0"/>
    <n v="0"/>
    <n v="1"/>
    <n v="1"/>
    <n v="0"/>
    <n v="0"/>
    <n v="100"/>
    <s v="Consolidation"/>
    <s v="CO2e and Base Measure"/>
    <n v="100"/>
    <n v="100"/>
    <n v="0"/>
    <m/>
    <m/>
    <m/>
    <m/>
    <m/>
    <m/>
    <n v="0"/>
    <m/>
    <m/>
    <m/>
    <m/>
    <m/>
    <m/>
    <s v="AUD"/>
    <s v="13564666Waste Recycled - Cardboard [t]"/>
    <n v="13564666"/>
  </r>
  <r>
    <d v="2019-07-01T00:00:00"/>
    <d v="2021-06-30T00:00:00"/>
    <s v="Telstra"/>
    <s v="NON-NETWORK"/>
    <s v="NON-NETWORK"/>
    <s v="NSW"/>
    <s v="Australia"/>
    <s v="Grafton"/>
    <s v="88 MILTON GRAFTON"/>
    <n v="423030350300"/>
    <s v="Recycled Waste"/>
    <x v="0"/>
    <x v="1"/>
    <s v="Account"/>
    <s v="Remondis Electrical Comp. (E-Waste)"/>
    <m/>
    <s v="423030350300_RELECTRIC"/>
    <s v="ELECTRICAL COMP. E-WASTE"/>
    <s v="Remondis"/>
    <m/>
    <m/>
    <d v="2021-02-01T00:00:00"/>
    <d v="2021-01-01T00:00:00"/>
    <s v="FY21"/>
    <s v="t"/>
    <n v="0"/>
    <n v="4.5600000000000002E-2"/>
    <n v="0"/>
    <n v="4.5600000000000002E-2"/>
    <n v="0"/>
    <n v="1"/>
    <n v="0"/>
    <n v="1"/>
    <n v="0"/>
    <n v="100"/>
    <n v="0"/>
    <s v="Consolidation"/>
    <s v="CO2e and Base Measure"/>
    <n v="100"/>
    <n v="100"/>
    <n v="0.05"/>
    <m/>
    <m/>
    <m/>
    <m/>
    <m/>
    <m/>
    <m/>
    <m/>
    <m/>
    <m/>
    <m/>
    <m/>
    <m/>
    <s v="AUD"/>
    <s v="13564667Waste Recycled - E-waste [t]"/>
    <n v="13564667"/>
  </r>
  <r>
    <d v="2019-07-01T00:00:00"/>
    <d v="2021-06-30T00:00:00"/>
    <s v="Telstra"/>
    <s v="NON-NETWORK"/>
    <s v="NON-NETWORK"/>
    <s v="NSW"/>
    <s v="Australia"/>
    <s v="Grafton"/>
    <s v="88 MILTON GRAFTON"/>
    <n v="423030350300"/>
    <s v="Recycled Waste"/>
    <x v="0"/>
    <x v="1"/>
    <s v="Account"/>
    <s v="Remondis Electrical Comp. (E-Waste)"/>
    <m/>
    <s v="423030350300_RELECTRIC"/>
    <s v="ELECTRICAL COMP. E-WASTE"/>
    <s v="Remondis"/>
    <m/>
    <m/>
    <d v="2021-02-01T00:00:00"/>
    <d v="2021-02-01T00:00:00"/>
    <s v="FY21"/>
    <s v="t"/>
    <n v="0"/>
    <n v="0"/>
    <n v="1.5E-3"/>
    <n v="1.5E-3"/>
    <n v="0"/>
    <n v="0"/>
    <n v="1"/>
    <n v="1"/>
    <n v="0"/>
    <n v="0"/>
    <n v="100"/>
    <s v="Consolidation"/>
    <s v="CO2e and Base Measure"/>
    <n v="100"/>
    <n v="100"/>
    <n v="0"/>
    <m/>
    <m/>
    <m/>
    <m/>
    <m/>
    <m/>
    <m/>
    <m/>
    <m/>
    <m/>
    <m/>
    <m/>
    <m/>
    <s v="AUD"/>
    <s v="13564667Waste Recycled - E-waste [t]"/>
    <n v="13564667"/>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10-01T00:00:00"/>
    <s v="FY21"/>
    <s v="t"/>
    <n v="1E-3"/>
    <n v="0"/>
    <n v="0"/>
    <n v="1E-3"/>
    <n v="1"/>
    <n v="0"/>
    <n v="0"/>
    <n v="1"/>
    <n v="100"/>
    <n v="0"/>
    <n v="0"/>
    <s v="Consolidation"/>
    <s v="CO2e and Base Measure"/>
    <n v="100"/>
    <n v="100"/>
    <n v="0"/>
    <m/>
    <m/>
    <m/>
    <m/>
    <m/>
    <n v="1.2999999999999999E-3"/>
    <m/>
    <n v="1.2999999999999999E-3"/>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12-01T00:00:00"/>
    <s v="FY21"/>
    <s v="t"/>
    <n v="1.46"/>
    <n v="0.19500000000000001"/>
    <n v="0"/>
    <n v="1.655"/>
    <n v="1"/>
    <n v="1"/>
    <n v="0"/>
    <n v="2"/>
    <n v="88.21"/>
    <n v="11.78"/>
    <n v="0"/>
    <s v="Consolidation"/>
    <s v="CO2e and Base Measure"/>
    <n v="100"/>
    <n v="100"/>
    <n v="1.66"/>
    <m/>
    <m/>
    <m/>
    <m/>
    <m/>
    <n v="2.1515"/>
    <m/>
    <n v="2.1515"/>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1-01-01T00:00:00"/>
    <s v="FY21"/>
    <s v="t"/>
    <n v="0"/>
    <n v="0"/>
    <n v="1.6E-2"/>
    <n v="1.6E-2"/>
    <n v="0"/>
    <n v="0"/>
    <n v="1"/>
    <n v="1"/>
    <n v="0"/>
    <n v="0"/>
    <n v="100"/>
    <s v="Consolidation"/>
    <s v="CO2e and Base Measure"/>
    <n v="100"/>
    <n v="100"/>
    <n v="0.02"/>
    <m/>
    <m/>
    <m/>
    <m/>
    <m/>
    <n v="2.0799999999999999E-2"/>
    <m/>
    <n v="2.0799999999999999E-2"/>
    <m/>
    <m/>
    <m/>
    <m/>
    <m/>
    <s v="AUD"/>
    <s v="13564668Waste - General [t] - Scope 3"/>
    <n v="13564668"/>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0-11-01T00:00:00"/>
    <s v="FY21"/>
    <s v="t"/>
    <n v="4.0500000000000001E-2"/>
    <n v="0"/>
    <n v="0"/>
    <n v="4.0500000000000001E-2"/>
    <n v="2"/>
    <n v="0"/>
    <n v="0"/>
    <n v="2"/>
    <n v="100"/>
    <n v="0"/>
    <n v="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0-12-01T00:00:00"/>
    <s v="FY21"/>
    <s v="t"/>
    <n v="0"/>
    <n v="0"/>
    <n v="4.3400000000000001E-2"/>
    <n v="4.3400000000000001E-2"/>
    <n v="0"/>
    <n v="0"/>
    <n v="31"/>
    <n v="31"/>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1-01T00:00:00"/>
    <s v="FY21"/>
    <s v="t"/>
    <n v="0"/>
    <n v="0"/>
    <n v="4.3400000000000001E-2"/>
    <n v="4.3400000000000001E-2"/>
    <n v="0"/>
    <n v="0"/>
    <n v="31"/>
    <n v="31"/>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2-01T00:00:00"/>
    <s v="FY21"/>
    <s v="t"/>
    <n v="0"/>
    <n v="0"/>
    <n v="3.9199999999999999E-2"/>
    <n v="3.9199999999999999E-2"/>
    <n v="0"/>
    <n v="0"/>
    <n v="28"/>
    <n v="28"/>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3-01T00:00:00"/>
    <s v="FY21"/>
    <s v="t"/>
    <n v="0"/>
    <n v="0"/>
    <n v="4.3400000000000001E-2"/>
    <n v="4.3400000000000001E-2"/>
    <n v="0"/>
    <n v="0"/>
    <n v="31"/>
    <n v="31"/>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4-01T00:00:00"/>
    <s v="FY21"/>
    <s v="t"/>
    <n v="0"/>
    <n v="0"/>
    <n v="4.2000000000000003E-2"/>
    <n v="4.2000000000000003E-2"/>
    <n v="0"/>
    <n v="0"/>
    <n v="30"/>
    <n v="30"/>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5-01T00:00:00"/>
    <s v="FY21"/>
    <s v="t"/>
    <n v="0"/>
    <n v="0"/>
    <n v="4.3400000000000001E-2"/>
    <n v="4.3400000000000001E-2"/>
    <n v="0"/>
    <n v="0"/>
    <n v="31"/>
    <n v="31"/>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Waste"/>
    <x v="1"/>
    <x v="4"/>
    <s v="Account"/>
    <s v="Remondis Asbestos"/>
    <m/>
    <s v="423030350300_WASBESTOS"/>
    <s v="Asbestos"/>
    <s v="Remondis"/>
    <m/>
    <m/>
    <d v="2021-01-01T00:00:00"/>
    <d v="2020-12-01T00:00:00"/>
    <s v="FY21"/>
    <s v="t"/>
    <n v="0"/>
    <n v="0.12"/>
    <n v="0"/>
    <n v="0.12"/>
    <n v="0"/>
    <n v="1"/>
    <n v="0"/>
    <n v="1"/>
    <n v="0"/>
    <n v="100"/>
    <n v="0"/>
    <s v="Consolidation"/>
    <s v="CO2e and Base Measure"/>
    <n v="100"/>
    <n v="100"/>
    <n v="0.12"/>
    <m/>
    <m/>
    <m/>
    <m/>
    <m/>
    <n v="0.14399999999999999"/>
    <m/>
    <n v="0.14399999999999999"/>
    <m/>
    <m/>
    <m/>
    <m/>
    <m/>
    <s v="AUD"/>
    <s v="13576206Waste - Construction and Demolition [t]"/>
    <n v="13576206"/>
  </r>
  <r>
    <d v="2019-07-01T00:00:00"/>
    <d v="2021-06-30T00:00:00"/>
    <s v="Telstra"/>
    <s v="NON-NETWORK"/>
    <s v="NON-NETWORK"/>
    <s v="NSW"/>
    <s v="Australia"/>
    <s v="Grafton"/>
    <s v="88 MILTON GRAFTON"/>
    <n v="423030350300"/>
    <s v="Waste"/>
    <x v="1"/>
    <x v="4"/>
    <s v="Account"/>
    <s v="Remondis Asbestos"/>
    <m/>
    <s v="423030350300_WASBESTOS"/>
    <s v="Asbestos"/>
    <s v="Remondis"/>
    <m/>
    <m/>
    <d v="2021-01-01T00:00:00"/>
    <d v="2021-01-01T00:00:00"/>
    <s v="FY21"/>
    <s v="t"/>
    <n v="0"/>
    <n v="0"/>
    <n v="4.0000000000000001E-3"/>
    <n v="4.0000000000000001E-3"/>
    <n v="0"/>
    <n v="0"/>
    <n v="1"/>
    <n v="1"/>
    <n v="0"/>
    <n v="0"/>
    <n v="100"/>
    <s v="Consolidation"/>
    <s v="CO2e and Base Measure"/>
    <n v="100"/>
    <n v="100"/>
    <n v="0"/>
    <m/>
    <m/>
    <m/>
    <m/>
    <m/>
    <n v="4.7999999999999996E-3"/>
    <m/>
    <n v="4.7999999999999996E-3"/>
    <m/>
    <m/>
    <m/>
    <m/>
    <m/>
    <s v="AUD"/>
    <s v="13576206Waste - Construction and Demolition [t]"/>
    <n v="13576206"/>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0-11-01T00:00:00"/>
    <s v="FY21"/>
    <s v="t"/>
    <n v="0.12"/>
    <n v="0"/>
    <n v="0"/>
    <n v="0.12"/>
    <n v="1"/>
    <n v="0"/>
    <n v="0"/>
    <n v="1"/>
    <n v="100"/>
    <n v="0"/>
    <n v="0"/>
    <s v="Consolidation"/>
    <s v="CO2e and Base Measure"/>
    <n v="100"/>
    <n v="100"/>
    <n v="0.12"/>
    <m/>
    <m/>
    <m/>
    <m/>
    <m/>
    <n v="0.156"/>
    <m/>
    <n v="0.156"/>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0-12-01T00:00:00"/>
    <s v="FY21"/>
    <s v="t"/>
    <n v="0.72"/>
    <n v="0"/>
    <n v="0"/>
    <n v="0.72"/>
    <n v="1"/>
    <n v="0"/>
    <n v="0"/>
    <n v="1"/>
    <n v="100"/>
    <n v="0"/>
    <n v="0"/>
    <s v="Consolidation"/>
    <s v="CO2e and Base Measure"/>
    <n v="100"/>
    <n v="100"/>
    <n v="0.72"/>
    <m/>
    <m/>
    <m/>
    <m/>
    <m/>
    <n v="0.93600000000000005"/>
    <m/>
    <n v="0.93600000000000005"/>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1-01T00:00:00"/>
    <s v="FY21"/>
    <s v="t"/>
    <n v="0.46300000000000002"/>
    <n v="0.13500000000000001"/>
    <n v="0"/>
    <n v="0.59799999999999998"/>
    <n v="3"/>
    <n v="1"/>
    <n v="0"/>
    <n v="4"/>
    <n v="77.42"/>
    <n v="22.57"/>
    <n v="0"/>
    <s v="Consolidation"/>
    <s v="CO2e and Base Measure"/>
    <n v="100"/>
    <n v="100"/>
    <n v="0.6"/>
    <m/>
    <m/>
    <m/>
    <m/>
    <m/>
    <n v="0.77739999999999998"/>
    <m/>
    <n v="0.77739999999999998"/>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2-01T00:00:00"/>
    <s v="FY21"/>
    <s v="t"/>
    <n v="0.74099999999999999"/>
    <n v="0.13500000000000001"/>
    <n v="0"/>
    <n v="0.876"/>
    <n v="2"/>
    <n v="1"/>
    <n v="0"/>
    <n v="3"/>
    <n v="84.58"/>
    <n v="15.41"/>
    <n v="0"/>
    <s v="Consolidation"/>
    <s v="CO2e and Base Measure"/>
    <n v="100"/>
    <n v="100"/>
    <n v="0.88"/>
    <m/>
    <m/>
    <m/>
    <m/>
    <m/>
    <n v="1.1388"/>
    <m/>
    <n v="1.1388"/>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3-01T00:00:00"/>
    <s v="FY21"/>
    <s v="t"/>
    <n v="0.13"/>
    <n v="0"/>
    <n v="0"/>
    <n v="0.13"/>
    <n v="1"/>
    <n v="0"/>
    <n v="0"/>
    <n v="1"/>
    <n v="100"/>
    <n v="0"/>
    <n v="0"/>
    <s v="Consolidation"/>
    <s v="CO2e and Base Measure"/>
    <n v="100"/>
    <n v="100"/>
    <n v="0.13"/>
    <m/>
    <m/>
    <m/>
    <m/>
    <m/>
    <n v="0.16900000000000001"/>
    <m/>
    <n v="0.16900000000000001"/>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4-01T00:00:00"/>
    <s v="FY21"/>
    <s v="t"/>
    <n v="0"/>
    <n v="0"/>
    <n v="0.48899999999999999"/>
    <n v="0.48899999999999999"/>
    <n v="0"/>
    <n v="0"/>
    <n v="30"/>
    <n v="30"/>
    <n v="0"/>
    <n v="0"/>
    <n v="100"/>
    <s v="Consolidation"/>
    <s v="CO2e and Base Measure"/>
    <n v="100"/>
    <n v="100"/>
    <n v="0.49"/>
    <m/>
    <m/>
    <m/>
    <m/>
    <m/>
    <n v="0.63570000000000004"/>
    <m/>
    <n v="0.63570000000000004"/>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5-01T00:00:00"/>
    <s v="FY21"/>
    <s v="t"/>
    <n v="0"/>
    <n v="0"/>
    <n v="0.50529999999999997"/>
    <n v="0.50529999999999997"/>
    <n v="0"/>
    <n v="0"/>
    <n v="31"/>
    <n v="31"/>
    <n v="0"/>
    <n v="0"/>
    <n v="100"/>
    <s v="Consolidation"/>
    <s v="CO2e and Base Measure"/>
    <n v="100"/>
    <n v="100"/>
    <n v="0.51"/>
    <m/>
    <m/>
    <m/>
    <m/>
    <m/>
    <n v="0.65690000000000004"/>
    <m/>
    <n v="0.65690000000000004"/>
    <m/>
    <m/>
    <m/>
    <m/>
    <m/>
    <s v="AUD"/>
    <s v="13633998Waste - General [t] - Scope 3"/>
    <n v="13633998"/>
  </r>
  <r>
    <d v="2019-07-01T00:00:00"/>
    <d v="2021-06-30T00:00:00"/>
    <s v="Telstra"/>
    <s v="NON-NETWORK"/>
    <s v="NON-NETWORK"/>
    <s v="NSW"/>
    <s v="Australia"/>
    <s v="Kahibah"/>
    <s v="ADAMSTOWN RT"/>
    <n v="423030364900"/>
    <s v="Waste"/>
    <x v="1"/>
    <x v="2"/>
    <s v="Account"/>
    <s v="Remondis General Waste"/>
    <m/>
    <s v="423030313600_WGENERALW"/>
    <s v="GENERAL WASTE"/>
    <s v="Remondis"/>
    <m/>
    <m/>
    <d v="2020-09-01T00:00:00"/>
    <d v="2020-08-01T00:00:00"/>
    <s v="FY21"/>
    <s v="t"/>
    <n v="0"/>
    <n v="1.5599999999999999E-2"/>
    <n v="0"/>
    <n v="1.5599999999999999E-2"/>
    <n v="0"/>
    <n v="1"/>
    <n v="0"/>
    <n v="1"/>
    <n v="0"/>
    <n v="100"/>
    <n v="0"/>
    <s v="Consolidation"/>
    <s v="CO2e and Base Measure"/>
    <n v="100"/>
    <n v="100"/>
    <n v="0.02"/>
    <m/>
    <m/>
    <m/>
    <m/>
    <m/>
    <n v="2.0299999999999999E-2"/>
    <m/>
    <n v="2.0299999999999999E-2"/>
    <m/>
    <m/>
    <m/>
    <m/>
    <m/>
    <s v="AUD"/>
    <s v="13565930Waste - General [t] - Scope 3"/>
    <n v="13565930"/>
  </r>
  <r>
    <d v="2019-07-01T00:00:00"/>
    <d v="2021-06-30T00:00:00"/>
    <s v="Telstra"/>
    <s v="NON-NETWORK"/>
    <s v="NON-NETWORK"/>
    <s v="NSW"/>
    <s v="Australia"/>
    <s v="Kahibah"/>
    <s v="ADAMSTOWN RT"/>
    <n v="423030364900"/>
    <s v="Waste"/>
    <x v="1"/>
    <x v="2"/>
    <s v="Account"/>
    <s v="Remondis General Waste"/>
    <m/>
    <s v="423030313600_WGENERALW"/>
    <s v="GENERAL WASTE"/>
    <s v="Remondis"/>
    <m/>
    <m/>
    <d v="2020-09-01T00:00:00"/>
    <d v="2020-09-01T00:00:00"/>
    <s v="FY21"/>
    <s v="t"/>
    <n v="0"/>
    <n v="0"/>
    <n v="5.0000000000000001E-4"/>
    <n v="5.0000000000000001E-4"/>
    <n v="0"/>
    <n v="0"/>
    <n v="1"/>
    <n v="1"/>
    <n v="0"/>
    <n v="0"/>
    <n v="100"/>
    <s v="Consolidation"/>
    <s v="CO2e and Base Measure"/>
    <n v="100"/>
    <n v="100"/>
    <n v="0"/>
    <m/>
    <m/>
    <m/>
    <m/>
    <m/>
    <n v="6.9999999999999999E-4"/>
    <m/>
    <n v="6.9999999999999999E-4"/>
    <m/>
    <m/>
    <m/>
    <m/>
    <m/>
    <s v="AUD"/>
    <s v="13565930Waste - General [t] - Scope 3"/>
    <n v="13565930"/>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07-01T00:00:00"/>
    <s v="FY21"/>
    <s v="t"/>
    <n v="0"/>
    <n v="2.3099999999999999E-2"/>
    <n v="0"/>
    <n v="2.3099999999999999E-2"/>
    <n v="0"/>
    <n v="1"/>
    <n v="0"/>
    <n v="1"/>
    <n v="0"/>
    <n v="100"/>
    <n v="0"/>
    <s v="Consolidation"/>
    <s v="CO2e and Base Measure"/>
    <n v="100"/>
    <n v="100"/>
    <n v="0.02"/>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08-01T00:00:00"/>
    <s v="FY21"/>
    <s v="t"/>
    <n v="0"/>
    <n v="2.3099999999999999E-2"/>
    <n v="0"/>
    <n v="2.3099999999999999E-2"/>
    <n v="0"/>
    <n v="1"/>
    <n v="0"/>
    <n v="1"/>
    <n v="0"/>
    <n v="100"/>
    <n v="0"/>
    <s v="Consolidation"/>
    <s v="CO2e and Base Measure"/>
    <n v="100"/>
    <n v="100"/>
    <n v="0.02"/>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09-01T00:00:00"/>
    <s v="FY21"/>
    <s v="t"/>
    <n v="0"/>
    <n v="2.3099999999999999E-2"/>
    <n v="0"/>
    <n v="2.3099999999999999E-2"/>
    <n v="0"/>
    <n v="1"/>
    <n v="0"/>
    <n v="1"/>
    <n v="0"/>
    <n v="100"/>
    <n v="0"/>
    <s v="Consolidation"/>
    <s v="CO2e and Base Measure"/>
    <n v="100"/>
    <n v="100"/>
    <n v="0.02"/>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10-01T00:00:00"/>
    <s v="FY21"/>
    <s v="t"/>
    <n v="0"/>
    <n v="2.3099999999999999E-2"/>
    <n v="0"/>
    <n v="2.3099999999999999E-2"/>
    <n v="0"/>
    <n v="1"/>
    <n v="0"/>
    <n v="1"/>
    <n v="0"/>
    <n v="100"/>
    <n v="0"/>
    <s v="Consolidation"/>
    <s v="CO2e and Base Measure"/>
    <n v="100"/>
    <n v="100"/>
    <n v="0.02"/>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11-01T00:00:00"/>
    <s v="FY21"/>
    <s v="t"/>
    <n v="0"/>
    <n v="4.6199999999999998E-2"/>
    <n v="0"/>
    <n v="4.6199999999999998E-2"/>
    <n v="0"/>
    <n v="2"/>
    <n v="0"/>
    <n v="2"/>
    <n v="0"/>
    <n v="100"/>
    <n v="0"/>
    <s v="Consolidation"/>
    <s v="CO2e and Base Measure"/>
    <n v="100"/>
    <n v="100"/>
    <n v="0.05"/>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12-01T00:00:00"/>
    <s v="FY21"/>
    <s v="t"/>
    <n v="0"/>
    <n v="0"/>
    <n v="8.9999999999999998E-4"/>
    <n v="8.9999999999999998E-4"/>
    <n v="0"/>
    <n v="0"/>
    <n v="1"/>
    <n v="1"/>
    <n v="0"/>
    <n v="0"/>
    <n v="100"/>
    <s v="Consolidation"/>
    <s v="CO2e and Base Measure"/>
    <n v="100"/>
    <n v="100"/>
    <n v="0"/>
    <m/>
    <m/>
    <m/>
    <m/>
    <m/>
    <m/>
    <n v="0"/>
    <m/>
    <m/>
    <m/>
    <m/>
    <m/>
    <m/>
    <s v="AUD"/>
    <s v="13564218Waste Recycled - Cardboard [t]"/>
    <n v="13564218"/>
  </r>
  <r>
    <d v="2019-07-01T00:00:00"/>
    <d v="2021-06-30T00:00:00"/>
    <s v="Telstra"/>
    <s v="NON-NETWORK"/>
    <s v="NON-NETWORK"/>
    <s v="QLD"/>
    <s v="Australia"/>
    <s v="Maryborough"/>
    <s v="ADELAIDE"/>
    <n v="423030155800"/>
    <s v="Waste"/>
    <x v="1"/>
    <x v="2"/>
    <s v="Account"/>
    <s v="Remondis General Waste"/>
    <m/>
    <s v="423030155800_WGENERALW"/>
    <s v="GENERAL WASTE"/>
    <s v="Remondis"/>
    <m/>
    <m/>
    <d v="2020-10-01T00:00:00"/>
    <d v="2020-09-01T00:00:00"/>
    <s v="FY21"/>
    <s v="t"/>
    <n v="0.82"/>
    <n v="0"/>
    <n v="0"/>
    <n v="0.82"/>
    <n v="1"/>
    <n v="0"/>
    <n v="0"/>
    <n v="1"/>
    <n v="100"/>
    <n v="0"/>
    <n v="0"/>
    <s v="Consolidation"/>
    <s v="CO2e and Base Measure"/>
    <n v="100"/>
    <n v="100"/>
    <n v="0.82"/>
    <m/>
    <m/>
    <m/>
    <m/>
    <m/>
    <n v="1.0660000000000001"/>
    <m/>
    <n v="1.0660000000000001"/>
    <m/>
    <m/>
    <m/>
    <m/>
    <m/>
    <s v="AUD"/>
    <s v="13564219Waste - General [t] - Scope 3"/>
    <n v="13564219"/>
  </r>
  <r>
    <d v="2019-07-01T00:00:00"/>
    <d v="2021-06-30T00:00:00"/>
    <s v="Telstra"/>
    <s v="NON-NETWORK"/>
    <s v="NON-NETWORK"/>
    <s v="QLD"/>
    <s v="Australia"/>
    <s v="Maryborough"/>
    <s v="ADELAIDE"/>
    <n v="423030155800"/>
    <s v="Waste"/>
    <x v="1"/>
    <x v="2"/>
    <s v="Account"/>
    <s v="Remondis General Waste"/>
    <m/>
    <s v="423030155800_WGENERALW"/>
    <s v="GENERAL WASTE"/>
    <s v="Remondis"/>
    <m/>
    <m/>
    <d v="2020-10-01T00:00:00"/>
    <d v="2020-10-01T00:00:00"/>
    <s v="FY21"/>
    <s v="t"/>
    <n v="0"/>
    <n v="0"/>
    <n v="2.8299999999999999E-2"/>
    <n v="2.8299999999999999E-2"/>
    <n v="0"/>
    <n v="0"/>
    <n v="1"/>
    <n v="1"/>
    <n v="0"/>
    <n v="0"/>
    <n v="100"/>
    <s v="Consolidation"/>
    <s v="CO2e and Base Measure"/>
    <n v="100"/>
    <n v="100"/>
    <n v="0.03"/>
    <m/>
    <m/>
    <m/>
    <m/>
    <m/>
    <n v="3.6799999999999999E-2"/>
    <m/>
    <n v="3.6799999999999999E-2"/>
    <m/>
    <m/>
    <m/>
    <m/>
    <m/>
    <s v="AUD"/>
    <s v="13564219Waste - General [t] - Scope 3"/>
    <n v="13564219"/>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07-01T00:00:00"/>
    <s v="FY21"/>
    <s v="t"/>
    <n v="5.3999999999999999E-2"/>
    <n v="0"/>
    <n v="0"/>
    <n v="5.3999999999999999E-2"/>
    <n v="1"/>
    <n v="0"/>
    <n v="0"/>
    <n v="1"/>
    <n v="100"/>
    <n v="0"/>
    <n v="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08-01T00:00:00"/>
    <s v="FY21"/>
    <s v="t"/>
    <n v="5.3999999999999999E-2"/>
    <n v="0"/>
    <n v="0"/>
    <n v="5.3999999999999999E-2"/>
    <n v="1"/>
    <n v="0"/>
    <n v="0"/>
    <n v="1"/>
    <n v="100"/>
    <n v="0"/>
    <n v="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09-01T00:00:00"/>
    <s v="FY21"/>
    <s v="t"/>
    <n v="4.0000000000000001E-3"/>
    <n v="0"/>
    <n v="0"/>
    <n v="4.0000000000000001E-3"/>
    <n v="1"/>
    <n v="0"/>
    <n v="0"/>
    <n v="1"/>
    <n v="100"/>
    <n v="0"/>
    <n v="0"/>
    <s v="Consolidation"/>
    <s v="CO2e and Base Measure"/>
    <n v="100"/>
    <n v="100"/>
    <n v="0"/>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10-01T00:00:00"/>
    <s v="FY21"/>
    <s v="t"/>
    <n v="5.3999999999999999E-2"/>
    <n v="0"/>
    <n v="0"/>
    <n v="5.3999999999999999E-2"/>
    <n v="1"/>
    <n v="0"/>
    <n v="0"/>
    <n v="1"/>
    <n v="100"/>
    <n v="0"/>
    <n v="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11-01T00:00:00"/>
    <s v="FY21"/>
    <s v="t"/>
    <n v="5.3999999999999999E-2"/>
    <n v="0"/>
    <n v="0"/>
    <n v="5.3999999999999999E-2"/>
    <n v="1"/>
    <n v="0"/>
    <n v="0"/>
    <n v="1"/>
    <n v="100"/>
    <n v="0"/>
    <n v="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12-01T00:00:00"/>
    <s v="FY21"/>
    <s v="t"/>
    <n v="0.108"/>
    <n v="0"/>
    <n v="0"/>
    <n v="0.108"/>
    <n v="2"/>
    <n v="0"/>
    <n v="0"/>
    <n v="2"/>
    <n v="100"/>
    <n v="0"/>
    <n v="0"/>
    <s v="Consolidation"/>
    <s v="CO2e and Base Measure"/>
    <n v="100"/>
    <n v="100"/>
    <n v="0.11"/>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1-01T00:00:00"/>
    <s v="FY21"/>
    <s v="t"/>
    <n v="0"/>
    <n v="0"/>
    <n v="5.5800000000000002E-2"/>
    <n v="5.5800000000000002E-2"/>
    <n v="0"/>
    <n v="0"/>
    <n v="31"/>
    <n v="31"/>
    <n v="0"/>
    <n v="0"/>
    <n v="100"/>
    <s v="Consolidation"/>
    <s v="CO2e and Base Measure"/>
    <n v="100"/>
    <n v="100"/>
    <n v="0.06"/>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2-01T00:00:00"/>
    <s v="FY21"/>
    <s v="t"/>
    <n v="0"/>
    <n v="0"/>
    <n v="5.04E-2"/>
    <n v="5.04E-2"/>
    <n v="0"/>
    <n v="0"/>
    <n v="28"/>
    <n v="28"/>
    <n v="0"/>
    <n v="0"/>
    <n v="10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3-01T00:00:00"/>
    <s v="FY21"/>
    <s v="t"/>
    <n v="0"/>
    <n v="0"/>
    <n v="5.5800000000000002E-2"/>
    <n v="5.5800000000000002E-2"/>
    <n v="0"/>
    <n v="0"/>
    <n v="31"/>
    <n v="31"/>
    <n v="0"/>
    <n v="0"/>
    <n v="100"/>
    <s v="Consolidation"/>
    <s v="CO2e and Base Measure"/>
    <n v="100"/>
    <n v="100"/>
    <n v="0.06"/>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4-01T00:00:00"/>
    <s v="FY21"/>
    <s v="t"/>
    <n v="0"/>
    <n v="0"/>
    <n v="5.3999999999999999E-2"/>
    <n v="5.3999999999999999E-2"/>
    <n v="0"/>
    <n v="0"/>
    <n v="30"/>
    <n v="30"/>
    <n v="0"/>
    <n v="0"/>
    <n v="10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5-01T00:00:00"/>
    <s v="FY21"/>
    <s v="t"/>
    <n v="0"/>
    <n v="0"/>
    <n v="5.5800000000000002E-2"/>
    <n v="5.5800000000000002E-2"/>
    <n v="0"/>
    <n v="0"/>
    <n v="31"/>
    <n v="31"/>
    <n v="0"/>
    <n v="0"/>
    <n v="100"/>
    <s v="Consolidation"/>
    <s v="CO2e and Base Measure"/>
    <n v="100"/>
    <n v="100"/>
    <n v="0.06"/>
    <m/>
    <m/>
    <m/>
    <m/>
    <m/>
    <m/>
    <m/>
    <m/>
    <m/>
    <m/>
    <m/>
    <m/>
    <m/>
    <s v="AUD"/>
    <s v="13566345Waste Recycled - Paper and Cardboard [t]"/>
    <n v="13566345"/>
  </r>
  <r>
    <d v="2019-07-01T00:00:00"/>
    <d v="2021-06-30T00:00:00"/>
    <s v="Telstra"/>
    <s v="NON-NETWORK"/>
    <s v="NON-NETWORK"/>
    <s v="QLD"/>
    <s v="Australia"/>
    <s v="Maryborough"/>
    <s v="ADELAIDE"/>
    <n v="423030155800"/>
    <s v="Recycled Waste"/>
    <x v="0"/>
    <x v="1"/>
    <s v="Account"/>
    <s v="Remondis Electrical Comp. (E-Waste)"/>
    <m/>
    <s v="423030155800_RELECTRIC"/>
    <s v="ELECTRICAL COMP. (E-WASTE)"/>
    <s v="Remondis"/>
    <m/>
    <d v="2020-09-07T00:00:00"/>
    <d v="2020-10-01T00:00:00"/>
    <d v="2020-09-01T00:00:00"/>
    <s v="FY21"/>
    <s v="t"/>
    <n v="0"/>
    <n v="4.5600000000000002E-2"/>
    <n v="0"/>
    <n v="4.5600000000000002E-2"/>
    <n v="0"/>
    <n v="1"/>
    <n v="0"/>
    <n v="1"/>
    <n v="0"/>
    <n v="100"/>
    <n v="0"/>
    <s v="Consolidation"/>
    <s v="CO2e and Base Measure"/>
    <n v="100"/>
    <n v="100"/>
    <n v="0.05"/>
    <m/>
    <m/>
    <m/>
    <m/>
    <m/>
    <m/>
    <m/>
    <m/>
    <m/>
    <m/>
    <m/>
    <m/>
    <m/>
    <s v="AUD"/>
    <s v="13629337Waste Recycled - E-waste [t]"/>
    <n v="13629337"/>
  </r>
  <r>
    <d v="2019-07-01T00:00:00"/>
    <d v="2021-06-30T00:00:00"/>
    <s v="Telstra"/>
    <s v="NON-NETWORK"/>
    <s v="NON-NETWORK"/>
    <s v="QLD"/>
    <s v="Australia"/>
    <s v="Maryborough"/>
    <s v="ADELAIDE"/>
    <n v="423030155800"/>
    <s v="Recycled Waste"/>
    <x v="0"/>
    <x v="1"/>
    <s v="Account"/>
    <s v="Remondis Electrical Comp. (E-Waste)"/>
    <m/>
    <s v="423030155800_RELECTRIC"/>
    <s v="ELECTRICAL COMP. (E-WASTE)"/>
    <s v="Remondis"/>
    <m/>
    <d v="2020-09-07T00:00:00"/>
    <d v="2020-10-01T00:00:00"/>
    <d v="2020-10-01T00:00:00"/>
    <s v="FY21"/>
    <s v="t"/>
    <n v="0"/>
    <n v="0"/>
    <n v="1.6000000000000001E-3"/>
    <n v="1.6000000000000001E-3"/>
    <n v="0"/>
    <n v="0"/>
    <n v="1"/>
    <n v="1"/>
    <n v="0"/>
    <n v="0"/>
    <n v="100"/>
    <s v="Consolidation"/>
    <s v="CO2e and Base Measure"/>
    <n v="100"/>
    <n v="100"/>
    <n v="0"/>
    <m/>
    <m/>
    <m/>
    <m/>
    <m/>
    <m/>
    <m/>
    <m/>
    <m/>
    <m/>
    <m/>
    <m/>
    <m/>
    <s v="AUD"/>
    <s v="13629337Waste Recycled - E-waste [t]"/>
    <n v="13629337"/>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0-12-01T00:00:00"/>
    <s v="FY21"/>
    <s v="t"/>
    <n v="0"/>
    <n v="2.75E-2"/>
    <n v="0"/>
    <n v="2.75E-2"/>
    <n v="0"/>
    <n v="1"/>
    <n v="0"/>
    <n v="1"/>
    <n v="0"/>
    <n v="100"/>
    <n v="0"/>
    <s v="Consolidation"/>
    <s v="CO2e and Base Measure"/>
    <n v="100"/>
    <n v="100"/>
    <n v="0.03"/>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1-01T00:00:00"/>
    <s v="FY21"/>
    <s v="t"/>
    <n v="0.02"/>
    <n v="0"/>
    <n v="0"/>
    <n v="0.02"/>
    <n v="1"/>
    <n v="0"/>
    <n v="0"/>
    <n v="1"/>
    <n v="100"/>
    <n v="0"/>
    <n v="0"/>
    <s v="Consolidation"/>
    <s v="CO2e and Base Measure"/>
    <n v="100"/>
    <n v="100"/>
    <n v="0.02"/>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2-01T00:00:00"/>
    <s v="FY21"/>
    <s v="t"/>
    <n v="0.02"/>
    <n v="0"/>
    <n v="0"/>
    <n v="0.02"/>
    <n v="1"/>
    <n v="0"/>
    <n v="0"/>
    <n v="1"/>
    <n v="100"/>
    <n v="0"/>
    <n v="0"/>
    <s v="Consolidation"/>
    <s v="CO2e and Base Measure"/>
    <n v="100"/>
    <n v="100"/>
    <n v="0.02"/>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3-01T00:00:00"/>
    <s v="FY21"/>
    <s v="t"/>
    <n v="3.1E-2"/>
    <n v="0"/>
    <n v="0"/>
    <n v="3.1E-2"/>
    <n v="1"/>
    <n v="0"/>
    <n v="0"/>
    <n v="1"/>
    <n v="100"/>
    <n v="0"/>
    <n v="0"/>
    <s v="Consolidation"/>
    <s v="CO2e and Base Measure"/>
    <n v="100"/>
    <n v="100"/>
    <n v="0.03"/>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4-01T00:00:00"/>
    <s v="FY21"/>
    <s v="t"/>
    <n v="0"/>
    <n v="0"/>
    <n v="2.4E-2"/>
    <n v="2.4E-2"/>
    <n v="0"/>
    <n v="0"/>
    <n v="30"/>
    <n v="30"/>
    <n v="0"/>
    <n v="0"/>
    <n v="100"/>
    <s v="Consolidation"/>
    <s v="CO2e and Base Measure"/>
    <n v="100"/>
    <n v="100"/>
    <n v="0.02"/>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5-01T00:00:00"/>
    <s v="FY21"/>
    <s v="t"/>
    <n v="0"/>
    <n v="0"/>
    <n v="2.4799999999999999E-2"/>
    <n v="2.4799999999999999E-2"/>
    <n v="0"/>
    <n v="0"/>
    <n v="31"/>
    <n v="31"/>
    <n v="0"/>
    <n v="0"/>
    <n v="100"/>
    <s v="Consolidation"/>
    <s v="CO2e and Base Measure"/>
    <n v="100"/>
    <n v="100"/>
    <n v="0.02"/>
    <m/>
    <m/>
    <m/>
    <m/>
    <m/>
    <m/>
    <m/>
    <m/>
    <m/>
    <m/>
    <m/>
    <m/>
    <m/>
    <s v="AUD"/>
    <s v="13634376Waste Recycled - Paper and Cardboard [t]"/>
    <n v="13634376"/>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1-01T00:00:00"/>
    <s v="FY21"/>
    <s v="t"/>
    <n v="0"/>
    <n v="4.9500000000000002E-2"/>
    <n v="0"/>
    <n v="4.9500000000000002E-2"/>
    <n v="0"/>
    <n v="1"/>
    <n v="0"/>
    <n v="1"/>
    <n v="0"/>
    <n v="100"/>
    <n v="0"/>
    <s v="Consolidation"/>
    <s v="CO2e and Base Measure"/>
    <n v="100"/>
    <n v="100"/>
    <n v="0.05"/>
    <m/>
    <m/>
    <m/>
    <m/>
    <m/>
    <n v="6.4399999999999999E-2"/>
    <m/>
    <n v="6.4399999999999999E-2"/>
    <m/>
    <m/>
    <m/>
    <m/>
    <m/>
    <s v="AUD"/>
    <s v="13641197Waste - General [t] - Scope 3"/>
    <n v="13641197"/>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2-01T00:00:00"/>
    <s v="FY21"/>
    <s v="t"/>
    <n v="0"/>
    <n v="0"/>
    <n v="4.48E-2"/>
    <n v="4.48E-2"/>
    <n v="0"/>
    <n v="0"/>
    <n v="28"/>
    <n v="28"/>
    <n v="0"/>
    <n v="0"/>
    <n v="100"/>
    <s v="Consolidation"/>
    <s v="CO2e and Base Measure"/>
    <n v="100"/>
    <n v="100"/>
    <n v="0.04"/>
    <m/>
    <m/>
    <m/>
    <m/>
    <m/>
    <n v="5.8200000000000002E-2"/>
    <m/>
    <n v="5.8200000000000002E-2"/>
    <m/>
    <m/>
    <m/>
    <m/>
    <m/>
    <s v="AUD"/>
    <s v="13641197Waste - General [t] - Scope 3"/>
    <n v="13641197"/>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3-01T00:00:00"/>
    <s v="FY21"/>
    <s v="t"/>
    <n v="0"/>
    <n v="0"/>
    <n v="4.9599999999999998E-2"/>
    <n v="4.9599999999999998E-2"/>
    <n v="0"/>
    <n v="0"/>
    <n v="31"/>
    <n v="31"/>
    <n v="0"/>
    <n v="0"/>
    <n v="100"/>
    <s v="Consolidation"/>
    <s v="CO2e and Base Measure"/>
    <n v="100"/>
    <n v="100"/>
    <n v="0.05"/>
    <m/>
    <m/>
    <m/>
    <m/>
    <m/>
    <n v="6.4500000000000002E-2"/>
    <m/>
    <n v="6.4500000000000002E-2"/>
    <m/>
    <m/>
    <m/>
    <m/>
    <m/>
    <s v="AUD"/>
    <s v="13641197Waste - General [t] - Scope 3"/>
    <n v="13641197"/>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41197Waste - General [t] - Scope 3"/>
    <n v="13641197"/>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41197Waste - General [t] - Scope 3"/>
    <n v="13641197"/>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10Waste - General [t] - Scope 3"/>
    <n v="13564110"/>
  </r>
  <r>
    <d v="2019-07-01T00:00:00"/>
    <d v="2021-06-30T00:00:00"/>
    <s v="Telstra"/>
    <s v="NETWORK"/>
    <s v="Network - InfraCo"/>
    <s v="WA"/>
    <s v="Australia"/>
    <s v="Albany"/>
    <s v="ALBANY EXCHANGE BG 1"/>
    <n v="423030820000"/>
    <s v="Recycled Waste"/>
    <x v="0"/>
    <x v="0"/>
    <s v="Account"/>
    <s v="Remondis Cardboard - Loose - Recycled"/>
    <m/>
    <s v="423030820000_RCARDBOAR"/>
    <s v="CARDBOARD - LOOSE - RECYCLED"/>
    <s v="Remondis"/>
    <m/>
    <m/>
    <d v="2021-01-01T00:00:00"/>
    <d v="2020-12-01T00:00:00"/>
    <s v="FY21"/>
    <s v="t"/>
    <n v="0"/>
    <n v="9.4500000000000001E-2"/>
    <n v="0"/>
    <n v="9.4500000000000001E-2"/>
    <n v="0"/>
    <n v="1"/>
    <n v="0"/>
    <n v="1"/>
    <n v="0"/>
    <n v="100"/>
    <n v="0"/>
    <s v="Consolidation"/>
    <s v="CO2e and Base Measure"/>
    <n v="100"/>
    <n v="100"/>
    <n v="0.09"/>
    <m/>
    <m/>
    <m/>
    <m/>
    <m/>
    <m/>
    <n v="0"/>
    <m/>
    <m/>
    <m/>
    <m/>
    <m/>
    <m/>
    <s v="AUD"/>
    <s v="13565329Waste Recycled - Cardboard [t]"/>
    <n v="13565329"/>
  </r>
  <r>
    <d v="2019-07-01T00:00:00"/>
    <d v="2021-06-30T00:00:00"/>
    <s v="Telstra"/>
    <s v="NETWORK"/>
    <s v="Network - InfraCo"/>
    <s v="WA"/>
    <s v="Australia"/>
    <s v="Albany"/>
    <s v="ALBANY EXCHANGE BG 1"/>
    <n v="423030820000"/>
    <s v="Recycled Waste"/>
    <x v="0"/>
    <x v="0"/>
    <s v="Account"/>
    <s v="Remondis Cardboard - Loose - Recycled"/>
    <m/>
    <s v="423030820000_RCARDBOAR"/>
    <s v="CARDBOARD - LOOSE - RECYCLED"/>
    <s v="Remondis"/>
    <m/>
    <m/>
    <d v="2021-01-01T00:00:00"/>
    <d v="2021-01-01T00:00:00"/>
    <s v="FY21"/>
    <s v="t"/>
    <n v="0"/>
    <n v="0"/>
    <n v="3.2000000000000002E-3"/>
    <n v="3.2000000000000002E-3"/>
    <n v="0"/>
    <n v="0"/>
    <n v="1"/>
    <n v="1"/>
    <n v="0"/>
    <n v="0"/>
    <n v="100"/>
    <s v="Consolidation"/>
    <s v="CO2e and Base Measure"/>
    <n v="100"/>
    <n v="100"/>
    <n v="0"/>
    <m/>
    <m/>
    <m/>
    <m/>
    <m/>
    <m/>
    <n v="0"/>
    <m/>
    <m/>
    <m/>
    <m/>
    <m/>
    <m/>
    <s v="AUD"/>
    <s v="13565329Waste Recycled - Cardboard [t]"/>
    <n v="13565329"/>
  </r>
  <r>
    <d v="2019-07-01T00:00:00"/>
    <d v="2021-06-30T00:00:00"/>
    <s v="Telstra"/>
    <s v="NETWORK"/>
    <s v="Network - InfraCo"/>
    <s v="WA"/>
    <s v="Australia"/>
    <s v="Albany"/>
    <s v="ALBANY EXCHANGE BG 1"/>
    <n v="423030820000"/>
    <s v="Waste"/>
    <x v="1"/>
    <x v="2"/>
    <s v="Account"/>
    <s v="Remondis General Waste"/>
    <m/>
    <s v="423030820000_WGENERALW"/>
    <s v="GENERAL WASTE"/>
    <s v="Remondis"/>
    <m/>
    <m/>
    <d v="2021-01-01T00:00:00"/>
    <d v="2020-12-01T00:00:00"/>
    <s v="FY21"/>
    <s v="t"/>
    <n v="0.54500000000000004"/>
    <n v="0.29249999999999998"/>
    <n v="0"/>
    <n v="0.83750000000000002"/>
    <n v="1"/>
    <n v="1"/>
    <n v="0"/>
    <n v="2"/>
    <n v="65.069999999999993"/>
    <n v="34.92"/>
    <n v="0"/>
    <s v="Consolidation"/>
    <s v="CO2e and Base Measure"/>
    <n v="100"/>
    <n v="100"/>
    <n v="0.84"/>
    <m/>
    <m/>
    <m/>
    <m/>
    <m/>
    <n v="1.0888"/>
    <m/>
    <n v="1.0888"/>
    <m/>
    <m/>
    <m/>
    <m/>
    <m/>
    <s v="AUD"/>
    <s v="13565330Waste - General [t] - Scope 3"/>
    <n v="13565330"/>
  </r>
  <r>
    <d v="2019-07-01T00:00:00"/>
    <d v="2021-06-30T00:00:00"/>
    <s v="Telstra"/>
    <s v="NETWORK"/>
    <s v="Network - InfraCo"/>
    <s v="WA"/>
    <s v="Australia"/>
    <s v="Albany"/>
    <s v="ALBANY EXCHANGE BG 1"/>
    <n v="423030820000"/>
    <s v="Waste"/>
    <x v="1"/>
    <x v="2"/>
    <s v="Account"/>
    <s v="Remondis General Waste"/>
    <m/>
    <s v="423030820000_WGENERALW"/>
    <s v="GENERAL WASTE"/>
    <s v="Remondis"/>
    <m/>
    <m/>
    <d v="2021-01-01T00:00:00"/>
    <d v="2021-01-01T00:00:00"/>
    <s v="FY21"/>
    <s v="t"/>
    <n v="0"/>
    <n v="0"/>
    <n v="5.3E-3"/>
    <n v="5.3E-3"/>
    <n v="0"/>
    <n v="0"/>
    <n v="1"/>
    <n v="1"/>
    <n v="0"/>
    <n v="0"/>
    <n v="100"/>
    <s v="Consolidation"/>
    <s v="CO2e and Base Measure"/>
    <n v="100"/>
    <n v="100"/>
    <n v="0.01"/>
    <m/>
    <m/>
    <m/>
    <m/>
    <m/>
    <n v="6.8999999999999999E-3"/>
    <m/>
    <n v="6.8999999999999999E-3"/>
    <m/>
    <m/>
    <m/>
    <m/>
    <m/>
    <s v="AUD"/>
    <s v="13565330Waste - General [t] - Scope 3"/>
    <n v="13565330"/>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09-01T00:00:00"/>
    <s v="FY21"/>
    <s v="t"/>
    <n v="0"/>
    <n v="0.189"/>
    <n v="0"/>
    <n v="0.189"/>
    <n v="0"/>
    <n v="3"/>
    <n v="0"/>
    <n v="3"/>
    <n v="0"/>
    <n v="100"/>
    <n v="0"/>
    <s v="Consolidation"/>
    <s v="CO2e and Base Measure"/>
    <n v="100"/>
    <n v="100"/>
    <n v="0.19"/>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1-01-01T00:00:00"/>
    <s v="FY21"/>
    <s v="t"/>
    <n v="0"/>
    <n v="0"/>
    <n v="3.5000000000000001E-3"/>
    <n v="3.5000000000000001E-3"/>
    <n v="0"/>
    <n v="0"/>
    <n v="1"/>
    <n v="1"/>
    <n v="0"/>
    <n v="0"/>
    <n v="100"/>
    <s v="Consolidation"/>
    <s v="CO2e and Base Measure"/>
    <n v="100"/>
    <n v="100"/>
    <n v="0"/>
    <m/>
    <m/>
    <m/>
    <m/>
    <m/>
    <m/>
    <n v="0"/>
    <m/>
    <m/>
    <m/>
    <m/>
    <m/>
    <m/>
    <s v="AUD"/>
    <s v="13564309Waste Recycled - Cardboard [t]"/>
    <n v="13564309"/>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07-01T00:00:00"/>
    <s v="FY21"/>
    <s v="t"/>
    <n v="0.24"/>
    <n v="0"/>
    <n v="0"/>
    <n v="0.24"/>
    <n v="2"/>
    <n v="0"/>
    <n v="0"/>
    <n v="2"/>
    <n v="100"/>
    <n v="0"/>
    <n v="0"/>
    <s v="Consolidation"/>
    <s v="CO2e and Base Measure"/>
    <n v="100"/>
    <n v="100"/>
    <n v="0.24"/>
    <m/>
    <m/>
    <m/>
    <m/>
    <m/>
    <n v="0.312"/>
    <m/>
    <n v="0.312"/>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08-01T00:00:00"/>
    <s v="FY21"/>
    <s v="t"/>
    <n v="0.23"/>
    <n v="0"/>
    <n v="0"/>
    <n v="0.23"/>
    <n v="2"/>
    <n v="0"/>
    <n v="0"/>
    <n v="2"/>
    <n v="100"/>
    <n v="0"/>
    <n v="0"/>
    <s v="Consolidation"/>
    <s v="CO2e and Base Measure"/>
    <n v="100"/>
    <n v="100"/>
    <n v="0.23"/>
    <m/>
    <m/>
    <m/>
    <m/>
    <m/>
    <n v="0.29899999999999999"/>
    <m/>
    <n v="0.29899999999999999"/>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09-01T00:00:00"/>
    <s v="FY21"/>
    <s v="t"/>
    <n v="0.16"/>
    <n v="0"/>
    <n v="0"/>
    <n v="0.16"/>
    <n v="3"/>
    <n v="0"/>
    <n v="0"/>
    <n v="3"/>
    <n v="100"/>
    <n v="0"/>
    <n v="0"/>
    <s v="Consolidation"/>
    <s v="CO2e and Base Measure"/>
    <n v="100"/>
    <n v="100"/>
    <n v="0.16"/>
    <m/>
    <m/>
    <m/>
    <m/>
    <m/>
    <n v="0.20799999999999999"/>
    <m/>
    <n v="0.20799999999999999"/>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10-01T00:00:00"/>
    <s v="FY21"/>
    <s v="t"/>
    <n v="0.17"/>
    <n v="0"/>
    <n v="0"/>
    <n v="0.17"/>
    <n v="2"/>
    <n v="0"/>
    <n v="0"/>
    <n v="2"/>
    <n v="100"/>
    <n v="0"/>
    <n v="0"/>
    <s v="Consolidation"/>
    <s v="CO2e and Base Measure"/>
    <n v="100"/>
    <n v="100"/>
    <n v="0.17"/>
    <m/>
    <m/>
    <m/>
    <m/>
    <m/>
    <n v="0.221"/>
    <m/>
    <n v="0.221"/>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11-01T00:00:00"/>
    <s v="FY21"/>
    <s v="t"/>
    <n v="0.37"/>
    <n v="0"/>
    <n v="0"/>
    <n v="0.37"/>
    <n v="2"/>
    <n v="0"/>
    <n v="0"/>
    <n v="2"/>
    <n v="100"/>
    <n v="0"/>
    <n v="0"/>
    <s v="Consolidation"/>
    <s v="CO2e and Base Measure"/>
    <n v="100"/>
    <n v="100"/>
    <n v="0.37"/>
    <m/>
    <m/>
    <m/>
    <m/>
    <m/>
    <n v="0.48099999999999998"/>
    <m/>
    <n v="0.48099999999999998"/>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1-01-01T00:00:00"/>
    <s v="FY21"/>
    <s v="t"/>
    <n v="0"/>
    <n v="0"/>
    <n v="7.9000000000000008E-3"/>
    <n v="7.9000000000000008E-3"/>
    <n v="0"/>
    <n v="0"/>
    <n v="1"/>
    <n v="1"/>
    <n v="0"/>
    <n v="0"/>
    <n v="100"/>
    <s v="Consolidation"/>
    <s v="CO2e and Base Measure"/>
    <n v="100"/>
    <n v="100"/>
    <n v="0.01"/>
    <m/>
    <m/>
    <m/>
    <m/>
    <m/>
    <n v="1.03E-2"/>
    <m/>
    <n v="1.03E-2"/>
    <m/>
    <m/>
    <m/>
    <m/>
    <m/>
    <s v="AUD"/>
    <s v="13564310Waste - General [t] - Scope 3"/>
    <n v="13564310"/>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0-12-01T00:00:00"/>
    <s v="FY21"/>
    <s v="t"/>
    <n v="0.16"/>
    <n v="0"/>
    <n v="0"/>
    <n v="0.16"/>
    <n v="1"/>
    <n v="0"/>
    <n v="0"/>
    <n v="1"/>
    <n v="100"/>
    <n v="0"/>
    <n v="0"/>
    <s v="Consolidation"/>
    <s v="CO2e and Base Measure"/>
    <n v="100"/>
    <n v="100"/>
    <n v="0.16"/>
    <m/>
    <m/>
    <m/>
    <m/>
    <m/>
    <n v="0.20799999999999999"/>
    <m/>
    <n v="0.20799999999999999"/>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1-01T00:00:00"/>
    <s v="FY21"/>
    <s v="t"/>
    <n v="0.23"/>
    <n v="0"/>
    <n v="0"/>
    <n v="0.23"/>
    <n v="1"/>
    <n v="0"/>
    <n v="0"/>
    <n v="1"/>
    <n v="100"/>
    <n v="0"/>
    <n v="0"/>
    <s v="Consolidation"/>
    <s v="CO2e and Base Measure"/>
    <n v="100"/>
    <n v="100"/>
    <n v="0.23"/>
    <m/>
    <m/>
    <m/>
    <m/>
    <m/>
    <n v="0.29899999999999999"/>
    <m/>
    <n v="0.29899999999999999"/>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2-01T00:00:00"/>
    <s v="FY21"/>
    <s v="t"/>
    <n v="0.28100000000000003"/>
    <n v="0"/>
    <n v="0"/>
    <n v="0.28100000000000003"/>
    <n v="1"/>
    <n v="0"/>
    <n v="0"/>
    <n v="1"/>
    <n v="100"/>
    <n v="0"/>
    <n v="0"/>
    <s v="Consolidation"/>
    <s v="CO2e and Base Measure"/>
    <n v="100"/>
    <n v="100"/>
    <n v="0.28000000000000003"/>
    <m/>
    <m/>
    <m/>
    <m/>
    <m/>
    <n v="0.36530000000000001"/>
    <m/>
    <n v="0.36530000000000001"/>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3-01T00:00:00"/>
    <s v="FY21"/>
    <s v="t"/>
    <n v="0.28599999999999998"/>
    <n v="0"/>
    <n v="0"/>
    <n v="0.28599999999999998"/>
    <n v="1"/>
    <n v="0"/>
    <n v="0"/>
    <n v="1"/>
    <n v="100"/>
    <n v="0"/>
    <n v="0"/>
    <s v="Consolidation"/>
    <s v="CO2e and Base Measure"/>
    <n v="100"/>
    <n v="100"/>
    <n v="0.28999999999999998"/>
    <m/>
    <m/>
    <m/>
    <m/>
    <m/>
    <n v="0.37180000000000002"/>
    <m/>
    <n v="0.37180000000000002"/>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4-01T00:00:00"/>
    <s v="FY21"/>
    <s v="t"/>
    <n v="0"/>
    <n v="0"/>
    <n v="0.24"/>
    <n v="0.24"/>
    <n v="0"/>
    <n v="0"/>
    <n v="30"/>
    <n v="30"/>
    <n v="0"/>
    <n v="0"/>
    <n v="100"/>
    <s v="Consolidation"/>
    <s v="CO2e and Base Measure"/>
    <n v="100"/>
    <n v="100"/>
    <n v="0.24"/>
    <m/>
    <m/>
    <m/>
    <m/>
    <m/>
    <n v="0.312"/>
    <m/>
    <n v="0.312"/>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5-01T00:00:00"/>
    <s v="FY21"/>
    <s v="t"/>
    <n v="0"/>
    <n v="0"/>
    <n v="0.248"/>
    <n v="0.248"/>
    <n v="0"/>
    <n v="0"/>
    <n v="31"/>
    <n v="31"/>
    <n v="0"/>
    <n v="0"/>
    <n v="100"/>
    <s v="Consolidation"/>
    <s v="CO2e and Base Measure"/>
    <n v="100"/>
    <n v="100"/>
    <n v="0.25"/>
    <m/>
    <m/>
    <m/>
    <m/>
    <m/>
    <n v="0.32240000000000002"/>
    <m/>
    <n v="0.32240000000000002"/>
    <m/>
    <m/>
    <m/>
    <m/>
    <m/>
    <s v="AUD"/>
    <s v="13634005Waste - General [t] - Scope 3"/>
    <n v="13634005"/>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0-12-01T00:00:00"/>
    <s v="FY21"/>
    <s v="t"/>
    <n v="6.6000000000000003E-2"/>
    <n v="0"/>
    <n v="0"/>
    <n v="6.6000000000000003E-2"/>
    <n v="1"/>
    <n v="0"/>
    <n v="0"/>
    <n v="1"/>
    <n v="100"/>
    <n v="0"/>
    <n v="0"/>
    <s v="Consolidation"/>
    <s v="CO2e and Base Measure"/>
    <n v="100"/>
    <n v="100"/>
    <n v="7.0000000000000007E-2"/>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1-01T00:00:00"/>
    <s v="FY21"/>
    <s v="t"/>
    <n v="0.108"/>
    <n v="0"/>
    <n v="0"/>
    <n v="0.108"/>
    <n v="1"/>
    <n v="0"/>
    <n v="0"/>
    <n v="1"/>
    <n v="100"/>
    <n v="0"/>
    <n v="0"/>
    <s v="Consolidation"/>
    <s v="CO2e and Base Measure"/>
    <n v="100"/>
    <n v="100"/>
    <n v="0.11"/>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2-01T00:00:00"/>
    <s v="FY21"/>
    <s v="t"/>
    <n v="0"/>
    <n v="7.4999999999999997E-2"/>
    <n v="0"/>
    <n v="7.4999999999999997E-2"/>
    <n v="0"/>
    <n v="1"/>
    <n v="0"/>
    <n v="1"/>
    <n v="0"/>
    <n v="100"/>
    <n v="0"/>
    <s v="Consolidation"/>
    <s v="CO2e and Base Measure"/>
    <n v="100"/>
    <n v="100"/>
    <n v="0.08"/>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3-01T00:00:00"/>
    <s v="FY21"/>
    <s v="t"/>
    <n v="0.06"/>
    <n v="0"/>
    <n v="0"/>
    <n v="0.06"/>
    <n v="1"/>
    <n v="0"/>
    <n v="0"/>
    <n v="1"/>
    <n v="100"/>
    <n v="0"/>
    <n v="0"/>
    <s v="Consolidation"/>
    <s v="CO2e and Base Measure"/>
    <n v="100"/>
    <n v="100"/>
    <n v="0.06"/>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4-01T00:00:00"/>
    <s v="FY21"/>
    <s v="t"/>
    <n v="0"/>
    <n v="0"/>
    <n v="7.8E-2"/>
    <n v="7.8E-2"/>
    <n v="0"/>
    <n v="0"/>
    <n v="30"/>
    <n v="30"/>
    <n v="0"/>
    <n v="0"/>
    <n v="100"/>
    <s v="Consolidation"/>
    <s v="CO2e and Base Measure"/>
    <n v="100"/>
    <n v="100"/>
    <n v="0.08"/>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5-01T00:00:00"/>
    <s v="FY21"/>
    <s v="t"/>
    <n v="0"/>
    <n v="0"/>
    <n v="8.0600000000000005E-2"/>
    <n v="8.0600000000000005E-2"/>
    <n v="0"/>
    <n v="0"/>
    <n v="31"/>
    <n v="31"/>
    <n v="0"/>
    <n v="0"/>
    <n v="100"/>
    <s v="Consolidation"/>
    <s v="CO2e and Base Measure"/>
    <n v="100"/>
    <n v="100"/>
    <n v="0.08"/>
    <m/>
    <m/>
    <m/>
    <m/>
    <m/>
    <m/>
    <m/>
    <m/>
    <m/>
    <m/>
    <m/>
    <m/>
    <m/>
    <s v="AUD"/>
    <s v="13634006Waste Recycled - Paper and Cardboard [t]"/>
    <n v="13634006"/>
  </r>
  <r>
    <d v="2019-07-01T00:00:00"/>
    <d v="2021-06-30T00:00:00"/>
    <s v="Telstra"/>
    <s v="NETWORK"/>
    <s v="Network - InfraCo"/>
    <s v="NSW"/>
    <s v="Australia"/>
    <s v="Lake Illawarra"/>
    <s v="ALBION PARK EXCHANGE"/>
    <n v="423030313900"/>
    <s v="Waste"/>
    <x v="1"/>
    <x v="2"/>
    <s v="Account"/>
    <s v="Remondis General Waste"/>
    <m/>
    <s v="423030313900_WGENERALW"/>
    <s v="GENERAL WASTE"/>
    <s v="Remondis"/>
    <m/>
    <m/>
    <d v="2021-01-01T00:00:00"/>
    <d v="2020-07-01T00:00:00"/>
    <s v="FY21"/>
    <s v="t"/>
    <n v="7.0000000000000007E-2"/>
    <n v="0"/>
    <n v="0"/>
    <n v="7.0000000000000007E-2"/>
    <n v="2"/>
    <n v="0"/>
    <n v="0"/>
    <n v="2"/>
    <n v="100"/>
    <n v="0"/>
    <n v="0"/>
    <s v="Consolidation"/>
    <s v="CO2e and Base Measure"/>
    <n v="100"/>
    <n v="100"/>
    <n v="7.0000000000000007E-2"/>
    <m/>
    <m/>
    <m/>
    <m/>
    <m/>
    <n v="9.0999999999999998E-2"/>
    <m/>
    <n v="9.0999999999999998E-2"/>
    <m/>
    <m/>
    <m/>
    <m/>
    <m/>
    <s v="AUD"/>
    <s v="13564529Waste - General [t] - Scope 3"/>
    <n v="13564529"/>
  </r>
  <r>
    <d v="2019-07-01T00:00:00"/>
    <d v="2021-06-30T00:00:00"/>
    <s v="Telstra"/>
    <s v="NETWORK"/>
    <s v="Network - InfraCo"/>
    <s v="NSW"/>
    <s v="Australia"/>
    <s v="Lake Illawarra"/>
    <s v="ALBION PARK EXCHANGE"/>
    <n v="423030313900"/>
    <s v="Waste"/>
    <x v="1"/>
    <x v="2"/>
    <s v="Account"/>
    <s v="Remondis General Waste"/>
    <m/>
    <s v="423030313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29Waste - General [t] - Scope 3"/>
    <n v="13564529"/>
  </r>
  <r>
    <d v="2019-07-01T00:00:00"/>
    <d v="2021-06-30T00:00:00"/>
    <s v="Telstra"/>
    <s v="NETWORK"/>
    <s v="Network - InfraCo"/>
    <s v="NSW"/>
    <s v="Australia"/>
    <s v="Lake Illawarra"/>
    <s v="ALBION PARK EXCHANGE"/>
    <n v="423030313900"/>
    <s v="Waste"/>
    <x v="1"/>
    <x v="2"/>
    <s v="Account"/>
    <s v="Remondis General Waste"/>
    <m/>
    <s v="423030313900_WGENERALW"/>
    <s v="GENERAL WASTE"/>
    <s v="Remondis"/>
    <m/>
    <m/>
    <d v="2021-01-01T00:00:00"/>
    <d v="2021-01-01T00:00:00"/>
    <s v="FY21"/>
    <s v="t"/>
    <n v="0"/>
    <n v="0"/>
    <n v="2.3999999999999998E-3"/>
    <n v="2.3999999999999998E-3"/>
    <n v="0"/>
    <n v="0"/>
    <n v="1"/>
    <n v="1"/>
    <n v="0"/>
    <n v="0"/>
    <n v="100"/>
    <s v="Consolidation"/>
    <s v="CO2e and Base Measure"/>
    <n v="100"/>
    <n v="100"/>
    <n v="0"/>
    <m/>
    <m/>
    <m/>
    <m/>
    <m/>
    <n v="3.0999999999999999E-3"/>
    <m/>
    <n v="3.0999999999999999E-3"/>
    <m/>
    <m/>
    <m/>
    <m/>
    <m/>
    <s v="AUD"/>
    <s v="13564529Waste - General [t] - Scope 3"/>
    <n v="13564529"/>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0-12-01T00:00:00"/>
    <s v="FY21"/>
    <s v="t"/>
    <n v="9.4E-2"/>
    <n v="0"/>
    <n v="0"/>
    <n v="9.4E-2"/>
    <n v="1"/>
    <n v="0"/>
    <n v="0"/>
    <n v="1"/>
    <n v="100"/>
    <n v="0"/>
    <n v="0"/>
    <s v="Consolidation"/>
    <s v="CO2e and Base Measure"/>
    <n v="100"/>
    <n v="100"/>
    <n v="0.09"/>
    <m/>
    <m/>
    <m/>
    <m/>
    <m/>
    <n v="0.1222"/>
    <m/>
    <n v="0.1222"/>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1-01T00:00:00"/>
    <s v="FY21"/>
    <s v="t"/>
    <n v="0.115"/>
    <n v="0"/>
    <n v="0"/>
    <n v="0.115"/>
    <n v="2"/>
    <n v="0"/>
    <n v="0"/>
    <n v="2"/>
    <n v="100"/>
    <n v="0"/>
    <n v="0"/>
    <s v="Consolidation"/>
    <s v="CO2e and Base Measure"/>
    <n v="100"/>
    <n v="100"/>
    <n v="0.12"/>
    <m/>
    <m/>
    <m/>
    <m/>
    <m/>
    <n v="0.14949999999999999"/>
    <m/>
    <n v="0.14949999999999999"/>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2-01T00:00:00"/>
    <s v="FY21"/>
    <s v="t"/>
    <n v="0.17799999999999999"/>
    <n v="0"/>
    <n v="0"/>
    <n v="0.17799999999999999"/>
    <n v="2"/>
    <n v="0"/>
    <n v="0"/>
    <n v="2"/>
    <n v="100"/>
    <n v="0"/>
    <n v="0"/>
    <s v="Consolidation"/>
    <s v="CO2e and Base Measure"/>
    <n v="100"/>
    <n v="100"/>
    <n v="0.18"/>
    <m/>
    <m/>
    <m/>
    <m/>
    <m/>
    <n v="0.23139999999999999"/>
    <m/>
    <n v="0.23139999999999999"/>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3-01T00:00:00"/>
    <s v="FY21"/>
    <s v="t"/>
    <n v="0.36199999999999999"/>
    <n v="6.7500000000000004E-2"/>
    <n v="0"/>
    <n v="0.42949999999999999"/>
    <n v="2"/>
    <n v="1"/>
    <n v="0"/>
    <n v="3"/>
    <n v="84.28"/>
    <n v="15.71"/>
    <n v="0"/>
    <s v="Consolidation"/>
    <s v="CO2e and Base Measure"/>
    <n v="100"/>
    <n v="100"/>
    <n v="0.43"/>
    <m/>
    <m/>
    <m/>
    <m/>
    <m/>
    <n v="0.55840000000000001"/>
    <m/>
    <n v="0.55840000000000001"/>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4-01T00:00:00"/>
    <s v="FY21"/>
    <s v="t"/>
    <n v="0"/>
    <n v="0"/>
    <n v="0.20399999999999999"/>
    <n v="0.20399999999999999"/>
    <n v="0"/>
    <n v="0"/>
    <n v="30"/>
    <n v="30"/>
    <n v="0"/>
    <n v="0"/>
    <n v="100"/>
    <s v="Consolidation"/>
    <s v="CO2e and Base Measure"/>
    <n v="100"/>
    <n v="100"/>
    <n v="0.2"/>
    <m/>
    <m/>
    <m/>
    <m/>
    <m/>
    <n v="0.26519999999999999"/>
    <m/>
    <n v="0.26519999999999999"/>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5-01T00:00:00"/>
    <s v="FY21"/>
    <s v="t"/>
    <n v="0"/>
    <n v="0"/>
    <n v="0.21079999999999999"/>
    <n v="0.21079999999999999"/>
    <n v="0"/>
    <n v="0"/>
    <n v="31"/>
    <n v="31"/>
    <n v="0"/>
    <n v="0"/>
    <n v="100"/>
    <s v="Consolidation"/>
    <s v="CO2e and Base Measure"/>
    <n v="100"/>
    <n v="100"/>
    <n v="0.21"/>
    <m/>
    <m/>
    <m/>
    <m/>
    <m/>
    <n v="0.27400000000000002"/>
    <m/>
    <n v="0.27400000000000002"/>
    <m/>
    <m/>
    <m/>
    <m/>
    <m/>
    <s v="AUD"/>
    <s v="13634007Waste - General [t] - Scope 3"/>
    <n v="13634007"/>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1-01-01T00:00:00"/>
    <s v="FY21"/>
    <s v="t"/>
    <n v="0"/>
    <n v="0"/>
    <n v="7.3000000000000001E-3"/>
    <n v="7.3000000000000001E-3"/>
    <n v="0"/>
    <n v="0"/>
    <n v="1"/>
    <n v="1"/>
    <n v="0"/>
    <n v="0"/>
    <n v="100"/>
    <s v="Consolidation"/>
    <s v="CO2e and Base Measure"/>
    <n v="100"/>
    <n v="100"/>
    <n v="0.01"/>
    <m/>
    <m/>
    <m/>
    <m/>
    <m/>
    <n v="9.4999999999999998E-3"/>
    <m/>
    <n v="9.4999999999999998E-3"/>
    <m/>
    <m/>
    <m/>
    <m/>
    <m/>
    <s v="AUD"/>
    <s v="13564530Waste - General [t] - Scope 3"/>
    <n v="13564530"/>
  </r>
  <r>
    <d v="2019-07-01T00:00:00"/>
    <d v="2021-06-30T00:00:00"/>
    <s v="Telstra"/>
    <s v="NETWORK"/>
    <s v="Network - InfraCo"/>
    <s v="NSW"/>
    <s v="Australia"/>
    <s v="Albury"/>
    <s v="ALBURY TE"/>
    <n v="423030314000"/>
    <s v="Waste"/>
    <x v="1"/>
    <x v="2"/>
    <s v="Account"/>
    <s v="CLEANAWAY General"/>
    <m/>
    <s v="44270_Landfill_General"/>
    <s v="General"/>
    <s v="Cleanaway"/>
    <m/>
    <d v="2020-12-01T00:00:00"/>
    <m/>
    <d v="2020-12-01T00:00:00"/>
    <s v="FY21"/>
    <s v="t"/>
    <n v="0"/>
    <n v="0.20250000000000001"/>
    <n v="0"/>
    <n v="0.20250000000000001"/>
    <n v="0"/>
    <n v="3"/>
    <n v="0"/>
    <n v="3"/>
    <n v="0"/>
    <n v="100"/>
    <n v="0"/>
    <s v="Consolidation"/>
    <s v="CO2e and Base Measure"/>
    <n v="100"/>
    <n v="100"/>
    <n v="0.2"/>
    <m/>
    <m/>
    <m/>
    <m/>
    <m/>
    <n v="0.26329999999999998"/>
    <m/>
    <n v="0.26329999999999998"/>
    <m/>
    <m/>
    <m/>
    <m/>
    <m/>
    <s v="AUD"/>
    <s v="13634008Waste - General [t] - Scope 3"/>
    <n v="13634008"/>
  </r>
  <r>
    <d v="2019-07-01T00:00:00"/>
    <d v="2021-06-30T00:00:00"/>
    <s v="Telstra"/>
    <s v="NETWORK"/>
    <s v="Network - InfraCo"/>
    <s v="NSW"/>
    <s v="Australia"/>
    <s v="Albury"/>
    <s v="ALBURY TE"/>
    <n v="423030314000"/>
    <s v="Waste"/>
    <x v="1"/>
    <x v="2"/>
    <s v="Account"/>
    <s v="CLEANAWAY General"/>
    <m/>
    <s v="44270_Landfill_General"/>
    <s v="General"/>
    <s v="Cleanaway"/>
    <m/>
    <d v="2020-12-01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008Waste - General [t] - Scope 3"/>
    <n v="13634008"/>
  </r>
  <r>
    <d v="2019-07-01T00:00:00"/>
    <d v="2021-06-30T00:00:00"/>
    <s v="Telstra"/>
    <s v="NETWORK"/>
    <s v="Network - InfraCo"/>
    <s v="NSW"/>
    <s v="Australia"/>
    <s v="Albury"/>
    <s v="ALBURY TE"/>
    <n v="423030314000"/>
    <s v="Waste"/>
    <x v="1"/>
    <x v="2"/>
    <s v="Account"/>
    <s v="CLEANAWAY General"/>
    <m/>
    <s v="44270_Landfill_General"/>
    <s v="General"/>
    <s v="Cleanaway"/>
    <m/>
    <d v="2020-12-01T00:00:00"/>
    <m/>
    <d v="2021-03-01T00:00:00"/>
    <s v="FY21"/>
    <s v="t"/>
    <n v="2.8000000000000001E-2"/>
    <n v="0"/>
    <n v="0"/>
    <n v="2.8000000000000001E-2"/>
    <n v="1"/>
    <n v="0"/>
    <n v="0"/>
    <n v="1"/>
    <n v="100"/>
    <n v="0"/>
    <n v="0"/>
    <s v="Consolidation"/>
    <s v="CO2e and Base Measure"/>
    <n v="100"/>
    <n v="100"/>
    <n v="0.03"/>
    <m/>
    <m/>
    <m/>
    <m/>
    <m/>
    <n v="3.6400000000000002E-2"/>
    <m/>
    <n v="3.6400000000000002E-2"/>
    <m/>
    <m/>
    <m/>
    <m/>
    <m/>
    <s v="AUD"/>
    <s v="13634008Waste - General [t] - Scope 3"/>
    <n v="13634008"/>
  </r>
  <r>
    <d v="2019-07-01T00:00:00"/>
    <d v="2021-06-30T00:00:00"/>
    <s v="Telstra"/>
    <s v="NETWORK"/>
    <s v="Network - InfraCo"/>
    <s v="NSW"/>
    <s v="Australia"/>
    <s v="Albury"/>
    <s v="ALBURY TE"/>
    <n v="423030314000"/>
    <s v="Waste"/>
    <x v="1"/>
    <x v="2"/>
    <s v="Account"/>
    <s v="CLEANAWAY General"/>
    <m/>
    <s v="44270_Landfill_General"/>
    <s v="General"/>
    <s v="Cleanaway"/>
    <m/>
    <d v="2020-12-01T00:00:00"/>
    <m/>
    <d v="2021-04-01T00:00:00"/>
    <s v="FY21"/>
    <s v="t"/>
    <n v="0"/>
    <n v="0"/>
    <n v="0.09"/>
    <n v="0.09"/>
    <n v="0"/>
    <n v="0"/>
    <n v="30"/>
    <n v="30"/>
    <n v="0"/>
    <n v="0"/>
    <n v="100"/>
    <s v="Consolidation"/>
    <s v="CO2e and Base Measure"/>
    <n v="100"/>
    <n v="100"/>
    <n v="0.09"/>
    <m/>
    <m/>
    <m/>
    <m/>
    <m/>
    <n v="0.11700000000000001"/>
    <m/>
    <n v="0.11700000000000001"/>
    <m/>
    <m/>
    <m/>
    <m/>
    <m/>
    <s v="AUD"/>
    <s v="13634008Waste - General [t] - Scope 3"/>
    <n v="13634008"/>
  </r>
  <r>
    <d v="2019-07-01T00:00:00"/>
    <d v="2021-06-30T00:00:00"/>
    <s v="Telstra"/>
    <s v="NETWORK"/>
    <s v="Network - InfraCo"/>
    <s v="NSW"/>
    <s v="Australia"/>
    <s v="Albury"/>
    <s v="ALBURY TE"/>
    <n v="423030314000"/>
    <s v="Waste"/>
    <x v="1"/>
    <x v="2"/>
    <s v="Account"/>
    <s v="CLEANAWAY General"/>
    <m/>
    <s v="44270_Landfill_General"/>
    <s v="General"/>
    <s v="Cleanaway"/>
    <m/>
    <d v="2020-12-01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4008Waste - General [t] - Scope 3"/>
    <n v="13634008"/>
  </r>
  <r>
    <d v="2019-07-01T00:00:00"/>
    <d v="2021-06-30T00:00:00"/>
    <s v="Telstra"/>
    <s v="NETWORK"/>
    <s v="Network - InfraCo"/>
    <s v="VIC"/>
    <s v="Australia"/>
    <s v="Mansfield"/>
    <s v="ALEXANDRA EXCHANGE"/>
    <n v="423030539900"/>
    <s v="Waste"/>
    <x v="1"/>
    <x v="4"/>
    <s v="Account"/>
    <s v="Remondis Asbestos"/>
    <m/>
    <s v="4230305399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794Waste - Construction and Demolition [t]"/>
    <n v="13564794"/>
  </r>
  <r>
    <d v="2019-07-01T00:00:00"/>
    <d v="2021-06-30T00:00:00"/>
    <s v="Telstra"/>
    <s v="NETWORK"/>
    <s v="Network - InfraCo"/>
    <s v="VIC"/>
    <s v="Australia"/>
    <s v="Mansfield"/>
    <s v="ALEXANDRA EXCHANGE"/>
    <n v="423030539900"/>
    <s v="Waste"/>
    <x v="1"/>
    <x v="4"/>
    <s v="Account"/>
    <s v="Remondis Asbestos"/>
    <m/>
    <s v="4230305399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794Waste - Construction and Demolition [t]"/>
    <n v="13564794"/>
  </r>
  <r>
    <d v="2019-07-01T00:00:00"/>
    <d v="2021-06-30T00:00:00"/>
    <s v="Telstra"/>
    <s v="NETWORK"/>
    <s v="Network - InfraCo"/>
    <s v="VIC"/>
    <s v="Australia"/>
    <s v="Mansfield"/>
    <s v="ALEXANDRA EXCHANGE"/>
    <n v="423030539900"/>
    <s v="Waste"/>
    <x v="1"/>
    <x v="2"/>
    <s v="Account"/>
    <s v="Remondis General Waste"/>
    <m/>
    <s v="423030539900_WGENERALW"/>
    <s v="GENERAL WASTE"/>
    <s v="Remondis"/>
    <m/>
    <m/>
    <d v="2020-11-01T00:00:00"/>
    <d v="2020-08-01T00:00:00"/>
    <s v="FY21"/>
    <s v="t"/>
    <n v="0"/>
    <n v="7.22E-2"/>
    <n v="0"/>
    <n v="7.22E-2"/>
    <n v="0"/>
    <n v="1"/>
    <n v="0"/>
    <n v="1"/>
    <n v="0"/>
    <n v="100"/>
    <n v="0"/>
    <s v="Consolidation"/>
    <s v="CO2e and Base Measure"/>
    <n v="100"/>
    <n v="100"/>
    <n v="7.0000000000000007E-2"/>
    <m/>
    <m/>
    <m/>
    <m/>
    <m/>
    <n v="9.3899999999999997E-2"/>
    <m/>
    <n v="9.3899999999999997E-2"/>
    <m/>
    <m/>
    <m/>
    <m/>
    <m/>
    <s v="AUD"/>
    <s v="13564795Waste - General [t] - Scope 3"/>
    <n v="13564795"/>
  </r>
  <r>
    <d v="2019-07-01T00:00:00"/>
    <d v="2021-06-30T00:00:00"/>
    <s v="Telstra"/>
    <s v="NETWORK"/>
    <s v="Network - InfraCo"/>
    <s v="VIC"/>
    <s v="Australia"/>
    <s v="Mansfield"/>
    <s v="ALEXANDRA EXCHANGE"/>
    <n v="423030539900"/>
    <s v="Waste"/>
    <x v="1"/>
    <x v="2"/>
    <s v="Account"/>
    <s v="Remondis General Waste"/>
    <m/>
    <s v="423030539900_WGENERALW"/>
    <s v="GENERAL WASTE"/>
    <s v="Remondis"/>
    <m/>
    <m/>
    <d v="2020-11-01T00:00:00"/>
    <d v="2020-10-01T00:00:00"/>
    <s v="FY21"/>
    <s v="t"/>
    <n v="0"/>
    <n v="7.22E-2"/>
    <n v="0"/>
    <n v="7.22E-2"/>
    <n v="0"/>
    <n v="1"/>
    <n v="0"/>
    <n v="1"/>
    <n v="0"/>
    <n v="100"/>
    <n v="0"/>
    <s v="Consolidation"/>
    <s v="CO2e and Base Measure"/>
    <n v="100"/>
    <n v="100"/>
    <n v="7.0000000000000007E-2"/>
    <m/>
    <m/>
    <m/>
    <m/>
    <m/>
    <n v="9.3899999999999997E-2"/>
    <m/>
    <n v="9.3899999999999997E-2"/>
    <m/>
    <m/>
    <m/>
    <m/>
    <m/>
    <s v="AUD"/>
    <s v="13564795Waste - General [t] - Scope 3"/>
    <n v="13564795"/>
  </r>
  <r>
    <d v="2019-07-01T00:00:00"/>
    <d v="2021-06-30T00:00:00"/>
    <s v="Telstra"/>
    <s v="NETWORK"/>
    <s v="Network - InfraCo"/>
    <s v="VIC"/>
    <s v="Australia"/>
    <s v="Mansfield"/>
    <s v="ALEXANDRA EXCHANGE"/>
    <n v="423030539900"/>
    <s v="Waste"/>
    <x v="1"/>
    <x v="2"/>
    <s v="Account"/>
    <s v="Remondis General Waste"/>
    <m/>
    <s v="423030539900_WGENERALW"/>
    <s v="GENERAL WASTE"/>
    <s v="Remondis"/>
    <m/>
    <m/>
    <d v="2020-11-01T00:00:00"/>
    <d v="2020-11-01T00:00:00"/>
    <s v="FY21"/>
    <s v="t"/>
    <n v="0"/>
    <n v="0"/>
    <n v="1.6000000000000001E-3"/>
    <n v="1.6000000000000001E-3"/>
    <n v="0"/>
    <n v="0"/>
    <n v="1"/>
    <n v="1"/>
    <n v="0"/>
    <n v="0"/>
    <n v="100"/>
    <s v="Consolidation"/>
    <s v="CO2e and Base Measure"/>
    <n v="100"/>
    <n v="100"/>
    <n v="0"/>
    <m/>
    <m/>
    <m/>
    <m/>
    <m/>
    <n v="2.0999999999999999E-3"/>
    <m/>
    <n v="2.0999999999999999E-3"/>
    <m/>
    <m/>
    <m/>
    <m/>
    <m/>
    <s v="AUD"/>
    <s v="13564795Waste - General [t] - Scope 3"/>
    <n v="13564795"/>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07-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08-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09-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10-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11-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12-01T00:00:00"/>
    <s v="FY21"/>
    <s v="t"/>
    <n v="0"/>
    <n v="0.126"/>
    <n v="0"/>
    <n v="0.126"/>
    <n v="0"/>
    <n v="1"/>
    <n v="0"/>
    <n v="1"/>
    <n v="0"/>
    <n v="100"/>
    <n v="0"/>
    <s v="Consolidation"/>
    <s v="CO2e and Base Measure"/>
    <n v="100"/>
    <n v="100"/>
    <n v="0.13"/>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1-01-01T00:00:00"/>
    <s v="FY21"/>
    <s v="t"/>
    <n v="0"/>
    <n v="0"/>
    <n v="8.0000000000000002E-3"/>
    <n v="8.0000000000000002E-3"/>
    <n v="0"/>
    <n v="0"/>
    <n v="1"/>
    <n v="1"/>
    <n v="0"/>
    <n v="0"/>
    <n v="100"/>
    <s v="Consolidation"/>
    <s v="CO2e and Base Measure"/>
    <n v="100"/>
    <n v="100"/>
    <n v="0.01"/>
    <m/>
    <m/>
    <m/>
    <m/>
    <m/>
    <m/>
    <n v="0"/>
    <m/>
    <m/>
    <m/>
    <m/>
    <m/>
    <m/>
    <s v="AUD"/>
    <s v="13564746Waste Recycled - Cardboard [t]"/>
    <n v="13564746"/>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07-01T00:00:00"/>
    <s v="FY21"/>
    <s v="t"/>
    <n v="0"/>
    <n v="0.39"/>
    <n v="0"/>
    <n v="0.39"/>
    <n v="0"/>
    <n v="4"/>
    <n v="0"/>
    <n v="4"/>
    <n v="0"/>
    <n v="100"/>
    <n v="0"/>
    <s v="Consolidation"/>
    <s v="CO2e and Base Measure"/>
    <n v="100"/>
    <n v="100"/>
    <n v="0.39"/>
    <m/>
    <m/>
    <m/>
    <m/>
    <m/>
    <n v="0.50700000000000001"/>
    <m/>
    <n v="0.50700000000000001"/>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09-01T00:00:00"/>
    <s v="FY21"/>
    <s v="t"/>
    <n v="0"/>
    <n v="0.48749999999999999"/>
    <n v="0"/>
    <n v="0.48749999999999999"/>
    <n v="0"/>
    <n v="5"/>
    <n v="0"/>
    <n v="5"/>
    <n v="0"/>
    <n v="100"/>
    <n v="0"/>
    <s v="Consolidation"/>
    <s v="CO2e and Base Measure"/>
    <n v="100"/>
    <n v="100"/>
    <n v="0.49"/>
    <m/>
    <m/>
    <m/>
    <m/>
    <m/>
    <n v="0.63380000000000003"/>
    <m/>
    <n v="0.63380000000000003"/>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11-01T00:00:00"/>
    <s v="FY21"/>
    <s v="t"/>
    <n v="0"/>
    <n v="0.39"/>
    <n v="0"/>
    <n v="0.39"/>
    <n v="0"/>
    <n v="4"/>
    <n v="0"/>
    <n v="4"/>
    <n v="0"/>
    <n v="100"/>
    <n v="0"/>
    <s v="Consolidation"/>
    <s v="CO2e and Base Measure"/>
    <n v="100"/>
    <n v="100"/>
    <n v="0.39"/>
    <m/>
    <m/>
    <m/>
    <m/>
    <m/>
    <n v="0.50700000000000001"/>
    <m/>
    <n v="0.50700000000000001"/>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747Waste - General [t] - Scope 3"/>
    <n v="1356474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0-11-01T00:00:00"/>
    <s v="FY21"/>
    <s v="t"/>
    <n v="2.1000000000000001E-2"/>
    <n v="0"/>
    <n v="0"/>
    <n v="2.1000000000000001E-2"/>
    <n v="1"/>
    <n v="0"/>
    <n v="0"/>
    <n v="1"/>
    <n v="100"/>
    <n v="0"/>
    <n v="0"/>
    <s v="Consolidation"/>
    <s v="CO2e and Base Measure"/>
    <n v="100"/>
    <n v="100"/>
    <n v="0.02"/>
    <m/>
    <m/>
    <m/>
    <m/>
    <m/>
    <n v="2.7300000000000001E-2"/>
    <m/>
    <n v="2.7300000000000001E-2"/>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0-12-01T00:00:00"/>
    <s v="FY21"/>
    <s v="t"/>
    <n v="0.193"/>
    <n v="0"/>
    <n v="0"/>
    <n v="0.193"/>
    <n v="3"/>
    <n v="0"/>
    <n v="0"/>
    <n v="3"/>
    <n v="100"/>
    <n v="0"/>
    <n v="0"/>
    <s v="Consolidation"/>
    <s v="CO2e and Base Measure"/>
    <n v="100"/>
    <n v="100"/>
    <n v="0.19"/>
    <m/>
    <m/>
    <m/>
    <m/>
    <m/>
    <n v="0.25090000000000001"/>
    <m/>
    <n v="0.25090000000000001"/>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1-01T00:00:00"/>
    <s v="FY21"/>
    <s v="t"/>
    <n v="0.26100000000000001"/>
    <n v="0"/>
    <n v="0"/>
    <n v="0.26100000000000001"/>
    <n v="4"/>
    <n v="0"/>
    <n v="0"/>
    <n v="4"/>
    <n v="100"/>
    <n v="0"/>
    <n v="0"/>
    <s v="Consolidation"/>
    <s v="CO2e and Base Measure"/>
    <n v="100"/>
    <n v="100"/>
    <n v="0.26"/>
    <m/>
    <m/>
    <m/>
    <m/>
    <m/>
    <n v="0.33929999999999999"/>
    <m/>
    <n v="0.33929999999999999"/>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2-01T00:00:00"/>
    <s v="FY21"/>
    <s v="t"/>
    <n v="0.25800000000000001"/>
    <n v="0.13500000000000001"/>
    <n v="0"/>
    <n v="0.39300000000000002"/>
    <n v="4"/>
    <n v="1"/>
    <n v="0"/>
    <n v="5"/>
    <n v="65.64"/>
    <n v="34.35"/>
    <n v="0"/>
    <s v="Consolidation"/>
    <s v="CO2e and Base Measure"/>
    <n v="100"/>
    <n v="100"/>
    <n v="0.39"/>
    <m/>
    <m/>
    <m/>
    <m/>
    <m/>
    <n v="0.51090000000000002"/>
    <m/>
    <n v="0.51090000000000002"/>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3-01T00:00:00"/>
    <s v="FY21"/>
    <s v="t"/>
    <n v="0.436"/>
    <n v="0.13500000000000001"/>
    <n v="0"/>
    <n v="0.57099999999999995"/>
    <n v="4"/>
    <n v="1"/>
    <n v="0"/>
    <n v="5"/>
    <n v="76.349999999999994"/>
    <n v="23.64"/>
    <n v="0"/>
    <s v="Consolidation"/>
    <s v="CO2e and Base Measure"/>
    <n v="100"/>
    <n v="100"/>
    <n v="0.56999999999999995"/>
    <m/>
    <m/>
    <m/>
    <m/>
    <m/>
    <n v="0.74229999999999996"/>
    <m/>
    <n v="0.74229999999999996"/>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5-01T00:00:00"/>
    <s v="FY21"/>
    <s v="t"/>
    <n v="0"/>
    <n v="0"/>
    <n v="0.29759999999999998"/>
    <n v="0.29759999999999998"/>
    <n v="0"/>
    <n v="0"/>
    <n v="31"/>
    <n v="31"/>
    <n v="0"/>
    <n v="0"/>
    <n v="100"/>
    <s v="Consolidation"/>
    <s v="CO2e and Base Measure"/>
    <n v="100"/>
    <n v="100"/>
    <n v="0.3"/>
    <m/>
    <m/>
    <m/>
    <m/>
    <m/>
    <n v="0.38690000000000002"/>
    <m/>
    <n v="0.38690000000000002"/>
    <m/>
    <m/>
    <m/>
    <m/>
    <m/>
    <s v="AUD"/>
    <s v="13633967Waste - General [t] - Scope 3"/>
    <n v="13633967"/>
  </r>
  <r>
    <d v="2019-07-01T00:00:00"/>
    <d v="2021-06-30T00:00:00"/>
    <s v="Telstra"/>
    <s v="NETWORK"/>
    <s v="Network - InfraCo"/>
    <s v="NT"/>
    <s v="Australia"/>
    <s v="Alice Springs"/>
    <s v="ALICE SPRINGS EXCHANGE"/>
    <n v="423030472700"/>
    <s v="Recycled Waste"/>
    <x v="0"/>
    <x v="0"/>
    <s v="Account"/>
    <s v="CLEANAWAY Cardboard"/>
    <m/>
    <s v="11874_Diversion_Cardboard"/>
    <s v="Cardboard"/>
    <s v="Cleanaway"/>
    <m/>
    <d v="2021-03-26T00:00:00"/>
    <m/>
    <d v="2021-03-01T00:00:00"/>
    <s v="FY21"/>
    <s v="t"/>
    <n v="0.13900000000000001"/>
    <n v="0"/>
    <n v="0"/>
    <n v="0.13900000000000001"/>
    <n v="1"/>
    <n v="0"/>
    <n v="0"/>
    <n v="1"/>
    <n v="100"/>
    <n v="0"/>
    <n v="0"/>
    <s v="Consolidation"/>
    <s v="CO2e and Base Measure"/>
    <n v="100"/>
    <n v="100"/>
    <n v="0.14000000000000001"/>
    <m/>
    <m/>
    <m/>
    <m/>
    <m/>
    <m/>
    <m/>
    <m/>
    <m/>
    <m/>
    <m/>
    <m/>
    <m/>
    <s v="AUD"/>
    <s v="13641209Waste Recycled - Paper and Cardboard [t]"/>
    <n v="13641209"/>
  </r>
  <r>
    <d v="2019-07-01T00:00:00"/>
    <d v="2021-06-30T00:00:00"/>
    <s v="Telstra"/>
    <s v="NETWORK"/>
    <s v="Network - InfraCo"/>
    <s v="NT"/>
    <s v="Australia"/>
    <s v="Alice Springs"/>
    <s v="ALICE SPRINGS EXCHANGE"/>
    <n v="423030472700"/>
    <s v="Recycled Waste"/>
    <x v="0"/>
    <x v="0"/>
    <s v="Account"/>
    <s v="CLEANAWAY Cardboard"/>
    <m/>
    <s v="11874_Diversion_Cardboard"/>
    <s v="Cardboard"/>
    <s v="Cleanaway"/>
    <m/>
    <d v="2021-03-26T00:00:00"/>
    <m/>
    <d v="2021-04-01T00:00:00"/>
    <s v="FY21"/>
    <s v="t"/>
    <n v="0"/>
    <n v="0"/>
    <n v="0.13800000000000001"/>
    <n v="0.13800000000000001"/>
    <n v="0"/>
    <n v="0"/>
    <n v="30"/>
    <n v="30"/>
    <n v="0"/>
    <n v="0"/>
    <n v="100"/>
    <s v="Consolidation"/>
    <s v="CO2e and Base Measure"/>
    <n v="100"/>
    <n v="100"/>
    <n v="0.14000000000000001"/>
    <m/>
    <m/>
    <m/>
    <m/>
    <m/>
    <m/>
    <m/>
    <m/>
    <m/>
    <m/>
    <m/>
    <m/>
    <m/>
    <s v="AUD"/>
    <s v="13641209Waste Recycled - Paper and Cardboard [t]"/>
    <n v="13641209"/>
  </r>
  <r>
    <d v="2019-07-01T00:00:00"/>
    <d v="2021-06-30T00:00:00"/>
    <s v="Telstra"/>
    <s v="NETWORK"/>
    <s v="Network - InfraCo"/>
    <s v="NT"/>
    <s v="Australia"/>
    <s v="Alice Springs"/>
    <s v="ALICE SPRINGS EXCHANGE"/>
    <n v="423030472700"/>
    <s v="Recycled Waste"/>
    <x v="0"/>
    <x v="0"/>
    <s v="Account"/>
    <s v="CLEANAWAY Cardboard"/>
    <m/>
    <s v="11874_Diversion_Cardboard"/>
    <s v="Cardboard"/>
    <s v="Cleanaway"/>
    <m/>
    <d v="2021-03-26T00:00:00"/>
    <m/>
    <d v="2021-05-01T00:00:00"/>
    <s v="FY21"/>
    <s v="t"/>
    <n v="0"/>
    <n v="0"/>
    <n v="0.1426"/>
    <n v="0.1426"/>
    <n v="0"/>
    <n v="0"/>
    <n v="31"/>
    <n v="31"/>
    <n v="0"/>
    <n v="0"/>
    <n v="100"/>
    <s v="Consolidation"/>
    <s v="CO2e and Base Measure"/>
    <n v="100"/>
    <n v="100"/>
    <n v="0.14000000000000001"/>
    <m/>
    <m/>
    <m/>
    <m/>
    <m/>
    <m/>
    <m/>
    <m/>
    <m/>
    <m/>
    <m/>
    <m/>
    <m/>
    <s v="AUD"/>
    <s v="13641209Waste Recycled - Paper and Cardboard [t]"/>
    <n v="1364120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07-01T00:00:00"/>
    <s v="FY21"/>
    <s v="t"/>
    <n v="0"/>
    <n v="7.8E-2"/>
    <n v="0"/>
    <n v="7.8E-2"/>
    <n v="0"/>
    <n v="5"/>
    <n v="0"/>
    <n v="5"/>
    <n v="0"/>
    <n v="100"/>
    <n v="0"/>
    <s v="Consolidation"/>
    <s v="CO2e and Base Measure"/>
    <n v="100"/>
    <n v="100"/>
    <n v="0.08"/>
    <m/>
    <m/>
    <m/>
    <m/>
    <m/>
    <n v="0.1014"/>
    <m/>
    <n v="0.1014"/>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09-01T00:00:00"/>
    <s v="FY21"/>
    <s v="t"/>
    <n v="0"/>
    <n v="6.2399999999999997E-2"/>
    <n v="0"/>
    <n v="6.2399999999999997E-2"/>
    <n v="0"/>
    <n v="4"/>
    <n v="0"/>
    <n v="4"/>
    <n v="0"/>
    <n v="100"/>
    <n v="0"/>
    <s v="Consolidation"/>
    <s v="CO2e and Base Measure"/>
    <n v="100"/>
    <n v="100"/>
    <n v="0.06"/>
    <m/>
    <m/>
    <m/>
    <m/>
    <m/>
    <n v="8.1100000000000005E-2"/>
    <m/>
    <n v="8.1100000000000005E-2"/>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10-01T00:00:00"/>
    <s v="FY21"/>
    <s v="t"/>
    <n v="0"/>
    <n v="7.8E-2"/>
    <n v="0"/>
    <n v="7.8E-2"/>
    <n v="0"/>
    <n v="5"/>
    <n v="0"/>
    <n v="5"/>
    <n v="0"/>
    <n v="100"/>
    <n v="0"/>
    <s v="Consolidation"/>
    <s v="CO2e and Base Measure"/>
    <n v="100"/>
    <n v="100"/>
    <n v="0.08"/>
    <m/>
    <m/>
    <m/>
    <m/>
    <m/>
    <n v="0.1014"/>
    <m/>
    <n v="0.1014"/>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12-01T00:00:00"/>
    <s v="FY21"/>
    <s v="t"/>
    <n v="0"/>
    <n v="0"/>
    <n v="2.2000000000000001E-3"/>
    <n v="2.2000000000000001E-3"/>
    <n v="0"/>
    <n v="0"/>
    <n v="1"/>
    <n v="1"/>
    <n v="0"/>
    <n v="0"/>
    <n v="100"/>
    <s v="Consolidation"/>
    <s v="CO2e and Base Measure"/>
    <n v="100"/>
    <n v="100"/>
    <n v="0"/>
    <m/>
    <m/>
    <m/>
    <m/>
    <m/>
    <n v="2.8999999999999998E-3"/>
    <m/>
    <n v="2.8999999999999998E-3"/>
    <m/>
    <m/>
    <m/>
    <m/>
    <m/>
    <s v="AUD"/>
    <s v="13564819Waste - General [t] - Scope 3"/>
    <n v="1356481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07-01T00:00:00"/>
    <s v="FY21"/>
    <s v="t"/>
    <n v="0.01"/>
    <n v="0"/>
    <n v="0"/>
    <n v="0.01"/>
    <n v="1"/>
    <n v="0"/>
    <n v="0"/>
    <n v="1"/>
    <n v="100"/>
    <n v="0"/>
    <n v="0"/>
    <s v="Consolidation"/>
    <s v="CO2e and Base Measure"/>
    <n v="100"/>
    <n v="100"/>
    <n v="0.01"/>
    <m/>
    <m/>
    <m/>
    <m/>
    <m/>
    <n v="1.2999999999999999E-2"/>
    <m/>
    <n v="1.2999999999999999E-2"/>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08-01T00:00:00"/>
    <s v="FY21"/>
    <s v="t"/>
    <n v="7.0000000000000001E-3"/>
    <n v="7.22E-2"/>
    <n v="0"/>
    <n v="7.9200000000000007E-2"/>
    <n v="1"/>
    <n v="1"/>
    <n v="0"/>
    <n v="2"/>
    <n v="8.83"/>
    <n v="91.16"/>
    <n v="0"/>
    <s v="Consolidation"/>
    <s v="CO2e and Base Measure"/>
    <n v="100"/>
    <n v="100"/>
    <n v="0.08"/>
    <m/>
    <m/>
    <m/>
    <m/>
    <m/>
    <n v="0.10299999999999999"/>
    <m/>
    <n v="0.10299999999999999"/>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09-01T00:00:00"/>
    <s v="FY21"/>
    <s v="t"/>
    <n v="1.0189999999999999"/>
    <n v="7.22E-2"/>
    <n v="0"/>
    <n v="1.0911999999999999"/>
    <n v="3"/>
    <n v="1"/>
    <n v="0"/>
    <n v="4"/>
    <n v="93.38"/>
    <n v="6.61"/>
    <n v="0"/>
    <s v="Consolidation"/>
    <s v="CO2e and Base Measure"/>
    <n v="100"/>
    <n v="100"/>
    <n v="1.0900000000000001"/>
    <m/>
    <m/>
    <m/>
    <m/>
    <m/>
    <n v="1.4186000000000001"/>
    <m/>
    <n v="1.4186000000000001"/>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10-01T00:00:00"/>
    <s v="FY21"/>
    <s v="t"/>
    <n v="1.4E-2"/>
    <n v="0"/>
    <n v="0"/>
    <n v="1.4E-2"/>
    <n v="1"/>
    <n v="0"/>
    <n v="0"/>
    <n v="1"/>
    <n v="100"/>
    <n v="0"/>
    <n v="0"/>
    <s v="Consolidation"/>
    <s v="CO2e and Base Measure"/>
    <n v="100"/>
    <n v="100"/>
    <n v="0.01"/>
    <m/>
    <m/>
    <m/>
    <m/>
    <m/>
    <n v="1.8200000000000001E-2"/>
    <m/>
    <n v="1.8200000000000001E-2"/>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11-01T00:00:00"/>
    <s v="FY21"/>
    <s v="t"/>
    <n v="9.6000000000000002E-2"/>
    <n v="0"/>
    <n v="0"/>
    <n v="9.6000000000000002E-2"/>
    <n v="1"/>
    <n v="0"/>
    <n v="0"/>
    <n v="1"/>
    <n v="100"/>
    <n v="0"/>
    <n v="0"/>
    <s v="Consolidation"/>
    <s v="CO2e and Base Measure"/>
    <n v="100"/>
    <n v="100"/>
    <n v="0.1"/>
    <m/>
    <m/>
    <m/>
    <m/>
    <m/>
    <n v="0.12479999999999999"/>
    <m/>
    <n v="0.12479999999999999"/>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5339Waste - General [t] - Scope 3"/>
    <n v="1356533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1-01T00:00:00"/>
    <s v="FY21"/>
    <s v="t"/>
    <n v="0"/>
    <n v="5.9400000000000001E-2"/>
    <n v="0"/>
    <n v="5.9400000000000001E-2"/>
    <n v="0"/>
    <n v="2"/>
    <n v="0"/>
    <n v="2"/>
    <n v="0"/>
    <n v="100"/>
    <n v="0"/>
    <s v="Consolidation"/>
    <s v="CO2e and Base Measure"/>
    <n v="100"/>
    <n v="100"/>
    <n v="0.06"/>
    <m/>
    <m/>
    <m/>
    <m/>
    <m/>
    <n v="7.7200000000000005E-2"/>
    <m/>
    <n v="7.7200000000000005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2-01T00:00:00"/>
    <s v="FY21"/>
    <s v="t"/>
    <n v="0"/>
    <n v="5.9400000000000001E-2"/>
    <n v="0"/>
    <n v="5.9400000000000001E-2"/>
    <n v="0"/>
    <n v="2"/>
    <n v="0"/>
    <n v="2"/>
    <n v="0"/>
    <n v="100"/>
    <n v="0"/>
    <s v="Consolidation"/>
    <s v="CO2e and Base Measure"/>
    <n v="100"/>
    <n v="100"/>
    <n v="0.06"/>
    <m/>
    <m/>
    <m/>
    <m/>
    <m/>
    <n v="7.7200000000000005E-2"/>
    <m/>
    <n v="7.7200000000000005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3-01T00:00:00"/>
    <s v="FY21"/>
    <s v="t"/>
    <n v="0"/>
    <n v="5.9400000000000001E-2"/>
    <n v="0"/>
    <n v="5.9400000000000001E-2"/>
    <n v="0"/>
    <n v="2"/>
    <n v="0"/>
    <n v="2"/>
    <n v="0"/>
    <n v="100"/>
    <n v="0"/>
    <s v="Consolidation"/>
    <s v="CO2e and Base Measure"/>
    <n v="100"/>
    <n v="100"/>
    <n v="0.06"/>
    <m/>
    <m/>
    <m/>
    <m/>
    <m/>
    <n v="7.7200000000000005E-2"/>
    <m/>
    <n v="7.7200000000000005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009Waste - General [t] - Scope 3"/>
    <n v="13634009"/>
  </r>
  <r>
    <d v="2019-07-01T00:00:00"/>
    <d v="2021-06-30T00:00:00"/>
    <s v="Telstra"/>
    <s v="NETWORK"/>
    <s v="Network - InfraCo"/>
    <s v="VIC"/>
    <s v="Australia"/>
    <s v="Ararat"/>
    <s v="ARARAT EXCHANGE"/>
    <n v="423030695500"/>
    <s v="Waste"/>
    <x v="1"/>
    <x v="2"/>
    <s v="Account"/>
    <s v="Remondis General Waste"/>
    <m/>
    <s v="423030695500_WGENERALW"/>
    <s v="GENERAL WASTE"/>
    <s v="Remondis"/>
    <m/>
    <m/>
    <d v="2020-11-01T00:00:00"/>
    <d v="2020-08-01T00:00:00"/>
    <s v="FY21"/>
    <s v="t"/>
    <n v="0"/>
    <n v="0.19500000000000001"/>
    <n v="0"/>
    <n v="0.19500000000000001"/>
    <n v="0"/>
    <n v="1"/>
    <n v="0"/>
    <n v="1"/>
    <n v="0"/>
    <n v="100"/>
    <n v="0"/>
    <s v="Consolidation"/>
    <s v="CO2e and Base Measure"/>
    <n v="100"/>
    <n v="100"/>
    <n v="0.2"/>
    <m/>
    <m/>
    <m/>
    <m/>
    <m/>
    <n v="0.2535"/>
    <m/>
    <n v="0.2535"/>
    <m/>
    <m/>
    <m/>
    <m/>
    <m/>
    <s v="AUD"/>
    <s v="13565111Waste - General [t] - Scope 3"/>
    <n v="13565111"/>
  </r>
  <r>
    <d v="2019-07-01T00:00:00"/>
    <d v="2021-06-30T00:00:00"/>
    <s v="Telstra"/>
    <s v="NETWORK"/>
    <s v="Network - InfraCo"/>
    <s v="VIC"/>
    <s v="Australia"/>
    <s v="Ararat"/>
    <s v="ARARAT EXCHANGE"/>
    <n v="423030695500"/>
    <s v="Waste"/>
    <x v="1"/>
    <x v="2"/>
    <s v="Account"/>
    <s v="Remondis General Waste"/>
    <m/>
    <s v="423030695500_WGENERALW"/>
    <s v="GENERAL WASTE"/>
    <s v="Remondis"/>
    <m/>
    <m/>
    <d v="2020-11-01T00:00:00"/>
    <d v="2020-10-01T00:00:00"/>
    <s v="FY21"/>
    <s v="t"/>
    <n v="0"/>
    <n v="0.19500000000000001"/>
    <n v="0"/>
    <n v="0.19500000000000001"/>
    <n v="0"/>
    <n v="1"/>
    <n v="0"/>
    <n v="1"/>
    <n v="0"/>
    <n v="100"/>
    <n v="0"/>
    <s v="Consolidation"/>
    <s v="CO2e and Base Measure"/>
    <n v="100"/>
    <n v="100"/>
    <n v="0.2"/>
    <m/>
    <m/>
    <m/>
    <m/>
    <m/>
    <n v="0.2535"/>
    <m/>
    <n v="0.2535"/>
    <m/>
    <m/>
    <m/>
    <m/>
    <m/>
    <s v="AUD"/>
    <s v="13565111Waste - General [t] - Scope 3"/>
    <n v="13565111"/>
  </r>
  <r>
    <d v="2019-07-01T00:00:00"/>
    <d v="2021-06-30T00:00:00"/>
    <s v="Telstra"/>
    <s v="NETWORK"/>
    <s v="Network - InfraCo"/>
    <s v="VIC"/>
    <s v="Australia"/>
    <s v="Ararat"/>
    <s v="ARARAT EXCHANGE"/>
    <n v="423030695500"/>
    <s v="Waste"/>
    <x v="1"/>
    <x v="2"/>
    <s v="Account"/>
    <s v="Remondis General Waste"/>
    <m/>
    <s v="423030695500_WGENERALW"/>
    <s v="GENERAL WASTE"/>
    <s v="Remondis"/>
    <m/>
    <m/>
    <d v="2020-11-01T00:00:00"/>
    <d v="2020-11-01T00:00:00"/>
    <s v="FY21"/>
    <s v="t"/>
    <n v="0"/>
    <n v="0"/>
    <n v="3.8E-3"/>
    <n v="3.8E-3"/>
    <n v="0"/>
    <n v="0"/>
    <n v="1"/>
    <n v="1"/>
    <n v="0"/>
    <n v="0"/>
    <n v="100"/>
    <s v="Consolidation"/>
    <s v="CO2e and Base Measure"/>
    <n v="100"/>
    <n v="100"/>
    <n v="0"/>
    <m/>
    <m/>
    <m/>
    <m/>
    <m/>
    <n v="4.8999999999999998E-3"/>
    <m/>
    <n v="4.8999999999999998E-3"/>
    <m/>
    <m/>
    <m/>
    <m/>
    <m/>
    <s v="AUD"/>
    <s v="13565111Waste - General [t] - Scope 3"/>
    <n v="13565111"/>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4Hazardous Waste [t]"/>
    <n v="13633424"/>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13Waste - General [t] - Scope 3"/>
    <n v="13634413"/>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2-01T00:00:00"/>
    <s v="FY21"/>
    <s v="t"/>
    <n v="0"/>
    <n v="0"/>
    <n v="0.126"/>
    <n v="0.126"/>
    <n v="0"/>
    <n v="0"/>
    <n v="28"/>
    <n v="28"/>
    <n v="0"/>
    <n v="0"/>
    <n v="100"/>
    <s v="Consolidation"/>
    <s v="CO2e and Base Measure"/>
    <n v="100"/>
    <n v="100"/>
    <n v="0.13"/>
    <m/>
    <m/>
    <m/>
    <m/>
    <m/>
    <n v="0.1638"/>
    <m/>
    <n v="0.1638"/>
    <m/>
    <m/>
    <m/>
    <m/>
    <m/>
    <s v="AUD"/>
    <s v="13634413Waste - General [t] - Scope 3"/>
    <n v="13634413"/>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4413Waste - General [t] - Scope 3"/>
    <n v="13634413"/>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413Waste - General [t] - Scope 3"/>
    <n v="13634413"/>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413Waste - General [t] - Scope 3"/>
    <n v="13634413"/>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0-07-01T00:00:00"/>
    <s v="FY21"/>
    <s v="t"/>
    <n v="6.7500000000000004E-2"/>
    <n v="0"/>
    <n v="0"/>
    <n v="6.7500000000000004E-2"/>
    <n v="2"/>
    <n v="0"/>
    <n v="0"/>
    <n v="2"/>
    <n v="100"/>
    <n v="0"/>
    <n v="0"/>
    <s v="Consolidation"/>
    <s v="CO2e and Base Measure"/>
    <n v="100"/>
    <n v="100"/>
    <n v="7.0000000000000007E-2"/>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0-10-01T00:00:00"/>
    <s v="FY21"/>
    <s v="t"/>
    <n v="6.7500000000000004E-2"/>
    <n v="0"/>
    <n v="0"/>
    <n v="6.7500000000000004E-2"/>
    <n v="2"/>
    <n v="0"/>
    <n v="0"/>
    <n v="2"/>
    <n v="100"/>
    <n v="0"/>
    <n v="0"/>
    <s v="Consolidation"/>
    <s v="CO2e and Base Measure"/>
    <n v="100"/>
    <n v="100"/>
    <n v="7.0000000000000007E-2"/>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0-11-01T00:00:00"/>
    <s v="FY21"/>
    <s v="t"/>
    <n v="6.7500000000000004E-2"/>
    <n v="0"/>
    <n v="0"/>
    <n v="6.7500000000000004E-2"/>
    <n v="2"/>
    <n v="0"/>
    <n v="0"/>
    <n v="2"/>
    <n v="100"/>
    <n v="0"/>
    <n v="0"/>
    <s v="Consolidation"/>
    <s v="CO2e and Base Measure"/>
    <n v="100"/>
    <n v="100"/>
    <n v="7.0000000000000007E-2"/>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0-12-01T00:00:00"/>
    <s v="FY21"/>
    <s v="t"/>
    <n v="6.7500000000000004E-2"/>
    <n v="0"/>
    <n v="0"/>
    <n v="6.7500000000000004E-2"/>
    <n v="2"/>
    <n v="0"/>
    <n v="0"/>
    <n v="2"/>
    <n v="100"/>
    <n v="0"/>
    <n v="0"/>
    <s v="Consolidation"/>
    <s v="CO2e and Base Measure"/>
    <n v="100"/>
    <n v="100"/>
    <n v="7.0000000000000007E-2"/>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1-01T00:00:00"/>
    <s v="FY21"/>
    <s v="t"/>
    <n v="0"/>
    <n v="0"/>
    <n v="4.9599999999999998E-2"/>
    <n v="4.9599999999999998E-2"/>
    <n v="0"/>
    <n v="0"/>
    <n v="31"/>
    <n v="31"/>
    <n v="0"/>
    <n v="0"/>
    <n v="100"/>
    <s v="Consolidation"/>
    <s v="CO2e and Base Measure"/>
    <n v="100"/>
    <n v="100"/>
    <n v="0.05"/>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2-01T00:00:00"/>
    <s v="FY21"/>
    <s v="t"/>
    <n v="0"/>
    <n v="0"/>
    <n v="4.48E-2"/>
    <n v="4.48E-2"/>
    <n v="0"/>
    <n v="0"/>
    <n v="28"/>
    <n v="28"/>
    <n v="0"/>
    <n v="0"/>
    <n v="100"/>
    <s v="Consolidation"/>
    <s v="CO2e and Base Measure"/>
    <n v="100"/>
    <n v="100"/>
    <n v="0.04"/>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3-01T00:00:00"/>
    <s v="FY21"/>
    <s v="t"/>
    <n v="0"/>
    <n v="0"/>
    <n v="4.9599999999999998E-2"/>
    <n v="4.9599999999999998E-2"/>
    <n v="0"/>
    <n v="0"/>
    <n v="31"/>
    <n v="31"/>
    <n v="0"/>
    <n v="0"/>
    <n v="100"/>
    <s v="Consolidation"/>
    <s v="CO2e and Base Measure"/>
    <n v="100"/>
    <n v="100"/>
    <n v="0.05"/>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4-01T00:00:00"/>
    <s v="FY21"/>
    <s v="t"/>
    <n v="0"/>
    <n v="0"/>
    <n v="4.8000000000000001E-2"/>
    <n v="4.8000000000000001E-2"/>
    <n v="0"/>
    <n v="0"/>
    <n v="30"/>
    <n v="30"/>
    <n v="0"/>
    <n v="0"/>
    <n v="100"/>
    <s v="Consolidation"/>
    <s v="CO2e and Base Measure"/>
    <n v="100"/>
    <n v="100"/>
    <n v="0.05"/>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5-01T00:00:00"/>
    <s v="FY21"/>
    <s v="t"/>
    <n v="0"/>
    <n v="0"/>
    <n v="4.9599999999999998E-2"/>
    <n v="4.9599999999999998E-2"/>
    <n v="0"/>
    <n v="0"/>
    <n v="31"/>
    <n v="31"/>
    <n v="0"/>
    <n v="0"/>
    <n v="100"/>
    <s v="Consolidation"/>
    <s v="CO2e and Base Measure"/>
    <n v="100"/>
    <n v="100"/>
    <n v="0.05"/>
    <m/>
    <m/>
    <m/>
    <m/>
    <m/>
    <m/>
    <m/>
    <m/>
    <m/>
    <m/>
    <m/>
    <m/>
    <m/>
    <s v="AUD"/>
    <s v="13566461Waste Recycled - Paper and Cardboard [t]"/>
    <n v="13566461"/>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10-01T00:00:00"/>
    <s v="FY21"/>
    <s v="t"/>
    <n v="0"/>
    <n v="0.189"/>
    <n v="0"/>
    <n v="0.189"/>
    <n v="0"/>
    <n v="3"/>
    <n v="0"/>
    <n v="3"/>
    <n v="0"/>
    <n v="100"/>
    <n v="0"/>
    <s v="Consolidation"/>
    <s v="CO2e and Base Measure"/>
    <n v="100"/>
    <n v="100"/>
    <n v="0.19"/>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1-01-01T00:00:00"/>
    <s v="FY21"/>
    <s v="t"/>
    <n v="0"/>
    <n v="0"/>
    <n v="3.8E-3"/>
    <n v="3.8E-3"/>
    <n v="0"/>
    <n v="0"/>
    <n v="1"/>
    <n v="1"/>
    <n v="0"/>
    <n v="0"/>
    <n v="100"/>
    <s v="Consolidation"/>
    <s v="CO2e and Base Measure"/>
    <n v="100"/>
    <n v="100"/>
    <n v="0"/>
    <m/>
    <m/>
    <m/>
    <m/>
    <m/>
    <m/>
    <n v="0"/>
    <m/>
    <m/>
    <m/>
    <m/>
    <m/>
    <m/>
    <s v="AUD"/>
    <s v="13564543Waste Recycled - Cardboard [t]"/>
    <n v="13564543"/>
  </r>
  <r>
    <d v="2019-07-01T00:00:00"/>
    <d v="2021-06-30T00:00:00"/>
    <s v="Telstra"/>
    <s v="NETWORK"/>
    <s v="Network - InfraCo"/>
    <s v="NSW"/>
    <s v="Australia"/>
    <s v="Armidale"/>
    <s v="ARMIDALE EXCHANGE"/>
    <n v="423030317400"/>
    <s v="Recycled Waste"/>
    <x v="0"/>
    <x v="1"/>
    <s v="Account"/>
    <s v="Remondis Electrical Comp. (E-Waste)"/>
    <m/>
    <s v="4230303174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4544Waste Recycled - E-waste [t]"/>
    <n v="13564544"/>
  </r>
  <r>
    <d v="2019-07-01T00:00:00"/>
    <d v="2021-06-30T00:00:00"/>
    <s v="Telstra"/>
    <s v="NETWORK"/>
    <s v="Network - InfraCo"/>
    <s v="NSW"/>
    <s v="Australia"/>
    <s v="Armidale"/>
    <s v="ARMIDALE EXCHANGE"/>
    <n v="423030317400"/>
    <s v="Recycled Waste"/>
    <x v="0"/>
    <x v="1"/>
    <s v="Account"/>
    <s v="Remondis Electrical Comp. (E-Waste)"/>
    <m/>
    <s v="4230303174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64544Waste Recycled - E-waste [t]"/>
    <n v="13564544"/>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545Waste - General [t] - Scope 3"/>
    <n v="13564545"/>
  </r>
  <r>
    <d v="2019-07-01T00:00:00"/>
    <d v="2021-06-30T00:00:00"/>
    <s v="Telstra"/>
    <s v="NETWORK"/>
    <s v="Network - InfraCo"/>
    <s v="NSW"/>
    <s v="Australia"/>
    <s v="Armidale"/>
    <s v="ARMIDALE EXCHANGE"/>
    <n v="423030317400"/>
    <s v="Waste"/>
    <x v="1"/>
    <x v="2"/>
    <s v="Account"/>
    <s v="CLEANAWAY General"/>
    <m/>
    <s v="44288_Landfill_General"/>
    <s v="General"/>
    <s v="Cleanaway"/>
    <m/>
    <d v="2021-02-08T00:00:00"/>
    <m/>
    <d v="2021-02-01T00:00:00"/>
    <s v="FY21"/>
    <s v="t"/>
    <n v="0"/>
    <n v="0.81"/>
    <n v="0"/>
    <n v="0.81"/>
    <n v="0"/>
    <n v="2"/>
    <n v="0"/>
    <n v="2"/>
    <n v="0"/>
    <n v="100"/>
    <n v="0"/>
    <s v="Consolidation"/>
    <s v="CO2e and Base Measure"/>
    <n v="100"/>
    <n v="100"/>
    <n v="0.81"/>
    <m/>
    <m/>
    <m/>
    <m/>
    <m/>
    <n v="1.0529999999999999"/>
    <m/>
    <n v="1.0529999999999999"/>
    <m/>
    <m/>
    <m/>
    <m/>
    <m/>
    <s v="AUD"/>
    <s v="13639920Waste - General [t] - Scope 3"/>
    <n v="13639920"/>
  </r>
  <r>
    <d v="2019-07-01T00:00:00"/>
    <d v="2021-06-30T00:00:00"/>
    <s v="Telstra"/>
    <s v="NETWORK"/>
    <s v="Network - InfraCo"/>
    <s v="NSW"/>
    <s v="Australia"/>
    <s v="Armidale"/>
    <s v="ARMIDALE EXCHANGE"/>
    <n v="423030317400"/>
    <s v="Waste"/>
    <x v="1"/>
    <x v="2"/>
    <s v="Account"/>
    <s v="CLEANAWAY General"/>
    <m/>
    <s v="44288_Landfill_General"/>
    <s v="General"/>
    <s v="Cleanaway"/>
    <m/>
    <d v="2021-02-08T00:00:00"/>
    <m/>
    <d v="2021-03-01T00:00:00"/>
    <s v="FY21"/>
    <s v="t"/>
    <n v="0"/>
    <n v="0"/>
    <n v="0.93"/>
    <n v="0.93"/>
    <n v="0"/>
    <n v="0"/>
    <n v="31"/>
    <n v="31"/>
    <n v="0"/>
    <n v="0"/>
    <n v="100"/>
    <s v="Consolidation"/>
    <s v="CO2e and Base Measure"/>
    <n v="100"/>
    <n v="100"/>
    <n v="0.93"/>
    <m/>
    <m/>
    <m/>
    <m/>
    <m/>
    <n v="1.2090000000000001"/>
    <m/>
    <n v="1.2090000000000001"/>
    <m/>
    <m/>
    <m/>
    <m/>
    <m/>
    <s v="AUD"/>
    <s v="13639920Waste - General [t] - Scope 3"/>
    <n v="13639920"/>
  </r>
  <r>
    <d v="2019-07-01T00:00:00"/>
    <d v="2021-06-30T00:00:00"/>
    <s v="Telstra"/>
    <s v="NETWORK"/>
    <s v="Network - InfraCo"/>
    <s v="NSW"/>
    <s v="Australia"/>
    <s v="Armidale"/>
    <s v="ARMIDALE EXCHANGE"/>
    <n v="423030317400"/>
    <s v="Waste"/>
    <x v="1"/>
    <x v="2"/>
    <s v="Account"/>
    <s v="CLEANAWAY General"/>
    <m/>
    <s v="44288_Landfill_General"/>
    <s v="General"/>
    <s v="Cleanaway"/>
    <m/>
    <d v="2021-02-08T00:00:00"/>
    <m/>
    <d v="2021-04-01T00:00:00"/>
    <s v="FY21"/>
    <s v="t"/>
    <n v="0"/>
    <n v="0"/>
    <n v="0.9"/>
    <n v="0.9"/>
    <n v="0"/>
    <n v="0"/>
    <n v="30"/>
    <n v="30"/>
    <n v="0"/>
    <n v="0"/>
    <n v="100"/>
    <s v="Consolidation"/>
    <s v="CO2e and Base Measure"/>
    <n v="100"/>
    <n v="100"/>
    <n v="0.9"/>
    <m/>
    <m/>
    <m/>
    <m/>
    <m/>
    <n v="1.17"/>
    <m/>
    <n v="1.17"/>
    <m/>
    <m/>
    <m/>
    <m/>
    <m/>
    <s v="AUD"/>
    <s v="13639920Waste - General [t] - Scope 3"/>
    <n v="13639920"/>
  </r>
  <r>
    <d v="2019-07-01T00:00:00"/>
    <d v="2021-06-30T00:00:00"/>
    <s v="Telstra"/>
    <s v="NETWORK"/>
    <s v="Network - InfraCo"/>
    <s v="NSW"/>
    <s v="Australia"/>
    <s v="Armidale"/>
    <s v="ARMIDALE EXCHANGE"/>
    <n v="423030317400"/>
    <s v="Waste"/>
    <x v="1"/>
    <x v="2"/>
    <s v="Account"/>
    <s v="CLEANAWAY General"/>
    <m/>
    <s v="44288_Landfill_General"/>
    <s v="General"/>
    <s v="Cleanaway"/>
    <m/>
    <d v="2021-02-08T00:00:00"/>
    <m/>
    <d v="2021-05-01T00:00:00"/>
    <s v="FY21"/>
    <s v="t"/>
    <n v="0"/>
    <n v="0"/>
    <n v="0.93"/>
    <n v="0.93"/>
    <n v="0"/>
    <n v="0"/>
    <n v="31"/>
    <n v="31"/>
    <n v="0"/>
    <n v="0"/>
    <n v="100"/>
    <s v="Consolidation"/>
    <s v="CO2e and Base Measure"/>
    <n v="100"/>
    <n v="100"/>
    <n v="0.93"/>
    <m/>
    <m/>
    <m/>
    <m/>
    <m/>
    <n v="1.2090000000000001"/>
    <m/>
    <n v="1.2090000000000001"/>
    <m/>
    <m/>
    <m/>
    <m/>
    <m/>
    <s v="AUD"/>
    <s v="13639920Waste - General [t] - Scope 3"/>
    <n v="13639920"/>
  </r>
  <r>
    <d v="2019-07-01T00:00:00"/>
    <d v="2021-06-30T00:00:00"/>
    <s v="Telstra"/>
    <s v="NETWORK"/>
    <s v="Network - InfraCo"/>
    <s v="NSW"/>
    <s v="Australia"/>
    <s v="Armidale"/>
    <s v="ARMIDALE EXCHANGE"/>
    <n v="423030317400"/>
    <s v="Recycled Waste"/>
    <x v="0"/>
    <x v="0"/>
    <s v="Account"/>
    <s v="CLEANAWAY Cardboard"/>
    <m/>
    <s v="44288_Diversion_Cardboard"/>
    <s v="Cardboard"/>
    <s v="Cleanaway"/>
    <m/>
    <d v="2021-02-09T00:00:00"/>
    <m/>
    <d v="2021-02-01T00:00:00"/>
    <s v="FY21"/>
    <s v="t"/>
    <n v="0"/>
    <n v="0.22500000000000001"/>
    <n v="0"/>
    <n v="0.22500000000000001"/>
    <n v="0"/>
    <n v="2"/>
    <n v="0"/>
    <n v="2"/>
    <n v="0"/>
    <n v="100"/>
    <n v="0"/>
    <s v="Consolidation"/>
    <s v="CO2e and Base Measure"/>
    <n v="100"/>
    <n v="100"/>
    <n v="0.23"/>
    <m/>
    <m/>
    <m/>
    <m/>
    <m/>
    <m/>
    <m/>
    <m/>
    <m/>
    <m/>
    <m/>
    <m/>
    <m/>
    <s v="AUD"/>
    <s v="13641199Waste Recycled - Paper and Cardboard [t]"/>
    <n v="13641199"/>
  </r>
  <r>
    <d v="2019-07-01T00:00:00"/>
    <d v="2021-06-30T00:00:00"/>
    <s v="Telstra"/>
    <s v="NETWORK"/>
    <s v="Network - InfraCo"/>
    <s v="NSW"/>
    <s v="Australia"/>
    <s v="Armidale"/>
    <s v="ARMIDALE EXCHANGE"/>
    <n v="423030317400"/>
    <s v="Recycled Waste"/>
    <x v="0"/>
    <x v="0"/>
    <s v="Account"/>
    <s v="CLEANAWAY Cardboard"/>
    <m/>
    <s v="44288_Diversion_Cardboard"/>
    <s v="Cardboard"/>
    <s v="Cleanaway"/>
    <m/>
    <d v="2021-02-09T00:00:00"/>
    <m/>
    <d v="2021-03-01T00:00:00"/>
    <s v="FY21"/>
    <s v="t"/>
    <n v="0"/>
    <n v="0"/>
    <n v="0.25729999999999997"/>
    <n v="0.25729999999999997"/>
    <n v="0"/>
    <n v="0"/>
    <n v="31"/>
    <n v="31"/>
    <n v="0"/>
    <n v="0"/>
    <n v="100"/>
    <s v="Consolidation"/>
    <s v="CO2e and Base Measure"/>
    <n v="100"/>
    <n v="100"/>
    <n v="0.26"/>
    <m/>
    <m/>
    <m/>
    <m/>
    <m/>
    <m/>
    <m/>
    <m/>
    <m/>
    <m/>
    <m/>
    <m/>
    <m/>
    <s v="AUD"/>
    <s v="13641199Waste Recycled - Paper and Cardboard [t]"/>
    <n v="13641199"/>
  </r>
  <r>
    <d v="2019-07-01T00:00:00"/>
    <d v="2021-06-30T00:00:00"/>
    <s v="Telstra"/>
    <s v="NETWORK"/>
    <s v="Network - InfraCo"/>
    <s v="NSW"/>
    <s v="Australia"/>
    <s v="Armidale"/>
    <s v="ARMIDALE EXCHANGE"/>
    <n v="423030317400"/>
    <s v="Recycled Waste"/>
    <x v="0"/>
    <x v="0"/>
    <s v="Account"/>
    <s v="CLEANAWAY Cardboard"/>
    <m/>
    <s v="44288_Diversion_Cardboard"/>
    <s v="Cardboard"/>
    <s v="Cleanaway"/>
    <m/>
    <d v="2021-02-09T00:00:00"/>
    <m/>
    <d v="2021-04-01T00:00:00"/>
    <s v="FY21"/>
    <s v="t"/>
    <n v="0"/>
    <n v="0"/>
    <n v="0.249"/>
    <n v="0.249"/>
    <n v="0"/>
    <n v="0"/>
    <n v="30"/>
    <n v="30"/>
    <n v="0"/>
    <n v="0"/>
    <n v="100"/>
    <s v="Consolidation"/>
    <s v="CO2e and Base Measure"/>
    <n v="100"/>
    <n v="100"/>
    <n v="0.25"/>
    <m/>
    <m/>
    <m/>
    <m/>
    <m/>
    <m/>
    <m/>
    <m/>
    <m/>
    <m/>
    <m/>
    <m/>
    <m/>
    <s v="AUD"/>
    <s v="13641199Waste Recycled - Paper and Cardboard [t]"/>
    <n v="13641199"/>
  </r>
  <r>
    <d v="2019-07-01T00:00:00"/>
    <d v="2021-06-30T00:00:00"/>
    <s v="Telstra"/>
    <s v="NETWORK"/>
    <s v="Network - InfraCo"/>
    <s v="NSW"/>
    <s v="Australia"/>
    <s v="Armidale"/>
    <s v="ARMIDALE EXCHANGE"/>
    <n v="423030317400"/>
    <s v="Recycled Waste"/>
    <x v="0"/>
    <x v="0"/>
    <s v="Account"/>
    <s v="CLEANAWAY Cardboard"/>
    <m/>
    <s v="44288_Diversion_Cardboard"/>
    <s v="Cardboard"/>
    <s v="Cleanaway"/>
    <m/>
    <d v="2021-02-09T00:00:00"/>
    <m/>
    <d v="2021-05-01T00:00:00"/>
    <s v="FY21"/>
    <s v="t"/>
    <n v="0"/>
    <n v="0"/>
    <n v="0.25729999999999997"/>
    <n v="0.25729999999999997"/>
    <n v="0"/>
    <n v="0"/>
    <n v="31"/>
    <n v="31"/>
    <n v="0"/>
    <n v="0"/>
    <n v="100"/>
    <s v="Consolidation"/>
    <s v="CO2e and Base Measure"/>
    <n v="100"/>
    <n v="100"/>
    <n v="0.26"/>
    <m/>
    <m/>
    <m/>
    <m/>
    <m/>
    <m/>
    <m/>
    <m/>
    <m/>
    <m/>
    <m/>
    <m/>
    <m/>
    <s v="AUD"/>
    <s v="13641199Waste Recycled - Paper and Cardboard [t]"/>
    <n v="13641199"/>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0-12-01T00:00:00"/>
    <s v="FY21"/>
    <s v="t"/>
    <n v="0"/>
    <n v="2.1600000000000001E-2"/>
    <n v="0"/>
    <n v="2.1600000000000001E-2"/>
    <n v="0"/>
    <n v="1"/>
    <n v="0"/>
    <n v="1"/>
    <n v="0"/>
    <n v="100"/>
    <n v="0"/>
    <s v="Consolidation"/>
    <s v="CO2e and Base Measure"/>
    <n v="100"/>
    <n v="100"/>
    <n v="0.02"/>
    <m/>
    <m/>
    <m/>
    <m/>
    <m/>
    <n v="2.81E-2"/>
    <m/>
    <n v="2.8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1-01T00:00:00"/>
    <s v="FY21"/>
    <s v="t"/>
    <n v="0"/>
    <n v="2.1600000000000001E-2"/>
    <n v="0"/>
    <n v="2.1600000000000001E-2"/>
    <n v="0"/>
    <n v="1"/>
    <n v="0"/>
    <n v="1"/>
    <n v="0"/>
    <n v="100"/>
    <n v="0"/>
    <s v="Consolidation"/>
    <s v="CO2e and Base Measure"/>
    <n v="100"/>
    <n v="100"/>
    <n v="0.02"/>
    <m/>
    <m/>
    <m/>
    <m/>
    <m/>
    <n v="2.81E-2"/>
    <m/>
    <n v="2.8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2-01T00:00:00"/>
    <s v="FY21"/>
    <s v="t"/>
    <n v="0"/>
    <n v="2.1600000000000001E-2"/>
    <n v="0"/>
    <n v="2.1600000000000001E-2"/>
    <n v="0"/>
    <n v="1"/>
    <n v="0"/>
    <n v="1"/>
    <n v="0"/>
    <n v="100"/>
    <n v="0"/>
    <s v="Consolidation"/>
    <s v="CO2e and Base Measure"/>
    <n v="100"/>
    <n v="100"/>
    <n v="0.02"/>
    <m/>
    <m/>
    <m/>
    <m/>
    <m/>
    <n v="2.81E-2"/>
    <m/>
    <n v="2.8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3-01T00:00:00"/>
    <s v="FY21"/>
    <s v="t"/>
    <n v="0"/>
    <n v="2.1600000000000001E-2"/>
    <n v="0"/>
    <n v="2.1600000000000001E-2"/>
    <n v="0"/>
    <n v="1"/>
    <n v="0"/>
    <n v="1"/>
    <n v="0"/>
    <n v="100"/>
    <n v="0"/>
    <s v="Consolidation"/>
    <s v="CO2e and Base Measure"/>
    <n v="100"/>
    <n v="100"/>
    <n v="0.02"/>
    <m/>
    <m/>
    <m/>
    <m/>
    <m/>
    <n v="2.81E-2"/>
    <m/>
    <n v="2.8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4-01T00:00:00"/>
    <s v="FY21"/>
    <s v="t"/>
    <n v="0"/>
    <n v="0"/>
    <n v="2.1000000000000001E-2"/>
    <n v="2.1000000000000001E-2"/>
    <n v="0"/>
    <n v="0"/>
    <n v="30"/>
    <n v="30"/>
    <n v="0"/>
    <n v="0"/>
    <n v="100"/>
    <s v="Consolidation"/>
    <s v="CO2e and Base Measure"/>
    <n v="100"/>
    <n v="100"/>
    <n v="0.02"/>
    <m/>
    <m/>
    <m/>
    <m/>
    <m/>
    <n v="2.7300000000000001E-2"/>
    <m/>
    <n v="2.730000000000000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5-01T00:00:00"/>
    <s v="FY21"/>
    <s v="t"/>
    <n v="0"/>
    <n v="0"/>
    <n v="2.1700000000000001E-2"/>
    <n v="2.1700000000000001E-2"/>
    <n v="0"/>
    <n v="0"/>
    <n v="31"/>
    <n v="31"/>
    <n v="0"/>
    <n v="0"/>
    <n v="100"/>
    <s v="Consolidation"/>
    <s v="CO2e and Base Measure"/>
    <n v="100"/>
    <n v="100"/>
    <n v="0.02"/>
    <m/>
    <m/>
    <m/>
    <m/>
    <m/>
    <n v="2.8199999999999999E-2"/>
    <m/>
    <n v="2.8199999999999999E-2"/>
    <m/>
    <m/>
    <m/>
    <m/>
    <m/>
    <s v="AUD"/>
    <s v="13634010Waste - General [t] - Scope 3"/>
    <n v="13634010"/>
  </r>
  <r>
    <d v="2019-07-01T00:00:00"/>
    <d v="2021-06-30T00:00:00"/>
    <s v="Telstra"/>
    <s v="NETWORK"/>
    <s v="Network - InfraCo"/>
    <s v="QLD"/>
    <s v="Australia"/>
    <s v="Southport"/>
    <s v="ASHMORE RT SOUTHPORT TOC"/>
    <n v="423030174900"/>
    <s v="Recycled Waste"/>
    <x v="0"/>
    <x v="3"/>
    <s v="Account"/>
    <s v="Remondis Commingled - Recycled"/>
    <m/>
    <s v="423030174900_RCOMINGLE"/>
    <s v="COMMINGLED - RECYCLED"/>
    <s v="Remondis"/>
    <m/>
    <m/>
    <d v="2020-11-01T00:00:00"/>
    <d v="2020-08-01T00:00:00"/>
    <s v="FY21"/>
    <s v="t"/>
    <n v="0"/>
    <n v="7.1999999999999995E-2"/>
    <n v="0"/>
    <n v="7.1999999999999995E-2"/>
    <n v="0"/>
    <n v="3"/>
    <n v="0"/>
    <n v="3"/>
    <n v="0"/>
    <n v="100"/>
    <n v="0"/>
    <s v="Consolidation"/>
    <s v="CO2e and Base Measure"/>
    <n v="100"/>
    <n v="100"/>
    <n v="7.0000000000000007E-2"/>
    <m/>
    <m/>
    <m/>
    <m/>
    <m/>
    <m/>
    <n v="0"/>
    <m/>
    <m/>
    <m/>
    <m/>
    <m/>
    <m/>
    <s v="AUD"/>
    <s v="13564254Waste Recycled - Commingled [t]"/>
    <n v="13564254"/>
  </r>
  <r>
    <d v="2019-07-01T00:00:00"/>
    <d v="2021-06-30T00:00:00"/>
    <s v="Telstra"/>
    <s v="NETWORK"/>
    <s v="Network - InfraCo"/>
    <s v="QLD"/>
    <s v="Australia"/>
    <s v="Southport"/>
    <s v="ASHMORE RT SOUTHPORT TOC"/>
    <n v="423030174900"/>
    <s v="Recycled Waste"/>
    <x v="0"/>
    <x v="3"/>
    <s v="Account"/>
    <s v="Remondis Commingled - Recycled"/>
    <m/>
    <s v="423030174900_RCOMINGLE"/>
    <s v="COMMINGLED - RECYCLED"/>
    <s v="Remondis"/>
    <m/>
    <m/>
    <d v="2020-11-01T00:00:00"/>
    <d v="2020-09-01T00:00:00"/>
    <s v="FY21"/>
    <s v="t"/>
    <n v="0"/>
    <n v="7.1999999999999995E-2"/>
    <n v="0"/>
    <n v="7.1999999999999995E-2"/>
    <n v="0"/>
    <n v="3"/>
    <n v="0"/>
    <n v="3"/>
    <n v="0"/>
    <n v="100"/>
    <n v="0"/>
    <s v="Consolidation"/>
    <s v="CO2e and Base Measure"/>
    <n v="100"/>
    <n v="100"/>
    <n v="7.0000000000000007E-2"/>
    <m/>
    <m/>
    <m/>
    <m/>
    <m/>
    <m/>
    <n v="0"/>
    <m/>
    <m/>
    <m/>
    <m/>
    <m/>
    <m/>
    <s v="AUD"/>
    <s v="13564254Waste Recycled - Commingled [t]"/>
    <n v="13564254"/>
  </r>
  <r>
    <d v="2019-07-01T00:00:00"/>
    <d v="2021-06-30T00:00:00"/>
    <s v="Telstra"/>
    <s v="NETWORK"/>
    <s v="Network - InfraCo"/>
    <s v="QLD"/>
    <s v="Australia"/>
    <s v="Southport"/>
    <s v="ASHMORE RT SOUTHPORT TOC"/>
    <n v="423030174900"/>
    <s v="Recycled Waste"/>
    <x v="0"/>
    <x v="3"/>
    <s v="Account"/>
    <s v="Remondis Commingled - Recycled"/>
    <m/>
    <s v="423030174900_RCOMINGLE"/>
    <s v="COMMINGLED - RECYCLED"/>
    <s v="Remondis"/>
    <m/>
    <m/>
    <d v="2020-11-01T00:00:00"/>
    <d v="2020-10-01T00:00:00"/>
    <s v="FY21"/>
    <s v="t"/>
    <n v="0"/>
    <n v="4.8000000000000001E-2"/>
    <n v="0"/>
    <n v="4.8000000000000001E-2"/>
    <n v="0"/>
    <n v="2"/>
    <n v="0"/>
    <n v="2"/>
    <n v="0"/>
    <n v="100"/>
    <n v="0"/>
    <s v="Consolidation"/>
    <s v="CO2e and Base Measure"/>
    <n v="100"/>
    <n v="100"/>
    <n v="0.05"/>
    <m/>
    <m/>
    <m/>
    <m/>
    <m/>
    <m/>
    <n v="0"/>
    <m/>
    <m/>
    <m/>
    <m/>
    <m/>
    <m/>
    <s v="AUD"/>
    <s v="13564254Waste Recycled - Commingled [t]"/>
    <n v="13564254"/>
  </r>
  <r>
    <d v="2019-07-01T00:00:00"/>
    <d v="2021-06-30T00:00:00"/>
    <s v="Telstra"/>
    <s v="NETWORK"/>
    <s v="Network - InfraCo"/>
    <s v="QLD"/>
    <s v="Australia"/>
    <s v="Southport"/>
    <s v="ASHMORE RT SOUTHPORT TOC"/>
    <n v="423030174900"/>
    <s v="Recycled Waste"/>
    <x v="0"/>
    <x v="3"/>
    <s v="Account"/>
    <s v="Remondis Commingled - Recycled"/>
    <m/>
    <s v="423030174900_RCOMINGLE"/>
    <s v="COMMINGLED - RECYCLED"/>
    <s v="Remondis"/>
    <m/>
    <m/>
    <d v="2020-11-01T00:00:00"/>
    <d v="2020-11-01T00:00:00"/>
    <s v="FY21"/>
    <s v="t"/>
    <n v="0"/>
    <n v="0"/>
    <n v="2.0999999999999999E-3"/>
    <n v="2.0999999999999999E-3"/>
    <n v="0"/>
    <n v="0"/>
    <n v="1"/>
    <n v="1"/>
    <n v="0"/>
    <n v="0"/>
    <n v="100"/>
    <s v="Consolidation"/>
    <s v="CO2e and Base Measure"/>
    <n v="100"/>
    <n v="100"/>
    <n v="0"/>
    <m/>
    <m/>
    <m/>
    <m/>
    <m/>
    <m/>
    <n v="0"/>
    <m/>
    <m/>
    <m/>
    <m/>
    <m/>
    <m/>
    <s v="AUD"/>
    <s v="13564254Waste Recycled - Commingled [t]"/>
    <n v="13564254"/>
  </r>
  <r>
    <d v="2019-07-01T00:00:00"/>
    <d v="2021-06-30T00:00:00"/>
    <s v="Telstra"/>
    <s v="NETWORK"/>
    <s v="Network - InfraCo"/>
    <s v="QLD"/>
    <s v="Australia"/>
    <s v="Southport"/>
    <s v="ASHMORE RT SOUTHPORT TOC"/>
    <n v="423030174900"/>
    <s v="Waste"/>
    <x v="1"/>
    <x v="2"/>
    <s v="Account"/>
    <s v="Remondis General Waste"/>
    <m/>
    <s v="423030174900_WGENERALW"/>
    <s v="GENERAL WASTE"/>
    <s v="Remondis"/>
    <m/>
    <m/>
    <d v="2020-10-01T00:00:00"/>
    <d v="2020-07-01T00:00:00"/>
    <s v="FY21"/>
    <s v="t"/>
    <n v="0"/>
    <n v="9.3600000000000003E-2"/>
    <n v="0"/>
    <n v="9.3600000000000003E-2"/>
    <n v="0"/>
    <n v="1"/>
    <n v="0"/>
    <n v="1"/>
    <n v="0"/>
    <n v="100"/>
    <n v="0"/>
    <s v="Consolidation"/>
    <s v="CO2e and Base Measure"/>
    <n v="100"/>
    <n v="100"/>
    <n v="0.09"/>
    <m/>
    <m/>
    <m/>
    <m/>
    <m/>
    <n v="0.1217"/>
    <m/>
    <n v="0.1217"/>
    <m/>
    <m/>
    <m/>
    <m/>
    <m/>
    <s v="AUD"/>
    <s v="13564255Waste - General [t] - Scope 3"/>
    <n v="13564255"/>
  </r>
  <r>
    <d v="2019-07-01T00:00:00"/>
    <d v="2021-06-30T00:00:00"/>
    <s v="Telstra"/>
    <s v="NETWORK"/>
    <s v="Network - InfraCo"/>
    <s v="QLD"/>
    <s v="Australia"/>
    <s v="Southport"/>
    <s v="ASHMORE RT SOUTHPORT TOC"/>
    <n v="423030174900"/>
    <s v="Waste"/>
    <x v="1"/>
    <x v="2"/>
    <s v="Account"/>
    <s v="Remondis General Waste"/>
    <m/>
    <s v="423030174900_WGENERALW"/>
    <s v="GENERAL WASTE"/>
    <s v="Remondis"/>
    <m/>
    <m/>
    <d v="2020-10-01T00:00:00"/>
    <d v="2020-08-01T00:00:00"/>
    <s v="FY21"/>
    <s v="t"/>
    <n v="0"/>
    <n v="0.71760000000000002"/>
    <n v="0"/>
    <n v="0.71760000000000002"/>
    <n v="0"/>
    <n v="12"/>
    <n v="0"/>
    <n v="12"/>
    <n v="0"/>
    <n v="100"/>
    <n v="0"/>
    <s v="Consolidation"/>
    <s v="CO2e and Base Measure"/>
    <n v="100"/>
    <n v="100"/>
    <n v="0.72"/>
    <m/>
    <m/>
    <m/>
    <m/>
    <m/>
    <n v="0.93289999999999995"/>
    <m/>
    <n v="0.93289999999999995"/>
    <m/>
    <m/>
    <m/>
    <m/>
    <m/>
    <s v="AUD"/>
    <s v="13564255Waste - General [t] - Scope 3"/>
    <n v="13564255"/>
  </r>
  <r>
    <d v="2019-07-01T00:00:00"/>
    <d v="2021-06-30T00:00:00"/>
    <s v="Telstra"/>
    <s v="NETWORK"/>
    <s v="Network - InfraCo"/>
    <s v="QLD"/>
    <s v="Australia"/>
    <s v="Southport"/>
    <s v="ASHMORE RT SOUTHPORT TOC"/>
    <n v="423030174900"/>
    <s v="Waste"/>
    <x v="1"/>
    <x v="2"/>
    <s v="Account"/>
    <s v="Remondis General Waste"/>
    <m/>
    <s v="423030174900_WGENERALW"/>
    <s v="GENERAL WASTE"/>
    <s v="Remondis"/>
    <m/>
    <m/>
    <d v="2020-10-01T00:00:00"/>
    <d v="2020-09-01T00:00:00"/>
    <s v="FY21"/>
    <s v="t"/>
    <n v="0"/>
    <n v="0.49919999999999998"/>
    <n v="0"/>
    <n v="0.49919999999999998"/>
    <n v="0"/>
    <n v="8"/>
    <n v="0"/>
    <n v="8"/>
    <n v="0"/>
    <n v="100"/>
    <n v="0"/>
    <s v="Consolidation"/>
    <s v="CO2e and Base Measure"/>
    <n v="100"/>
    <n v="100"/>
    <n v="0.5"/>
    <m/>
    <m/>
    <m/>
    <m/>
    <m/>
    <n v="0.64900000000000002"/>
    <m/>
    <n v="0.64900000000000002"/>
    <m/>
    <m/>
    <m/>
    <m/>
    <m/>
    <s v="AUD"/>
    <s v="13564255Waste - General [t] - Scope 3"/>
    <n v="13564255"/>
  </r>
  <r>
    <d v="2019-07-01T00:00:00"/>
    <d v="2021-06-30T00:00:00"/>
    <s v="Telstra"/>
    <s v="NETWORK"/>
    <s v="Network - InfraCo"/>
    <s v="QLD"/>
    <s v="Australia"/>
    <s v="Southport"/>
    <s v="ASHMORE RT SOUTHPORT TOC"/>
    <n v="423030174900"/>
    <s v="Waste"/>
    <x v="1"/>
    <x v="2"/>
    <s v="Account"/>
    <s v="Remondis General Waste"/>
    <m/>
    <s v="423030174900_WGENERALW"/>
    <s v="GENERAL WASTE"/>
    <s v="Remondis"/>
    <m/>
    <m/>
    <d v="2020-10-01T00:00:00"/>
    <d v="2020-10-01T00:00:00"/>
    <s v="FY21"/>
    <s v="t"/>
    <n v="0"/>
    <n v="0"/>
    <n v="1.44E-2"/>
    <n v="1.44E-2"/>
    <n v="0"/>
    <n v="0"/>
    <n v="1"/>
    <n v="1"/>
    <n v="0"/>
    <n v="0"/>
    <n v="100"/>
    <s v="Consolidation"/>
    <s v="CO2e and Base Measure"/>
    <n v="100"/>
    <n v="100"/>
    <n v="0.01"/>
    <m/>
    <m/>
    <m/>
    <m/>
    <m/>
    <n v="1.8700000000000001E-2"/>
    <m/>
    <n v="1.8700000000000001E-2"/>
    <m/>
    <m/>
    <m/>
    <m/>
    <m/>
    <s v="AUD"/>
    <s v="13564255Waste - General [t] - Scope 3"/>
    <n v="13564255"/>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1-01T00:00:00"/>
    <s v="FY21"/>
    <s v="t"/>
    <n v="0.26"/>
    <n v="0"/>
    <n v="0"/>
    <n v="0.26"/>
    <n v="1"/>
    <n v="0"/>
    <n v="0"/>
    <n v="1"/>
    <n v="100"/>
    <n v="0"/>
    <n v="0"/>
    <s v="Consolidation"/>
    <s v="CO2e and Base Measure"/>
    <n v="100"/>
    <n v="100"/>
    <n v="0.26"/>
    <m/>
    <m/>
    <m/>
    <m/>
    <m/>
    <n v="0.33800000000000002"/>
    <m/>
    <n v="0.33800000000000002"/>
    <m/>
    <m/>
    <m/>
    <m/>
    <m/>
    <s v="AUD"/>
    <s v="13634503Waste - General [t] - Scope 3"/>
    <n v="13634503"/>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2-01T00:00:00"/>
    <s v="FY21"/>
    <s v="t"/>
    <n v="0.26"/>
    <n v="0"/>
    <n v="0"/>
    <n v="0.26"/>
    <n v="1"/>
    <n v="0"/>
    <n v="0"/>
    <n v="1"/>
    <n v="100"/>
    <n v="0"/>
    <n v="0"/>
    <s v="Consolidation"/>
    <s v="CO2e and Base Measure"/>
    <n v="100"/>
    <n v="100"/>
    <n v="0.26"/>
    <m/>
    <m/>
    <m/>
    <m/>
    <m/>
    <n v="0.33800000000000002"/>
    <m/>
    <n v="0.33800000000000002"/>
    <m/>
    <m/>
    <m/>
    <m/>
    <m/>
    <s v="AUD"/>
    <s v="13634503Waste - General [t] - Scope 3"/>
    <n v="13634503"/>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3-01T00:00:00"/>
    <s v="FY21"/>
    <s v="t"/>
    <n v="0.57999999999999996"/>
    <n v="0"/>
    <n v="0"/>
    <n v="0.57999999999999996"/>
    <n v="1"/>
    <n v="0"/>
    <n v="0"/>
    <n v="1"/>
    <n v="100"/>
    <n v="0"/>
    <n v="0"/>
    <s v="Consolidation"/>
    <s v="CO2e and Base Measure"/>
    <n v="100"/>
    <n v="100"/>
    <n v="0.57999999999999996"/>
    <m/>
    <m/>
    <m/>
    <m/>
    <m/>
    <n v="0.754"/>
    <m/>
    <n v="0.754"/>
    <m/>
    <m/>
    <m/>
    <m/>
    <m/>
    <s v="AUD"/>
    <s v="13634503Waste - General [t] - Scope 3"/>
    <n v="13634503"/>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4-01T00:00:00"/>
    <s v="FY21"/>
    <s v="t"/>
    <n v="0"/>
    <n v="0"/>
    <n v="0.372"/>
    <n v="0.372"/>
    <n v="0"/>
    <n v="0"/>
    <n v="30"/>
    <n v="30"/>
    <n v="0"/>
    <n v="0"/>
    <n v="100"/>
    <s v="Consolidation"/>
    <s v="CO2e and Base Measure"/>
    <n v="100"/>
    <n v="100"/>
    <n v="0.37"/>
    <m/>
    <m/>
    <m/>
    <m/>
    <m/>
    <n v="0.48359999999999997"/>
    <m/>
    <n v="0.48359999999999997"/>
    <m/>
    <m/>
    <m/>
    <m/>
    <m/>
    <s v="AUD"/>
    <s v="13634503Waste - General [t] - Scope 3"/>
    <n v="13634503"/>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5-01T00:00:00"/>
    <s v="FY21"/>
    <s v="t"/>
    <n v="0"/>
    <n v="0"/>
    <n v="0.38440000000000002"/>
    <n v="0.38440000000000002"/>
    <n v="0"/>
    <n v="0"/>
    <n v="31"/>
    <n v="31"/>
    <n v="0"/>
    <n v="0"/>
    <n v="100"/>
    <s v="Consolidation"/>
    <s v="CO2e and Base Measure"/>
    <n v="100"/>
    <n v="100"/>
    <n v="0.38"/>
    <m/>
    <m/>
    <m/>
    <m/>
    <m/>
    <n v="0.49969999999999998"/>
    <m/>
    <n v="0.49969999999999998"/>
    <m/>
    <m/>
    <m/>
    <m/>
    <m/>
    <s v="AUD"/>
    <s v="13634503Waste - General [t] - Scope 3"/>
    <n v="13634503"/>
  </r>
  <r>
    <d v="2019-07-01T00:00:00"/>
    <d v="2021-06-30T00:00:00"/>
    <s v="Telstra"/>
    <s v="NETWORK"/>
    <s v="Network - InfraCo"/>
    <s v="QLD"/>
    <s v="Australia"/>
    <s v="Zillmere"/>
    <s v="ASPLEY EXCHANGE"/>
    <n v="423030005600"/>
    <s v="Waste"/>
    <x v="1"/>
    <x v="2"/>
    <s v="Account"/>
    <s v="Remondis General Waste"/>
    <m/>
    <s v="423030005600_WGENERALW"/>
    <s v="GENERAL WASTE"/>
    <s v="Remondis"/>
    <m/>
    <m/>
    <m/>
    <d v="2020-12-01T00:00:00"/>
    <s v="FY21"/>
    <s v="t"/>
    <n v="0"/>
    <n v="0.26"/>
    <n v="0"/>
    <n v="0.26"/>
    <n v="0"/>
    <n v="1"/>
    <n v="0"/>
    <n v="1"/>
    <n v="0"/>
    <n v="100"/>
    <n v="0"/>
    <s v="Consolidation"/>
    <s v="CO2e and Base Measure"/>
    <n v="100"/>
    <n v="100"/>
    <n v="0.26"/>
    <m/>
    <m/>
    <m/>
    <m/>
    <m/>
    <n v="0.33800000000000002"/>
    <m/>
    <n v="0.33800000000000002"/>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1-01T00:00:00"/>
    <s v="FY21"/>
    <s v="t"/>
    <n v="0"/>
    <n v="0"/>
    <n v="0.2697"/>
    <n v="0.2697"/>
    <n v="0"/>
    <n v="0"/>
    <n v="31"/>
    <n v="31"/>
    <n v="0"/>
    <n v="0"/>
    <n v="100"/>
    <s v="Consolidation"/>
    <s v="CO2e and Base Measure"/>
    <n v="100"/>
    <n v="100"/>
    <n v="0.27"/>
    <m/>
    <m/>
    <m/>
    <m/>
    <m/>
    <n v="0.35060000000000002"/>
    <m/>
    <n v="0.35060000000000002"/>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2-01T00:00:00"/>
    <s v="FY21"/>
    <s v="t"/>
    <n v="0"/>
    <n v="0"/>
    <n v="0.24360000000000001"/>
    <n v="0.24360000000000001"/>
    <n v="0"/>
    <n v="0"/>
    <n v="28"/>
    <n v="28"/>
    <n v="0"/>
    <n v="0"/>
    <n v="100"/>
    <s v="Consolidation"/>
    <s v="CO2e and Base Measure"/>
    <n v="100"/>
    <n v="100"/>
    <n v="0.24"/>
    <m/>
    <m/>
    <m/>
    <m/>
    <m/>
    <n v="0.31669999999999998"/>
    <m/>
    <n v="0.31669999999999998"/>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3-01T00:00:00"/>
    <s v="FY21"/>
    <s v="t"/>
    <n v="0"/>
    <n v="0"/>
    <n v="0.2697"/>
    <n v="0.2697"/>
    <n v="0"/>
    <n v="0"/>
    <n v="31"/>
    <n v="31"/>
    <n v="0"/>
    <n v="0"/>
    <n v="100"/>
    <s v="Consolidation"/>
    <s v="CO2e and Base Measure"/>
    <n v="100"/>
    <n v="100"/>
    <n v="0.27"/>
    <m/>
    <m/>
    <m/>
    <m/>
    <m/>
    <n v="0.35060000000000002"/>
    <m/>
    <n v="0.35060000000000002"/>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4-01T00:00:00"/>
    <s v="FY21"/>
    <s v="t"/>
    <n v="0"/>
    <n v="0"/>
    <n v="0.26100000000000001"/>
    <n v="0.26100000000000001"/>
    <n v="0"/>
    <n v="0"/>
    <n v="30"/>
    <n v="30"/>
    <n v="0"/>
    <n v="0"/>
    <n v="100"/>
    <s v="Consolidation"/>
    <s v="CO2e and Base Measure"/>
    <n v="100"/>
    <n v="100"/>
    <n v="0.26"/>
    <m/>
    <m/>
    <m/>
    <m/>
    <m/>
    <n v="0.33929999999999999"/>
    <m/>
    <n v="0.33929999999999999"/>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5-01T00:00:00"/>
    <s v="FY21"/>
    <s v="t"/>
    <n v="0"/>
    <n v="0"/>
    <n v="0.2697"/>
    <n v="0.2697"/>
    <n v="0"/>
    <n v="0"/>
    <n v="31"/>
    <n v="31"/>
    <n v="0"/>
    <n v="0"/>
    <n v="100"/>
    <s v="Consolidation"/>
    <s v="CO2e and Base Measure"/>
    <n v="100"/>
    <n v="100"/>
    <n v="0.27"/>
    <m/>
    <m/>
    <m/>
    <m/>
    <m/>
    <n v="0.35060000000000002"/>
    <m/>
    <n v="0.35060000000000002"/>
    <m/>
    <m/>
    <m/>
    <m/>
    <m/>
    <s v="AUD"/>
    <s v="13633412Waste - General [t] - Scope 3"/>
    <n v="13633412"/>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07-01T00:00:00"/>
    <s v="FY21"/>
    <s v="t"/>
    <n v="0"/>
    <n v="9.4500000000000001E-2"/>
    <n v="0"/>
    <n v="9.4500000000000001E-2"/>
    <n v="0"/>
    <n v="3"/>
    <n v="0"/>
    <n v="3"/>
    <n v="0"/>
    <n v="100"/>
    <n v="0"/>
    <s v="Consolidation"/>
    <s v="CO2e and Base Measure"/>
    <n v="100"/>
    <n v="100"/>
    <n v="0.09"/>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09-01T00:00:00"/>
    <s v="FY21"/>
    <s v="t"/>
    <n v="0"/>
    <n v="6.3E-2"/>
    <n v="0"/>
    <n v="6.3E-2"/>
    <n v="0"/>
    <n v="2"/>
    <n v="0"/>
    <n v="2"/>
    <n v="0"/>
    <n v="100"/>
    <n v="0"/>
    <s v="Consolidation"/>
    <s v="CO2e and Base Measure"/>
    <n v="100"/>
    <n v="100"/>
    <n v="0.06"/>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1-01-01T00:00:00"/>
    <s v="FY21"/>
    <s v="t"/>
    <n v="0"/>
    <n v="0"/>
    <n v="2.0999999999999999E-3"/>
    <n v="2.0999999999999999E-3"/>
    <n v="0"/>
    <n v="0"/>
    <n v="1"/>
    <n v="1"/>
    <n v="0"/>
    <n v="0"/>
    <n v="100"/>
    <s v="Consolidation"/>
    <s v="CO2e and Base Measure"/>
    <n v="100"/>
    <n v="100"/>
    <n v="0"/>
    <m/>
    <m/>
    <m/>
    <m/>
    <m/>
    <m/>
    <n v="0"/>
    <m/>
    <m/>
    <m/>
    <m/>
    <m/>
    <m/>
    <s v="AUD"/>
    <s v="13564097Waste Recycled - Cardboard [t]"/>
    <n v="13564097"/>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12-01T00:00:00"/>
    <s v="FY21"/>
    <s v="t"/>
    <n v="0.68"/>
    <n v="0.19500000000000001"/>
    <n v="0"/>
    <n v="0.875"/>
    <n v="1"/>
    <n v="2"/>
    <n v="0"/>
    <n v="3"/>
    <n v="77.709999999999994"/>
    <n v="22.28"/>
    <n v="0"/>
    <s v="Consolidation"/>
    <s v="CO2e and Base Measure"/>
    <n v="100"/>
    <n v="100"/>
    <n v="0.88"/>
    <m/>
    <m/>
    <m/>
    <m/>
    <m/>
    <n v="1.1375"/>
    <m/>
    <n v="1.137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1-01-01T00:00:00"/>
    <s v="FY21"/>
    <s v="t"/>
    <n v="0"/>
    <n v="0"/>
    <n v="9.5999999999999992E-3"/>
    <n v="9.5999999999999992E-3"/>
    <n v="0"/>
    <n v="0"/>
    <n v="1"/>
    <n v="1"/>
    <n v="0"/>
    <n v="0"/>
    <n v="100"/>
    <s v="Consolidation"/>
    <s v="CO2e and Base Measure"/>
    <n v="100"/>
    <n v="100"/>
    <n v="0.01"/>
    <m/>
    <m/>
    <m/>
    <m/>
    <m/>
    <n v="1.2500000000000001E-2"/>
    <m/>
    <n v="1.2500000000000001E-2"/>
    <m/>
    <m/>
    <m/>
    <m/>
    <m/>
    <s v="AUD"/>
    <s v="13564098Waste - General [t] - Scope 3"/>
    <n v="13564098"/>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0-12-01T00:00:00"/>
    <s v="FY21"/>
    <s v="t"/>
    <n v="6.5000000000000002E-2"/>
    <n v="6.7500000000000004E-2"/>
    <n v="0"/>
    <n v="0.13250000000000001"/>
    <n v="3"/>
    <n v="1"/>
    <n v="0"/>
    <n v="4"/>
    <n v="49.05"/>
    <n v="50.94"/>
    <n v="0"/>
    <s v="Consolidation"/>
    <s v="CO2e and Base Measure"/>
    <n v="100"/>
    <n v="100"/>
    <n v="0.13"/>
    <m/>
    <m/>
    <m/>
    <m/>
    <m/>
    <n v="0.17230000000000001"/>
    <m/>
    <n v="0.17230000000000001"/>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1-01T00:00:00"/>
    <s v="FY21"/>
    <s v="t"/>
    <n v="0.36799999999999999"/>
    <n v="0"/>
    <n v="0"/>
    <n v="0.36799999999999999"/>
    <n v="5"/>
    <n v="0"/>
    <n v="0"/>
    <n v="5"/>
    <n v="100"/>
    <n v="0"/>
    <n v="0"/>
    <s v="Consolidation"/>
    <s v="CO2e and Base Measure"/>
    <n v="100"/>
    <n v="100"/>
    <n v="0.37"/>
    <m/>
    <m/>
    <m/>
    <m/>
    <m/>
    <n v="0.47839999999999999"/>
    <m/>
    <n v="0.47839999999999999"/>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2-01T00:00:00"/>
    <s v="FY21"/>
    <s v="t"/>
    <n v="0.16300000000000001"/>
    <n v="6.7500000000000004E-2"/>
    <n v="0"/>
    <n v="0.23050000000000001"/>
    <n v="3"/>
    <n v="1"/>
    <n v="0"/>
    <n v="4"/>
    <n v="70.709999999999994"/>
    <n v="29.28"/>
    <n v="0"/>
    <s v="Consolidation"/>
    <s v="CO2e and Base Measure"/>
    <n v="100"/>
    <n v="100"/>
    <n v="0.23"/>
    <m/>
    <m/>
    <m/>
    <m/>
    <m/>
    <n v="0.29970000000000002"/>
    <m/>
    <n v="0.29970000000000002"/>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3-01T00:00:00"/>
    <s v="FY21"/>
    <s v="t"/>
    <n v="0.17899999999999999"/>
    <n v="6.7500000000000004E-2"/>
    <n v="0"/>
    <n v="0.2465"/>
    <n v="3"/>
    <n v="1"/>
    <n v="0"/>
    <n v="4"/>
    <n v="72.61"/>
    <n v="27.38"/>
    <n v="0"/>
    <s v="Consolidation"/>
    <s v="CO2e and Base Measure"/>
    <n v="100"/>
    <n v="100"/>
    <n v="0.25"/>
    <m/>
    <m/>
    <m/>
    <m/>
    <m/>
    <n v="0.32050000000000001"/>
    <m/>
    <n v="0.32050000000000001"/>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4-01T00:00:00"/>
    <s v="FY21"/>
    <s v="t"/>
    <n v="0"/>
    <n v="0"/>
    <n v="0.24299999999999999"/>
    <n v="0.24299999999999999"/>
    <n v="0"/>
    <n v="0"/>
    <n v="30"/>
    <n v="30"/>
    <n v="0"/>
    <n v="0"/>
    <n v="100"/>
    <s v="Consolidation"/>
    <s v="CO2e and Base Measure"/>
    <n v="100"/>
    <n v="100"/>
    <n v="0.24"/>
    <m/>
    <m/>
    <m/>
    <m/>
    <m/>
    <n v="0.31590000000000001"/>
    <m/>
    <n v="0.31590000000000001"/>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5-01T00:00:00"/>
    <s v="FY21"/>
    <s v="t"/>
    <n v="0"/>
    <n v="0"/>
    <n v="0.25109999999999999"/>
    <n v="0.25109999999999999"/>
    <n v="0"/>
    <n v="0"/>
    <n v="31"/>
    <n v="31"/>
    <n v="0"/>
    <n v="0"/>
    <n v="100"/>
    <s v="Consolidation"/>
    <s v="CO2e and Base Measure"/>
    <n v="100"/>
    <n v="100"/>
    <n v="0.25"/>
    <m/>
    <m/>
    <m/>
    <m/>
    <m/>
    <n v="0.32640000000000002"/>
    <m/>
    <n v="0.32640000000000002"/>
    <m/>
    <m/>
    <m/>
    <m/>
    <m/>
    <s v="AUD"/>
    <s v="13634011Waste - General [t] - Scope 3"/>
    <n v="13634011"/>
  </r>
  <r>
    <d v="2019-07-01T00:00:00"/>
    <d v="2021-06-30T00:00:00"/>
    <s v="Telstra"/>
    <s v="NETWORK"/>
    <s v="Network - InfraCo"/>
    <s v="NSW"/>
    <s v="Australia"/>
    <s v="Liverpool"/>
    <s v="AUSTRAL EXCHANGE"/>
    <n v="423030318200"/>
    <s v="Recycled Waste"/>
    <x v="0"/>
    <x v="5"/>
    <s v="Account"/>
    <s v="Remondis Construction &amp; Demolition - Recycled"/>
    <m/>
    <s v="423030318200_RCONSDEM"/>
    <s v="CONSTRUCTION &amp; DEMOLITION - RECYLED"/>
    <s v="Remondis"/>
    <m/>
    <m/>
    <d v="2020-07-01T00:00:00"/>
    <d v="2020-07-01T00:00:00"/>
    <s v="FY21"/>
    <s v="t"/>
    <n v="0"/>
    <n v="0"/>
    <n v="0.1007"/>
    <n v="0.1007"/>
    <n v="0"/>
    <n v="0"/>
    <n v="1"/>
    <n v="1"/>
    <n v="0"/>
    <n v="0"/>
    <n v="100"/>
    <s v="Consolidation"/>
    <s v="CO2e and Base Measure"/>
    <n v="100"/>
    <n v="100"/>
    <n v="0.1"/>
    <m/>
    <m/>
    <m/>
    <m/>
    <m/>
    <m/>
    <m/>
    <m/>
    <m/>
    <m/>
    <m/>
    <m/>
    <m/>
    <s v="AUD"/>
    <s v="13602596Waste Recycled - Construction and Demolition [t]"/>
    <n v="13602596"/>
  </r>
  <r>
    <d v="2019-07-01T00:00:00"/>
    <d v="2021-06-30T00:00:00"/>
    <s v="Telstra"/>
    <s v="NETWORK"/>
    <s v="Network - InfraCo"/>
    <s v="NSW"/>
    <s v="Australia"/>
    <s v="Liverpool"/>
    <s v="AUSTRAL EXCHANGE"/>
    <n v="423030318200"/>
    <s v="Recycled Waste"/>
    <x v="0"/>
    <x v="5"/>
    <s v="Account"/>
    <s v="Remondis Metal - Mixed All"/>
    <m/>
    <s v="423030318200_RMETMIXED"/>
    <s v="METAL - MIXED ALL"/>
    <s v="Remondis"/>
    <m/>
    <m/>
    <d v="2020-07-01T00:00:00"/>
    <d v="2020-07-01T00:00:00"/>
    <s v="FY21"/>
    <s v="t"/>
    <n v="0"/>
    <n v="0"/>
    <n v="2.5499999999999998E-2"/>
    <n v="2.5499999999999998E-2"/>
    <n v="0"/>
    <n v="0"/>
    <n v="1"/>
    <n v="1"/>
    <n v="0"/>
    <n v="0"/>
    <n v="100"/>
    <s v="Consolidation"/>
    <s v="CO2e and Base Measure"/>
    <n v="100"/>
    <n v="100"/>
    <n v="0.03"/>
    <m/>
    <m/>
    <m/>
    <m/>
    <m/>
    <m/>
    <m/>
    <m/>
    <m/>
    <m/>
    <m/>
    <m/>
    <m/>
    <s v="AUD"/>
    <s v="13611161Waste Recycled - Construction and Demolition [t]"/>
    <n v="13611161"/>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07-01T00:00:00"/>
    <s v="FY21"/>
    <s v="t"/>
    <n v="0"/>
    <n v="0.189"/>
    <n v="0"/>
    <n v="0.189"/>
    <n v="0"/>
    <n v="3"/>
    <n v="0"/>
    <n v="3"/>
    <n v="0"/>
    <n v="100"/>
    <n v="0"/>
    <s v="Consolidation"/>
    <s v="CO2e and Base Measure"/>
    <n v="100"/>
    <n v="100"/>
    <n v="0.19"/>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122Waste Recycled - Cardboard [t]"/>
    <n v="13564122"/>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123Waste - General [t] - Scope 3"/>
    <n v="13564123"/>
  </r>
  <r>
    <d v="2019-07-01T00:00:00"/>
    <d v="2021-06-30T00:00:00"/>
    <s v="Telstra"/>
    <s v="NETWORK"/>
    <s v="Network - InfraCo"/>
    <s v="QLD"/>
    <s v="Australia"/>
    <s v="Ayr"/>
    <s v="AYR EXCHANGE"/>
    <n v="423030037500"/>
    <s v="Waste"/>
    <x v="1"/>
    <x v="2"/>
    <s v="Account"/>
    <s v="Remondis Cardboard - Loose - Landfill"/>
    <m/>
    <s v="423030037500_WCARDBOAR"/>
    <s v="CARDBOARD - LOOSE - LANDFILL"/>
    <s v="Remondis"/>
    <m/>
    <d v="2020-09-11T00:00:00"/>
    <d v="2020-10-01T00:00:00"/>
    <d v="2020-09-01T00:00:00"/>
    <s v="FY21"/>
    <s v="t"/>
    <n v="0"/>
    <n v="0.105"/>
    <n v="0"/>
    <n v="0.105"/>
    <n v="0"/>
    <n v="1"/>
    <n v="0"/>
    <n v="1"/>
    <n v="0"/>
    <n v="100"/>
    <n v="0"/>
    <s v="Consolidation"/>
    <s v="CO2e and Base Measure"/>
    <n v="100"/>
    <n v="100"/>
    <n v="0.11"/>
    <m/>
    <m/>
    <m/>
    <m/>
    <m/>
    <n v="0.13650000000000001"/>
    <m/>
    <n v="0.13650000000000001"/>
    <m/>
    <m/>
    <m/>
    <m/>
    <m/>
    <s v="AUD"/>
    <s v="13629322Waste - General [t] - Scope 3"/>
    <n v="13629322"/>
  </r>
  <r>
    <d v="2019-07-01T00:00:00"/>
    <d v="2021-06-30T00:00:00"/>
    <s v="Telstra"/>
    <s v="NETWORK"/>
    <s v="Network - InfraCo"/>
    <s v="QLD"/>
    <s v="Australia"/>
    <s v="Ayr"/>
    <s v="AYR EXCHANGE"/>
    <n v="423030037500"/>
    <s v="Waste"/>
    <x v="1"/>
    <x v="2"/>
    <s v="Account"/>
    <s v="Remondis Cardboard - Loose - Landfill"/>
    <m/>
    <s v="423030037500_WCARDBOAR"/>
    <s v="CARDBOARD - LOOSE - LANDFILL"/>
    <s v="Remondis"/>
    <m/>
    <d v="2020-09-11T00:00:00"/>
    <d v="2020-10-01T00:00:00"/>
    <d v="2020-10-01T00:00:00"/>
    <s v="FY21"/>
    <s v="t"/>
    <n v="0"/>
    <n v="0"/>
    <n v="3.5999999999999999E-3"/>
    <n v="3.5999999999999999E-3"/>
    <n v="0"/>
    <n v="0"/>
    <n v="1"/>
    <n v="1"/>
    <n v="0"/>
    <n v="0"/>
    <n v="100"/>
    <s v="Consolidation"/>
    <s v="CO2e and Base Measure"/>
    <n v="100"/>
    <n v="100"/>
    <n v="0"/>
    <m/>
    <m/>
    <m/>
    <m/>
    <m/>
    <n v="4.7000000000000002E-3"/>
    <m/>
    <n v="4.7000000000000002E-3"/>
    <m/>
    <m/>
    <m/>
    <m/>
    <m/>
    <s v="AUD"/>
    <s v="13629322Waste - General [t] - Scope 3"/>
    <n v="13629322"/>
  </r>
  <r>
    <d v="2019-07-01T00:00:00"/>
    <d v="2021-06-30T00:00:00"/>
    <s v="Telstra"/>
    <s v="NETWORK"/>
    <s v="Network - InfraCo"/>
    <s v="QLD"/>
    <s v="Australia"/>
    <s v="Ayr"/>
    <s v="AYR EXCHANGE"/>
    <n v="423030037500"/>
    <s v="Recycled Waste"/>
    <x v="0"/>
    <x v="1"/>
    <s v="Account"/>
    <s v="Remondis Batteries - Mixed Recycled"/>
    <m/>
    <s v="423030037500_RBATTERY."/>
    <s v="BATTERIES - MIXED RECYCLED"/>
    <s v="Remondis"/>
    <m/>
    <d v="2020-09-17T00:00:00"/>
    <d v="2020-10-01T00:00:00"/>
    <d v="2020-09-01T00:00:00"/>
    <s v="FY21"/>
    <s v="t"/>
    <n v="1.4850000000000001"/>
    <n v="0"/>
    <n v="0"/>
    <n v="1.4850000000000001"/>
    <n v="1"/>
    <n v="0"/>
    <n v="0"/>
    <n v="1"/>
    <n v="100"/>
    <n v="0"/>
    <n v="0"/>
    <s v="Consolidation"/>
    <s v="CO2e and Base Measure"/>
    <n v="100"/>
    <n v="100"/>
    <n v="1.49"/>
    <m/>
    <m/>
    <m/>
    <m/>
    <m/>
    <m/>
    <m/>
    <m/>
    <m/>
    <m/>
    <m/>
    <m/>
    <m/>
    <s v="AUD"/>
    <s v="13629335Waste Recycled - E-waste [t]"/>
    <n v="13629335"/>
  </r>
  <r>
    <d v="2019-07-01T00:00:00"/>
    <d v="2021-06-30T00:00:00"/>
    <s v="Telstra"/>
    <s v="NETWORK"/>
    <s v="Network - InfraCo"/>
    <s v="QLD"/>
    <s v="Australia"/>
    <s v="Ayr"/>
    <s v="AYR EXCHANGE"/>
    <n v="423030037500"/>
    <s v="Recycled Waste"/>
    <x v="0"/>
    <x v="1"/>
    <s v="Account"/>
    <s v="Remondis Batteries - Mixed Recycled"/>
    <m/>
    <s v="423030037500_RBATTERY."/>
    <s v="BATTERIES - MIXED RECYCLED"/>
    <s v="Remondis"/>
    <m/>
    <d v="2020-09-17T00:00:00"/>
    <d v="2020-10-01T00:00:00"/>
    <d v="2020-10-01T00:00:00"/>
    <s v="FY21"/>
    <s v="t"/>
    <n v="0"/>
    <n v="0"/>
    <n v="5.1200000000000002E-2"/>
    <n v="5.1200000000000002E-2"/>
    <n v="0"/>
    <n v="0"/>
    <n v="1"/>
    <n v="1"/>
    <n v="0"/>
    <n v="0"/>
    <n v="100"/>
    <s v="Consolidation"/>
    <s v="CO2e and Base Measure"/>
    <n v="100"/>
    <n v="100"/>
    <n v="0.05"/>
    <m/>
    <m/>
    <m/>
    <m/>
    <m/>
    <m/>
    <m/>
    <m/>
    <m/>
    <m/>
    <m/>
    <m/>
    <m/>
    <s v="AUD"/>
    <s v="13629335Waste Recycled - E-waste [t]"/>
    <n v="13629335"/>
  </r>
  <r>
    <d v="2019-07-01T00:00:00"/>
    <d v="2021-06-30T00:00:00"/>
    <s v="Telstra"/>
    <s v="NETWORK"/>
    <s v="Network - InfraCo"/>
    <s v="QLD"/>
    <s v="Australia"/>
    <s v="Ayr"/>
    <s v="AYR EXCHANGE"/>
    <n v="423030037500"/>
    <s v="Waste"/>
    <x v="1"/>
    <x v="2"/>
    <s v="Account"/>
    <s v="CLEANAWAY General"/>
    <m/>
    <s v="56395_Landfill_General"/>
    <s v="General"/>
    <s v="Cleanaway"/>
    <m/>
    <d v="2020-12-08T00:00:00"/>
    <m/>
    <d v="2020-12-01T00:00:00"/>
    <s v="FY21"/>
    <s v="t"/>
    <n v="8.6999999999999994E-2"/>
    <n v="0"/>
    <n v="0"/>
    <n v="8.6999999999999994E-2"/>
    <n v="2"/>
    <n v="0"/>
    <n v="0"/>
    <n v="2"/>
    <n v="100"/>
    <n v="0"/>
    <n v="0"/>
    <s v="Consolidation"/>
    <s v="CO2e and Base Measure"/>
    <n v="100"/>
    <n v="100"/>
    <n v="0.09"/>
    <m/>
    <m/>
    <m/>
    <m/>
    <m/>
    <n v="0.11310000000000001"/>
    <m/>
    <n v="0.11310000000000001"/>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1-01T00:00:00"/>
    <s v="FY21"/>
    <s v="t"/>
    <n v="0.108"/>
    <n v="0.13500000000000001"/>
    <n v="0"/>
    <n v="0.24299999999999999"/>
    <n v="1"/>
    <n v="1"/>
    <n v="0"/>
    <n v="2"/>
    <n v="44.44"/>
    <n v="55.55"/>
    <n v="0"/>
    <s v="Consolidation"/>
    <s v="CO2e and Base Measure"/>
    <n v="100"/>
    <n v="100"/>
    <n v="0.24"/>
    <m/>
    <m/>
    <m/>
    <m/>
    <m/>
    <n v="0.31590000000000001"/>
    <m/>
    <n v="0.31590000000000001"/>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2-01T00:00:00"/>
    <s v="FY21"/>
    <s v="t"/>
    <n v="0.4"/>
    <n v="0"/>
    <n v="0"/>
    <n v="0.4"/>
    <n v="2"/>
    <n v="0"/>
    <n v="0"/>
    <n v="2"/>
    <n v="100"/>
    <n v="0"/>
    <n v="0"/>
    <s v="Consolidation"/>
    <s v="CO2e and Base Measure"/>
    <n v="100"/>
    <n v="100"/>
    <n v="0.4"/>
    <m/>
    <m/>
    <m/>
    <m/>
    <m/>
    <n v="0.52"/>
    <m/>
    <n v="0.52"/>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3-01T00:00:00"/>
    <s v="FY21"/>
    <s v="t"/>
    <n v="0.40500000000000003"/>
    <n v="0"/>
    <n v="0"/>
    <n v="0.40500000000000003"/>
    <n v="3"/>
    <n v="0"/>
    <n v="0"/>
    <n v="3"/>
    <n v="100"/>
    <n v="0"/>
    <n v="0"/>
    <s v="Consolidation"/>
    <s v="CO2e and Base Measure"/>
    <n v="100"/>
    <n v="100"/>
    <n v="0.41"/>
    <m/>
    <m/>
    <m/>
    <m/>
    <m/>
    <n v="0.52649999999999997"/>
    <m/>
    <n v="0.52649999999999997"/>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4-01T00:00:00"/>
    <s v="FY21"/>
    <s v="t"/>
    <n v="0"/>
    <n v="0"/>
    <n v="0.28499999999999998"/>
    <n v="0.28499999999999998"/>
    <n v="0"/>
    <n v="0"/>
    <n v="30"/>
    <n v="30"/>
    <n v="0"/>
    <n v="0"/>
    <n v="100"/>
    <s v="Consolidation"/>
    <s v="CO2e and Base Measure"/>
    <n v="100"/>
    <n v="100"/>
    <n v="0.28999999999999998"/>
    <m/>
    <m/>
    <m/>
    <m/>
    <m/>
    <n v="0.3705"/>
    <m/>
    <n v="0.3705"/>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5-01T00:00:00"/>
    <s v="FY21"/>
    <s v="t"/>
    <n v="0"/>
    <n v="0"/>
    <n v="0.29449999999999998"/>
    <n v="0.29449999999999998"/>
    <n v="0"/>
    <n v="0"/>
    <n v="31"/>
    <n v="31"/>
    <n v="0"/>
    <n v="0"/>
    <n v="100"/>
    <s v="Consolidation"/>
    <s v="CO2e and Base Measure"/>
    <n v="100"/>
    <n v="100"/>
    <n v="0.28999999999999998"/>
    <m/>
    <m/>
    <m/>
    <m/>
    <m/>
    <n v="0.38290000000000002"/>
    <m/>
    <n v="0.38290000000000002"/>
    <m/>
    <m/>
    <m/>
    <m/>
    <m/>
    <s v="AUD"/>
    <s v="13634012Waste - General [t] - Scope 3"/>
    <n v="13634012"/>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0-12-01T00:00:00"/>
    <s v="FY21"/>
    <s v="t"/>
    <n v="0.11799999999999999"/>
    <n v="0.22500000000000001"/>
    <n v="0"/>
    <n v="0.34300000000000003"/>
    <n v="1"/>
    <n v="3"/>
    <n v="0"/>
    <n v="4"/>
    <n v="34.4"/>
    <n v="65.59"/>
    <n v="0"/>
    <s v="Consolidation"/>
    <s v="CO2e and Base Measure"/>
    <n v="100"/>
    <n v="100"/>
    <n v="0.34"/>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1-01T00:00:00"/>
    <s v="FY21"/>
    <s v="t"/>
    <n v="0"/>
    <n v="0.3"/>
    <n v="0"/>
    <n v="0.3"/>
    <n v="0"/>
    <n v="4"/>
    <n v="0"/>
    <n v="4"/>
    <n v="0"/>
    <n v="100"/>
    <n v="0"/>
    <s v="Consolidation"/>
    <s v="CO2e and Base Measure"/>
    <n v="100"/>
    <n v="100"/>
    <n v="0.3"/>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2-01T00:00:00"/>
    <s v="FY21"/>
    <s v="t"/>
    <n v="0"/>
    <n v="0.3"/>
    <n v="0"/>
    <n v="0.3"/>
    <n v="0"/>
    <n v="4"/>
    <n v="0"/>
    <n v="4"/>
    <n v="0"/>
    <n v="100"/>
    <n v="0"/>
    <s v="Consolidation"/>
    <s v="CO2e and Base Measure"/>
    <n v="100"/>
    <n v="100"/>
    <n v="0.3"/>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3-01T00:00:00"/>
    <s v="FY21"/>
    <s v="t"/>
    <n v="0"/>
    <n v="0.375"/>
    <n v="0"/>
    <n v="0.375"/>
    <n v="0"/>
    <n v="5"/>
    <n v="0"/>
    <n v="5"/>
    <n v="0"/>
    <n v="100"/>
    <n v="0"/>
    <s v="Consolidation"/>
    <s v="CO2e and Base Measure"/>
    <n v="100"/>
    <n v="100"/>
    <n v="0.38"/>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4-01T00:00:00"/>
    <s v="FY21"/>
    <s v="t"/>
    <n v="0"/>
    <n v="0"/>
    <n v="0.33"/>
    <n v="0.33"/>
    <n v="0"/>
    <n v="0"/>
    <n v="30"/>
    <n v="30"/>
    <n v="0"/>
    <n v="0"/>
    <n v="100"/>
    <s v="Consolidation"/>
    <s v="CO2e and Base Measure"/>
    <n v="100"/>
    <n v="100"/>
    <n v="0.33"/>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5-01T00:00:00"/>
    <s v="FY21"/>
    <s v="t"/>
    <n v="0"/>
    <n v="0"/>
    <n v="0.34100000000000003"/>
    <n v="0.34100000000000003"/>
    <n v="0"/>
    <n v="0"/>
    <n v="31"/>
    <n v="31"/>
    <n v="0"/>
    <n v="0"/>
    <n v="100"/>
    <s v="Consolidation"/>
    <s v="CO2e and Base Measure"/>
    <n v="100"/>
    <n v="100"/>
    <n v="0.34"/>
    <m/>
    <m/>
    <m/>
    <m/>
    <m/>
    <m/>
    <m/>
    <m/>
    <m/>
    <m/>
    <m/>
    <m/>
    <m/>
    <s v="AUD"/>
    <s v="13634013Waste Recycled - Paper and Cardboard [t]"/>
    <n v="13634013"/>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312Waste - General [t] - Scope 3"/>
    <n v="13565312"/>
  </r>
  <r>
    <d v="2019-07-01T00:00:00"/>
    <d v="2021-06-30T00:00:00"/>
    <s v="Telstra"/>
    <s v="NETWORK"/>
    <s v="Network - InfraCo"/>
    <s v="VIC"/>
    <s v="Australia"/>
    <s v="Bacchus Marsh"/>
    <s v="BACCHUS MARSH EXCHANGE __ CMTS"/>
    <n v="423030792200"/>
    <s v="Recycled Waste"/>
    <x v="0"/>
    <x v="5"/>
    <s v="Account"/>
    <s v="Remondis Metal - Mixed All"/>
    <m/>
    <s v="423030792200_RMETMIXED"/>
    <s v="METAL - MIXED ALL"/>
    <s v="Remondis"/>
    <m/>
    <m/>
    <d v="2021-01-01T00:00:00"/>
    <d v="2020-12-01T00:00:00"/>
    <s v="FY21"/>
    <s v="t"/>
    <n v="0"/>
    <n v="0.22500000000000001"/>
    <n v="0"/>
    <n v="0.22500000000000001"/>
    <n v="0"/>
    <n v="1"/>
    <n v="0"/>
    <n v="1"/>
    <n v="0"/>
    <n v="100"/>
    <n v="0"/>
    <s v="Consolidation"/>
    <s v="CO2e and Base Measure"/>
    <n v="100"/>
    <n v="100"/>
    <n v="0.23"/>
    <m/>
    <m/>
    <m/>
    <m/>
    <m/>
    <m/>
    <m/>
    <m/>
    <m/>
    <m/>
    <m/>
    <m/>
    <m/>
    <s v="AUD"/>
    <s v="13566104Waste Recycled - Construction and Demolition [t]"/>
    <n v="13566104"/>
  </r>
  <r>
    <d v="2019-07-01T00:00:00"/>
    <d v="2021-06-30T00:00:00"/>
    <s v="Telstra"/>
    <s v="NETWORK"/>
    <s v="Network - InfraCo"/>
    <s v="VIC"/>
    <s v="Australia"/>
    <s v="Bacchus Marsh"/>
    <s v="BACCHUS MARSH EXCHANGE __ CMTS"/>
    <n v="423030792200"/>
    <s v="Recycled Waste"/>
    <x v="0"/>
    <x v="5"/>
    <s v="Account"/>
    <s v="Remondis Metal - Mixed All"/>
    <m/>
    <s v="423030792200_RMETMIXED"/>
    <s v="METAL - MIXED ALL"/>
    <s v="Remondis"/>
    <m/>
    <m/>
    <d v="2021-01-01T00:00:00"/>
    <d v="2021-01-01T00:00:00"/>
    <s v="FY21"/>
    <s v="t"/>
    <n v="0"/>
    <n v="0"/>
    <n v="7.4999999999999997E-3"/>
    <n v="7.4999999999999997E-3"/>
    <n v="0"/>
    <n v="0"/>
    <n v="1"/>
    <n v="1"/>
    <n v="0"/>
    <n v="0"/>
    <n v="100"/>
    <s v="Consolidation"/>
    <s v="CO2e and Base Measure"/>
    <n v="100"/>
    <n v="100"/>
    <n v="0.01"/>
    <m/>
    <m/>
    <m/>
    <m/>
    <m/>
    <m/>
    <m/>
    <m/>
    <m/>
    <m/>
    <m/>
    <m/>
    <m/>
    <s v="AUD"/>
    <s v="13566104Waste Recycled - Construction and Demolition [t]"/>
    <n v="13566104"/>
  </r>
  <r>
    <d v="2019-07-01T00:00:00"/>
    <d v="2021-06-30T00:00:00"/>
    <s v="Telstra"/>
    <s v="NETWORK"/>
    <s v="Network - InfraCo"/>
    <s v="VIC"/>
    <s v="Australia"/>
    <s v="Bacchus Marsh"/>
    <s v="BACCHUS MARSH EXCHANGE __ CMTS"/>
    <n v="423030792200"/>
    <s v="Waste"/>
    <x v="1"/>
    <x v="2"/>
    <s v="Account"/>
    <s v="CLEANAWAY General"/>
    <m/>
    <s v="26691_Landfill_General"/>
    <s v="General"/>
    <s v="Cleanaway"/>
    <m/>
    <d v="2021-02-09T00:00:00"/>
    <m/>
    <d v="2021-02-01T00:00:00"/>
    <s v="FY21"/>
    <s v="t"/>
    <n v="0"/>
    <n v="0.27"/>
    <n v="0"/>
    <n v="0.27"/>
    <n v="0"/>
    <n v="2"/>
    <n v="0"/>
    <n v="2"/>
    <n v="0"/>
    <n v="100"/>
    <n v="0"/>
    <s v="Consolidation"/>
    <s v="CO2e and Base Measure"/>
    <n v="100"/>
    <n v="100"/>
    <n v="0.27"/>
    <m/>
    <m/>
    <m/>
    <m/>
    <m/>
    <n v="0.35099999999999998"/>
    <m/>
    <n v="0.35099999999999998"/>
    <m/>
    <m/>
    <m/>
    <m/>
    <m/>
    <s v="AUD"/>
    <s v="13639882Waste - General [t] - Scope 3"/>
    <n v="13639882"/>
  </r>
  <r>
    <d v="2019-07-01T00:00:00"/>
    <d v="2021-06-30T00:00:00"/>
    <s v="Telstra"/>
    <s v="NETWORK"/>
    <s v="Network - InfraCo"/>
    <s v="VIC"/>
    <s v="Australia"/>
    <s v="Bacchus Marsh"/>
    <s v="BACCHUS MARSH EXCHANGE __ CMTS"/>
    <n v="423030792200"/>
    <s v="Waste"/>
    <x v="1"/>
    <x v="2"/>
    <s v="Account"/>
    <s v="CLEANAWAY General"/>
    <m/>
    <s v="26691_Landfill_General"/>
    <s v="General"/>
    <s v="Cleanaway"/>
    <m/>
    <d v="2021-02-09T00:00:00"/>
    <m/>
    <d v="2021-03-01T00:00:00"/>
    <s v="FY21"/>
    <s v="t"/>
    <n v="0.29599999999999999"/>
    <n v="0.13500000000000001"/>
    <n v="0"/>
    <n v="0.43099999999999999"/>
    <n v="3"/>
    <n v="1"/>
    <n v="0"/>
    <n v="4"/>
    <n v="68.67"/>
    <n v="31.32"/>
    <n v="0"/>
    <s v="Consolidation"/>
    <s v="CO2e and Base Measure"/>
    <n v="100"/>
    <n v="100"/>
    <n v="0.43"/>
    <m/>
    <m/>
    <m/>
    <m/>
    <m/>
    <n v="0.56030000000000002"/>
    <m/>
    <n v="0.56030000000000002"/>
    <m/>
    <m/>
    <m/>
    <m/>
    <m/>
    <s v="AUD"/>
    <s v="13639882Waste - General [t] - Scope 3"/>
    <n v="13639882"/>
  </r>
  <r>
    <d v="2019-07-01T00:00:00"/>
    <d v="2021-06-30T00:00:00"/>
    <s v="Telstra"/>
    <s v="NETWORK"/>
    <s v="Network - InfraCo"/>
    <s v="VIC"/>
    <s v="Australia"/>
    <s v="Bacchus Marsh"/>
    <s v="BACCHUS MARSH EXCHANGE __ CMTS"/>
    <n v="423030792200"/>
    <s v="Waste"/>
    <x v="1"/>
    <x v="2"/>
    <s v="Account"/>
    <s v="CLEANAWAY General"/>
    <m/>
    <s v="26691_Landfill_General"/>
    <s v="General"/>
    <s v="Cleanaway"/>
    <m/>
    <d v="2021-02-09T00:00:00"/>
    <m/>
    <d v="2021-04-01T00:00:00"/>
    <s v="FY21"/>
    <s v="t"/>
    <n v="0"/>
    <n v="0"/>
    <n v="0.36299999999999999"/>
    <n v="0.36299999999999999"/>
    <n v="0"/>
    <n v="0"/>
    <n v="30"/>
    <n v="30"/>
    <n v="0"/>
    <n v="0"/>
    <n v="100"/>
    <s v="Consolidation"/>
    <s v="CO2e and Base Measure"/>
    <n v="100"/>
    <n v="100"/>
    <n v="0.36"/>
    <m/>
    <m/>
    <m/>
    <m/>
    <m/>
    <n v="0.47189999999999999"/>
    <m/>
    <n v="0.47189999999999999"/>
    <m/>
    <m/>
    <m/>
    <m/>
    <m/>
    <s v="AUD"/>
    <s v="13639882Waste - General [t] - Scope 3"/>
    <n v="13639882"/>
  </r>
  <r>
    <d v="2019-07-01T00:00:00"/>
    <d v="2021-06-30T00:00:00"/>
    <s v="Telstra"/>
    <s v="NETWORK"/>
    <s v="Network - InfraCo"/>
    <s v="VIC"/>
    <s v="Australia"/>
    <s v="Bacchus Marsh"/>
    <s v="BACCHUS MARSH EXCHANGE __ CMTS"/>
    <n v="423030792200"/>
    <s v="Waste"/>
    <x v="1"/>
    <x v="2"/>
    <s v="Account"/>
    <s v="CLEANAWAY General"/>
    <m/>
    <s v="26691_Landfill_General"/>
    <s v="General"/>
    <s v="Cleanaway"/>
    <m/>
    <d v="2021-02-09T00:00:00"/>
    <m/>
    <d v="2021-05-01T00:00:00"/>
    <s v="FY21"/>
    <s v="t"/>
    <n v="0"/>
    <n v="0"/>
    <n v="0.37509999999999999"/>
    <n v="0.37509999999999999"/>
    <n v="0"/>
    <n v="0"/>
    <n v="31"/>
    <n v="31"/>
    <n v="0"/>
    <n v="0"/>
    <n v="100"/>
    <s v="Consolidation"/>
    <s v="CO2e and Base Measure"/>
    <n v="100"/>
    <n v="100"/>
    <n v="0.38"/>
    <m/>
    <m/>
    <m/>
    <m/>
    <m/>
    <n v="0.48759999999999998"/>
    <m/>
    <n v="0.48759999999999998"/>
    <m/>
    <m/>
    <m/>
    <m/>
    <m/>
    <s v="AUD"/>
    <s v="13639882Waste - General [t] - Scope 3"/>
    <n v="13639882"/>
  </r>
  <r>
    <d v="2019-07-01T00:00:00"/>
    <d v="2021-06-30T00:00:00"/>
    <s v="Telstra"/>
    <s v="NETWORK"/>
    <s v="Network - InfraCo"/>
    <s v="VIC"/>
    <s v="Australia"/>
    <s v="Bairnsdale"/>
    <s v="BAIRNSDALE EXCHANGE_RT"/>
    <n v="423030553800"/>
    <s v="Waste"/>
    <x v="1"/>
    <x v="4"/>
    <s v="Account"/>
    <s v="Remondis Asbestos"/>
    <m/>
    <s v="423030553800_WASBESTOS"/>
    <s v="ASBESTOS"/>
    <s v="Remondis"/>
    <m/>
    <m/>
    <d v="2020-07-01T00:00:00"/>
    <d v="2020-07-01T00:00:00"/>
    <s v="FY21"/>
    <s v="t"/>
    <n v="0"/>
    <n v="0"/>
    <n v="1.3100000000000001E-2"/>
    <n v="1.3100000000000001E-2"/>
    <n v="0"/>
    <n v="0"/>
    <n v="1"/>
    <n v="1"/>
    <n v="0"/>
    <n v="0"/>
    <n v="100"/>
    <s v="Consolidation"/>
    <s v="CO2e and Base Measure"/>
    <n v="100"/>
    <n v="100"/>
    <n v="0.01"/>
    <m/>
    <m/>
    <m/>
    <m/>
    <m/>
    <n v="1.5699999999999999E-2"/>
    <m/>
    <n v="1.5699999999999999E-2"/>
    <m/>
    <m/>
    <m/>
    <m/>
    <m/>
    <s v="AUD"/>
    <s v="13564810Waste - Construction and Demolition [t]"/>
    <n v="13564810"/>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0-12-01T00:00:00"/>
    <s v="FY21"/>
    <s v="t"/>
    <n v="0"/>
    <n v="3.2500000000000001E-2"/>
    <n v="0"/>
    <n v="3.2500000000000001E-2"/>
    <n v="0"/>
    <n v="1"/>
    <n v="0"/>
    <n v="1"/>
    <n v="0"/>
    <n v="100"/>
    <n v="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1-01T00:00:00"/>
    <s v="FY21"/>
    <s v="t"/>
    <n v="0"/>
    <n v="0"/>
    <n v="3.4099999999999998E-2"/>
    <n v="3.4099999999999998E-2"/>
    <n v="0"/>
    <n v="0"/>
    <n v="31"/>
    <n v="31"/>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2-01T00:00:00"/>
    <s v="FY21"/>
    <s v="t"/>
    <n v="0"/>
    <n v="0"/>
    <n v="3.0800000000000001E-2"/>
    <n v="3.0800000000000001E-2"/>
    <n v="0"/>
    <n v="0"/>
    <n v="28"/>
    <n v="28"/>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3-01T00:00:00"/>
    <s v="FY21"/>
    <s v="t"/>
    <n v="0"/>
    <n v="0"/>
    <n v="3.4099999999999998E-2"/>
    <n v="3.4099999999999998E-2"/>
    <n v="0"/>
    <n v="0"/>
    <n v="31"/>
    <n v="31"/>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4-01T00:00:00"/>
    <s v="FY21"/>
    <s v="t"/>
    <n v="0"/>
    <n v="0"/>
    <n v="3.3000000000000002E-2"/>
    <n v="3.3000000000000002E-2"/>
    <n v="0"/>
    <n v="0"/>
    <n v="30"/>
    <n v="30"/>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5-01T00:00:00"/>
    <s v="FY21"/>
    <s v="t"/>
    <n v="0"/>
    <n v="0"/>
    <n v="3.4099999999999998E-2"/>
    <n v="3.4099999999999998E-2"/>
    <n v="0"/>
    <n v="0"/>
    <n v="31"/>
    <n v="31"/>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07-01T00:00:00"/>
    <s v="FY21"/>
    <s v="t"/>
    <n v="0"/>
    <n v="0.97499999999999998"/>
    <n v="0"/>
    <n v="0.97499999999999998"/>
    <n v="0"/>
    <n v="5"/>
    <n v="0"/>
    <n v="5"/>
    <n v="0"/>
    <n v="100"/>
    <n v="0"/>
    <s v="Consolidation"/>
    <s v="CO2e and Base Measure"/>
    <n v="100"/>
    <n v="100"/>
    <n v="0.98"/>
    <m/>
    <m/>
    <m/>
    <m/>
    <m/>
    <n v="1.2675000000000001"/>
    <m/>
    <n v="1.2675000000000001"/>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08-01T00:00:00"/>
    <s v="FY21"/>
    <s v="t"/>
    <n v="0"/>
    <n v="0.78"/>
    <n v="0"/>
    <n v="0.78"/>
    <n v="0"/>
    <n v="4"/>
    <n v="0"/>
    <n v="4"/>
    <n v="0"/>
    <n v="100"/>
    <n v="0"/>
    <s v="Consolidation"/>
    <s v="CO2e and Base Measure"/>
    <n v="100"/>
    <n v="100"/>
    <n v="0.78"/>
    <m/>
    <m/>
    <m/>
    <m/>
    <m/>
    <n v="1.014"/>
    <m/>
    <n v="1.014"/>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09-01T00:00:00"/>
    <s v="FY21"/>
    <s v="t"/>
    <n v="0"/>
    <n v="0.78"/>
    <n v="0"/>
    <n v="0.78"/>
    <n v="0"/>
    <n v="4"/>
    <n v="0"/>
    <n v="4"/>
    <n v="0"/>
    <n v="100"/>
    <n v="0"/>
    <s v="Consolidation"/>
    <s v="CO2e and Base Measure"/>
    <n v="100"/>
    <n v="100"/>
    <n v="0.78"/>
    <m/>
    <m/>
    <m/>
    <m/>
    <m/>
    <n v="1.014"/>
    <m/>
    <n v="1.014"/>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11-01T00:00:00"/>
    <s v="FY21"/>
    <s v="t"/>
    <n v="0"/>
    <n v="0.78"/>
    <n v="0"/>
    <n v="0.78"/>
    <n v="0"/>
    <n v="4"/>
    <n v="0"/>
    <n v="4"/>
    <n v="0"/>
    <n v="100"/>
    <n v="0"/>
    <s v="Consolidation"/>
    <s v="CO2e and Base Measure"/>
    <n v="100"/>
    <n v="100"/>
    <n v="0.78"/>
    <m/>
    <m/>
    <m/>
    <m/>
    <m/>
    <n v="1.014"/>
    <m/>
    <n v="1.014"/>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64812Waste - General [t] - Scope 3"/>
    <n v="13564812"/>
  </r>
  <r>
    <d v="2019-07-01T00:00:00"/>
    <d v="2021-06-30T00:00:00"/>
    <s v="Telstra"/>
    <s v="NETWORK"/>
    <s v="Network - InfraCo"/>
    <s v="VIC"/>
    <s v="Australia"/>
    <s v="Bairnsdale"/>
    <s v="BAIRNSDALE EXCHANGE_RT"/>
    <n v="423030553800"/>
    <s v="Recycled Waste"/>
    <x v="0"/>
    <x v="5"/>
    <s v="Account"/>
    <s v="Remondis Construction &amp; Demolition - Recycled"/>
    <m/>
    <s v="423030553800_RCONSDEM"/>
    <s v="CONSTRUCTION &amp; DEMOLITION - RECYLED"/>
    <s v="Remondis"/>
    <m/>
    <d v="2020-06-17T00:00:00"/>
    <d v="2020-07-01T00:00:00"/>
    <d v="2020-07-01T00:00:00"/>
    <s v="FY21"/>
    <s v="t"/>
    <n v="0"/>
    <n v="0"/>
    <n v="1.7269000000000001"/>
    <n v="1.7269000000000001"/>
    <n v="0"/>
    <n v="0"/>
    <n v="1"/>
    <n v="1"/>
    <n v="0"/>
    <n v="0"/>
    <n v="100"/>
    <s v="Consolidation"/>
    <s v="CO2e and Base Measure"/>
    <n v="100"/>
    <n v="100"/>
    <n v="1.73"/>
    <m/>
    <m/>
    <m/>
    <m/>
    <m/>
    <m/>
    <m/>
    <m/>
    <m/>
    <m/>
    <m/>
    <m/>
    <m/>
    <s v="AUD"/>
    <s v="13612601Waste Recycled - Construction and Demolition [t]"/>
    <n v="13612601"/>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0-12-01T00:00:00"/>
    <s v="FY21"/>
    <s v="t"/>
    <n v="0.60399999999999998"/>
    <n v="0.13500000000000001"/>
    <n v="0"/>
    <n v="0.73899999999999999"/>
    <n v="4"/>
    <n v="1"/>
    <n v="0"/>
    <n v="5"/>
    <n v="81.73"/>
    <n v="18.260000000000002"/>
    <n v="0"/>
    <s v="Consolidation"/>
    <s v="CO2e and Base Measure"/>
    <n v="100"/>
    <n v="100"/>
    <n v="0.74"/>
    <m/>
    <m/>
    <m/>
    <m/>
    <m/>
    <n v="0.9607"/>
    <m/>
    <n v="0.9607"/>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1-01T00:00:00"/>
    <s v="FY21"/>
    <s v="t"/>
    <n v="0.252"/>
    <n v="0.13500000000000001"/>
    <n v="0"/>
    <n v="0.38700000000000001"/>
    <n v="2"/>
    <n v="1"/>
    <n v="0"/>
    <n v="3"/>
    <n v="65.11"/>
    <n v="34.880000000000003"/>
    <n v="0"/>
    <s v="Consolidation"/>
    <s v="CO2e and Base Measure"/>
    <n v="100"/>
    <n v="100"/>
    <n v="0.39"/>
    <m/>
    <m/>
    <m/>
    <m/>
    <m/>
    <n v="0.50309999999999999"/>
    <m/>
    <n v="0.50309999999999999"/>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2-01T00:00:00"/>
    <s v="FY21"/>
    <s v="t"/>
    <n v="0.65200000000000002"/>
    <n v="0"/>
    <n v="0"/>
    <n v="0.65200000000000002"/>
    <n v="4"/>
    <n v="0"/>
    <n v="0"/>
    <n v="4"/>
    <n v="100"/>
    <n v="0"/>
    <n v="0"/>
    <s v="Consolidation"/>
    <s v="CO2e and Base Measure"/>
    <n v="100"/>
    <n v="100"/>
    <n v="0.65"/>
    <m/>
    <m/>
    <m/>
    <m/>
    <m/>
    <n v="0.84760000000000002"/>
    <m/>
    <n v="0.84760000000000002"/>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3-01T00:00:00"/>
    <s v="FY21"/>
    <s v="t"/>
    <n v="0.91"/>
    <n v="0"/>
    <n v="0"/>
    <n v="0.91"/>
    <n v="4"/>
    <n v="0"/>
    <n v="0"/>
    <n v="4"/>
    <n v="100"/>
    <n v="0"/>
    <n v="0"/>
    <s v="Consolidation"/>
    <s v="CO2e and Base Measure"/>
    <n v="100"/>
    <n v="100"/>
    <n v="0.91"/>
    <m/>
    <m/>
    <m/>
    <m/>
    <m/>
    <n v="1.1830000000000001"/>
    <m/>
    <n v="1.1830000000000001"/>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4-01T00:00:00"/>
    <s v="FY21"/>
    <s v="t"/>
    <n v="0"/>
    <n v="0"/>
    <n v="0.67200000000000004"/>
    <n v="0.67200000000000004"/>
    <n v="0"/>
    <n v="0"/>
    <n v="30"/>
    <n v="30"/>
    <n v="0"/>
    <n v="0"/>
    <n v="100"/>
    <s v="Consolidation"/>
    <s v="CO2e and Base Measure"/>
    <n v="100"/>
    <n v="100"/>
    <n v="0.67"/>
    <m/>
    <m/>
    <m/>
    <m/>
    <m/>
    <n v="0.87360000000000004"/>
    <m/>
    <n v="0.87360000000000004"/>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5-01T00:00:00"/>
    <s v="FY21"/>
    <s v="t"/>
    <n v="0"/>
    <n v="0"/>
    <n v="0.69440000000000002"/>
    <n v="0.69440000000000002"/>
    <n v="0"/>
    <n v="0"/>
    <n v="31"/>
    <n v="31"/>
    <n v="0"/>
    <n v="0"/>
    <n v="100"/>
    <s v="Consolidation"/>
    <s v="CO2e and Base Measure"/>
    <n v="100"/>
    <n v="100"/>
    <n v="0.69"/>
    <m/>
    <m/>
    <m/>
    <m/>
    <m/>
    <n v="0.90269999999999995"/>
    <m/>
    <n v="0.90269999999999995"/>
    <m/>
    <m/>
    <m/>
    <m/>
    <m/>
    <s v="AUD"/>
    <s v="13634014Waste - General [t] - Scope 3"/>
    <n v="13634014"/>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0-12-01T00:00:00"/>
    <s v="FY21"/>
    <s v="t"/>
    <n v="0"/>
    <n v="3.7499999999999999E-2"/>
    <n v="0"/>
    <n v="3.7499999999999999E-2"/>
    <n v="0"/>
    <n v="1"/>
    <n v="0"/>
    <n v="1"/>
    <n v="0"/>
    <n v="100"/>
    <n v="0"/>
    <s v="Consolidation"/>
    <s v="CO2e and Base Measure"/>
    <n v="100"/>
    <n v="100"/>
    <n v="0.04"/>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1-01T00:00:00"/>
    <s v="FY21"/>
    <s v="t"/>
    <n v="2.1000000000000001E-2"/>
    <n v="3.7499999999999999E-2"/>
    <n v="0"/>
    <n v="5.8500000000000003E-2"/>
    <n v="1"/>
    <n v="1"/>
    <n v="0"/>
    <n v="2"/>
    <n v="35.89"/>
    <n v="64.099999999999994"/>
    <n v="0"/>
    <s v="Consolidation"/>
    <s v="CO2e and Base Measure"/>
    <n v="100"/>
    <n v="100"/>
    <n v="0.06"/>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2-01T00:00:00"/>
    <s v="FY21"/>
    <s v="t"/>
    <n v="0.02"/>
    <n v="0.1125"/>
    <n v="0"/>
    <n v="0.13250000000000001"/>
    <n v="1"/>
    <n v="2"/>
    <n v="0"/>
    <n v="3"/>
    <n v="15.09"/>
    <n v="84.9"/>
    <n v="0"/>
    <s v="Consolidation"/>
    <s v="CO2e and Base Measure"/>
    <n v="100"/>
    <n v="100"/>
    <n v="0.13"/>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3-01T00:00:00"/>
    <s v="FY21"/>
    <s v="t"/>
    <n v="0.1"/>
    <n v="7.4999999999999997E-2"/>
    <n v="0"/>
    <n v="0.17499999999999999"/>
    <n v="1"/>
    <n v="2"/>
    <n v="0"/>
    <n v="3"/>
    <n v="57.14"/>
    <n v="42.85"/>
    <n v="0"/>
    <s v="Consolidation"/>
    <s v="CO2e and Base Measure"/>
    <n v="100"/>
    <n v="100"/>
    <n v="0.18"/>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4-01T00:00:00"/>
    <s v="FY21"/>
    <s v="t"/>
    <n v="0"/>
    <n v="0"/>
    <n v="0.10199999999999999"/>
    <n v="0.10199999999999999"/>
    <n v="0"/>
    <n v="0"/>
    <n v="30"/>
    <n v="30"/>
    <n v="0"/>
    <n v="0"/>
    <n v="100"/>
    <s v="Consolidation"/>
    <s v="CO2e and Base Measure"/>
    <n v="100"/>
    <n v="100"/>
    <n v="0.1"/>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5-01T00:00:00"/>
    <s v="FY21"/>
    <s v="t"/>
    <n v="0"/>
    <n v="0"/>
    <n v="0.10539999999999999"/>
    <n v="0.10539999999999999"/>
    <n v="0"/>
    <n v="0"/>
    <n v="31"/>
    <n v="31"/>
    <n v="0"/>
    <n v="0"/>
    <n v="100"/>
    <s v="Consolidation"/>
    <s v="CO2e and Base Measure"/>
    <n v="100"/>
    <n v="100"/>
    <n v="0.11"/>
    <m/>
    <m/>
    <m/>
    <m/>
    <m/>
    <m/>
    <m/>
    <m/>
    <m/>
    <m/>
    <m/>
    <m/>
    <m/>
    <s v="AUD"/>
    <s v="13634015Waste Recycled - Paper and Cardboard [t]"/>
    <n v="13634015"/>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817Waste - General [t] - Scope 3"/>
    <n v="13564817"/>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817Waste - General [t] - Scope 3"/>
    <n v="13564817"/>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4817Waste - General [t] - Scope 3"/>
    <n v="13564817"/>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817Waste - General [t] - Scope 3"/>
    <n v="13564817"/>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12-01T00:00:00"/>
    <s v="FY21"/>
    <s v="t"/>
    <n v="0"/>
    <n v="0"/>
    <n v="5.1000000000000004E-3"/>
    <n v="5.1000000000000004E-3"/>
    <n v="0"/>
    <n v="0"/>
    <n v="1"/>
    <n v="1"/>
    <n v="0"/>
    <n v="0"/>
    <n v="100"/>
    <s v="Consolidation"/>
    <s v="CO2e and Base Measure"/>
    <n v="100"/>
    <n v="100"/>
    <n v="0.01"/>
    <m/>
    <m/>
    <m/>
    <m/>
    <m/>
    <n v="6.6E-3"/>
    <m/>
    <n v="6.6E-3"/>
    <m/>
    <m/>
    <m/>
    <m/>
    <m/>
    <s v="AUD"/>
    <s v="13564817Waste - General [t] - Scope 3"/>
    <n v="13564817"/>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1-01T00:00:00"/>
    <s v="FY21"/>
    <s v="t"/>
    <n v="0.26"/>
    <n v="0"/>
    <n v="0"/>
    <n v="0.26"/>
    <n v="1"/>
    <n v="0"/>
    <n v="0"/>
    <n v="1"/>
    <n v="100"/>
    <n v="0"/>
    <n v="0"/>
    <s v="Consolidation"/>
    <s v="CO2e and Base Measure"/>
    <n v="100"/>
    <n v="100"/>
    <n v="0.26"/>
    <m/>
    <m/>
    <m/>
    <m/>
    <m/>
    <n v="0.33800000000000002"/>
    <m/>
    <n v="0.33800000000000002"/>
    <m/>
    <m/>
    <m/>
    <m/>
    <m/>
    <s v="AUD"/>
    <s v="13634414Waste - General [t] - Scope 3"/>
    <n v="13634414"/>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2-01T00:00:00"/>
    <s v="FY21"/>
    <s v="t"/>
    <n v="0.21"/>
    <n v="0"/>
    <n v="0"/>
    <n v="0.21"/>
    <n v="1"/>
    <n v="0"/>
    <n v="0"/>
    <n v="1"/>
    <n v="100"/>
    <n v="0"/>
    <n v="0"/>
    <s v="Consolidation"/>
    <s v="CO2e and Base Measure"/>
    <n v="100"/>
    <n v="100"/>
    <n v="0.21"/>
    <m/>
    <m/>
    <m/>
    <m/>
    <m/>
    <n v="0.27300000000000002"/>
    <m/>
    <n v="0.27300000000000002"/>
    <m/>
    <m/>
    <m/>
    <m/>
    <m/>
    <s v="AUD"/>
    <s v="13634414Waste - General [t] - Scope 3"/>
    <n v="13634414"/>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3-01T00:00:00"/>
    <s v="FY21"/>
    <s v="t"/>
    <n v="0.19900000000000001"/>
    <n v="0"/>
    <n v="0"/>
    <n v="0.19900000000000001"/>
    <n v="1"/>
    <n v="0"/>
    <n v="0"/>
    <n v="1"/>
    <n v="100"/>
    <n v="0"/>
    <n v="0"/>
    <s v="Consolidation"/>
    <s v="CO2e and Base Measure"/>
    <n v="100"/>
    <n v="100"/>
    <n v="0.2"/>
    <m/>
    <m/>
    <m/>
    <m/>
    <m/>
    <n v="0.25869999999999999"/>
    <m/>
    <n v="0.25869999999999999"/>
    <m/>
    <m/>
    <m/>
    <m/>
    <m/>
    <s v="AUD"/>
    <s v="13634414Waste - General [t] - Scope 3"/>
    <n v="13634414"/>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4-01T00:00:00"/>
    <s v="FY21"/>
    <s v="t"/>
    <n v="0"/>
    <n v="0"/>
    <n v="0.22500000000000001"/>
    <n v="0.22500000000000001"/>
    <n v="0"/>
    <n v="0"/>
    <n v="30"/>
    <n v="30"/>
    <n v="0"/>
    <n v="0"/>
    <n v="100"/>
    <s v="Consolidation"/>
    <s v="CO2e and Base Measure"/>
    <n v="100"/>
    <n v="100"/>
    <n v="0.23"/>
    <m/>
    <m/>
    <m/>
    <m/>
    <m/>
    <n v="0.29249999999999998"/>
    <m/>
    <n v="0.29249999999999998"/>
    <m/>
    <m/>
    <m/>
    <m/>
    <m/>
    <s v="AUD"/>
    <s v="13634414Waste - General [t] - Scope 3"/>
    <n v="13634414"/>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5-01T00:00:00"/>
    <s v="FY21"/>
    <s v="t"/>
    <n v="0"/>
    <n v="0"/>
    <n v="0.23250000000000001"/>
    <n v="0.23250000000000001"/>
    <n v="0"/>
    <n v="0"/>
    <n v="31"/>
    <n v="31"/>
    <n v="0"/>
    <n v="0"/>
    <n v="100"/>
    <s v="Consolidation"/>
    <s v="CO2e and Base Measure"/>
    <n v="100"/>
    <n v="100"/>
    <n v="0.23"/>
    <m/>
    <m/>
    <m/>
    <m/>
    <m/>
    <n v="0.30230000000000001"/>
    <m/>
    <n v="0.30230000000000001"/>
    <m/>
    <m/>
    <m/>
    <m/>
    <m/>
    <s v="AUD"/>
    <s v="13634414Waste - General [t] - Scope 3"/>
    <n v="13634414"/>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08-01T00:00:00"/>
    <s v="FY21"/>
    <s v="t"/>
    <n v="0"/>
    <n v="0.189"/>
    <n v="0"/>
    <n v="0.189"/>
    <n v="0"/>
    <n v="3"/>
    <n v="0"/>
    <n v="3"/>
    <n v="0"/>
    <n v="100"/>
    <n v="0"/>
    <s v="Consolidation"/>
    <s v="CO2e and Base Measure"/>
    <n v="100"/>
    <n v="100"/>
    <n v="0.19"/>
    <m/>
    <m/>
    <m/>
    <m/>
    <m/>
    <m/>
    <n v="0"/>
    <m/>
    <m/>
    <m/>
    <m/>
    <m/>
    <m/>
    <s v="AUD"/>
    <s v="13565157Waste Recycled - Cardboard [t]"/>
    <n v="13565157"/>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157Waste Recycled - Cardboard [t]"/>
    <n v="13565157"/>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10-01T00:00:00"/>
    <s v="FY21"/>
    <s v="t"/>
    <n v="0"/>
    <n v="0.252"/>
    <n v="0"/>
    <n v="0.252"/>
    <n v="0"/>
    <n v="4"/>
    <n v="0"/>
    <n v="4"/>
    <n v="0"/>
    <n v="100"/>
    <n v="0"/>
    <s v="Consolidation"/>
    <s v="CO2e and Base Measure"/>
    <n v="100"/>
    <n v="100"/>
    <n v="0.25"/>
    <m/>
    <m/>
    <m/>
    <m/>
    <m/>
    <m/>
    <n v="0"/>
    <m/>
    <m/>
    <m/>
    <m/>
    <m/>
    <m/>
    <s v="AUD"/>
    <s v="13565157Waste Recycled - Cardboard [t]"/>
    <n v="13565157"/>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11-01T00:00:00"/>
    <s v="FY21"/>
    <s v="t"/>
    <n v="0"/>
    <n v="0.315"/>
    <n v="0"/>
    <n v="0.315"/>
    <n v="0"/>
    <n v="5"/>
    <n v="0"/>
    <n v="5"/>
    <n v="0"/>
    <n v="100"/>
    <n v="0"/>
    <s v="Consolidation"/>
    <s v="CO2e and Base Measure"/>
    <n v="100"/>
    <n v="100"/>
    <n v="0.32"/>
    <m/>
    <m/>
    <m/>
    <m/>
    <m/>
    <m/>
    <n v="0"/>
    <m/>
    <m/>
    <m/>
    <m/>
    <m/>
    <m/>
    <s v="AUD"/>
    <s v="13565157Waste Recycled - Cardboard [t]"/>
    <n v="13565157"/>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12-01T00:00:00"/>
    <s v="FY21"/>
    <s v="t"/>
    <n v="0"/>
    <n v="0"/>
    <n v="7.3000000000000001E-3"/>
    <n v="7.3000000000000001E-3"/>
    <n v="0"/>
    <n v="0"/>
    <n v="1"/>
    <n v="1"/>
    <n v="0"/>
    <n v="0"/>
    <n v="100"/>
    <s v="Consolidation"/>
    <s v="CO2e and Base Measure"/>
    <n v="100"/>
    <n v="100"/>
    <n v="0.01"/>
    <m/>
    <m/>
    <m/>
    <m/>
    <m/>
    <m/>
    <n v="0"/>
    <m/>
    <m/>
    <m/>
    <m/>
    <m/>
    <m/>
    <s v="AUD"/>
    <s v="13565157Waste Recycled - Cardboard [t]"/>
    <n v="13565157"/>
  </r>
  <r>
    <d v="2019-07-01T00:00:00"/>
    <d v="2021-06-30T00:00:00"/>
    <s v="Telstra"/>
    <s v="NETWORK"/>
    <s v="Network - InfraCo"/>
    <s v="VIC"/>
    <s v="Australia"/>
    <s v="Ballarat Central"/>
    <s v="BALLARAT EXCHANGE"/>
    <n v="423030732000"/>
    <s v="Recycled Waste"/>
    <x v="0"/>
    <x v="3"/>
    <s v="Account"/>
    <s v="Remondis Commingled - Recycled"/>
    <m/>
    <s v="423030732000_RCOMINGLE"/>
    <s v="COMMINGLED - RECYCLED"/>
    <s v="Remondis"/>
    <m/>
    <m/>
    <d v="2020-10-01T00:00:00"/>
    <d v="2020-09-01T00:00:00"/>
    <s v="FY21"/>
    <s v="t"/>
    <n v="0"/>
    <n v="7.1999999999999995E-2"/>
    <n v="0"/>
    <n v="7.1999999999999995E-2"/>
    <n v="0"/>
    <n v="2"/>
    <n v="0"/>
    <n v="2"/>
    <n v="0"/>
    <n v="100"/>
    <n v="0"/>
    <s v="Consolidation"/>
    <s v="CO2e and Base Measure"/>
    <n v="100"/>
    <n v="100"/>
    <n v="7.0000000000000007E-2"/>
    <m/>
    <m/>
    <m/>
    <m/>
    <m/>
    <m/>
    <n v="0"/>
    <m/>
    <m/>
    <m/>
    <m/>
    <m/>
    <m/>
    <s v="AUD"/>
    <s v="13565158Waste Recycled - Commingled [t]"/>
    <n v="13565158"/>
  </r>
  <r>
    <d v="2019-07-01T00:00:00"/>
    <d v="2021-06-30T00:00:00"/>
    <s v="Telstra"/>
    <s v="NETWORK"/>
    <s v="Network - InfraCo"/>
    <s v="VIC"/>
    <s v="Australia"/>
    <s v="Ballarat Central"/>
    <s v="BALLARAT EXCHANGE"/>
    <n v="423030732000"/>
    <s v="Recycled Waste"/>
    <x v="0"/>
    <x v="3"/>
    <s v="Account"/>
    <s v="Remondis Commingled - Recycled"/>
    <m/>
    <s v="423030732000_RCOMINGLE"/>
    <s v="COMMINGLED - RECYCLED"/>
    <s v="Remondis"/>
    <m/>
    <m/>
    <d v="2020-10-01T00:00:00"/>
    <d v="2020-10-01T00:00:00"/>
    <s v="FY21"/>
    <s v="t"/>
    <n v="0"/>
    <n v="0"/>
    <n v="2.5000000000000001E-3"/>
    <n v="2.5000000000000001E-3"/>
    <n v="0"/>
    <n v="0"/>
    <n v="1"/>
    <n v="1"/>
    <n v="0"/>
    <n v="0"/>
    <n v="100"/>
    <s v="Consolidation"/>
    <s v="CO2e and Base Measure"/>
    <n v="100"/>
    <n v="100"/>
    <n v="0"/>
    <m/>
    <m/>
    <m/>
    <m/>
    <m/>
    <m/>
    <n v="0"/>
    <m/>
    <m/>
    <m/>
    <m/>
    <m/>
    <m/>
    <s v="AUD"/>
    <s v="13565158Waste Recycled - Commingled [t]"/>
    <n v="13565158"/>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08-01T00:00:00"/>
    <s v="FY21"/>
    <s v="t"/>
    <n v="0.75"/>
    <n v="0.19500000000000001"/>
    <n v="0"/>
    <n v="0.94499999999999995"/>
    <n v="2"/>
    <n v="1"/>
    <n v="0"/>
    <n v="3"/>
    <n v="79.36"/>
    <n v="20.63"/>
    <n v="0"/>
    <s v="Consolidation"/>
    <s v="CO2e and Base Measure"/>
    <n v="100"/>
    <n v="100"/>
    <n v="0.95"/>
    <m/>
    <m/>
    <m/>
    <m/>
    <m/>
    <n v="1.2284999999999999"/>
    <m/>
    <n v="1.2284999999999999"/>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09-01T00:00:00"/>
    <s v="FY21"/>
    <s v="t"/>
    <n v="0.28000000000000003"/>
    <n v="0.19500000000000001"/>
    <n v="0"/>
    <n v="0.47499999999999998"/>
    <n v="1"/>
    <n v="1"/>
    <n v="0"/>
    <n v="2"/>
    <n v="58.94"/>
    <n v="41.05"/>
    <n v="0"/>
    <s v="Consolidation"/>
    <s v="CO2e and Base Measure"/>
    <n v="100"/>
    <n v="100"/>
    <n v="0.48"/>
    <m/>
    <m/>
    <m/>
    <m/>
    <m/>
    <n v="0.61750000000000005"/>
    <m/>
    <n v="0.61750000000000005"/>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10-01T00:00:00"/>
    <s v="FY21"/>
    <s v="t"/>
    <n v="0"/>
    <n v="0.58499999999999996"/>
    <n v="0"/>
    <n v="0.58499999999999996"/>
    <n v="0"/>
    <n v="2"/>
    <n v="0"/>
    <n v="2"/>
    <n v="0"/>
    <n v="100"/>
    <n v="0"/>
    <s v="Consolidation"/>
    <s v="CO2e and Base Measure"/>
    <n v="100"/>
    <n v="100"/>
    <n v="0.59"/>
    <m/>
    <m/>
    <m/>
    <m/>
    <m/>
    <n v="0.76049999999999995"/>
    <m/>
    <n v="0.76049999999999995"/>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12-01T00:00:00"/>
    <s v="FY21"/>
    <s v="t"/>
    <n v="0"/>
    <n v="0"/>
    <n v="2.8400000000000002E-2"/>
    <n v="2.8400000000000002E-2"/>
    <n v="0"/>
    <n v="0"/>
    <n v="1"/>
    <n v="1"/>
    <n v="0"/>
    <n v="0"/>
    <n v="100"/>
    <s v="Consolidation"/>
    <s v="CO2e and Base Measure"/>
    <n v="100"/>
    <n v="100"/>
    <n v="0.03"/>
    <m/>
    <m/>
    <m/>
    <m/>
    <m/>
    <n v="3.6900000000000002E-2"/>
    <m/>
    <n v="3.6900000000000002E-2"/>
    <m/>
    <m/>
    <m/>
    <m/>
    <m/>
    <s v="AUD"/>
    <s v="13565160Waste - General [t] - Scope 3"/>
    <n v="13565160"/>
  </r>
  <r>
    <d v="2019-07-01T00:00:00"/>
    <d v="2021-06-30T00:00:00"/>
    <s v="Telstra"/>
    <s v="NETWORK"/>
    <s v="Network - InfraCo"/>
    <s v="VIC"/>
    <s v="Australia"/>
    <s v="Ballarat Central"/>
    <s v="BALLARAT EXCHANGE"/>
    <n v="423030732000"/>
    <s v="Recycled Waste"/>
    <x v="0"/>
    <x v="5"/>
    <s v="Account"/>
    <s v="Remondis Metal - Mixed All"/>
    <m/>
    <s v="423030732000_RMETMIXED"/>
    <s v="METAL - MIXED ALL"/>
    <s v="Remondis"/>
    <m/>
    <m/>
    <d v="2021-01-01T00:00:00"/>
    <d v="2020-07-01T00:00:00"/>
    <s v="FY21"/>
    <s v="t"/>
    <n v="0.50800000000000001"/>
    <n v="0"/>
    <n v="0"/>
    <n v="0.50800000000000001"/>
    <n v="1"/>
    <n v="0"/>
    <n v="0"/>
    <n v="1"/>
    <n v="100"/>
    <n v="0"/>
    <n v="0"/>
    <s v="Consolidation"/>
    <s v="CO2e and Base Measure"/>
    <n v="100"/>
    <n v="100"/>
    <n v="0.51"/>
    <m/>
    <m/>
    <m/>
    <m/>
    <m/>
    <m/>
    <m/>
    <m/>
    <m/>
    <m/>
    <m/>
    <m/>
    <m/>
    <s v="AUD"/>
    <s v="13565161Waste Recycled - Construction and Demolition [t]"/>
    <n v="13565161"/>
  </r>
  <r>
    <d v="2019-07-01T00:00:00"/>
    <d v="2021-06-30T00:00:00"/>
    <s v="Telstra"/>
    <s v="NETWORK"/>
    <s v="Network - InfraCo"/>
    <s v="VIC"/>
    <s v="Australia"/>
    <s v="Ballarat Central"/>
    <s v="BALLARAT EXCHANGE"/>
    <n v="423030732000"/>
    <s v="Recycled Waste"/>
    <x v="0"/>
    <x v="5"/>
    <s v="Account"/>
    <s v="Remondis Metal - Mixed All"/>
    <m/>
    <s v="4230307320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5161Waste Recycled - Construction and Demolition [t]"/>
    <n v="13565161"/>
  </r>
  <r>
    <d v="2019-07-01T00:00:00"/>
    <d v="2021-06-30T00:00:00"/>
    <s v="Telstra"/>
    <s v="NETWORK"/>
    <s v="Network - InfraCo"/>
    <s v="VIC"/>
    <s v="Australia"/>
    <s v="Ballarat Central"/>
    <s v="BALLARAT EXCHANGE"/>
    <n v="423030732000"/>
    <s v="Recycled Waste"/>
    <x v="0"/>
    <x v="5"/>
    <s v="Account"/>
    <s v="Remondis Metal - Mixed All"/>
    <m/>
    <s v="423030732000_RMETMIXED"/>
    <s v="METAL - MIXED ALL"/>
    <s v="Remondis"/>
    <m/>
    <m/>
    <d v="2021-01-01T00:00:00"/>
    <d v="2021-01-01T00:00:00"/>
    <s v="FY21"/>
    <s v="t"/>
    <n v="0"/>
    <n v="0"/>
    <n v="5.5999999999999999E-3"/>
    <n v="5.5999999999999999E-3"/>
    <n v="0"/>
    <n v="0"/>
    <n v="1"/>
    <n v="1"/>
    <n v="0"/>
    <n v="0"/>
    <n v="100"/>
    <s v="Consolidation"/>
    <s v="CO2e and Base Measure"/>
    <n v="100"/>
    <n v="100"/>
    <n v="0.01"/>
    <m/>
    <m/>
    <m/>
    <m/>
    <m/>
    <m/>
    <m/>
    <m/>
    <m/>
    <m/>
    <m/>
    <m/>
    <m/>
    <s v="AUD"/>
    <s v="13565161Waste Recycled - Construction and Demolition [t]"/>
    <n v="13565161"/>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6Hazardous Waste [t]"/>
    <n v="1363342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0-12-01T00:00:00"/>
    <s v="FY21"/>
    <s v="t"/>
    <n v="0.13600000000000001"/>
    <n v="0"/>
    <n v="0"/>
    <n v="0.13600000000000001"/>
    <n v="1"/>
    <n v="0"/>
    <n v="0"/>
    <n v="1"/>
    <n v="100"/>
    <n v="0"/>
    <n v="0"/>
    <s v="Consolidation"/>
    <s v="CO2e and Base Measure"/>
    <n v="100"/>
    <n v="100"/>
    <n v="0.14000000000000001"/>
    <m/>
    <m/>
    <m/>
    <m/>
    <m/>
    <n v="0.17680000000000001"/>
    <m/>
    <n v="0.17680000000000001"/>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1-01T00:00:00"/>
    <s v="FY21"/>
    <s v="t"/>
    <n v="0.21299999999999999"/>
    <n v="0"/>
    <n v="0"/>
    <n v="0.21299999999999999"/>
    <n v="2"/>
    <n v="0"/>
    <n v="0"/>
    <n v="2"/>
    <n v="100"/>
    <n v="0"/>
    <n v="0"/>
    <s v="Consolidation"/>
    <s v="CO2e and Base Measure"/>
    <n v="100"/>
    <n v="100"/>
    <n v="0.21"/>
    <m/>
    <m/>
    <m/>
    <m/>
    <m/>
    <n v="0.27689999999999998"/>
    <m/>
    <n v="0.27689999999999998"/>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2-01T00:00:00"/>
    <s v="FY21"/>
    <s v="t"/>
    <n v="0.315"/>
    <n v="0"/>
    <n v="0"/>
    <n v="0.315"/>
    <n v="2"/>
    <n v="0"/>
    <n v="0"/>
    <n v="2"/>
    <n v="100"/>
    <n v="0"/>
    <n v="0"/>
    <s v="Consolidation"/>
    <s v="CO2e and Base Measure"/>
    <n v="100"/>
    <n v="100"/>
    <n v="0.32"/>
    <m/>
    <m/>
    <m/>
    <m/>
    <m/>
    <n v="0.40949999999999998"/>
    <m/>
    <n v="0.40949999999999998"/>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3-01T00:00:00"/>
    <s v="FY21"/>
    <s v="t"/>
    <n v="0.47599999999999998"/>
    <n v="0"/>
    <n v="0"/>
    <n v="0.47599999999999998"/>
    <n v="2"/>
    <n v="0"/>
    <n v="0"/>
    <n v="2"/>
    <n v="100"/>
    <n v="0"/>
    <n v="0"/>
    <s v="Consolidation"/>
    <s v="CO2e and Base Measure"/>
    <n v="100"/>
    <n v="100"/>
    <n v="0.48"/>
    <m/>
    <m/>
    <m/>
    <m/>
    <m/>
    <n v="0.61880000000000002"/>
    <m/>
    <n v="0.61880000000000002"/>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4-01T00:00:00"/>
    <s v="FY21"/>
    <s v="t"/>
    <n v="0"/>
    <n v="0"/>
    <n v="0.28499999999999998"/>
    <n v="0.28499999999999998"/>
    <n v="0"/>
    <n v="0"/>
    <n v="30"/>
    <n v="30"/>
    <n v="0"/>
    <n v="0"/>
    <n v="100"/>
    <s v="Consolidation"/>
    <s v="CO2e and Base Measure"/>
    <n v="100"/>
    <n v="100"/>
    <n v="0.28999999999999998"/>
    <m/>
    <m/>
    <m/>
    <m/>
    <m/>
    <n v="0.3705"/>
    <m/>
    <n v="0.3705"/>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5-01T00:00:00"/>
    <s v="FY21"/>
    <s v="t"/>
    <n v="0"/>
    <n v="0"/>
    <n v="0.29449999999999998"/>
    <n v="0.29449999999999998"/>
    <n v="0"/>
    <n v="0"/>
    <n v="31"/>
    <n v="31"/>
    <n v="0"/>
    <n v="0"/>
    <n v="100"/>
    <s v="Consolidation"/>
    <s v="CO2e and Base Measure"/>
    <n v="100"/>
    <n v="100"/>
    <n v="0.28999999999999998"/>
    <m/>
    <m/>
    <m/>
    <m/>
    <m/>
    <n v="0.38290000000000002"/>
    <m/>
    <n v="0.38290000000000002"/>
    <m/>
    <m/>
    <m/>
    <m/>
    <m/>
    <s v="AUD"/>
    <s v="13634016Waste - General [t] - Scope 3"/>
    <n v="13634016"/>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0-12-01T00:00:00"/>
    <s v="FY21"/>
    <s v="t"/>
    <n v="5.5E-2"/>
    <n v="0"/>
    <n v="0"/>
    <n v="5.5E-2"/>
    <n v="1"/>
    <n v="0"/>
    <n v="0"/>
    <n v="1"/>
    <n v="100"/>
    <n v="0"/>
    <n v="0"/>
    <s v="Consolidation"/>
    <s v="CO2e and Base Measure"/>
    <n v="100"/>
    <n v="100"/>
    <n v="0.06"/>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1-01T00:00:00"/>
    <s v="FY21"/>
    <s v="t"/>
    <n v="9.0999999999999998E-2"/>
    <n v="0"/>
    <n v="0"/>
    <n v="9.0999999999999998E-2"/>
    <n v="2"/>
    <n v="0"/>
    <n v="0"/>
    <n v="2"/>
    <n v="100"/>
    <n v="0"/>
    <n v="0"/>
    <s v="Consolidation"/>
    <s v="CO2e and Base Measure"/>
    <n v="100"/>
    <n v="100"/>
    <n v="0.09"/>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2-01T00:00:00"/>
    <s v="FY21"/>
    <s v="t"/>
    <n v="0"/>
    <n v="7.4999999999999997E-2"/>
    <n v="0"/>
    <n v="7.4999999999999997E-2"/>
    <n v="0"/>
    <n v="1"/>
    <n v="0"/>
    <n v="1"/>
    <n v="0"/>
    <n v="100"/>
    <n v="0"/>
    <s v="Consolidation"/>
    <s v="CO2e and Base Measure"/>
    <n v="100"/>
    <n v="100"/>
    <n v="0.08"/>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3-01T00:00:00"/>
    <s v="FY21"/>
    <s v="t"/>
    <n v="0.219"/>
    <n v="0"/>
    <n v="0"/>
    <n v="0.219"/>
    <n v="3"/>
    <n v="0"/>
    <n v="0"/>
    <n v="3"/>
    <n v="100"/>
    <n v="0"/>
    <n v="0"/>
    <s v="Consolidation"/>
    <s v="CO2e and Base Measure"/>
    <n v="100"/>
    <n v="100"/>
    <n v="0.22"/>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4-01T00:00:00"/>
    <s v="FY21"/>
    <s v="t"/>
    <n v="0"/>
    <n v="0"/>
    <n v="0.111"/>
    <n v="0.111"/>
    <n v="0"/>
    <n v="0"/>
    <n v="30"/>
    <n v="30"/>
    <n v="0"/>
    <n v="0"/>
    <n v="100"/>
    <s v="Consolidation"/>
    <s v="CO2e and Base Measure"/>
    <n v="100"/>
    <n v="100"/>
    <n v="0.11"/>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5-01T00:00:00"/>
    <s v="FY21"/>
    <s v="t"/>
    <n v="0"/>
    <n v="0"/>
    <n v="0.1147"/>
    <n v="0.1147"/>
    <n v="0"/>
    <n v="0"/>
    <n v="31"/>
    <n v="31"/>
    <n v="0"/>
    <n v="0"/>
    <n v="100"/>
    <s v="Consolidation"/>
    <s v="CO2e and Base Measure"/>
    <n v="100"/>
    <n v="100"/>
    <n v="0.11"/>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1-01T00:00:00"/>
    <s v="FY21"/>
    <s v="t"/>
    <n v="0"/>
    <n v="9.5999999999999992E-3"/>
    <n v="0"/>
    <n v="9.5999999999999992E-3"/>
    <n v="0"/>
    <n v="1"/>
    <n v="0"/>
    <n v="1"/>
    <n v="0"/>
    <n v="100"/>
    <n v="0"/>
    <s v="Consolidation"/>
    <s v="CO2e and Base Measure"/>
    <n v="100"/>
    <n v="100"/>
    <n v="0.01"/>
    <m/>
    <m/>
    <m/>
    <m/>
    <m/>
    <m/>
    <n v="0"/>
    <m/>
    <m/>
    <m/>
    <m/>
    <m/>
    <m/>
    <s v="AUD"/>
    <s v="13634415Waste Recycled - Commingled [t]"/>
    <n v="13634415"/>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2-01T00:00:00"/>
    <s v="FY21"/>
    <s v="t"/>
    <n v="0"/>
    <n v="9.5999999999999992E-3"/>
    <n v="0"/>
    <n v="9.5999999999999992E-3"/>
    <n v="0"/>
    <n v="1"/>
    <n v="0"/>
    <n v="1"/>
    <n v="0"/>
    <n v="100"/>
    <n v="0"/>
    <s v="Consolidation"/>
    <s v="CO2e and Base Measure"/>
    <n v="100"/>
    <n v="100"/>
    <n v="0.01"/>
    <m/>
    <m/>
    <m/>
    <m/>
    <m/>
    <m/>
    <n v="0"/>
    <m/>
    <m/>
    <m/>
    <m/>
    <m/>
    <m/>
    <s v="AUD"/>
    <s v="13634415Waste Recycled - Commingled [t]"/>
    <n v="13634415"/>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3-01T00:00:00"/>
    <s v="FY21"/>
    <s v="t"/>
    <n v="0"/>
    <n v="9.5999999999999992E-3"/>
    <n v="0"/>
    <n v="9.5999999999999992E-3"/>
    <n v="0"/>
    <n v="1"/>
    <n v="0"/>
    <n v="1"/>
    <n v="0"/>
    <n v="100"/>
    <n v="0"/>
    <s v="Consolidation"/>
    <s v="CO2e and Base Measure"/>
    <n v="100"/>
    <n v="100"/>
    <n v="0.01"/>
    <m/>
    <m/>
    <m/>
    <m/>
    <m/>
    <m/>
    <n v="0"/>
    <m/>
    <m/>
    <m/>
    <m/>
    <m/>
    <m/>
    <s v="AUD"/>
    <s v="13634415Waste Recycled - Commingled [t]"/>
    <n v="13634415"/>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4-01T00:00:00"/>
    <s v="FY21"/>
    <s v="t"/>
    <n v="0"/>
    <n v="0"/>
    <n v="8.9999999999999993E-3"/>
    <n v="8.9999999999999993E-3"/>
    <n v="0"/>
    <n v="0"/>
    <n v="30"/>
    <n v="30"/>
    <n v="0"/>
    <n v="0"/>
    <n v="100"/>
    <s v="Consolidation"/>
    <s v="CO2e and Base Measure"/>
    <n v="100"/>
    <n v="100"/>
    <n v="0.01"/>
    <m/>
    <m/>
    <m/>
    <m/>
    <m/>
    <m/>
    <n v="0"/>
    <m/>
    <m/>
    <m/>
    <m/>
    <m/>
    <m/>
    <s v="AUD"/>
    <s v="13634415Waste Recycled - Commingled [t]"/>
    <n v="13634415"/>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5-01T00:00:00"/>
    <s v="FY21"/>
    <s v="t"/>
    <n v="0"/>
    <n v="0"/>
    <n v="9.2999999999999992E-3"/>
    <n v="9.2999999999999992E-3"/>
    <n v="0"/>
    <n v="0"/>
    <n v="31"/>
    <n v="31"/>
    <n v="0"/>
    <n v="0"/>
    <n v="100"/>
    <s v="Consolidation"/>
    <s v="CO2e and Base Measure"/>
    <n v="100"/>
    <n v="100"/>
    <n v="0.01"/>
    <m/>
    <m/>
    <m/>
    <m/>
    <m/>
    <m/>
    <n v="0"/>
    <m/>
    <m/>
    <m/>
    <m/>
    <m/>
    <m/>
    <s v="AUD"/>
    <s v="13634415Waste Recycled - Commingled [t]"/>
    <n v="13634415"/>
  </r>
  <r>
    <d v="2019-07-01T00:00:00"/>
    <d v="2021-06-30T00:00:00"/>
    <s v="Telstra"/>
    <s v="NON-NETWORK"/>
    <s v="NON-NETWORK"/>
    <s v="NSW"/>
    <s v="Australia"/>
    <s v="Ballina"/>
    <s v="BALLINA 10-14 RACECOURSE RD"/>
    <n v="423030317100"/>
    <s v="Waste"/>
    <x v="1"/>
    <x v="4"/>
    <s v="Account"/>
    <s v="Remondis Asbestos"/>
    <m/>
    <s v="423030317100_WASBESTOS"/>
    <s v="ASBESTOS"/>
    <s v="Remondis"/>
    <m/>
    <m/>
    <d v="2021-01-01T00:00:00"/>
    <d v="2020-09-01T00:00:00"/>
    <s v="FY21"/>
    <s v="t"/>
    <n v="2"/>
    <n v="0"/>
    <n v="0"/>
    <n v="2"/>
    <n v="1"/>
    <n v="0"/>
    <n v="0"/>
    <n v="1"/>
    <n v="100"/>
    <n v="0"/>
    <n v="0"/>
    <s v="Consolidation"/>
    <s v="CO2e and Base Measure"/>
    <n v="100"/>
    <n v="100"/>
    <n v="2"/>
    <m/>
    <m/>
    <m/>
    <m/>
    <m/>
    <n v="2.4"/>
    <m/>
    <n v="2.4"/>
    <m/>
    <m/>
    <m/>
    <m/>
    <m/>
    <s v="AUD"/>
    <s v="13564539Waste - Construction and Demolition [t]"/>
    <n v="13564539"/>
  </r>
  <r>
    <d v="2019-07-01T00:00:00"/>
    <d v="2021-06-30T00:00:00"/>
    <s v="Telstra"/>
    <s v="NON-NETWORK"/>
    <s v="NON-NETWORK"/>
    <s v="NSW"/>
    <s v="Australia"/>
    <s v="Ballina"/>
    <s v="BALLINA 10-14 RACECOURSE RD"/>
    <n v="423030317100"/>
    <s v="Waste"/>
    <x v="1"/>
    <x v="4"/>
    <s v="Account"/>
    <s v="Remondis Asbestos"/>
    <m/>
    <s v="423030317100_WASBESTOS"/>
    <s v="ASBESTOS"/>
    <s v="Remondis"/>
    <m/>
    <m/>
    <d v="2021-01-01T00:00:00"/>
    <d v="2020-12-01T00:00:00"/>
    <s v="FY21"/>
    <s v="t"/>
    <n v="0"/>
    <n v="0.48"/>
    <n v="0"/>
    <n v="0.48"/>
    <n v="0"/>
    <n v="1"/>
    <n v="0"/>
    <n v="1"/>
    <n v="0"/>
    <n v="100"/>
    <n v="0"/>
    <s v="Consolidation"/>
    <s v="CO2e and Base Measure"/>
    <n v="100"/>
    <n v="100"/>
    <n v="0.48"/>
    <m/>
    <m/>
    <m/>
    <m/>
    <m/>
    <n v="0.57599999999999996"/>
    <m/>
    <n v="0.57599999999999996"/>
    <m/>
    <m/>
    <m/>
    <m/>
    <m/>
    <s v="AUD"/>
    <s v="13564539Waste - Construction and Demolition [t]"/>
    <n v="13564539"/>
  </r>
  <r>
    <d v="2019-07-01T00:00:00"/>
    <d v="2021-06-30T00:00:00"/>
    <s v="Telstra"/>
    <s v="NON-NETWORK"/>
    <s v="NON-NETWORK"/>
    <s v="NSW"/>
    <s v="Australia"/>
    <s v="Ballina"/>
    <s v="BALLINA 10-14 RACECOURSE RD"/>
    <n v="423030317100"/>
    <s v="Waste"/>
    <x v="1"/>
    <x v="4"/>
    <s v="Account"/>
    <s v="Remondis Asbestos"/>
    <m/>
    <s v="423030317100_WASBESTOS"/>
    <s v="ASBESTOS"/>
    <s v="Remondis"/>
    <m/>
    <m/>
    <d v="2021-01-01T00:00:00"/>
    <d v="2021-01-01T00:00:00"/>
    <s v="FY21"/>
    <s v="t"/>
    <n v="0"/>
    <n v="0"/>
    <n v="2.0500000000000001E-2"/>
    <n v="2.0500000000000001E-2"/>
    <n v="0"/>
    <n v="0"/>
    <n v="1"/>
    <n v="1"/>
    <n v="0"/>
    <n v="0"/>
    <n v="100"/>
    <s v="Consolidation"/>
    <s v="CO2e and Base Measure"/>
    <n v="100"/>
    <n v="100"/>
    <n v="0.02"/>
    <m/>
    <m/>
    <m/>
    <m/>
    <m/>
    <n v="2.46E-2"/>
    <m/>
    <n v="2.46E-2"/>
    <m/>
    <m/>
    <m/>
    <m/>
    <m/>
    <s v="AUD"/>
    <s v="13564539Waste - Construction and Demolition [t]"/>
    <n v="13564539"/>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07-01T00:00:00"/>
    <s v="FY21"/>
    <s v="t"/>
    <n v="0"/>
    <n v="0.126"/>
    <n v="0"/>
    <n v="0.126"/>
    <n v="0"/>
    <n v="4"/>
    <n v="0"/>
    <n v="4"/>
    <n v="0"/>
    <n v="100"/>
    <n v="0"/>
    <s v="Consolidation"/>
    <s v="CO2e and Base Measure"/>
    <n v="100"/>
    <n v="100"/>
    <n v="0.13"/>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08-01T00:00:00"/>
    <s v="FY21"/>
    <s v="t"/>
    <n v="0"/>
    <n v="0.1575"/>
    <n v="0"/>
    <n v="0.1575"/>
    <n v="0"/>
    <n v="5"/>
    <n v="0"/>
    <n v="5"/>
    <n v="0"/>
    <n v="100"/>
    <n v="0"/>
    <s v="Consolidation"/>
    <s v="CO2e and Base Measure"/>
    <n v="100"/>
    <n v="100"/>
    <n v="0.16"/>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09-01T00:00:00"/>
    <s v="FY21"/>
    <s v="t"/>
    <n v="0"/>
    <n v="0.126"/>
    <n v="0"/>
    <n v="0.126"/>
    <n v="0"/>
    <n v="4"/>
    <n v="0"/>
    <n v="4"/>
    <n v="0"/>
    <n v="100"/>
    <n v="0"/>
    <s v="Consolidation"/>
    <s v="CO2e and Base Measure"/>
    <n v="100"/>
    <n v="100"/>
    <n v="0.13"/>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10-01T00:00:00"/>
    <s v="FY21"/>
    <s v="t"/>
    <n v="0"/>
    <n v="0.126"/>
    <n v="0"/>
    <n v="0.126"/>
    <n v="0"/>
    <n v="4"/>
    <n v="0"/>
    <n v="4"/>
    <n v="0"/>
    <n v="100"/>
    <n v="0"/>
    <s v="Consolidation"/>
    <s v="CO2e and Base Measure"/>
    <n v="100"/>
    <n v="100"/>
    <n v="0.13"/>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11-01T00:00:00"/>
    <s v="FY21"/>
    <s v="t"/>
    <n v="0"/>
    <n v="0.1575"/>
    <n v="0"/>
    <n v="0.1575"/>
    <n v="0"/>
    <n v="5"/>
    <n v="0"/>
    <n v="5"/>
    <n v="0"/>
    <n v="100"/>
    <n v="0"/>
    <s v="Consolidation"/>
    <s v="CO2e and Base Measure"/>
    <n v="100"/>
    <n v="100"/>
    <n v="0.16"/>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12-01T00:00:00"/>
    <s v="FY21"/>
    <s v="t"/>
    <n v="0"/>
    <n v="0"/>
    <n v="4.7000000000000002E-3"/>
    <n v="4.7000000000000002E-3"/>
    <n v="0"/>
    <n v="0"/>
    <n v="1"/>
    <n v="1"/>
    <n v="0"/>
    <n v="0"/>
    <n v="100"/>
    <s v="Consolidation"/>
    <s v="CO2e and Base Measure"/>
    <n v="100"/>
    <n v="100"/>
    <n v="0"/>
    <m/>
    <m/>
    <m/>
    <m/>
    <m/>
    <m/>
    <n v="0"/>
    <m/>
    <m/>
    <m/>
    <m/>
    <m/>
    <m/>
    <s v="AUD"/>
    <s v="13564540Waste Recycled - Cardboard [t]"/>
    <n v="13564540"/>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07-01T00:00:00"/>
    <s v="FY21"/>
    <s v="t"/>
    <n v="0"/>
    <n v="0.78"/>
    <n v="0"/>
    <n v="0.78"/>
    <n v="0"/>
    <n v="4"/>
    <n v="0"/>
    <n v="4"/>
    <n v="0"/>
    <n v="100"/>
    <n v="0"/>
    <s v="Consolidation"/>
    <s v="CO2e and Base Measure"/>
    <n v="100"/>
    <n v="100"/>
    <n v="0.78"/>
    <m/>
    <m/>
    <m/>
    <m/>
    <m/>
    <n v="1.014"/>
    <m/>
    <n v="1.014"/>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08-01T00:00:00"/>
    <s v="FY21"/>
    <s v="t"/>
    <n v="0"/>
    <n v="0.97499999999999998"/>
    <n v="0"/>
    <n v="0.97499999999999998"/>
    <n v="0"/>
    <n v="5"/>
    <n v="0"/>
    <n v="5"/>
    <n v="0"/>
    <n v="100"/>
    <n v="0"/>
    <s v="Consolidation"/>
    <s v="CO2e and Base Measure"/>
    <n v="100"/>
    <n v="100"/>
    <n v="0.98"/>
    <m/>
    <m/>
    <m/>
    <m/>
    <m/>
    <n v="1.2675000000000001"/>
    <m/>
    <n v="1.2675000000000001"/>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09-01T00:00:00"/>
    <s v="FY21"/>
    <s v="t"/>
    <n v="0"/>
    <n v="0.78"/>
    <n v="0"/>
    <n v="0.78"/>
    <n v="0"/>
    <n v="4"/>
    <n v="0"/>
    <n v="4"/>
    <n v="0"/>
    <n v="100"/>
    <n v="0"/>
    <s v="Consolidation"/>
    <s v="CO2e and Base Measure"/>
    <n v="100"/>
    <n v="100"/>
    <n v="0.78"/>
    <m/>
    <m/>
    <m/>
    <m/>
    <m/>
    <n v="1.014"/>
    <m/>
    <n v="1.014"/>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10-01T00:00:00"/>
    <s v="FY21"/>
    <s v="t"/>
    <n v="0"/>
    <n v="0.78"/>
    <n v="0"/>
    <n v="0.78"/>
    <n v="0"/>
    <n v="4"/>
    <n v="0"/>
    <n v="4"/>
    <n v="0"/>
    <n v="100"/>
    <n v="0"/>
    <s v="Consolidation"/>
    <s v="CO2e and Base Measure"/>
    <n v="100"/>
    <n v="100"/>
    <n v="0.78"/>
    <m/>
    <m/>
    <m/>
    <m/>
    <m/>
    <n v="1.014"/>
    <m/>
    <n v="1.014"/>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11-01T00:00:00"/>
    <s v="FY21"/>
    <s v="t"/>
    <n v="0"/>
    <n v="0.97499999999999998"/>
    <n v="0"/>
    <n v="0.97499999999999998"/>
    <n v="0"/>
    <n v="5"/>
    <n v="0"/>
    <n v="5"/>
    <n v="0"/>
    <n v="100"/>
    <n v="0"/>
    <s v="Consolidation"/>
    <s v="CO2e and Base Measure"/>
    <n v="100"/>
    <n v="100"/>
    <n v="0.98"/>
    <m/>
    <m/>
    <m/>
    <m/>
    <m/>
    <n v="1.2675000000000001"/>
    <m/>
    <n v="1.2675000000000001"/>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1-01-01T00:00:00"/>
    <s v="FY21"/>
    <s v="t"/>
    <n v="0"/>
    <n v="0"/>
    <n v="2.5600000000000001E-2"/>
    <n v="2.5600000000000001E-2"/>
    <n v="0"/>
    <n v="0"/>
    <n v="1"/>
    <n v="1"/>
    <n v="0"/>
    <n v="0"/>
    <n v="100"/>
    <s v="Consolidation"/>
    <s v="CO2e and Base Measure"/>
    <n v="100"/>
    <n v="100"/>
    <n v="0.03"/>
    <m/>
    <m/>
    <m/>
    <m/>
    <m/>
    <n v="3.3300000000000003E-2"/>
    <m/>
    <n v="3.3300000000000003E-2"/>
    <m/>
    <m/>
    <m/>
    <m/>
    <m/>
    <s v="AUD"/>
    <s v="13564542Waste - General [t] - Scope 3"/>
    <n v="13564542"/>
  </r>
  <r>
    <d v="2019-07-01T00:00:00"/>
    <d v="2021-06-30T00:00:00"/>
    <s v="Telstra"/>
    <s v="NON-NETWORK"/>
    <s v="NON-NETWORK"/>
    <s v="NSW"/>
    <s v="Australia"/>
    <s v="Ballina"/>
    <s v="BALLINA 10-14 RACECOURSE RD"/>
    <n v="423030317100"/>
    <s v="Recycled Waste"/>
    <x v="0"/>
    <x v="1"/>
    <s v="Account"/>
    <s v="Remondis Batteries - Mixed Recycled"/>
    <m/>
    <s v="423030317100_RBATTERY."/>
    <s v="BATTERIES - MIXED RECYCLED"/>
    <s v="Remondis"/>
    <m/>
    <m/>
    <d v="2020-11-01T00:00:00"/>
    <d v="2020-10-01T00:00:00"/>
    <s v="FY21"/>
    <s v="t"/>
    <n v="0"/>
    <n v="1.3"/>
    <n v="0"/>
    <n v="1.3"/>
    <n v="0"/>
    <n v="1"/>
    <n v="0"/>
    <n v="1"/>
    <n v="0"/>
    <n v="100"/>
    <n v="0"/>
    <s v="Consolidation"/>
    <s v="CO2e and Base Measure"/>
    <n v="100"/>
    <n v="100"/>
    <n v="1.3"/>
    <m/>
    <m/>
    <m/>
    <m/>
    <m/>
    <m/>
    <m/>
    <m/>
    <m/>
    <m/>
    <m/>
    <m/>
    <m/>
    <s v="AUD"/>
    <s v="13596903Waste Recycled - E-waste [t]"/>
    <n v="13596903"/>
  </r>
  <r>
    <d v="2019-07-01T00:00:00"/>
    <d v="2021-06-30T00:00:00"/>
    <s v="Telstra"/>
    <s v="NON-NETWORK"/>
    <s v="NON-NETWORK"/>
    <s v="NSW"/>
    <s v="Australia"/>
    <s v="Ballina"/>
    <s v="BALLINA 10-14 RACECOURSE RD"/>
    <n v="423030317100"/>
    <s v="Recycled Waste"/>
    <x v="0"/>
    <x v="1"/>
    <s v="Account"/>
    <s v="Remondis Batteries - Mixed Recycled"/>
    <m/>
    <s v="423030317100_RBATTERY."/>
    <s v="BATTERIES - MIXED RECYCLED"/>
    <s v="Remondis"/>
    <m/>
    <m/>
    <d v="2020-11-01T00:00:00"/>
    <d v="2020-11-01T00:00:00"/>
    <s v="FY21"/>
    <s v="t"/>
    <n v="0"/>
    <n v="0"/>
    <n v="4.3299999999999998E-2"/>
    <n v="4.3299999999999998E-2"/>
    <n v="0"/>
    <n v="0"/>
    <n v="1"/>
    <n v="1"/>
    <n v="0"/>
    <n v="0"/>
    <n v="100"/>
    <s v="Consolidation"/>
    <s v="CO2e and Base Measure"/>
    <n v="100"/>
    <n v="100"/>
    <n v="0.04"/>
    <m/>
    <m/>
    <m/>
    <m/>
    <m/>
    <m/>
    <m/>
    <m/>
    <m/>
    <m/>
    <m/>
    <m/>
    <m/>
    <s v="AUD"/>
    <s v="13596903Waste Recycled - E-waste [t]"/>
    <n v="13596903"/>
  </r>
  <r>
    <d v="2019-07-01T00:00:00"/>
    <d v="2021-06-30T00:00:00"/>
    <s v="Telstra"/>
    <s v="NON-NETWORK"/>
    <s v="NON-NETWORK"/>
    <s v="NSW"/>
    <s v="Australia"/>
    <s v="Ballina"/>
    <s v="BALLINA 10-14 RACECOURSE RD"/>
    <n v="423030317100"/>
    <s v="Recycled Waste"/>
    <x v="0"/>
    <x v="1"/>
    <s v="Account"/>
    <s v="Remondis Electrical Comp. (E-Waste)"/>
    <m/>
    <s v="423030317100_RELECTRIC"/>
    <s v="ELECTRICAL COMP. E-WASTE"/>
    <s v="Remondis"/>
    <m/>
    <m/>
    <d v="2020-12-01T00:00:00"/>
    <d v="2020-09-01T00:00:00"/>
    <s v="FY21"/>
    <s v="t"/>
    <n v="0"/>
    <n v="4.5600000000000002E-2"/>
    <n v="0"/>
    <n v="4.5600000000000002E-2"/>
    <n v="0"/>
    <n v="1"/>
    <n v="0"/>
    <n v="1"/>
    <n v="0"/>
    <n v="100"/>
    <n v="0"/>
    <s v="Consolidation"/>
    <s v="CO2e and Base Measure"/>
    <n v="100"/>
    <n v="100"/>
    <n v="0.05"/>
    <m/>
    <m/>
    <m/>
    <m/>
    <m/>
    <m/>
    <m/>
    <m/>
    <m/>
    <m/>
    <m/>
    <m/>
    <m/>
    <s v="AUD"/>
    <s v="13602602Waste Recycled - E-waste [t]"/>
    <n v="13602602"/>
  </r>
  <r>
    <d v="2019-07-01T00:00:00"/>
    <d v="2021-06-30T00:00:00"/>
    <s v="Telstra"/>
    <s v="NON-NETWORK"/>
    <s v="NON-NETWORK"/>
    <s v="NSW"/>
    <s v="Australia"/>
    <s v="Ballina"/>
    <s v="BALLINA 10-14 RACECOURSE RD"/>
    <n v="423030317100"/>
    <s v="Recycled Waste"/>
    <x v="0"/>
    <x v="1"/>
    <s v="Account"/>
    <s v="Remondis Electrical Comp. (E-Waste)"/>
    <m/>
    <s v="423030317100_RELECTRIC"/>
    <s v="ELECTRICAL COMP. E-WASTE"/>
    <s v="Remondis"/>
    <m/>
    <m/>
    <d v="2020-12-01T00:00:00"/>
    <d v="2020-11-01T00:00:00"/>
    <s v="FY21"/>
    <s v="t"/>
    <n v="0"/>
    <n v="4.5600000000000002E-2"/>
    <n v="0"/>
    <n v="4.5600000000000002E-2"/>
    <n v="0"/>
    <n v="1"/>
    <n v="0"/>
    <n v="1"/>
    <n v="0"/>
    <n v="100"/>
    <n v="0"/>
    <s v="Consolidation"/>
    <s v="CO2e and Base Measure"/>
    <n v="100"/>
    <n v="100"/>
    <n v="0.05"/>
    <m/>
    <m/>
    <m/>
    <m/>
    <m/>
    <m/>
    <m/>
    <m/>
    <m/>
    <m/>
    <m/>
    <m/>
    <m/>
    <s v="AUD"/>
    <s v="13602602Waste Recycled - E-waste [t]"/>
    <n v="13602602"/>
  </r>
  <r>
    <d v="2019-07-01T00:00:00"/>
    <d v="2021-06-30T00:00:00"/>
    <s v="Telstra"/>
    <s v="NON-NETWORK"/>
    <s v="NON-NETWORK"/>
    <s v="NSW"/>
    <s v="Australia"/>
    <s v="Ballina"/>
    <s v="BALLINA 10-14 RACECOURSE RD"/>
    <n v="423030317100"/>
    <s v="Recycled Waste"/>
    <x v="0"/>
    <x v="1"/>
    <s v="Account"/>
    <s v="Remondis Electrical Comp. (E-Waste)"/>
    <m/>
    <s v="423030317100_RELECTRIC"/>
    <s v="ELECTRICAL COMP. E-WASTE"/>
    <s v="Remondis"/>
    <m/>
    <m/>
    <d v="2020-12-01T00:00:00"/>
    <d v="2020-12-01T00:00:00"/>
    <s v="FY21"/>
    <s v="t"/>
    <n v="0"/>
    <n v="0"/>
    <n v="1E-3"/>
    <n v="1E-3"/>
    <n v="0"/>
    <n v="0"/>
    <n v="1"/>
    <n v="1"/>
    <n v="0"/>
    <n v="0"/>
    <n v="100"/>
    <s v="Consolidation"/>
    <s v="CO2e and Base Measure"/>
    <n v="100"/>
    <n v="100"/>
    <n v="0"/>
    <m/>
    <m/>
    <m/>
    <m/>
    <m/>
    <m/>
    <m/>
    <m/>
    <m/>
    <m/>
    <m/>
    <m/>
    <m/>
    <s v="AUD"/>
    <s v="13602602Waste Recycled - E-waste [t]"/>
    <n v="13602602"/>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0-11-01T00:00:00"/>
    <s v="FY21"/>
    <s v="t"/>
    <n v="0"/>
    <n v="7.4999999999999997E-2"/>
    <n v="0"/>
    <n v="7.4999999999999997E-2"/>
    <n v="0"/>
    <n v="1"/>
    <n v="0"/>
    <n v="1"/>
    <n v="0"/>
    <n v="100"/>
    <n v="0"/>
    <s v="Consolidation"/>
    <s v="CO2e and Base Measure"/>
    <n v="100"/>
    <n v="100"/>
    <n v="0.08"/>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0-12-01T00:00:00"/>
    <s v="FY21"/>
    <s v="t"/>
    <n v="0"/>
    <n v="0.3"/>
    <n v="0"/>
    <n v="0.3"/>
    <n v="0"/>
    <n v="4"/>
    <n v="0"/>
    <n v="4"/>
    <n v="0"/>
    <n v="100"/>
    <n v="0"/>
    <s v="Consolidation"/>
    <s v="CO2e and Base Measure"/>
    <n v="100"/>
    <n v="100"/>
    <n v="0.3"/>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1-01T00:00:00"/>
    <s v="FY21"/>
    <s v="t"/>
    <n v="0"/>
    <n v="0.3"/>
    <n v="0"/>
    <n v="0.3"/>
    <n v="0"/>
    <n v="4"/>
    <n v="0"/>
    <n v="4"/>
    <n v="0"/>
    <n v="100"/>
    <n v="0"/>
    <s v="Consolidation"/>
    <s v="CO2e and Base Measure"/>
    <n v="100"/>
    <n v="100"/>
    <n v="0.3"/>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2-01T00:00:00"/>
    <s v="FY21"/>
    <s v="t"/>
    <n v="0"/>
    <n v="0.3"/>
    <n v="0"/>
    <n v="0.3"/>
    <n v="0"/>
    <n v="4"/>
    <n v="0"/>
    <n v="4"/>
    <n v="0"/>
    <n v="100"/>
    <n v="0"/>
    <s v="Consolidation"/>
    <s v="CO2e and Base Measure"/>
    <n v="100"/>
    <n v="100"/>
    <n v="0.3"/>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3-01T00:00:00"/>
    <s v="FY21"/>
    <s v="t"/>
    <n v="0"/>
    <n v="0.15"/>
    <n v="0"/>
    <n v="0.15"/>
    <n v="0"/>
    <n v="2"/>
    <n v="0"/>
    <n v="2"/>
    <n v="0"/>
    <n v="100"/>
    <n v="0"/>
    <s v="Consolidation"/>
    <s v="CO2e and Base Measure"/>
    <n v="100"/>
    <n v="100"/>
    <n v="0.15"/>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4-01T00:00:00"/>
    <s v="FY21"/>
    <s v="t"/>
    <n v="0"/>
    <n v="0"/>
    <n v="0.22500000000000001"/>
    <n v="0.22500000000000001"/>
    <n v="0"/>
    <n v="0"/>
    <n v="30"/>
    <n v="30"/>
    <n v="0"/>
    <n v="0"/>
    <n v="100"/>
    <s v="Consolidation"/>
    <s v="CO2e and Base Measure"/>
    <n v="100"/>
    <n v="100"/>
    <n v="0.23"/>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5-01T00:00:00"/>
    <s v="FY21"/>
    <s v="t"/>
    <n v="0"/>
    <n v="0"/>
    <n v="0.23250000000000001"/>
    <n v="0.23250000000000001"/>
    <n v="0"/>
    <n v="0"/>
    <n v="31"/>
    <n v="31"/>
    <n v="0"/>
    <n v="0"/>
    <n v="100"/>
    <s v="Consolidation"/>
    <s v="CO2e and Base Measure"/>
    <n v="100"/>
    <n v="100"/>
    <n v="0.23"/>
    <m/>
    <m/>
    <m/>
    <m/>
    <m/>
    <m/>
    <m/>
    <m/>
    <m/>
    <m/>
    <m/>
    <m/>
    <m/>
    <s v="AUD"/>
    <s v="13633993Waste Recycled - Paper and Cardboard [t]"/>
    <n v="13633993"/>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0-12-01T00:00:00"/>
    <s v="FY21"/>
    <s v="t"/>
    <n v="0.13500000000000001"/>
    <n v="0.13500000000000001"/>
    <n v="0"/>
    <n v="0.27"/>
    <n v="2"/>
    <n v="2"/>
    <n v="0"/>
    <n v="4"/>
    <n v="50"/>
    <n v="50"/>
    <n v="0"/>
    <s v="Consolidation"/>
    <s v="CO2e and Base Measure"/>
    <n v="100"/>
    <n v="100"/>
    <n v="0.27"/>
    <m/>
    <m/>
    <m/>
    <m/>
    <m/>
    <n v="0.35099999999999998"/>
    <m/>
    <n v="0.35099999999999998"/>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1-01T00:00:00"/>
    <s v="FY21"/>
    <s v="t"/>
    <n v="0.26900000000000002"/>
    <n v="6.7500000000000004E-2"/>
    <n v="0"/>
    <n v="0.33650000000000002"/>
    <n v="3"/>
    <n v="1"/>
    <n v="0"/>
    <n v="4"/>
    <n v="79.94"/>
    <n v="20.05"/>
    <n v="0"/>
    <s v="Consolidation"/>
    <s v="CO2e and Base Measure"/>
    <n v="100"/>
    <n v="100"/>
    <n v="0.34"/>
    <m/>
    <m/>
    <m/>
    <m/>
    <m/>
    <n v="0.4375"/>
    <m/>
    <n v="0.4375"/>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2-01T00:00:00"/>
    <s v="FY21"/>
    <s v="t"/>
    <n v="0.75700000000000001"/>
    <n v="0"/>
    <n v="0"/>
    <n v="0.75700000000000001"/>
    <n v="4"/>
    <n v="0"/>
    <n v="0"/>
    <n v="4"/>
    <n v="100"/>
    <n v="0"/>
    <n v="0"/>
    <s v="Consolidation"/>
    <s v="CO2e and Base Measure"/>
    <n v="100"/>
    <n v="100"/>
    <n v="0.76"/>
    <m/>
    <m/>
    <m/>
    <m/>
    <m/>
    <n v="0.98409999999999997"/>
    <m/>
    <n v="0.98409999999999997"/>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3-01T00:00:00"/>
    <s v="FY21"/>
    <s v="t"/>
    <n v="0.124"/>
    <n v="0"/>
    <n v="0"/>
    <n v="0.124"/>
    <n v="1"/>
    <n v="0"/>
    <n v="0"/>
    <n v="1"/>
    <n v="100"/>
    <n v="0"/>
    <n v="0"/>
    <s v="Consolidation"/>
    <s v="CO2e and Base Measure"/>
    <n v="100"/>
    <n v="100"/>
    <n v="0.12"/>
    <m/>
    <m/>
    <m/>
    <m/>
    <m/>
    <n v="0.16120000000000001"/>
    <m/>
    <n v="0.16120000000000001"/>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4-01T00:00:00"/>
    <s v="FY21"/>
    <s v="t"/>
    <n v="0"/>
    <n v="0"/>
    <n v="0.372"/>
    <n v="0.372"/>
    <n v="0"/>
    <n v="0"/>
    <n v="30"/>
    <n v="30"/>
    <n v="0"/>
    <n v="0"/>
    <n v="100"/>
    <s v="Consolidation"/>
    <s v="CO2e and Base Measure"/>
    <n v="100"/>
    <n v="100"/>
    <n v="0.37"/>
    <m/>
    <m/>
    <m/>
    <m/>
    <m/>
    <n v="0.48359999999999997"/>
    <m/>
    <n v="0.48359999999999997"/>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5-01T00:00:00"/>
    <s v="FY21"/>
    <s v="t"/>
    <n v="0"/>
    <n v="0"/>
    <n v="0.38440000000000002"/>
    <n v="0.38440000000000002"/>
    <n v="0"/>
    <n v="0"/>
    <n v="31"/>
    <n v="31"/>
    <n v="0"/>
    <n v="0"/>
    <n v="100"/>
    <s v="Consolidation"/>
    <s v="CO2e and Base Measure"/>
    <n v="100"/>
    <n v="100"/>
    <n v="0.38"/>
    <m/>
    <m/>
    <m/>
    <m/>
    <m/>
    <n v="0.49969999999999998"/>
    <m/>
    <n v="0.49969999999999998"/>
    <m/>
    <m/>
    <m/>
    <m/>
    <m/>
    <s v="AUD"/>
    <s v="13634331Waste - General [t] - Scope 3"/>
    <n v="13634331"/>
  </r>
  <r>
    <d v="2019-07-01T00:00:00"/>
    <d v="2021-06-30T00:00:00"/>
    <s v="Telstra"/>
    <s v="NON-NETWORK"/>
    <s v="NON-NETWORK"/>
    <s v="NSW"/>
    <s v="Australia"/>
    <s v="Ballina"/>
    <s v="BALLINA 10-14 RACECOURSE RD"/>
    <n v="423030317100"/>
    <s v="Recycled Waste"/>
    <x v="0"/>
    <x v="1"/>
    <s v="Account"/>
    <s v="CLEANAWAY eWaste"/>
    <m/>
    <s v="30317100_Diversion_eWaste"/>
    <s v="eWaste"/>
    <s v="Cleanaway"/>
    <m/>
    <d v="2021-02-16T00:00:00"/>
    <m/>
    <d v="2021-02-01T00:00:00"/>
    <s v="FY21"/>
    <s v="t"/>
    <n v="9.0999999999999998E-2"/>
    <n v="0"/>
    <n v="0"/>
    <n v="9.0999999999999998E-2"/>
    <n v="1"/>
    <n v="0"/>
    <n v="0"/>
    <n v="1"/>
    <n v="100"/>
    <n v="0"/>
    <n v="0"/>
    <s v="Consolidation"/>
    <s v="CO2e and Base Measure"/>
    <n v="100"/>
    <n v="100"/>
    <n v="0.09"/>
    <m/>
    <m/>
    <m/>
    <m/>
    <m/>
    <m/>
    <m/>
    <m/>
    <m/>
    <m/>
    <m/>
    <m/>
    <m/>
    <s v="AUD"/>
    <s v="13641202Waste Recycled - E-waste [t]"/>
    <n v="13641202"/>
  </r>
  <r>
    <d v="2019-07-01T00:00:00"/>
    <d v="2021-06-30T00:00:00"/>
    <s v="Telstra"/>
    <s v="NON-NETWORK"/>
    <s v="NON-NETWORK"/>
    <s v="NSW"/>
    <s v="Australia"/>
    <s v="Ballina"/>
    <s v="BALLINA 10-14 RACECOURSE RD"/>
    <n v="423030317100"/>
    <s v="Recycled Waste"/>
    <x v="0"/>
    <x v="1"/>
    <s v="Account"/>
    <s v="CLEANAWAY eWaste"/>
    <m/>
    <s v="30317100_Diversion_eWaste"/>
    <s v="eWaste"/>
    <s v="Cleanaway"/>
    <m/>
    <d v="2021-02-16T00:00:00"/>
    <m/>
    <d v="2021-03-01T00:00:00"/>
    <s v="FY21"/>
    <s v="t"/>
    <n v="0"/>
    <n v="0"/>
    <n v="0.10539999999999999"/>
    <n v="0.10539999999999999"/>
    <n v="0"/>
    <n v="0"/>
    <n v="31"/>
    <n v="31"/>
    <n v="0"/>
    <n v="0"/>
    <n v="100"/>
    <s v="Consolidation"/>
    <s v="CO2e and Base Measure"/>
    <n v="100"/>
    <n v="100"/>
    <n v="0.11"/>
    <m/>
    <m/>
    <m/>
    <m/>
    <m/>
    <m/>
    <m/>
    <m/>
    <m/>
    <m/>
    <m/>
    <m/>
    <m/>
    <s v="AUD"/>
    <s v="13641202Waste Recycled - E-waste [t]"/>
    <n v="13641202"/>
  </r>
  <r>
    <d v="2019-07-01T00:00:00"/>
    <d v="2021-06-30T00:00:00"/>
    <s v="Telstra"/>
    <s v="NON-NETWORK"/>
    <s v="NON-NETWORK"/>
    <s v="NSW"/>
    <s v="Australia"/>
    <s v="Ballina"/>
    <s v="BALLINA 10-14 RACECOURSE RD"/>
    <n v="423030317100"/>
    <s v="Recycled Waste"/>
    <x v="0"/>
    <x v="1"/>
    <s v="Account"/>
    <s v="CLEANAWAY eWaste"/>
    <m/>
    <s v="30317100_Diversion_eWaste"/>
    <s v="eWaste"/>
    <s v="Cleanaway"/>
    <m/>
    <d v="2021-02-16T00:00:00"/>
    <m/>
    <d v="2021-04-01T00:00:00"/>
    <s v="FY21"/>
    <s v="t"/>
    <n v="0"/>
    <n v="0"/>
    <n v="0.10199999999999999"/>
    <n v="0.10199999999999999"/>
    <n v="0"/>
    <n v="0"/>
    <n v="30"/>
    <n v="30"/>
    <n v="0"/>
    <n v="0"/>
    <n v="100"/>
    <s v="Consolidation"/>
    <s v="CO2e and Base Measure"/>
    <n v="100"/>
    <n v="100"/>
    <n v="0.1"/>
    <m/>
    <m/>
    <m/>
    <m/>
    <m/>
    <m/>
    <m/>
    <m/>
    <m/>
    <m/>
    <m/>
    <m/>
    <m/>
    <s v="AUD"/>
    <s v="13641202Waste Recycled - E-waste [t]"/>
    <n v="13641202"/>
  </r>
  <r>
    <d v="2019-07-01T00:00:00"/>
    <d v="2021-06-30T00:00:00"/>
    <s v="Telstra"/>
    <s v="NON-NETWORK"/>
    <s v="NON-NETWORK"/>
    <s v="NSW"/>
    <s v="Australia"/>
    <s v="Ballina"/>
    <s v="BALLINA 10-14 RACECOURSE RD"/>
    <n v="423030317100"/>
    <s v="Recycled Waste"/>
    <x v="0"/>
    <x v="1"/>
    <s v="Account"/>
    <s v="CLEANAWAY eWaste"/>
    <m/>
    <s v="30317100_Diversion_eWaste"/>
    <s v="eWaste"/>
    <s v="Cleanaway"/>
    <m/>
    <d v="2021-02-16T00:00:00"/>
    <m/>
    <d v="2021-05-01T00:00:00"/>
    <s v="FY21"/>
    <s v="t"/>
    <n v="0"/>
    <n v="0"/>
    <n v="0.10539999999999999"/>
    <n v="0.10539999999999999"/>
    <n v="0"/>
    <n v="0"/>
    <n v="31"/>
    <n v="31"/>
    <n v="0"/>
    <n v="0"/>
    <n v="100"/>
    <s v="Consolidation"/>
    <s v="CO2e and Base Measure"/>
    <n v="100"/>
    <n v="100"/>
    <n v="0.11"/>
    <m/>
    <m/>
    <m/>
    <m/>
    <m/>
    <m/>
    <m/>
    <m/>
    <m/>
    <m/>
    <m/>
    <m/>
    <m/>
    <s v="AUD"/>
    <s v="13641202Waste Recycled - E-waste [t]"/>
    <n v="13641202"/>
  </r>
  <r>
    <d v="2019-07-01T00:00:00"/>
    <d v="2021-06-30T00:00:00"/>
    <s v="Telstra"/>
    <s v="NETWORK"/>
    <s v="Network - InfraCo"/>
    <s v="NSW"/>
    <s v="Australia"/>
    <s v="Leichhardt"/>
    <s v="BALMAIN EXCHANGE"/>
    <n v="423030317700"/>
    <s v="Recycled Waste"/>
    <x v="0"/>
    <x v="5"/>
    <s v="Account"/>
    <s v="Remondis Concrete - Recycled"/>
    <m/>
    <s v="423030317700_RCONCRETR"/>
    <s v="CONCRETE - RECYCLED"/>
    <s v="Remondis"/>
    <m/>
    <d v="2020-10-20T00:00:00"/>
    <d v="2021-01-01T00:00:00"/>
    <d v="2020-10-01T00:00:00"/>
    <s v="FY21"/>
    <s v="t"/>
    <n v="0"/>
    <n v="1.2975000000000001"/>
    <n v="0"/>
    <n v="1.2975000000000001"/>
    <n v="0"/>
    <n v="1"/>
    <n v="0"/>
    <n v="1"/>
    <n v="0"/>
    <n v="100"/>
    <n v="0"/>
    <s v="Consolidation"/>
    <s v="CO2e and Base Measure"/>
    <n v="100"/>
    <n v="100"/>
    <n v="1.3"/>
    <m/>
    <m/>
    <m/>
    <m/>
    <m/>
    <m/>
    <m/>
    <m/>
    <m/>
    <m/>
    <m/>
    <m/>
    <m/>
    <s v="AUD"/>
    <s v="13631692Waste Recycled - Construction and Demolition [t]"/>
    <n v="13631692"/>
  </r>
  <r>
    <d v="2019-07-01T00:00:00"/>
    <d v="2021-06-30T00:00:00"/>
    <s v="Telstra"/>
    <s v="NETWORK"/>
    <s v="Network - InfraCo"/>
    <s v="NSW"/>
    <s v="Australia"/>
    <s v="Leichhardt"/>
    <s v="BALMAIN EXCHANGE"/>
    <n v="423030317700"/>
    <s v="Recycled Waste"/>
    <x v="0"/>
    <x v="5"/>
    <s v="Account"/>
    <s v="Remondis Concrete - Recycled"/>
    <m/>
    <s v="423030317700_RCONCRETR"/>
    <s v="CONCRETE - RECYCLED"/>
    <s v="Remondis"/>
    <m/>
    <d v="2020-10-20T00:00:00"/>
    <d v="2021-01-01T00:00:00"/>
    <d v="2020-11-01T00:00:00"/>
    <s v="FY21"/>
    <s v="t"/>
    <n v="1"/>
    <n v="0"/>
    <n v="0"/>
    <n v="1"/>
    <n v="1"/>
    <n v="0"/>
    <n v="0"/>
    <n v="1"/>
    <n v="100"/>
    <n v="0"/>
    <n v="0"/>
    <s v="Consolidation"/>
    <s v="CO2e and Base Measure"/>
    <n v="100"/>
    <n v="100"/>
    <n v="1"/>
    <m/>
    <m/>
    <m/>
    <m/>
    <m/>
    <m/>
    <m/>
    <m/>
    <m/>
    <m/>
    <m/>
    <m/>
    <m/>
    <s v="AUD"/>
    <s v="13631692Waste Recycled - Construction and Demolition [t]"/>
    <n v="13631692"/>
  </r>
  <r>
    <d v="2019-07-01T00:00:00"/>
    <d v="2021-06-30T00:00:00"/>
    <s v="Telstra"/>
    <s v="NETWORK"/>
    <s v="Network - InfraCo"/>
    <s v="NSW"/>
    <s v="Australia"/>
    <s v="Leichhardt"/>
    <s v="BALMAIN EXCHANGE"/>
    <n v="423030317700"/>
    <s v="Recycled Waste"/>
    <x v="0"/>
    <x v="5"/>
    <s v="Account"/>
    <s v="Remondis Concrete - Recycled"/>
    <m/>
    <s v="423030317700_RCONCRETR"/>
    <s v="CONCRETE - RECYCLED"/>
    <s v="Remondis"/>
    <m/>
    <d v="2020-10-20T00:00:00"/>
    <d v="2021-01-01T00:00:00"/>
    <d v="2020-12-01T00:00:00"/>
    <s v="FY21"/>
    <s v="t"/>
    <n v="1.36"/>
    <n v="0"/>
    <n v="0"/>
    <n v="1.36"/>
    <n v="1"/>
    <n v="0"/>
    <n v="0"/>
    <n v="1"/>
    <n v="100"/>
    <n v="0"/>
    <n v="0"/>
    <s v="Consolidation"/>
    <s v="CO2e and Base Measure"/>
    <n v="100"/>
    <n v="100"/>
    <n v="1.36"/>
    <m/>
    <m/>
    <m/>
    <m/>
    <m/>
    <m/>
    <m/>
    <m/>
    <m/>
    <m/>
    <m/>
    <m/>
    <m/>
    <s v="AUD"/>
    <s v="13631692Waste Recycled - Construction and Demolition [t]"/>
    <n v="13631692"/>
  </r>
  <r>
    <d v="2019-07-01T00:00:00"/>
    <d v="2021-06-30T00:00:00"/>
    <s v="Telstra"/>
    <s v="NETWORK"/>
    <s v="Network - InfraCo"/>
    <s v="NSW"/>
    <s v="Australia"/>
    <s v="Leichhardt"/>
    <s v="BALMAIN EXCHANGE"/>
    <n v="423030317700"/>
    <s v="Recycled Waste"/>
    <x v="0"/>
    <x v="5"/>
    <s v="Account"/>
    <s v="Remondis Concrete - Recycled"/>
    <m/>
    <s v="423030317700_RCONCRETR"/>
    <s v="CONCRETE - RECYCLED"/>
    <s v="Remondis"/>
    <m/>
    <d v="2020-10-20T00:00:00"/>
    <d v="2021-01-01T00:00:00"/>
    <d v="2021-01-01T00:00:00"/>
    <s v="FY21"/>
    <s v="t"/>
    <n v="0"/>
    <n v="0"/>
    <n v="4.02E-2"/>
    <n v="4.02E-2"/>
    <n v="0"/>
    <n v="0"/>
    <n v="1"/>
    <n v="1"/>
    <n v="0"/>
    <n v="0"/>
    <n v="100"/>
    <s v="Consolidation"/>
    <s v="CO2e and Base Measure"/>
    <n v="100"/>
    <n v="100"/>
    <n v="0.04"/>
    <m/>
    <m/>
    <m/>
    <m/>
    <m/>
    <m/>
    <m/>
    <m/>
    <m/>
    <m/>
    <m/>
    <m/>
    <m/>
    <s v="AUD"/>
    <s v="13631692Waste Recycled - Construction and Demolition [t]"/>
    <n v="1363169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07-01T00:00:00"/>
    <s v="FY21"/>
    <s v="t"/>
    <n v="0"/>
    <n v="0.1716"/>
    <n v="0"/>
    <n v="0.1716"/>
    <n v="0"/>
    <n v="4"/>
    <n v="0"/>
    <n v="4"/>
    <n v="0"/>
    <n v="100"/>
    <n v="0"/>
    <s v="Consolidation"/>
    <s v="CO2e and Base Measure"/>
    <n v="100"/>
    <n v="100"/>
    <n v="0.17"/>
    <m/>
    <m/>
    <m/>
    <m/>
    <m/>
    <n v="0.22309999999999999"/>
    <m/>
    <n v="0.22309999999999999"/>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08-01T00:00:00"/>
    <s v="FY21"/>
    <s v="t"/>
    <n v="0"/>
    <n v="0.1716"/>
    <n v="0"/>
    <n v="0.1716"/>
    <n v="0"/>
    <n v="4"/>
    <n v="0"/>
    <n v="4"/>
    <n v="0"/>
    <n v="100"/>
    <n v="0"/>
    <s v="Consolidation"/>
    <s v="CO2e and Base Measure"/>
    <n v="100"/>
    <n v="100"/>
    <n v="0.17"/>
    <m/>
    <m/>
    <m/>
    <m/>
    <m/>
    <n v="0.22309999999999999"/>
    <m/>
    <n v="0.22309999999999999"/>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09-01T00:00:00"/>
    <s v="FY21"/>
    <s v="t"/>
    <n v="0"/>
    <n v="0.1716"/>
    <n v="0"/>
    <n v="0.1716"/>
    <n v="0"/>
    <n v="4"/>
    <n v="0"/>
    <n v="4"/>
    <n v="0"/>
    <n v="100"/>
    <n v="0"/>
    <s v="Consolidation"/>
    <s v="CO2e and Base Measure"/>
    <n v="100"/>
    <n v="100"/>
    <n v="0.17"/>
    <m/>
    <m/>
    <m/>
    <m/>
    <m/>
    <n v="0.22309999999999999"/>
    <m/>
    <n v="0.22309999999999999"/>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10-01T00:00:00"/>
    <s v="FY21"/>
    <s v="t"/>
    <n v="0"/>
    <n v="0.12870000000000001"/>
    <n v="0"/>
    <n v="0.12870000000000001"/>
    <n v="0"/>
    <n v="3"/>
    <n v="0"/>
    <n v="3"/>
    <n v="0"/>
    <n v="100"/>
    <n v="0"/>
    <s v="Consolidation"/>
    <s v="CO2e and Base Measure"/>
    <n v="100"/>
    <n v="100"/>
    <n v="0.13"/>
    <m/>
    <m/>
    <m/>
    <m/>
    <m/>
    <n v="0.1673"/>
    <m/>
    <n v="0.1673"/>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11-01T00:00:00"/>
    <s v="FY21"/>
    <s v="t"/>
    <n v="0"/>
    <n v="0.1716"/>
    <n v="0"/>
    <n v="0.1716"/>
    <n v="0"/>
    <n v="4"/>
    <n v="0"/>
    <n v="4"/>
    <n v="0"/>
    <n v="100"/>
    <n v="0"/>
    <s v="Consolidation"/>
    <s v="CO2e and Base Measure"/>
    <n v="100"/>
    <n v="100"/>
    <n v="0.17"/>
    <m/>
    <m/>
    <m/>
    <m/>
    <m/>
    <n v="0.22309999999999999"/>
    <m/>
    <n v="0.22309999999999999"/>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12-01T00:00:00"/>
    <s v="FY21"/>
    <s v="t"/>
    <n v="0"/>
    <n v="0"/>
    <n v="5.4000000000000003E-3"/>
    <n v="5.4000000000000003E-3"/>
    <n v="0"/>
    <n v="0"/>
    <n v="1"/>
    <n v="1"/>
    <n v="0"/>
    <n v="0"/>
    <n v="100"/>
    <s v="Consolidation"/>
    <s v="CO2e and Base Measure"/>
    <n v="100"/>
    <n v="100"/>
    <n v="0.01"/>
    <m/>
    <m/>
    <m/>
    <m/>
    <m/>
    <n v="7.0000000000000001E-3"/>
    <m/>
    <n v="7.0000000000000001E-3"/>
    <m/>
    <m/>
    <m/>
    <m/>
    <m/>
    <s v="AUD"/>
    <s v="13564822Waste - General [t] - Scope 3"/>
    <n v="13564822"/>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0-11-01T00:00:00"/>
    <s v="FY21"/>
    <s v="t"/>
    <n v="2.5000000000000001E-2"/>
    <n v="0"/>
    <n v="0"/>
    <n v="2.5000000000000001E-2"/>
    <n v="1"/>
    <n v="0"/>
    <n v="0"/>
    <n v="1"/>
    <n v="100"/>
    <n v="0"/>
    <n v="0"/>
    <s v="Consolidation"/>
    <s v="CO2e and Base Measure"/>
    <n v="100"/>
    <n v="100"/>
    <n v="0.03"/>
    <m/>
    <m/>
    <m/>
    <m/>
    <m/>
    <n v="3.2500000000000001E-2"/>
    <m/>
    <n v="3.2500000000000001E-2"/>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0-12-01T00:00:00"/>
    <s v="FY21"/>
    <s v="t"/>
    <n v="0.03"/>
    <n v="0"/>
    <n v="0"/>
    <n v="0.03"/>
    <n v="1"/>
    <n v="0"/>
    <n v="0"/>
    <n v="1"/>
    <n v="100"/>
    <n v="0"/>
    <n v="0"/>
    <s v="Consolidation"/>
    <s v="CO2e and Base Measure"/>
    <n v="100"/>
    <n v="100"/>
    <n v="0.03"/>
    <m/>
    <m/>
    <m/>
    <m/>
    <m/>
    <n v="3.9E-2"/>
    <m/>
    <n v="3.9E-2"/>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1-01T00:00:00"/>
    <s v="FY21"/>
    <s v="t"/>
    <n v="0.03"/>
    <n v="0"/>
    <n v="0"/>
    <n v="0.03"/>
    <n v="1"/>
    <n v="0"/>
    <n v="0"/>
    <n v="1"/>
    <n v="100"/>
    <n v="0"/>
    <n v="0"/>
    <s v="Consolidation"/>
    <s v="CO2e and Base Measure"/>
    <n v="100"/>
    <n v="100"/>
    <n v="0.03"/>
    <m/>
    <m/>
    <m/>
    <m/>
    <m/>
    <n v="3.9E-2"/>
    <m/>
    <n v="3.9E-2"/>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2-01T00:00:00"/>
    <s v="FY21"/>
    <s v="t"/>
    <n v="0.105"/>
    <n v="0"/>
    <n v="0"/>
    <n v="0.105"/>
    <n v="2"/>
    <n v="0"/>
    <n v="0"/>
    <n v="2"/>
    <n v="100"/>
    <n v="0"/>
    <n v="0"/>
    <s v="Consolidation"/>
    <s v="CO2e and Base Measure"/>
    <n v="100"/>
    <n v="100"/>
    <n v="0.11"/>
    <m/>
    <m/>
    <m/>
    <m/>
    <m/>
    <n v="0.13650000000000001"/>
    <m/>
    <n v="0.13650000000000001"/>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3-01T00:00:00"/>
    <s v="FY21"/>
    <s v="t"/>
    <n v="0.17499999999999999"/>
    <n v="0"/>
    <n v="0"/>
    <n v="0.17499999999999999"/>
    <n v="3"/>
    <n v="0"/>
    <n v="0"/>
    <n v="3"/>
    <n v="100"/>
    <n v="0"/>
    <n v="0"/>
    <s v="Consolidation"/>
    <s v="CO2e and Base Measure"/>
    <n v="100"/>
    <n v="100"/>
    <n v="0.18"/>
    <m/>
    <m/>
    <m/>
    <m/>
    <m/>
    <n v="0.22750000000000001"/>
    <m/>
    <n v="0.22750000000000001"/>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4-01T00:00:00"/>
    <s v="FY21"/>
    <s v="t"/>
    <n v="0"/>
    <n v="0"/>
    <n v="7.1999999999999995E-2"/>
    <n v="7.1999999999999995E-2"/>
    <n v="0"/>
    <n v="0"/>
    <n v="30"/>
    <n v="30"/>
    <n v="0"/>
    <n v="0"/>
    <n v="100"/>
    <s v="Consolidation"/>
    <s v="CO2e and Base Measure"/>
    <n v="100"/>
    <n v="100"/>
    <n v="7.0000000000000007E-2"/>
    <m/>
    <m/>
    <m/>
    <m/>
    <m/>
    <n v="9.3600000000000003E-2"/>
    <m/>
    <n v="9.3600000000000003E-2"/>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5-01T00:00:00"/>
    <s v="FY21"/>
    <s v="t"/>
    <n v="0"/>
    <n v="0"/>
    <n v="7.4399999999999994E-2"/>
    <n v="7.4399999999999994E-2"/>
    <n v="0"/>
    <n v="0"/>
    <n v="31"/>
    <n v="31"/>
    <n v="0"/>
    <n v="0"/>
    <n v="100"/>
    <s v="Consolidation"/>
    <s v="CO2e and Base Measure"/>
    <n v="100"/>
    <n v="100"/>
    <n v="7.0000000000000007E-2"/>
    <m/>
    <m/>
    <m/>
    <m/>
    <m/>
    <n v="9.6699999999999994E-2"/>
    <m/>
    <n v="9.6699999999999994E-2"/>
    <m/>
    <m/>
    <m/>
    <m/>
    <m/>
    <s v="AUD"/>
    <s v="13633968Waste - General [t] - Scope 3"/>
    <n v="13633968"/>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0-12-01T00:00:00"/>
    <s v="FY21"/>
    <s v="t"/>
    <n v="0"/>
    <n v="0.13"/>
    <n v="0"/>
    <n v="0.13"/>
    <n v="0"/>
    <n v="1"/>
    <n v="0"/>
    <n v="1"/>
    <n v="0"/>
    <n v="100"/>
    <n v="0"/>
    <s v="Consolidation"/>
    <s v="CO2e and Base Measure"/>
    <n v="100"/>
    <n v="100"/>
    <n v="0.13"/>
    <m/>
    <m/>
    <m/>
    <m/>
    <m/>
    <n v="0.16900000000000001"/>
    <m/>
    <n v="0.16900000000000001"/>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1-01T00:00:00"/>
    <s v="FY21"/>
    <s v="t"/>
    <n v="0"/>
    <n v="0"/>
    <n v="0.1333"/>
    <n v="0.1333"/>
    <n v="0"/>
    <n v="0"/>
    <n v="31"/>
    <n v="31"/>
    <n v="0"/>
    <n v="0"/>
    <n v="100"/>
    <s v="Consolidation"/>
    <s v="CO2e and Base Measure"/>
    <n v="100"/>
    <n v="100"/>
    <n v="0.13"/>
    <m/>
    <m/>
    <m/>
    <m/>
    <m/>
    <n v="0.17330000000000001"/>
    <m/>
    <n v="0.17330000000000001"/>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2-01T00:00:00"/>
    <s v="FY21"/>
    <s v="t"/>
    <n v="0"/>
    <n v="0"/>
    <n v="0.12039999999999999"/>
    <n v="0.12039999999999999"/>
    <n v="0"/>
    <n v="0"/>
    <n v="28"/>
    <n v="28"/>
    <n v="0"/>
    <n v="0"/>
    <n v="100"/>
    <s v="Consolidation"/>
    <s v="CO2e and Base Measure"/>
    <n v="100"/>
    <n v="100"/>
    <n v="0.12"/>
    <m/>
    <m/>
    <m/>
    <m/>
    <m/>
    <n v="0.1565"/>
    <m/>
    <n v="0.1565"/>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3-01T00:00:00"/>
    <s v="FY21"/>
    <s v="t"/>
    <n v="0"/>
    <n v="0"/>
    <n v="0.1333"/>
    <n v="0.1333"/>
    <n v="0"/>
    <n v="0"/>
    <n v="31"/>
    <n v="31"/>
    <n v="0"/>
    <n v="0"/>
    <n v="100"/>
    <s v="Consolidation"/>
    <s v="CO2e and Base Measure"/>
    <n v="100"/>
    <n v="100"/>
    <n v="0.13"/>
    <m/>
    <m/>
    <m/>
    <m/>
    <m/>
    <n v="0.17330000000000001"/>
    <m/>
    <n v="0.17330000000000001"/>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4-01T00:00:00"/>
    <s v="FY21"/>
    <s v="t"/>
    <n v="0"/>
    <n v="0"/>
    <n v="0.129"/>
    <n v="0.129"/>
    <n v="0"/>
    <n v="0"/>
    <n v="30"/>
    <n v="30"/>
    <n v="0"/>
    <n v="0"/>
    <n v="100"/>
    <s v="Consolidation"/>
    <s v="CO2e and Base Measure"/>
    <n v="100"/>
    <n v="100"/>
    <n v="0.13"/>
    <m/>
    <m/>
    <m/>
    <m/>
    <m/>
    <n v="0.16769999999999999"/>
    <m/>
    <n v="0.16769999999999999"/>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5-01T00:00:00"/>
    <s v="FY21"/>
    <s v="t"/>
    <n v="0"/>
    <n v="0"/>
    <n v="0.1333"/>
    <n v="0.1333"/>
    <n v="0"/>
    <n v="0"/>
    <n v="31"/>
    <n v="31"/>
    <n v="0"/>
    <n v="0"/>
    <n v="100"/>
    <s v="Consolidation"/>
    <s v="CO2e and Base Measure"/>
    <n v="100"/>
    <n v="100"/>
    <n v="0.13"/>
    <m/>
    <m/>
    <m/>
    <m/>
    <m/>
    <n v="0.17330000000000001"/>
    <m/>
    <n v="0.17330000000000001"/>
    <m/>
    <m/>
    <m/>
    <m/>
    <m/>
    <s v="AUD"/>
    <s v="13633413Waste - General [t] - Scope 3"/>
    <n v="13633413"/>
  </r>
  <r>
    <d v="2019-07-01T00:00:00"/>
    <d v="2021-06-30T00:00:00"/>
    <s v="Telstra"/>
    <s v="NETWORK"/>
    <s v="Network - InfraCo"/>
    <s v="NSW"/>
    <s v="Australia"/>
    <s v="Padstow"/>
    <s v="BANKSTOWN EXCHANGE BLD 1"/>
    <n v="423030318800"/>
    <s v="Recycled Waste"/>
    <x v="0"/>
    <x v="0"/>
    <s v="Account"/>
    <s v="Remondis Cardboard - Loose - Recycled"/>
    <m/>
    <s v="423030318800_RCARDBOAR"/>
    <s v="CARDBOARD - LOOSE - RECYCLED"/>
    <s v="Remondis"/>
    <m/>
    <m/>
    <d v="2021-01-01T00:00:00"/>
    <d v="2020-09-01T00:00:00"/>
    <s v="FY21"/>
    <s v="t"/>
    <n v="0"/>
    <n v="2.3300000000000001E-2"/>
    <n v="0"/>
    <n v="2.3300000000000001E-2"/>
    <n v="0"/>
    <n v="1"/>
    <n v="0"/>
    <n v="1"/>
    <n v="0"/>
    <n v="100"/>
    <n v="0"/>
    <s v="Consolidation"/>
    <s v="CO2e and Base Measure"/>
    <n v="100"/>
    <n v="100"/>
    <n v="0.02"/>
    <m/>
    <m/>
    <m/>
    <m/>
    <m/>
    <m/>
    <n v="0"/>
    <m/>
    <m/>
    <m/>
    <m/>
    <m/>
    <m/>
    <s v="AUD"/>
    <s v="13564550Waste Recycled - Cardboard [t]"/>
    <n v="13564550"/>
  </r>
  <r>
    <d v="2019-07-01T00:00:00"/>
    <d v="2021-06-30T00:00:00"/>
    <s v="Telstra"/>
    <s v="NETWORK"/>
    <s v="Network - InfraCo"/>
    <s v="NSW"/>
    <s v="Australia"/>
    <s v="Padstow"/>
    <s v="BANKSTOWN EXCHANGE BLD 1"/>
    <n v="423030318800"/>
    <s v="Recycled Waste"/>
    <x v="0"/>
    <x v="0"/>
    <s v="Account"/>
    <s v="Remondis Cardboard - Loose - Recycled"/>
    <m/>
    <s v="4230303188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550Waste Recycled - Cardboard [t]"/>
    <n v="13564550"/>
  </r>
  <r>
    <d v="2019-07-01T00:00:00"/>
    <d v="2021-06-30T00:00:00"/>
    <s v="Telstra"/>
    <s v="NETWORK"/>
    <s v="Network - InfraCo"/>
    <s v="NSW"/>
    <s v="Australia"/>
    <s v="Padstow"/>
    <s v="BANKSTOWN EXCHANGE BLD 1"/>
    <n v="423030318800"/>
    <s v="Recycled Waste"/>
    <x v="0"/>
    <x v="0"/>
    <s v="Account"/>
    <s v="Remondis Cardboard - Loose - Recycled"/>
    <m/>
    <s v="423030318800_RCARDBOAR"/>
    <s v="CARDBOARD - LOOSE - RECYCLED"/>
    <s v="Remondis"/>
    <m/>
    <m/>
    <d v="2021-01-01T00:00:00"/>
    <d v="2021-01-01T00:00:00"/>
    <s v="FY21"/>
    <s v="t"/>
    <n v="0"/>
    <n v="0"/>
    <n v="2.9999999999999997E-4"/>
    <n v="2.9999999999999997E-4"/>
    <n v="0"/>
    <n v="0"/>
    <n v="1"/>
    <n v="1"/>
    <n v="0"/>
    <n v="0"/>
    <n v="100"/>
    <s v="Consolidation"/>
    <s v="CO2e and Base Measure"/>
    <n v="100"/>
    <n v="100"/>
    <n v="0"/>
    <m/>
    <m/>
    <m/>
    <m/>
    <m/>
    <m/>
    <n v="0"/>
    <m/>
    <m/>
    <m/>
    <m/>
    <m/>
    <m/>
    <s v="AUD"/>
    <s v="13564550Waste Recycled - Cardboard [t]"/>
    <n v="13564550"/>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07-01T00:00:00"/>
    <s v="FY21"/>
    <s v="t"/>
    <n v="0.2"/>
    <n v="0"/>
    <n v="0"/>
    <n v="0.2"/>
    <n v="2"/>
    <n v="0"/>
    <n v="0"/>
    <n v="2"/>
    <n v="100"/>
    <n v="0"/>
    <n v="0"/>
    <s v="Consolidation"/>
    <s v="CO2e and Base Measure"/>
    <n v="100"/>
    <n v="100"/>
    <n v="0.2"/>
    <m/>
    <m/>
    <m/>
    <m/>
    <m/>
    <n v="0.26"/>
    <m/>
    <n v="0.26"/>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08-01T00:00:00"/>
    <s v="FY21"/>
    <s v="t"/>
    <n v="0.42799999999999999"/>
    <n v="0"/>
    <n v="0"/>
    <n v="0.42799999999999999"/>
    <n v="3"/>
    <n v="0"/>
    <n v="0"/>
    <n v="3"/>
    <n v="100"/>
    <n v="0"/>
    <n v="0"/>
    <s v="Consolidation"/>
    <s v="CO2e and Base Measure"/>
    <n v="100"/>
    <n v="100"/>
    <n v="0.43"/>
    <m/>
    <m/>
    <m/>
    <m/>
    <m/>
    <n v="0.55640000000000001"/>
    <m/>
    <n v="0.55640000000000001"/>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09-01T00:00:00"/>
    <s v="FY21"/>
    <s v="t"/>
    <n v="0.4"/>
    <n v="0"/>
    <n v="0"/>
    <n v="0.4"/>
    <n v="2"/>
    <n v="0"/>
    <n v="0"/>
    <n v="2"/>
    <n v="100"/>
    <n v="0"/>
    <n v="0"/>
    <s v="Consolidation"/>
    <s v="CO2e and Base Measure"/>
    <n v="100"/>
    <n v="100"/>
    <n v="0.4"/>
    <m/>
    <m/>
    <m/>
    <m/>
    <m/>
    <n v="0.52"/>
    <m/>
    <n v="0.52"/>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10-01T00:00:00"/>
    <s v="FY21"/>
    <s v="t"/>
    <n v="1.73"/>
    <n v="0"/>
    <n v="0"/>
    <n v="1.73"/>
    <n v="3"/>
    <n v="0"/>
    <n v="0"/>
    <n v="3"/>
    <n v="100"/>
    <n v="0"/>
    <n v="0"/>
    <s v="Consolidation"/>
    <s v="CO2e and Base Measure"/>
    <n v="100"/>
    <n v="100"/>
    <n v="1.73"/>
    <m/>
    <m/>
    <m/>
    <m/>
    <m/>
    <n v="2.2490000000000001"/>
    <m/>
    <n v="2.2490000000000001"/>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11-01T00:00:00"/>
    <s v="FY21"/>
    <s v="t"/>
    <n v="0.38600000000000001"/>
    <n v="0"/>
    <n v="0"/>
    <n v="0.38600000000000001"/>
    <n v="3"/>
    <n v="0"/>
    <n v="0"/>
    <n v="3"/>
    <n v="100"/>
    <n v="0"/>
    <n v="0"/>
    <s v="Consolidation"/>
    <s v="CO2e and Base Measure"/>
    <n v="100"/>
    <n v="100"/>
    <n v="0.39"/>
    <m/>
    <m/>
    <m/>
    <m/>
    <m/>
    <n v="0.50180000000000002"/>
    <m/>
    <n v="0.50180000000000002"/>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1-01-01T00:00:00"/>
    <s v="FY21"/>
    <s v="t"/>
    <n v="0"/>
    <n v="0"/>
    <n v="1.6799999999999999E-2"/>
    <n v="1.6799999999999999E-2"/>
    <n v="0"/>
    <n v="0"/>
    <n v="1"/>
    <n v="1"/>
    <n v="0"/>
    <n v="0"/>
    <n v="100"/>
    <s v="Consolidation"/>
    <s v="CO2e and Base Measure"/>
    <n v="100"/>
    <n v="100"/>
    <n v="0.02"/>
    <m/>
    <m/>
    <m/>
    <m/>
    <m/>
    <n v="2.18E-2"/>
    <m/>
    <n v="2.18E-2"/>
    <m/>
    <m/>
    <m/>
    <m/>
    <m/>
    <s v="AUD"/>
    <s v="13564551Waste - General [t] - Scope 3"/>
    <n v="13564551"/>
  </r>
  <r>
    <d v="2019-07-01T00:00:00"/>
    <d v="2021-06-30T00:00:00"/>
    <s v="Telstra"/>
    <s v="NETWORK"/>
    <s v="Network - InfraCo"/>
    <s v="NSW"/>
    <s v="Australia"/>
    <s v="Padstow"/>
    <s v="BANKSTOWN EXCHANGE BLD 1"/>
    <n v="423030318800"/>
    <s v="Recycled Waste"/>
    <x v="0"/>
    <x v="5"/>
    <s v="Account"/>
    <s v="Remondis Construction &amp; Demolition - Recycled"/>
    <m/>
    <s v="423030318800_RCONSDEM"/>
    <s v="CONSTRUCTION &amp; DEMOLITION - RECYLED"/>
    <s v="Remondis"/>
    <m/>
    <m/>
    <d v="2020-08-01T00:00:00"/>
    <d v="2020-07-01T00:00:00"/>
    <s v="FY21"/>
    <s v="t"/>
    <n v="1.52"/>
    <n v="0"/>
    <n v="0"/>
    <n v="1.52"/>
    <n v="1"/>
    <n v="0"/>
    <n v="0"/>
    <n v="1"/>
    <n v="100"/>
    <n v="0"/>
    <n v="0"/>
    <s v="Consolidation"/>
    <s v="CO2e and Base Measure"/>
    <n v="100"/>
    <n v="100"/>
    <n v="1.52"/>
    <m/>
    <m/>
    <m/>
    <m/>
    <m/>
    <m/>
    <m/>
    <m/>
    <m/>
    <m/>
    <m/>
    <m/>
    <m/>
    <s v="AUD"/>
    <s v="13576196Waste Recycled - Construction and Demolition [t]"/>
    <n v="13576196"/>
  </r>
  <r>
    <d v="2019-07-01T00:00:00"/>
    <d v="2021-06-30T00:00:00"/>
    <s v="Telstra"/>
    <s v="NETWORK"/>
    <s v="Network - InfraCo"/>
    <s v="NSW"/>
    <s v="Australia"/>
    <s v="Padstow"/>
    <s v="BANKSTOWN EXCHANGE BLD 1"/>
    <n v="423030318800"/>
    <s v="Recycled Waste"/>
    <x v="0"/>
    <x v="5"/>
    <s v="Account"/>
    <s v="Remondis Construction &amp; Demolition - Recycled"/>
    <m/>
    <s v="423030318800_RCONSDEM"/>
    <s v="CONSTRUCTION &amp; DEMOLITION - RECYLED"/>
    <s v="Remondis"/>
    <m/>
    <m/>
    <d v="2020-08-01T00:00:00"/>
    <d v="2020-08-01T00:00:00"/>
    <s v="FY21"/>
    <s v="t"/>
    <n v="0"/>
    <n v="0"/>
    <n v="5.0700000000000002E-2"/>
    <n v="5.0700000000000002E-2"/>
    <n v="0"/>
    <n v="0"/>
    <n v="1"/>
    <n v="1"/>
    <n v="0"/>
    <n v="0"/>
    <n v="100"/>
    <s v="Consolidation"/>
    <s v="CO2e and Base Measure"/>
    <n v="100"/>
    <n v="100"/>
    <n v="0.05"/>
    <m/>
    <m/>
    <m/>
    <m/>
    <m/>
    <m/>
    <m/>
    <m/>
    <m/>
    <m/>
    <m/>
    <m/>
    <m/>
    <s v="AUD"/>
    <s v="13576196Waste Recycled - Construction and Demolition [t]"/>
    <n v="13576196"/>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0-12-01T00:00:00"/>
    <s v="FY21"/>
    <s v="t"/>
    <n v="0.71799999999999997"/>
    <n v="0.13500000000000001"/>
    <n v="0"/>
    <n v="0.85299999999999998"/>
    <n v="3"/>
    <n v="1"/>
    <n v="0"/>
    <n v="4"/>
    <n v="84.17"/>
    <n v="15.82"/>
    <n v="0"/>
    <s v="Consolidation"/>
    <s v="CO2e and Base Measure"/>
    <n v="100"/>
    <n v="100"/>
    <n v="0.85"/>
    <m/>
    <m/>
    <m/>
    <m/>
    <m/>
    <n v="1.1089"/>
    <m/>
    <n v="1.1089"/>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1-01T00:00:00"/>
    <s v="FY21"/>
    <s v="t"/>
    <n v="0.06"/>
    <n v="0.13500000000000001"/>
    <n v="0"/>
    <n v="0.19500000000000001"/>
    <n v="1"/>
    <n v="1"/>
    <n v="0"/>
    <n v="2"/>
    <n v="30.76"/>
    <n v="69.23"/>
    <n v="0"/>
    <s v="Consolidation"/>
    <s v="CO2e and Base Measure"/>
    <n v="100"/>
    <n v="100"/>
    <n v="0.2"/>
    <m/>
    <m/>
    <m/>
    <m/>
    <m/>
    <n v="0.2535"/>
    <m/>
    <n v="0.2535"/>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2-01T00:00:00"/>
    <s v="FY21"/>
    <s v="t"/>
    <n v="0.42799999999999999"/>
    <n v="0"/>
    <n v="0"/>
    <n v="0.42799999999999999"/>
    <n v="4"/>
    <n v="0"/>
    <n v="0"/>
    <n v="4"/>
    <n v="100"/>
    <n v="0"/>
    <n v="0"/>
    <s v="Consolidation"/>
    <s v="CO2e and Base Measure"/>
    <n v="100"/>
    <n v="100"/>
    <n v="0.43"/>
    <m/>
    <m/>
    <m/>
    <m/>
    <m/>
    <n v="0.55640000000000001"/>
    <m/>
    <n v="0.55640000000000001"/>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3-01T00:00:00"/>
    <s v="FY21"/>
    <s v="t"/>
    <n v="0.20399999999999999"/>
    <n v="0.27"/>
    <n v="0"/>
    <n v="0.47399999999999998"/>
    <n v="3"/>
    <n v="2"/>
    <n v="0"/>
    <n v="5"/>
    <n v="43.03"/>
    <n v="56.96"/>
    <n v="0"/>
    <s v="Consolidation"/>
    <s v="CO2e and Base Measure"/>
    <n v="100"/>
    <n v="100"/>
    <n v="0.47"/>
    <m/>
    <m/>
    <m/>
    <m/>
    <m/>
    <n v="0.61619999999999997"/>
    <m/>
    <n v="0.61619999999999997"/>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4-01T00:00:00"/>
    <s v="FY21"/>
    <s v="t"/>
    <n v="0"/>
    <n v="0"/>
    <n v="0.48899999999999999"/>
    <n v="0.48899999999999999"/>
    <n v="0"/>
    <n v="0"/>
    <n v="30"/>
    <n v="30"/>
    <n v="0"/>
    <n v="0"/>
    <n v="100"/>
    <s v="Consolidation"/>
    <s v="CO2e and Base Measure"/>
    <n v="100"/>
    <n v="100"/>
    <n v="0.49"/>
    <m/>
    <m/>
    <m/>
    <m/>
    <m/>
    <n v="0.63570000000000004"/>
    <m/>
    <n v="0.63570000000000004"/>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5-01T00:00:00"/>
    <s v="FY21"/>
    <s v="t"/>
    <n v="0"/>
    <n v="0"/>
    <n v="0.50529999999999997"/>
    <n v="0.50529999999999997"/>
    <n v="0"/>
    <n v="0"/>
    <n v="31"/>
    <n v="31"/>
    <n v="0"/>
    <n v="0"/>
    <n v="100"/>
    <s v="Consolidation"/>
    <s v="CO2e and Base Measure"/>
    <n v="100"/>
    <n v="100"/>
    <n v="0.51"/>
    <m/>
    <m/>
    <m/>
    <m/>
    <m/>
    <n v="0.65690000000000004"/>
    <m/>
    <n v="0.65690000000000004"/>
    <m/>
    <m/>
    <m/>
    <m/>
    <m/>
    <s v="AUD"/>
    <s v="13634018Waste - General [t] - Scope 3"/>
    <n v="13634018"/>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827Waste - General [t] - Scope 3"/>
    <n v="13564827"/>
  </r>
  <r>
    <d v="2019-07-01T00:00:00"/>
    <d v="2021-06-30T00:00:00"/>
    <s v="Telstra"/>
    <s v="NETWORK"/>
    <s v="Network - InfraCo"/>
    <s v="VIC"/>
    <s v="Australia"/>
    <s v="Geelong West"/>
    <s v="BANNOCKBURN EXCHANGE"/>
    <n v="423030559600"/>
    <s v="Waste"/>
    <x v="1"/>
    <x v="2"/>
    <s v="Account"/>
    <s v="CLEANAWAY General"/>
    <m/>
    <s v="25421_Landfill_General"/>
    <s v="General"/>
    <s v="Cleanaway"/>
    <m/>
    <d v="2021-02-03T00:00:00"/>
    <m/>
    <d v="2021-02-01T00:00:00"/>
    <s v="FY21"/>
    <s v="t"/>
    <n v="0.15"/>
    <n v="0"/>
    <n v="0"/>
    <n v="0.15"/>
    <n v="1"/>
    <n v="0"/>
    <n v="0"/>
    <n v="1"/>
    <n v="100"/>
    <n v="0"/>
    <n v="0"/>
    <s v="Consolidation"/>
    <s v="CO2e and Base Measure"/>
    <n v="100"/>
    <n v="100"/>
    <n v="0.15"/>
    <m/>
    <m/>
    <m/>
    <m/>
    <m/>
    <n v="0.19500000000000001"/>
    <m/>
    <n v="0.19500000000000001"/>
    <m/>
    <m/>
    <m/>
    <m/>
    <m/>
    <s v="AUD"/>
    <s v="13639883Waste - General [t] - Scope 3"/>
    <n v="13639883"/>
  </r>
  <r>
    <d v="2019-07-01T00:00:00"/>
    <d v="2021-06-30T00:00:00"/>
    <s v="Telstra"/>
    <s v="NETWORK"/>
    <s v="Network - InfraCo"/>
    <s v="VIC"/>
    <s v="Australia"/>
    <s v="Geelong West"/>
    <s v="BANNOCKBURN EXCHANGE"/>
    <n v="423030559600"/>
    <s v="Waste"/>
    <x v="1"/>
    <x v="2"/>
    <s v="Account"/>
    <s v="CLEANAWAY General"/>
    <m/>
    <s v="25421_Landfill_General"/>
    <s v="General"/>
    <s v="Cleanaway"/>
    <m/>
    <d v="2021-02-03T00:00:00"/>
    <m/>
    <d v="2021-03-01T00:00:00"/>
    <s v="FY21"/>
    <s v="t"/>
    <n v="0.05"/>
    <n v="0"/>
    <n v="0"/>
    <n v="0.05"/>
    <n v="1"/>
    <n v="0"/>
    <n v="0"/>
    <n v="1"/>
    <n v="100"/>
    <n v="0"/>
    <n v="0"/>
    <s v="Consolidation"/>
    <s v="CO2e and Base Measure"/>
    <n v="100"/>
    <n v="100"/>
    <n v="0.05"/>
    <m/>
    <m/>
    <m/>
    <m/>
    <m/>
    <n v="6.5000000000000002E-2"/>
    <m/>
    <n v="6.5000000000000002E-2"/>
    <m/>
    <m/>
    <m/>
    <m/>
    <m/>
    <s v="AUD"/>
    <s v="13639883Waste - General [t] - Scope 3"/>
    <n v="13639883"/>
  </r>
  <r>
    <d v="2019-07-01T00:00:00"/>
    <d v="2021-06-30T00:00:00"/>
    <s v="Telstra"/>
    <s v="NETWORK"/>
    <s v="Network - InfraCo"/>
    <s v="VIC"/>
    <s v="Australia"/>
    <s v="Geelong West"/>
    <s v="BANNOCKBURN EXCHANGE"/>
    <n v="423030559600"/>
    <s v="Waste"/>
    <x v="1"/>
    <x v="2"/>
    <s v="Account"/>
    <s v="CLEANAWAY General"/>
    <m/>
    <s v="25421_Landfill_General"/>
    <s v="General"/>
    <s v="Cleanaway"/>
    <m/>
    <d v="2021-02-03T00:00:00"/>
    <m/>
    <d v="2021-04-01T00:00:00"/>
    <s v="FY21"/>
    <s v="t"/>
    <n v="0"/>
    <n v="0"/>
    <n v="0.10199999999999999"/>
    <n v="0.10199999999999999"/>
    <n v="0"/>
    <n v="0"/>
    <n v="30"/>
    <n v="30"/>
    <n v="0"/>
    <n v="0"/>
    <n v="100"/>
    <s v="Consolidation"/>
    <s v="CO2e and Base Measure"/>
    <n v="100"/>
    <n v="100"/>
    <n v="0.1"/>
    <m/>
    <m/>
    <m/>
    <m/>
    <m/>
    <n v="0.1326"/>
    <m/>
    <n v="0.1326"/>
    <m/>
    <m/>
    <m/>
    <m/>
    <m/>
    <s v="AUD"/>
    <s v="13639883Waste - General [t] - Scope 3"/>
    <n v="13639883"/>
  </r>
  <r>
    <d v="2019-07-01T00:00:00"/>
    <d v="2021-06-30T00:00:00"/>
    <s v="Telstra"/>
    <s v="NETWORK"/>
    <s v="Network - InfraCo"/>
    <s v="VIC"/>
    <s v="Australia"/>
    <s v="Geelong West"/>
    <s v="BANNOCKBURN EXCHANGE"/>
    <n v="423030559600"/>
    <s v="Waste"/>
    <x v="1"/>
    <x v="2"/>
    <s v="Account"/>
    <s v="CLEANAWAY General"/>
    <m/>
    <s v="25421_Landfill_General"/>
    <s v="General"/>
    <s v="Cleanaway"/>
    <m/>
    <d v="2021-02-03T00:00:00"/>
    <m/>
    <d v="2021-05-01T00:00:00"/>
    <s v="FY21"/>
    <s v="t"/>
    <n v="0"/>
    <n v="0"/>
    <n v="0.10539999999999999"/>
    <n v="0.10539999999999999"/>
    <n v="0"/>
    <n v="0"/>
    <n v="31"/>
    <n v="31"/>
    <n v="0"/>
    <n v="0"/>
    <n v="100"/>
    <s v="Consolidation"/>
    <s v="CO2e and Base Measure"/>
    <n v="100"/>
    <n v="100"/>
    <n v="0.11"/>
    <m/>
    <m/>
    <m/>
    <m/>
    <m/>
    <n v="0.13700000000000001"/>
    <m/>
    <n v="0.13700000000000001"/>
    <m/>
    <m/>
    <m/>
    <m/>
    <m/>
    <s v="AUD"/>
    <s v="13639883Waste - General [t] - Scope 3"/>
    <n v="13639883"/>
  </r>
  <r>
    <d v="2019-07-01T00:00:00"/>
    <d v="2021-06-30T00:00:00"/>
    <s v="Telstra"/>
    <s v="NETWORK"/>
    <s v="Network - InfraCo"/>
    <s v="QLD"/>
    <s v="Australia"/>
    <s v="Emerald"/>
    <s v="BARCALDINE EXCHANGE __ LINE DEP"/>
    <n v="423030011300"/>
    <s v="Recycled Waste"/>
    <x v="0"/>
    <x v="1"/>
    <s v="Account"/>
    <s v="Remondis Batteries - Lead Acid"/>
    <m/>
    <s v="423030011300_RBATLEDAC"/>
    <s v="BATTERIES - LEAD ACID"/>
    <s v="Remondis"/>
    <m/>
    <m/>
    <d v="2020-12-01T00:00:00"/>
    <d v="2020-11-01T00:00:00"/>
    <s v="FY21"/>
    <s v="t"/>
    <n v="3.26"/>
    <n v="0"/>
    <n v="0"/>
    <n v="3.26"/>
    <n v="1"/>
    <n v="0"/>
    <n v="0"/>
    <n v="1"/>
    <n v="100"/>
    <n v="0"/>
    <n v="0"/>
    <s v="Consolidation"/>
    <s v="CO2e and Base Measure"/>
    <n v="100"/>
    <n v="100"/>
    <n v="3.26"/>
    <m/>
    <m/>
    <m/>
    <m/>
    <m/>
    <m/>
    <m/>
    <m/>
    <m/>
    <m/>
    <m/>
    <m/>
    <m/>
    <s v="AUD"/>
    <s v="13564102Waste Recycled - E-waste [t]"/>
    <n v="13564102"/>
  </r>
  <r>
    <d v="2019-07-01T00:00:00"/>
    <d v="2021-06-30T00:00:00"/>
    <s v="Telstra"/>
    <s v="NETWORK"/>
    <s v="Network - InfraCo"/>
    <s v="QLD"/>
    <s v="Australia"/>
    <s v="Emerald"/>
    <s v="BARCALDINE EXCHANGE __ LINE DEP"/>
    <n v="423030011300"/>
    <s v="Recycled Waste"/>
    <x v="0"/>
    <x v="1"/>
    <s v="Account"/>
    <s v="Remondis Batteries - Lead Acid"/>
    <m/>
    <s v="423030011300_RBATLEDAC"/>
    <s v="BATTERIES - LEAD ACID"/>
    <s v="Remondis"/>
    <m/>
    <m/>
    <d v="2020-12-01T00:00:00"/>
    <d v="2020-12-01T00:00:00"/>
    <s v="FY21"/>
    <s v="t"/>
    <n v="0"/>
    <n v="0"/>
    <n v="0.1124"/>
    <n v="0.1124"/>
    <n v="0"/>
    <n v="0"/>
    <n v="1"/>
    <n v="1"/>
    <n v="0"/>
    <n v="0"/>
    <n v="100"/>
    <s v="Consolidation"/>
    <s v="CO2e and Base Measure"/>
    <n v="100"/>
    <n v="100"/>
    <n v="0.11"/>
    <m/>
    <m/>
    <m/>
    <m/>
    <m/>
    <m/>
    <m/>
    <m/>
    <m/>
    <m/>
    <m/>
    <m/>
    <m/>
    <s v="AUD"/>
    <s v="13564102Waste Recycled - E-waste [t]"/>
    <n v="13564102"/>
  </r>
  <r>
    <d v="2019-07-01T00:00:00"/>
    <d v="2021-06-30T00:00:00"/>
    <s v="Telstra"/>
    <s v="NETWORK"/>
    <s v="Network - InfraCo"/>
    <s v="NSW"/>
    <s v="Australia"/>
    <s v="Kerang"/>
    <s v="BARHAM EXCHANGE"/>
    <n v="423030784800"/>
    <s v="Waste"/>
    <x v="1"/>
    <x v="2"/>
    <s v="Account"/>
    <s v="Remondis General Waste"/>
    <m/>
    <s v="423030784800_WGENERALW"/>
    <s v="GENERAL WASTE"/>
    <s v="Remondis"/>
    <m/>
    <d v="2020-06-03T00:00:00"/>
    <d v="2020-07-01T00:00:00"/>
    <d v="2020-07-01T00:00:00"/>
    <s v="FY21"/>
    <s v="t"/>
    <n v="0"/>
    <n v="0"/>
    <n v="2.3400000000000001E-2"/>
    <n v="2.3400000000000001E-2"/>
    <n v="0"/>
    <n v="0"/>
    <n v="1"/>
    <n v="1"/>
    <n v="0"/>
    <n v="0"/>
    <n v="100"/>
    <s v="Consolidation"/>
    <s v="CO2e and Base Measure"/>
    <n v="100"/>
    <n v="100"/>
    <n v="0.02"/>
    <m/>
    <m/>
    <m/>
    <m/>
    <m/>
    <n v="3.04E-2"/>
    <m/>
    <n v="3.04E-2"/>
    <m/>
    <m/>
    <m/>
    <m/>
    <m/>
    <s v="AUD"/>
    <s v="13612594Waste - General [t] - Scope 3"/>
    <n v="13612594"/>
  </r>
  <r>
    <d v="2019-07-01T00:00:00"/>
    <d v="2021-06-30T00:00:00"/>
    <s v="Telstra"/>
    <s v="NETWORK"/>
    <s v="Network - InfraCo"/>
    <s v="NSW"/>
    <s v="Australia"/>
    <s v="Batemans Bay"/>
    <s v="BATEMANS BAY EXCHANGE"/>
    <n v="423030320700"/>
    <s v="Recycled Waste"/>
    <x v="0"/>
    <x v="0"/>
    <s v="Account"/>
    <s v="Remondis Cardboard - Loose - Recycled"/>
    <m/>
    <s v="423030320700_RCARDBOAR"/>
    <s v="CARDBOARD - LOOSE - RECYCLED"/>
    <s v="Remondis"/>
    <m/>
    <m/>
    <d v="2020-11-01T00:00:00"/>
    <d v="2020-07-01T00:00:00"/>
    <s v="FY21"/>
    <s v="t"/>
    <n v="0"/>
    <n v="6.3E-2"/>
    <n v="0"/>
    <n v="6.3E-2"/>
    <n v="0"/>
    <n v="1"/>
    <n v="0"/>
    <n v="1"/>
    <n v="0"/>
    <n v="100"/>
    <n v="0"/>
    <s v="Consolidation"/>
    <s v="CO2e and Base Measure"/>
    <n v="100"/>
    <n v="100"/>
    <n v="0.06"/>
    <m/>
    <m/>
    <m/>
    <m/>
    <m/>
    <m/>
    <n v="0"/>
    <m/>
    <m/>
    <m/>
    <m/>
    <m/>
    <m/>
    <s v="AUD"/>
    <s v="13564556Waste Recycled - Cardboard [t]"/>
    <n v="13564556"/>
  </r>
  <r>
    <d v="2019-07-01T00:00:00"/>
    <d v="2021-06-30T00:00:00"/>
    <s v="Telstra"/>
    <s v="NETWORK"/>
    <s v="Network - InfraCo"/>
    <s v="NSW"/>
    <s v="Australia"/>
    <s v="Batemans Bay"/>
    <s v="BATEMANS BAY EXCHANGE"/>
    <n v="423030320700"/>
    <s v="Recycled Waste"/>
    <x v="0"/>
    <x v="0"/>
    <s v="Account"/>
    <s v="Remondis Cardboard - Loose - Recycled"/>
    <m/>
    <s v="423030320700_RCARDBOAR"/>
    <s v="CARDBOARD - LOOSE - RECYCLED"/>
    <s v="Remondis"/>
    <m/>
    <m/>
    <d v="2020-11-01T00:00:00"/>
    <d v="2020-08-01T00:00:00"/>
    <s v="FY21"/>
    <s v="t"/>
    <n v="0"/>
    <n v="6.3E-2"/>
    <n v="0"/>
    <n v="6.3E-2"/>
    <n v="0"/>
    <n v="1"/>
    <n v="0"/>
    <n v="1"/>
    <n v="0"/>
    <n v="100"/>
    <n v="0"/>
    <s v="Consolidation"/>
    <s v="CO2e and Base Measure"/>
    <n v="100"/>
    <n v="100"/>
    <n v="0.06"/>
    <m/>
    <m/>
    <m/>
    <m/>
    <m/>
    <m/>
    <n v="0"/>
    <m/>
    <m/>
    <m/>
    <m/>
    <m/>
    <m/>
    <s v="AUD"/>
    <s v="13564556Waste Recycled - Cardboard [t]"/>
    <n v="13564556"/>
  </r>
  <r>
    <d v="2019-07-01T00:00:00"/>
    <d v="2021-06-30T00:00:00"/>
    <s v="Telstra"/>
    <s v="NETWORK"/>
    <s v="Network - InfraCo"/>
    <s v="NSW"/>
    <s v="Australia"/>
    <s v="Batemans Bay"/>
    <s v="BATEMANS BAY EXCHANGE"/>
    <n v="423030320700"/>
    <s v="Recycled Waste"/>
    <x v="0"/>
    <x v="0"/>
    <s v="Account"/>
    <s v="Remondis Cardboard - Loose - Recycled"/>
    <m/>
    <s v="423030320700_RCARDBOAR"/>
    <s v="CARDBOARD - LOOSE - RECYCLED"/>
    <s v="Remondis"/>
    <m/>
    <m/>
    <d v="2020-11-01T00:00:00"/>
    <d v="2020-10-01T00:00:00"/>
    <s v="FY21"/>
    <s v="t"/>
    <n v="0"/>
    <n v="6.3E-2"/>
    <n v="0"/>
    <n v="6.3E-2"/>
    <n v="0"/>
    <n v="1"/>
    <n v="0"/>
    <n v="1"/>
    <n v="0"/>
    <n v="100"/>
    <n v="0"/>
    <s v="Consolidation"/>
    <s v="CO2e and Base Measure"/>
    <n v="100"/>
    <n v="100"/>
    <n v="0.06"/>
    <m/>
    <m/>
    <m/>
    <m/>
    <m/>
    <m/>
    <n v="0"/>
    <m/>
    <m/>
    <m/>
    <m/>
    <m/>
    <m/>
    <s v="AUD"/>
    <s v="13564556Waste Recycled - Cardboard [t]"/>
    <n v="13564556"/>
  </r>
  <r>
    <d v="2019-07-01T00:00:00"/>
    <d v="2021-06-30T00:00:00"/>
    <s v="Telstra"/>
    <s v="NETWORK"/>
    <s v="Network - InfraCo"/>
    <s v="NSW"/>
    <s v="Australia"/>
    <s v="Batemans Bay"/>
    <s v="BATEMANS BAY EXCHANGE"/>
    <n v="423030320700"/>
    <s v="Recycled Waste"/>
    <x v="0"/>
    <x v="0"/>
    <s v="Account"/>
    <s v="Remondis Cardboard - Loose - Recycled"/>
    <m/>
    <s v="423030320700_RCARDBOAR"/>
    <s v="CARDBOARD - LOOSE - RECYCLED"/>
    <s v="Remondis"/>
    <m/>
    <m/>
    <d v="2020-11-01T00:00:00"/>
    <d v="2020-11-01T00:00:00"/>
    <s v="FY21"/>
    <s v="t"/>
    <n v="0"/>
    <n v="0"/>
    <n v="1.6999999999999999E-3"/>
    <n v="1.6999999999999999E-3"/>
    <n v="0"/>
    <n v="0"/>
    <n v="1"/>
    <n v="1"/>
    <n v="0"/>
    <n v="0"/>
    <n v="100"/>
    <s v="Consolidation"/>
    <s v="CO2e and Base Measure"/>
    <n v="100"/>
    <n v="100"/>
    <n v="0"/>
    <m/>
    <m/>
    <m/>
    <m/>
    <m/>
    <m/>
    <n v="0"/>
    <m/>
    <m/>
    <m/>
    <m/>
    <m/>
    <m/>
    <s v="AUD"/>
    <s v="13564556Waste Recycled - Cardboard [t]"/>
    <n v="13564556"/>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557Waste - General [t] - Scope 3"/>
    <n v="13564557"/>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0-11-01T00:00:00"/>
    <s v="FY21"/>
    <s v="t"/>
    <n v="0"/>
    <n v="7.4999999999999997E-2"/>
    <n v="0"/>
    <n v="7.4999999999999997E-2"/>
    <n v="0"/>
    <n v="1"/>
    <n v="0"/>
    <n v="1"/>
    <n v="0"/>
    <n v="100"/>
    <n v="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0-12-01T00:00:00"/>
    <s v="FY21"/>
    <s v="t"/>
    <n v="0"/>
    <n v="0.15"/>
    <n v="0"/>
    <n v="0.15"/>
    <n v="0"/>
    <n v="2"/>
    <n v="0"/>
    <n v="2"/>
    <n v="0"/>
    <n v="100"/>
    <n v="0"/>
    <s v="Consolidation"/>
    <s v="CO2e and Base Measure"/>
    <n v="100"/>
    <n v="100"/>
    <n v="0.15"/>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1-01T00:00:00"/>
    <s v="FY21"/>
    <s v="t"/>
    <n v="0"/>
    <n v="7.4999999999999997E-2"/>
    <n v="0"/>
    <n v="7.4999999999999997E-2"/>
    <n v="0"/>
    <n v="1"/>
    <n v="0"/>
    <n v="1"/>
    <n v="0"/>
    <n v="100"/>
    <n v="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2-01T00:00:00"/>
    <s v="FY21"/>
    <s v="t"/>
    <n v="0"/>
    <n v="7.4999999999999997E-2"/>
    <n v="0"/>
    <n v="7.4999999999999997E-2"/>
    <n v="0"/>
    <n v="1"/>
    <n v="0"/>
    <n v="1"/>
    <n v="0"/>
    <n v="100"/>
    <n v="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3-01T00:00:00"/>
    <s v="FY21"/>
    <s v="t"/>
    <n v="0.02"/>
    <n v="0"/>
    <n v="0"/>
    <n v="0.02"/>
    <n v="1"/>
    <n v="0"/>
    <n v="0"/>
    <n v="1"/>
    <n v="100"/>
    <n v="0"/>
    <n v="0"/>
    <s v="Consolidation"/>
    <s v="CO2e and Base Measure"/>
    <n v="100"/>
    <n v="100"/>
    <n v="0.02"/>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4-01T00:00:00"/>
    <s v="FY21"/>
    <s v="t"/>
    <n v="0"/>
    <n v="0"/>
    <n v="7.8E-2"/>
    <n v="7.8E-2"/>
    <n v="0"/>
    <n v="0"/>
    <n v="30"/>
    <n v="30"/>
    <n v="0"/>
    <n v="0"/>
    <n v="10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5-01T00:00:00"/>
    <s v="FY21"/>
    <s v="t"/>
    <n v="0"/>
    <n v="0"/>
    <n v="8.0600000000000005E-2"/>
    <n v="8.0600000000000005E-2"/>
    <n v="0"/>
    <n v="0"/>
    <n v="31"/>
    <n v="31"/>
    <n v="0"/>
    <n v="0"/>
    <n v="10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0-12-01T00:00:00"/>
    <s v="FY21"/>
    <s v="t"/>
    <n v="0"/>
    <n v="0.27"/>
    <n v="0"/>
    <n v="0.27"/>
    <n v="0"/>
    <n v="2"/>
    <n v="0"/>
    <n v="2"/>
    <n v="0"/>
    <n v="100"/>
    <n v="0"/>
    <s v="Consolidation"/>
    <s v="CO2e and Base Measure"/>
    <n v="100"/>
    <n v="100"/>
    <n v="0.27"/>
    <m/>
    <m/>
    <m/>
    <m/>
    <m/>
    <n v="0.35099999999999998"/>
    <m/>
    <n v="0.35099999999999998"/>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1-01T00:00:00"/>
    <s v="FY21"/>
    <s v="t"/>
    <n v="0.60099999999999998"/>
    <n v="0"/>
    <n v="0"/>
    <n v="0.60099999999999998"/>
    <n v="2"/>
    <n v="0"/>
    <n v="0"/>
    <n v="2"/>
    <n v="100"/>
    <n v="0"/>
    <n v="0"/>
    <s v="Consolidation"/>
    <s v="CO2e and Base Measure"/>
    <n v="100"/>
    <n v="100"/>
    <n v="0.6"/>
    <m/>
    <m/>
    <m/>
    <m/>
    <m/>
    <n v="0.78129999999999999"/>
    <m/>
    <n v="0.78129999999999999"/>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2-01T00:00:00"/>
    <s v="FY21"/>
    <s v="t"/>
    <n v="0.39"/>
    <n v="0.13500000000000001"/>
    <n v="0"/>
    <n v="0.52500000000000002"/>
    <n v="1"/>
    <n v="1"/>
    <n v="0"/>
    <n v="2"/>
    <n v="74.28"/>
    <n v="25.71"/>
    <n v="0"/>
    <s v="Consolidation"/>
    <s v="CO2e and Base Measure"/>
    <n v="100"/>
    <n v="100"/>
    <n v="0.53"/>
    <m/>
    <m/>
    <m/>
    <m/>
    <m/>
    <n v="0.6825"/>
    <m/>
    <n v="0.6825"/>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3-01T00:00:00"/>
    <s v="FY21"/>
    <s v="t"/>
    <n v="0.19"/>
    <n v="0.13500000000000001"/>
    <n v="0"/>
    <n v="0.32500000000000001"/>
    <n v="2"/>
    <n v="1"/>
    <n v="0"/>
    <n v="3"/>
    <n v="58.46"/>
    <n v="41.53"/>
    <n v="0"/>
    <s v="Consolidation"/>
    <s v="CO2e and Base Measure"/>
    <n v="100"/>
    <n v="100"/>
    <n v="0.33"/>
    <m/>
    <m/>
    <m/>
    <m/>
    <m/>
    <n v="0.42249999999999999"/>
    <m/>
    <n v="0.42249999999999999"/>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4-01T00:00:00"/>
    <s v="FY21"/>
    <s v="t"/>
    <n v="0"/>
    <n v="0"/>
    <n v="0.42899999999999999"/>
    <n v="0.42899999999999999"/>
    <n v="0"/>
    <n v="0"/>
    <n v="30"/>
    <n v="30"/>
    <n v="0"/>
    <n v="0"/>
    <n v="100"/>
    <s v="Consolidation"/>
    <s v="CO2e and Base Measure"/>
    <n v="100"/>
    <n v="100"/>
    <n v="0.43"/>
    <m/>
    <m/>
    <m/>
    <m/>
    <m/>
    <n v="0.55769999999999997"/>
    <m/>
    <n v="0.55769999999999997"/>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5-01T00:00:00"/>
    <s v="FY21"/>
    <s v="t"/>
    <n v="0"/>
    <n v="0"/>
    <n v="0.44330000000000003"/>
    <n v="0.44330000000000003"/>
    <n v="0"/>
    <n v="0"/>
    <n v="31"/>
    <n v="31"/>
    <n v="0"/>
    <n v="0"/>
    <n v="100"/>
    <s v="Consolidation"/>
    <s v="CO2e and Base Measure"/>
    <n v="100"/>
    <n v="100"/>
    <n v="0.44"/>
    <m/>
    <m/>
    <m/>
    <m/>
    <m/>
    <n v="0.57630000000000003"/>
    <m/>
    <n v="0.57630000000000003"/>
    <m/>
    <m/>
    <m/>
    <m/>
    <m/>
    <s v="AUD"/>
    <s v="13634019Waste - General [t] - Scope 3"/>
    <n v="13634019"/>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07-01T00:00:00"/>
    <s v="FY21"/>
    <s v="t"/>
    <n v="0"/>
    <n v="6.9500000000000006E-2"/>
    <n v="0"/>
    <n v="6.9500000000000006E-2"/>
    <n v="0"/>
    <n v="5"/>
    <n v="0"/>
    <n v="5"/>
    <n v="0"/>
    <n v="100"/>
    <n v="0"/>
    <s v="Consolidation"/>
    <s v="CO2e and Base Measure"/>
    <n v="100"/>
    <n v="100"/>
    <n v="7.0000000000000007E-2"/>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08-01T00:00:00"/>
    <s v="FY21"/>
    <s v="t"/>
    <n v="0"/>
    <n v="5.5599999999999997E-2"/>
    <n v="0"/>
    <n v="5.5599999999999997E-2"/>
    <n v="0"/>
    <n v="4"/>
    <n v="0"/>
    <n v="4"/>
    <n v="0"/>
    <n v="100"/>
    <n v="0"/>
    <s v="Consolidation"/>
    <s v="CO2e and Base Measure"/>
    <n v="100"/>
    <n v="100"/>
    <n v="0.06"/>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09-01T00:00:00"/>
    <s v="FY21"/>
    <s v="t"/>
    <n v="0"/>
    <n v="6.9500000000000006E-2"/>
    <n v="0"/>
    <n v="6.9500000000000006E-2"/>
    <n v="0"/>
    <n v="5"/>
    <n v="0"/>
    <n v="5"/>
    <n v="0"/>
    <n v="100"/>
    <n v="0"/>
    <s v="Consolidation"/>
    <s v="CO2e and Base Measure"/>
    <n v="100"/>
    <n v="100"/>
    <n v="7.0000000000000007E-2"/>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10-01T00:00:00"/>
    <s v="FY21"/>
    <s v="t"/>
    <n v="0"/>
    <n v="5.5599999999999997E-2"/>
    <n v="0"/>
    <n v="5.5599999999999997E-2"/>
    <n v="0"/>
    <n v="4"/>
    <n v="0"/>
    <n v="4"/>
    <n v="0"/>
    <n v="100"/>
    <n v="0"/>
    <s v="Consolidation"/>
    <s v="CO2e and Base Measure"/>
    <n v="100"/>
    <n v="100"/>
    <n v="0.06"/>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11-01T00:00:00"/>
    <s v="FY21"/>
    <s v="t"/>
    <n v="0"/>
    <n v="6.9500000000000006E-2"/>
    <n v="0"/>
    <n v="6.9500000000000006E-2"/>
    <n v="0"/>
    <n v="5"/>
    <n v="0"/>
    <n v="5"/>
    <n v="0"/>
    <n v="100"/>
    <n v="0"/>
    <s v="Consolidation"/>
    <s v="CO2e and Base Measure"/>
    <n v="100"/>
    <n v="100"/>
    <n v="7.0000000000000007E-2"/>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12-01T00:00:00"/>
    <s v="FY21"/>
    <s v="t"/>
    <n v="0"/>
    <n v="0"/>
    <n v="2.0999999999999999E-3"/>
    <n v="2.0999999999999999E-3"/>
    <n v="0"/>
    <n v="0"/>
    <n v="1"/>
    <n v="1"/>
    <n v="0"/>
    <n v="0"/>
    <n v="100"/>
    <s v="Consolidation"/>
    <s v="CO2e and Base Measure"/>
    <n v="100"/>
    <n v="100"/>
    <n v="0"/>
    <m/>
    <m/>
    <m/>
    <m/>
    <m/>
    <m/>
    <n v="0"/>
    <m/>
    <m/>
    <m/>
    <m/>
    <m/>
    <m/>
    <s v="AUD"/>
    <s v="13565096Waste Recycled - Cardboard [t]"/>
    <n v="13565096"/>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07-01T00:00:00"/>
    <s v="FY21"/>
    <s v="t"/>
    <n v="3.78"/>
    <n v="0.42899999999999999"/>
    <n v="0"/>
    <n v="4.2089999999999996"/>
    <n v="1"/>
    <n v="5"/>
    <n v="0"/>
    <n v="6"/>
    <n v="89.8"/>
    <n v="10.19"/>
    <n v="0"/>
    <s v="Consolidation"/>
    <s v="CO2e and Base Measure"/>
    <n v="100"/>
    <n v="100"/>
    <n v="4.21"/>
    <m/>
    <m/>
    <m/>
    <m/>
    <m/>
    <n v="5.4717000000000002"/>
    <m/>
    <n v="5.4717000000000002"/>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08-01T00:00:00"/>
    <s v="FY21"/>
    <s v="t"/>
    <n v="0"/>
    <n v="0.2145"/>
    <n v="0"/>
    <n v="0.2145"/>
    <n v="0"/>
    <n v="4"/>
    <n v="0"/>
    <n v="4"/>
    <n v="0"/>
    <n v="100"/>
    <n v="0"/>
    <s v="Consolidation"/>
    <s v="CO2e and Base Measure"/>
    <n v="100"/>
    <n v="100"/>
    <n v="0.21"/>
    <m/>
    <m/>
    <m/>
    <m/>
    <m/>
    <n v="0.27889999999999998"/>
    <m/>
    <n v="0.27889999999999998"/>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09-01T00:00:00"/>
    <s v="FY21"/>
    <s v="t"/>
    <n v="0"/>
    <n v="0.2145"/>
    <n v="0"/>
    <n v="0.2145"/>
    <n v="0"/>
    <n v="3"/>
    <n v="0"/>
    <n v="3"/>
    <n v="0"/>
    <n v="100"/>
    <n v="0"/>
    <s v="Consolidation"/>
    <s v="CO2e and Base Measure"/>
    <n v="100"/>
    <n v="100"/>
    <n v="0.21"/>
    <m/>
    <m/>
    <m/>
    <m/>
    <m/>
    <n v="0.27889999999999998"/>
    <m/>
    <n v="0.27889999999999998"/>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10-01T00:00:00"/>
    <s v="FY21"/>
    <s v="t"/>
    <n v="0"/>
    <n v="0.25740000000000002"/>
    <n v="0"/>
    <n v="0.25740000000000002"/>
    <n v="0"/>
    <n v="2"/>
    <n v="0"/>
    <n v="2"/>
    <n v="0"/>
    <n v="100"/>
    <n v="0"/>
    <s v="Consolidation"/>
    <s v="CO2e and Base Measure"/>
    <n v="100"/>
    <n v="100"/>
    <n v="0.26"/>
    <m/>
    <m/>
    <m/>
    <m/>
    <m/>
    <n v="0.33460000000000001"/>
    <m/>
    <n v="0.33460000000000001"/>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11-01T00:00:00"/>
    <s v="FY21"/>
    <s v="t"/>
    <n v="0"/>
    <n v="0.1716"/>
    <n v="0"/>
    <n v="0.1716"/>
    <n v="0"/>
    <n v="2"/>
    <n v="0"/>
    <n v="2"/>
    <n v="0"/>
    <n v="100"/>
    <n v="0"/>
    <s v="Consolidation"/>
    <s v="CO2e and Base Measure"/>
    <n v="100"/>
    <n v="100"/>
    <n v="0.17"/>
    <m/>
    <m/>
    <m/>
    <m/>
    <m/>
    <n v="0.22309999999999999"/>
    <m/>
    <n v="0.22309999999999999"/>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12-01T00:00:00"/>
    <s v="FY21"/>
    <s v="t"/>
    <n v="0"/>
    <n v="0"/>
    <n v="5.62E-2"/>
    <n v="5.62E-2"/>
    <n v="0"/>
    <n v="0"/>
    <n v="1"/>
    <n v="1"/>
    <n v="0"/>
    <n v="0"/>
    <n v="100"/>
    <s v="Consolidation"/>
    <s v="CO2e and Base Measure"/>
    <n v="100"/>
    <n v="100"/>
    <n v="0.06"/>
    <m/>
    <m/>
    <m/>
    <m/>
    <m/>
    <n v="7.3099999999999998E-2"/>
    <m/>
    <n v="7.3099999999999998E-2"/>
    <m/>
    <m/>
    <m/>
    <m/>
    <m/>
    <s v="AUD"/>
    <s v="13565098Waste - General [t] - Scope 3"/>
    <n v="13565098"/>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0-11-01T00:00:00"/>
    <s v="FY21"/>
    <s v="t"/>
    <n v="0"/>
    <n v="5.9400000000000001E-2"/>
    <n v="0"/>
    <n v="5.9400000000000001E-2"/>
    <n v="0"/>
    <n v="1"/>
    <n v="0"/>
    <n v="1"/>
    <n v="0"/>
    <n v="100"/>
    <n v="0"/>
    <s v="Consolidation"/>
    <s v="CO2e and Base Measure"/>
    <n v="100"/>
    <n v="100"/>
    <n v="0.06"/>
    <m/>
    <m/>
    <m/>
    <m/>
    <m/>
    <n v="7.7200000000000005E-2"/>
    <m/>
    <n v="7.7200000000000005E-2"/>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0-12-01T00:00:00"/>
    <s v="FY21"/>
    <s v="t"/>
    <n v="0"/>
    <n v="0.23760000000000001"/>
    <n v="0"/>
    <n v="0.23760000000000001"/>
    <n v="0"/>
    <n v="3"/>
    <n v="0"/>
    <n v="3"/>
    <n v="0"/>
    <n v="100"/>
    <n v="0"/>
    <s v="Consolidation"/>
    <s v="CO2e and Base Measure"/>
    <n v="100"/>
    <n v="100"/>
    <n v="0.24"/>
    <m/>
    <m/>
    <m/>
    <m/>
    <m/>
    <n v="0.30890000000000001"/>
    <m/>
    <n v="0.30890000000000001"/>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1-01T00:00:00"/>
    <s v="FY21"/>
    <s v="t"/>
    <n v="0"/>
    <n v="0.23760000000000001"/>
    <n v="0"/>
    <n v="0.23760000000000001"/>
    <n v="0"/>
    <n v="3"/>
    <n v="0"/>
    <n v="3"/>
    <n v="0"/>
    <n v="100"/>
    <n v="0"/>
    <s v="Consolidation"/>
    <s v="CO2e and Base Measure"/>
    <n v="100"/>
    <n v="100"/>
    <n v="0.24"/>
    <m/>
    <m/>
    <m/>
    <m/>
    <m/>
    <n v="0.30890000000000001"/>
    <m/>
    <n v="0.30890000000000001"/>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2-01T00:00:00"/>
    <s v="FY21"/>
    <s v="t"/>
    <n v="0"/>
    <n v="0.35639999999999999"/>
    <n v="0"/>
    <n v="0.35639999999999999"/>
    <n v="0"/>
    <n v="4"/>
    <n v="0"/>
    <n v="4"/>
    <n v="0"/>
    <n v="100"/>
    <n v="0"/>
    <s v="Consolidation"/>
    <s v="CO2e and Base Measure"/>
    <n v="100"/>
    <n v="100"/>
    <n v="0.36"/>
    <m/>
    <m/>
    <m/>
    <m/>
    <m/>
    <n v="0.46329999999999999"/>
    <m/>
    <n v="0.46329999999999999"/>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3-01T00:00:00"/>
    <s v="FY21"/>
    <s v="t"/>
    <n v="0"/>
    <n v="0.44550000000000001"/>
    <n v="0"/>
    <n v="0.44550000000000001"/>
    <n v="0"/>
    <n v="5"/>
    <n v="0"/>
    <n v="5"/>
    <n v="0"/>
    <n v="100"/>
    <n v="0"/>
    <s v="Consolidation"/>
    <s v="CO2e and Base Measure"/>
    <n v="100"/>
    <n v="100"/>
    <n v="0.45"/>
    <m/>
    <m/>
    <m/>
    <m/>
    <m/>
    <n v="0.57920000000000005"/>
    <m/>
    <n v="0.57920000000000005"/>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4-01T00:00:00"/>
    <s v="FY21"/>
    <s v="t"/>
    <n v="0"/>
    <n v="0"/>
    <n v="0.26700000000000002"/>
    <n v="0.26700000000000002"/>
    <n v="0"/>
    <n v="0"/>
    <n v="30"/>
    <n v="30"/>
    <n v="0"/>
    <n v="0"/>
    <n v="100"/>
    <s v="Consolidation"/>
    <s v="CO2e and Base Measure"/>
    <n v="100"/>
    <n v="100"/>
    <n v="0.27"/>
    <m/>
    <m/>
    <m/>
    <m/>
    <m/>
    <n v="0.34710000000000002"/>
    <m/>
    <n v="0.34710000000000002"/>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5-01T00:00:00"/>
    <s v="FY21"/>
    <s v="t"/>
    <n v="0"/>
    <n v="0"/>
    <n v="0.27589999999999998"/>
    <n v="0.27589999999999998"/>
    <n v="0"/>
    <n v="0"/>
    <n v="31"/>
    <n v="31"/>
    <n v="0"/>
    <n v="0"/>
    <n v="100"/>
    <s v="Consolidation"/>
    <s v="CO2e and Base Measure"/>
    <n v="100"/>
    <n v="100"/>
    <n v="0.28000000000000003"/>
    <m/>
    <m/>
    <m/>
    <m/>
    <m/>
    <n v="0.35870000000000002"/>
    <m/>
    <n v="0.35870000000000002"/>
    <m/>
    <m/>
    <m/>
    <m/>
    <m/>
    <s v="AUD"/>
    <s v="13633970Waste - General [t] - Scope 3"/>
    <n v="1363397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0-12-01T00:00:00"/>
    <s v="FY21"/>
    <s v="t"/>
    <n v="1.0999999999999999E-2"/>
    <n v="1.6500000000000001E-2"/>
    <n v="0"/>
    <n v="2.75E-2"/>
    <n v="1"/>
    <n v="1"/>
    <n v="0"/>
    <n v="2"/>
    <n v="40"/>
    <n v="60"/>
    <n v="0"/>
    <s v="Consolidation"/>
    <s v="CO2e and Base Measure"/>
    <n v="100"/>
    <n v="100"/>
    <n v="0.03"/>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1-01T00:00:00"/>
    <s v="FY21"/>
    <s v="t"/>
    <n v="0"/>
    <n v="4.9500000000000002E-2"/>
    <n v="0"/>
    <n v="4.9500000000000002E-2"/>
    <n v="0"/>
    <n v="3"/>
    <n v="0"/>
    <n v="3"/>
    <n v="0"/>
    <n v="100"/>
    <n v="0"/>
    <s v="Consolidation"/>
    <s v="CO2e and Base Measure"/>
    <n v="100"/>
    <n v="100"/>
    <n v="0.05"/>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2-01T00:00:00"/>
    <s v="FY21"/>
    <s v="t"/>
    <n v="0"/>
    <n v="3.3000000000000002E-2"/>
    <n v="0"/>
    <n v="3.3000000000000002E-2"/>
    <n v="0"/>
    <n v="2"/>
    <n v="0"/>
    <n v="2"/>
    <n v="0"/>
    <n v="100"/>
    <n v="0"/>
    <s v="Consolidation"/>
    <s v="CO2e and Base Measure"/>
    <n v="100"/>
    <n v="100"/>
    <n v="0.03"/>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3-01T00:00:00"/>
    <s v="FY21"/>
    <s v="t"/>
    <n v="0"/>
    <n v="4.9500000000000002E-2"/>
    <n v="0"/>
    <n v="4.9500000000000002E-2"/>
    <n v="0"/>
    <n v="3"/>
    <n v="0"/>
    <n v="3"/>
    <n v="0"/>
    <n v="100"/>
    <n v="0"/>
    <s v="Consolidation"/>
    <s v="CO2e and Base Measure"/>
    <n v="100"/>
    <n v="100"/>
    <n v="0.05"/>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4-01T00:00:00"/>
    <s v="FY21"/>
    <s v="t"/>
    <n v="0"/>
    <n v="0"/>
    <n v="3.9E-2"/>
    <n v="3.9E-2"/>
    <n v="0"/>
    <n v="0"/>
    <n v="30"/>
    <n v="30"/>
    <n v="0"/>
    <n v="0"/>
    <n v="100"/>
    <s v="Consolidation"/>
    <s v="CO2e and Base Measure"/>
    <n v="100"/>
    <n v="100"/>
    <n v="0.04"/>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5-01T00:00:00"/>
    <s v="FY21"/>
    <s v="t"/>
    <n v="0"/>
    <n v="0"/>
    <n v="4.0300000000000002E-2"/>
    <n v="4.0300000000000002E-2"/>
    <n v="0"/>
    <n v="0"/>
    <n v="31"/>
    <n v="31"/>
    <n v="0"/>
    <n v="0"/>
    <n v="100"/>
    <s v="Consolidation"/>
    <s v="CO2e and Base Measure"/>
    <n v="100"/>
    <n v="100"/>
    <n v="0.04"/>
    <m/>
    <m/>
    <m/>
    <m/>
    <m/>
    <m/>
    <m/>
    <m/>
    <m/>
    <m/>
    <m/>
    <m/>
    <m/>
    <s v="AUD"/>
    <s v="13634020Waste Recycled - Paper and Cardboard [t]"/>
    <n v="13634020"/>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1-01T00:00:00"/>
    <s v="FY21"/>
    <s v="t"/>
    <n v="0"/>
    <n v="1.9199999999999998E-2"/>
    <n v="0"/>
    <n v="1.9199999999999998E-2"/>
    <n v="0"/>
    <n v="2"/>
    <n v="0"/>
    <n v="2"/>
    <n v="0"/>
    <n v="100"/>
    <n v="0"/>
    <s v="Consolidation"/>
    <s v="CO2e and Base Measure"/>
    <n v="100"/>
    <n v="100"/>
    <n v="0.02"/>
    <m/>
    <m/>
    <m/>
    <m/>
    <m/>
    <m/>
    <n v="0"/>
    <m/>
    <m/>
    <m/>
    <m/>
    <m/>
    <m/>
    <s v="AUD"/>
    <s v="13634416Waste Recycled - Commingled [t]"/>
    <n v="13634416"/>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2-01T00:00:00"/>
    <s v="FY21"/>
    <s v="t"/>
    <n v="0"/>
    <n v="9.5999999999999992E-3"/>
    <n v="0"/>
    <n v="9.5999999999999992E-3"/>
    <n v="0"/>
    <n v="2"/>
    <n v="0"/>
    <n v="2"/>
    <n v="0"/>
    <n v="100"/>
    <n v="0"/>
    <s v="Consolidation"/>
    <s v="CO2e and Base Measure"/>
    <n v="100"/>
    <n v="100"/>
    <n v="0.01"/>
    <m/>
    <m/>
    <m/>
    <m/>
    <m/>
    <m/>
    <n v="0"/>
    <m/>
    <m/>
    <m/>
    <m/>
    <m/>
    <m/>
    <s v="AUD"/>
    <s v="13634416Waste Recycled - Commingled [t]"/>
    <n v="13634416"/>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3-01T00:00:00"/>
    <s v="FY21"/>
    <s v="t"/>
    <n v="0"/>
    <n v="3.8399999999999997E-2"/>
    <n v="0"/>
    <n v="3.8399999999999997E-2"/>
    <n v="0"/>
    <n v="5"/>
    <n v="0"/>
    <n v="5"/>
    <n v="0"/>
    <n v="100"/>
    <n v="0"/>
    <s v="Consolidation"/>
    <s v="CO2e and Base Measure"/>
    <n v="100"/>
    <n v="100"/>
    <n v="0.04"/>
    <m/>
    <m/>
    <m/>
    <m/>
    <m/>
    <m/>
    <n v="0"/>
    <m/>
    <m/>
    <m/>
    <m/>
    <m/>
    <m/>
    <s v="AUD"/>
    <s v="13634416Waste Recycled - Commingled [t]"/>
    <n v="13634416"/>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4-01T00:00:00"/>
    <s v="FY21"/>
    <s v="t"/>
    <n v="0"/>
    <n v="0"/>
    <n v="2.4E-2"/>
    <n v="2.4E-2"/>
    <n v="0"/>
    <n v="0"/>
    <n v="30"/>
    <n v="30"/>
    <n v="0"/>
    <n v="0"/>
    <n v="100"/>
    <s v="Consolidation"/>
    <s v="CO2e and Base Measure"/>
    <n v="100"/>
    <n v="100"/>
    <n v="0.02"/>
    <m/>
    <m/>
    <m/>
    <m/>
    <m/>
    <m/>
    <n v="0"/>
    <m/>
    <m/>
    <m/>
    <m/>
    <m/>
    <m/>
    <s v="AUD"/>
    <s v="13634416Waste Recycled - Commingled [t]"/>
    <n v="13634416"/>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5-01T00:00:00"/>
    <s v="FY21"/>
    <s v="t"/>
    <n v="0"/>
    <n v="0"/>
    <n v="2.4799999999999999E-2"/>
    <n v="2.4799999999999999E-2"/>
    <n v="0"/>
    <n v="0"/>
    <n v="31"/>
    <n v="31"/>
    <n v="0"/>
    <n v="0"/>
    <n v="100"/>
    <s v="Consolidation"/>
    <s v="CO2e and Base Measure"/>
    <n v="100"/>
    <n v="100"/>
    <n v="0.02"/>
    <m/>
    <m/>
    <m/>
    <m/>
    <m/>
    <m/>
    <n v="0"/>
    <m/>
    <m/>
    <m/>
    <m/>
    <m/>
    <m/>
    <s v="AUD"/>
    <s v="13634416Waste Recycled - Commingled [t]"/>
    <n v="13634416"/>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07-01T00:00:00"/>
    <s v="FY21"/>
    <s v="t"/>
    <n v="0.23499999999999999"/>
    <n v="0"/>
    <n v="0"/>
    <n v="0.23499999999999999"/>
    <n v="2"/>
    <n v="0"/>
    <n v="0"/>
    <n v="2"/>
    <n v="100"/>
    <n v="0"/>
    <n v="0"/>
    <s v="Consolidation"/>
    <s v="CO2e and Base Measure"/>
    <n v="100"/>
    <n v="100"/>
    <n v="0.24"/>
    <m/>
    <m/>
    <m/>
    <m/>
    <m/>
    <n v="0.30549999999999999"/>
    <m/>
    <n v="0.30549999999999999"/>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08-01T00:00:00"/>
    <s v="FY21"/>
    <s v="t"/>
    <n v="0.29499999999999998"/>
    <n v="0"/>
    <n v="0"/>
    <n v="0.29499999999999998"/>
    <n v="2"/>
    <n v="0"/>
    <n v="0"/>
    <n v="2"/>
    <n v="100"/>
    <n v="0"/>
    <n v="0"/>
    <s v="Consolidation"/>
    <s v="CO2e and Base Measure"/>
    <n v="100"/>
    <n v="100"/>
    <n v="0.3"/>
    <m/>
    <m/>
    <m/>
    <m/>
    <m/>
    <n v="0.38350000000000001"/>
    <m/>
    <n v="0.38350000000000001"/>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09-01T00:00:00"/>
    <s v="FY21"/>
    <s v="t"/>
    <n v="0.59899999999999998"/>
    <n v="0"/>
    <n v="0"/>
    <n v="0.59899999999999998"/>
    <n v="3"/>
    <n v="0"/>
    <n v="0"/>
    <n v="3"/>
    <n v="100"/>
    <n v="0"/>
    <n v="0"/>
    <s v="Consolidation"/>
    <s v="CO2e and Base Measure"/>
    <n v="100"/>
    <n v="100"/>
    <n v="0.6"/>
    <m/>
    <m/>
    <m/>
    <m/>
    <m/>
    <n v="0.77869999999999995"/>
    <m/>
    <n v="0.77869999999999995"/>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10-01T00:00:00"/>
    <s v="FY21"/>
    <s v="t"/>
    <n v="0.36"/>
    <n v="0"/>
    <n v="0"/>
    <n v="0.36"/>
    <n v="2"/>
    <n v="0"/>
    <n v="0"/>
    <n v="2"/>
    <n v="100"/>
    <n v="0"/>
    <n v="0"/>
    <s v="Consolidation"/>
    <s v="CO2e and Base Measure"/>
    <n v="100"/>
    <n v="100"/>
    <n v="0.36"/>
    <m/>
    <m/>
    <m/>
    <m/>
    <m/>
    <n v="0.46800000000000003"/>
    <m/>
    <n v="0.46800000000000003"/>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11-01T00:00:00"/>
    <s v="FY21"/>
    <s v="t"/>
    <n v="0.58499999999999996"/>
    <n v="0"/>
    <n v="0"/>
    <n v="0.58499999999999996"/>
    <n v="2"/>
    <n v="0"/>
    <n v="0"/>
    <n v="2"/>
    <n v="100"/>
    <n v="0"/>
    <n v="0"/>
    <s v="Consolidation"/>
    <s v="CO2e and Base Measure"/>
    <n v="100"/>
    <n v="100"/>
    <n v="0.59"/>
    <m/>
    <m/>
    <m/>
    <m/>
    <m/>
    <n v="0.76049999999999995"/>
    <m/>
    <n v="0.76049999999999995"/>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12-01T00:00:00"/>
    <s v="FY21"/>
    <s v="t"/>
    <n v="0"/>
    <n v="0"/>
    <n v="1.3599999999999999E-2"/>
    <n v="1.3599999999999999E-2"/>
    <n v="0"/>
    <n v="0"/>
    <n v="1"/>
    <n v="1"/>
    <n v="0"/>
    <n v="0"/>
    <n v="100"/>
    <s v="Consolidation"/>
    <s v="CO2e and Base Measure"/>
    <n v="100"/>
    <n v="100"/>
    <n v="0.01"/>
    <m/>
    <m/>
    <m/>
    <m/>
    <m/>
    <n v="1.77E-2"/>
    <m/>
    <n v="1.77E-2"/>
    <m/>
    <m/>
    <m/>
    <m/>
    <m/>
    <s v="AUD"/>
    <s v="13564561Waste - General [t] - Scope 3"/>
    <n v="13564561"/>
  </r>
  <r>
    <d v="2019-07-01T00:00:00"/>
    <d v="2021-06-30T00:00:00"/>
    <s v="Telstra"/>
    <s v="NETWORK"/>
    <s v="Network - InfraCo"/>
    <s v="VIC"/>
    <s v="Australia"/>
    <s v="Somerville"/>
    <s v="BAXTER EXCHANGE"/>
    <n v="423030784500"/>
    <s v="Waste"/>
    <x v="1"/>
    <x v="4"/>
    <s v="Account"/>
    <s v="Remondis Asbestos"/>
    <m/>
    <s v="423030784500_WASBESTOS"/>
    <s v="ASBESTOS"/>
    <s v="Remondis"/>
    <m/>
    <m/>
    <d v="2021-01-01T00:00:00"/>
    <d v="2020-12-01T00:00:00"/>
    <s v="FY21"/>
    <s v="t"/>
    <n v="7.46"/>
    <n v="0"/>
    <n v="0"/>
    <n v="7.46"/>
    <n v="1"/>
    <n v="0"/>
    <n v="0"/>
    <n v="1"/>
    <n v="100"/>
    <n v="0"/>
    <n v="0"/>
    <s v="Consolidation"/>
    <s v="CO2e and Base Measure"/>
    <n v="100"/>
    <n v="100"/>
    <n v="7.46"/>
    <m/>
    <m/>
    <m/>
    <m/>
    <m/>
    <n v="8.952"/>
    <m/>
    <n v="8.952"/>
    <m/>
    <m/>
    <m/>
    <m/>
    <m/>
    <s v="AUD"/>
    <s v="13565269Waste - Construction and Demolition [t]"/>
    <n v="13565269"/>
  </r>
  <r>
    <d v="2019-07-01T00:00:00"/>
    <d v="2021-06-30T00:00:00"/>
    <s v="Telstra"/>
    <s v="NETWORK"/>
    <s v="Network - InfraCo"/>
    <s v="VIC"/>
    <s v="Australia"/>
    <s v="Somerville"/>
    <s v="BAXTER EXCHANGE"/>
    <n v="423030784500"/>
    <s v="Waste"/>
    <x v="1"/>
    <x v="4"/>
    <s v="Account"/>
    <s v="Remondis Asbestos"/>
    <m/>
    <s v="423030784500_WASBESTOS"/>
    <s v="ASBESTOS"/>
    <s v="Remondis"/>
    <m/>
    <m/>
    <d v="2021-01-01T00:00:00"/>
    <d v="2021-01-01T00:00:00"/>
    <s v="FY21"/>
    <s v="t"/>
    <n v="0"/>
    <n v="0"/>
    <n v="0.2487"/>
    <n v="0.2487"/>
    <n v="0"/>
    <n v="0"/>
    <n v="1"/>
    <n v="1"/>
    <n v="0"/>
    <n v="0"/>
    <n v="100"/>
    <s v="Consolidation"/>
    <s v="CO2e and Base Measure"/>
    <n v="100"/>
    <n v="100"/>
    <n v="0.25"/>
    <m/>
    <m/>
    <m/>
    <m/>
    <m/>
    <n v="0.2984"/>
    <m/>
    <n v="0.2984"/>
    <m/>
    <m/>
    <m/>
    <m/>
    <m/>
    <s v="AUD"/>
    <s v="13565269Waste - Construction and Demolition [t]"/>
    <n v="13565269"/>
  </r>
  <r>
    <d v="2019-07-01T00:00:00"/>
    <d v="2021-06-30T00:00:00"/>
    <s v="Telstra"/>
    <s v="NETWORK"/>
    <s v="Network - InfraCo"/>
    <s v="VIC"/>
    <s v="Australia"/>
    <s v="Somerville"/>
    <s v="BAXTER EXCHANGE"/>
    <n v="423030784500"/>
    <s v="Waste"/>
    <x v="1"/>
    <x v="4"/>
    <s v="Account"/>
    <s v="Remondis Concrete - Landfill"/>
    <m/>
    <s v="423030784500_WCONCRETE"/>
    <s v="CONCRETE - LANDFILL"/>
    <s v="Remondis"/>
    <m/>
    <m/>
    <d v="2021-01-01T00:00:00"/>
    <d v="2020-08-01T00:00:00"/>
    <s v="FY21"/>
    <s v="t"/>
    <n v="0"/>
    <n v="1.73"/>
    <n v="0"/>
    <n v="1.73"/>
    <n v="0"/>
    <n v="1"/>
    <n v="0"/>
    <n v="1"/>
    <n v="0"/>
    <n v="100"/>
    <n v="0"/>
    <s v="Consolidation"/>
    <s v="CO2e and Base Measure"/>
    <n v="100"/>
    <n v="100"/>
    <n v="1.73"/>
    <m/>
    <m/>
    <m/>
    <m/>
    <m/>
    <n v="2.0760000000000001"/>
    <m/>
    <n v="2.0760000000000001"/>
    <m/>
    <m/>
    <m/>
    <m/>
    <m/>
    <s v="AUD"/>
    <s v="13565270Waste - Construction and Demolition [t]"/>
    <n v="13565270"/>
  </r>
  <r>
    <d v="2019-07-01T00:00:00"/>
    <d v="2021-06-30T00:00:00"/>
    <s v="Telstra"/>
    <s v="NETWORK"/>
    <s v="Network - InfraCo"/>
    <s v="VIC"/>
    <s v="Australia"/>
    <s v="Somerville"/>
    <s v="BAXTER EXCHANGE"/>
    <n v="423030784500"/>
    <s v="Waste"/>
    <x v="1"/>
    <x v="4"/>
    <s v="Account"/>
    <s v="Remondis Concrete - Landfill"/>
    <m/>
    <s v="423030784500_WCONCRETE"/>
    <s v="CONCRETE - LANDFILL"/>
    <s v="Remondis"/>
    <m/>
    <m/>
    <d v="2021-01-01T00:00:00"/>
    <d v="2020-12-01T00:00:00"/>
    <s v="FY21"/>
    <s v="t"/>
    <n v="0"/>
    <n v="1.73"/>
    <n v="0"/>
    <n v="1.73"/>
    <n v="0"/>
    <n v="1"/>
    <n v="0"/>
    <n v="1"/>
    <n v="0"/>
    <n v="100"/>
    <n v="0"/>
    <s v="Consolidation"/>
    <s v="CO2e and Base Measure"/>
    <n v="100"/>
    <n v="100"/>
    <n v="1.73"/>
    <m/>
    <m/>
    <m/>
    <m/>
    <m/>
    <n v="2.0760000000000001"/>
    <m/>
    <n v="2.0760000000000001"/>
    <m/>
    <m/>
    <m/>
    <m/>
    <m/>
    <s v="AUD"/>
    <s v="13565270Waste - Construction and Demolition [t]"/>
    <n v="13565270"/>
  </r>
  <r>
    <d v="2019-07-01T00:00:00"/>
    <d v="2021-06-30T00:00:00"/>
    <s v="Telstra"/>
    <s v="NETWORK"/>
    <s v="Network - InfraCo"/>
    <s v="VIC"/>
    <s v="Australia"/>
    <s v="Somerville"/>
    <s v="BAXTER EXCHANGE"/>
    <n v="423030784500"/>
    <s v="Waste"/>
    <x v="1"/>
    <x v="4"/>
    <s v="Account"/>
    <s v="Remondis Concrete - Landfill"/>
    <m/>
    <s v="423030784500_WCONCRETE"/>
    <s v="CONCRETE - LANDFILL"/>
    <s v="Remondis"/>
    <m/>
    <m/>
    <d v="2021-01-01T00:00:00"/>
    <d v="2021-01-01T00:00:00"/>
    <s v="FY21"/>
    <s v="t"/>
    <n v="0"/>
    <n v="0"/>
    <n v="2.2800000000000001E-2"/>
    <n v="2.2800000000000001E-2"/>
    <n v="0"/>
    <n v="0"/>
    <n v="1"/>
    <n v="1"/>
    <n v="0"/>
    <n v="0"/>
    <n v="100"/>
    <s v="Consolidation"/>
    <s v="CO2e and Base Measure"/>
    <n v="100"/>
    <n v="100"/>
    <n v="0.02"/>
    <m/>
    <m/>
    <m/>
    <m/>
    <m/>
    <n v="2.7400000000000001E-2"/>
    <m/>
    <n v="2.7400000000000001E-2"/>
    <m/>
    <m/>
    <m/>
    <m/>
    <m/>
    <s v="AUD"/>
    <s v="13565270Waste - Construction and Demolition [t]"/>
    <n v="13565270"/>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07-01T00:00:00"/>
    <s v="FY21"/>
    <s v="t"/>
    <n v="0.76"/>
    <n v="0"/>
    <n v="0"/>
    <n v="0.76"/>
    <n v="7"/>
    <n v="0"/>
    <n v="0"/>
    <n v="7"/>
    <n v="100"/>
    <n v="0"/>
    <n v="0"/>
    <s v="Consolidation"/>
    <s v="CO2e and Base Measure"/>
    <n v="100"/>
    <n v="100"/>
    <n v="0.76"/>
    <m/>
    <m/>
    <m/>
    <m/>
    <m/>
    <n v="0.98799999999999999"/>
    <m/>
    <n v="0.98799999999999999"/>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08-01T00:00:00"/>
    <s v="FY21"/>
    <s v="t"/>
    <n v="0.83"/>
    <n v="0"/>
    <n v="0"/>
    <n v="0.83"/>
    <n v="8"/>
    <n v="0"/>
    <n v="0"/>
    <n v="8"/>
    <n v="100"/>
    <n v="0"/>
    <n v="0"/>
    <s v="Consolidation"/>
    <s v="CO2e and Base Measure"/>
    <n v="100"/>
    <n v="100"/>
    <n v="0.83"/>
    <m/>
    <m/>
    <m/>
    <m/>
    <m/>
    <n v="1.079"/>
    <m/>
    <n v="1.079"/>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09-01T00:00:00"/>
    <s v="FY21"/>
    <s v="t"/>
    <n v="0.63500000000000001"/>
    <n v="0"/>
    <n v="0"/>
    <n v="0.63500000000000001"/>
    <n v="8"/>
    <n v="0"/>
    <n v="0"/>
    <n v="8"/>
    <n v="100"/>
    <n v="0"/>
    <n v="0"/>
    <s v="Consolidation"/>
    <s v="CO2e and Base Measure"/>
    <n v="100"/>
    <n v="100"/>
    <n v="0.64"/>
    <m/>
    <m/>
    <m/>
    <m/>
    <m/>
    <n v="0.82550000000000001"/>
    <m/>
    <n v="0.82550000000000001"/>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10-01T00:00:00"/>
    <s v="FY21"/>
    <s v="t"/>
    <n v="0.73499999999999999"/>
    <n v="0"/>
    <n v="0"/>
    <n v="0.73499999999999999"/>
    <n v="8"/>
    <n v="0"/>
    <n v="0"/>
    <n v="8"/>
    <n v="100"/>
    <n v="0"/>
    <n v="0"/>
    <s v="Consolidation"/>
    <s v="CO2e and Base Measure"/>
    <n v="100"/>
    <n v="100"/>
    <n v="0.74"/>
    <m/>
    <m/>
    <m/>
    <m/>
    <m/>
    <n v="0.95550000000000002"/>
    <m/>
    <n v="0.95550000000000002"/>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11-01T00:00:00"/>
    <s v="FY21"/>
    <s v="t"/>
    <n v="0.48499999999999999"/>
    <n v="0"/>
    <n v="0"/>
    <n v="0.48499999999999999"/>
    <n v="5"/>
    <n v="0"/>
    <n v="0"/>
    <n v="5"/>
    <n v="100"/>
    <n v="0"/>
    <n v="0"/>
    <s v="Consolidation"/>
    <s v="CO2e and Base Measure"/>
    <n v="100"/>
    <n v="100"/>
    <n v="0.49"/>
    <m/>
    <m/>
    <m/>
    <m/>
    <m/>
    <n v="0.63049999999999995"/>
    <m/>
    <n v="0.63049999999999995"/>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12-01T00:00:00"/>
    <s v="FY21"/>
    <s v="t"/>
    <n v="0.05"/>
    <n v="0"/>
    <n v="0"/>
    <n v="0.05"/>
    <n v="1"/>
    <n v="0"/>
    <n v="0"/>
    <n v="1"/>
    <n v="100"/>
    <n v="0"/>
    <n v="0"/>
    <s v="Consolidation"/>
    <s v="CO2e and Base Measure"/>
    <n v="100"/>
    <n v="100"/>
    <n v="0.05"/>
    <m/>
    <m/>
    <m/>
    <m/>
    <m/>
    <n v="6.5000000000000002E-2"/>
    <m/>
    <n v="6.5000000000000002E-2"/>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1-01-01T00:00:00"/>
    <s v="FY21"/>
    <s v="t"/>
    <n v="0"/>
    <n v="0"/>
    <n v="1.9400000000000001E-2"/>
    <n v="1.9400000000000001E-2"/>
    <n v="0"/>
    <n v="0"/>
    <n v="1"/>
    <n v="1"/>
    <n v="0"/>
    <n v="0"/>
    <n v="100"/>
    <s v="Consolidation"/>
    <s v="CO2e and Base Measure"/>
    <n v="100"/>
    <n v="100"/>
    <n v="0.02"/>
    <m/>
    <m/>
    <m/>
    <m/>
    <m/>
    <n v="2.52E-2"/>
    <m/>
    <n v="2.52E-2"/>
    <m/>
    <m/>
    <m/>
    <m/>
    <m/>
    <s v="AUD"/>
    <s v="13565272Waste - General [t] - Scope 3"/>
    <n v="13565272"/>
  </r>
  <r>
    <d v="2019-07-01T00:00:00"/>
    <d v="2021-06-30T00:00:00"/>
    <s v="Telstra"/>
    <s v="NETWORK"/>
    <s v="Network - InfraCo"/>
    <s v="VIC"/>
    <s v="Australia"/>
    <s v="Somerville"/>
    <s v="BAXTER EXCHANGE"/>
    <n v="423030784500"/>
    <s v="Recycled Waste"/>
    <x v="0"/>
    <x v="1"/>
    <s v="Account"/>
    <s v="Remondis Electrical Comp. (E-Waste)"/>
    <m/>
    <s v="423030784500_RELECTRIC"/>
    <s v="ELECTRICAL COMP. (E-WASTE)"/>
    <s v="Remondis"/>
    <m/>
    <d v="2020-07-09T00:00:00"/>
    <d v="2020-12-01T00:00:00"/>
    <d v="2020-07-01T00:00:00"/>
    <s v="FY21"/>
    <s v="t"/>
    <n v="0.53100000000000003"/>
    <n v="0"/>
    <n v="0"/>
    <n v="0.53100000000000003"/>
    <n v="1"/>
    <n v="0"/>
    <n v="0"/>
    <n v="1"/>
    <n v="100"/>
    <n v="0"/>
    <n v="0"/>
    <s v="Consolidation"/>
    <s v="CO2e and Base Measure"/>
    <n v="100"/>
    <n v="100"/>
    <n v="0.53"/>
    <m/>
    <m/>
    <m/>
    <m/>
    <m/>
    <m/>
    <m/>
    <m/>
    <m/>
    <m/>
    <m/>
    <m/>
    <m/>
    <s v="AUD"/>
    <s v="13614417Waste Recycled - E-waste [t]"/>
    <n v="13614417"/>
  </r>
  <r>
    <d v="2019-07-01T00:00:00"/>
    <d v="2021-06-30T00:00:00"/>
    <s v="Telstra"/>
    <s v="NETWORK"/>
    <s v="Network - InfraCo"/>
    <s v="VIC"/>
    <s v="Australia"/>
    <s v="Somerville"/>
    <s v="BAXTER EXCHANGE"/>
    <n v="423030784500"/>
    <s v="Recycled Waste"/>
    <x v="0"/>
    <x v="1"/>
    <s v="Account"/>
    <s v="Remondis Electrical Comp. (E-Waste)"/>
    <m/>
    <s v="423030784500_RELECTRIC"/>
    <s v="ELECTRICAL COMP. (E-WASTE)"/>
    <s v="Remondis"/>
    <m/>
    <d v="2020-07-09T00:00:00"/>
    <d v="2020-12-01T00:00:00"/>
    <d v="2020-11-01T00:00:00"/>
    <s v="FY21"/>
    <s v="t"/>
    <n v="0.04"/>
    <n v="0.85499999999999998"/>
    <n v="0"/>
    <n v="0.89500000000000002"/>
    <n v="1"/>
    <n v="2"/>
    <n v="0"/>
    <n v="3"/>
    <n v="4.46"/>
    <n v="95.53"/>
    <n v="0"/>
    <s v="Consolidation"/>
    <s v="CO2e and Base Measure"/>
    <n v="100"/>
    <n v="100"/>
    <n v="0.9"/>
    <m/>
    <m/>
    <m/>
    <m/>
    <m/>
    <m/>
    <m/>
    <m/>
    <m/>
    <m/>
    <m/>
    <m/>
    <m/>
    <s v="AUD"/>
    <s v="13614417Waste Recycled - E-waste [t]"/>
    <n v="13614417"/>
  </r>
  <r>
    <d v="2019-07-01T00:00:00"/>
    <d v="2021-06-30T00:00:00"/>
    <s v="Telstra"/>
    <s v="NETWORK"/>
    <s v="Network - InfraCo"/>
    <s v="VIC"/>
    <s v="Australia"/>
    <s v="Somerville"/>
    <s v="BAXTER EXCHANGE"/>
    <n v="423030784500"/>
    <s v="Recycled Waste"/>
    <x v="0"/>
    <x v="1"/>
    <s v="Account"/>
    <s v="Remondis Electrical Comp. (E-Waste)"/>
    <m/>
    <s v="423030784500_RELECTRIC"/>
    <s v="ELECTRICAL COMP. (E-WASTE)"/>
    <s v="Remondis"/>
    <m/>
    <d v="2020-07-09T00:00:00"/>
    <d v="2020-12-01T00:00:00"/>
    <d v="2020-12-01T00:00:00"/>
    <s v="FY21"/>
    <s v="t"/>
    <n v="0"/>
    <n v="0"/>
    <n v="9.4000000000000004E-3"/>
    <n v="9.4000000000000004E-3"/>
    <n v="0"/>
    <n v="0"/>
    <n v="1"/>
    <n v="1"/>
    <n v="0"/>
    <n v="0"/>
    <n v="100"/>
    <s v="Consolidation"/>
    <s v="CO2e and Base Measure"/>
    <n v="100"/>
    <n v="100"/>
    <n v="0.01"/>
    <m/>
    <m/>
    <m/>
    <m/>
    <m/>
    <m/>
    <m/>
    <m/>
    <m/>
    <m/>
    <m/>
    <m/>
    <m/>
    <s v="AUD"/>
    <s v="13614417Waste Recycled - E-waste [t]"/>
    <n v="13614417"/>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0-12-01T00:00:00"/>
    <s v="FY21"/>
    <s v="t"/>
    <n v="0.434"/>
    <n v="0"/>
    <n v="0"/>
    <n v="0.434"/>
    <n v="5"/>
    <n v="0"/>
    <n v="0"/>
    <n v="5"/>
    <n v="100"/>
    <n v="0"/>
    <n v="0"/>
    <s v="Consolidation"/>
    <s v="CO2e and Base Measure"/>
    <n v="100"/>
    <n v="100"/>
    <n v="0.43"/>
    <m/>
    <m/>
    <m/>
    <m/>
    <m/>
    <n v="0.56420000000000003"/>
    <m/>
    <n v="0.56420000000000003"/>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1-01T00:00:00"/>
    <s v="FY21"/>
    <s v="t"/>
    <n v="0.371"/>
    <n v="0"/>
    <n v="0"/>
    <n v="0.371"/>
    <n v="4"/>
    <n v="0"/>
    <n v="0"/>
    <n v="4"/>
    <n v="100"/>
    <n v="0"/>
    <n v="0"/>
    <s v="Consolidation"/>
    <s v="CO2e and Base Measure"/>
    <n v="100"/>
    <n v="100"/>
    <n v="0.37"/>
    <m/>
    <m/>
    <m/>
    <m/>
    <m/>
    <n v="0.48230000000000001"/>
    <m/>
    <n v="0.48230000000000001"/>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2-01T00:00:00"/>
    <s v="FY21"/>
    <s v="t"/>
    <n v="1.0609999999999999"/>
    <n v="0"/>
    <n v="0"/>
    <n v="1.0609999999999999"/>
    <n v="4"/>
    <n v="0"/>
    <n v="0"/>
    <n v="4"/>
    <n v="100"/>
    <n v="0"/>
    <n v="0"/>
    <s v="Consolidation"/>
    <s v="CO2e and Base Measure"/>
    <n v="100"/>
    <n v="100"/>
    <n v="1.06"/>
    <m/>
    <m/>
    <m/>
    <m/>
    <m/>
    <n v="1.3793"/>
    <m/>
    <n v="1.3793"/>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3-01T00:00:00"/>
    <s v="FY21"/>
    <s v="t"/>
    <n v="0.60899999999999999"/>
    <n v="0"/>
    <n v="0"/>
    <n v="0.60899999999999999"/>
    <n v="5"/>
    <n v="0"/>
    <n v="0"/>
    <n v="5"/>
    <n v="100"/>
    <n v="0"/>
    <n v="0"/>
    <s v="Consolidation"/>
    <s v="CO2e and Base Measure"/>
    <n v="100"/>
    <n v="100"/>
    <n v="0.61"/>
    <m/>
    <m/>
    <m/>
    <m/>
    <m/>
    <n v="0.79169999999999996"/>
    <m/>
    <n v="0.79169999999999996"/>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4-01T00:00:00"/>
    <s v="FY21"/>
    <s v="t"/>
    <n v="0"/>
    <n v="0"/>
    <n v="0.61799999999999999"/>
    <n v="0.61799999999999999"/>
    <n v="0"/>
    <n v="0"/>
    <n v="30"/>
    <n v="30"/>
    <n v="0"/>
    <n v="0"/>
    <n v="100"/>
    <s v="Consolidation"/>
    <s v="CO2e and Base Measure"/>
    <n v="100"/>
    <n v="100"/>
    <n v="0.62"/>
    <m/>
    <m/>
    <m/>
    <m/>
    <m/>
    <n v="0.8034"/>
    <m/>
    <n v="0.8034"/>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5-01T00:00:00"/>
    <s v="FY21"/>
    <s v="t"/>
    <n v="0"/>
    <n v="0"/>
    <n v="0.63859999999999995"/>
    <n v="0.63859999999999995"/>
    <n v="0"/>
    <n v="0"/>
    <n v="31"/>
    <n v="31"/>
    <n v="0"/>
    <n v="0"/>
    <n v="100"/>
    <s v="Consolidation"/>
    <s v="CO2e and Base Measure"/>
    <n v="100"/>
    <n v="100"/>
    <n v="0.64"/>
    <m/>
    <m/>
    <m/>
    <m/>
    <m/>
    <n v="0.83020000000000005"/>
    <m/>
    <n v="0.83020000000000005"/>
    <m/>
    <m/>
    <m/>
    <m/>
    <m/>
    <s v="AUD"/>
    <s v="13634021Waste - General [t] - Scope 3"/>
    <n v="13634021"/>
  </r>
  <r>
    <d v="2019-07-01T00:00:00"/>
    <d v="2021-06-30T00:00:00"/>
    <s v="Telstra"/>
    <s v="NETWORK"/>
    <s v="Network - InfraCo"/>
    <s v="VIC"/>
    <s v="Australia"/>
    <s v="Wantirna South"/>
    <s v="BAYSWATER EXCHANGE"/>
    <n v="423030787500"/>
    <s v="Waste"/>
    <x v="1"/>
    <x v="2"/>
    <s v="Account"/>
    <s v="Remondis General Waste"/>
    <m/>
    <s v="423030787500_WGENERALW"/>
    <s v="GENERAL WASTE"/>
    <s v="Remondis"/>
    <m/>
    <d v="2020-06-02T00:00:00"/>
    <d v="2020-07-01T00:00:00"/>
    <d v="2020-07-01T00:00:00"/>
    <s v="FY21"/>
    <s v="t"/>
    <n v="0"/>
    <n v="0"/>
    <n v="6.83E-2"/>
    <n v="6.83E-2"/>
    <n v="0"/>
    <n v="0"/>
    <n v="1"/>
    <n v="1"/>
    <n v="0"/>
    <n v="0"/>
    <n v="100"/>
    <s v="Consolidation"/>
    <s v="CO2e and Base Measure"/>
    <n v="100"/>
    <n v="100"/>
    <n v="7.0000000000000007E-2"/>
    <m/>
    <m/>
    <m/>
    <m/>
    <m/>
    <n v="8.8800000000000004E-2"/>
    <m/>
    <n v="8.8800000000000004E-2"/>
    <m/>
    <m/>
    <m/>
    <m/>
    <m/>
    <s v="AUD"/>
    <s v="13612595Waste - General [t] - Scope 3"/>
    <n v="13612595"/>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09-01T00:00:00"/>
    <s v="FY21"/>
    <s v="t"/>
    <n v="0"/>
    <n v="0.189"/>
    <n v="0"/>
    <n v="0.189"/>
    <n v="0"/>
    <n v="3"/>
    <n v="0"/>
    <n v="3"/>
    <n v="0"/>
    <n v="100"/>
    <n v="0"/>
    <s v="Consolidation"/>
    <s v="CO2e and Base Measure"/>
    <n v="100"/>
    <n v="100"/>
    <n v="0.19"/>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124Waste Recycled - Cardboard [t]"/>
    <n v="13564124"/>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07-01T00:00:00"/>
    <s v="FY21"/>
    <s v="t"/>
    <n v="0.16"/>
    <n v="0.19500000000000001"/>
    <n v="0"/>
    <n v="0.35499999999999998"/>
    <n v="1"/>
    <n v="1"/>
    <n v="0"/>
    <n v="2"/>
    <n v="45.07"/>
    <n v="54.92"/>
    <n v="0"/>
    <s v="Consolidation"/>
    <s v="CO2e and Base Measure"/>
    <n v="100"/>
    <n v="100"/>
    <n v="0.36"/>
    <m/>
    <m/>
    <m/>
    <m/>
    <m/>
    <n v="0.46150000000000002"/>
    <m/>
    <n v="0.46150000000000002"/>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08-01T00:00:00"/>
    <s v="FY21"/>
    <s v="t"/>
    <n v="0.2"/>
    <n v="0.19500000000000001"/>
    <n v="0"/>
    <n v="0.39500000000000002"/>
    <n v="1"/>
    <n v="1"/>
    <n v="0"/>
    <n v="2"/>
    <n v="50.63"/>
    <n v="49.36"/>
    <n v="0"/>
    <s v="Consolidation"/>
    <s v="CO2e and Base Measure"/>
    <n v="100"/>
    <n v="100"/>
    <n v="0.4"/>
    <m/>
    <m/>
    <m/>
    <m/>
    <m/>
    <n v="0.51349999999999996"/>
    <m/>
    <n v="0.51349999999999996"/>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09-01T00:00:00"/>
    <s v="FY21"/>
    <s v="t"/>
    <n v="0.2"/>
    <n v="0"/>
    <n v="0"/>
    <n v="0.2"/>
    <n v="2"/>
    <n v="0"/>
    <n v="0"/>
    <n v="2"/>
    <n v="100"/>
    <n v="0"/>
    <n v="0"/>
    <s v="Consolidation"/>
    <s v="CO2e and Base Measure"/>
    <n v="100"/>
    <n v="100"/>
    <n v="0.2"/>
    <m/>
    <m/>
    <m/>
    <m/>
    <m/>
    <n v="0.26"/>
    <m/>
    <n v="0.26"/>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10-01T00:00:00"/>
    <s v="FY21"/>
    <s v="t"/>
    <n v="0.1"/>
    <n v="0.19500000000000001"/>
    <n v="0"/>
    <n v="0.29499999999999998"/>
    <n v="2"/>
    <n v="1"/>
    <n v="0"/>
    <n v="3"/>
    <n v="33.89"/>
    <n v="66.099999999999994"/>
    <n v="0"/>
    <s v="Consolidation"/>
    <s v="CO2e and Base Measure"/>
    <n v="100"/>
    <n v="100"/>
    <n v="0.3"/>
    <m/>
    <m/>
    <m/>
    <m/>
    <m/>
    <n v="0.38350000000000001"/>
    <m/>
    <n v="0.38350000000000001"/>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11-01T00:00:00"/>
    <s v="FY21"/>
    <s v="t"/>
    <n v="0.25"/>
    <n v="0"/>
    <n v="0"/>
    <n v="0.25"/>
    <n v="2"/>
    <n v="0"/>
    <n v="0"/>
    <n v="2"/>
    <n v="100"/>
    <n v="0"/>
    <n v="0"/>
    <s v="Consolidation"/>
    <s v="CO2e and Base Measure"/>
    <n v="100"/>
    <n v="100"/>
    <n v="0.25"/>
    <m/>
    <m/>
    <m/>
    <m/>
    <m/>
    <n v="0.32500000000000001"/>
    <m/>
    <n v="0.32500000000000001"/>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1-01-01T00:00:00"/>
    <s v="FY21"/>
    <s v="t"/>
    <n v="0"/>
    <n v="0"/>
    <n v="8.5000000000000006E-3"/>
    <n v="8.5000000000000006E-3"/>
    <n v="0"/>
    <n v="0"/>
    <n v="1"/>
    <n v="1"/>
    <n v="0"/>
    <n v="0"/>
    <n v="100"/>
    <s v="Consolidation"/>
    <s v="CO2e and Base Measure"/>
    <n v="100"/>
    <n v="100"/>
    <n v="0.01"/>
    <m/>
    <m/>
    <m/>
    <m/>
    <m/>
    <n v="1.11E-2"/>
    <m/>
    <n v="1.11E-2"/>
    <m/>
    <m/>
    <m/>
    <m/>
    <m/>
    <s v="AUD"/>
    <s v="13564125Waste - General [t] - Scope 3"/>
    <n v="13564125"/>
  </r>
  <r>
    <d v="2019-07-01T00:00:00"/>
    <d v="2021-06-30T00:00:00"/>
    <s v="Telstra"/>
    <s v="NETWORK"/>
    <s v="Network - InfraCo"/>
    <s v="QLD"/>
    <s v="Australia"/>
    <s v="Yatala"/>
    <s v="BEENLEIGH EXCHANGE"/>
    <n v="423030039300"/>
    <s v="Recycled Waste"/>
    <x v="0"/>
    <x v="5"/>
    <s v="Account"/>
    <s v="Remondis Construction &amp; Demolition - Recycled"/>
    <m/>
    <s v="423030039300_RCONSDEM"/>
    <s v="CONSTRUCTION &amp; DEMOLITION - RECYLED"/>
    <s v="Remondis"/>
    <m/>
    <d v="2020-07-23T00:00:00"/>
    <d v="2020-08-01T00:00:00"/>
    <d v="2020-07-01T00:00:00"/>
    <s v="FY21"/>
    <s v="t"/>
    <n v="0"/>
    <n v="0.75"/>
    <n v="0"/>
    <n v="0.75"/>
    <n v="0"/>
    <n v="1"/>
    <n v="0"/>
    <n v="1"/>
    <n v="0"/>
    <n v="100"/>
    <n v="0"/>
    <s v="Consolidation"/>
    <s v="CO2e and Base Measure"/>
    <n v="100"/>
    <n v="100"/>
    <n v="0.75"/>
    <m/>
    <m/>
    <m/>
    <m/>
    <m/>
    <m/>
    <m/>
    <m/>
    <m/>
    <m/>
    <m/>
    <m/>
    <m/>
    <s v="AUD"/>
    <s v="13614413Waste Recycled - Construction and Demolition [t]"/>
    <n v="13614413"/>
  </r>
  <r>
    <d v="2019-07-01T00:00:00"/>
    <d v="2021-06-30T00:00:00"/>
    <s v="Telstra"/>
    <s v="NETWORK"/>
    <s v="Network - InfraCo"/>
    <s v="QLD"/>
    <s v="Australia"/>
    <s v="Yatala"/>
    <s v="BEENLEIGH EXCHANGE"/>
    <n v="423030039300"/>
    <s v="Recycled Waste"/>
    <x v="0"/>
    <x v="5"/>
    <s v="Account"/>
    <s v="Remondis Construction &amp; Demolition - Recycled"/>
    <m/>
    <s v="423030039300_RCONSDEM"/>
    <s v="CONSTRUCTION &amp; DEMOLITION - RECYLED"/>
    <s v="Remondis"/>
    <m/>
    <d v="2020-07-23T00:00:00"/>
    <d v="2020-08-01T00:00:00"/>
    <d v="2020-08-01T00:00:00"/>
    <s v="FY21"/>
    <s v="t"/>
    <n v="0"/>
    <n v="0"/>
    <n v="2.5000000000000001E-2"/>
    <n v="2.5000000000000001E-2"/>
    <n v="0"/>
    <n v="0"/>
    <n v="1"/>
    <n v="1"/>
    <n v="0"/>
    <n v="0"/>
    <n v="100"/>
    <s v="Consolidation"/>
    <s v="CO2e and Base Measure"/>
    <n v="100"/>
    <n v="100"/>
    <n v="0.03"/>
    <m/>
    <m/>
    <m/>
    <m/>
    <m/>
    <m/>
    <m/>
    <m/>
    <m/>
    <m/>
    <m/>
    <m/>
    <m/>
    <s v="AUD"/>
    <s v="13614413Waste Recycled - Construction and Demolition [t]"/>
    <n v="13614413"/>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0-12-01T00:00:00"/>
    <s v="FY21"/>
    <s v="t"/>
    <n v="0"/>
    <n v="0.27"/>
    <n v="0"/>
    <n v="0.27"/>
    <n v="0"/>
    <n v="2"/>
    <n v="0"/>
    <n v="2"/>
    <n v="0"/>
    <n v="100"/>
    <n v="0"/>
    <s v="Consolidation"/>
    <s v="CO2e and Base Measure"/>
    <n v="100"/>
    <n v="100"/>
    <n v="0.27"/>
    <m/>
    <m/>
    <m/>
    <m/>
    <m/>
    <n v="0.35099999999999998"/>
    <m/>
    <n v="0.35099999999999998"/>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1-01T00:00:00"/>
    <s v="FY21"/>
    <s v="t"/>
    <n v="0.83"/>
    <n v="0"/>
    <n v="0"/>
    <n v="0.83"/>
    <n v="2"/>
    <n v="0"/>
    <n v="0"/>
    <n v="2"/>
    <n v="100"/>
    <n v="0"/>
    <n v="0"/>
    <s v="Consolidation"/>
    <s v="CO2e and Base Measure"/>
    <n v="100"/>
    <n v="100"/>
    <n v="0.83"/>
    <m/>
    <m/>
    <m/>
    <m/>
    <m/>
    <n v="1.079"/>
    <m/>
    <n v="1.079"/>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2-01T00:00:00"/>
    <s v="FY21"/>
    <s v="t"/>
    <n v="0.34"/>
    <n v="0.13500000000000001"/>
    <n v="0"/>
    <n v="0.47499999999999998"/>
    <n v="1"/>
    <n v="1"/>
    <n v="0"/>
    <n v="2"/>
    <n v="71.569999999999993"/>
    <n v="28.42"/>
    <n v="0"/>
    <s v="Consolidation"/>
    <s v="CO2e and Base Measure"/>
    <n v="100"/>
    <n v="100"/>
    <n v="0.48"/>
    <m/>
    <m/>
    <m/>
    <m/>
    <m/>
    <n v="0.61750000000000005"/>
    <m/>
    <n v="0.61750000000000005"/>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3-01T00:00:00"/>
    <s v="FY21"/>
    <s v="t"/>
    <n v="0.35"/>
    <n v="0"/>
    <n v="0"/>
    <n v="0.35"/>
    <n v="2"/>
    <n v="0"/>
    <n v="0"/>
    <n v="2"/>
    <n v="100"/>
    <n v="0"/>
    <n v="0"/>
    <s v="Consolidation"/>
    <s v="CO2e and Base Measure"/>
    <n v="100"/>
    <n v="100"/>
    <n v="0.35"/>
    <m/>
    <m/>
    <m/>
    <m/>
    <m/>
    <n v="0.45500000000000002"/>
    <m/>
    <n v="0.45500000000000002"/>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4-01T00:00:00"/>
    <s v="FY21"/>
    <s v="t"/>
    <n v="0"/>
    <n v="0"/>
    <n v="0.48"/>
    <n v="0.48"/>
    <n v="0"/>
    <n v="0"/>
    <n v="30"/>
    <n v="30"/>
    <n v="0"/>
    <n v="0"/>
    <n v="100"/>
    <s v="Consolidation"/>
    <s v="CO2e and Base Measure"/>
    <n v="100"/>
    <n v="100"/>
    <n v="0.48"/>
    <m/>
    <m/>
    <m/>
    <m/>
    <m/>
    <n v="0.624"/>
    <m/>
    <n v="0.624"/>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5-01T00:00:00"/>
    <s v="FY21"/>
    <s v="t"/>
    <n v="0"/>
    <n v="0"/>
    <n v="0.496"/>
    <n v="0.496"/>
    <n v="0"/>
    <n v="0"/>
    <n v="31"/>
    <n v="31"/>
    <n v="0"/>
    <n v="0"/>
    <n v="100"/>
    <s v="Consolidation"/>
    <s v="CO2e and Base Measure"/>
    <n v="100"/>
    <n v="100"/>
    <n v="0.5"/>
    <m/>
    <m/>
    <m/>
    <m/>
    <m/>
    <n v="0.64480000000000004"/>
    <m/>
    <n v="0.64480000000000004"/>
    <m/>
    <m/>
    <m/>
    <m/>
    <m/>
    <s v="AUD"/>
    <s v="13634022Waste - General [t] - Scope 3"/>
    <n v="13634022"/>
  </r>
  <r>
    <d v="2019-07-01T00:00:00"/>
    <d v="2021-06-30T00:00:00"/>
    <s v="Telstra"/>
    <s v="NETWORK"/>
    <s v="Network - InfraCo"/>
    <s v="NSW"/>
    <s v="Australia"/>
    <s v="Bega"/>
    <s v="BEGA EXCHANGE"/>
    <n v="423030322100"/>
    <s v="Recycled Waste"/>
    <x v="0"/>
    <x v="0"/>
    <s v="Account"/>
    <s v="Remondis Cardboard - Loose - Recycled"/>
    <m/>
    <s v="423030322100_RCARDBOAR"/>
    <s v="CARDBOARD - LOOSE - RECYCLED"/>
    <s v="Remondis"/>
    <m/>
    <m/>
    <d v="2021-01-01T00:00:00"/>
    <d v="2020-11-01T00:00:00"/>
    <s v="FY21"/>
    <s v="t"/>
    <n v="0"/>
    <n v="2.3300000000000001E-2"/>
    <n v="0"/>
    <n v="2.3300000000000001E-2"/>
    <n v="0"/>
    <n v="1"/>
    <n v="0"/>
    <n v="1"/>
    <n v="0"/>
    <n v="100"/>
    <n v="0"/>
    <s v="Consolidation"/>
    <s v="CO2e and Base Measure"/>
    <n v="100"/>
    <n v="100"/>
    <n v="0.02"/>
    <m/>
    <m/>
    <m/>
    <m/>
    <m/>
    <m/>
    <n v="0"/>
    <m/>
    <m/>
    <m/>
    <m/>
    <m/>
    <m/>
    <s v="AUD"/>
    <s v="13564565Waste Recycled - Cardboard [t]"/>
    <n v="13564565"/>
  </r>
  <r>
    <d v="2019-07-01T00:00:00"/>
    <d v="2021-06-30T00:00:00"/>
    <s v="Telstra"/>
    <s v="NETWORK"/>
    <s v="Network - InfraCo"/>
    <s v="NSW"/>
    <s v="Australia"/>
    <s v="Bega"/>
    <s v="BEGA EXCHANGE"/>
    <n v="423030322100"/>
    <s v="Recycled Waste"/>
    <x v="0"/>
    <x v="0"/>
    <s v="Account"/>
    <s v="Remondis Cardboard - Loose - Recycled"/>
    <m/>
    <s v="4230303221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565Waste Recycled - Cardboard [t]"/>
    <n v="13564565"/>
  </r>
  <r>
    <d v="2019-07-01T00:00:00"/>
    <d v="2021-06-30T00:00:00"/>
    <s v="Telstra"/>
    <s v="NETWORK"/>
    <s v="Network - InfraCo"/>
    <s v="NSW"/>
    <s v="Australia"/>
    <s v="Bega"/>
    <s v="BEGA EXCHANGE"/>
    <n v="423030322100"/>
    <s v="Recycled Waste"/>
    <x v="0"/>
    <x v="0"/>
    <s v="Account"/>
    <s v="Remondis Cardboard - Loose - Recycled"/>
    <m/>
    <s v="423030322100_RCARDBOAR"/>
    <s v="CARDBOARD - LOOSE - RECYCLED"/>
    <s v="Remondis"/>
    <m/>
    <m/>
    <d v="2021-01-01T00:00:00"/>
    <d v="2021-01-01T00:00:00"/>
    <s v="FY21"/>
    <s v="t"/>
    <n v="0"/>
    <n v="0"/>
    <n v="2.9999999999999997E-4"/>
    <n v="2.9999999999999997E-4"/>
    <n v="0"/>
    <n v="0"/>
    <n v="1"/>
    <n v="1"/>
    <n v="0"/>
    <n v="0"/>
    <n v="100"/>
    <s v="Consolidation"/>
    <s v="CO2e and Base Measure"/>
    <n v="100"/>
    <n v="100"/>
    <n v="0"/>
    <m/>
    <m/>
    <m/>
    <m/>
    <m/>
    <m/>
    <n v="0"/>
    <m/>
    <m/>
    <m/>
    <m/>
    <m/>
    <m/>
    <s v="AUD"/>
    <s v="13564565Waste Recycled - Cardboard [t]"/>
    <n v="13564565"/>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07-01T00:00:00"/>
    <s v="FY21"/>
    <s v="t"/>
    <n v="0"/>
    <n v="0.39"/>
    <n v="0"/>
    <n v="0.39"/>
    <n v="0"/>
    <n v="3"/>
    <n v="0"/>
    <n v="3"/>
    <n v="0"/>
    <n v="100"/>
    <n v="0"/>
    <s v="Consolidation"/>
    <s v="CO2e and Base Measure"/>
    <n v="100"/>
    <n v="100"/>
    <n v="0.39"/>
    <m/>
    <m/>
    <m/>
    <m/>
    <m/>
    <n v="0.50700000000000001"/>
    <m/>
    <n v="0.50700000000000001"/>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566Waste - General [t] - Scope 3"/>
    <n v="13564566"/>
  </r>
  <r>
    <d v="2019-07-01T00:00:00"/>
    <d v="2021-06-30T00:00:00"/>
    <s v="Telstra"/>
    <s v="NETWORK"/>
    <s v="Network - InfraCo"/>
    <s v="NSW"/>
    <s v="Australia"/>
    <s v="Bega"/>
    <s v="BEGA EXCHANGE"/>
    <n v="423030322100"/>
    <s v="Recycled Waste"/>
    <x v="0"/>
    <x v="1"/>
    <s v="Account"/>
    <s v="Remondis Electrical Comp. (E-Waste)"/>
    <m/>
    <s v="4230303221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76198Waste Recycled - E-waste [t]"/>
    <n v="13576198"/>
  </r>
  <r>
    <d v="2019-07-01T00:00:00"/>
    <d v="2021-06-30T00:00:00"/>
    <s v="Telstra"/>
    <s v="NETWORK"/>
    <s v="Network - InfraCo"/>
    <s v="NSW"/>
    <s v="Australia"/>
    <s v="Bega"/>
    <s v="BEGA EXCHANGE"/>
    <n v="423030322100"/>
    <s v="Recycled Waste"/>
    <x v="0"/>
    <x v="1"/>
    <s v="Account"/>
    <s v="Remondis Electrical Comp. (E-Waste)"/>
    <m/>
    <s v="4230303221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76198Waste Recycled - E-waste [t]"/>
    <n v="13576198"/>
  </r>
  <r>
    <d v="2019-07-01T00:00:00"/>
    <d v="2021-06-30T00:00:00"/>
    <s v="Telstra"/>
    <s v="NETWORK"/>
    <s v="Network - InfraCo"/>
    <s v="NSW"/>
    <s v="Australia"/>
    <s v="Bega"/>
    <s v="BEGA EXCHANGE"/>
    <n v="423030322100"/>
    <s v="Waste"/>
    <x v="1"/>
    <x v="2"/>
    <s v="Account"/>
    <s v="CLEANAWAY General"/>
    <m/>
    <s v="44317_Landfill_General"/>
    <s v="General"/>
    <s v="Cleanaway"/>
    <m/>
    <d v="2020-12-21T00:00:00"/>
    <m/>
    <d v="2020-12-01T00:00:00"/>
    <s v="FY21"/>
    <s v="t"/>
    <n v="7.0000000000000007E-2"/>
    <n v="0"/>
    <n v="0"/>
    <n v="7.0000000000000007E-2"/>
    <n v="1"/>
    <n v="0"/>
    <n v="0"/>
    <n v="1"/>
    <n v="100"/>
    <n v="0"/>
    <n v="0"/>
    <s v="Consolidation"/>
    <s v="CO2e and Base Measure"/>
    <n v="100"/>
    <n v="100"/>
    <n v="7.0000000000000007E-2"/>
    <m/>
    <m/>
    <m/>
    <m/>
    <m/>
    <n v="9.0999999999999998E-2"/>
    <m/>
    <n v="9.0999999999999998E-2"/>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1-01T00:00:00"/>
    <s v="FY21"/>
    <s v="t"/>
    <n v="0.02"/>
    <n v="6.7500000000000004E-2"/>
    <n v="0"/>
    <n v="8.7499999999999994E-2"/>
    <n v="1"/>
    <n v="1"/>
    <n v="0"/>
    <n v="2"/>
    <n v="22.85"/>
    <n v="77.14"/>
    <n v="0"/>
    <s v="Consolidation"/>
    <s v="CO2e and Base Measure"/>
    <n v="100"/>
    <n v="100"/>
    <n v="0.09"/>
    <m/>
    <m/>
    <m/>
    <m/>
    <m/>
    <n v="0.1138"/>
    <m/>
    <n v="0.1138"/>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2-01T00:00:00"/>
    <s v="FY21"/>
    <s v="t"/>
    <n v="0.27"/>
    <n v="0"/>
    <n v="0"/>
    <n v="0.27"/>
    <n v="2"/>
    <n v="0"/>
    <n v="0"/>
    <n v="2"/>
    <n v="100"/>
    <n v="0"/>
    <n v="0"/>
    <s v="Consolidation"/>
    <s v="CO2e and Base Measure"/>
    <n v="100"/>
    <n v="100"/>
    <n v="0.27"/>
    <m/>
    <m/>
    <m/>
    <m/>
    <m/>
    <n v="0.35099999999999998"/>
    <m/>
    <n v="0.35099999999999998"/>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3-01T00:00:00"/>
    <s v="FY21"/>
    <s v="t"/>
    <n v="0.28000000000000003"/>
    <n v="0"/>
    <n v="0"/>
    <n v="0.28000000000000003"/>
    <n v="3"/>
    <n v="0"/>
    <n v="0"/>
    <n v="3"/>
    <n v="100"/>
    <n v="0"/>
    <n v="0"/>
    <s v="Consolidation"/>
    <s v="CO2e and Base Measure"/>
    <n v="100"/>
    <n v="100"/>
    <n v="0.28000000000000003"/>
    <m/>
    <m/>
    <m/>
    <m/>
    <m/>
    <n v="0.36399999999999999"/>
    <m/>
    <n v="0.36399999999999999"/>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4-01T00:00:00"/>
    <s v="FY21"/>
    <s v="t"/>
    <n v="0"/>
    <n v="0"/>
    <n v="0.17699999999999999"/>
    <n v="0.17699999999999999"/>
    <n v="0"/>
    <n v="0"/>
    <n v="30"/>
    <n v="30"/>
    <n v="0"/>
    <n v="0"/>
    <n v="100"/>
    <s v="Consolidation"/>
    <s v="CO2e and Base Measure"/>
    <n v="100"/>
    <n v="100"/>
    <n v="0.18"/>
    <m/>
    <m/>
    <m/>
    <m/>
    <m/>
    <n v="0.2301"/>
    <m/>
    <n v="0.2301"/>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5-01T00:00:00"/>
    <s v="FY21"/>
    <s v="t"/>
    <n v="0"/>
    <n v="0"/>
    <n v="0.18290000000000001"/>
    <n v="0.18290000000000001"/>
    <n v="0"/>
    <n v="0"/>
    <n v="31"/>
    <n v="31"/>
    <n v="0"/>
    <n v="0"/>
    <n v="100"/>
    <s v="Consolidation"/>
    <s v="CO2e and Base Measure"/>
    <n v="100"/>
    <n v="100"/>
    <n v="0.18"/>
    <m/>
    <m/>
    <m/>
    <m/>
    <m/>
    <n v="0.23780000000000001"/>
    <m/>
    <n v="0.23780000000000001"/>
    <m/>
    <m/>
    <m/>
    <m/>
    <m/>
    <s v="AUD"/>
    <s v="13634023Waste - General [t] - Scope 3"/>
    <n v="13634023"/>
  </r>
  <r>
    <d v="2019-07-01T00:00:00"/>
    <d v="2021-06-30T00:00:00"/>
    <s v="Telstra"/>
    <s v="NETWORK"/>
    <s v="Network - InfraCo"/>
    <s v="TAS"/>
    <s v="Australia"/>
    <s v="Warrane"/>
    <s v="BELLERIVE EXCHANGE"/>
    <n v="423030904500"/>
    <s v="Recycled Waste"/>
    <x v="0"/>
    <x v="0"/>
    <s v="Account"/>
    <s v="Remondis Cardboard - Loose - Recycled"/>
    <m/>
    <s v="423030904500_RCARDBOAR"/>
    <s v="CARDBOARD - LOOSE - RECYCLED"/>
    <s v="Remondis"/>
    <m/>
    <m/>
    <d v="2020-12-01T00:00:00"/>
    <d v="2020-09-01T00:00:00"/>
    <s v="FY21"/>
    <s v="t"/>
    <n v="0"/>
    <n v="1.3899999999999999E-2"/>
    <n v="0"/>
    <n v="1.3899999999999999E-2"/>
    <n v="0"/>
    <n v="1"/>
    <n v="0"/>
    <n v="1"/>
    <n v="0"/>
    <n v="100"/>
    <n v="0"/>
    <s v="Consolidation"/>
    <s v="CO2e and Base Measure"/>
    <n v="100"/>
    <n v="100"/>
    <n v="0.01"/>
    <m/>
    <m/>
    <m/>
    <m/>
    <m/>
    <m/>
    <n v="0"/>
    <m/>
    <m/>
    <m/>
    <m/>
    <m/>
    <m/>
    <s v="AUD"/>
    <s v="13565431Waste Recycled - Cardboard [t]"/>
    <n v="13565431"/>
  </r>
  <r>
    <d v="2019-07-01T00:00:00"/>
    <d v="2021-06-30T00:00:00"/>
    <s v="Telstra"/>
    <s v="NETWORK"/>
    <s v="Network - InfraCo"/>
    <s v="TAS"/>
    <s v="Australia"/>
    <s v="Warrane"/>
    <s v="BELLERIVE EXCHANGE"/>
    <n v="423030904500"/>
    <s v="Recycled Waste"/>
    <x v="0"/>
    <x v="0"/>
    <s v="Account"/>
    <s v="Remondis Cardboard - Loose - Recycled"/>
    <m/>
    <s v="423030904500_RCARDBOAR"/>
    <s v="CARDBOARD - LOOSE - RECYCLED"/>
    <s v="Remondis"/>
    <m/>
    <m/>
    <d v="2020-12-01T00:00:00"/>
    <d v="2020-10-01T00:00:00"/>
    <s v="FY21"/>
    <s v="t"/>
    <n v="0"/>
    <n v="1.3899999999999999E-2"/>
    <n v="0"/>
    <n v="1.3899999999999999E-2"/>
    <n v="0"/>
    <n v="1"/>
    <n v="0"/>
    <n v="1"/>
    <n v="0"/>
    <n v="100"/>
    <n v="0"/>
    <s v="Consolidation"/>
    <s v="CO2e and Base Measure"/>
    <n v="100"/>
    <n v="100"/>
    <n v="0.01"/>
    <m/>
    <m/>
    <m/>
    <m/>
    <m/>
    <m/>
    <n v="0"/>
    <m/>
    <m/>
    <m/>
    <m/>
    <m/>
    <m/>
    <s v="AUD"/>
    <s v="13565431Waste Recycled - Cardboard [t]"/>
    <n v="13565431"/>
  </r>
  <r>
    <d v="2019-07-01T00:00:00"/>
    <d v="2021-06-30T00:00:00"/>
    <s v="Telstra"/>
    <s v="NETWORK"/>
    <s v="Network - InfraCo"/>
    <s v="TAS"/>
    <s v="Australia"/>
    <s v="Warrane"/>
    <s v="BELLERIVE EXCHANGE"/>
    <n v="423030904500"/>
    <s v="Recycled Waste"/>
    <x v="0"/>
    <x v="0"/>
    <s v="Account"/>
    <s v="Remondis Cardboard - Loose - Recycled"/>
    <m/>
    <s v="423030904500_RCARDBOAR"/>
    <s v="CARDBOARD - LOOSE - RECYCLED"/>
    <s v="Remondis"/>
    <m/>
    <m/>
    <d v="2020-12-01T00:00:00"/>
    <d v="2020-11-01T00:00:00"/>
    <s v="FY21"/>
    <s v="t"/>
    <n v="0"/>
    <n v="1.3899999999999999E-2"/>
    <n v="0"/>
    <n v="1.3899999999999999E-2"/>
    <n v="0"/>
    <n v="1"/>
    <n v="0"/>
    <n v="1"/>
    <n v="0"/>
    <n v="100"/>
    <n v="0"/>
    <s v="Consolidation"/>
    <s v="CO2e and Base Measure"/>
    <n v="100"/>
    <n v="100"/>
    <n v="0.01"/>
    <m/>
    <m/>
    <m/>
    <m/>
    <m/>
    <m/>
    <n v="0"/>
    <m/>
    <m/>
    <m/>
    <m/>
    <m/>
    <m/>
    <s v="AUD"/>
    <s v="13565431Waste Recycled - Cardboard [t]"/>
    <n v="13565431"/>
  </r>
  <r>
    <d v="2019-07-01T00:00:00"/>
    <d v="2021-06-30T00:00:00"/>
    <s v="Telstra"/>
    <s v="NETWORK"/>
    <s v="Network - InfraCo"/>
    <s v="TAS"/>
    <s v="Australia"/>
    <s v="Warrane"/>
    <s v="BELLERIVE EXCHANGE"/>
    <n v="423030904500"/>
    <s v="Recycled Waste"/>
    <x v="0"/>
    <x v="0"/>
    <s v="Account"/>
    <s v="Remondis Cardboard - Loose - Recycled"/>
    <m/>
    <s v="423030904500_RCARDBOAR"/>
    <s v="CARDBOARD - LOOSE - RECYCLED"/>
    <s v="Remondis"/>
    <m/>
    <m/>
    <d v="2020-12-01T00:00:00"/>
    <d v="2020-12-01T00:00:00"/>
    <s v="FY21"/>
    <s v="t"/>
    <n v="0"/>
    <n v="0"/>
    <n v="2.9999999999999997E-4"/>
    <n v="2.9999999999999997E-4"/>
    <n v="0"/>
    <n v="0"/>
    <n v="1"/>
    <n v="1"/>
    <n v="0"/>
    <n v="0"/>
    <n v="100"/>
    <s v="Consolidation"/>
    <s v="CO2e and Base Measure"/>
    <n v="100"/>
    <n v="100"/>
    <n v="0"/>
    <m/>
    <m/>
    <m/>
    <m/>
    <m/>
    <m/>
    <n v="0"/>
    <m/>
    <m/>
    <m/>
    <m/>
    <m/>
    <m/>
    <s v="AUD"/>
    <s v="13565431Waste Recycled - Cardboard [t]"/>
    <n v="13565431"/>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11-01T00:00:00"/>
    <s v="FY21"/>
    <s v="t"/>
    <n v="0"/>
    <n v="0.58499999999999996"/>
    <n v="0"/>
    <n v="0.58499999999999996"/>
    <n v="0"/>
    <n v="2"/>
    <n v="0"/>
    <n v="2"/>
    <n v="0"/>
    <n v="100"/>
    <n v="0"/>
    <s v="Consolidation"/>
    <s v="CO2e and Base Measure"/>
    <n v="100"/>
    <n v="100"/>
    <n v="0.59"/>
    <m/>
    <m/>
    <m/>
    <m/>
    <m/>
    <n v="0.76049999999999995"/>
    <m/>
    <n v="0.76049999999999995"/>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12-01T00:00:00"/>
    <s v="FY21"/>
    <s v="t"/>
    <n v="0"/>
    <n v="0"/>
    <n v="1.4999999999999999E-2"/>
    <n v="1.4999999999999999E-2"/>
    <n v="0"/>
    <n v="0"/>
    <n v="1"/>
    <n v="1"/>
    <n v="0"/>
    <n v="0"/>
    <n v="100"/>
    <s v="Consolidation"/>
    <s v="CO2e and Base Measure"/>
    <n v="100"/>
    <n v="100"/>
    <n v="0.02"/>
    <m/>
    <m/>
    <m/>
    <m/>
    <m/>
    <n v="1.95E-2"/>
    <m/>
    <n v="1.95E-2"/>
    <m/>
    <m/>
    <m/>
    <m/>
    <m/>
    <s v="AUD"/>
    <s v="13565433Waste - General [t] - Scope 3"/>
    <n v="13565433"/>
  </r>
  <r>
    <d v="2019-07-01T00:00:00"/>
    <d v="2021-06-30T00:00:00"/>
    <s v="Telstra"/>
    <s v="NETWORK"/>
    <s v="Network - InfraCo"/>
    <s v="TAS"/>
    <s v="Australia"/>
    <s v="Warrane"/>
    <s v="BELLERIVE EXCHANGE"/>
    <n v="423030904500"/>
    <s v="Recycled Waste"/>
    <x v="0"/>
    <x v="5"/>
    <s v="Account"/>
    <s v="Remondis Metal - Mixed All"/>
    <m/>
    <s v="423030904500_RMETMIXED"/>
    <s v="METAL - MIXED ALL"/>
    <s v="Remondis"/>
    <m/>
    <d v="2020-08-14T00:00:00"/>
    <d v="2020-12-01T00:00:00"/>
    <d v="2020-08-01T00:00:00"/>
    <s v="FY21"/>
    <s v="t"/>
    <n v="0"/>
    <n v="0.9"/>
    <n v="0"/>
    <n v="0.9"/>
    <n v="0"/>
    <n v="1"/>
    <n v="0"/>
    <n v="1"/>
    <n v="0"/>
    <n v="100"/>
    <n v="0"/>
    <s v="Consolidation"/>
    <s v="CO2e and Base Measure"/>
    <n v="100"/>
    <n v="100"/>
    <n v="0.9"/>
    <m/>
    <m/>
    <m/>
    <m/>
    <m/>
    <m/>
    <m/>
    <m/>
    <m/>
    <m/>
    <m/>
    <m/>
    <m/>
    <s v="AUD"/>
    <s v="13625670Waste Recycled - Construction and Demolition [t]"/>
    <n v="13625670"/>
  </r>
  <r>
    <d v="2019-07-01T00:00:00"/>
    <d v="2021-06-30T00:00:00"/>
    <s v="Telstra"/>
    <s v="NETWORK"/>
    <s v="Network - InfraCo"/>
    <s v="TAS"/>
    <s v="Australia"/>
    <s v="Warrane"/>
    <s v="BELLERIVE EXCHANGE"/>
    <n v="423030904500"/>
    <s v="Recycled Waste"/>
    <x v="0"/>
    <x v="5"/>
    <s v="Account"/>
    <s v="Remondis Metal - Mixed All"/>
    <m/>
    <s v="423030904500_RMETMIXED"/>
    <s v="METAL - MIXED ALL"/>
    <s v="Remondis"/>
    <m/>
    <d v="2020-08-14T00:00:00"/>
    <d v="2020-12-01T00:00:00"/>
    <d v="2020-11-01T00:00:00"/>
    <s v="FY21"/>
    <s v="t"/>
    <n v="0.40799999999999997"/>
    <n v="0"/>
    <n v="0"/>
    <n v="0.40799999999999997"/>
    <n v="1"/>
    <n v="0"/>
    <n v="0"/>
    <n v="1"/>
    <n v="100"/>
    <n v="0"/>
    <n v="0"/>
    <s v="Consolidation"/>
    <s v="CO2e and Base Measure"/>
    <n v="100"/>
    <n v="100"/>
    <n v="0.41"/>
    <m/>
    <m/>
    <m/>
    <m/>
    <m/>
    <m/>
    <m/>
    <m/>
    <m/>
    <m/>
    <m/>
    <m/>
    <m/>
    <s v="AUD"/>
    <s v="13625670Waste Recycled - Construction and Demolition [t]"/>
    <n v="13625670"/>
  </r>
  <r>
    <d v="2019-07-01T00:00:00"/>
    <d v="2021-06-30T00:00:00"/>
    <s v="Telstra"/>
    <s v="NETWORK"/>
    <s v="Network - InfraCo"/>
    <s v="TAS"/>
    <s v="Australia"/>
    <s v="Warrane"/>
    <s v="BELLERIVE EXCHANGE"/>
    <n v="423030904500"/>
    <s v="Recycled Waste"/>
    <x v="0"/>
    <x v="5"/>
    <s v="Account"/>
    <s v="Remondis Metal - Mixed All"/>
    <m/>
    <s v="423030904500_RMETMIXED"/>
    <s v="METAL - MIXED ALL"/>
    <s v="Remondis"/>
    <m/>
    <d v="2020-08-14T00:00:00"/>
    <d v="2020-12-01T00:00:00"/>
    <d v="2020-12-01T00:00:00"/>
    <s v="FY21"/>
    <s v="t"/>
    <n v="0"/>
    <n v="0"/>
    <n v="1.0800000000000001E-2"/>
    <n v="1.0800000000000001E-2"/>
    <n v="0"/>
    <n v="0"/>
    <n v="1"/>
    <n v="1"/>
    <n v="0"/>
    <n v="0"/>
    <n v="100"/>
    <s v="Consolidation"/>
    <s v="CO2e and Base Measure"/>
    <n v="100"/>
    <n v="100"/>
    <n v="0.01"/>
    <m/>
    <m/>
    <m/>
    <m/>
    <m/>
    <m/>
    <m/>
    <m/>
    <m/>
    <m/>
    <m/>
    <m/>
    <m/>
    <s v="AUD"/>
    <s v="13625670Waste Recycled - Construction and Demolition [t]"/>
    <n v="13625670"/>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0-12-01T00:00:00"/>
    <s v="FY21"/>
    <s v="t"/>
    <n v="0.129"/>
    <n v="0.13500000000000001"/>
    <n v="0"/>
    <n v="0.26400000000000001"/>
    <n v="1"/>
    <n v="1"/>
    <n v="0"/>
    <n v="2"/>
    <n v="48.86"/>
    <n v="51.13"/>
    <n v="0"/>
    <s v="Consolidation"/>
    <s v="CO2e and Base Measure"/>
    <n v="100"/>
    <n v="100"/>
    <n v="0.26"/>
    <m/>
    <m/>
    <m/>
    <m/>
    <m/>
    <n v="0.34320000000000001"/>
    <m/>
    <n v="0.34320000000000001"/>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2-01T00:00:00"/>
    <s v="FY21"/>
    <s v="t"/>
    <n v="0"/>
    <n v="0.19800000000000001"/>
    <n v="0"/>
    <n v="0.19800000000000001"/>
    <n v="0"/>
    <n v="4"/>
    <n v="0"/>
    <n v="4"/>
    <n v="0"/>
    <n v="100"/>
    <n v="0"/>
    <s v="Consolidation"/>
    <s v="CO2e and Base Measure"/>
    <n v="100"/>
    <n v="100"/>
    <n v="0.2"/>
    <m/>
    <m/>
    <m/>
    <m/>
    <m/>
    <n v="0.25740000000000002"/>
    <m/>
    <n v="0.25740000000000002"/>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3-01T00:00:00"/>
    <s v="FY21"/>
    <s v="t"/>
    <n v="3.5000000000000003E-2"/>
    <n v="0.14849999999999999"/>
    <n v="0"/>
    <n v="0.1835"/>
    <n v="1"/>
    <n v="3"/>
    <n v="0"/>
    <n v="4"/>
    <n v="19.07"/>
    <n v="80.92"/>
    <n v="0"/>
    <s v="Consolidation"/>
    <s v="CO2e and Base Measure"/>
    <n v="100"/>
    <n v="100"/>
    <n v="0.18"/>
    <m/>
    <m/>
    <m/>
    <m/>
    <m/>
    <n v="0.23860000000000001"/>
    <m/>
    <n v="0.23860000000000001"/>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4-01T00:00:00"/>
    <s v="FY21"/>
    <s v="t"/>
    <n v="0"/>
    <n v="0"/>
    <n v="0.17399999999999999"/>
    <n v="0.17399999999999999"/>
    <n v="0"/>
    <n v="0"/>
    <n v="30"/>
    <n v="30"/>
    <n v="0"/>
    <n v="0"/>
    <n v="100"/>
    <s v="Consolidation"/>
    <s v="CO2e and Base Measure"/>
    <n v="100"/>
    <n v="100"/>
    <n v="0.17"/>
    <m/>
    <m/>
    <m/>
    <m/>
    <m/>
    <n v="0.22620000000000001"/>
    <m/>
    <n v="0.22620000000000001"/>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5-01T00:00:00"/>
    <s v="FY21"/>
    <s v="t"/>
    <n v="0"/>
    <n v="0"/>
    <n v="0.17979999999999999"/>
    <n v="0.17979999999999999"/>
    <n v="0"/>
    <n v="0"/>
    <n v="31"/>
    <n v="31"/>
    <n v="0"/>
    <n v="0"/>
    <n v="100"/>
    <s v="Consolidation"/>
    <s v="CO2e and Base Measure"/>
    <n v="100"/>
    <n v="100"/>
    <n v="0.18"/>
    <m/>
    <m/>
    <m/>
    <m/>
    <m/>
    <n v="0.23369999999999999"/>
    <m/>
    <n v="0.23369999999999999"/>
    <m/>
    <m/>
    <m/>
    <m/>
    <m/>
    <s v="AUD"/>
    <s v="13634024Waste - General [t] - Scope 3"/>
    <n v="13634024"/>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07-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08-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09-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11-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12-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1-01-01T00:00:00"/>
    <s v="FY21"/>
    <s v="t"/>
    <n v="0"/>
    <n v="0"/>
    <n v="1.8E-3"/>
    <n v="1.8E-3"/>
    <n v="0"/>
    <n v="0"/>
    <n v="1"/>
    <n v="1"/>
    <n v="0"/>
    <n v="0"/>
    <n v="100"/>
    <s v="Consolidation"/>
    <s v="CO2e and Base Measure"/>
    <n v="100"/>
    <n v="100"/>
    <n v="0"/>
    <m/>
    <m/>
    <m/>
    <m/>
    <m/>
    <n v="2.3E-3"/>
    <m/>
    <n v="2.3E-3"/>
    <m/>
    <m/>
    <m/>
    <m/>
    <m/>
    <s v="AUD"/>
    <s v="13564568Waste - General [t] - Scope 3"/>
    <n v="13564568"/>
  </r>
  <r>
    <d v="2019-07-01T00:00:00"/>
    <d v="2021-06-30T00:00:00"/>
    <s v="Telstra"/>
    <s v="NETWORK"/>
    <s v="Network - InfraCo"/>
    <s v="VIC"/>
    <s v="Australia"/>
    <s v="Geelong"/>
    <s v="BELMONT EXCHANGE __ LINE DEPOT"/>
    <n v="423030781000"/>
    <s v="Recycled Waste"/>
    <x v="0"/>
    <x v="1"/>
    <s v="Account"/>
    <s v="Remondis Electrical Comp. (E-Waste)"/>
    <m/>
    <s v="423030781000_RELECTRIC"/>
    <s v="ELECTRICAL COMP. E-WASTE"/>
    <s v="Remondis"/>
    <m/>
    <m/>
    <d v="2020-12-01T00:00:00"/>
    <d v="2020-07-01T00:00:00"/>
    <s v="FY21"/>
    <s v="t"/>
    <n v="0.17199999999999999"/>
    <n v="0.12540000000000001"/>
    <n v="0"/>
    <n v="0.2974"/>
    <n v="1"/>
    <n v="1"/>
    <n v="0"/>
    <n v="2"/>
    <n v="57.83"/>
    <n v="42.16"/>
    <n v="0"/>
    <s v="Consolidation"/>
    <s v="CO2e and Base Measure"/>
    <n v="100"/>
    <n v="100"/>
    <n v="0.3"/>
    <m/>
    <m/>
    <m/>
    <m/>
    <m/>
    <m/>
    <m/>
    <m/>
    <m/>
    <m/>
    <m/>
    <m/>
    <m/>
    <s v="AUD"/>
    <s v="13566081Waste Recycled - E-waste [t]"/>
    <n v="13566081"/>
  </r>
  <r>
    <d v="2019-07-01T00:00:00"/>
    <d v="2021-06-30T00:00:00"/>
    <s v="Telstra"/>
    <s v="NETWORK"/>
    <s v="Network - InfraCo"/>
    <s v="VIC"/>
    <s v="Australia"/>
    <s v="Geelong"/>
    <s v="BELMONT EXCHANGE __ LINE DEPOT"/>
    <n v="423030781000"/>
    <s v="Recycled Waste"/>
    <x v="0"/>
    <x v="1"/>
    <s v="Account"/>
    <s v="Remondis Electrical Comp. (E-Waste)"/>
    <m/>
    <s v="423030781000_RELECTRIC"/>
    <s v="ELECTRICAL COMP. E-WASTE"/>
    <s v="Remondis"/>
    <m/>
    <m/>
    <d v="2020-12-01T00:00:00"/>
    <d v="2020-11-01T00:00:00"/>
    <s v="FY21"/>
    <s v="t"/>
    <n v="7.6999999999999999E-2"/>
    <n v="0.12540000000000001"/>
    <n v="0"/>
    <n v="0.2024"/>
    <n v="1"/>
    <n v="1"/>
    <n v="0"/>
    <n v="2"/>
    <n v="38.04"/>
    <n v="61.95"/>
    <n v="0"/>
    <s v="Consolidation"/>
    <s v="CO2e and Base Measure"/>
    <n v="100"/>
    <n v="100"/>
    <n v="0.2"/>
    <m/>
    <m/>
    <m/>
    <m/>
    <m/>
    <m/>
    <m/>
    <m/>
    <m/>
    <m/>
    <m/>
    <m/>
    <m/>
    <s v="AUD"/>
    <s v="13566081Waste Recycled - E-waste [t]"/>
    <n v="13566081"/>
  </r>
  <r>
    <d v="2019-07-01T00:00:00"/>
    <d v="2021-06-30T00:00:00"/>
    <s v="Telstra"/>
    <s v="NETWORK"/>
    <s v="Network - InfraCo"/>
    <s v="VIC"/>
    <s v="Australia"/>
    <s v="Geelong"/>
    <s v="BELMONT EXCHANGE __ LINE DEPOT"/>
    <n v="423030781000"/>
    <s v="Recycled Waste"/>
    <x v="0"/>
    <x v="1"/>
    <s v="Account"/>
    <s v="Remondis Electrical Comp. (E-Waste)"/>
    <m/>
    <s v="423030781000_RELECTRIC"/>
    <s v="ELECTRICAL COMP. E-WASTE"/>
    <s v="Remondis"/>
    <m/>
    <m/>
    <d v="2020-12-01T00:00:00"/>
    <d v="2020-12-01T00:00:00"/>
    <s v="FY21"/>
    <s v="t"/>
    <n v="0"/>
    <n v="0"/>
    <n v="3.3E-3"/>
    <n v="3.3E-3"/>
    <n v="0"/>
    <n v="0"/>
    <n v="1"/>
    <n v="1"/>
    <n v="0"/>
    <n v="0"/>
    <n v="100"/>
    <s v="Consolidation"/>
    <s v="CO2e and Base Measure"/>
    <n v="100"/>
    <n v="100"/>
    <n v="0"/>
    <m/>
    <m/>
    <m/>
    <m/>
    <m/>
    <m/>
    <m/>
    <m/>
    <m/>
    <m/>
    <m/>
    <m/>
    <m/>
    <s v="AUD"/>
    <s v="13566081Waste Recycled - E-waste [t]"/>
    <n v="13566081"/>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0-12-01T00:00:00"/>
    <s v="FY21"/>
    <s v="t"/>
    <n v="0.38800000000000001"/>
    <n v="0"/>
    <n v="0"/>
    <n v="0.38800000000000001"/>
    <n v="2"/>
    <n v="0"/>
    <n v="0"/>
    <n v="2"/>
    <n v="100"/>
    <n v="0"/>
    <n v="0"/>
    <s v="Consolidation"/>
    <s v="CO2e and Base Measure"/>
    <n v="100"/>
    <n v="100"/>
    <n v="0.39"/>
    <m/>
    <m/>
    <m/>
    <m/>
    <m/>
    <n v="0.50439999999999996"/>
    <m/>
    <n v="0.50439999999999996"/>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1-01T00:00:00"/>
    <s v="FY21"/>
    <s v="t"/>
    <n v="0.99"/>
    <n v="0"/>
    <n v="0"/>
    <n v="0.99"/>
    <n v="5"/>
    <n v="0"/>
    <n v="0"/>
    <n v="5"/>
    <n v="100"/>
    <n v="0"/>
    <n v="0"/>
    <s v="Consolidation"/>
    <s v="CO2e and Base Measure"/>
    <n v="100"/>
    <n v="100"/>
    <n v="0.99"/>
    <m/>
    <m/>
    <m/>
    <m/>
    <m/>
    <n v="1.2869999999999999"/>
    <m/>
    <n v="1.2869999999999999"/>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2-01T00:00:00"/>
    <s v="FY21"/>
    <s v="t"/>
    <n v="0.47499999999999998"/>
    <n v="0"/>
    <n v="0"/>
    <n v="0.47499999999999998"/>
    <n v="4"/>
    <n v="0"/>
    <n v="0"/>
    <n v="4"/>
    <n v="100"/>
    <n v="0"/>
    <n v="0"/>
    <s v="Consolidation"/>
    <s v="CO2e and Base Measure"/>
    <n v="100"/>
    <n v="100"/>
    <n v="0.48"/>
    <m/>
    <m/>
    <m/>
    <m/>
    <m/>
    <n v="0.61750000000000005"/>
    <m/>
    <n v="0.61750000000000005"/>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3-01T00:00:00"/>
    <s v="FY21"/>
    <s v="t"/>
    <n v="1.052"/>
    <n v="0"/>
    <n v="0"/>
    <n v="1.052"/>
    <n v="5"/>
    <n v="0"/>
    <n v="0"/>
    <n v="5"/>
    <n v="100"/>
    <n v="0"/>
    <n v="0"/>
    <s v="Consolidation"/>
    <s v="CO2e and Base Measure"/>
    <n v="100"/>
    <n v="100"/>
    <n v="1.05"/>
    <m/>
    <m/>
    <m/>
    <m/>
    <m/>
    <n v="1.3675999999999999"/>
    <m/>
    <n v="1.3675999999999999"/>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4-01T00:00:00"/>
    <s v="FY21"/>
    <s v="t"/>
    <n v="0"/>
    <n v="0"/>
    <n v="0.72599999999999998"/>
    <n v="0.72599999999999998"/>
    <n v="0"/>
    <n v="0"/>
    <n v="30"/>
    <n v="30"/>
    <n v="0"/>
    <n v="0"/>
    <n v="100"/>
    <s v="Consolidation"/>
    <s v="CO2e and Base Measure"/>
    <n v="100"/>
    <n v="100"/>
    <n v="0.73"/>
    <m/>
    <m/>
    <m/>
    <m/>
    <m/>
    <n v="0.94379999999999997"/>
    <m/>
    <n v="0.94379999999999997"/>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5-01T00:00:00"/>
    <s v="FY21"/>
    <s v="t"/>
    <n v="0"/>
    <n v="0"/>
    <n v="0.75019999999999998"/>
    <n v="0.75019999999999998"/>
    <n v="0"/>
    <n v="0"/>
    <n v="31"/>
    <n v="31"/>
    <n v="0"/>
    <n v="0"/>
    <n v="100"/>
    <s v="Consolidation"/>
    <s v="CO2e and Base Measure"/>
    <n v="100"/>
    <n v="100"/>
    <n v="0.75"/>
    <m/>
    <m/>
    <m/>
    <m/>
    <m/>
    <n v="0.97529999999999994"/>
    <m/>
    <n v="0.97529999999999994"/>
    <m/>
    <m/>
    <m/>
    <m/>
    <m/>
    <s v="AUD"/>
    <s v="13634025Waste - General [t] - Scope 3"/>
    <n v="13634025"/>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0-12-01T00:00:00"/>
    <s v="FY21"/>
    <s v="t"/>
    <n v="5.1999999999999998E-2"/>
    <n v="0"/>
    <n v="0"/>
    <n v="5.1999999999999998E-2"/>
    <n v="1"/>
    <n v="0"/>
    <n v="0"/>
    <n v="1"/>
    <n v="100"/>
    <n v="0"/>
    <n v="0"/>
    <s v="Consolidation"/>
    <s v="CO2e and Base Measure"/>
    <n v="100"/>
    <n v="100"/>
    <n v="0.05"/>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1-01T00:00:00"/>
    <s v="FY21"/>
    <s v="t"/>
    <n v="4.1000000000000002E-2"/>
    <n v="7.4999999999999997E-2"/>
    <n v="0"/>
    <n v="0.11600000000000001"/>
    <n v="2"/>
    <n v="1"/>
    <n v="0"/>
    <n v="3"/>
    <n v="35.340000000000003"/>
    <n v="64.650000000000006"/>
    <n v="0"/>
    <s v="Consolidation"/>
    <s v="CO2e and Base Measure"/>
    <n v="100"/>
    <n v="100"/>
    <n v="0.12"/>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2-01T00:00:00"/>
    <s v="FY21"/>
    <s v="t"/>
    <n v="2.1999999999999999E-2"/>
    <n v="0.22500000000000001"/>
    <n v="0"/>
    <n v="0.247"/>
    <n v="1"/>
    <n v="3"/>
    <n v="0"/>
    <n v="4"/>
    <n v="8.9"/>
    <n v="91.09"/>
    <n v="0"/>
    <s v="Consolidation"/>
    <s v="CO2e and Base Measure"/>
    <n v="100"/>
    <n v="100"/>
    <n v="0.25"/>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3-01T00:00:00"/>
    <s v="FY21"/>
    <s v="t"/>
    <n v="1.0999999999999999E-2"/>
    <n v="0.3"/>
    <n v="0"/>
    <n v="0.311"/>
    <n v="1"/>
    <n v="4"/>
    <n v="0"/>
    <n v="5"/>
    <n v="3.53"/>
    <n v="96.46"/>
    <n v="0"/>
    <s v="Consolidation"/>
    <s v="CO2e and Base Measure"/>
    <n v="100"/>
    <n v="100"/>
    <n v="0.31"/>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4-01T00:00:00"/>
    <s v="FY21"/>
    <s v="t"/>
    <n v="0"/>
    <n v="0"/>
    <n v="0.18"/>
    <n v="0.18"/>
    <n v="0"/>
    <n v="0"/>
    <n v="30"/>
    <n v="30"/>
    <n v="0"/>
    <n v="0"/>
    <n v="100"/>
    <s v="Consolidation"/>
    <s v="CO2e and Base Measure"/>
    <n v="100"/>
    <n v="100"/>
    <n v="0.18"/>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5-01T00:00:00"/>
    <s v="FY21"/>
    <s v="t"/>
    <n v="0"/>
    <n v="0"/>
    <n v="0.186"/>
    <n v="0.186"/>
    <n v="0"/>
    <n v="0"/>
    <n v="31"/>
    <n v="31"/>
    <n v="0"/>
    <n v="0"/>
    <n v="100"/>
    <s v="Consolidation"/>
    <s v="CO2e and Base Measure"/>
    <n v="100"/>
    <n v="100"/>
    <n v="0.19"/>
    <m/>
    <m/>
    <m/>
    <m/>
    <m/>
    <m/>
    <m/>
    <m/>
    <m/>
    <m/>
    <m/>
    <m/>
    <m/>
    <s v="AUD"/>
    <s v="13634026Waste Recycled - Paper and Cardboard [t]"/>
    <n v="13634026"/>
  </r>
  <r>
    <d v="2019-07-01T00:00:00"/>
    <d v="2021-06-30T00:00:00"/>
    <s v="Telstra"/>
    <s v="NETWORK"/>
    <s v="Network - InfraCo"/>
    <s v="VIC"/>
    <s v="Australia"/>
    <s v="Benalla"/>
    <s v="BENALLA EXCHANGE"/>
    <n v="423030563700"/>
    <s v="Waste"/>
    <x v="1"/>
    <x v="4"/>
    <s v="Account"/>
    <s v="Remondis Asbestos"/>
    <m/>
    <s v="423030563700_WASBESTOS"/>
    <s v="ASBESTOS"/>
    <s v="Remondis"/>
    <m/>
    <m/>
    <d v="2020-12-01T00:00:00"/>
    <d v="2020-12-01T00:00:00"/>
    <s v="FY21"/>
    <s v="t"/>
    <n v="1E-4"/>
    <n v="0"/>
    <n v="0"/>
    <n v="1E-4"/>
    <n v="1"/>
    <n v="0"/>
    <n v="0"/>
    <n v="1"/>
    <n v="100"/>
    <n v="0"/>
    <n v="0"/>
    <s v="Consolidation"/>
    <s v="CO2e and Base Measure"/>
    <n v="100"/>
    <n v="100"/>
    <n v="0"/>
    <m/>
    <m/>
    <m/>
    <m/>
    <m/>
    <n v="1E-4"/>
    <m/>
    <n v="1E-4"/>
    <m/>
    <m/>
    <m/>
    <m/>
    <m/>
    <s v="AUD"/>
    <s v="13564834Waste - Construction and Demolition [t]"/>
    <n v="13564834"/>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07-01T00:00:00"/>
    <s v="FY21"/>
    <s v="t"/>
    <n v="0"/>
    <n v="0.97499999999999998"/>
    <n v="0"/>
    <n v="0.97499999999999998"/>
    <n v="0"/>
    <n v="5"/>
    <n v="0"/>
    <n v="5"/>
    <n v="0"/>
    <n v="100"/>
    <n v="0"/>
    <s v="Consolidation"/>
    <s v="CO2e and Base Measure"/>
    <n v="100"/>
    <n v="100"/>
    <n v="0.98"/>
    <m/>
    <m/>
    <m/>
    <m/>
    <m/>
    <n v="1.2675000000000001"/>
    <m/>
    <n v="1.2675000000000001"/>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08-01T00:00:00"/>
    <s v="FY21"/>
    <s v="t"/>
    <n v="0"/>
    <n v="0.78"/>
    <n v="0"/>
    <n v="0.78"/>
    <n v="0"/>
    <n v="4"/>
    <n v="0"/>
    <n v="4"/>
    <n v="0"/>
    <n v="100"/>
    <n v="0"/>
    <s v="Consolidation"/>
    <s v="CO2e and Base Measure"/>
    <n v="100"/>
    <n v="100"/>
    <n v="0.78"/>
    <m/>
    <m/>
    <m/>
    <m/>
    <m/>
    <n v="1.014"/>
    <m/>
    <n v="1.014"/>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09-01T00:00:00"/>
    <s v="FY21"/>
    <s v="t"/>
    <n v="0"/>
    <n v="0.78"/>
    <n v="0"/>
    <n v="0.78"/>
    <n v="0"/>
    <n v="4"/>
    <n v="0"/>
    <n v="4"/>
    <n v="0"/>
    <n v="100"/>
    <n v="0"/>
    <s v="Consolidation"/>
    <s v="CO2e and Base Measure"/>
    <n v="100"/>
    <n v="100"/>
    <n v="0.78"/>
    <m/>
    <m/>
    <m/>
    <m/>
    <m/>
    <n v="1.014"/>
    <m/>
    <n v="1.014"/>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11-01T00:00:00"/>
    <s v="FY21"/>
    <s v="t"/>
    <n v="0"/>
    <n v="0.78"/>
    <n v="0"/>
    <n v="0.78"/>
    <n v="0"/>
    <n v="4"/>
    <n v="0"/>
    <n v="4"/>
    <n v="0"/>
    <n v="100"/>
    <n v="0"/>
    <s v="Consolidation"/>
    <s v="CO2e and Base Measure"/>
    <n v="100"/>
    <n v="100"/>
    <n v="0.78"/>
    <m/>
    <m/>
    <m/>
    <m/>
    <m/>
    <n v="1.014"/>
    <m/>
    <n v="1.014"/>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64835Waste - General [t] - Scope 3"/>
    <n v="13564835"/>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0-12-01T00:00:00"/>
    <s v="FY21"/>
    <s v="t"/>
    <n v="0.38800000000000001"/>
    <n v="0"/>
    <n v="0"/>
    <n v="0.38800000000000001"/>
    <n v="2"/>
    <n v="0"/>
    <n v="0"/>
    <n v="2"/>
    <n v="100"/>
    <n v="0"/>
    <n v="0"/>
    <s v="Consolidation"/>
    <s v="CO2e and Base Measure"/>
    <n v="100"/>
    <n v="100"/>
    <n v="0.39"/>
    <m/>
    <m/>
    <m/>
    <m/>
    <m/>
    <n v="0.50439999999999996"/>
    <m/>
    <n v="0.50439999999999996"/>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1-01T00:00:00"/>
    <s v="FY21"/>
    <s v="t"/>
    <n v="0.63100000000000001"/>
    <n v="0"/>
    <n v="0"/>
    <n v="0.63100000000000001"/>
    <n v="4"/>
    <n v="0"/>
    <n v="0"/>
    <n v="4"/>
    <n v="100"/>
    <n v="0"/>
    <n v="0"/>
    <s v="Consolidation"/>
    <s v="CO2e and Base Measure"/>
    <n v="100"/>
    <n v="100"/>
    <n v="0.63"/>
    <m/>
    <m/>
    <m/>
    <m/>
    <m/>
    <n v="0.82030000000000003"/>
    <m/>
    <n v="0.82030000000000003"/>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2-01T00:00:00"/>
    <s v="FY21"/>
    <s v="t"/>
    <n v="0.63400000000000001"/>
    <n v="0"/>
    <n v="0"/>
    <n v="0.63400000000000001"/>
    <n v="4"/>
    <n v="0"/>
    <n v="0"/>
    <n v="4"/>
    <n v="100"/>
    <n v="0"/>
    <n v="0"/>
    <s v="Consolidation"/>
    <s v="CO2e and Base Measure"/>
    <n v="100"/>
    <n v="100"/>
    <n v="0.63"/>
    <m/>
    <m/>
    <m/>
    <m/>
    <m/>
    <n v="0.82420000000000004"/>
    <m/>
    <n v="0.82420000000000004"/>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3-01T00:00:00"/>
    <s v="FY21"/>
    <s v="t"/>
    <n v="0.55800000000000005"/>
    <n v="0"/>
    <n v="0"/>
    <n v="0.55800000000000005"/>
    <n v="5"/>
    <n v="0"/>
    <n v="0"/>
    <n v="5"/>
    <n v="100"/>
    <n v="0"/>
    <n v="0"/>
    <s v="Consolidation"/>
    <s v="CO2e and Base Measure"/>
    <n v="100"/>
    <n v="100"/>
    <n v="0.56000000000000005"/>
    <m/>
    <m/>
    <m/>
    <m/>
    <m/>
    <n v="0.72540000000000004"/>
    <m/>
    <n v="0.72540000000000004"/>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4-01T00:00:00"/>
    <s v="FY21"/>
    <s v="t"/>
    <n v="0"/>
    <n v="0"/>
    <n v="0.55200000000000005"/>
    <n v="0.55200000000000005"/>
    <n v="0"/>
    <n v="0"/>
    <n v="30"/>
    <n v="30"/>
    <n v="0"/>
    <n v="0"/>
    <n v="100"/>
    <s v="Consolidation"/>
    <s v="CO2e and Base Measure"/>
    <n v="100"/>
    <n v="100"/>
    <n v="0.55000000000000004"/>
    <m/>
    <m/>
    <m/>
    <m/>
    <m/>
    <n v="0.71760000000000002"/>
    <m/>
    <n v="0.71760000000000002"/>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5-01T00:00:00"/>
    <s v="FY21"/>
    <s v="t"/>
    <n v="0"/>
    <n v="0"/>
    <n v="0.57040000000000002"/>
    <n v="0.57040000000000002"/>
    <n v="0"/>
    <n v="0"/>
    <n v="31"/>
    <n v="31"/>
    <n v="0"/>
    <n v="0"/>
    <n v="100"/>
    <s v="Consolidation"/>
    <s v="CO2e and Base Measure"/>
    <n v="100"/>
    <n v="100"/>
    <n v="0.56999999999999995"/>
    <m/>
    <m/>
    <m/>
    <m/>
    <m/>
    <n v="0.74150000000000005"/>
    <m/>
    <n v="0.74150000000000005"/>
    <m/>
    <m/>
    <m/>
    <m/>
    <m/>
    <s v="AUD"/>
    <s v="13634027Waste - General [t] - Scope 3"/>
    <n v="13634027"/>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0-12-01T00:00:00"/>
    <s v="FY21"/>
    <s v="t"/>
    <n v="0.42299999999999999"/>
    <n v="0.13500000000000001"/>
    <n v="0"/>
    <n v="0.55800000000000005"/>
    <n v="5"/>
    <n v="1"/>
    <n v="0"/>
    <n v="6"/>
    <n v="75.8"/>
    <n v="24.19"/>
    <n v="0"/>
    <s v="Consolidation"/>
    <s v="CO2e and Base Measure"/>
    <n v="100"/>
    <n v="100"/>
    <n v="0.56000000000000005"/>
    <m/>
    <m/>
    <m/>
    <m/>
    <m/>
    <n v="0.72540000000000004"/>
    <m/>
    <n v="0.72540000000000004"/>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1-01T00:00:00"/>
    <s v="FY21"/>
    <s v="t"/>
    <n v="0.442"/>
    <n v="0.13500000000000001"/>
    <n v="0"/>
    <n v="0.57699999999999996"/>
    <n v="6"/>
    <n v="1"/>
    <n v="0"/>
    <n v="7"/>
    <n v="76.599999999999994"/>
    <n v="23.39"/>
    <n v="0"/>
    <s v="Consolidation"/>
    <s v="CO2e and Base Measure"/>
    <n v="100"/>
    <n v="100"/>
    <n v="0.57999999999999996"/>
    <m/>
    <m/>
    <m/>
    <m/>
    <m/>
    <n v="0.75009999999999999"/>
    <m/>
    <n v="0.75009999999999999"/>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2-01T00:00:00"/>
    <s v="FY21"/>
    <s v="t"/>
    <n v="0.34300000000000003"/>
    <n v="0.40500000000000003"/>
    <n v="0"/>
    <n v="0.748"/>
    <n v="5"/>
    <n v="3"/>
    <n v="0"/>
    <n v="8"/>
    <n v="45.85"/>
    <n v="54.14"/>
    <n v="0"/>
    <s v="Consolidation"/>
    <s v="CO2e and Base Measure"/>
    <n v="100"/>
    <n v="100"/>
    <n v="0.75"/>
    <m/>
    <m/>
    <m/>
    <m/>
    <m/>
    <n v="0.97240000000000004"/>
    <m/>
    <n v="0.97240000000000004"/>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3-01T00:00:00"/>
    <s v="FY21"/>
    <s v="t"/>
    <n v="3.7999999999999999E-2"/>
    <n v="0.81"/>
    <n v="0"/>
    <n v="0.84799999999999998"/>
    <n v="1"/>
    <n v="6"/>
    <n v="0"/>
    <n v="7"/>
    <n v="4.4800000000000004"/>
    <n v="95.51"/>
    <n v="0"/>
    <s v="Consolidation"/>
    <s v="CO2e and Base Measure"/>
    <n v="100"/>
    <n v="100"/>
    <n v="0.85"/>
    <m/>
    <m/>
    <m/>
    <m/>
    <m/>
    <n v="1.1024"/>
    <m/>
    <n v="1.1024"/>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4-01T00:00:00"/>
    <s v="FY21"/>
    <s v="t"/>
    <n v="0"/>
    <n v="0"/>
    <n v="0.68400000000000005"/>
    <n v="0.68400000000000005"/>
    <n v="0"/>
    <n v="0"/>
    <n v="30"/>
    <n v="30"/>
    <n v="0"/>
    <n v="0"/>
    <n v="100"/>
    <s v="Consolidation"/>
    <s v="CO2e and Base Measure"/>
    <n v="100"/>
    <n v="100"/>
    <n v="0.68"/>
    <m/>
    <m/>
    <m/>
    <m/>
    <m/>
    <n v="0.88919999999999999"/>
    <m/>
    <n v="0.88919999999999999"/>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5-01T00:00:00"/>
    <s v="FY21"/>
    <s v="t"/>
    <n v="0"/>
    <n v="0"/>
    <n v="0.70679999999999998"/>
    <n v="0.70679999999999998"/>
    <n v="0"/>
    <n v="0"/>
    <n v="31"/>
    <n v="31"/>
    <n v="0"/>
    <n v="0"/>
    <n v="100"/>
    <s v="Consolidation"/>
    <s v="CO2e and Base Measure"/>
    <n v="100"/>
    <n v="100"/>
    <n v="0.71"/>
    <m/>
    <m/>
    <m/>
    <m/>
    <m/>
    <n v="0.91879999999999995"/>
    <m/>
    <n v="0.91879999999999995"/>
    <m/>
    <m/>
    <m/>
    <m/>
    <m/>
    <s v="AUD"/>
    <s v="13634348Waste - General [t] - Scope 3"/>
    <n v="13634348"/>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0-12-01T00:00:00"/>
    <s v="FY21"/>
    <s v="t"/>
    <n v="0.02"/>
    <n v="0"/>
    <n v="0"/>
    <n v="0.02"/>
    <n v="1"/>
    <n v="0"/>
    <n v="0"/>
    <n v="1"/>
    <n v="100"/>
    <n v="0"/>
    <n v="0"/>
    <s v="Consolidation"/>
    <s v="CO2e and Base Measure"/>
    <n v="100"/>
    <n v="100"/>
    <n v="0.02"/>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1-01T00:00:00"/>
    <s v="FY21"/>
    <s v="t"/>
    <n v="8.5000000000000006E-2"/>
    <n v="0"/>
    <n v="0"/>
    <n v="8.5000000000000006E-2"/>
    <n v="1"/>
    <n v="0"/>
    <n v="0"/>
    <n v="1"/>
    <n v="100"/>
    <n v="0"/>
    <n v="0"/>
    <s v="Consolidation"/>
    <s v="CO2e and Base Measure"/>
    <n v="100"/>
    <n v="100"/>
    <n v="0.09"/>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2-01T00:00:00"/>
    <s v="FY21"/>
    <s v="t"/>
    <n v="2.3E-2"/>
    <n v="0"/>
    <n v="0"/>
    <n v="2.3E-2"/>
    <n v="1"/>
    <n v="0"/>
    <n v="0"/>
    <n v="1"/>
    <n v="100"/>
    <n v="0"/>
    <n v="0"/>
    <s v="Consolidation"/>
    <s v="CO2e and Base Measure"/>
    <n v="100"/>
    <n v="100"/>
    <n v="0.02"/>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3-01T00:00:00"/>
    <s v="FY21"/>
    <s v="t"/>
    <n v="0.42"/>
    <n v="0"/>
    <n v="0"/>
    <n v="0.42"/>
    <n v="2"/>
    <n v="0"/>
    <n v="0"/>
    <n v="2"/>
    <n v="100"/>
    <n v="0"/>
    <n v="0"/>
    <s v="Consolidation"/>
    <s v="CO2e and Base Measure"/>
    <n v="100"/>
    <n v="100"/>
    <n v="0.42"/>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4-01T00:00:00"/>
    <s v="FY21"/>
    <s v="t"/>
    <n v="0"/>
    <n v="0"/>
    <n v="0.13800000000000001"/>
    <n v="0.13800000000000001"/>
    <n v="0"/>
    <n v="0"/>
    <n v="30"/>
    <n v="30"/>
    <n v="0"/>
    <n v="0"/>
    <n v="100"/>
    <s v="Consolidation"/>
    <s v="CO2e and Base Measure"/>
    <n v="100"/>
    <n v="100"/>
    <n v="0.14000000000000001"/>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5-01T00:00:00"/>
    <s v="FY21"/>
    <s v="t"/>
    <n v="0"/>
    <n v="0"/>
    <n v="0.1426"/>
    <n v="0.1426"/>
    <n v="0"/>
    <n v="0"/>
    <n v="31"/>
    <n v="31"/>
    <n v="0"/>
    <n v="0"/>
    <n v="100"/>
    <s v="Consolidation"/>
    <s v="CO2e and Base Measure"/>
    <n v="100"/>
    <n v="100"/>
    <n v="0.14000000000000001"/>
    <m/>
    <m/>
    <m/>
    <m/>
    <m/>
    <m/>
    <m/>
    <m/>
    <m/>
    <m/>
    <m/>
    <m/>
    <m/>
    <s v="AUD"/>
    <s v="13634349Waste Recycled - Paper and Cardboard [t]"/>
    <n v="13634349"/>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0-12-01T00:00:00"/>
    <s v="FY21"/>
    <s v="t"/>
    <n v="1.2E-2"/>
    <n v="0"/>
    <n v="0"/>
    <n v="1.2E-2"/>
    <n v="1"/>
    <n v="0"/>
    <n v="0"/>
    <n v="1"/>
    <n v="100"/>
    <n v="0"/>
    <n v="0"/>
    <s v="Consolidation"/>
    <s v="CO2e and Base Measure"/>
    <n v="100"/>
    <n v="100"/>
    <n v="0.01"/>
    <m/>
    <m/>
    <m/>
    <m/>
    <m/>
    <n v="1.44E-2"/>
    <m/>
    <n v="1.44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1-01T00:00:00"/>
    <s v="FY21"/>
    <s v="t"/>
    <n v="0"/>
    <n v="0"/>
    <n v="1.24E-2"/>
    <n v="1.24E-2"/>
    <n v="0"/>
    <n v="0"/>
    <n v="31"/>
    <n v="31"/>
    <n v="0"/>
    <n v="0"/>
    <n v="100"/>
    <s v="Consolidation"/>
    <s v="CO2e and Base Measure"/>
    <n v="100"/>
    <n v="100"/>
    <n v="0.01"/>
    <m/>
    <m/>
    <m/>
    <m/>
    <m/>
    <n v="1.49E-2"/>
    <m/>
    <n v="1.49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2-01T00:00:00"/>
    <s v="FY21"/>
    <s v="t"/>
    <n v="0"/>
    <n v="0"/>
    <n v="1.12E-2"/>
    <n v="1.12E-2"/>
    <n v="0"/>
    <n v="0"/>
    <n v="28"/>
    <n v="28"/>
    <n v="0"/>
    <n v="0"/>
    <n v="100"/>
    <s v="Consolidation"/>
    <s v="CO2e and Base Measure"/>
    <n v="100"/>
    <n v="100"/>
    <n v="0.01"/>
    <m/>
    <m/>
    <m/>
    <m/>
    <m/>
    <n v="1.34E-2"/>
    <m/>
    <n v="1.34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3-01T00:00:00"/>
    <s v="FY21"/>
    <s v="t"/>
    <n v="0"/>
    <n v="0"/>
    <n v="1.24E-2"/>
    <n v="1.24E-2"/>
    <n v="0"/>
    <n v="0"/>
    <n v="31"/>
    <n v="31"/>
    <n v="0"/>
    <n v="0"/>
    <n v="100"/>
    <s v="Consolidation"/>
    <s v="CO2e and Base Measure"/>
    <n v="100"/>
    <n v="100"/>
    <n v="0.01"/>
    <m/>
    <m/>
    <m/>
    <m/>
    <m/>
    <n v="1.49E-2"/>
    <m/>
    <n v="1.49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4-01T00:00:00"/>
    <s v="FY21"/>
    <s v="t"/>
    <n v="0"/>
    <n v="0"/>
    <n v="1.2E-2"/>
    <n v="1.2E-2"/>
    <n v="0"/>
    <n v="0"/>
    <n v="30"/>
    <n v="30"/>
    <n v="0"/>
    <n v="0"/>
    <n v="100"/>
    <s v="Consolidation"/>
    <s v="CO2e and Base Measure"/>
    <n v="100"/>
    <n v="100"/>
    <n v="0.01"/>
    <m/>
    <m/>
    <m/>
    <m/>
    <m/>
    <n v="1.44E-2"/>
    <m/>
    <n v="1.44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5-01T00:00:00"/>
    <s v="FY21"/>
    <s v="t"/>
    <n v="0"/>
    <n v="0"/>
    <n v="1.24E-2"/>
    <n v="1.24E-2"/>
    <n v="0"/>
    <n v="0"/>
    <n v="31"/>
    <n v="31"/>
    <n v="0"/>
    <n v="0"/>
    <n v="100"/>
    <s v="Consolidation"/>
    <s v="CO2e and Base Measure"/>
    <n v="100"/>
    <n v="100"/>
    <n v="0.01"/>
    <m/>
    <m/>
    <m/>
    <m/>
    <m/>
    <n v="1.49E-2"/>
    <m/>
    <n v="1.49E-2"/>
    <m/>
    <m/>
    <m/>
    <m/>
    <m/>
    <s v="AUD"/>
    <s v="13633418Hazardous Waste [t]"/>
    <n v="1363341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0-12-01T00:00:00"/>
    <s v="FY21"/>
    <s v="t"/>
    <n v="0.38"/>
    <n v="0"/>
    <n v="0"/>
    <n v="0.38"/>
    <n v="1"/>
    <n v="0"/>
    <n v="0"/>
    <n v="1"/>
    <n v="100"/>
    <n v="0"/>
    <n v="0"/>
    <s v="Consolidation"/>
    <s v="CO2e and Base Measure"/>
    <n v="100"/>
    <n v="100"/>
    <n v="0.38"/>
    <m/>
    <m/>
    <m/>
    <m/>
    <m/>
    <n v="0.49399999999999999"/>
    <m/>
    <n v="0.49399999999999999"/>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1-01T00:00:00"/>
    <s v="FY21"/>
    <s v="t"/>
    <n v="0.79800000000000004"/>
    <n v="0"/>
    <n v="0"/>
    <n v="0.79800000000000004"/>
    <n v="4"/>
    <n v="0"/>
    <n v="0"/>
    <n v="4"/>
    <n v="100"/>
    <n v="0"/>
    <n v="0"/>
    <s v="Consolidation"/>
    <s v="CO2e and Base Measure"/>
    <n v="100"/>
    <n v="100"/>
    <n v="0.8"/>
    <m/>
    <m/>
    <m/>
    <m/>
    <m/>
    <n v="1.0374000000000001"/>
    <m/>
    <n v="1.0374000000000001"/>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2-01T00:00:00"/>
    <s v="FY21"/>
    <s v="t"/>
    <n v="0.4"/>
    <n v="0"/>
    <n v="0"/>
    <n v="0.4"/>
    <n v="3"/>
    <n v="0"/>
    <n v="0"/>
    <n v="3"/>
    <n v="100"/>
    <n v="0"/>
    <n v="0"/>
    <s v="Consolidation"/>
    <s v="CO2e and Base Measure"/>
    <n v="100"/>
    <n v="100"/>
    <n v="0.4"/>
    <m/>
    <m/>
    <m/>
    <m/>
    <m/>
    <n v="0.52"/>
    <m/>
    <n v="0.52"/>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3-01T00:00:00"/>
    <s v="FY21"/>
    <s v="t"/>
    <n v="0.16"/>
    <n v="0.40500000000000003"/>
    <n v="0"/>
    <n v="0.56499999999999995"/>
    <n v="1"/>
    <n v="3"/>
    <n v="0"/>
    <n v="4"/>
    <n v="28.31"/>
    <n v="71.680000000000007"/>
    <n v="0"/>
    <s v="Consolidation"/>
    <s v="CO2e and Base Measure"/>
    <n v="100"/>
    <n v="100"/>
    <n v="0.56999999999999995"/>
    <m/>
    <m/>
    <m/>
    <m/>
    <m/>
    <n v="0.73450000000000004"/>
    <m/>
    <n v="0.73450000000000004"/>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4-01T00:00:00"/>
    <s v="FY21"/>
    <s v="t"/>
    <n v="0"/>
    <n v="0"/>
    <n v="0.53700000000000003"/>
    <n v="0.53700000000000003"/>
    <n v="0"/>
    <n v="0"/>
    <n v="30"/>
    <n v="30"/>
    <n v="0"/>
    <n v="0"/>
    <n v="100"/>
    <s v="Consolidation"/>
    <s v="CO2e and Base Measure"/>
    <n v="100"/>
    <n v="100"/>
    <n v="0.54"/>
    <m/>
    <m/>
    <m/>
    <m/>
    <m/>
    <n v="0.69810000000000005"/>
    <m/>
    <n v="0.69810000000000005"/>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5-01T00:00:00"/>
    <s v="FY21"/>
    <s v="t"/>
    <n v="0"/>
    <n v="0"/>
    <n v="0.55489999999999995"/>
    <n v="0.55489999999999995"/>
    <n v="0"/>
    <n v="0"/>
    <n v="31"/>
    <n v="31"/>
    <n v="0"/>
    <n v="0"/>
    <n v="100"/>
    <s v="Consolidation"/>
    <s v="CO2e and Base Measure"/>
    <n v="100"/>
    <n v="100"/>
    <n v="0.55000000000000004"/>
    <m/>
    <m/>
    <m/>
    <m/>
    <m/>
    <n v="0.72140000000000004"/>
    <m/>
    <n v="0.72140000000000004"/>
    <m/>
    <m/>
    <m/>
    <m/>
    <m/>
    <s v="AUD"/>
    <s v="13634028Waste - General [t] - Scope 3"/>
    <n v="13634028"/>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0-12-01T00:00:00"/>
    <s v="FY21"/>
    <s v="t"/>
    <n v="5.7000000000000002E-2"/>
    <n v="0"/>
    <n v="0"/>
    <n v="5.7000000000000002E-2"/>
    <n v="1"/>
    <n v="0"/>
    <n v="0"/>
    <n v="1"/>
    <n v="100"/>
    <n v="0"/>
    <n v="0"/>
    <s v="Consolidation"/>
    <s v="CO2e and Base Measure"/>
    <n v="100"/>
    <n v="100"/>
    <n v="0.06"/>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1-01T00:00:00"/>
    <s v="FY21"/>
    <s v="t"/>
    <n v="2.8000000000000001E-2"/>
    <n v="7.4999999999999997E-2"/>
    <n v="0"/>
    <n v="0.10299999999999999"/>
    <n v="1"/>
    <n v="1"/>
    <n v="0"/>
    <n v="2"/>
    <n v="27.18"/>
    <n v="72.81"/>
    <n v="0"/>
    <s v="Consolidation"/>
    <s v="CO2e and Base Measure"/>
    <n v="100"/>
    <n v="100"/>
    <n v="0.1"/>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2-01T00:00:00"/>
    <s v="FY21"/>
    <s v="t"/>
    <n v="3.3000000000000002E-2"/>
    <n v="0"/>
    <n v="0"/>
    <n v="3.3000000000000002E-2"/>
    <n v="1"/>
    <n v="0"/>
    <n v="0"/>
    <n v="1"/>
    <n v="100"/>
    <n v="0"/>
    <n v="0"/>
    <s v="Consolidation"/>
    <s v="CO2e and Base Measure"/>
    <n v="100"/>
    <n v="100"/>
    <n v="0.03"/>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3-01T00:00:00"/>
    <s v="FY21"/>
    <s v="t"/>
    <n v="0.06"/>
    <n v="0"/>
    <n v="0"/>
    <n v="0.06"/>
    <n v="2"/>
    <n v="0"/>
    <n v="0"/>
    <n v="2"/>
    <n v="100"/>
    <n v="0"/>
    <n v="0"/>
    <s v="Consolidation"/>
    <s v="CO2e and Base Measure"/>
    <n v="100"/>
    <n v="100"/>
    <n v="0.06"/>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4-01T00:00:00"/>
    <s v="FY21"/>
    <s v="t"/>
    <n v="0"/>
    <n v="0"/>
    <n v="6.3E-2"/>
    <n v="6.3E-2"/>
    <n v="0"/>
    <n v="0"/>
    <n v="30"/>
    <n v="30"/>
    <n v="0"/>
    <n v="0"/>
    <n v="100"/>
    <s v="Consolidation"/>
    <s v="CO2e and Base Measure"/>
    <n v="100"/>
    <n v="100"/>
    <n v="0.06"/>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5-01T00:00:00"/>
    <s v="FY21"/>
    <s v="t"/>
    <n v="0"/>
    <n v="0"/>
    <n v="6.5100000000000005E-2"/>
    <n v="6.5100000000000005E-2"/>
    <n v="0"/>
    <n v="0"/>
    <n v="31"/>
    <n v="31"/>
    <n v="0"/>
    <n v="0"/>
    <n v="100"/>
    <s v="Consolidation"/>
    <s v="CO2e and Base Measure"/>
    <n v="100"/>
    <n v="100"/>
    <n v="7.0000000000000007E-2"/>
    <m/>
    <m/>
    <m/>
    <m/>
    <m/>
    <m/>
    <m/>
    <m/>
    <m/>
    <m/>
    <m/>
    <m/>
    <m/>
    <s v="AUD"/>
    <s v="13634029Waste Recycled - Paper and Cardboard [t]"/>
    <n v="13634029"/>
  </r>
  <r>
    <d v="2019-07-01T00:00:00"/>
    <d v="2021-06-30T00:00:00"/>
    <s v="Telstra"/>
    <s v="NETWORK"/>
    <s v="Network - InfraCo"/>
    <s v="VIC"/>
    <s v="Australia"/>
    <s v="Bendigo"/>
    <s v="BENDIGO EXCHANGE SHORT STREET"/>
    <n v="423030564300"/>
    <s v="Waste"/>
    <x v="1"/>
    <x v="4"/>
    <s v="Account"/>
    <s v="Remondis Asbestos"/>
    <m/>
    <s v="423030564300_WASBESTOS"/>
    <s v="ASBESTOS"/>
    <s v="Remondis"/>
    <m/>
    <m/>
    <d v="2020-12-01T00:00:00"/>
    <d v="2020-12-01T00:00:00"/>
    <s v="FY21"/>
    <s v="t"/>
    <n v="2.9999999999999997E-4"/>
    <n v="0"/>
    <n v="0"/>
    <n v="2.9999999999999997E-4"/>
    <n v="1"/>
    <n v="0"/>
    <n v="0"/>
    <n v="1"/>
    <n v="100"/>
    <n v="0"/>
    <n v="0"/>
    <s v="Consolidation"/>
    <s v="CO2e and Base Measure"/>
    <n v="100"/>
    <n v="100"/>
    <n v="0"/>
    <m/>
    <m/>
    <m/>
    <m/>
    <m/>
    <n v="4.0000000000000002E-4"/>
    <m/>
    <n v="4.0000000000000002E-4"/>
    <m/>
    <m/>
    <m/>
    <m/>
    <m/>
    <s v="AUD"/>
    <s v="13564836Waste - Construction and Demolition [t]"/>
    <n v="13564836"/>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07-01T00:00:00"/>
    <s v="FY21"/>
    <s v="t"/>
    <n v="0"/>
    <n v="0.315"/>
    <n v="0"/>
    <n v="0.315"/>
    <n v="0"/>
    <n v="5"/>
    <n v="0"/>
    <n v="5"/>
    <n v="0"/>
    <n v="100"/>
    <n v="0"/>
    <s v="Consolidation"/>
    <s v="CO2e and Base Measure"/>
    <n v="100"/>
    <n v="100"/>
    <n v="0.32"/>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08-01T00:00:00"/>
    <s v="FY21"/>
    <s v="t"/>
    <n v="0"/>
    <n v="0.252"/>
    <n v="0"/>
    <n v="0.252"/>
    <n v="0"/>
    <n v="4"/>
    <n v="0"/>
    <n v="4"/>
    <n v="0"/>
    <n v="100"/>
    <n v="0"/>
    <s v="Consolidation"/>
    <s v="CO2e and Base Measure"/>
    <n v="100"/>
    <n v="100"/>
    <n v="0.25"/>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09-01T00:00:00"/>
    <s v="FY21"/>
    <s v="t"/>
    <n v="0"/>
    <n v="0.252"/>
    <n v="0"/>
    <n v="0.252"/>
    <n v="0"/>
    <n v="4"/>
    <n v="0"/>
    <n v="4"/>
    <n v="0"/>
    <n v="100"/>
    <n v="0"/>
    <s v="Consolidation"/>
    <s v="CO2e and Base Measure"/>
    <n v="100"/>
    <n v="100"/>
    <n v="0.25"/>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10-01T00:00:00"/>
    <s v="FY21"/>
    <s v="t"/>
    <n v="0"/>
    <n v="0.315"/>
    <n v="0"/>
    <n v="0.315"/>
    <n v="0"/>
    <n v="5"/>
    <n v="0"/>
    <n v="5"/>
    <n v="0"/>
    <n v="100"/>
    <n v="0"/>
    <s v="Consolidation"/>
    <s v="CO2e and Base Measure"/>
    <n v="100"/>
    <n v="100"/>
    <n v="0.32"/>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11-01T00:00:00"/>
    <s v="FY21"/>
    <s v="t"/>
    <n v="0"/>
    <n v="0.252"/>
    <n v="0"/>
    <n v="0.252"/>
    <n v="0"/>
    <n v="4"/>
    <n v="0"/>
    <n v="4"/>
    <n v="0"/>
    <n v="100"/>
    <n v="0"/>
    <s v="Consolidation"/>
    <s v="CO2e and Base Measure"/>
    <n v="100"/>
    <n v="100"/>
    <n v="0.25"/>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12-01T00:00:00"/>
    <s v="FY21"/>
    <s v="t"/>
    <n v="0"/>
    <n v="0"/>
    <n v="8.9999999999999993E-3"/>
    <n v="8.9999999999999993E-3"/>
    <n v="0"/>
    <n v="0"/>
    <n v="1"/>
    <n v="1"/>
    <n v="0"/>
    <n v="0"/>
    <n v="100"/>
    <s v="Consolidation"/>
    <s v="CO2e and Base Measure"/>
    <n v="100"/>
    <n v="100"/>
    <n v="0.01"/>
    <m/>
    <m/>
    <m/>
    <m/>
    <m/>
    <m/>
    <n v="0"/>
    <m/>
    <m/>
    <m/>
    <m/>
    <m/>
    <m/>
    <s v="AUD"/>
    <s v="13564837Waste Recycled - Cardboard [t]"/>
    <n v="13564837"/>
  </r>
  <r>
    <d v="2019-07-01T00:00:00"/>
    <d v="2021-06-30T00:00:00"/>
    <s v="Telstra"/>
    <s v="NETWORK"/>
    <s v="Network - InfraCo"/>
    <s v="VIC"/>
    <s v="Australia"/>
    <s v="Bendigo"/>
    <s v="BENDIGO EXCHANGE SHORT STREET"/>
    <n v="423030564300"/>
    <s v="Recycled Waste"/>
    <x v="0"/>
    <x v="1"/>
    <s v="Account"/>
    <s v="Remondis Electrical Comp. (E-Waste)"/>
    <m/>
    <s v="423030564300_RELECTRIC"/>
    <s v="ELECTRICAL COMP. E-WASTE"/>
    <s v="Remondis"/>
    <m/>
    <m/>
    <d v="2020-12-01T00:00:00"/>
    <d v="2020-10-01T00:00:00"/>
    <s v="FY21"/>
    <s v="t"/>
    <n v="0"/>
    <n v="0.1368"/>
    <n v="0"/>
    <n v="0.1368"/>
    <n v="0"/>
    <n v="1"/>
    <n v="0"/>
    <n v="1"/>
    <n v="0"/>
    <n v="100"/>
    <n v="0"/>
    <s v="Consolidation"/>
    <s v="CO2e and Base Measure"/>
    <n v="100"/>
    <n v="100"/>
    <n v="0.14000000000000001"/>
    <m/>
    <m/>
    <m/>
    <m/>
    <m/>
    <m/>
    <m/>
    <m/>
    <m/>
    <m/>
    <m/>
    <m/>
    <m/>
    <s v="AUD"/>
    <s v="13564838Waste Recycled - E-waste [t]"/>
    <n v="13564838"/>
  </r>
  <r>
    <d v="2019-07-01T00:00:00"/>
    <d v="2021-06-30T00:00:00"/>
    <s v="Telstra"/>
    <s v="NETWORK"/>
    <s v="Network - InfraCo"/>
    <s v="VIC"/>
    <s v="Australia"/>
    <s v="Bendigo"/>
    <s v="BENDIGO EXCHANGE SHORT STREET"/>
    <n v="423030564300"/>
    <s v="Recycled Waste"/>
    <x v="0"/>
    <x v="1"/>
    <s v="Account"/>
    <s v="Remondis Electrical Comp. (E-Waste)"/>
    <m/>
    <s v="423030564300_RELECTRIC"/>
    <s v="ELECTRICAL COMP. E-WASTE"/>
    <s v="Remondis"/>
    <m/>
    <m/>
    <d v="2020-12-01T00:00:00"/>
    <d v="2020-11-01T00:00:00"/>
    <s v="FY21"/>
    <s v="t"/>
    <n v="0"/>
    <n v="0.1368"/>
    <n v="0"/>
    <n v="0.1368"/>
    <n v="0"/>
    <n v="1"/>
    <n v="0"/>
    <n v="1"/>
    <n v="0"/>
    <n v="100"/>
    <n v="0"/>
    <s v="Consolidation"/>
    <s v="CO2e and Base Measure"/>
    <n v="100"/>
    <n v="100"/>
    <n v="0.14000000000000001"/>
    <m/>
    <m/>
    <m/>
    <m/>
    <m/>
    <m/>
    <m/>
    <m/>
    <m/>
    <m/>
    <m/>
    <m/>
    <m/>
    <s v="AUD"/>
    <s v="13564838Waste Recycled - E-waste [t]"/>
    <n v="13564838"/>
  </r>
  <r>
    <d v="2019-07-01T00:00:00"/>
    <d v="2021-06-30T00:00:00"/>
    <s v="Telstra"/>
    <s v="NETWORK"/>
    <s v="Network - InfraCo"/>
    <s v="VIC"/>
    <s v="Australia"/>
    <s v="Bendigo"/>
    <s v="BENDIGO EXCHANGE SHORT STREET"/>
    <n v="423030564300"/>
    <s v="Recycled Waste"/>
    <x v="0"/>
    <x v="1"/>
    <s v="Account"/>
    <s v="Remondis Electrical Comp. (E-Waste)"/>
    <m/>
    <s v="423030564300_RELECTRIC"/>
    <s v="ELECTRICAL COMP. E-WASTE"/>
    <s v="Remondis"/>
    <m/>
    <m/>
    <d v="2020-12-01T00:00:00"/>
    <d v="2020-12-01T00:00:00"/>
    <s v="FY21"/>
    <s v="t"/>
    <n v="0"/>
    <n v="0"/>
    <n v="4.5999999999999999E-3"/>
    <n v="4.5999999999999999E-3"/>
    <n v="0"/>
    <n v="0"/>
    <n v="1"/>
    <n v="1"/>
    <n v="0"/>
    <n v="0"/>
    <n v="100"/>
    <s v="Consolidation"/>
    <s v="CO2e and Base Measure"/>
    <n v="100"/>
    <n v="100"/>
    <n v="0"/>
    <m/>
    <m/>
    <m/>
    <m/>
    <m/>
    <m/>
    <m/>
    <m/>
    <m/>
    <m/>
    <m/>
    <m/>
    <m/>
    <s v="AUD"/>
    <s v="13564838Waste Recycled - E-waste [t]"/>
    <n v="13564838"/>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07-01T00:00:00"/>
    <s v="FY21"/>
    <s v="t"/>
    <n v="0"/>
    <n v="0.78"/>
    <n v="0"/>
    <n v="0.78"/>
    <n v="0"/>
    <n v="4"/>
    <n v="0"/>
    <n v="4"/>
    <n v="0"/>
    <n v="100"/>
    <n v="0"/>
    <s v="Consolidation"/>
    <s v="CO2e and Base Measure"/>
    <n v="100"/>
    <n v="100"/>
    <n v="0.78"/>
    <m/>
    <m/>
    <m/>
    <m/>
    <m/>
    <n v="1.014"/>
    <m/>
    <n v="1.014"/>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08-01T00:00:00"/>
    <s v="FY21"/>
    <s v="t"/>
    <n v="0"/>
    <n v="0.78"/>
    <n v="0"/>
    <n v="0.78"/>
    <n v="0"/>
    <n v="4"/>
    <n v="0"/>
    <n v="4"/>
    <n v="0"/>
    <n v="100"/>
    <n v="0"/>
    <s v="Consolidation"/>
    <s v="CO2e and Base Measure"/>
    <n v="100"/>
    <n v="100"/>
    <n v="0.78"/>
    <m/>
    <m/>
    <m/>
    <m/>
    <m/>
    <n v="1.014"/>
    <m/>
    <n v="1.014"/>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09-01T00:00:00"/>
    <s v="FY21"/>
    <s v="t"/>
    <n v="0"/>
    <n v="0.97499999999999998"/>
    <n v="0"/>
    <n v="0.97499999999999998"/>
    <n v="0"/>
    <n v="5"/>
    <n v="0"/>
    <n v="5"/>
    <n v="0"/>
    <n v="100"/>
    <n v="0"/>
    <s v="Consolidation"/>
    <s v="CO2e and Base Measure"/>
    <n v="100"/>
    <n v="100"/>
    <n v="0.98"/>
    <m/>
    <m/>
    <m/>
    <m/>
    <m/>
    <n v="1.2675000000000001"/>
    <m/>
    <n v="1.2675000000000001"/>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10-01T00:00:00"/>
    <s v="FY21"/>
    <s v="t"/>
    <n v="0"/>
    <n v="0.78"/>
    <n v="0"/>
    <n v="0.78"/>
    <n v="0"/>
    <n v="4"/>
    <n v="0"/>
    <n v="4"/>
    <n v="0"/>
    <n v="100"/>
    <n v="0"/>
    <s v="Consolidation"/>
    <s v="CO2e and Base Measure"/>
    <n v="100"/>
    <n v="100"/>
    <n v="0.78"/>
    <m/>
    <m/>
    <m/>
    <m/>
    <m/>
    <n v="1.014"/>
    <m/>
    <n v="1.014"/>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11-01T00:00:00"/>
    <s v="FY21"/>
    <s v="t"/>
    <n v="0"/>
    <n v="0.78"/>
    <n v="0"/>
    <n v="0.78"/>
    <n v="0"/>
    <n v="4"/>
    <n v="0"/>
    <n v="4"/>
    <n v="0"/>
    <n v="100"/>
    <n v="0"/>
    <s v="Consolidation"/>
    <s v="CO2e and Base Measure"/>
    <n v="100"/>
    <n v="100"/>
    <n v="0.78"/>
    <m/>
    <m/>
    <m/>
    <m/>
    <m/>
    <n v="1.014"/>
    <m/>
    <n v="1.014"/>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4840Waste - General [t] - Scope 3"/>
    <n v="13564840"/>
  </r>
  <r>
    <d v="2019-07-01T00:00:00"/>
    <d v="2021-06-30T00:00:00"/>
    <s v="Telstra"/>
    <s v="NETWORK"/>
    <s v="Network - InfraCo"/>
    <s v="VIC"/>
    <s v="Australia"/>
    <s v="Bendigo"/>
    <s v="BENDIGO EXCHANGE SHORT STREET"/>
    <n v="423030564300"/>
    <s v="Recycled Waste"/>
    <x v="0"/>
    <x v="3"/>
    <s v="Account"/>
    <s v="Remondis Commingled - Recycled"/>
    <m/>
    <s v="423030564300_RCOMINGLE"/>
    <s v="COMMINGLED - RECYCLED"/>
    <s v="Remondis"/>
    <m/>
    <m/>
    <d v="2020-10-01T00:00:00"/>
    <d v="2020-09-01T00:00:00"/>
    <s v="FY21"/>
    <s v="t"/>
    <n v="0"/>
    <n v="6.6000000000000003E-2"/>
    <n v="0"/>
    <n v="6.6000000000000003E-2"/>
    <n v="0"/>
    <n v="1"/>
    <n v="0"/>
    <n v="1"/>
    <n v="0"/>
    <n v="100"/>
    <n v="0"/>
    <s v="Consolidation"/>
    <s v="CO2e and Base Measure"/>
    <n v="100"/>
    <n v="100"/>
    <n v="7.0000000000000007E-2"/>
    <m/>
    <m/>
    <m/>
    <m/>
    <m/>
    <m/>
    <n v="0"/>
    <m/>
    <m/>
    <m/>
    <m/>
    <m/>
    <m/>
    <s v="AUD"/>
    <s v="13576213Waste Recycled - Commingled [t]"/>
    <n v="13576213"/>
  </r>
  <r>
    <d v="2019-07-01T00:00:00"/>
    <d v="2021-06-30T00:00:00"/>
    <s v="Telstra"/>
    <s v="NETWORK"/>
    <s v="Network - InfraCo"/>
    <s v="VIC"/>
    <s v="Australia"/>
    <s v="Bendigo"/>
    <s v="BENDIGO EXCHANGE SHORT STREET"/>
    <n v="423030564300"/>
    <s v="Recycled Waste"/>
    <x v="0"/>
    <x v="3"/>
    <s v="Account"/>
    <s v="Remondis Commingled - Recycled"/>
    <m/>
    <s v="423030564300_RCOMINGLE"/>
    <s v="COMMINGLED - RECYCLED"/>
    <s v="Remondis"/>
    <m/>
    <m/>
    <d v="2020-10-01T00:00:00"/>
    <d v="2020-10-01T00:00:00"/>
    <s v="FY21"/>
    <s v="t"/>
    <n v="0"/>
    <n v="0"/>
    <n v="2.3E-3"/>
    <n v="2.3E-3"/>
    <n v="0"/>
    <n v="0"/>
    <n v="1"/>
    <n v="1"/>
    <n v="0"/>
    <n v="0"/>
    <n v="100"/>
    <s v="Consolidation"/>
    <s v="CO2e and Base Measure"/>
    <n v="100"/>
    <n v="100"/>
    <n v="0"/>
    <m/>
    <m/>
    <m/>
    <m/>
    <m/>
    <m/>
    <n v="0"/>
    <m/>
    <m/>
    <m/>
    <m/>
    <m/>
    <m/>
    <s v="AUD"/>
    <s v="13576213Waste Recycled - Commingled [t]"/>
    <n v="13576213"/>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08-01T00:00:00"/>
    <s v="FY21"/>
    <s v="t"/>
    <n v="0"/>
    <n v="0.189"/>
    <n v="0"/>
    <n v="0.189"/>
    <n v="0"/>
    <n v="2"/>
    <n v="0"/>
    <n v="2"/>
    <n v="0"/>
    <n v="100"/>
    <n v="0"/>
    <s v="Consolidation"/>
    <s v="CO2e and Base Measure"/>
    <n v="100"/>
    <n v="100"/>
    <n v="0.19"/>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842Waste Recycled - Cardboard [t]"/>
    <n v="13564842"/>
  </r>
  <r>
    <d v="2019-07-01T00:00:00"/>
    <d v="2021-06-30T00:00:00"/>
    <s v="Telstra"/>
    <s v="NON-NETWORK"/>
    <s v="NON-NETWORK"/>
    <s v="VIC"/>
    <s v="Australia"/>
    <s v="Bendigo"/>
    <s v="BENDIGO TOC"/>
    <n v="423030564800"/>
    <s v="Recycled Waste"/>
    <x v="0"/>
    <x v="5"/>
    <s v="Account"/>
    <s v="Remondis Concrete - Recycled"/>
    <m/>
    <s v="423030564800_RCONCRETR"/>
    <s v="CONCRETE - RECYCLED"/>
    <s v="Remondis"/>
    <m/>
    <m/>
    <d v="2021-01-01T00:00:00"/>
    <d v="2020-09-01T00:00:00"/>
    <s v="FY21"/>
    <s v="t"/>
    <n v="0.1"/>
    <n v="0"/>
    <n v="0"/>
    <n v="0.1"/>
    <n v="1"/>
    <n v="0"/>
    <n v="0"/>
    <n v="1"/>
    <n v="100"/>
    <n v="0"/>
    <n v="0"/>
    <s v="Consolidation"/>
    <s v="CO2e and Base Measure"/>
    <n v="100"/>
    <n v="100"/>
    <n v="0.1"/>
    <m/>
    <m/>
    <m/>
    <m/>
    <m/>
    <m/>
    <m/>
    <m/>
    <m/>
    <m/>
    <m/>
    <m/>
    <m/>
    <s v="AUD"/>
    <s v="13564843Waste Recycled - Construction and Demolition [t]"/>
    <n v="13564843"/>
  </r>
  <r>
    <d v="2019-07-01T00:00:00"/>
    <d v="2021-06-30T00:00:00"/>
    <s v="Telstra"/>
    <s v="NON-NETWORK"/>
    <s v="NON-NETWORK"/>
    <s v="VIC"/>
    <s v="Australia"/>
    <s v="Bendigo"/>
    <s v="BENDIGO TOC"/>
    <n v="423030564800"/>
    <s v="Recycled Waste"/>
    <x v="0"/>
    <x v="5"/>
    <s v="Account"/>
    <s v="Remondis Concrete - Recycled"/>
    <m/>
    <s v="423030564800_RCONCRETR"/>
    <s v="CONCRETE - RECYCLED"/>
    <s v="Remondis"/>
    <m/>
    <m/>
    <d v="2021-01-01T00:00:00"/>
    <d v="2020-12-01T00:00:00"/>
    <s v="FY21"/>
    <s v="t"/>
    <n v="0"/>
    <n v="3.46"/>
    <n v="0"/>
    <n v="3.46"/>
    <n v="0"/>
    <n v="1"/>
    <n v="0"/>
    <n v="1"/>
    <n v="0"/>
    <n v="100"/>
    <n v="0"/>
    <s v="Consolidation"/>
    <s v="CO2e and Base Measure"/>
    <n v="100"/>
    <n v="100"/>
    <n v="3.46"/>
    <m/>
    <m/>
    <m/>
    <m/>
    <m/>
    <m/>
    <m/>
    <m/>
    <m/>
    <m/>
    <m/>
    <m/>
    <m/>
    <s v="AUD"/>
    <s v="13564843Waste Recycled - Construction and Demolition [t]"/>
    <n v="13564843"/>
  </r>
  <r>
    <d v="2019-07-01T00:00:00"/>
    <d v="2021-06-30T00:00:00"/>
    <s v="Telstra"/>
    <s v="NON-NETWORK"/>
    <s v="NON-NETWORK"/>
    <s v="VIC"/>
    <s v="Australia"/>
    <s v="Bendigo"/>
    <s v="BENDIGO TOC"/>
    <n v="423030564800"/>
    <s v="Recycled Waste"/>
    <x v="0"/>
    <x v="5"/>
    <s v="Account"/>
    <s v="Remondis Concrete - Recycled"/>
    <m/>
    <s v="423030564800_RCONCRETR"/>
    <s v="CONCRETE - RECYCLED"/>
    <s v="Remondis"/>
    <m/>
    <m/>
    <d v="2021-01-01T00:00:00"/>
    <d v="2021-01-01T00:00:00"/>
    <s v="FY21"/>
    <s v="t"/>
    <n v="0"/>
    <n v="0"/>
    <n v="2.9399999999999999E-2"/>
    <n v="2.9399999999999999E-2"/>
    <n v="0"/>
    <n v="0"/>
    <n v="1"/>
    <n v="1"/>
    <n v="0"/>
    <n v="0"/>
    <n v="100"/>
    <s v="Consolidation"/>
    <s v="CO2e and Base Measure"/>
    <n v="100"/>
    <n v="100"/>
    <n v="0.03"/>
    <m/>
    <m/>
    <m/>
    <m/>
    <m/>
    <m/>
    <m/>
    <m/>
    <m/>
    <m/>
    <m/>
    <m/>
    <m/>
    <s v="AUD"/>
    <s v="13564843Waste Recycled - Construction and Demolition [t]"/>
    <n v="13564843"/>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07-01T00:00:00"/>
    <s v="FY21"/>
    <s v="t"/>
    <n v="0"/>
    <n v="0.58499999999999996"/>
    <n v="0"/>
    <n v="0.58499999999999996"/>
    <n v="0"/>
    <n v="2"/>
    <n v="0"/>
    <n v="2"/>
    <n v="0"/>
    <n v="100"/>
    <n v="0"/>
    <s v="Consolidation"/>
    <s v="CO2e and Base Measure"/>
    <n v="100"/>
    <n v="100"/>
    <n v="0.59"/>
    <m/>
    <m/>
    <m/>
    <m/>
    <m/>
    <n v="0.76049999999999995"/>
    <m/>
    <n v="0.76049999999999995"/>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09-01T00:00:00"/>
    <s v="FY21"/>
    <s v="t"/>
    <n v="0"/>
    <n v="0.58499999999999996"/>
    <n v="0"/>
    <n v="0.58499999999999996"/>
    <n v="0"/>
    <n v="2"/>
    <n v="0"/>
    <n v="2"/>
    <n v="0"/>
    <n v="100"/>
    <n v="0"/>
    <s v="Consolidation"/>
    <s v="CO2e and Base Measure"/>
    <n v="100"/>
    <n v="100"/>
    <n v="0.59"/>
    <m/>
    <m/>
    <m/>
    <m/>
    <m/>
    <n v="0.76049999999999995"/>
    <m/>
    <n v="0.76049999999999995"/>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11-01T00:00:00"/>
    <s v="FY21"/>
    <s v="t"/>
    <n v="0"/>
    <n v="0.78"/>
    <n v="0"/>
    <n v="0.78"/>
    <n v="0"/>
    <n v="2"/>
    <n v="0"/>
    <n v="2"/>
    <n v="0"/>
    <n v="100"/>
    <n v="0"/>
    <s v="Consolidation"/>
    <s v="CO2e and Base Measure"/>
    <n v="100"/>
    <n v="100"/>
    <n v="0.78"/>
    <m/>
    <m/>
    <m/>
    <m/>
    <m/>
    <n v="1.014"/>
    <m/>
    <n v="1.014"/>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12-01T00:00:00"/>
    <s v="FY21"/>
    <s v="t"/>
    <n v="0"/>
    <n v="0"/>
    <n v="1.8200000000000001E-2"/>
    <n v="1.8200000000000001E-2"/>
    <n v="0"/>
    <n v="0"/>
    <n v="1"/>
    <n v="1"/>
    <n v="0"/>
    <n v="0"/>
    <n v="100"/>
    <s v="Consolidation"/>
    <s v="CO2e and Base Measure"/>
    <n v="100"/>
    <n v="100"/>
    <n v="0.02"/>
    <m/>
    <m/>
    <m/>
    <m/>
    <m/>
    <n v="2.3699999999999999E-2"/>
    <m/>
    <n v="2.3699999999999999E-2"/>
    <m/>
    <m/>
    <m/>
    <m/>
    <m/>
    <s v="AUD"/>
    <s v="13564844Waste - General [t] - Scope 3"/>
    <n v="13564844"/>
  </r>
  <r>
    <d v="2019-07-01T00:00:00"/>
    <d v="2021-06-30T00:00:00"/>
    <s v="Telstra"/>
    <s v="NON-NETWORK"/>
    <s v="NON-NETWORK"/>
    <s v="VIC"/>
    <s v="Australia"/>
    <s v="Bendigo"/>
    <s v="BENDIGO TOC"/>
    <n v="423030564800"/>
    <s v="Recycled Waste"/>
    <x v="0"/>
    <x v="5"/>
    <s v="Account"/>
    <s v="Remondis Metal - Mixed All"/>
    <m/>
    <s v="423030564800_RMETMIXED"/>
    <s v="METAL - MIXED ALL"/>
    <s v="Remondis"/>
    <m/>
    <m/>
    <d v="2021-01-01T00:00:00"/>
    <d v="2020-09-01T00:00:00"/>
    <s v="FY21"/>
    <s v="t"/>
    <n v="0.53300000000000003"/>
    <n v="0"/>
    <n v="0"/>
    <n v="0.53300000000000003"/>
    <n v="1"/>
    <n v="0"/>
    <n v="0"/>
    <n v="1"/>
    <n v="100"/>
    <n v="0"/>
    <n v="0"/>
    <s v="Consolidation"/>
    <s v="CO2e and Base Measure"/>
    <n v="100"/>
    <n v="100"/>
    <n v="0.53"/>
    <m/>
    <m/>
    <m/>
    <m/>
    <m/>
    <m/>
    <m/>
    <m/>
    <m/>
    <m/>
    <m/>
    <m/>
    <m/>
    <s v="AUD"/>
    <s v="13564845Waste Recycled - Construction and Demolition [t]"/>
    <n v="13564845"/>
  </r>
  <r>
    <d v="2019-07-01T00:00:00"/>
    <d v="2021-06-30T00:00:00"/>
    <s v="Telstra"/>
    <s v="NON-NETWORK"/>
    <s v="NON-NETWORK"/>
    <s v="VIC"/>
    <s v="Australia"/>
    <s v="Bendigo"/>
    <s v="BENDIGO TOC"/>
    <n v="423030564800"/>
    <s v="Recycled Waste"/>
    <x v="0"/>
    <x v="5"/>
    <s v="Account"/>
    <s v="Remondis Metal - Mixed All"/>
    <m/>
    <s v="423030564800_RMETMIXED"/>
    <s v="METAL - MIXED ALL"/>
    <s v="Remondis"/>
    <m/>
    <m/>
    <d v="2021-01-01T00:00:00"/>
    <d v="2020-11-01T00:00:00"/>
    <s v="FY21"/>
    <s v="t"/>
    <n v="0.48099999999999998"/>
    <n v="0"/>
    <n v="0"/>
    <n v="0.48099999999999998"/>
    <n v="1"/>
    <n v="0"/>
    <n v="0"/>
    <n v="1"/>
    <n v="100"/>
    <n v="0"/>
    <n v="0"/>
    <s v="Consolidation"/>
    <s v="CO2e and Base Measure"/>
    <n v="100"/>
    <n v="100"/>
    <n v="0.48"/>
    <m/>
    <m/>
    <m/>
    <m/>
    <m/>
    <m/>
    <m/>
    <m/>
    <m/>
    <m/>
    <m/>
    <m/>
    <m/>
    <s v="AUD"/>
    <s v="13564845Waste Recycled - Construction and Demolition [t]"/>
    <n v="13564845"/>
  </r>
  <r>
    <d v="2019-07-01T00:00:00"/>
    <d v="2021-06-30T00:00:00"/>
    <s v="Telstra"/>
    <s v="NON-NETWORK"/>
    <s v="NON-NETWORK"/>
    <s v="VIC"/>
    <s v="Australia"/>
    <s v="Bendigo"/>
    <s v="BENDIGO TOC"/>
    <n v="423030564800"/>
    <s v="Recycled Waste"/>
    <x v="0"/>
    <x v="5"/>
    <s v="Account"/>
    <s v="Remondis Metal - Mixed All"/>
    <m/>
    <s v="4230305648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4845Waste Recycled - Construction and Demolition [t]"/>
    <n v="13564845"/>
  </r>
  <r>
    <d v="2019-07-01T00:00:00"/>
    <d v="2021-06-30T00:00:00"/>
    <s v="Telstra"/>
    <s v="NON-NETWORK"/>
    <s v="NON-NETWORK"/>
    <s v="VIC"/>
    <s v="Australia"/>
    <s v="Bendigo"/>
    <s v="BENDIGO TOC"/>
    <n v="423030564800"/>
    <s v="Recycled Waste"/>
    <x v="0"/>
    <x v="5"/>
    <s v="Account"/>
    <s v="Remondis Metal - Mixed All"/>
    <m/>
    <s v="423030564800_RMETMIXED"/>
    <s v="METAL - MIXED ALL"/>
    <s v="Remondis"/>
    <m/>
    <m/>
    <d v="2021-01-01T00:00:00"/>
    <d v="2021-01-01T00:00:00"/>
    <s v="FY21"/>
    <s v="t"/>
    <n v="0"/>
    <n v="0"/>
    <n v="1.2699999999999999E-2"/>
    <n v="1.2699999999999999E-2"/>
    <n v="0"/>
    <n v="0"/>
    <n v="1"/>
    <n v="1"/>
    <n v="0"/>
    <n v="0"/>
    <n v="100"/>
    <s v="Consolidation"/>
    <s v="CO2e and Base Measure"/>
    <n v="100"/>
    <n v="100"/>
    <n v="0.01"/>
    <m/>
    <m/>
    <m/>
    <m/>
    <m/>
    <m/>
    <m/>
    <m/>
    <m/>
    <m/>
    <m/>
    <m/>
    <m/>
    <s v="AUD"/>
    <s v="13564845Waste Recycled - Construction and Demolition [t]"/>
    <n v="13564845"/>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0-12-01T00:00:00"/>
    <s v="FY21"/>
    <s v="t"/>
    <n v="9.7000000000000003E-2"/>
    <n v="0"/>
    <n v="0"/>
    <n v="9.7000000000000003E-2"/>
    <n v="2"/>
    <n v="0"/>
    <n v="0"/>
    <n v="2"/>
    <n v="100"/>
    <n v="0"/>
    <n v="0"/>
    <s v="Consolidation"/>
    <s v="CO2e and Base Measure"/>
    <n v="100"/>
    <n v="100"/>
    <n v="0.1"/>
    <m/>
    <m/>
    <m/>
    <m/>
    <m/>
    <n v="0.12609999999999999"/>
    <m/>
    <n v="0.12609999999999999"/>
    <m/>
    <m/>
    <m/>
    <m/>
    <m/>
    <s v="AUD"/>
    <s v="13634030Waste - General [t] - Scope 3"/>
    <n v="13634030"/>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0Waste - General [t] - Scope 3"/>
    <n v="13634030"/>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1-03-01T00:00:00"/>
    <s v="FY21"/>
    <s v="t"/>
    <n v="3.875"/>
    <n v="0"/>
    <n v="0"/>
    <n v="3.875"/>
    <n v="3"/>
    <n v="0"/>
    <n v="0"/>
    <n v="3"/>
    <n v="100"/>
    <n v="0"/>
    <n v="0"/>
    <s v="Consolidation"/>
    <s v="CO2e and Base Measure"/>
    <n v="100"/>
    <n v="100"/>
    <n v="3.88"/>
    <m/>
    <m/>
    <m/>
    <m/>
    <m/>
    <n v="5.0374999999999996"/>
    <m/>
    <n v="5.0374999999999996"/>
    <m/>
    <m/>
    <m/>
    <m/>
    <m/>
    <s v="AUD"/>
    <s v="13634030Waste - General [t] - Scope 3"/>
    <n v="13634030"/>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1-04-01T00:00:00"/>
    <s v="FY21"/>
    <s v="t"/>
    <n v="0"/>
    <n v="0"/>
    <n v="1.0109999999999999"/>
    <n v="1.0109999999999999"/>
    <n v="0"/>
    <n v="0"/>
    <n v="30"/>
    <n v="30"/>
    <n v="0"/>
    <n v="0"/>
    <n v="100"/>
    <s v="Consolidation"/>
    <s v="CO2e and Base Measure"/>
    <n v="100"/>
    <n v="100"/>
    <n v="1.01"/>
    <m/>
    <m/>
    <m/>
    <m/>
    <m/>
    <n v="1.3143"/>
    <m/>
    <n v="1.3143"/>
    <m/>
    <m/>
    <m/>
    <m/>
    <m/>
    <s v="AUD"/>
    <s v="13634030Waste - General [t] - Scope 3"/>
    <n v="13634030"/>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1-05-01T00:00:00"/>
    <s v="FY21"/>
    <s v="t"/>
    <n v="0"/>
    <n v="0"/>
    <n v="1.0447"/>
    <n v="1.0447"/>
    <n v="0"/>
    <n v="0"/>
    <n v="31"/>
    <n v="31"/>
    <n v="0"/>
    <n v="0"/>
    <n v="100"/>
    <s v="Consolidation"/>
    <s v="CO2e and Base Measure"/>
    <n v="100"/>
    <n v="100"/>
    <n v="1.04"/>
    <m/>
    <m/>
    <m/>
    <m/>
    <m/>
    <n v="1.3581000000000001"/>
    <m/>
    <n v="1.3581000000000001"/>
    <m/>
    <m/>
    <m/>
    <m/>
    <m/>
    <s v="AUD"/>
    <s v="13634030Waste - General [t] - Scope 3"/>
    <n v="13634030"/>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07-01T00:00:00"/>
    <s v="FY21"/>
    <s v="t"/>
    <n v="0.08"/>
    <n v="0"/>
    <n v="0"/>
    <n v="0.08"/>
    <n v="2"/>
    <n v="0"/>
    <n v="0"/>
    <n v="2"/>
    <n v="100"/>
    <n v="0"/>
    <n v="0"/>
    <s v="Consolidation"/>
    <s v="CO2e and Base Measure"/>
    <n v="100"/>
    <n v="100"/>
    <n v="0.08"/>
    <m/>
    <m/>
    <m/>
    <m/>
    <m/>
    <n v="0.104"/>
    <m/>
    <n v="0.104"/>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08-01T00:00:00"/>
    <s v="FY21"/>
    <s v="t"/>
    <n v="0.22"/>
    <n v="0"/>
    <n v="0"/>
    <n v="0.22"/>
    <n v="2"/>
    <n v="0"/>
    <n v="0"/>
    <n v="2"/>
    <n v="100"/>
    <n v="0"/>
    <n v="0"/>
    <s v="Consolidation"/>
    <s v="CO2e and Base Measure"/>
    <n v="100"/>
    <n v="100"/>
    <n v="0.22"/>
    <m/>
    <m/>
    <m/>
    <m/>
    <m/>
    <n v="0.28599999999999998"/>
    <m/>
    <n v="0.28599999999999998"/>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09-01T00:00:00"/>
    <s v="FY21"/>
    <s v="t"/>
    <n v="0.155"/>
    <n v="0"/>
    <n v="0"/>
    <n v="0.155"/>
    <n v="3"/>
    <n v="0"/>
    <n v="0"/>
    <n v="3"/>
    <n v="100"/>
    <n v="0"/>
    <n v="0"/>
    <s v="Consolidation"/>
    <s v="CO2e and Base Measure"/>
    <n v="100"/>
    <n v="100"/>
    <n v="0.16"/>
    <m/>
    <m/>
    <m/>
    <m/>
    <m/>
    <n v="0.20150000000000001"/>
    <m/>
    <n v="0.20150000000000001"/>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10-01T00:00:00"/>
    <s v="FY21"/>
    <s v="t"/>
    <n v="0.14000000000000001"/>
    <n v="0"/>
    <n v="0"/>
    <n v="0.14000000000000001"/>
    <n v="2"/>
    <n v="0"/>
    <n v="0"/>
    <n v="2"/>
    <n v="100"/>
    <n v="0"/>
    <n v="0"/>
    <s v="Consolidation"/>
    <s v="CO2e and Base Measure"/>
    <n v="100"/>
    <n v="100"/>
    <n v="0.14000000000000001"/>
    <m/>
    <m/>
    <m/>
    <m/>
    <m/>
    <n v="0.182"/>
    <m/>
    <n v="0.182"/>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11-01T00:00:00"/>
    <s v="FY21"/>
    <s v="t"/>
    <n v="6.5000000000000002E-2"/>
    <n v="0"/>
    <n v="0"/>
    <n v="6.5000000000000002E-2"/>
    <n v="2"/>
    <n v="0"/>
    <n v="0"/>
    <n v="2"/>
    <n v="100"/>
    <n v="0"/>
    <n v="0"/>
    <s v="Consolidation"/>
    <s v="CO2e and Base Measure"/>
    <n v="100"/>
    <n v="100"/>
    <n v="7.0000000000000007E-2"/>
    <m/>
    <m/>
    <m/>
    <m/>
    <m/>
    <n v="8.4500000000000006E-2"/>
    <m/>
    <n v="8.4500000000000006E-2"/>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12-01T00:00:00"/>
    <s v="FY21"/>
    <s v="t"/>
    <n v="9.4E-2"/>
    <n v="0"/>
    <n v="0"/>
    <n v="9.4E-2"/>
    <n v="1"/>
    <n v="0"/>
    <n v="0"/>
    <n v="1"/>
    <n v="100"/>
    <n v="0"/>
    <n v="0"/>
    <s v="Consolidation"/>
    <s v="CO2e and Base Measure"/>
    <n v="100"/>
    <n v="100"/>
    <n v="0.09"/>
    <m/>
    <m/>
    <m/>
    <m/>
    <m/>
    <n v="0.1222"/>
    <m/>
    <n v="0.1222"/>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1-01-01T00:00:00"/>
    <s v="FY21"/>
    <s v="t"/>
    <n v="0"/>
    <n v="0"/>
    <n v="4.0000000000000001E-3"/>
    <n v="4.0000000000000001E-3"/>
    <n v="0"/>
    <n v="0"/>
    <n v="1"/>
    <n v="1"/>
    <n v="0"/>
    <n v="0"/>
    <n v="100"/>
    <s v="Consolidation"/>
    <s v="CO2e and Base Measure"/>
    <n v="100"/>
    <n v="100"/>
    <n v="0"/>
    <m/>
    <m/>
    <m/>
    <m/>
    <m/>
    <n v="5.1999999999999998E-3"/>
    <m/>
    <n v="5.1999999999999998E-3"/>
    <m/>
    <m/>
    <m/>
    <m/>
    <m/>
    <s v="AUD"/>
    <s v="13564574Waste - General [t] - Scope 3"/>
    <n v="13564574"/>
  </r>
  <r>
    <d v="2019-07-01T00:00:00"/>
    <d v="2021-06-30T00:00:00"/>
    <s v="Telstra"/>
    <s v="NETWORK"/>
    <s v="Network - InfraCo"/>
    <s v="NT"/>
    <s v="Australia"/>
    <s v="Ludmilla"/>
    <s v="BERRIMAH EXCHANGE"/>
    <n v="423030479500"/>
    <s v="Waste"/>
    <x v="1"/>
    <x v="4"/>
    <s v="Account"/>
    <s v="Remondis Asbestos"/>
    <m/>
    <s v="423030479500_WASBESTOS"/>
    <s v="ASBESTOS"/>
    <s v="Remondis"/>
    <m/>
    <m/>
    <d v="2021-01-01T00:00:00"/>
    <d v="2020-08-01T00:00:00"/>
    <s v="FY21"/>
    <s v="t"/>
    <n v="0.98"/>
    <n v="0"/>
    <n v="0"/>
    <n v="0.98"/>
    <n v="1"/>
    <n v="0"/>
    <n v="0"/>
    <n v="1"/>
    <n v="100"/>
    <n v="0"/>
    <n v="0"/>
    <s v="Consolidation"/>
    <s v="CO2e and Base Measure"/>
    <n v="100"/>
    <n v="100"/>
    <n v="0.98"/>
    <m/>
    <m/>
    <m/>
    <m/>
    <m/>
    <n v="1.1759999999999999"/>
    <m/>
    <n v="1.1759999999999999"/>
    <m/>
    <m/>
    <m/>
    <m/>
    <m/>
    <s v="AUD"/>
    <s v="13564756Waste - Construction and Demolition [t]"/>
    <n v="13564756"/>
  </r>
  <r>
    <d v="2019-07-01T00:00:00"/>
    <d v="2021-06-30T00:00:00"/>
    <s v="Telstra"/>
    <s v="NETWORK"/>
    <s v="Network - InfraCo"/>
    <s v="NT"/>
    <s v="Australia"/>
    <s v="Ludmilla"/>
    <s v="BERRIMAH EXCHANGE"/>
    <n v="423030479500"/>
    <s v="Waste"/>
    <x v="1"/>
    <x v="4"/>
    <s v="Account"/>
    <s v="Remondis Asbestos"/>
    <m/>
    <s v="423030479500_WASBESTOS"/>
    <s v="ASBESTOS"/>
    <s v="Remondis"/>
    <m/>
    <m/>
    <d v="2021-01-01T00:00:00"/>
    <d v="2020-10-01T00:00:00"/>
    <s v="FY21"/>
    <s v="t"/>
    <n v="1.18"/>
    <n v="0"/>
    <n v="0"/>
    <n v="1.18"/>
    <n v="1"/>
    <n v="0"/>
    <n v="0"/>
    <n v="1"/>
    <n v="100"/>
    <n v="0"/>
    <n v="0"/>
    <s v="Consolidation"/>
    <s v="CO2e and Base Measure"/>
    <n v="100"/>
    <n v="100"/>
    <n v="1.18"/>
    <m/>
    <m/>
    <m/>
    <m/>
    <m/>
    <n v="1.4159999999999999"/>
    <m/>
    <n v="1.4159999999999999"/>
    <m/>
    <m/>
    <m/>
    <m/>
    <m/>
    <s v="AUD"/>
    <s v="13564756Waste - Construction and Demolition [t]"/>
    <n v="13564756"/>
  </r>
  <r>
    <d v="2019-07-01T00:00:00"/>
    <d v="2021-06-30T00:00:00"/>
    <s v="Telstra"/>
    <s v="NETWORK"/>
    <s v="Network - InfraCo"/>
    <s v="NT"/>
    <s v="Australia"/>
    <s v="Ludmilla"/>
    <s v="BERRIMAH EXCHANGE"/>
    <n v="423030479500"/>
    <s v="Waste"/>
    <x v="1"/>
    <x v="4"/>
    <s v="Account"/>
    <s v="Remondis Asbestos"/>
    <m/>
    <s v="423030479500_WASBESTOS"/>
    <s v="ASBESTOS"/>
    <s v="Remondis"/>
    <m/>
    <m/>
    <d v="2021-01-01T00:00:00"/>
    <d v="2020-12-01T00:00:00"/>
    <s v="FY21"/>
    <s v="t"/>
    <n v="1.51"/>
    <n v="0"/>
    <n v="0"/>
    <n v="1.51"/>
    <n v="1"/>
    <n v="0"/>
    <n v="0"/>
    <n v="1"/>
    <n v="100"/>
    <n v="0"/>
    <n v="0"/>
    <s v="Consolidation"/>
    <s v="CO2e and Base Measure"/>
    <n v="100"/>
    <n v="100"/>
    <n v="1.51"/>
    <m/>
    <m/>
    <m/>
    <m/>
    <m/>
    <n v="1.8120000000000001"/>
    <m/>
    <n v="1.8120000000000001"/>
    <m/>
    <m/>
    <m/>
    <m/>
    <m/>
    <s v="AUD"/>
    <s v="13564756Waste - Construction and Demolition [t]"/>
    <n v="13564756"/>
  </r>
  <r>
    <d v="2019-07-01T00:00:00"/>
    <d v="2021-06-30T00:00:00"/>
    <s v="Telstra"/>
    <s v="NETWORK"/>
    <s v="Network - InfraCo"/>
    <s v="NT"/>
    <s v="Australia"/>
    <s v="Ludmilla"/>
    <s v="BERRIMAH EXCHANGE"/>
    <n v="423030479500"/>
    <s v="Waste"/>
    <x v="1"/>
    <x v="4"/>
    <s v="Account"/>
    <s v="Remondis Asbestos"/>
    <m/>
    <s v="423030479500_WASBESTOS"/>
    <s v="ASBESTOS"/>
    <s v="Remondis"/>
    <m/>
    <m/>
    <d v="2021-01-01T00:00:00"/>
    <d v="2021-01-01T00:00:00"/>
    <s v="FY21"/>
    <s v="t"/>
    <n v="0"/>
    <n v="0"/>
    <n v="2.8799999999999999E-2"/>
    <n v="2.8799999999999999E-2"/>
    <n v="0"/>
    <n v="0"/>
    <n v="1"/>
    <n v="1"/>
    <n v="0"/>
    <n v="0"/>
    <n v="100"/>
    <s v="Consolidation"/>
    <s v="CO2e and Base Measure"/>
    <n v="100"/>
    <n v="100"/>
    <n v="0.03"/>
    <m/>
    <m/>
    <m/>
    <m/>
    <m/>
    <n v="3.4599999999999999E-2"/>
    <m/>
    <n v="3.4599999999999999E-2"/>
    <m/>
    <m/>
    <m/>
    <m/>
    <m/>
    <s v="AUD"/>
    <s v="13564756Waste - Construction and Demolition [t]"/>
    <n v="13564756"/>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09-01T00:00:00"/>
    <s v="FY21"/>
    <s v="t"/>
    <n v="0"/>
    <n v="0.189"/>
    <n v="0"/>
    <n v="0.189"/>
    <n v="0"/>
    <n v="3"/>
    <n v="0"/>
    <n v="3"/>
    <n v="0"/>
    <n v="100"/>
    <n v="0"/>
    <s v="Consolidation"/>
    <s v="CO2e and Base Measure"/>
    <n v="100"/>
    <n v="100"/>
    <n v="0.19"/>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758Waste Recycled - Cardboard [t]"/>
    <n v="13564758"/>
  </r>
  <r>
    <d v="2019-07-01T00:00:00"/>
    <d v="2021-06-30T00:00:00"/>
    <s v="Telstra"/>
    <s v="NETWORK"/>
    <s v="Network - InfraCo"/>
    <s v="NT"/>
    <s v="Australia"/>
    <s v="Ludmilla"/>
    <s v="BERRIMAH EXCHANGE"/>
    <n v="423030479500"/>
    <s v="Recycled Waste"/>
    <x v="0"/>
    <x v="3"/>
    <s v="Account"/>
    <s v="Remondis Commingled - Recycled"/>
    <m/>
    <s v="423030479500_RCOMINGLE"/>
    <s v="COMMINGLED - RECYCLED"/>
    <s v="Remondis"/>
    <m/>
    <m/>
    <d v="2020-08-01T00:00:00"/>
    <d v="2020-07-01T00:00:00"/>
    <s v="FY21"/>
    <s v="t"/>
    <n v="0"/>
    <n v="9.6000000000000002E-2"/>
    <n v="0"/>
    <n v="9.6000000000000002E-2"/>
    <n v="0"/>
    <n v="1"/>
    <n v="0"/>
    <n v="1"/>
    <n v="0"/>
    <n v="100"/>
    <n v="0"/>
    <s v="Consolidation"/>
    <s v="CO2e and Base Measure"/>
    <n v="100"/>
    <n v="100"/>
    <n v="0.1"/>
    <m/>
    <m/>
    <m/>
    <m/>
    <m/>
    <m/>
    <n v="0"/>
    <m/>
    <m/>
    <m/>
    <m/>
    <m/>
    <m/>
    <s v="AUD"/>
    <s v="13564759Waste Recycled - Commingled [t]"/>
    <n v="13564759"/>
  </r>
  <r>
    <d v="2019-07-01T00:00:00"/>
    <d v="2021-06-30T00:00:00"/>
    <s v="Telstra"/>
    <s v="NETWORK"/>
    <s v="Network - InfraCo"/>
    <s v="NT"/>
    <s v="Australia"/>
    <s v="Ludmilla"/>
    <s v="BERRIMAH EXCHANGE"/>
    <n v="423030479500"/>
    <s v="Recycled Waste"/>
    <x v="0"/>
    <x v="3"/>
    <s v="Account"/>
    <s v="Remondis Commingled - Recycled"/>
    <m/>
    <s v="423030479500_RCOMINGLE"/>
    <s v="COMMINGLED - RECYCLED"/>
    <s v="Remondis"/>
    <m/>
    <m/>
    <d v="2020-08-01T00:00:00"/>
    <d v="2020-08-01T00:00:00"/>
    <s v="FY21"/>
    <s v="t"/>
    <n v="0"/>
    <n v="0"/>
    <n v="3.2000000000000002E-3"/>
    <n v="3.2000000000000002E-3"/>
    <n v="0"/>
    <n v="0"/>
    <n v="1"/>
    <n v="1"/>
    <n v="0"/>
    <n v="0"/>
    <n v="100"/>
    <s v="Consolidation"/>
    <s v="CO2e and Base Measure"/>
    <n v="100"/>
    <n v="100"/>
    <n v="0"/>
    <m/>
    <m/>
    <m/>
    <m/>
    <m/>
    <m/>
    <n v="0"/>
    <m/>
    <m/>
    <m/>
    <m/>
    <m/>
    <m/>
    <s v="AUD"/>
    <s v="13564759Waste Recycled - Commingled [t]"/>
    <n v="13564759"/>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07-01T00:00:00"/>
    <s v="FY21"/>
    <s v="t"/>
    <n v="0.56000000000000005"/>
    <n v="0.78"/>
    <n v="0"/>
    <n v="1.34"/>
    <n v="2"/>
    <n v="1"/>
    <n v="0"/>
    <n v="3"/>
    <n v="41.79"/>
    <n v="58.2"/>
    <n v="0"/>
    <s v="Consolidation"/>
    <s v="CO2e and Base Measure"/>
    <n v="100"/>
    <n v="100"/>
    <n v="1.34"/>
    <m/>
    <m/>
    <m/>
    <m/>
    <m/>
    <n v="1.742"/>
    <m/>
    <n v="1.742"/>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08-01T00:00:00"/>
    <s v="FY21"/>
    <s v="t"/>
    <n v="0"/>
    <n v="1.56"/>
    <n v="0"/>
    <n v="1.56"/>
    <n v="0"/>
    <n v="2"/>
    <n v="0"/>
    <n v="2"/>
    <n v="0"/>
    <n v="100"/>
    <n v="0"/>
    <s v="Consolidation"/>
    <s v="CO2e and Base Measure"/>
    <n v="100"/>
    <n v="100"/>
    <n v="1.56"/>
    <m/>
    <m/>
    <m/>
    <m/>
    <m/>
    <n v="2.028"/>
    <m/>
    <n v="2.028"/>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09-01T00:00:00"/>
    <s v="FY21"/>
    <s v="t"/>
    <n v="3.53"/>
    <n v="0"/>
    <n v="0"/>
    <n v="3.53"/>
    <n v="2"/>
    <n v="0"/>
    <n v="0"/>
    <n v="2"/>
    <n v="100"/>
    <n v="0"/>
    <n v="0"/>
    <s v="Consolidation"/>
    <s v="CO2e and Base Measure"/>
    <n v="100"/>
    <n v="100"/>
    <n v="3.53"/>
    <m/>
    <m/>
    <m/>
    <m/>
    <m/>
    <n v="4.5890000000000004"/>
    <m/>
    <n v="4.5890000000000004"/>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10-01T00:00:00"/>
    <s v="FY21"/>
    <s v="t"/>
    <n v="1.58"/>
    <n v="0"/>
    <n v="0"/>
    <n v="1.58"/>
    <n v="2"/>
    <n v="0"/>
    <n v="0"/>
    <n v="2"/>
    <n v="100"/>
    <n v="0"/>
    <n v="0"/>
    <s v="Consolidation"/>
    <s v="CO2e and Base Measure"/>
    <n v="100"/>
    <n v="100"/>
    <n v="1.58"/>
    <m/>
    <m/>
    <m/>
    <m/>
    <m/>
    <n v="2.0539999999999998"/>
    <m/>
    <n v="2.0539999999999998"/>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11-01T00:00:00"/>
    <s v="FY21"/>
    <s v="t"/>
    <n v="1.22"/>
    <n v="0"/>
    <n v="0"/>
    <n v="1.22"/>
    <n v="2"/>
    <n v="0"/>
    <n v="0"/>
    <n v="2"/>
    <n v="100"/>
    <n v="0"/>
    <n v="0"/>
    <s v="Consolidation"/>
    <s v="CO2e and Base Measure"/>
    <n v="100"/>
    <n v="100"/>
    <n v="1.22"/>
    <m/>
    <m/>
    <m/>
    <m/>
    <m/>
    <n v="1.5860000000000001"/>
    <m/>
    <n v="1.5860000000000001"/>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12-01T00:00:00"/>
    <s v="FY21"/>
    <s v="t"/>
    <n v="0"/>
    <n v="0"/>
    <n v="6.0900000000000003E-2"/>
    <n v="6.0900000000000003E-2"/>
    <n v="0"/>
    <n v="0"/>
    <n v="1"/>
    <n v="1"/>
    <n v="0"/>
    <n v="0"/>
    <n v="100"/>
    <s v="Consolidation"/>
    <s v="CO2e and Base Measure"/>
    <n v="100"/>
    <n v="100"/>
    <n v="0.06"/>
    <m/>
    <m/>
    <m/>
    <m/>
    <m/>
    <n v="7.9200000000000007E-2"/>
    <m/>
    <n v="7.9200000000000007E-2"/>
    <m/>
    <m/>
    <m/>
    <m/>
    <m/>
    <s v="AUD"/>
    <s v="13564761Waste - General [t] - Scope 3"/>
    <n v="13564761"/>
  </r>
  <r>
    <d v="2019-07-01T00:00:00"/>
    <d v="2021-06-30T00:00:00"/>
    <s v="Telstra"/>
    <s v="NETWORK"/>
    <s v="Network - InfraCo"/>
    <s v="NT"/>
    <s v="Australia"/>
    <s v="Ludmilla"/>
    <s v="BERRIMAH EXCHANGE"/>
    <n v="423030479500"/>
    <s v="Recycled Waste"/>
    <x v="0"/>
    <x v="1"/>
    <s v="Account"/>
    <s v="Remondis Metal - Copper"/>
    <m/>
    <s v="423030479500_RMETCOPPR"/>
    <s v="METAL - COPPER"/>
    <s v="Remondis"/>
    <m/>
    <m/>
    <d v="2021-01-01T00:00:00"/>
    <d v="2020-12-01T00:00:00"/>
    <s v="FY21"/>
    <s v="t"/>
    <n v="0.84099999999999997"/>
    <n v="0"/>
    <n v="0"/>
    <n v="0.84099999999999997"/>
    <n v="1"/>
    <n v="0"/>
    <n v="0"/>
    <n v="1"/>
    <n v="100"/>
    <n v="0"/>
    <n v="0"/>
    <s v="Consolidation"/>
    <s v="CO2e and Base Measure"/>
    <n v="100"/>
    <n v="100"/>
    <n v="0.84"/>
    <m/>
    <m/>
    <m/>
    <m/>
    <m/>
    <m/>
    <m/>
    <m/>
    <m/>
    <m/>
    <m/>
    <m/>
    <m/>
    <s v="AUD"/>
    <s v="13564762Waste Recycled - E-waste [t]"/>
    <n v="13564762"/>
  </r>
  <r>
    <d v="2019-07-01T00:00:00"/>
    <d v="2021-06-30T00:00:00"/>
    <s v="Telstra"/>
    <s v="NETWORK"/>
    <s v="Network - InfraCo"/>
    <s v="NT"/>
    <s v="Australia"/>
    <s v="Ludmilla"/>
    <s v="BERRIMAH EXCHANGE"/>
    <n v="423030479500"/>
    <s v="Recycled Waste"/>
    <x v="0"/>
    <x v="1"/>
    <s v="Account"/>
    <s v="Remondis Metal - Copper"/>
    <m/>
    <s v="423030479500_RMETCOPPR"/>
    <s v="METAL - COPPER"/>
    <s v="Remondis"/>
    <m/>
    <m/>
    <d v="2021-01-01T00:00:00"/>
    <d v="2021-01-01T00:00:00"/>
    <s v="FY21"/>
    <s v="t"/>
    <n v="0"/>
    <n v="0"/>
    <n v="2.8000000000000001E-2"/>
    <n v="2.8000000000000001E-2"/>
    <n v="0"/>
    <n v="0"/>
    <n v="1"/>
    <n v="1"/>
    <n v="0"/>
    <n v="0"/>
    <n v="100"/>
    <s v="Consolidation"/>
    <s v="CO2e and Base Measure"/>
    <n v="100"/>
    <n v="100"/>
    <n v="0.03"/>
    <m/>
    <m/>
    <m/>
    <m/>
    <m/>
    <m/>
    <m/>
    <m/>
    <m/>
    <m/>
    <m/>
    <m/>
    <m/>
    <s v="AUD"/>
    <s v="13564762Waste Recycled - E-waste [t]"/>
    <n v="13564762"/>
  </r>
  <r>
    <d v="2019-07-01T00:00:00"/>
    <d v="2021-06-30T00:00:00"/>
    <s v="Telstra"/>
    <s v="NETWORK"/>
    <s v="Network - InfraCo"/>
    <s v="NT"/>
    <s v="Australia"/>
    <s v="Ludmilla"/>
    <s v="BERRIMAH EXCHANGE"/>
    <n v="423030479500"/>
    <s v="Recycled Waste"/>
    <x v="0"/>
    <x v="5"/>
    <s v="Account"/>
    <s v="Remondis Metal - Mixed All"/>
    <m/>
    <s v="423030479500_RMETMIXED"/>
    <s v="METAL - MIXED ALL"/>
    <s v="Remondis"/>
    <m/>
    <m/>
    <d v="2020-10-01T00:00:00"/>
    <d v="2020-09-01T00:00:00"/>
    <s v="FY21"/>
    <s v="t"/>
    <n v="1.6"/>
    <n v="0"/>
    <n v="0"/>
    <n v="1.6"/>
    <n v="1"/>
    <n v="0"/>
    <n v="0"/>
    <n v="1"/>
    <n v="100"/>
    <n v="0"/>
    <n v="0"/>
    <s v="Consolidation"/>
    <s v="CO2e and Base Measure"/>
    <n v="100"/>
    <n v="100"/>
    <n v="1.6"/>
    <m/>
    <m/>
    <m/>
    <m/>
    <m/>
    <m/>
    <m/>
    <m/>
    <m/>
    <m/>
    <m/>
    <m/>
    <m/>
    <s v="AUD"/>
    <s v="13564763Waste Recycled - Construction and Demolition [t]"/>
    <n v="13564763"/>
  </r>
  <r>
    <d v="2019-07-01T00:00:00"/>
    <d v="2021-06-30T00:00:00"/>
    <s v="Telstra"/>
    <s v="NETWORK"/>
    <s v="Network - InfraCo"/>
    <s v="NT"/>
    <s v="Australia"/>
    <s v="Ludmilla"/>
    <s v="BERRIMAH EXCHANGE"/>
    <n v="423030479500"/>
    <s v="Recycled Waste"/>
    <x v="0"/>
    <x v="5"/>
    <s v="Account"/>
    <s v="Remondis Metal - Mixed All"/>
    <m/>
    <s v="423030479500_RMETMIXED"/>
    <s v="METAL - MIXED ALL"/>
    <s v="Remondis"/>
    <m/>
    <m/>
    <d v="2020-10-01T00:00:00"/>
    <d v="2020-10-01T00:00:00"/>
    <s v="FY21"/>
    <s v="t"/>
    <n v="0"/>
    <n v="0"/>
    <n v="5.5199999999999999E-2"/>
    <n v="5.5199999999999999E-2"/>
    <n v="0"/>
    <n v="0"/>
    <n v="1"/>
    <n v="1"/>
    <n v="0"/>
    <n v="0"/>
    <n v="100"/>
    <s v="Consolidation"/>
    <s v="CO2e and Base Measure"/>
    <n v="100"/>
    <n v="100"/>
    <n v="0.06"/>
    <m/>
    <m/>
    <m/>
    <m/>
    <m/>
    <m/>
    <m/>
    <m/>
    <m/>
    <m/>
    <m/>
    <m/>
    <m/>
    <s v="AUD"/>
    <s v="13564763Waste Recycled - Construction and Demolition [t]"/>
    <n v="13564763"/>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0-12-01T00:00:00"/>
    <s v="FY21"/>
    <s v="t"/>
    <n v="10.61"/>
    <n v="0"/>
    <n v="0"/>
    <n v="10.61"/>
    <n v="4"/>
    <n v="0"/>
    <n v="0"/>
    <n v="4"/>
    <n v="100"/>
    <n v="0"/>
    <n v="0"/>
    <s v="Consolidation"/>
    <s v="CO2e and Base Measure"/>
    <n v="100"/>
    <n v="100"/>
    <n v="10.61"/>
    <m/>
    <m/>
    <m/>
    <m/>
    <m/>
    <n v="13.792999999999999"/>
    <m/>
    <n v="13.792999999999999"/>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1-01T00:00:00"/>
    <s v="FY21"/>
    <s v="t"/>
    <n v="0.23"/>
    <n v="0"/>
    <n v="0"/>
    <n v="0.23"/>
    <n v="1"/>
    <n v="0"/>
    <n v="0"/>
    <n v="1"/>
    <n v="100"/>
    <n v="0"/>
    <n v="0"/>
    <s v="Consolidation"/>
    <s v="CO2e and Base Measure"/>
    <n v="100"/>
    <n v="100"/>
    <n v="0.23"/>
    <m/>
    <m/>
    <m/>
    <m/>
    <m/>
    <n v="0.29899999999999999"/>
    <m/>
    <n v="0.29899999999999999"/>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2-01T00:00:00"/>
    <s v="FY21"/>
    <s v="t"/>
    <n v="0.67"/>
    <n v="0"/>
    <n v="0"/>
    <n v="0.67"/>
    <n v="3"/>
    <n v="0"/>
    <n v="0"/>
    <n v="3"/>
    <n v="100"/>
    <n v="0"/>
    <n v="0"/>
    <s v="Consolidation"/>
    <s v="CO2e and Base Measure"/>
    <n v="100"/>
    <n v="100"/>
    <n v="0.67"/>
    <m/>
    <m/>
    <m/>
    <m/>
    <m/>
    <n v="0.871"/>
    <m/>
    <n v="0.871"/>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3-01T00:00:00"/>
    <s v="FY21"/>
    <s v="t"/>
    <n v="1.66"/>
    <n v="0"/>
    <n v="0"/>
    <n v="1.66"/>
    <n v="2"/>
    <n v="0"/>
    <n v="0"/>
    <n v="2"/>
    <n v="100"/>
    <n v="0"/>
    <n v="0"/>
    <s v="Consolidation"/>
    <s v="CO2e and Base Measure"/>
    <n v="100"/>
    <n v="100"/>
    <n v="1.66"/>
    <m/>
    <m/>
    <m/>
    <m/>
    <m/>
    <n v="2.1579999999999999"/>
    <m/>
    <n v="2.1579999999999999"/>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4-01T00:00:00"/>
    <s v="FY21"/>
    <s v="t"/>
    <n v="0"/>
    <n v="0"/>
    <n v="3.294"/>
    <n v="3.294"/>
    <n v="0"/>
    <n v="0"/>
    <n v="30"/>
    <n v="30"/>
    <n v="0"/>
    <n v="0"/>
    <n v="100"/>
    <s v="Consolidation"/>
    <s v="CO2e and Base Measure"/>
    <n v="100"/>
    <n v="100"/>
    <n v="3.29"/>
    <m/>
    <m/>
    <m/>
    <m/>
    <m/>
    <n v="4.2821999999999996"/>
    <m/>
    <n v="4.2821999999999996"/>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5-01T00:00:00"/>
    <s v="FY21"/>
    <s v="t"/>
    <n v="0"/>
    <n v="0"/>
    <n v="3.4037999999999999"/>
    <n v="3.4037999999999999"/>
    <n v="0"/>
    <n v="0"/>
    <n v="31"/>
    <n v="31"/>
    <n v="0"/>
    <n v="0"/>
    <n v="100"/>
    <s v="Consolidation"/>
    <s v="CO2e and Base Measure"/>
    <n v="100"/>
    <n v="100"/>
    <n v="3.4"/>
    <m/>
    <m/>
    <m/>
    <m/>
    <m/>
    <n v="4.4249000000000001"/>
    <m/>
    <n v="4.4249000000000001"/>
    <m/>
    <m/>
    <m/>
    <m/>
    <m/>
    <s v="AUD"/>
    <s v="13634312Waste - General [t] - Scope 3"/>
    <n v="13634312"/>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0-12-01T00:00:00"/>
    <s v="FY21"/>
    <s v="t"/>
    <n v="4.8000000000000001E-2"/>
    <n v="7.4999999999999997E-2"/>
    <n v="0"/>
    <n v="0.123"/>
    <n v="1"/>
    <n v="1"/>
    <n v="0"/>
    <n v="2"/>
    <n v="39.020000000000003"/>
    <n v="60.97"/>
    <n v="0"/>
    <s v="Consolidation"/>
    <s v="CO2e and Base Measure"/>
    <n v="100"/>
    <n v="100"/>
    <n v="0.12"/>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1-01T00:00:00"/>
    <s v="FY21"/>
    <s v="t"/>
    <n v="0.08"/>
    <n v="0"/>
    <n v="0"/>
    <n v="0.08"/>
    <n v="2"/>
    <n v="0"/>
    <n v="0"/>
    <n v="2"/>
    <n v="100"/>
    <n v="0"/>
    <n v="0"/>
    <s v="Consolidation"/>
    <s v="CO2e and Base Measure"/>
    <n v="100"/>
    <n v="100"/>
    <n v="0.08"/>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2-01T00:00:00"/>
    <s v="FY21"/>
    <s v="t"/>
    <n v="0.159"/>
    <n v="0"/>
    <n v="0"/>
    <n v="0.159"/>
    <n v="2"/>
    <n v="0"/>
    <n v="0"/>
    <n v="2"/>
    <n v="100"/>
    <n v="0"/>
    <n v="0"/>
    <s v="Consolidation"/>
    <s v="CO2e and Base Measure"/>
    <n v="100"/>
    <n v="100"/>
    <n v="0.16"/>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3-01T00:00:00"/>
    <s v="FY21"/>
    <s v="t"/>
    <n v="5.8000000000000003E-2"/>
    <n v="0"/>
    <n v="0"/>
    <n v="5.8000000000000003E-2"/>
    <n v="3"/>
    <n v="0"/>
    <n v="0"/>
    <n v="3"/>
    <n v="100"/>
    <n v="0"/>
    <n v="0"/>
    <s v="Consolidation"/>
    <s v="CO2e and Base Measure"/>
    <n v="100"/>
    <n v="100"/>
    <n v="0.06"/>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4-01T00:00:00"/>
    <s v="FY21"/>
    <s v="t"/>
    <n v="0"/>
    <n v="0"/>
    <n v="0.105"/>
    <n v="0.105"/>
    <n v="0"/>
    <n v="0"/>
    <n v="30"/>
    <n v="30"/>
    <n v="0"/>
    <n v="0"/>
    <n v="100"/>
    <s v="Consolidation"/>
    <s v="CO2e and Base Measure"/>
    <n v="100"/>
    <n v="100"/>
    <n v="0.11"/>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5-01T00:00:00"/>
    <s v="FY21"/>
    <s v="t"/>
    <n v="0"/>
    <n v="0"/>
    <n v="0.1085"/>
    <n v="0.1085"/>
    <n v="0"/>
    <n v="0"/>
    <n v="31"/>
    <n v="31"/>
    <n v="0"/>
    <n v="0"/>
    <n v="100"/>
    <s v="Consolidation"/>
    <s v="CO2e and Base Measure"/>
    <n v="100"/>
    <n v="100"/>
    <n v="0.11"/>
    <m/>
    <m/>
    <m/>
    <m/>
    <m/>
    <m/>
    <m/>
    <m/>
    <m/>
    <m/>
    <m/>
    <m/>
    <m/>
    <s v="AUD"/>
    <s v="13634313Waste Recycled - Paper and Cardboard [t]"/>
    <n v="13634313"/>
  </r>
  <r>
    <d v="2019-07-01T00:00:00"/>
    <d v="2021-06-30T00:00:00"/>
    <s v="Telstra"/>
    <s v="NETWORK"/>
    <s v="Network - InfraCo"/>
    <s v="NT"/>
    <s v="Australia"/>
    <s v="Ludmilla"/>
    <s v="BERRIMAH EXCHANGE"/>
    <n v="423030479500"/>
    <s v="Waste"/>
    <x v="1"/>
    <x v="4"/>
    <s v="Account"/>
    <s v="CLEANAWAY Asbestos"/>
    <m/>
    <s v="11879_Landfill_Asbestos"/>
    <s v="Asbestos"/>
    <s v="Cleanaway"/>
    <m/>
    <d v="2021-03-19T00:00:00"/>
    <m/>
    <d v="2021-03-01T00:00:00"/>
    <s v="FY21"/>
    <s v="t"/>
    <n v="0.86"/>
    <n v="0"/>
    <n v="0"/>
    <n v="0.86"/>
    <n v="1"/>
    <n v="0"/>
    <n v="0"/>
    <n v="1"/>
    <n v="100"/>
    <n v="0"/>
    <n v="0"/>
    <s v="Consolidation"/>
    <s v="CO2e and Base Measure"/>
    <n v="100"/>
    <n v="100"/>
    <n v="0.86"/>
    <m/>
    <m/>
    <m/>
    <m/>
    <m/>
    <n v="1.032"/>
    <m/>
    <n v="1.032"/>
    <m/>
    <m/>
    <m/>
    <m/>
    <m/>
    <s v="AUD"/>
    <s v="13641210Waste - Construction and Demolition [t]"/>
    <n v="13641210"/>
  </r>
  <r>
    <d v="2019-07-01T00:00:00"/>
    <d v="2021-06-30T00:00:00"/>
    <s v="Telstra"/>
    <s v="NETWORK"/>
    <s v="Network - InfraCo"/>
    <s v="NT"/>
    <s v="Australia"/>
    <s v="Ludmilla"/>
    <s v="BERRIMAH EXCHANGE"/>
    <n v="423030479500"/>
    <s v="Waste"/>
    <x v="1"/>
    <x v="4"/>
    <s v="Account"/>
    <s v="CLEANAWAY Asbestos"/>
    <m/>
    <s v="11879_Landfill_Asbestos"/>
    <s v="Asbestos"/>
    <s v="Cleanaway"/>
    <m/>
    <d v="2021-03-19T00:00:00"/>
    <m/>
    <d v="2021-04-01T00:00:00"/>
    <s v="FY21"/>
    <s v="t"/>
    <n v="0"/>
    <n v="0"/>
    <n v="0.86099999999999999"/>
    <n v="0.86099999999999999"/>
    <n v="0"/>
    <n v="0"/>
    <n v="30"/>
    <n v="30"/>
    <n v="0"/>
    <n v="0"/>
    <n v="100"/>
    <s v="Consolidation"/>
    <s v="CO2e and Base Measure"/>
    <n v="100"/>
    <n v="100"/>
    <n v="0.86"/>
    <m/>
    <m/>
    <m/>
    <m/>
    <m/>
    <n v="1.0331999999999999"/>
    <m/>
    <n v="1.0331999999999999"/>
    <m/>
    <m/>
    <m/>
    <m/>
    <m/>
    <s v="AUD"/>
    <s v="13641210Waste - Construction and Demolition [t]"/>
    <n v="13641210"/>
  </r>
  <r>
    <d v="2019-07-01T00:00:00"/>
    <d v="2021-06-30T00:00:00"/>
    <s v="Telstra"/>
    <s v="NETWORK"/>
    <s v="Network - InfraCo"/>
    <s v="NT"/>
    <s v="Australia"/>
    <s v="Ludmilla"/>
    <s v="BERRIMAH EXCHANGE"/>
    <n v="423030479500"/>
    <s v="Waste"/>
    <x v="1"/>
    <x v="4"/>
    <s v="Account"/>
    <s v="CLEANAWAY Asbestos"/>
    <m/>
    <s v="11879_Landfill_Asbestos"/>
    <s v="Asbestos"/>
    <s v="Cleanaway"/>
    <m/>
    <d v="2021-03-19T00:00:00"/>
    <m/>
    <d v="2021-05-01T00:00:00"/>
    <s v="FY21"/>
    <s v="t"/>
    <n v="0"/>
    <n v="0"/>
    <n v="0.88970000000000005"/>
    <n v="0.88970000000000005"/>
    <n v="0"/>
    <n v="0"/>
    <n v="31"/>
    <n v="31"/>
    <n v="0"/>
    <n v="0"/>
    <n v="100"/>
    <s v="Consolidation"/>
    <s v="CO2e and Base Measure"/>
    <n v="100"/>
    <n v="100"/>
    <n v="0.89"/>
    <m/>
    <m/>
    <m/>
    <m/>
    <m/>
    <n v="1.0676000000000001"/>
    <m/>
    <n v="1.0676000000000001"/>
    <m/>
    <m/>
    <m/>
    <m/>
    <m/>
    <s v="AUD"/>
    <s v="13641210Waste - Construction and Demolition [t]"/>
    <n v="13641210"/>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12-01T00:00:00"/>
    <s v="FY21"/>
    <s v="t"/>
    <n v="0"/>
    <n v="0"/>
    <n v="4.3E-3"/>
    <n v="4.3E-3"/>
    <n v="0"/>
    <n v="0"/>
    <n v="1"/>
    <n v="1"/>
    <n v="0"/>
    <n v="0"/>
    <n v="100"/>
    <s v="Consolidation"/>
    <s v="CO2e and Base Measure"/>
    <n v="100"/>
    <n v="100"/>
    <n v="0"/>
    <m/>
    <m/>
    <m/>
    <m/>
    <m/>
    <n v="5.5999999999999999E-3"/>
    <m/>
    <n v="5.5999999999999999E-3"/>
    <m/>
    <m/>
    <m/>
    <m/>
    <m/>
    <s v="AUD"/>
    <s v="13564182Waste - General [t] - Scope 3"/>
    <n v="13564182"/>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0-12-01T00:00:00"/>
    <s v="FY21"/>
    <s v="t"/>
    <n v="7.8E-2"/>
    <n v="0"/>
    <n v="0"/>
    <n v="7.8E-2"/>
    <n v="1"/>
    <n v="0"/>
    <n v="0"/>
    <n v="1"/>
    <n v="100"/>
    <n v="0"/>
    <n v="0"/>
    <s v="Consolidation"/>
    <s v="CO2e and Base Measure"/>
    <n v="100"/>
    <n v="100"/>
    <n v="0.08"/>
    <m/>
    <m/>
    <m/>
    <m/>
    <m/>
    <n v="0.1014"/>
    <m/>
    <n v="0.1014"/>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1-01T00:00:00"/>
    <s v="FY21"/>
    <s v="t"/>
    <n v="0.14000000000000001"/>
    <n v="0"/>
    <n v="0"/>
    <n v="0.14000000000000001"/>
    <n v="1"/>
    <n v="0"/>
    <n v="0"/>
    <n v="1"/>
    <n v="100"/>
    <n v="0"/>
    <n v="0"/>
    <s v="Consolidation"/>
    <s v="CO2e and Base Measure"/>
    <n v="100"/>
    <n v="100"/>
    <n v="0.14000000000000001"/>
    <m/>
    <m/>
    <m/>
    <m/>
    <m/>
    <n v="0.182"/>
    <m/>
    <n v="0.182"/>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3-01T00:00:00"/>
    <s v="FY21"/>
    <s v="t"/>
    <n v="0.51400000000000001"/>
    <n v="0"/>
    <n v="0"/>
    <n v="0.51400000000000001"/>
    <n v="2"/>
    <n v="0"/>
    <n v="0"/>
    <n v="2"/>
    <n v="100"/>
    <n v="0"/>
    <n v="0"/>
    <s v="Consolidation"/>
    <s v="CO2e and Base Measure"/>
    <n v="100"/>
    <n v="100"/>
    <n v="0.51"/>
    <m/>
    <m/>
    <m/>
    <m/>
    <m/>
    <n v="0.66820000000000002"/>
    <m/>
    <n v="0.66820000000000002"/>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4-01T00:00:00"/>
    <s v="FY21"/>
    <s v="t"/>
    <n v="0"/>
    <n v="0"/>
    <n v="0.20100000000000001"/>
    <n v="0.20100000000000001"/>
    <n v="0"/>
    <n v="0"/>
    <n v="30"/>
    <n v="30"/>
    <n v="0"/>
    <n v="0"/>
    <n v="100"/>
    <s v="Consolidation"/>
    <s v="CO2e and Base Measure"/>
    <n v="100"/>
    <n v="100"/>
    <n v="0.2"/>
    <m/>
    <m/>
    <m/>
    <m/>
    <m/>
    <n v="0.26129999999999998"/>
    <m/>
    <n v="0.26129999999999998"/>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5-01T00:00:00"/>
    <s v="FY21"/>
    <s v="t"/>
    <n v="0"/>
    <n v="0"/>
    <n v="0.2077"/>
    <n v="0.2077"/>
    <n v="0"/>
    <n v="0"/>
    <n v="31"/>
    <n v="31"/>
    <n v="0"/>
    <n v="0"/>
    <n v="100"/>
    <s v="Consolidation"/>
    <s v="CO2e and Base Measure"/>
    <n v="100"/>
    <n v="100"/>
    <n v="0.21"/>
    <m/>
    <m/>
    <m/>
    <m/>
    <m/>
    <n v="0.27"/>
    <m/>
    <n v="0.27"/>
    <m/>
    <m/>
    <m/>
    <m/>
    <m/>
    <s v="AUD"/>
    <s v="13634031Waste - General [t] - Scope 3"/>
    <n v="13634031"/>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0-12-01T00:00:00"/>
    <s v="FY21"/>
    <s v="t"/>
    <n v="0"/>
    <n v="0.39"/>
    <n v="0"/>
    <n v="0.39"/>
    <n v="0"/>
    <n v="1"/>
    <n v="0"/>
    <n v="1"/>
    <n v="0"/>
    <n v="100"/>
    <n v="0"/>
    <s v="Consolidation"/>
    <s v="CO2e and Base Measure"/>
    <n v="100"/>
    <n v="100"/>
    <n v="0.39"/>
    <m/>
    <m/>
    <m/>
    <m/>
    <m/>
    <n v="0.50700000000000001"/>
    <m/>
    <n v="0.50700000000000001"/>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1-01T00:00:00"/>
    <s v="FY21"/>
    <s v="t"/>
    <n v="0"/>
    <n v="0"/>
    <n v="0.40300000000000002"/>
    <n v="0.40300000000000002"/>
    <n v="0"/>
    <n v="0"/>
    <n v="31"/>
    <n v="31"/>
    <n v="0"/>
    <n v="0"/>
    <n v="100"/>
    <s v="Consolidation"/>
    <s v="CO2e and Base Measure"/>
    <n v="100"/>
    <n v="100"/>
    <n v="0.4"/>
    <m/>
    <m/>
    <m/>
    <m/>
    <m/>
    <n v="0.52390000000000003"/>
    <m/>
    <n v="0.52390000000000003"/>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2-01T00:00:00"/>
    <s v="FY21"/>
    <s v="t"/>
    <n v="0"/>
    <n v="0"/>
    <n v="0.36399999999999999"/>
    <n v="0.36399999999999999"/>
    <n v="0"/>
    <n v="0"/>
    <n v="28"/>
    <n v="28"/>
    <n v="0"/>
    <n v="0"/>
    <n v="100"/>
    <s v="Consolidation"/>
    <s v="CO2e and Base Measure"/>
    <n v="100"/>
    <n v="100"/>
    <n v="0.36"/>
    <m/>
    <m/>
    <m/>
    <m/>
    <m/>
    <n v="0.47320000000000001"/>
    <m/>
    <n v="0.47320000000000001"/>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3-01T00:00:00"/>
    <s v="FY21"/>
    <s v="t"/>
    <n v="0"/>
    <n v="0"/>
    <n v="0.40300000000000002"/>
    <n v="0.40300000000000002"/>
    <n v="0"/>
    <n v="0"/>
    <n v="31"/>
    <n v="31"/>
    <n v="0"/>
    <n v="0"/>
    <n v="100"/>
    <s v="Consolidation"/>
    <s v="CO2e and Base Measure"/>
    <n v="100"/>
    <n v="100"/>
    <n v="0.4"/>
    <m/>
    <m/>
    <m/>
    <m/>
    <m/>
    <n v="0.52390000000000003"/>
    <m/>
    <n v="0.52390000000000003"/>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4-01T00:00:00"/>
    <s v="FY21"/>
    <s v="t"/>
    <n v="0"/>
    <n v="0"/>
    <n v="0.39"/>
    <n v="0.39"/>
    <n v="0"/>
    <n v="0"/>
    <n v="30"/>
    <n v="30"/>
    <n v="0"/>
    <n v="0"/>
    <n v="100"/>
    <s v="Consolidation"/>
    <s v="CO2e and Base Measure"/>
    <n v="100"/>
    <n v="100"/>
    <n v="0.39"/>
    <m/>
    <m/>
    <m/>
    <m/>
    <m/>
    <n v="0.50700000000000001"/>
    <m/>
    <n v="0.50700000000000001"/>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5-01T00:00:00"/>
    <s v="FY21"/>
    <s v="t"/>
    <n v="0"/>
    <n v="0"/>
    <n v="0.40300000000000002"/>
    <n v="0.40300000000000002"/>
    <n v="0"/>
    <n v="0"/>
    <n v="31"/>
    <n v="31"/>
    <n v="0"/>
    <n v="0"/>
    <n v="100"/>
    <s v="Consolidation"/>
    <s v="CO2e and Base Measure"/>
    <n v="100"/>
    <n v="100"/>
    <n v="0.4"/>
    <m/>
    <m/>
    <m/>
    <m/>
    <m/>
    <n v="0.52390000000000003"/>
    <m/>
    <n v="0.52390000000000003"/>
    <m/>
    <m/>
    <m/>
    <m/>
    <m/>
    <s v="AUD"/>
    <s v="13633415Waste - General [t] - Scope 3"/>
    <n v="13633415"/>
  </r>
  <r>
    <d v="2019-07-01T00:00:00"/>
    <d v="2021-06-30T00:00:00"/>
    <s v="Telstra"/>
    <s v="NETWORK"/>
    <s v="Network - InfraCo"/>
    <s v="VIC"/>
    <s v="Australia"/>
    <s v="Berwick"/>
    <s v="BERWICK SOUTH EXCHANGE"/>
    <n v="423030901100"/>
    <s v="Waste"/>
    <x v="1"/>
    <x v="2"/>
    <s v="Account"/>
    <s v="CLEANAWAY General"/>
    <m/>
    <s v="26857_Landfill_General"/>
    <s v="General"/>
    <s v="Cleanaway"/>
    <m/>
    <d v="2021-02-03T00:00:00"/>
    <m/>
    <d v="2021-02-01T00:00:00"/>
    <s v="FY21"/>
    <s v="t"/>
    <n v="0.7"/>
    <n v="0"/>
    <n v="0"/>
    <n v="0.7"/>
    <n v="1"/>
    <n v="0"/>
    <n v="0"/>
    <n v="1"/>
    <n v="100"/>
    <n v="0"/>
    <n v="0"/>
    <s v="Consolidation"/>
    <s v="CO2e and Base Measure"/>
    <n v="100"/>
    <n v="100"/>
    <n v="0.7"/>
    <m/>
    <m/>
    <m/>
    <m/>
    <m/>
    <n v="0.91"/>
    <m/>
    <n v="0.91"/>
    <m/>
    <m/>
    <m/>
    <m/>
    <m/>
    <s v="AUD"/>
    <s v="13639940Waste - General [t] - Scope 3"/>
    <n v="13639940"/>
  </r>
  <r>
    <d v="2019-07-01T00:00:00"/>
    <d v="2021-06-30T00:00:00"/>
    <s v="Telstra"/>
    <s v="NETWORK"/>
    <s v="Network - InfraCo"/>
    <s v="VIC"/>
    <s v="Australia"/>
    <s v="Berwick"/>
    <s v="BERWICK SOUTH EXCHANGE"/>
    <n v="423030901100"/>
    <s v="Waste"/>
    <x v="1"/>
    <x v="2"/>
    <s v="Account"/>
    <s v="CLEANAWAY General"/>
    <m/>
    <s v="26857_Landfill_General"/>
    <s v="General"/>
    <s v="Cleanaway"/>
    <m/>
    <d v="2021-02-03T00:00:00"/>
    <m/>
    <d v="2021-03-01T00:00:00"/>
    <s v="FY21"/>
    <s v="t"/>
    <n v="0"/>
    <n v="0"/>
    <n v="0.80289999999999995"/>
    <n v="0.80289999999999995"/>
    <n v="0"/>
    <n v="0"/>
    <n v="31"/>
    <n v="31"/>
    <n v="0"/>
    <n v="0"/>
    <n v="100"/>
    <s v="Consolidation"/>
    <s v="CO2e and Base Measure"/>
    <n v="100"/>
    <n v="100"/>
    <n v="0.8"/>
    <m/>
    <m/>
    <m/>
    <m/>
    <m/>
    <n v="1.0438000000000001"/>
    <m/>
    <n v="1.0438000000000001"/>
    <m/>
    <m/>
    <m/>
    <m/>
    <m/>
    <s v="AUD"/>
    <s v="13639940Waste - General [t] - Scope 3"/>
    <n v="13639940"/>
  </r>
  <r>
    <d v="2019-07-01T00:00:00"/>
    <d v="2021-06-30T00:00:00"/>
    <s v="Telstra"/>
    <s v="NETWORK"/>
    <s v="Network - InfraCo"/>
    <s v="VIC"/>
    <s v="Australia"/>
    <s v="Berwick"/>
    <s v="BERWICK SOUTH EXCHANGE"/>
    <n v="423030901100"/>
    <s v="Waste"/>
    <x v="1"/>
    <x v="2"/>
    <s v="Account"/>
    <s v="CLEANAWAY General"/>
    <m/>
    <s v="26857_Landfill_General"/>
    <s v="General"/>
    <s v="Cleanaway"/>
    <m/>
    <d v="2021-02-03T00:00:00"/>
    <m/>
    <d v="2021-04-01T00:00:00"/>
    <s v="FY21"/>
    <s v="t"/>
    <n v="0"/>
    <n v="0"/>
    <n v="0.77700000000000002"/>
    <n v="0.77700000000000002"/>
    <n v="0"/>
    <n v="0"/>
    <n v="30"/>
    <n v="30"/>
    <n v="0"/>
    <n v="0"/>
    <n v="100"/>
    <s v="Consolidation"/>
    <s v="CO2e and Base Measure"/>
    <n v="100"/>
    <n v="100"/>
    <n v="0.78"/>
    <m/>
    <m/>
    <m/>
    <m/>
    <m/>
    <n v="1.0101"/>
    <m/>
    <n v="1.0101"/>
    <m/>
    <m/>
    <m/>
    <m/>
    <m/>
    <s v="AUD"/>
    <s v="13639940Waste - General [t] - Scope 3"/>
    <n v="13639940"/>
  </r>
  <r>
    <d v="2019-07-01T00:00:00"/>
    <d v="2021-06-30T00:00:00"/>
    <s v="Telstra"/>
    <s v="NETWORK"/>
    <s v="Network - InfraCo"/>
    <s v="VIC"/>
    <s v="Australia"/>
    <s v="Berwick"/>
    <s v="BERWICK SOUTH EXCHANGE"/>
    <n v="423030901100"/>
    <s v="Waste"/>
    <x v="1"/>
    <x v="2"/>
    <s v="Account"/>
    <s v="CLEANAWAY General"/>
    <m/>
    <s v="26857_Landfill_General"/>
    <s v="General"/>
    <s v="Cleanaway"/>
    <m/>
    <d v="2021-02-03T00:00:00"/>
    <m/>
    <d v="2021-05-01T00:00:00"/>
    <s v="FY21"/>
    <s v="t"/>
    <n v="0"/>
    <n v="0"/>
    <n v="0.80289999999999995"/>
    <n v="0.80289999999999995"/>
    <n v="0"/>
    <n v="0"/>
    <n v="31"/>
    <n v="31"/>
    <n v="0"/>
    <n v="0"/>
    <n v="100"/>
    <s v="Consolidation"/>
    <s v="CO2e and Base Measure"/>
    <n v="100"/>
    <n v="100"/>
    <n v="0.8"/>
    <m/>
    <m/>
    <m/>
    <m/>
    <m/>
    <n v="1.0438000000000001"/>
    <m/>
    <n v="1.0438000000000001"/>
    <m/>
    <m/>
    <m/>
    <m/>
    <m/>
    <s v="AUD"/>
    <s v="13639940Waste - General [t] - Scope 3"/>
    <n v="13639940"/>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1-01T00:00:00"/>
    <s v="FY21"/>
    <s v="t"/>
    <n v="1.6"/>
    <n v="0"/>
    <n v="0"/>
    <n v="1.6"/>
    <n v="1"/>
    <n v="0"/>
    <n v="0"/>
    <n v="1"/>
    <n v="100"/>
    <n v="0"/>
    <n v="0"/>
    <s v="Consolidation"/>
    <s v="CO2e and Base Measure"/>
    <n v="100"/>
    <n v="100"/>
    <n v="1.6"/>
    <m/>
    <m/>
    <m/>
    <m/>
    <m/>
    <n v="2.08"/>
    <m/>
    <n v="2.08"/>
    <m/>
    <m/>
    <m/>
    <m/>
    <m/>
    <s v="AUD"/>
    <s v="13634456Waste - General [t] - Scope 3"/>
    <n v="13634456"/>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2-01T00:00:00"/>
    <s v="FY21"/>
    <s v="t"/>
    <n v="0"/>
    <n v="0.19800000000000001"/>
    <n v="0"/>
    <n v="0.19800000000000001"/>
    <n v="0"/>
    <n v="4"/>
    <n v="0"/>
    <n v="4"/>
    <n v="0"/>
    <n v="100"/>
    <n v="0"/>
    <s v="Consolidation"/>
    <s v="CO2e and Base Measure"/>
    <n v="100"/>
    <n v="100"/>
    <n v="0.2"/>
    <m/>
    <m/>
    <m/>
    <m/>
    <m/>
    <n v="0.25740000000000002"/>
    <m/>
    <n v="0.25740000000000002"/>
    <m/>
    <m/>
    <m/>
    <m/>
    <m/>
    <s v="AUD"/>
    <s v="13634456Waste - General [t] - Scope 3"/>
    <n v="13634456"/>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3-01T00:00:00"/>
    <s v="FY21"/>
    <s v="t"/>
    <n v="0"/>
    <n v="0.14849999999999999"/>
    <n v="0"/>
    <n v="0.14849999999999999"/>
    <n v="0"/>
    <n v="3"/>
    <n v="0"/>
    <n v="3"/>
    <n v="0"/>
    <n v="100"/>
    <n v="0"/>
    <s v="Consolidation"/>
    <s v="CO2e and Base Measure"/>
    <n v="100"/>
    <n v="100"/>
    <n v="0.15"/>
    <m/>
    <m/>
    <m/>
    <m/>
    <m/>
    <n v="0.19309999999999999"/>
    <m/>
    <n v="0.19309999999999999"/>
    <m/>
    <m/>
    <m/>
    <m/>
    <m/>
    <s v="AUD"/>
    <s v="13634456Waste - General [t] - Scope 3"/>
    <n v="13634456"/>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4-01T00:00:00"/>
    <s v="FY21"/>
    <s v="t"/>
    <n v="0"/>
    <n v="0"/>
    <n v="0.65700000000000003"/>
    <n v="0.65700000000000003"/>
    <n v="0"/>
    <n v="0"/>
    <n v="30"/>
    <n v="30"/>
    <n v="0"/>
    <n v="0"/>
    <n v="100"/>
    <s v="Consolidation"/>
    <s v="CO2e and Base Measure"/>
    <n v="100"/>
    <n v="100"/>
    <n v="0.66"/>
    <m/>
    <m/>
    <m/>
    <m/>
    <m/>
    <n v="0.85409999999999997"/>
    <m/>
    <n v="0.85409999999999997"/>
    <m/>
    <m/>
    <m/>
    <m/>
    <m/>
    <s v="AUD"/>
    <s v="13634456Waste - General [t] - Scope 3"/>
    <n v="13634456"/>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5-01T00:00:00"/>
    <s v="FY21"/>
    <s v="t"/>
    <n v="0"/>
    <n v="0"/>
    <n v="0.67889999999999995"/>
    <n v="0.67889999999999995"/>
    <n v="0"/>
    <n v="0"/>
    <n v="31"/>
    <n v="31"/>
    <n v="0"/>
    <n v="0"/>
    <n v="100"/>
    <s v="Consolidation"/>
    <s v="CO2e and Base Measure"/>
    <n v="100"/>
    <n v="100"/>
    <n v="0.68"/>
    <m/>
    <m/>
    <m/>
    <m/>
    <m/>
    <n v="0.88260000000000005"/>
    <m/>
    <n v="0.88260000000000005"/>
    <m/>
    <m/>
    <m/>
    <m/>
    <m/>
    <s v="AUD"/>
    <s v="13634456Waste - General [t] - Scope 3"/>
    <n v="13634456"/>
  </r>
  <r>
    <d v="2019-07-01T00:00:00"/>
    <d v="2021-06-30T00:00:00"/>
    <s v="Telstra"/>
    <s v="NETWORK"/>
    <s v="Network - InfraCo"/>
    <s v="NSW"/>
    <s v="Australia"/>
    <s v="Bilambil"/>
    <s v="BILAMBIL EXCHANGE"/>
    <n v="423030112600"/>
    <s v="Recycled Waste"/>
    <x v="0"/>
    <x v="5"/>
    <s v="Account"/>
    <s v="Remondis Metal - Mixed All"/>
    <m/>
    <s v="423030112600_RMETMIXED"/>
    <s v="METAL - MIXED ALL"/>
    <s v="Remondis"/>
    <m/>
    <d v="2020-10-23T00:00:00"/>
    <d v="2020-11-01T00:00:00"/>
    <d v="2020-10-01T00:00:00"/>
    <s v="FY21"/>
    <s v="t"/>
    <n v="0"/>
    <n v="0.48"/>
    <n v="0"/>
    <n v="0.48"/>
    <n v="0"/>
    <n v="1"/>
    <n v="0"/>
    <n v="1"/>
    <n v="0"/>
    <n v="100"/>
    <n v="0"/>
    <s v="Consolidation"/>
    <s v="CO2e and Base Measure"/>
    <n v="100"/>
    <n v="100"/>
    <n v="0.48"/>
    <m/>
    <m/>
    <m/>
    <m/>
    <m/>
    <m/>
    <m/>
    <m/>
    <m/>
    <m/>
    <m/>
    <m/>
    <m/>
    <s v="AUD"/>
    <s v="13631693Waste Recycled - Construction and Demolition [t]"/>
    <n v="13631693"/>
  </r>
  <r>
    <d v="2019-07-01T00:00:00"/>
    <d v="2021-06-30T00:00:00"/>
    <s v="Telstra"/>
    <s v="NETWORK"/>
    <s v="Network - InfraCo"/>
    <s v="NSW"/>
    <s v="Australia"/>
    <s v="Bilambil"/>
    <s v="BILAMBIL EXCHANGE"/>
    <n v="423030112600"/>
    <s v="Recycled Waste"/>
    <x v="0"/>
    <x v="5"/>
    <s v="Account"/>
    <s v="Remondis Metal - Mixed All"/>
    <m/>
    <s v="423030112600_RMETMIXED"/>
    <s v="METAL - MIXED ALL"/>
    <s v="Remondis"/>
    <m/>
    <d v="2020-10-23T00:00:00"/>
    <d v="2020-11-01T00:00:00"/>
    <d v="2020-11-01T00:00:00"/>
    <s v="FY21"/>
    <s v="t"/>
    <n v="0"/>
    <n v="0"/>
    <n v="1.6E-2"/>
    <n v="1.6E-2"/>
    <n v="0"/>
    <n v="0"/>
    <n v="1"/>
    <n v="1"/>
    <n v="0"/>
    <n v="0"/>
    <n v="100"/>
    <s v="Consolidation"/>
    <s v="CO2e and Base Measure"/>
    <n v="100"/>
    <n v="100"/>
    <n v="0.02"/>
    <m/>
    <m/>
    <m/>
    <m/>
    <m/>
    <m/>
    <m/>
    <m/>
    <m/>
    <m/>
    <m/>
    <m/>
    <m/>
    <s v="AUD"/>
    <s v="13631693Waste Recycled - Construction and Demolition [t]"/>
    <n v="13631693"/>
  </r>
  <r>
    <d v="2019-07-01T00:00:00"/>
    <d v="2021-06-30T00:00:00"/>
    <s v="Telstra"/>
    <s v="NETWORK"/>
    <s v="Network - InfraCo"/>
    <s v="NSW"/>
    <s v="Australia"/>
    <s v="Bilambil"/>
    <s v="BILAMBIL EXCHANGE"/>
    <n v="423030112600"/>
    <s v="Recycled Waste"/>
    <x v="0"/>
    <x v="1"/>
    <s v="Account"/>
    <s v="Remondis Electrical Comp. (E-Waste)"/>
    <m/>
    <s v="423030112600_RELECTRIC"/>
    <s v="ELECTRICAL COMP. (E-WASTE)"/>
    <s v="Remondis"/>
    <m/>
    <d v="2020-10-19T00:00:00"/>
    <d v="2020-11-01T00:00:00"/>
    <d v="2020-10-01T00:00:00"/>
    <s v="FY21"/>
    <s v="t"/>
    <n v="0"/>
    <n v="0.2109"/>
    <n v="0"/>
    <n v="0.2109"/>
    <n v="0"/>
    <n v="1"/>
    <n v="0"/>
    <n v="1"/>
    <n v="0"/>
    <n v="100"/>
    <n v="0"/>
    <s v="Consolidation"/>
    <s v="CO2e and Base Measure"/>
    <n v="100"/>
    <n v="100"/>
    <n v="0.21"/>
    <m/>
    <m/>
    <m/>
    <m/>
    <m/>
    <m/>
    <m/>
    <m/>
    <m/>
    <m/>
    <m/>
    <m/>
    <m/>
    <s v="AUD"/>
    <s v="13631703Waste Recycled - E-waste [t]"/>
    <n v="13631703"/>
  </r>
  <r>
    <d v="2019-07-01T00:00:00"/>
    <d v="2021-06-30T00:00:00"/>
    <s v="Telstra"/>
    <s v="NETWORK"/>
    <s v="Network - InfraCo"/>
    <s v="NSW"/>
    <s v="Australia"/>
    <s v="Bilambil"/>
    <s v="BILAMBIL EXCHANGE"/>
    <n v="423030112600"/>
    <s v="Recycled Waste"/>
    <x v="0"/>
    <x v="1"/>
    <s v="Account"/>
    <s v="Remondis Electrical Comp. (E-Waste)"/>
    <m/>
    <s v="423030112600_RELECTRIC"/>
    <s v="ELECTRICAL COMP. (E-WASTE)"/>
    <s v="Remondis"/>
    <m/>
    <d v="2020-10-19T00:00:00"/>
    <d v="2020-11-01T00:00:00"/>
    <d v="2020-11-01T00:00:00"/>
    <s v="FY21"/>
    <s v="t"/>
    <n v="0"/>
    <n v="0"/>
    <n v="7.0000000000000001E-3"/>
    <n v="7.0000000000000001E-3"/>
    <n v="0"/>
    <n v="0"/>
    <n v="1"/>
    <n v="1"/>
    <n v="0"/>
    <n v="0"/>
    <n v="100"/>
    <s v="Consolidation"/>
    <s v="CO2e and Base Measure"/>
    <n v="100"/>
    <n v="100"/>
    <n v="0.01"/>
    <m/>
    <m/>
    <m/>
    <m/>
    <m/>
    <m/>
    <m/>
    <m/>
    <m/>
    <m/>
    <m/>
    <m/>
    <m/>
    <s v="AUD"/>
    <s v="13631703Waste Recycled - E-waste [t]"/>
    <n v="13631703"/>
  </r>
  <r>
    <d v="2019-07-01T00:00:00"/>
    <d v="2021-06-30T00:00:00"/>
    <s v="Telstra"/>
    <s v="NETWORK"/>
    <s v="Network - InfraCo"/>
    <s v="QLD"/>
    <s v="Australia"/>
    <s v="Biloela"/>
    <s v="BILOELA EXCHANGE"/>
    <n v="423030022200"/>
    <s v="Waste"/>
    <x v="1"/>
    <x v="4"/>
    <s v="Account"/>
    <s v="Remondis Asbestos"/>
    <m/>
    <s v="423030022200_WASBESTOS"/>
    <s v="ASBESTOS"/>
    <s v="Remondis"/>
    <m/>
    <m/>
    <d v="2021-01-01T00:00:00"/>
    <d v="2020-12-01T00:00:00"/>
    <s v="FY21"/>
    <s v="t"/>
    <n v="0"/>
    <n v="0.12"/>
    <n v="0"/>
    <n v="0.12"/>
    <n v="0"/>
    <n v="1"/>
    <n v="0"/>
    <n v="1"/>
    <n v="0"/>
    <n v="100"/>
    <n v="0"/>
    <s v="Consolidation"/>
    <s v="CO2e and Base Measure"/>
    <n v="100"/>
    <n v="100"/>
    <n v="0.12"/>
    <m/>
    <m/>
    <m/>
    <m/>
    <m/>
    <n v="0.14399999999999999"/>
    <m/>
    <n v="0.14399999999999999"/>
    <m/>
    <m/>
    <m/>
    <m/>
    <m/>
    <s v="AUD"/>
    <s v="13564107Waste - Construction and Demolition [t]"/>
    <n v="13564107"/>
  </r>
  <r>
    <d v="2019-07-01T00:00:00"/>
    <d v="2021-06-30T00:00:00"/>
    <s v="Telstra"/>
    <s v="NETWORK"/>
    <s v="Network - InfraCo"/>
    <s v="QLD"/>
    <s v="Australia"/>
    <s v="Biloela"/>
    <s v="BILOELA EXCHANGE"/>
    <n v="423030022200"/>
    <s v="Waste"/>
    <x v="1"/>
    <x v="4"/>
    <s v="Account"/>
    <s v="Remondis Asbestos"/>
    <m/>
    <s v="4230300222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107Waste - Construction and Demolition [t]"/>
    <n v="13564107"/>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1-01-01T00:00:00"/>
    <s v="FY21"/>
    <s v="t"/>
    <n v="0"/>
    <n v="0"/>
    <n v="8.5000000000000006E-3"/>
    <n v="8.5000000000000006E-3"/>
    <n v="0"/>
    <n v="0"/>
    <n v="1"/>
    <n v="1"/>
    <n v="0"/>
    <n v="0"/>
    <n v="100"/>
    <s v="Consolidation"/>
    <s v="CO2e and Base Measure"/>
    <n v="100"/>
    <n v="100"/>
    <n v="0.01"/>
    <m/>
    <m/>
    <m/>
    <m/>
    <m/>
    <n v="1.11E-2"/>
    <m/>
    <n v="1.11E-2"/>
    <m/>
    <m/>
    <m/>
    <m/>
    <m/>
    <s v="AUD"/>
    <s v="13564108Waste - General [t] - Scope 3"/>
    <n v="13564108"/>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0-12-01T00:00:00"/>
    <s v="FY21"/>
    <s v="t"/>
    <n v="8.7999999999999995E-2"/>
    <n v="0"/>
    <n v="0"/>
    <n v="8.7999999999999995E-2"/>
    <n v="1"/>
    <n v="0"/>
    <n v="0"/>
    <n v="1"/>
    <n v="100"/>
    <n v="0"/>
    <n v="0"/>
    <s v="Consolidation"/>
    <s v="CO2e and Base Measure"/>
    <n v="100"/>
    <n v="100"/>
    <n v="0.09"/>
    <m/>
    <m/>
    <m/>
    <m/>
    <m/>
    <n v="0.1144"/>
    <m/>
    <n v="0.1144"/>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1-01T00:00:00"/>
    <s v="FY21"/>
    <s v="t"/>
    <n v="2.4E-2"/>
    <n v="0"/>
    <n v="0"/>
    <n v="2.4E-2"/>
    <n v="1"/>
    <n v="0"/>
    <n v="0"/>
    <n v="1"/>
    <n v="100"/>
    <n v="0"/>
    <n v="0"/>
    <s v="Consolidation"/>
    <s v="CO2e and Base Measure"/>
    <n v="100"/>
    <n v="100"/>
    <n v="0.02"/>
    <m/>
    <m/>
    <m/>
    <m/>
    <m/>
    <n v="3.1199999999999999E-2"/>
    <m/>
    <n v="3.1199999999999999E-2"/>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3-01T00:00:00"/>
    <s v="FY21"/>
    <s v="t"/>
    <n v="0.17100000000000001"/>
    <n v="0"/>
    <n v="0"/>
    <n v="0.17100000000000001"/>
    <n v="1"/>
    <n v="0"/>
    <n v="0"/>
    <n v="1"/>
    <n v="100"/>
    <n v="0"/>
    <n v="0"/>
    <s v="Consolidation"/>
    <s v="CO2e and Base Measure"/>
    <n v="100"/>
    <n v="100"/>
    <n v="0.17"/>
    <m/>
    <m/>
    <m/>
    <m/>
    <m/>
    <n v="0.2223"/>
    <m/>
    <n v="0.2223"/>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4-01T00:00:00"/>
    <s v="FY21"/>
    <s v="t"/>
    <n v="0"/>
    <n v="0"/>
    <n v="0.105"/>
    <n v="0.105"/>
    <n v="0"/>
    <n v="0"/>
    <n v="30"/>
    <n v="30"/>
    <n v="0"/>
    <n v="0"/>
    <n v="100"/>
    <s v="Consolidation"/>
    <s v="CO2e and Base Measure"/>
    <n v="100"/>
    <n v="100"/>
    <n v="0.11"/>
    <m/>
    <m/>
    <m/>
    <m/>
    <m/>
    <n v="0.13650000000000001"/>
    <m/>
    <n v="0.13650000000000001"/>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5-01T00:00:00"/>
    <s v="FY21"/>
    <s v="t"/>
    <n v="0"/>
    <n v="0"/>
    <n v="0.1085"/>
    <n v="0.1085"/>
    <n v="0"/>
    <n v="0"/>
    <n v="31"/>
    <n v="31"/>
    <n v="0"/>
    <n v="0"/>
    <n v="100"/>
    <s v="Consolidation"/>
    <s v="CO2e and Base Measure"/>
    <n v="100"/>
    <n v="100"/>
    <n v="0.11"/>
    <m/>
    <m/>
    <m/>
    <m/>
    <m/>
    <n v="0.1411"/>
    <m/>
    <n v="0.1411"/>
    <m/>
    <m/>
    <m/>
    <m/>
    <m/>
    <s v="AUD"/>
    <s v="13634032Waste - General [t] - Scope 3"/>
    <n v="13634032"/>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07-01T00:00:00"/>
    <s v="FY21"/>
    <s v="t"/>
    <n v="1.1339999999999999"/>
    <n v="0"/>
    <n v="0"/>
    <n v="1.1339999999999999"/>
    <n v="2"/>
    <n v="0"/>
    <n v="0"/>
    <n v="2"/>
    <n v="100"/>
    <n v="0"/>
    <n v="0"/>
    <s v="Consolidation"/>
    <s v="CO2e and Base Measure"/>
    <n v="100"/>
    <n v="100"/>
    <n v="1.1299999999999999"/>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08-01T00:00:00"/>
    <s v="FY21"/>
    <s v="t"/>
    <n v="0.56699999999999995"/>
    <n v="0"/>
    <n v="0"/>
    <n v="0.56699999999999995"/>
    <n v="1"/>
    <n v="0"/>
    <n v="0"/>
    <n v="1"/>
    <n v="100"/>
    <n v="0"/>
    <n v="0"/>
    <s v="Consolidation"/>
    <s v="CO2e and Base Measure"/>
    <n v="100"/>
    <n v="100"/>
    <n v="0.56999999999999995"/>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09-01T00:00:00"/>
    <s v="FY21"/>
    <s v="t"/>
    <n v="0.12"/>
    <n v="0"/>
    <n v="0"/>
    <n v="0.12"/>
    <n v="3"/>
    <n v="0"/>
    <n v="0"/>
    <n v="3"/>
    <n v="100"/>
    <n v="0"/>
    <n v="0"/>
    <s v="Consolidation"/>
    <s v="CO2e and Base Measure"/>
    <n v="100"/>
    <n v="100"/>
    <n v="0.12"/>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10-01T00:00:00"/>
    <s v="FY21"/>
    <s v="t"/>
    <n v="1.1339999999999999"/>
    <n v="0"/>
    <n v="0"/>
    <n v="1.1339999999999999"/>
    <n v="2"/>
    <n v="0"/>
    <n v="0"/>
    <n v="2"/>
    <n v="100"/>
    <n v="0"/>
    <n v="0"/>
    <s v="Consolidation"/>
    <s v="CO2e and Base Measure"/>
    <n v="100"/>
    <n v="100"/>
    <n v="1.1299999999999999"/>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11-01T00:00:00"/>
    <s v="FY21"/>
    <s v="t"/>
    <n v="1.1339999999999999"/>
    <n v="0"/>
    <n v="0"/>
    <n v="1.1339999999999999"/>
    <n v="2"/>
    <n v="0"/>
    <n v="0"/>
    <n v="2"/>
    <n v="100"/>
    <n v="0"/>
    <n v="0"/>
    <s v="Consolidation"/>
    <s v="CO2e and Base Measure"/>
    <n v="100"/>
    <n v="100"/>
    <n v="1.1299999999999999"/>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12-01T00:00:00"/>
    <s v="FY21"/>
    <s v="t"/>
    <n v="1.1339999999999999"/>
    <n v="0"/>
    <n v="0"/>
    <n v="1.1339999999999999"/>
    <n v="2"/>
    <n v="0"/>
    <n v="0"/>
    <n v="2"/>
    <n v="100"/>
    <n v="0"/>
    <n v="0"/>
    <s v="Consolidation"/>
    <s v="CO2e and Base Measure"/>
    <n v="100"/>
    <n v="100"/>
    <n v="1.1299999999999999"/>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1-01T00:00:00"/>
    <s v="FY21"/>
    <s v="t"/>
    <n v="0"/>
    <n v="0"/>
    <n v="1.0075000000000001"/>
    <n v="1.0075000000000001"/>
    <n v="0"/>
    <n v="0"/>
    <n v="31"/>
    <n v="31"/>
    <n v="0"/>
    <n v="0"/>
    <n v="100"/>
    <s v="Consolidation"/>
    <s v="CO2e and Base Measure"/>
    <n v="100"/>
    <n v="100"/>
    <n v="1.01"/>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2-01T00:00:00"/>
    <s v="FY21"/>
    <s v="t"/>
    <n v="0"/>
    <n v="0"/>
    <n v="0.91"/>
    <n v="0.91"/>
    <n v="0"/>
    <n v="0"/>
    <n v="28"/>
    <n v="28"/>
    <n v="0"/>
    <n v="0"/>
    <n v="100"/>
    <s v="Consolidation"/>
    <s v="CO2e and Base Measure"/>
    <n v="100"/>
    <n v="100"/>
    <n v="0.91"/>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3-01T00:00:00"/>
    <s v="FY21"/>
    <s v="t"/>
    <n v="0"/>
    <n v="0"/>
    <n v="1.0075000000000001"/>
    <n v="1.0075000000000001"/>
    <n v="0"/>
    <n v="0"/>
    <n v="31"/>
    <n v="31"/>
    <n v="0"/>
    <n v="0"/>
    <n v="100"/>
    <s v="Consolidation"/>
    <s v="CO2e and Base Measure"/>
    <n v="100"/>
    <n v="100"/>
    <n v="1.01"/>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4-01T00:00:00"/>
    <s v="FY21"/>
    <s v="t"/>
    <n v="0"/>
    <n v="0"/>
    <n v="0.97499999999999998"/>
    <n v="0.97499999999999998"/>
    <n v="0"/>
    <n v="0"/>
    <n v="30"/>
    <n v="30"/>
    <n v="0"/>
    <n v="0"/>
    <n v="100"/>
    <s v="Consolidation"/>
    <s v="CO2e and Base Measure"/>
    <n v="100"/>
    <n v="100"/>
    <n v="0.98"/>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5-01T00:00:00"/>
    <s v="FY21"/>
    <s v="t"/>
    <n v="0"/>
    <n v="0"/>
    <n v="1.0075000000000001"/>
    <n v="1.0075000000000001"/>
    <n v="0"/>
    <n v="0"/>
    <n v="31"/>
    <n v="31"/>
    <n v="0"/>
    <n v="0"/>
    <n v="100"/>
    <s v="Consolidation"/>
    <s v="CO2e and Base Measure"/>
    <n v="100"/>
    <n v="100"/>
    <n v="1.01"/>
    <m/>
    <m/>
    <m/>
    <m/>
    <m/>
    <m/>
    <m/>
    <m/>
    <m/>
    <m/>
    <m/>
    <m/>
    <m/>
    <s v="AUD"/>
    <s v="13566361Waste Recycled - Paper and Cardboard [t]"/>
    <n v="13566361"/>
  </r>
  <r>
    <d v="2019-07-01T00:00:00"/>
    <d v="2021-06-30T00:00:00"/>
    <s v="Telstra"/>
    <s v="NETWORK"/>
    <s v="Network - InfraCo"/>
    <s v="VIC"/>
    <s v="Australia"/>
    <s v="Blackburn"/>
    <s v="BLACKBURN EXCHANGE"/>
    <n v="423030566300"/>
    <s v="Waste"/>
    <x v="1"/>
    <x v="4"/>
    <s v="Account"/>
    <s v="Remondis Asbestos"/>
    <m/>
    <s v="423030566300_WASBESTOS"/>
    <s v="ASBESTOS"/>
    <s v="Remondis"/>
    <m/>
    <m/>
    <d v="2020-12-01T00:00:00"/>
    <d v="2020-11-01T00:00:00"/>
    <s v="FY21"/>
    <s v="t"/>
    <n v="7.14"/>
    <n v="0"/>
    <n v="0"/>
    <n v="7.14"/>
    <n v="1"/>
    <n v="0"/>
    <n v="0"/>
    <n v="1"/>
    <n v="100"/>
    <n v="0"/>
    <n v="0"/>
    <s v="Consolidation"/>
    <s v="CO2e and Base Measure"/>
    <n v="100"/>
    <n v="100"/>
    <n v="7.14"/>
    <m/>
    <m/>
    <m/>
    <m/>
    <m/>
    <n v="8.5679999999999996"/>
    <m/>
    <n v="8.5679999999999996"/>
    <m/>
    <m/>
    <m/>
    <m/>
    <m/>
    <s v="AUD"/>
    <s v="13564849Waste - Construction and Demolition [t]"/>
    <n v="13564849"/>
  </r>
  <r>
    <d v="2019-07-01T00:00:00"/>
    <d v="2021-06-30T00:00:00"/>
    <s v="Telstra"/>
    <s v="NETWORK"/>
    <s v="Network - InfraCo"/>
    <s v="VIC"/>
    <s v="Australia"/>
    <s v="Blackburn"/>
    <s v="BLACKBURN EXCHANGE"/>
    <n v="423030566300"/>
    <s v="Waste"/>
    <x v="1"/>
    <x v="4"/>
    <s v="Account"/>
    <s v="Remondis Asbestos"/>
    <m/>
    <s v="423030566300_WASBESTOS"/>
    <s v="ASBESTOS"/>
    <s v="Remondis"/>
    <m/>
    <m/>
    <d v="2020-12-01T00:00:00"/>
    <d v="2020-12-01T00:00:00"/>
    <s v="FY21"/>
    <s v="t"/>
    <n v="0"/>
    <n v="0"/>
    <n v="0.2462"/>
    <n v="0.2462"/>
    <n v="0"/>
    <n v="0"/>
    <n v="1"/>
    <n v="1"/>
    <n v="0"/>
    <n v="0"/>
    <n v="100"/>
    <s v="Consolidation"/>
    <s v="CO2e and Base Measure"/>
    <n v="100"/>
    <n v="100"/>
    <n v="0.25"/>
    <m/>
    <m/>
    <m/>
    <m/>
    <m/>
    <n v="0.2954"/>
    <m/>
    <n v="0.2954"/>
    <m/>
    <m/>
    <m/>
    <m/>
    <m/>
    <s v="AUD"/>
    <s v="13564849Waste - Construction and Demolition [t]"/>
    <n v="13564849"/>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07-01T00:00:00"/>
    <s v="FY21"/>
    <s v="t"/>
    <n v="0.34499999999999997"/>
    <n v="0"/>
    <n v="0"/>
    <n v="0.34499999999999997"/>
    <n v="1"/>
    <n v="0"/>
    <n v="0"/>
    <n v="1"/>
    <n v="100"/>
    <n v="0"/>
    <n v="0"/>
    <s v="Consolidation"/>
    <s v="CO2e and Base Measure"/>
    <n v="100"/>
    <n v="100"/>
    <n v="0.35"/>
    <m/>
    <m/>
    <m/>
    <m/>
    <m/>
    <n v="0.44850000000000001"/>
    <m/>
    <n v="0.44850000000000001"/>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08-01T00:00:00"/>
    <s v="FY21"/>
    <s v="t"/>
    <n v="0.315"/>
    <n v="0"/>
    <n v="0"/>
    <n v="0.315"/>
    <n v="1"/>
    <n v="0"/>
    <n v="0"/>
    <n v="1"/>
    <n v="100"/>
    <n v="0"/>
    <n v="0"/>
    <s v="Consolidation"/>
    <s v="CO2e and Base Measure"/>
    <n v="100"/>
    <n v="100"/>
    <n v="0.32"/>
    <m/>
    <m/>
    <m/>
    <m/>
    <m/>
    <n v="0.40949999999999998"/>
    <m/>
    <n v="0.40949999999999998"/>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09-01T00:00:00"/>
    <s v="FY21"/>
    <s v="t"/>
    <n v="1.28"/>
    <n v="0"/>
    <n v="0"/>
    <n v="1.28"/>
    <n v="3"/>
    <n v="0"/>
    <n v="0"/>
    <n v="3"/>
    <n v="100"/>
    <n v="0"/>
    <n v="0"/>
    <s v="Consolidation"/>
    <s v="CO2e and Base Measure"/>
    <n v="100"/>
    <n v="100"/>
    <n v="1.28"/>
    <m/>
    <m/>
    <m/>
    <m/>
    <m/>
    <n v="1.6639999999999999"/>
    <m/>
    <n v="1.6639999999999999"/>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10-01T00:00:00"/>
    <s v="FY21"/>
    <s v="t"/>
    <n v="0.81"/>
    <n v="0"/>
    <n v="0"/>
    <n v="0.81"/>
    <n v="2"/>
    <n v="0"/>
    <n v="0"/>
    <n v="2"/>
    <n v="100"/>
    <n v="0"/>
    <n v="0"/>
    <s v="Consolidation"/>
    <s v="CO2e and Base Measure"/>
    <n v="100"/>
    <n v="100"/>
    <n v="0.81"/>
    <m/>
    <m/>
    <m/>
    <m/>
    <m/>
    <n v="1.0529999999999999"/>
    <m/>
    <n v="1.0529999999999999"/>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11-01T00:00:00"/>
    <s v="FY21"/>
    <s v="t"/>
    <n v="1.18"/>
    <n v="0"/>
    <n v="0"/>
    <n v="1.18"/>
    <n v="2"/>
    <n v="0"/>
    <n v="0"/>
    <n v="2"/>
    <n v="100"/>
    <n v="0"/>
    <n v="0"/>
    <s v="Consolidation"/>
    <s v="CO2e and Base Measure"/>
    <n v="100"/>
    <n v="100"/>
    <n v="1.18"/>
    <m/>
    <m/>
    <m/>
    <m/>
    <m/>
    <n v="1.534"/>
    <m/>
    <n v="1.534"/>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12-01T00:00:00"/>
    <s v="FY21"/>
    <s v="t"/>
    <n v="0.24"/>
    <n v="0"/>
    <n v="0"/>
    <n v="0.24"/>
    <n v="1"/>
    <n v="0"/>
    <n v="0"/>
    <n v="1"/>
    <n v="100"/>
    <n v="0"/>
    <n v="0"/>
    <s v="Consolidation"/>
    <s v="CO2e and Base Measure"/>
    <n v="100"/>
    <n v="100"/>
    <n v="0.24"/>
    <m/>
    <m/>
    <m/>
    <m/>
    <m/>
    <n v="0.312"/>
    <m/>
    <n v="0.312"/>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1-01-01T00:00:00"/>
    <s v="FY21"/>
    <s v="t"/>
    <n v="0"/>
    <n v="0"/>
    <n v="2.29E-2"/>
    <n v="2.29E-2"/>
    <n v="0"/>
    <n v="0"/>
    <n v="1"/>
    <n v="1"/>
    <n v="0"/>
    <n v="0"/>
    <n v="100"/>
    <s v="Consolidation"/>
    <s v="CO2e and Base Measure"/>
    <n v="100"/>
    <n v="100"/>
    <n v="0.02"/>
    <m/>
    <m/>
    <m/>
    <m/>
    <m/>
    <n v="2.98E-2"/>
    <m/>
    <n v="2.98E-2"/>
    <m/>
    <m/>
    <m/>
    <m/>
    <m/>
    <s v="AUD"/>
    <s v="13564851Waste - General [t] - Scope 3"/>
    <n v="13564851"/>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0-12-01T00:00:00"/>
    <s v="FY21"/>
    <s v="t"/>
    <n v="0.12"/>
    <n v="0.2475"/>
    <n v="0"/>
    <n v="0.36749999999999999"/>
    <n v="1"/>
    <n v="3"/>
    <n v="0"/>
    <n v="4"/>
    <n v="32.65"/>
    <n v="67.34"/>
    <n v="0"/>
    <s v="Consolidation"/>
    <s v="CO2e and Base Measure"/>
    <n v="100"/>
    <n v="100"/>
    <n v="0.37"/>
    <m/>
    <m/>
    <m/>
    <m/>
    <m/>
    <n v="0.4778"/>
    <m/>
    <n v="0.4778"/>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1-01T00:00:00"/>
    <s v="FY21"/>
    <s v="t"/>
    <n v="0.44"/>
    <n v="0.54449999999999998"/>
    <n v="0"/>
    <n v="0.98450000000000004"/>
    <n v="2"/>
    <n v="4"/>
    <n v="0"/>
    <n v="6"/>
    <n v="44.69"/>
    <n v="55.3"/>
    <n v="0"/>
    <s v="Consolidation"/>
    <s v="CO2e and Base Measure"/>
    <n v="100"/>
    <n v="100"/>
    <n v="0.98"/>
    <m/>
    <m/>
    <m/>
    <m/>
    <m/>
    <n v="1.2799"/>
    <m/>
    <n v="1.2799"/>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2-01T00:00:00"/>
    <s v="FY21"/>
    <s v="t"/>
    <n v="0"/>
    <n v="0.59399999999999997"/>
    <n v="0"/>
    <n v="0.59399999999999997"/>
    <n v="0"/>
    <n v="4"/>
    <n v="0"/>
    <n v="4"/>
    <n v="0"/>
    <n v="100"/>
    <n v="0"/>
    <s v="Consolidation"/>
    <s v="CO2e and Base Measure"/>
    <n v="100"/>
    <n v="100"/>
    <n v="0.59"/>
    <m/>
    <m/>
    <m/>
    <m/>
    <m/>
    <n v="0.7722"/>
    <m/>
    <n v="0.7722"/>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3-01T00:00:00"/>
    <s v="FY21"/>
    <s v="t"/>
    <n v="0.7"/>
    <n v="0.69299999999999995"/>
    <n v="0"/>
    <n v="1.393"/>
    <n v="1"/>
    <n v="5"/>
    <n v="0"/>
    <n v="6"/>
    <n v="50.25"/>
    <n v="49.74"/>
    <n v="0"/>
    <s v="Consolidation"/>
    <s v="CO2e and Base Measure"/>
    <n v="100"/>
    <n v="100"/>
    <n v="1.39"/>
    <m/>
    <m/>
    <m/>
    <m/>
    <m/>
    <n v="1.8109"/>
    <m/>
    <n v="1.8109"/>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4-01T00:00:00"/>
    <s v="FY21"/>
    <s v="t"/>
    <n v="0"/>
    <n v="0"/>
    <n v="0.83399999999999996"/>
    <n v="0.83399999999999996"/>
    <n v="0"/>
    <n v="0"/>
    <n v="30"/>
    <n v="30"/>
    <n v="0"/>
    <n v="0"/>
    <n v="100"/>
    <s v="Consolidation"/>
    <s v="CO2e and Base Measure"/>
    <n v="100"/>
    <n v="100"/>
    <n v="0.83"/>
    <m/>
    <m/>
    <m/>
    <m/>
    <m/>
    <n v="1.0842000000000001"/>
    <m/>
    <n v="1.0842000000000001"/>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5-01T00:00:00"/>
    <s v="FY21"/>
    <s v="t"/>
    <n v="0"/>
    <n v="0"/>
    <n v="0.86180000000000001"/>
    <n v="0.86180000000000001"/>
    <n v="0"/>
    <n v="0"/>
    <n v="31"/>
    <n v="31"/>
    <n v="0"/>
    <n v="0"/>
    <n v="100"/>
    <s v="Consolidation"/>
    <s v="CO2e and Base Measure"/>
    <n v="100"/>
    <n v="100"/>
    <n v="0.86"/>
    <m/>
    <m/>
    <m/>
    <m/>
    <m/>
    <n v="1.1203000000000001"/>
    <m/>
    <n v="1.1203000000000001"/>
    <m/>
    <m/>
    <m/>
    <m/>
    <m/>
    <s v="AUD"/>
    <s v="13634033Waste - General [t] - Scope 3"/>
    <n v="13634033"/>
  </r>
  <r>
    <d v="2019-07-01T00:00:00"/>
    <d v="2021-06-30T00:00:00"/>
    <s v="Telstra"/>
    <s v="NETWORK"/>
    <s v="Network - InfraCo"/>
    <s v="VIC"/>
    <s v="Australia"/>
    <s v="Blackburn"/>
    <s v="BLACKBURN EXCHANGE"/>
    <n v="423030566300"/>
    <s v="Recycled Waste"/>
    <x v="0"/>
    <x v="5"/>
    <s v="Account"/>
    <s v="CLEANAWAY Metal - Diversion"/>
    <m/>
    <s v="25468_Diversion_Metal"/>
    <s v="Metal"/>
    <s v="Cleanaway"/>
    <m/>
    <d v="2021-03-12T00:00:00"/>
    <m/>
    <d v="2021-03-01T00:00:00"/>
    <s v="FY21"/>
    <s v="t"/>
    <n v="0.22"/>
    <n v="0"/>
    <n v="0"/>
    <n v="0.22"/>
    <n v="1"/>
    <n v="0"/>
    <n v="0"/>
    <n v="1"/>
    <n v="100"/>
    <n v="0"/>
    <n v="0"/>
    <s v="Consolidation"/>
    <s v="CO2e and Base Measure"/>
    <n v="100"/>
    <n v="100"/>
    <n v="0.22"/>
    <m/>
    <m/>
    <m/>
    <m/>
    <m/>
    <m/>
    <m/>
    <m/>
    <m/>
    <m/>
    <m/>
    <m/>
    <m/>
    <s v="AUD"/>
    <s v="13641224Waste Recycled - Construction and Demolition [t]"/>
    <n v="13641224"/>
  </r>
  <r>
    <d v="2019-07-01T00:00:00"/>
    <d v="2021-06-30T00:00:00"/>
    <s v="Telstra"/>
    <s v="NETWORK"/>
    <s v="Network - InfraCo"/>
    <s v="VIC"/>
    <s v="Australia"/>
    <s v="Blackburn"/>
    <s v="BLACKBURN EXCHANGE"/>
    <n v="423030566300"/>
    <s v="Recycled Waste"/>
    <x v="0"/>
    <x v="5"/>
    <s v="Account"/>
    <s v="CLEANAWAY Metal - Diversion"/>
    <m/>
    <s v="25468_Diversion_Metal"/>
    <s v="Metal"/>
    <s v="Cleanaway"/>
    <m/>
    <d v="2021-03-12T00:00:00"/>
    <m/>
    <d v="2021-04-01T00:00:00"/>
    <s v="FY21"/>
    <s v="t"/>
    <n v="0"/>
    <n v="0"/>
    <n v="0.219"/>
    <n v="0.219"/>
    <n v="0"/>
    <n v="0"/>
    <n v="30"/>
    <n v="30"/>
    <n v="0"/>
    <n v="0"/>
    <n v="100"/>
    <s v="Consolidation"/>
    <s v="CO2e and Base Measure"/>
    <n v="100"/>
    <n v="100"/>
    <n v="0.22"/>
    <m/>
    <m/>
    <m/>
    <m/>
    <m/>
    <m/>
    <m/>
    <m/>
    <m/>
    <m/>
    <m/>
    <m/>
    <m/>
    <s v="AUD"/>
    <s v="13641224Waste Recycled - Construction and Demolition [t]"/>
    <n v="13641224"/>
  </r>
  <r>
    <d v="2019-07-01T00:00:00"/>
    <d v="2021-06-30T00:00:00"/>
    <s v="Telstra"/>
    <s v="NETWORK"/>
    <s v="Network - InfraCo"/>
    <s v="VIC"/>
    <s v="Australia"/>
    <s v="Blackburn"/>
    <s v="BLACKBURN EXCHANGE"/>
    <n v="423030566300"/>
    <s v="Recycled Waste"/>
    <x v="0"/>
    <x v="5"/>
    <s v="Account"/>
    <s v="CLEANAWAY Metal - Diversion"/>
    <m/>
    <s v="25468_Diversion_Metal"/>
    <s v="Metal"/>
    <s v="Cleanaway"/>
    <m/>
    <d v="2021-03-12T00:00:00"/>
    <m/>
    <d v="2021-05-01T00:00:00"/>
    <s v="FY21"/>
    <s v="t"/>
    <n v="0"/>
    <n v="0"/>
    <n v="0.2263"/>
    <n v="0.2263"/>
    <n v="0"/>
    <n v="0"/>
    <n v="31"/>
    <n v="31"/>
    <n v="0"/>
    <n v="0"/>
    <n v="100"/>
    <s v="Consolidation"/>
    <s v="CO2e and Base Measure"/>
    <n v="100"/>
    <n v="100"/>
    <n v="0.23"/>
    <m/>
    <m/>
    <m/>
    <m/>
    <m/>
    <m/>
    <m/>
    <m/>
    <m/>
    <m/>
    <m/>
    <m/>
    <m/>
    <s v="AUD"/>
    <s v="13641224Waste Recycled - Construction and Demolition [t]"/>
    <n v="13641224"/>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07-01T00:00:00"/>
    <s v="FY21"/>
    <s v="t"/>
    <n v="0.75"/>
    <n v="0"/>
    <n v="0"/>
    <n v="0.75"/>
    <n v="2"/>
    <n v="0"/>
    <n v="0"/>
    <n v="2"/>
    <n v="100"/>
    <n v="0"/>
    <n v="0"/>
    <s v="Consolidation"/>
    <s v="CO2e and Base Measure"/>
    <n v="100"/>
    <n v="100"/>
    <n v="0.75"/>
    <m/>
    <m/>
    <m/>
    <m/>
    <m/>
    <n v="0.97499999999999998"/>
    <m/>
    <n v="0.97499999999999998"/>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08-01T00:00:00"/>
    <s v="FY21"/>
    <s v="t"/>
    <n v="0.4"/>
    <n v="0"/>
    <n v="0"/>
    <n v="0.4"/>
    <n v="2"/>
    <n v="0"/>
    <n v="0"/>
    <n v="2"/>
    <n v="100"/>
    <n v="0"/>
    <n v="0"/>
    <s v="Consolidation"/>
    <s v="CO2e and Base Measure"/>
    <n v="100"/>
    <n v="100"/>
    <n v="0.4"/>
    <m/>
    <m/>
    <m/>
    <m/>
    <m/>
    <n v="0.52"/>
    <m/>
    <n v="0.52"/>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09-01T00:00:00"/>
    <s v="FY21"/>
    <s v="t"/>
    <n v="0.27500000000000002"/>
    <n v="0"/>
    <n v="0"/>
    <n v="0.27500000000000002"/>
    <n v="2"/>
    <n v="0"/>
    <n v="0"/>
    <n v="2"/>
    <n v="100"/>
    <n v="0"/>
    <n v="0"/>
    <s v="Consolidation"/>
    <s v="CO2e and Base Measure"/>
    <n v="100"/>
    <n v="100"/>
    <n v="0.28000000000000003"/>
    <m/>
    <m/>
    <m/>
    <m/>
    <m/>
    <n v="0.35749999999999998"/>
    <m/>
    <n v="0.35749999999999998"/>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10-01T00:00:00"/>
    <s v="FY21"/>
    <s v="t"/>
    <n v="0.33"/>
    <n v="0"/>
    <n v="0"/>
    <n v="0.33"/>
    <n v="2"/>
    <n v="0"/>
    <n v="0"/>
    <n v="2"/>
    <n v="100"/>
    <n v="0"/>
    <n v="0"/>
    <s v="Consolidation"/>
    <s v="CO2e and Base Measure"/>
    <n v="100"/>
    <n v="100"/>
    <n v="0.33"/>
    <m/>
    <m/>
    <m/>
    <m/>
    <m/>
    <n v="0.42899999999999999"/>
    <m/>
    <n v="0.42899999999999999"/>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11-01T00:00:00"/>
    <s v="FY21"/>
    <s v="t"/>
    <n v="0.25"/>
    <n v="0.19500000000000001"/>
    <n v="0"/>
    <n v="0.44500000000000001"/>
    <n v="1"/>
    <n v="2"/>
    <n v="0"/>
    <n v="3"/>
    <n v="56.17"/>
    <n v="43.82"/>
    <n v="0"/>
    <s v="Consolidation"/>
    <s v="CO2e and Base Measure"/>
    <n v="100"/>
    <n v="100"/>
    <n v="0.45"/>
    <m/>
    <m/>
    <m/>
    <m/>
    <m/>
    <n v="0.57850000000000001"/>
    <m/>
    <n v="0.57850000000000001"/>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1-01-01T00:00:00"/>
    <s v="FY21"/>
    <s v="t"/>
    <n v="0"/>
    <n v="0"/>
    <n v="1.32E-2"/>
    <n v="1.32E-2"/>
    <n v="0"/>
    <n v="0"/>
    <n v="1"/>
    <n v="1"/>
    <n v="0"/>
    <n v="0"/>
    <n v="100"/>
    <s v="Consolidation"/>
    <s v="CO2e and Base Measure"/>
    <n v="100"/>
    <n v="100"/>
    <n v="0.01"/>
    <m/>
    <m/>
    <m/>
    <m/>
    <m/>
    <n v="1.72E-2"/>
    <m/>
    <n v="1.72E-2"/>
    <m/>
    <m/>
    <m/>
    <m/>
    <m/>
    <s v="AUD"/>
    <s v="13564575Waste - General [t] - Scope 3"/>
    <n v="13564575"/>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0-12-01T00:00:00"/>
    <s v="FY21"/>
    <s v="t"/>
    <n v="1.4330000000000001"/>
    <n v="0"/>
    <n v="0"/>
    <n v="1.4330000000000001"/>
    <n v="4"/>
    <n v="0"/>
    <n v="0"/>
    <n v="4"/>
    <n v="100"/>
    <n v="0"/>
    <n v="0"/>
    <s v="Consolidation"/>
    <s v="CO2e and Base Measure"/>
    <n v="100"/>
    <n v="100"/>
    <n v="1.43"/>
    <m/>
    <m/>
    <m/>
    <m/>
    <m/>
    <n v="1.8629"/>
    <m/>
    <n v="1.8629"/>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1-01T00:00:00"/>
    <s v="FY21"/>
    <s v="t"/>
    <n v="0.54800000000000004"/>
    <n v="0"/>
    <n v="0"/>
    <n v="0.54800000000000004"/>
    <n v="3"/>
    <n v="0"/>
    <n v="0"/>
    <n v="3"/>
    <n v="100"/>
    <n v="0"/>
    <n v="0"/>
    <s v="Consolidation"/>
    <s v="CO2e and Base Measure"/>
    <n v="100"/>
    <n v="100"/>
    <n v="0.55000000000000004"/>
    <m/>
    <m/>
    <m/>
    <m/>
    <m/>
    <n v="0.71240000000000003"/>
    <m/>
    <n v="0.71240000000000003"/>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2-01T00:00:00"/>
    <s v="FY21"/>
    <s v="t"/>
    <n v="0.50800000000000001"/>
    <n v="6.7500000000000004E-2"/>
    <n v="0"/>
    <n v="0.57550000000000001"/>
    <n v="3"/>
    <n v="1"/>
    <n v="0"/>
    <n v="4"/>
    <n v="88.27"/>
    <n v="11.72"/>
    <n v="0"/>
    <s v="Consolidation"/>
    <s v="CO2e and Base Measure"/>
    <n v="100"/>
    <n v="100"/>
    <n v="0.57999999999999996"/>
    <m/>
    <m/>
    <m/>
    <m/>
    <m/>
    <n v="0.74819999999999998"/>
    <m/>
    <n v="0.74819999999999998"/>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3-01T00:00:00"/>
    <s v="FY21"/>
    <s v="t"/>
    <n v="0.93"/>
    <n v="0"/>
    <n v="0"/>
    <n v="0.93"/>
    <n v="5"/>
    <n v="0"/>
    <n v="0"/>
    <n v="5"/>
    <n v="100"/>
    <n v="0"/>
    <n v="0"/>
    <s v="Consolidation"/>
    <s v="CO2e and Base Measure"/>
    <n v="100"/>
    <n v="100"/>
    <n v="0.93"/>
    <m/>
    <m/>
    <m/>
    <m/>
    <m/>
    <n v="1.2090000000000001"/>
    <m/>
    <n v="1.2090000000000001"/>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4-01T00:00:00"/>
    <s v="FY21"/>
    <s v="t"/>
    <n v="0"/>
    <n v="0"/>
    <n v="0.873"/>
    <n v="0.873"/>
    <n v="0"/>
    <n v="0"/>
    <n v="30"/>
    <n v="30"/>
    <n v="0"/>
    <n v="0"/>
    <n v="100"/>
    <s v="Consolidation"/>
    <s v="CO2e and Base Measure"/>
    <n v="100"/>
    <n v="100"/>
    <n v="0.87"/>
    <m/>
    <m/>
    <m/>
    <m/>
    <m/>
    <n v="1.1349"/>
    <m/>
    <n v="1.1349"/>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5-01T00:00:00"/>
    <s v="FY21"/>
    <s v="t"/>
    <n v="0"/>
    <n v="0"/>
    <n v="0.90210000000000001"/>
    <n v="0.90210000000000001"/>
    <n v="0"/>
    <n v="0"/>
    <n v="31"/>
    <n v="31"/>
    <n v="0"/>
    <n v="0"/>
    <n v="100"/>
    <s v="Consolidation"/>
    <s v="CO2e and Base Measure"/>
    <n v="100"/>
    <n v="100"/>
    <n v="0.9"/>
    <m/>
    <m/>
    <m/>
    <m/>
    <m/>
    <n v="1.1727000000000001"/>
    <m/>
    <n v="1.1727000000000001"/>
    <m/>
    <m/>
    <m/>
    <m/>
    <m/>
    <s v="AUD"/>
    <s v="13634034Waste - General [t] - Scope 3"/>
    <n v="13634034"/>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07-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08-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09-01T00:00:00"/>
    <s v="FY21"/>
    <s v="t"/>
    <n v="0"/>
    <n v="0"/>
    <n v="0.111"/>
    <n v="0.111"/>
    <n v="0"/>
    <n v="0"/>
    <n v="30"/>
    <n v="30"/>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10-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11-01T00:00:00"/>
    <s v="FY21"/>
    <s v="t"/>
    <n v="0"/>
    <n v="0"/>
    <n v="0.111"/>
    <n v="0.111"/>
    <n v="0"/>
    <n v="0"/>
    <n v="30"/>
    <n v="30"/>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12-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1-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2-01T00:00:00"/>
    <s v="FY21"/>
    <s v="t"/>
    <n v="0"/>
    <n v="0"/>
    <n v="0.1036"/>
    <n v="0.1036"/>
    <n v="0"/>
    <n v="0"/>
    <n v="28"/>
    <n v="28"/>
    <n v="0"/>
    <n v="0"/>
    <n v="100"/>
    <s v="Consolidation"/>
    <s v="CO2e and Base Measure"/>
    <n v="100"/>
    <n v="100"/>
    <n v="0.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3-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4-01T00:00:00"/>
    <s v="FY21"/>
    <s v="t"/>
    <n v="0"/>
    <n v="0"/>
    <n v="0.111"/>
    <n v="0.111"/>
    <n v="0"/>
    <n v="0"/>
    <n v="30"/>
    <n v="30"/>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5-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ETWORK"/>
    <s v="Network - InfraCo"/>
    <s v="NSW"/>
    <s v="Australia"/>
    <s v="Condobolin"/>
    <s v="BLOW CLEAR EXCHANGE"/>
    <n v="423030315000"/>
    <s v="Waste"/>
    <x v="1"/>
    <x v="2"/>
    <s v="Account"/>
    <s v="CLEANAWAY General"/>
    <m/>
    <s v="44272_Landfill_General"/>
    <s v="General"/>
    <s v="Cleanaway"/>
    <m/>
    <d v="2021-02-17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41201Waste - General [t] - Scope 3"/>
    <n v="13641201"/>
  </r>
  <r>
    <d v="2019-07-01T00:00:00"/>
    <d v="2021-06-30T00:00:00"/>
    <s v="Telstra"/>
    <s v="NETWORK"/>
    <s v="Network - InfraCo"/>
    <s v="NSW"/>
    <s v="Australia"/>
    <s v="Condobolin"/>
    <s v="BLOW CLEAR EXCHANGE"/>
    <n v="423030315000"/>
    <s v="Waste"/>
    <x v="1"/>
    <x v="2"/>
    <s v="Account"/>
    <s v="CLEANAWAY General"/>
    <m/>
    <s v="44272_Landfill_General"/>
    <s v="General"/>
    <s v="Cleanaway"/>
    <m/>
    <d v="2021-02-17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41201Waste - General [t] - Scope 3"/>
    <n v="13641201"/>
  </r>
  <r>
    <d v="2019-07-01T00:00:00"/>
    <d v="2021-06-30T00:00:00"/>
    <s v="Telstra"/>
    <s v="NETWORK"/>
    <s v="Network - InfraCo"/>
    <s v="NSW"/>
    <s v="Australia"/>
    <s v="Condobolin"/>
    <s v="BLOW CLEAR EXCHANGE"/>
    <n v="423030315000"/>
    <s v="Waste"/>
    <x v="1"/>
    <x v="2"/>
    <s v="Account"/>
    <s v="CLEANAWAY General"/>
    <m/>
    <s v="44272_Landfill_General"/>
    <s v="General"/>
    <s v="Cleanaway"/>
    <m/>
    <d v="2021-02-17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41201Waste - General [t] - Scope 3"/>
    <n v="13641201"/>
  </r>
  <r>
    <d v="2019-07-01T00:00:00"/>
    <d v="2021-06-30T00:00:00"/>
    <s v="Telstra"/>
    <s v="NETWORK"/>
    <s v="Network - InfraCo"/>
    <s v="NSW"/>
    <s v="Australia"/>
    <s v="Condobolin"/>
    <s v="BLOW CLEAR EXCHANGE"/>
    <n v="423030315000"/>
    <s v="Waste"/>
    <x v="1"/>
    <x v="2"/>
    <s v="Account"/>
    <s v="CLEANAWAY General"/>
    <m/>
    <s v="44272_Landfill_General"/>
    <s v="General"/>
    <s v="Cleanaway"/>
    <m/>
    <d v="2021-02-17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41201Waste - General [t] - Scope 3"/>
    <n v="13641201"/>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133Waste - General [t] - Scope 3"/>
    <n v="13564133"/>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1-01T00:00:00"/>
    <s v="FY21"/>
    <s v="t"/>
    <n v="0.20200000000000001"/>
    <n v="0"/>
    <n v="0"/>
    <n v="0.20200000000000001"/>
    <n v="1"/>
    <n v="0"/>
    <n v="0"/>
    <n v="1"/>
    <n v="100"/>
    <n v="0"/>
    <n v="0"/>
    <s v="Consolidation"/>
    <s v="CO2e and Base Measure"/>
    <n v="100"/>
    <n v="100"/>
    <n v="0.2"/>
    <m/>
    <m/>
    <m/>
    <m/>
    <m/>
    <n v="0.2626"/>
    <m/>
    <n v="0.2626"/>
    <m/>
    <m/>
    <m/>
    <m/>
    <m/>
    <s v="AUD"/>
    <s v="13634502Waste - General [t] - Scope 3"/>
    <n v="13634502"/>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2-01T00:00:00"/>
    <s v="FY21"/>
    <s v="t"/>
    <n v="0.22500000000000001"/>
    <n v="0"/>
    <n v="0"/>
    <n v="0.22500000000000001"/>
    <n v="2"/>
    <n v="0"/>
    <n v="0"/>
    <n v="2"/>
    <n v="100"/>
    <n v="0"/>
    <n v="0"/>
    <s v="Consolidation"/>
    <s v="CO2e and Base Measure"/>
    <n v="100"/>
    <n v="100"/>
    <n v="0.23"/>
    <m/>
    <m/>
    <m/>
    <m/>
    <m/>
    <n v="0.29249999999999998"/>
    <m/>
    <n v="0.29249999999999998"/>
    <m/>
    <m/>
    <m/>
    <m/>
    <m/>
    <s v="AUD"/>
    <s v="13634502Waste - General [t] - Scope 3"/>
    <n v="13634502"/>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3-01T00:00:00"/>
    <s v="FY21"/>
    <s v="t"/>
    <n v="8.8999999999999996E-2"/>
    <n v="6.7500000000000004E-2"/>
    <n v="0"/>
    <n v="0.1565"/>
    <n v="1"/>
    <n v="1"/>
    <n v="0"/>
    <n v="2"/>
    <n v="56.86"/>
    <n v="43.13"/>
    <n v="0"/>
    <s v="Consolidation"/>
    <s v="CO2e and Base Measure"/>
    <n v="100"/>
    <n v="100"/>
    <n v="0.16"/>
    <m/>
    <m/>
    <m/>
    <m/>
    <m/>
    <n v="0.20349999999999999"/>
    <m/>
    <n v="0.20349999999999999"/>
    <m/>
    <m/>
    <m/>
    <m/>
    <m/>
    <s v="AUD"/>
    <s v="13634502Waste - General [t] - Scope 3"/>
    <n v="13634502"/>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4-01T00:00:00"/>
    <s v="FY21"/>
    <s v="t"/>
    <n v="0"/>
    <n v="0"/>
    <n v="0.19800000000000001"/>
    <n v="0.19800000000000001"/>
    <n v="0"/>
    <n v="0"/>
    <n v="30"/>
    <n v="30"/>
    <n v="0"/>
    <n v="0"/>
    <n v="100"/>
    <s v="Consolidation"/>
    <s v="CO2e and Base Measure"/>
    <n v="100"/>
    <n v="100"/>
    <n v="0.2"/>
    <m/>
    <m/>
    <m/>
    <m/>
    <m/>
    <n v="0.25740000000000002"/>
    <m/>
    <n v="0.25740000000000002"/>
    <m/>
    <m/>
    <m/>
    <m/>
    <m/>
    <s v="AUD"/>
    <s v="13634502Waste - General [t] - Scope 3"/>
    <n v="13634502"/>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5-01T00:00:00"/>
    <s v="FY21"/>
    <s v="t"/>
    <n v="0"/>
    <n v="0"/>
    <n v="0.2046"/>
    <n v="0.2046"/>
    <n v="0"/>
    <n v="0"/>
    <n v="31"/>
    <n v="31"/>
    <n v="0"/>
    <n v="0"/>
    <n v="100"/>
    <s v="Consolidation"/>
    <s v="CO2e and Base Measure"/>
    <n v="100"/>
    <n v="100"/>
    <n v="0.2"/>
    <m/>
    <m/>
    <m/>
    <m/>
    <m/>
    <n v="0.26600000000000001"/>
    <m/>
    <n v="0.26600000000000001"/>
    <m/>
    <m/>
    <m/>
    <m/>
    <m/>
    <s v="AUD"/>
    <s v="13634502Waste - General [t] - Scope 3"/>
    <n v="13634502"/>
  </r>
  <r>
    <d v="2019-07-01T00:00:00"/>
    <d v="2021-06-30T00:00:00"/>
    <s v="Telstra"/>
    <s v="NETWORK"/>
    <s v="Network - InfraCo"/>
    <s v="NSW"/>
    <s v="Australia"/>
    <s v="Bombala"/>
    <s v="BOMBALA EXCHANGE"/>
    <n v="423030326500"/>
    <s v="Waste"/>
    <x v="1"/>
    <x v="2"/>
    <s v="Account"/>
    <s v="Remondis General Waste"/>
    <m/>
    <s v="423030326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77Waste - General [t] - Scope 3"/>
    <n v="13564577"/>
  </r>
  <r>
    <d v="2019-07-01T00:00:00"/>
    <d v="2021-06-30T00:00:00"/>
    <s v="Telstra"/>
    <s v="NETWORK"/>
    <s v="Network - InfraCo"/>
    <s v="NSW"/>
    <s v="Australia"/>
    <s v="Bombala"/>
    <s v="BOMBALA EXCHANGE"/>
    <n v="423030326500"/>
    <s v="Waste"/>
    <x v="1"/>
    <x v="2"/>
    <s v="Account"/>
    <s v="Remondis General Waste"/>
    <m/>
    <s v="423030326500_WGENERALW"/>
    <s v="GENERAL WASTE"/>
    <s v="Remondis"/>
    <m/>
    <m/>
    <d v="2021-01-01T00:00:00"/>
    <d v="2021-01-01T00:00:00"/>
    <s v="FY21"/>
    <s v="t"/>
    <n v="0"/>
    <n v="0"/>
    <n v="8.9999999999999998E-4"/>
    <n v="8.9999999999999998E-4"/>
    <n v="0"/>
    <n v="0"/>
    <n v="1"/>
    <n v="1"/>
    <n v="0"/>
    <n v="0"/>
    <n v="100"/>
    <s v="Consolidation"/>
    <s v="CO2e and Base Measure"/>
    <n v="100"/>
    <n v="100"/>
    <n v="0"/>
    <m/>
    <m/>
    <m/>
    <m/>
    <m/>
    <n v="1.1999999999999999E-3"/>
    <m/>
    <n v="1.1999999999999999E-3"/>
    <m/>
    <m/>
    <m/>
    <m/>
    <m/>
    <s v="AUD"/>
    <s v="13564577Waste - General [t] - Scope 3"/>
    <n v="13564577"/>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07-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08-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09-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10-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11-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12-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106Waste - General [t] - Scope 3"/>
    <n v="13564106"/>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0-12-01T00:00:00"/>
    <s v="FY21"/>
    <s v="t"/>
    <n v="0.06"/>
    <n v="0.13500000000000001"/>
    <n v="0"/>
    <n v="0.19500000000000001"/>
    <n v="2"/>
    <n v="2"/>
    <n v="0"/>
    <n v="4"/>
    <n v="30.76"/>
    <n v="69.23"/>
    <n v="0"/>
    <s v="Consolidation"/>
    <s v="CO2e and Base Measure"/>
    <n v="100"/>
    <n v="100"/>
    <n v="0.2"/>
    <m/>
    <m/>
    <m/>
    <m/>
    <m/>
    <n v="0.2535"/>
    <m/>
    <n v="0.2535"/>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1-01T00:00:00"/>
    <s v="FY21"/>
    <s v="t"/>
    <n v="6.2E-2"/>
    <n v="0.20250000000000001"/>
    <n v="0"/>
    <n v="0.26450000000000001"/>
    <n v="1"/>
    <n v="3"/>
    <n v="0"/>
    <n v="4"/>
    <n v="23.44"/>
    <n v="76.55"/>
    <n v="0"/>
    <s v="Consolidation"/>
    <s v="CO2e and Base Measure"/>
    <n v="100"/>
    <n v="100"/>
    <n v="0.26"/>
    <m/>
    <m/>
    <m/>
    <m/>
    <m/>
    <n v="0.34389999999999998"/>
    <m/>
    <n v="0.34389999999999998"/>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2-01T00:00:00"/>
    <s v="FY21"/>
    <s v="t"/>
    <n v="0.217"/>
    <n v="0"/>
    <n v="0"/>
    <n v="0.217"/>
    <n v="3"/>
    <n v="0"/>
    <n v="0"/>
    <n v="3"/>
    <n v="100"/>
    <n v="0"/>
    <n v="0"/>
    <s v="Consolidation"/>
    <s v="CO2e and Base Measure"/>
    <n v="100"/>
    <n v="100"/>
    <n v="0.22"/>
    <m/>
    <m/>
    <m/>
    <m/>
    <m/>
    <n v="0.28210000000000002"/>
    <m/>
    <n v="0.28210000000000002"/>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3-01T00:00:00"/>
    <s v="FY21"/>
    <s v="t"/>
    <n v="9.2999999999999999E-2"/>
    <n v="0"/>
    <n v="0"/>
    <n v="9.2999999999999999E-2"/>
    <n v="3"/>
    <n v="0"/>
    <n v="0"/>
    <n v="3"/>
    <n v="100"/>
    <n v="0"/>
    <n v="0"/>
    <s v="Consolidation"/>
    <s v="CO2e and Base Measure"/>
    <n v="100"/>
    <n v="100"/>
    <n v="0.09"/>
    <m/>
    <m/>
    <m/>
    <m/>
    <m/>
    <n v="0.12089999999999999"/>
    <m/>
    <n v="0.12089999999999999"/>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4-01T00:00:00"/>
    <s v="FY21"/>
    <s v="t"/>
    <n v="0"/>
    <n v="0"/>
    <n v="0.192"/>
    <n v="0.192"/>
    <n v="0"/>
    <n v="0"/>
    <n v="30"/>
    <n v="30"/>
    <n v="0"/>
    <n v="0"/>
    <n v="100"/>
    <s v="Consolidation"/>
    <s v="CO2e and Base Measure"/>
    <n v="100"/>
    <n v="100"/>
    <n v="0.19"/>
    <m/>
    <m/>
    <m/>
    <m/>
    <m/>
    <n v="0.24959999999999999"/>
    <m/>
    <n v="0.24959999999999999"/>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5-01T00:00:00"/>
    <s v="FY21"/>
    <s v="t"/>
    <n v="0"/>
    <n v="0"/>
    <n v="0.19839999999999999"/>
    <n v="0.19839999999999999"/>
    <n v="0"/>
    <n v="0"/>
    <n v="31"/>
    <n v="31"/>
    <n v="0"/>
    <n v="0"/>
    <n v="100"/>
    <s v="Consolidation"/>
    <s v="CO2e and Base Measure"/>
    <n v="100"/>
    <n v="100"/>
    <n v="0.2"/>
    <m/>
    <m/>
    <m/>
    <m/>
    <m/>
    <n v="0.25790000000000002"/>
    <m/>
    <n v="0.25790000000000002"/>
    <m/>
    <m/>
    <m/>
    <m/>
    <m/>
    <s v="AUD"/>
    <s v="13634035Waste - General [t] - Scope 3"/>
    <n v="13634035"/>
  </r>
  <r>
    <d v="2019-07-01T00:00:00"/>
    <d v="2021-06-30T00:00:00"/>
    <s v="Telstra"/>
    <s v="NON-NETWORK"/>
    <s v="NON-NETWORK"/>
    <s v="QLD"/>
    <s v="Australia"/>
    <s v="Zillmere"/>
    <s v="BOONDALL CONSTRUCTION DEPOT"/>
    <n v="423031640500"/>
    <s v="Waste"/>
    <x v="1"/>
    <x v="4"/>
    <s v="Account"/>
    <s v="Remondis Asbestos"/>
    <m/>
    <s v="423031640500_WASBESTOS"/>
    <s v="ASBESTOS"/>
    <s v="Remondis"/>
    <m/>
    <m/>
    <d v="2020-12-01T00:00:00"/>
    <d v="2020-09-01T00:00:00"/>
    <s v="FY21"/>
    <s v="t"/>
    <n v="2.0000000000000001E-4"/>
    <n v="0"/>
    <n v="0"/>
    <n v="2.0000000000000001E-4"/>
    <n v="2"/>
    <n v="0"/>
    <n v="0"/>
    <n v="2"/>
    <n v="100"/>
    <n v="0"/>
    <n v="0"/>
    <s v="Consolidation"/>
    <s v="CO2e and Base Measure"/>
    <n v="100"/>
    <n v="100"/>
    <n v="0"/>
    <m/>
    <m/>
    <m/>
    <m/>
    <m/>
    <n v="2.0000000000000001E-4"/>
    <m/>
    <n v="2.0000000000000001E-4"/>
    <m/>
    <m/>
    <m/>
    <m/>
    <m/>
    <s v="AUD"/>
    <s v="13565749Waste - Construction and Demolition [t]"/>
    <n v="13565749"/>
  </r>
  <r>
    <d v="2019-07-01T00:00:00"/>
    <d v="2021-06-30T00:00:00"/>
    <s v="Telstra"/>
    <s v="NON-NETWORK"/>
    <s v="NON-NETWORK"/>
    <s v="QLD"/>
    <s v="Australia"/>
    <s v="Zillmere"/>
    <s v="BOONDALL CONSTRUCTION DEPOT"/>
    <n v="423031640500"/>
    <s v="Waste"/>
    <x v="1"/>
    <x v="4"/>
    <s v="Account"/>
    <s v="Remondis Asbestos"/>
    <m/>
    <s v="423031640500_WASBESTOS"/>
    <s v="ASBESTOS"/>
    <s v="Remondis"/>
    <m/>
    <m/>
    <d v="2020-12-01T00:00:00"/>
    <d v="2020-10-01T00:00:00"/>
    <s v="FY21"/>
    <s v="t"/>
    <n v="0"/>
    <n v="0.12"/>
    <n v="0"/>
    <n v="0.12"/>
    <n v="0"/>
    <n v="1"/>
    <n v="0"/>
    <n v="1"/>
    <n v="0"/>
    <n v="100"/>
    <n v="0"/>
    <s v="Consolidation"/>
    <s v="CO2e and Base Measure"/>
    <n v="100"/>
    <n v="100"/>
    <n v="0.12"/>
    <m/>
    <m/>
    <m/>
    <m/>
    <m/>
    <n v="0.14399999999999999"/>
    <m/>
    <n v="0.14399999999999999"/>
    <m/>
    <m/>
    <m/>
    <m/>
    <m/>
    <s v="AUD"/>
    <s v="13565749Waste - Construction and Demolition [t]"/>
    <n v="13565749"/>
  </r>
  <r>
    <d v="2019-07-01T00:00:00"/>
    <d v="2021-06-30T00:00:00"/>
    <s v="Telstra"/>
    <s v="NON-NETWORK"/>
    <s v="NON-NETWORK"/>
    <s v="QLD"/>
    <s v="Australia"/>
    <s v="Zillmere"/>
    <s v="BOONDALL CONSTRUCTION DEPOT"/>
    <n v="423031640500"/>
    <s v="Waste"/>
    <x v="1"/>
    <x v="4"/>
    <s v="Account"/>
    <s v="Remondis Asbestos"/>
    <m/>
    <s v="423031640500_WASBESTOS"/>
    <s v="ASBESTOS"/>
    <s v="Remondis"/>
    <m/>
    <m/>
    <d v="2020-12-01T00:00:00"/>
    <d v="2020-11-01T00:00:00"/>
    <s v="FY21"/>
    <s v="t"/>
    <n v="0"/>
    <n v="0.12"/>
    <n v="0"/>
    <n v="0.12"/>
    <n v="0"/>
    <n v="1"/>
    <n v="0"/>
    <n v="1"/>
    <n v="0"/>
    <n v="100"/>
    <n v="0"/>
    <s v="Consolidation"/>
    <s v="CO2e and Base Measure"/>
    <n v="100"/>
    <n v="100"/>
    <n v="0.12"/>
    <m/>
    <m/>
    <m/>
    <m/>
    <m/>
    <n v="0.14399999999999999"/>
    <m/>
    <n v="0.14399999999999999"/>
    <m/>
    <m/>
    <m/>
    <m/>
    <m/>
    <s v="AUD"/>
    <s v="13565749Waste - Construction and Demolition [t]"/>
    <n v="13565749"/>
  </r>
  <r>
    <d v="2019-07-01T00:00:00"/>
    <d v="2021-06-30T00:00:00"/>
    <s v="Telstra"/>
    <s v="NON-NETWORK"/>
    <s v="NON-NETWORK"/>
    <s v="QLD"/>
    <s v="Australia"/>
    <s v="Zillmere"/>
    <s v="BOONDALL CONSTRUCTION DEPOT"/>
    <n v="423031640500"/>
    <s v="Waste"/>
    <x v="1"/>
    <x v="4"/>
    <s v="Account"/>
    <s v="Remondis Asbestos"/>
    <m/>
    <s v="423031640500_WASBESTOS"/>
    <s v="ASBESTOS"/>
    <s v="Remondis"/>
    <m/>
    <m/>
    <d v="2020-12-01T00:00:00"/>
    <d v="2020-12-01T00:00:00"/>
    <s v="FY21"/>
    <s v="t"/>
    <n v="0"/>
    <n v="0"/>
    <n v="2E-3"/>
    <n v="2E-3"/>
    <n v="0"/>
    <n v="0"/>
    <n v="1"/>
    <n v="1"/>
    <n v="0"/>
    <n v="0"/>
    <n v="100"/>
    <s v="Consolidation"/>
    <s v="CO2e and Base Measure"/>
    <n v="100"/>
    <n v="100"/>
    <n v="0"/>
    <m/>
    <m/>
    <m/>
    <m/>
    <m/>
    <n v="2.3999999999999998E-3"/>
    <m/>
    <n v="2.3999999999999998E-3"/>
    <m/>
    <m/>
    <m/>
    <m/>
    <m/>
    <s v="AUD"/>
    <s v="13565749Waste - Construction and Demolition [t]"/>
    <n v="13565749"/>
  </r>
  <r>
    <d v="2019-07-01T00:00:00"/>
    <d v="2021-06-30T00:00:00"/>
    <s v="Telstra"/>
    <s v="NON-NETWORK"/>
    <s v="NON-NETWORK"/>
    <s v="QLD"/>
    <s v="Australia"/>
    <s v="Zillmere"/>
    <s v="BOONDALL CONSTRUCTION DEPOT"/>
    <n v="423031640500"/>
    <s v="Recycled Waste"/>
    <x v="0"/>
    <x v="1"/>
    <s v="Account"/>
    <s v="Remondis Batteries - Mixed Recycled"/>
    <m/>
    <s v="423031640500_RBATTERY."/>
    <s v="BATTERIES - MIXED RECYCLED"/>
    <s v="Remondis"/>
    <m/>
    <m/>
    <d v="2021-01-01T00:00:00"/>
    <d v="2020-12-01T00:00:00"/>
    <s v="FY21"/>
    <s v="t"/>
    <n v="0.01"/>
    <n v="0"/>
    <n v="0"/>
    <n v="0.01"/>
    <n v="1"/>
    <n v="0"/>
    <n v="0"/>
    <n v="1"/>
    <n v="100"/>
    <n v="0"/>
    <n v="0"/>
    <s v="Consolidation"/>
    <s v="CO2e and Base Measure"/>
    <n v="100"/>
    <n v="100"/>
    <n v="0.01"/>
    <m/>
    <m/>
    <m/>
    <m/>
    <m/>
    <m/>
    <m/>
    <m/>
    <m/>
    <m/>
    <m/>
    <m/>
    <m/>
    <s v="AUD"/>
    <s v="13565751Waste Recycled - E-waste [t]"/>
    <n v="13565751"/>
  </r>
  <r>
    <d v="2019-07-01T00:00:00"/>
    <d v="2021-06-30T00:00:00"/>
    <s v="Telstra"/>
    <s v="NON-NETWORK"/>
    <s v="NON-NETWORK"/>
    <s v="QLD"/>
    <s v="Australia"/>
    <s v="Zillmere"/>
    <s v="BOONDALL CONSTRUCTION DEPOT"/>
    <n v="423031640500"/>
    <s v="Recycled Waste"/>
    <x v="0"/>
    <x v="1"/>
    <s v="Account"/>
    <s v="Remondis Batteries - Mixed Recycled"/>
    <m/>
    <s v="423031640500_RBATTERY."/>
    <s v="BATTERIES - MIXED RECYCLED"/>
    <s v="Remondis"/>
    <m/>
    <m/>
    <d v="2021-01-01T00:00:00"/>
    <d v="2021-01-01T00:00:00"/>
    <s v="FY21"/>
    <s v="t"/>
    <n v="0"/>
    <n v="0"/>
    <n v="2.9999999999999997E-4"/>
    <n v="2.9999999999999997E-4"/>
    <n v="0"/>
    <n v="0"/>
    <n v="1"/>
    <n v="1"/>
    <n v="0"/>
    <n v="0"/>
    <n v="100"/>
    <s v="Consolidation"/>
    <s v="CO2e and Base Measure"/>
    <n v="100"/>
    <n v="100"/>
    <n v="0"/>
    <m/>
    <m/>
    <m/>
    <m/>
    <m/>
    <m/>
    <m/>
    <m/>
    <m/>
    <m/>
    <m/>
    <m/>
    <m/>
    <s v="AUD"/>
    <s v="13565751Waste Recycled - E-waste [t]"/>
    <n v="13565751"/>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07-01T00:00:00"/>
    <s v="FY21"/>
    <s v="t"/>
    <n v="0"/>
    <n v="0.252"/>
    <n v="0"/>
    <n v="0.252"/>
    <n v="0"/>
    <n v="2"/>
    <n v="0"/>
    <n v="2"/>
    <n v="0"/>
    <n v="100"/>
    <n v="0"/>
    <s v="Consolidation"/>
    <s v="CO2e and Base Measure"/>
    <n v="100"/>
    <n v="100"/>
    <n v="0.25"/>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08-01T00:00:00"/>
    <s v="FY21"/>
    <s v="t"/>
    <n v="0"/>
    <n v="0.252"/>
    <n v="0"/>
    <n v="0.252"/>
    <n v="0"/>
    <n v="2"/>
    <n v="0"/>
    <n v="2"/>
    <n v="0"/>
    <n v="100"/>
    <n v="0"/>
    <s v="Consolidation"/>
    <s v="CO2e and Base Measure"/>
    <n v="100"/>
    <n v="100"/>
    <n v="0.25"/>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09-01T00:00:00"/>
    <s v="FY21"/>
    <s v="t"/>
    <n v="0"/>
    <n v="0.252"/>
    <n v="0"/>
    <n v="0.252"/>
    <n v="0"/>
    <n v="2"/>
    <n v="0"/>
    <n v="2"/>
    <n v="0"/>
    <n v="100"/>
    <n v="0"/>
    <s v="Consolidation"/>
    <s v="CO2e and Base Measure"/>
    <n v="100"/>
    <n v="100"/>
    <n v="0.25"/>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10-01T00:00:00"/>
    <s v="FY21"/>
    <s v="t"/>
    <n v="0"/>
    <n v="0.378"/>
    <n v="0"/>
    <n v="0.378"/>
    <n v="0"/>
    <n v="3"/>
    <n v="0"/>
    <n v="3"/>
    <n v="0"/>
    <n v="100"/>
    <n v="0"/>
    <s v="Consolidation"/>
    <s v="CO2e and Base Measure"/>
    <n v="100"/>
    <n v="100"/>
    <n v="0.38"/>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11-01T00:00:00"/>
    <s v="FY21"/>
    <s v="t"/>
    <n v="0"/>
    <n v="0.252"/>
    <n v="0"/>
    <n v="0.252"/>
    <n v="0"/>
    <n v="2"/>
    <n v="0"/>
    <n v="2"/>
    <n v="0"/>
    <n v="100"/>
    <n v="0"/>
    <s v="Consolidation"/>
    <s v="CO2e and Base Measure"/>
    <n v="100"/>
    <n v="100"/>
    <n v="0.25"/>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12-01T00:00:00"/>
    <s v="FY21"/>
    <s v="t"/>
    <n v="0"/>
    <n v="0.126"/>
    <n v="0"/>
    <n v="0.126"/>
    <n v="0"/>
    <n v="1"/>
    <n v="0"/>
    <n v="1"/>
    <n v="0"/>
    <n v="100"/>
    <n v="0"/>
    <s v="Consolidation"/>
    <s v="CO2e and Base Measure"/>
    <n v="100"/>
    <n v="100"/>
    <n v="0.13"/>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1-01-01T00:00:00"/>
    <s v="FY21"/>
    <s v="t"/>
    <n v="0"/>
    <n v="0"/>
    <n v="8.3000000000000001E-3"/>
    <n v="8.3000000000000001E-3"/>
    <n v="0"/>
    <n v="0"/>
    <n v="1"/>
    <n v="1"/>
    <n v="0"/>
    <n v="0"/>
    <n v="100"/>
    <s v="Consolidation"/>
    <s v="CO2e and Base Measure"/>
    <n v="100"/>
    <n v="100"/>
    <n v="0.01"/>
    <m/>
    <m/>
    <m/>
    <m/>
    <m/>
    <m/>
    <n v="0"/>
    <m/>
    <m/>
    <m/>
    <m/>
    <m/>
    <m/>
    <s v="AUD"/>
    <s v="13565752Waste Recycled - Cardboard [t]"/>
    <n v="13565752"/>
  </r>
  <r>
    <d v="2019-07-01T00:00:00"/>
    <d v="2021-06-30T00:00:00"/>
    <s v="Telstra"/>
    <s v="NON-NETWORK"/>
    <s v="NON-NETWORK"/>
    <s v="QLD"/>
    <s v="Australia"/>
    <s v="Zillmere"/>
    <s v="BOONDALL CONSTRUCTION DEPOT"/>
    <n v="423031640500"/>
    <s v="No Recovery"/>
    <x v="1"/>
    <x v="7"/>
    <s v="Account"/>
    <s v="Remondis Clinical Waste"/>
    <m/>
    <s v="423031640500_WMEDMEDIC"/>
    <s v="CLINICAL WASTE"/>
    <s v="Remondis"/>
    <m/>
    <m/>
    <d v="2021-01-01T00:00:00"/>
    <d v="2020-12-01T00:00:00"/>
    <s v="FY21"/>
    <s v="t"/>
    <n v="0"/>
    <n v="1.9199999999999998E-2"/>
    <n v="0"/>
    <n v="1.9199999999999998E-2"/>
    <n v="0"/>
    <n v="1"/>
    <n v="0"/>
    <n v="1"/>
    <n v="0"/>
    <n v="100"/>
    <n v="0"/>
    <s v="Consolidation"/>
    <s v="CO2e and Base Measure"/>
    <n v="100"/>
    <n v="100"/>
    <n v="0.02"/>
    <m/>
    <m/>
    <m/>
    <m/>
    <m/>
    <n v="2.3E-2"/>
    <m/>
    <n v="2.3E-2"/>
    <m/>
    <m/>
    <m/>
    <m/>
    <m/>
    <s v="AUD"/>
    <s v="13565753Hazardous Waste [t]"/>
    <n v="13565753"/>
  </r>
  <r>
    <d v="2019-07-01T00:00:00"/>
    <d v="2021-06-30T00:00:00"/>
    <s v="Telstra"/>
    <s v="NON-NETWORK"/>
    <s v="NON-NETWORK"/>
    <s v="QLD"/>
    <s v="Australia"/>
    <s v="Zillmere"/>
    <s v="BOONDALL CONSTRUCTION DEPOT"/>
    <n v="423031640500"/>
    <s v="No Recovery"/>
    <x v="1"/>
    <x v="7"/>
    <s v="Account"/>
    <s v="Remondis Clinical Waste"/>
    <m/>
    <s v="423031640500_WMEDMEDIC"/>
    <s v="CLINICAL WASTE"/>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565753Hazardous Waste [t]"/>
    <n v="13565753"/>
  </r>
  <r>
    <d v="2019-07-01T00:00:00"/>
    <d v="2021-06-30T00:00:00"/>
    <s v="Telstra"/>
    <s v="NON-NETWORK"/>
    <s v="NON-NETWORK"/>
    <s v="QLD"/>
    <s v="Australia"/>
    <s v="Zillmere"/>
    <s v="BOONDALL CONSTRUCTION DEPOT"/>
    <n v="423031640500"/>
    <s v="Recycled Waste"/>
    <x v="0"/>
    <x v="3"/>
    <s v="Account"/>
    <s v="Remondis Commingled - Recycled"/>
    <m/>
    <s v="423031640500_RCOMINGLE"/>
    <s v="COMMINGLED - RECYCLED"/>
    <s v="Remondis"/>
    <m/>
    <m/>
    <d v="2020-12-01T00:00:00"/>
    <d v="2020-09-01T00:00:00"/>
    <s v="FY21"/>
    <s v="t"/>
    <n v="0"/>
    <n v="4.8000000000000001E-2"/>
    <n v="0"/>
    <n v="4.8000000000000001E-2"/>
    <n v="0"/>
    <n v="2"/>
    <n v="0"/>
    <n v="2"/>
    <n v="0"/>
    <n v="100"/>
    <n v="0"/>
    <s v="Consolidation"/>
    <s v="CO2e and Base Measure"/>
    <n v="100"/>
    <n v="100"/>
    <n v="0.05"/>
    <m/>
    <m/>
    <m/>
    <m/>
    <m/>
    <m/>
    <n v="0"/>
    <m/>
    <m/>
    <m/>
    <m/>
    <m/>
    <m/>
    <s v="AUD"/>
    <s v="13565754Waste Recycled - Commingled [t]"/>
    <n v="13565754"/>
  </r>
  <r>
    <d v="2019-07-01T00:00:00"/>
    <d v="2021-06-30T00:00:00"/>
    <s v="Telstra"/>
    <s v="NON-NETWORK"/>
    <s v="NON-NETWORK"/>
    <s v="QLD"/>
    <s v="Australia"/>
    <s v="Zillmere"/>
    <s v="BOONDALL CONSTRUCTION DEPOT"/>
    <n v="423031640500"/>
    <s v="Recycled Waste"/>
    <x v="0"/>
    <x v="3"/>
    <s v="Account"/>
    <s v="Remondis Commingled - Recycled"/>
    <m/>
    <s v="423031640500_RCOMINGLE"/>
    <s v="COMMINGLED - RECYCLED"/>
    <s v="Remondis"/>
    <m/>
    <m/>
    <d v="2020-12-01T00:00:00"/>
    <d v="2020-10-01T00:00:00"/>
    <s v="FY21"/>
    <s v="t"/>
    <n v="0"/>
    <n v="2.4E-2"/>
    <n v="0"/>
    <n v="2.4E-2"/>
    <n v="0"/>
    <n v="1"/>
    <n v="0"/>
    <n v="1"/>
    <n v="0"/>
    <n v="100"/>
    <n v="0"/>
    <s v="Consolidation"/>
    <s v="CO2e and Base Measure"/>
    <n v="100"/>
    <n v="100"/>
    <n v="0.02"/>
    <m/>
    <m/>
    <m/>
    <m/>
    <m/>
    <m/>
    <n v="0"/>
    <m/>
    <m/>
    <m/>
    <m/>
    <m/>
    <m/>
    <s v="AUD"/>
    <s v="13565754Waste Recycled - Commingled [t]"/>
    <n v="13565754"/>
  </r>
  <r>
    <d v="2019-07-01T00:00:00"/>
    <d v="2021-06-30T00:00:00"/>
    <s v="Telstra"/>
    <s v="NON-NETWORK"/>
    <s v="NON-NETWORK"/>
    <s v="QLD"/>
    <s v="Australia"/>
    <s v="Zillmere"/>
    <s v="BOONDALL CONSTRUCTION DEPOT"/>
    <n v="423031640500"/>
    <s v="Recycled Waste"/>
    <x v="0"/>
    <x v="3"/>
    <s v="Account"/>
    <s v="Remondis Commingled - Recycled"/>
    <m/>
    <s v="423031640500_RCOMINGLE"/>
    <s v="COMMINGLED - RECYCLED"/>
    <s v="Remondis"/>
    <m/>
    <m/>
    <d v="2020-12-01T00:00:00"/>
    <d v="2020-11-01T00:00:00"/>
    <s v="FY21"/>
    <s v="t"/>
    <n v="0"/>
    <n v="2.4E-2"/>
    <n v="0"/>
    <n v="2.4E-2"/>
    <n v="0"/>
    <n v="1"/>
    <n v="0"/>
    <n v="1"/>
    <n v="0"/>
    <n v="100"/>
    <n v="0"/>
    <s v="Consolidation"/>
    <s v="CO2e and Base Measure"/>
    <n v="100"/>
    <n v="100"/>
    <n v="0.02"/>
    <m/>
    <m/>
    <m/>
    <m/>
    <m/>
    <m/>
    <n v="0"/>
    <m/>
    <m/>
    <m/>
    <m/>
    <m/>
    <m/>
    <s v="AUD"/>
    <s v="13565754Waste Recycled - Commingled [t]"/>
    <n v="13565754"/>
  </r>
  <r>
    <d v="2019-07-01T00:00:00"/>
    <d v="2021-06-30T00:00:00"/>
    <s v="Telstra"/>
    <s v="NON-NETWORK"/>
    <s v="NON-NETWORK"/>
    <s v="QLD"/>
    <s v="Australia"/>
    <s v="Zillmere"/>
    <s v="BOONDALL CONSTRUCTION DEPOT"/>
    <n v="423031640500"/>
    <s v="Recycled Waste"/>
    <x v="0"/>
    <x v="3"/>
    <s v="Account"/>
    <s v="Remondis Commingled - Recycled"/>
    <m/>
    <s v="423031640500_RCOMINGLE"/>
    <s v="COMMINGLED - RECYCLED"/>
    <s v="Remondis"/>
    <m/>
    <m/>
    <d v="2020-12-01T00:00:00"/>
    <d v="2020-12-01T00:00:00"/>
    <s v="FY21"/>
    <s v="t"/>
    <n v="0"/>
    <n v="0"/>
    <n v="5.9999999999999995E-4"/>
    <n v="5.9999999999999995E-4"/>
    <n v="0"/>
    <n v="0"/>
    <n v="1"/>
    <n v="1"/>
    <n v="0"/>
    <n v="0"/>
    <n v="100"/>
    <s v="Consolidation"/>
    <s v="CO2e and Base Measure"/>
    <n v="100"/>
    <n v="100"/>
    <n v="0"/>
    <m/>
    <m/>
    <m/>
    <m/>
    <m/>
    <m/>
    <n v="0"/>
    <m/>
    <m/>
    <m/>
    <m/>
    <m/>
    <m/>
    <s v="AUD"/>
    <s v="13565754Waste Recycled - Commingled [t]"/>
    <n v="13565754"/>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07-01T00:00:00"/>
    <s v="FY21"/>
    <s v="t"/>
    <n v="2.87"/>
    <n v="0"/>
    <n v="0"/>
    <n v="2.87"/>
    <n v="4"/>
    <n v="0"/>
    <n v="0"/>
    <n v="4"/>
    <n v="100"/>
    <n v="0"/>
    <n v="0"/>
    <s v="Consolidation"/>
    <s v="CO2e and Base Measure"/>
    <n v="100"/>
    <n v="100"/>
    <n v="2.87"/>
    <m/>
    <m/>
    <m/>
    <m/>
    <m/>
    <n v="3.7309999999999999"/>
    <m/>
    <n v="3.7309999999999999"/>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08-01T00:00:00"/>
    <s v="FY21"/>
    <s v="t"/>
    <n v="1.56"/>
    <n v="0"/>
    <n v="0"/>
    <n v="1.56"/>
    <n v="3"/>
    <n v="0"/>
    <n v="0"/>
    <n v="3"/>
    <n v="100"/>
    <n v="0"/>
    <n v="0"/>
    <s v="Consolidation"/>
    <s v="CO2e and Base Measure"/>
    <n v="100"/>
    <n v="100"/>
    <n v="1.56"/>
    <m/>
    <m/>
    <m/>
    <m/>
    <m/>
    <n v="2.028"/>
    <m/>
    <n v="2.028"/>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09-01T00:00:00"/>
    <s v="FY21"/>
    <s v="t"/>
    <n v="3.1"/>
    <n v="0"/>
    <n v="0"/>
    <n v="3.1"/>
    <n v="4"/>
    <n v="0"/>
    <n v="0"/>
    <n v="4"/>
    <n v="100"/>
    <n v="0"/>
    <n v="0"/>
    <s v="Consolidation"/>
    <s v="CO2e and Base Measure"/>
    <n v="100"/>
    <n v="100"/>
    <n v="3.1"/>
    <m/>
    <m/>
    <m/>
    <m/>
    <m/>
    <n v="4.03"/>
    <m/>
    <n v="4.03"/>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10-01T00:00:00"/>
    <s v="FY21"/>
    <s v="t"/>
    <n v="0.66"/>
    <n v="0"/>
    <n v="0"/>
    <n v="0.66"/>
    <n v="3"/>
    <n v="0"/>
    <n v="0"/>
    <n v="3"/>
    <n v="100"/>
    <n v="0"/>
    <n v="0"/>
    <s v="Consolidation"/>
    <s v="CO2e and Base Measure"/>
    <n v="100"/>
    <n v="100"/>
    <n v="0.66"/>
    <m/>
    <m/>
    <m/>
    <m/>
    <m/>
    <n v="0.85799999999999998"/>
    <m/>
    <n v="0.85799999999999998"/>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11-01T00:00:00"/>
    <s v="FY21"/>
    <s v="t"/>
    <n v="2.83"/>
    <n v="0"/>
    <n v="0"/>
    <n v="2.83"/>
    <n v="3"/>
    <n v="0"/>
    <n v="0"/>
    <n v="3"/>
    <n v="100"/>
    <n v="0"/>
    <n v="0"/>
    <s v="Consolidation"/>
    <s v="CO2e and Base Measure"/>
    <n v="100"/>
    <n v="100"/>
    <n v="2.83"/>
    <m/>
    <m/>
    <m/>
    <m/>
    <m/>
    <n v="3.6789999999999998"/>
    <m/>
    <n v="3.6789999999999998"/>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12-01T00:00:00"/>
    <s v="FY21"/>
    <s v="t"/>
    <n v="0.64"/>
    <n v="0.39"/>
    <n v="0"/>
    <n v="1.03"/>
    <n v="1"/>
    <n v="1"/>
    <n v="0"/>
    <n v="2"/>
    <n v="62.13"/>
    <n v="37.86"/>
    <n v="0"/>
    <s v="Consolidation"/>
    <s v="CO2e and Base Measure"/>
    <n v="100"/>
    <n v="100"/>
    <n v="1.03"/>
    <m/>
    <m/>
    <m/>
    <m/>
    <m/>
    <n v="1.339"/>
    <m/>
    <n v="1.339"/>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1-01-01T00:00:00"/>
    <s v="FY21"/>
    <s v="t"/>
    <n v="0"/>
    <n v="0"/>
    <n v="8.0500000000000002E-2"/>
    <n v="8.0500000000000002E-2"/>
    <n v="0"/>
    <n v="0"/>
    <n v="1"/>
    <n v="1"/>
    <n v="0"/>
    <n v="0"/>
    <n v="100"/>
    <s v="Consolidation"/>
    <s v="CO2e and Base Measure"/>
    <n v="100"/>
    <n v="100"/>
    <n v="0.08"/>
    <m/>
    <m/>
    <m/>
    <m/>
    <m/>
    <n v="0.1047"/>
    <m/>
    <n v="0.1047"/>
    <m/>
    <m/>
    <m/>
    <m/>
    <m/>
    <s v="AUD"/>
    <s v="13565759Waste - General [t] - Scope 3"/>
    <n v="13565759"/>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07-01T00:00:00"/>
    <s v="FY21"/>
    <s v="t"/>
    <n v="1.88"/>
    <n v="0"/>
    <n v="0"/>
    <n v="1.88"/>
    <n v="1"/>
    <n v="0"/>
    <n v="0"/>
    <n v="1"/>
    <n v="100"/>
    <n v="0"/>
    <n v="0"/>
    <s v="Consolidation"/>
    <s v="CO2e and Base Measure"/>
    <n v="100"/>
    <n v="100"/>
    <n v="1.88"/>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09-01T00:00:00"/>
    <s v="FY21"/>
    <s v="t"/>
    <n v="7.48"/>
    <n v="0"/>
    <n v="0"/>
    <n v="7.48"/>
    <n v="3"/>
    <n v="0"/>
    <n v="0"/>
    <n v="3"/>
    <n v="100"/>
    <n v="0"/>
    <n v="0"/>
    <s v="Consolidation"/>
    <s v="CO2e and Base Measure"/>
    <n v="100"/>
    <n v="100"/>
    <n v="7.48"/>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10-01T00:00:00"/>
    <s v="FY21"/>
    <s v="t"/>
    <n v="1.98"/>
    <n v="0"/>
    <n v="0"/>
    <n v="1.98"/>
    <n v="1"/>
    <n v="0"/>
    <n v="0"/>
    <n v="1"/>
    <n v="100"/>
    <n v="0"/>
    <n v="0"/>
    <s v="Consolidation"/>
    <s v="CO2e and Base Measure"/>
    <n v="100"/>
    <n v="100"/>
    <n v="1.98"/>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11-01T00:00:00"/>
    <s v="FY21"/>
    <s v="t"/>
    <n v="2.7"/>
    <n v="0"/>
    <n v="0"/>
    <n v="2.7"/>
    <n v="1"/>
    <n v="0"/>
    <n v="0"/>
    <n v="1"/>
    <n v="100"/>
    <n v="0"/>
    <n v="0"/>
    <s v="Consolidation"/>
    <s v="CO2e and Base Measure"/>
    <n v="100"/>
    <n v="100"/>
    <n v="2.7"/>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12-01T00:00:00"/>
    <s v="FY21"/>
    <s v="t"/>
    <n v="0.72"/>
    <n v="0"/>
    <n v="0"/>
    <n v="0.72"/>
    <n v="1"/>
    <n v="0"/>
    <n v="0"/>
    <n v="1"/>
    <n v="100"/>
    <n v="0"/>
    <n v="0"/>
    <s v="Consolidation"/>
    <s v="CO2e and Base Measure"/>
    <n v="100"/>
    <n v="100"/>
    <n v="0.72"/>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1-01-01T00:00:00"/>
    <s v="FY21"/>
    <s v="t"/>
    <n v="0"/>
    <n v="0"/>
    <n v="8.0699999999999994E-2"/>
    <n v="8.0699999999999994E-2"/>
    <n v="0"/>
    <n v="0"/>
    <n v="1"/>
    <n v="1"/>
    <n v="0"/>
    <n v="0"/>
    <n v="100"/>
    <s v="Consolidation"/>
    <s v="CO2e and Base Measure"/>
    <n v="100"/>
    <n v="100"/>
    <n v="0.08"/>
    <m/>
    <m/>
    <m/>
    <m/>
    <m/>
    <m/>
    <m/>
    <m/>
    <m/>
    <m/>
    <m/>
    <m/>
    <m/>
    <s v="AUD"/>
    <s v="13565760Waste Recycled - Construction and Demolition [t]"/>
    <n v="13565760"/>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07-01T00:00:00"/>
    <s v="FY21"/>
    <s v="t"/>
    <n v="1.02"/>
    <n v="0"/>
    <n v="0"/>
    <n v="1.02"/>
    <n v="1"/>
    <n v="0"/>
    <n v="0"/>
    <n v="1"/>
    <n v="100"/>
    <n v="0"/>
    <n v="0"/>
    <s v="Consolidation"/>
    <s v="CO2e and Base Measure"/>
    <n v="100"/>
    <n v="100"/>
    <n v="1.02"/>
    <m/>
    <m/>
    <m/>
    <m/>
    <m/>
    <n v="1.3260000000000001"/>
    <m/>
    <n v="1.3260000000000001"/>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08-01T00:00:00"/>
    <s v="FY21"/>
    <s v="t"/>
    <n v="1.1599999999999999"/>
    <n v="0"/>
    <n v="0"/>
    <n v="1.1599999999999999"/>
    <n v="2"/>
    <n v="0"/>
    <n v="0"/>
    <n v="2"/>
    <n v="100"/>
    <n v="0"/>
    <n v="0"/>
    <s v="Consolidation"/>
    <s v="CO2e and Base Measure"/>
    <n v="100"/>
    <n v="100"/>
    <n v="1.1599999999999999"/>
    <m/>
    <m/>
    <m/>
    <m/>
    <m/>
    <n v="1.508"/>
    <m/>
    <n v="1.508"/>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09-01T00:00:00"/>
    <s v="FY21"/>
    <s v="t"/>
    <n v="0.86"/>
    <n v="0"/>
    <n v="0"/>
    <n v="0.86"/>
    <n v="1"/>
    <n v="0"/>
    <n v="0"/>
    <n v="1"/>
    <n v="100"/>
    <n v="0"/>
    <n v="0"/>
    <s v="Consolidation"/>
    <s v="CO2e and Base Measure"/>
    <n v="100"/>
    <n v="100"/>
    <n v="0.86"/>
    <m/>
    <m/>
    <m/>
    <m/>
    <m/>
    <n v="1.1180000000000001"/>
    <m/>
    <n v="1.1180000000000001"/>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11-01T00:00:00"/>
    <s v="FY21"/>
    <s v="t"/>
    <n v="0.96"/>
    <n v="0"/>
    <n v="0"/>
    <n v="0.96"/>
    <n v="1"/>
    <n v="0"/>
    <n v="0"/>
    <n v="1"/>
    <n v="100"/>
    <n v="0"/>
    <n v="0"/>
    <s v="Consolidation"/>
    <s v="CO2e and Base Measure"/>
    <n v="100"/>
    <n v="100"/>
    <n v="0.96"/>
    <m/>
    <m/>
    <m/>
    <m/>
    <m/>
    <n v="1.248"/>
    <m/>
    <n v="1.248"/>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12-01T00:00:00"/>
    <s v="FY21"/>
    <s v="t"/>
    <n v="0.06"/>
    <n v="0"/>
    <n v="0"/>
    <n v="0.06"/>
    <n v="1"/>
    <n v="0"/>
    <n v="0"/>
    <n v="1"/>
    <n v="100"/>
    <n v="0"/>
    <n v="0"/>
    <s v="Consolidation"/>
    <s v="CO2e and Base Measure"/>
    <n v="100"/>
    <n v="100"/>
    <n v="0.06"/>
    <m/>
    <m/>
    <m/>
    <m/>
    <m/>
    <n v="7.8E-2"/>
    <m/>
    <n v="7.8E-2"/>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1-01-01T00:00:00"/>
    <s v="FY21"/>
    <s v="t"/>
    <n v="0"/>
    <n v="0"/>
    <n v="2.3900000000000001E-2"/>
    <n v="2.3900000000000001E-2"/>
    <n v="0"/>
    <n v="0"/>
    <n v="1"/>
    <n v="1"/>
    <n v="0"/>
    <n v="0"/>
    <n v="100"/>
    <s v="Consolidation"/>
    <s v="CO2e and Base Measure"/>
    <n v="100"/>
    <n v="100"/>
    <n v="0.02"/>
    <m/>
    <m/>
    <m/>
    <m/>
    <m/>
    <n v="3.1099999999999999E-2"/>
    <m/>
    <n v="3.1099999999999999E-2"/>
    <m/>
    <m/>
    <m/>
    <m/>
    <m/>
    <s v="AUD"/>
    <s v="13565763Waste - General [t] - Scope 3"/>
    <n v="13565763"/>
  </r>
  <r>
    <d v="2019-07-01T00:00:00"/>
    <d v="2021-06-30T00:00:00"/>
    <s v="Telstra"/>
    <s v="NON-NETWORK"/>
    <s v="NON-NETWORK"/>
    <s v="QLD"/>
    <s v="Australia"/>
    <s v="Zillmere"/>
    <s v="BOONDALL CONSTRUCTION DEPOT"/>
    <n v="423031640500"/>
    <s v="Recycled Waste"/>
    <x v="0"/>
    <x v="1"/>
    <s v="Account"/>
    <s v="Remondis Metal - Copper"/>
    <m/>
    <s v="423031640500_RMETCOPPR"/>
    <s v="METAL - COPPER"/>
    <s v="Remondis"/>
    <m/>
    <m/>
    <d v="2021-01-01T00:00:00"/>
    <d v="2020-12-01T00:00:00"/>
    <s v="FY21"/>
    <s v="t"/>
    <n v="1.58"/>
    <n v="0"/>
    <n v="0"/>
    <n v="1.58"/>
    <n v="1"/>
    <n v="0"/>
    <n v="0"/>
    <n v="1"/>
    <n v="100"/>
    <n v="0"/>
    <n v="0"/>
    <s v="Consolidation"/>
    <s v="CO2e and Base Measure"/>
    <n v="100"/>
    <n v="100"/>
    <n v="1.58"/>
    <m/>
    <m/>
    <m/>
    <m/>
    <m/>
    <m/>
    <m/>
    <m/>
    <m/>
    <m/>
    <m/>
    <m/>
    <m/>
    <s v="AUD"/>
    <s v="13576267Waste Recycled - E-waste [t]"/>
    <n v="13576267"/>
  </r>
  <r>
    <d v="2019-07-01T00:00:00"/>
    <d v="2021-06-30T00:00:00"/>
    <s v="Telstra"/>
    <s v="NON-NETWORK"/>
    <s v="NON-NETWORK"/>
    <s v="QLD"/>
    <s v="Australia"/>
    <s v="Zillmere"/>
    <s v="BOONDALL CONSTRUCTION DEPOT"/>
    <n v="423031640500"/>
    <s v="Recycled Waste"/>
    <x v="0"/>
    <x v="1"/>
    <s v="Account"/>
    <s v="Remondis Metal - Copper"/>
    <m/>
    <s v="423031640500_RMETCOPPR"/>
    <s v="METAL - COPPER"/>
    <s v="Remondis"/>
    <m/>
    <m/>
    <d v="2021-01-01T00:00:00"/>
    <d v="2021-01-01T00:00:00"/>
    <s v="FY21"/>
    <s v="t"/>
    <n v="0"/>
    <n v="0"/>
    <n v="5.2699999999999997E-2"/>
    <n v="5.2699999999999997E-2"/>
    <n v="0"/>
    <n v="0"/>
    <n v="1"/>
    <n v="1"/>
    <n v="0"/>
    <n v="0"/>
    <n v="100"/>
    <s v="Consolidation"/>
    <s v="CO2e and Base Measure"/>
    <n v="100"/>
    <n v="100"/>
    <n v="0.05"/>
    <m/>
    <m/>
    <m/>
    <m/>
    <m/>
    <m/>
    <m/>
    <m/>
    <m/>
    <m/>
    <m/>
    <m/>
    <m/>
    <s v="AUD"/>
    <s v="13576267Waste Recycled - E-waste [t]"/>
    <n v="13576267"/>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0-12-01T00:00:00"/>
    <s v="FY21"/>
    <s v="t"/>
    <n v="0"/>
    <n v="1.35"/>
    <n v="0"/>
    <n v="1.35"/>
    <n v="0"/>
    <n v="1"/>
    <n v="0"/>
    <n v="1"/>
    <n v="0"/>
    <n v="100"/>
    <n v="0"/>
    <s v="Consolidation"/>
    <s v="CO2e and Base Measure"/>
    <n v="100"/>
    <n v="100"/>
    <n v="1.35"/>
    <m/>
    <m/>
    <m/>
    <m/>
    <m/>
    <n v="1.7549999999999999"/>
    <m/>
    <n v="1.7549999999999999"/>
    <m/>
    <m/>
    <m/>
    <m/>
    <m/>
    <s v="AUD"/>
    <s v="13634353Waste - General [t] - Scope 3"/>
    <n v="13634353"/>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1-02-01T00:00:00"/>
    <s v="FY21"/>
    <s v="t"/>
    <n v="2.786"/>
    <n v="0"/>
    <n v="0"/>
    <n v="2.786"/>
    <n v="2"/>
    <n v="0"/>
    <n v="0"/>
    <n v="2"/>
    <n v="100"/>
    <n v="0"/>
    <n v="0"/>
    <s v="Consolidation"/>
    <s v="CO2e and Base Measure"/>
    <n v="100"/>
    <n v="100"/>
    <n v="2.79"/>
    <m/>
    <m/>
    <m/>
    <m/>
    <m/>
    <n v="3.6217999999999999"/>
    <m/>
    <n v="3.6217999999999999"/>
    <m/>
    <m/>
    <m/>
    <m/>
    <m/>
    <s v="AUD"/>
    <s v="13634353Waste - General [t] - Scope 3"/>
    <n v="13634353"/>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1-03-01T00:00:00"/>
    <s v="FY21"/>
    <s v="t"/>
    <n v="1.5589999999999999"/>
    <n v="0.40500000000000003"/>
    <n v="0"/>
    <n v="1.964"/>
    <n v="2"/>
    <n v="1"/>
    <n v="0"/>
    <n v="3"/>
    <n v="79.37"/>
    <n v="20.62"/>
    <n v="0"/>
    <s v="Consolidation"/>
    <s v="CO2e and Base Measure"/>
    <n v="100"/>
    <n v="100"/>
    <n v="1.96"/>
    <m/>
    <m/>
    <m/>
    <m/>
    <m/>
    <n v="2.5531999999999999"/>
    <m/>
    <n v="2.5531999999999999"/>
    <m/>
    <m/>
    <m/>
    <m/>
    <m/>
    <s v="AUD"/>
    <s v="13634353Waste - General [t] - Scope 3"/>
    <n v="13634353"/>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1-04-01T00:00:00"/>
    <s v="FY21"/>
    <s v="t"/>
    <n v="0"/>
    <n v="0"/>
    <n v="1.524"/>
    <n v="1.524"/>
    <n v="0"/>
    <n v="0"/>
    <n v="30"/>
    <n v="30"/>
    <n v="0"/>
    <n v="0"/>
    <n v="100"/>
    <s v="Consolidation"/>
    <s v="CO2e and Base Measure"/>
    <n v="100"/>
    <n v="100"/>
    <n v="1.52"/>
    <m/>
    <m/>
    <m/>
    <m/>
    <m/>
    <n v="1.9812000000000001"/>
    <m/>
    <n v="1.9812000000000001"/>
    <m/>
    <m/>
    <m/>
    <m/>
    <m/>
    <s v="AUD"/>
    <s v="13634353Waste - General [t] - Scope 3"/>
    <n v="13634353"/>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1-05-01T00:00:00"/>
    <s v="FY21"/>
    <s v="t"/>
    <n v="0"/>
    <n v="0"/>
    <n v="1.5748"/>
    <n v="1.5748"/>
    <n v="0"/>
    <n v="0"/>
    <n v="31"/>
    <n v="31"/>
    <n v="0"/>
    <n v="0"/>
    <n v="100"/>
    <s v="Consolidation"/>
    <s v="CO2e and Base Measure"/>
    <n v="100"/>
    <n v="100"/>
    <n v="1.57"/>
    <m/>
    <m/>
    <m/>
    <m/>
    <m/>
    <n v="2.0472000000000001"/>
    <m/>
    <n v="2.0472000000000001"/>
    <m/>
    <m/>
    <m/>
    <m/>
    <m/>
    <s v="AUD"/>
    <s v="13634353Waste - General [t] - Scope 3"/>
    <n v="13634353"/>
  </r>
  <r>
    <d v="2019-07-01T00:00:00"/>
    <d v="2021-06-30T00:00:00"/>
    <s v="Telstra"/>
    <s v="NON-NETWORK"/>
    <s v="NON-NETWORK"/>
    <s v="QLD"/>
    <s v="Australia"/>
    <s v="Zillmere"/>
    <s v="BOONDALL CONSTRUCTION DEPOT"/>
    <n v="423031640500"/>
    <s v="Waste"/>
    <x v="1"/>
    <x v="4"/>
    <s v="Account"/>
    <s v="CLEANAWAY Asbestos"/>
    <m/>
    <s v="31640500_Landfill_Asbestos"/>
    <s v="Asbestos"/>
    <s v="Cleanaway"/>
    <m/>
    <d v="2021-02-08T00:00:00"/>
    <m/>
    <d v="2021-02-01T00:00:00"/>
    <s v="FY21"/>
    <s v="t"/>
    <n v="0.7"/>
    <n v="0"/>
    <n v="0"/>
    <n v="0.7"/>
    <n v="2"/>
    <n v="0"/>
    <n v="0"/>
    <n v="2"/>
    <n v="100"/>
    <n v="0"/>
    <n v="0"/>
    <s v="Consolidation"/>
    <s v="CO2e and Base Measure"/>
    <n v="100"/>
    <n v="100"/>
    <n v="0.7"/>
    <m/>
    <m/>
    <m/>
    <m/>
    <m/>
    <n v="0.84"/>
    <m/>
    <n v="0.84"/>
    <m/>
    <m/>
    <m/>
    <m/>
    <m/>
    <s v="AUD"/>
    <s v="13639942Waste - Construction and Demolition [t]"/>
    <n v="13639942"/>
  </r>
  <r>
    <d v="2019-07-01T00:00:00"/>
    <d v="2021-06-30T00:00:00"/>
    <s v="Telstra"/>
    <s v="NON-NETWORK"/>
    <s v="NON-NETWORK"/>
    <s v="QLD"/>
    <s v="Australia"/>
    <s v="Zillmere"/>
    <s v="BOONDALL CONSTRUCTION DEPOT"/>
    <n v="423031640500"/>
    <s v="Waste"/>
    <x v="1"/>
    <x v="4"/>
    <s v="Account"/>
    <s v="CLEANAWAY Asbestos"/>
    <m/>
    <s v="31640500_Landfill_Asbestos"/>
    <s v="Asbestos"/>
    <s v="Cleanaway"/>
    <m/>
    <d v="2021-02-08T00:00:00"/>
    <m/>
    <d v="2021-03-01T00:00:00"/>
    <s v="FY21"/>
    <s v="t"/>
    <n v="0"/>
    <n v="0"/>
    <n v="0.80289999999999995"/>
    <n v="0.80289999999999995"/>
    <n v="0"/>
    <n v="0"/>
    <n v="31"/>
    <n v="31"/>
    <n v="0"/>
    <n v="0"/>
    <n v="100"/>
    <s v="Consolidation"/>
    <s v="CO2e and Base Measure"/>
    <n v="100"/>
    <n v="100"/>
    <n v="0.8"/>
    <m/>
    <m/>
    <m/>
    <m/>
    <m/>
    <n v="0.96350000000000002"/>
    <m/>
    <n v="0.96350000000000002"/>
    <m/>
    <m/>
    <m/>
    <m/>
    <m/>
    <s v="AUD"/>
    <s v="13639942Waste - Construction and Demolition [t]"/>
    <n v="13639942"/>
  </r>
  <r>
    <d v="2019-07-01T00:00:00"/>
    <d v="2021-06-30T00:00:00"/>
    <s v="Telstra"/>
    <s v="NON-NETWORK"/>
    <s v="NON-NETWORK"/>
    <s v="QLD"/>
    <s v="Australia"/>
    <s v="Zillmere"/>
    <s v="BOONDALL CONSTRUCTION DEPOT"/>
    <n v="423031640500"/>
    <s v="Waste"/>
    <x v="1"/>
    <x v="4"/>
    <s v="Account"/>
    <s v="CLEANAWAY Asbestos"/>
    <m/>
    <s v="31640500_Landfill_Asbestos"/>
    <s v="Asbestos"/>
    <s v="Cleanaway"/>
    <m/>
    <d v="2021-02-08T00:00:00"/>
    <m/>
    <d v="2021-04-01T00:00:00"/>
    <s v="FY21"/>
    <s v="t"/>
    <n v="0"/>
    <n v="0"/>
    <n v="0.77700000000000002"/>
    <n v="0.77700000000000002"/>
    <n v="0"/>
    <n v="0"/>
    <n v="30"/>
    <n v="30"/>
    <n v="0"/>
    <n v="0"/>
    <n v="100"/>
    <s v="Consolidation"/>
    <s v="CO2e and Base Measure"/>
    <n v="100"/>
    <n v="100"/>
    <n v="0.78"/>
    <m/>
    <m/>
    <m/>
    <m/>
    <m/>
    <n v="0.93240000000000001"/>
    <m/>
    <n v="0.93240000000000001"/>
    <m/>
    <m/>
    <m/>
    <m/>
    <m/>
    <s v="AUD"/>
    <s v="13639942Waste - Construction and Demolition [t]"/>
    <n v="13639942"/>
  </r>
  <r>
    <d v="2019-07-01T00:00:00"/>
    <d v="2021-06-30T00:00:00"/>
    <s v="Telstra"/>
    <s v="NON-NETWORK"/>
    <s v="NON-NETWORK"/>
    <s v="QLD"/>
    <s v="Australia"/>
    <s v="Zillmere"/>
    <s v="BOONDALL CONSTRUCTION DEPOT"/>
    <n v="423031640500"/>
    <s v="Waste"/>
    <x v="1"/>
    <x v="4"/>
    <s v="Account"/>
    <s v="CLEANAWAY Asbestos"/>
    <m/>
    <s v="31640500_Landfill_Asbestos"/>
    <s v="Asbestos"/>
    <s v="Cleanaway"/>
    <m/>
    <d v="2021-02-08T00:00:00"/>
    <m/>
    <d v="2021-05-01T00:00:00"/>
    <s v="FY21"/>
    <s v="t"/>
    <n v="0"/>
    <n v="0"/>
    <n v="0.80289999999999995"/>
    <n v="0.80289999999999995"/>
    <n v="0"/>
    <n v="0"/>
    <n v="31"/>
    <n v="31"/>
    <n v="0"/>
    <n v="0"/>
    <n v="100"/>
    <s v="Consolidation"/>
    <s v="CO2e and Base Measure"/>
    <n v="100"/>
    <n v="100"/>
    <n v="0.8"/>
    <m/>
    <m/>
    <m/>
    <m/>
    <m/>
    <n v="0.96350000000000002"/>
    <m/>
    <n v="0.96350000000000002"/>
    <m/>
    <m/>
    <m/>
    <m/>
    <m/>
    <s v="AUD"/>
    <s v="13639942Waste - Construction and Demolition [t]"/>
    <n v="13639942"/>
  </r>
  <r>
    <d v="2019-07-01T00:00:00"/>
    <d v="2021-06-30T00:00:00"/>
    <s v="Telstra"/>
    <s v="NON-NETWORK"/>
    <s v="NON-NETWORK"/>
    <s v="QLD"/>
    <s v="Australia"/>
    <s v="Zillmere"/>
    <s v="BOONDALL CONSTRUCTION DEPOT"/>
    <n v="423031640500"/>
    <s v="Recycled Waste"/>
    <x v="0"/>
    <x v="0"/>
    <s v="Account"/>
    <s v="CLEANAWAY Cardboard"/>
    <m/>
    <s v="31640500_Diversion_Cardboard"/>
    <s v="Cardboard"/>
    <s v="Cleanaway"/>
    <m/>
    <d v="2021-02-03T00:00:00"/>
    <m/>
    <d v="2021-02-01T00:00:00"/>
    <s v="FY21"/>
    <s v="t"/>
    <n v="0.50900000000000001"/>
    <n v="0"/>
    <n v="0"/>
    <n v="0.50900000000000001"/>
    <n v="1"/>
    <n v="0"/>
    <n v="0"/>
    <n v="1"/>
    <n v="100"/>
    <n v="0"/>
    <n v="0"/>
    <s v="Consolidation"/>
    <s v="CO2e and Base Measure"/>
    <n v="100"/>
    <n v="100"/>
    <n v="0.51"/>
    <m/>
    <m/>
    <m/>
    <m/>
    <m/>
    <m/>
    <m/>
    <m/>
    <m/>
    <m/>
    <m/>
    <m/>
    <m/>
    <s v="AUD"/>
    <s v="13639943Waste Recycled - Paper and Cardboard [t]"/>
    <n v="13639943"/>
  </r>
  <r>
    <d v="2019-07-01T00:00:00"/>
    <d v="2021-06-30T00:00:00"/>
    <s v="Telstra"/>
    <s v="NON-NETWORK"/>
    <s v="NON-NETWORK"/>
    <s v="QLD"/>
    <s v="Australia"/>
    <s v="Zillmere"/>
    <s v="BOONDALL CONSTRUCTION DEPOT"/>
    <n v="423031640500"/>
    <s v="Recycled Waste"/>
    <x v="0"/>
    <x v="0"/>
    <s v="Account"/>
    <s v="CLEANAWAY Cardboard"/>
    <m/>
    <s v="31640500_Diversion_Cardboard"/>
    <s v="Cardboard"/>
    <s v="Cleanaway"/>
    <m/>
    <d v="2021-02-03T00:00:00"/>
    <m/>
    <d v="2021-03-01T00:00:00"/>
    <s v="FY21"/>
    <s v="t"/>
    <n v="0.34399999999999997"/>
    <n v="0"/>
    <n v="0"/>
    <n v="0.34399999999999997"/>
    <n v="2"/>
    <n v="0"/>
    <n v="0"/>
    <n v="2"/>
    <n v="100"/>
    <n v="0"/>
    <n v="0"/>
    <s v="Consolidation"/>
    <s v="CO2e and Base Measure"/>
    <n v="100"/>
    <n v="100"/>
    <n v="0.34"/>
    <m/>
    <m/>
    <m/>
    <m/>
    <m/>
    <m/>
    <m/>
    <m/>
    <m/>
    <m/>
    <m/>
    <m/>
    <m/>
    <s v="AUD"/>
    <s v="13639943Waste Recycled - Paper and Cardboard [t]"/>
    <n v="13639943"/>
  </r>
  <r>
    <d v="2019-07-01T00:00:00"/>
    <d v="2021-06-30T00:00:00"/>
    <s v="Telstra"/>
    <s v="NON-NETWORK"/>
    <s v="NON-NETWORK"/>
    <s v="QLD"/>
    <s v="Australia"/>
    <s v="Zillmere"/>
    <s v="BOONDALL CONSTRUCTION DEPOT"/>
    <n v="423031640500"/>
    <s v="Recycled Waste"/>
    <x v="0"/>
    <x v="0"/>
    <s v="Account"/>
    <s v="CLEANAWAY Cardboard"/>
    <m/>
    <s v="31640500_Diversion_Cardboard"/>
    <s v="Cardboard"/>
    <s v="Cleanaway"/>
    <m/>
    <d v="2021-02-03T00:00:00"/>
    <m/>
    <d v="2021-04-01T00:00:00"/>
    <s v="FY21"/>
    <s v="t"/>
    <n v="0"/>
    <n v="0"/>
    <n v="0.441"/>
    <n v="0.441"/>
    <n v="0"/>
    <n v="0"/>
    <n v="30"/>
    <n v="30"/>
    <n v="0"/>
    <n v="0"/>
    <n v="100"/>
    <s v="Consolidation"/>
    <s v="CO2e and Base Measure"/>
    <n v="100"/>
    <n v="100"/>
    <n v="0.44"/>
    <m/>
    <m/>
    <m/>
    <m/>
    <m/>
    <m/>
    <m/>
    <m/>
    <m/>
    <m/>
    <m/>
    <m/>
    <m/>
    <s v="AUD"/>
    <s v="13639943Waste Recycled - Paper and Cardboard [t]"/>
    <n v="13639943"/>
  </r>
  <r>
    <d v="2019-07-01T00:00:00"/>
    <d v="2021-06-30T00:00:00"/>
    <s v="Telstra"/>
    <s v="NON-NETWORK"/>
    <s v="NON-NETWORK"/>
    <s v="QLD"/>
    <s v="Australia"/>
    <s v="Zillmere"/>
    <s v="BOONDALL CONSTRUCTION DEPOT"/>
    <n v="423031640500"/>
    <s v="Recycled Waste"/>
    <x v="0"/>
    <x v="0"/>
    <s v="Account"/>
    <s v="CLEANAWAY Cardboard"/>
    <m/>
    <s v="31640500_Diversion_Cardboard"/>
    <s v="Cardboard"/>
    <s v="Cleanaway"/>
    <m/>
    <d v="2021-02-03T00:00:00"/>
    <m/>
    <d v="2021-05-01T00:00:00"/>
    <s v="FY21"/>
    <s v="t"/>
    <n v="0"/>
    <n v="0"/>
    <n v="0.45569999999999999"/>
    <n v="0.45569999999999999"/>
    <n v="0"/>
    <n v="0"/>
    <n v="31"/>
    <n v="31"/>
    <n v="0"/>
    <n v="0"/>
    <n v="100"/>
    <s v="Consolidation"/>
    <s v="CO2e and Base Measure"/>
    <n v="100"/>
    <n v="100"/>
    <n v="0.46"/>
    <m/>
    <m/>
    <m/>
    <m/>
    <m/>
    <m/>
    <m/>
    <m/>
    <m/>
    <m/>
    <m/>
    <m/>
    <m/>
    <s v="AUD"/>
    <s v="13639943Waste Recycled - Paper and Cardboard [t]"/>
    <n v="13639943"/>
  </r>
  <r>
    <d v="2019-07-01T00:00:00"/>
    <d v="2021-06-30T00:00:00"/>
    <s v="Telstra"/>
    <s v="NON-NETWORK"/>
    <s v="NON-NETWORK"/>
    <s v="QLD"/>
    <s v="Australia"/>
    <s v="Zillmere"/>
    <s v="BOONDALL CONSTRUCTION DEPOT"/>
    <n v="423031640500"/>
    <s v="Recycled Waste"/>
    <x v="0"/>
    <x v="5"/>
    <s v="Account"/>
    <s v="CLEANAWAY Timber"/>
    <m/>
    <s v="31640500_Diversion_Timber"/>
    <s v="Timber"/>
    <s v="Cleanaway"/>
    <m/>
    <d v="2021-02-19T00:00:00"/>
    <m/>
    <d v="2021-02-01T00:00:00"/>
    <s v="FY21"/>
    <s v="t"/>
    <n v="0.74"/>
    <n v="0"/>
    <n v="0"/>
    <n v="0.74"/>
    <n v="1"/>
    <n v="0"/>
    <n v="0"/>
    <n v="1"/>
    <n v="100"/>
    <n v="0"/>
    <n v="0"/>
    <s v="Consolidation"/>
    <s v="CO2e and Base Measure"/>
    <n v="100"/>
    <n v="100"/>
    <n v="0.74"/>
    <m/>
    <m/>
    <m/>
    <m/>
    <m/>
    <m/>
    <m/>
    <m/>
    <m/>
    <m/>
    <m/>
    <m/>
    <m/>
    <s v="AUD"/>
    <s v="13639944Waste Recycled - Construction and Demolition [t]"/>
    <n v="13639944"/>
  </r>
  <r>
    <d v="2019-07-01T00:00:00"/>
    <d v="2021-06-30T00:00:00"/>
    <s v="Telstra"/>
    <s v="NON-NETWORK"/>
    <s v="NON-NETWORK"/>
    <s v="QLD"/>
    <s v="Australia"/>
    <s v="Zillmere"/>
    <s v="BOONDALL CONSTRUCTION DEPOT"/>
    <n v="423031640500"/>
    <s v="Recycled Waste"/>
    <x v="0"/>
    <x v="5"/>
    <s v="Account"/>
    <s v="CLEANAWAY Timber"/>
    <m/>
    <s v="31640500_Diversion_Timber"/>
    <s v="Timber"/>
    <s v="Cleanaway"/>
    <m/>
    <d v="2021-02-19T00:00:00"/>
    <m/>
    <d v="2021-03-01T00:00:00"/>
    <s v="FY21"/>
    <s v="t"/>
    <n v="0.86"/>
    <n v="0"/>
    <n v="0"/>
    <n v="0.86"/>
    <n v="1"/>
    <n v="0"/>
    <n v="0"/>
    <n v="1"/>
    <n v="100"/>
    <n v="0"/>
    <n v="0"/>
    <s v="Consolidation"/>
    <s v="CO2e and Base Measure"/>
    <n v="100"/>
    <n v="100"/>
    <n v="0.86"/>
    <m/>
    <m/>
    <m/>
    <m/>
    <m/>
    <m/>
    <m/>
    <m/>
    <m/>
    <m/>
    <m/>
    <m/>
    <m/>
    <s v="AUD"/>
    <s v="13639944Waste Recycled - Construction and Demolition [t]"/>
    <n v="13639944"/>
  </r>
  <r>
    <d v="2019-07-01T00:00:00"/>
    <d v="2021-06-30T00:00:00"/>
    <s v="Telstra"/>
    <s v="NON-NETWORK"/>
    <s v="NON-NETWORK"/>
    <s v="QLD"/>
    <s v="Australia"/>
    <s v="Zillmere"/>
    <s v="BOONDALL CONSTRUCTION DEPOT"/>
    <n v="423031640500"/>
    <s v="Recycled Waste"/>
    <x v="0"/>
    <x v="5"/>
    <s v="Account"/>
    <s v="CLEANAWAY Timber"/>
    <m/>
    <s v="31640500_Diversion_Timber"/>
    <s v="Timber"/>
    <s v="Cleanaway"/>
    <m/>
    <d v="2021-02-19T00:00:00"/>
    <m/>
    <d v="2021-04-01T00:00:00"/>
    <s v="FY21"/>
    <s v="t"/>
    <n v="0"/>
    <n v="0"/>
    <n v="0.82799999999999996"/>
    <n v="0.82799999999999996"/>
    <n v="0"/>
    <n v="0"/>
    <n v="30"/>
    <n v="30"/>
    <n v="0"/>
    <n v="0"/>
    <n v="100"/>
    <s v="Consolidation"/>
    <s v="CO2e and Base Measure"/>
    <n v="100"/>
    <n v="100"/>
    <n v="0.83"/>
    <m/>
    <m/>
    <m/>
    <m/>
    <m/>
    <m/>
    <m/>
    <m/>
    <m/>
    <m/>
    <m/>
    <m/>
    <m/>
    <s v="AUD"/>
    <s v="13639944Waste Recycled - Construction and Demolition [t]"/>
    <n v="13639944"/>
  </r>
  <r>
    <d v="2019-07-01T00:00:00"/>
    <d v="2021-06-30T00:00:00"/>
    <s v="Telstra"/>
    <s v="NON-NETWORK"/>
    <s v="NON-NETWORK"/>
    <s v="QLD"/>
    <s v="Australia"/>
    <s v="Zillmere"/>
    <s v="BOONDALL CONSTRUCTION DEPOT"/>
    <n v="423031640500"/>
    <s v="Recycled Waste"/>
    <x v="0"/>
    <x v="5"/>
    <s v="Account"/>
    <s v="CLEANAWAY Timber"/>
    <m/>
    <s v="31640500_Diversion_Timber"/>
    <s v="Timber"/>
    <s v="Cleanaway"/>
    <m/>
    <d v="2021-02-19T00:00:00"/>
    <m/>
    <d v="2021-05-01T00:00:00"/>
    <s v="FY21"/>
    <s v="t"/>
    <n v="0"/>
    <n v="0"/>
    <n v="0.85560000000000003"/>
    <n v="0.85560000000000003"/>
    <n v="0"/>
    <n v="0"/>
    <n v="31"/>
    <n v="31"/>
    <n v="0"/>
    <n v="0"/>
    <n v="100"/>
    <s v="Consolidation"/>
    <s v="CO2e and Base Measure"/>
    <n v="100"/>
    <n v="100"/>
    <n v="0.86"/>
    <m/>
    <m/>
    <m/>
    <m/>
    <m/>
    <m/>
    <m/>
    <m/>
    <m/>
    <m/>
    <m/>
    <m/>
    <m/>
    <s v="AUD"/>
    <s v="13639944Waste Recycled - Construction and Demolition [t]"/>
    <n v="13639944"/>
  </r>
  <r>
    <d v="2019-07-01T00:00:00"/>
    <d v="2021-06-30T00:00:00"/>
    <s v="Telstra"/>
    <s v="NON-NETWORK"/>
    <s v="NON-NETWORK"/>
    <s v="QLD"/>
    <s v="Australia"/>
    <s v="Zillmere"/>
    <s v="BOONDALL CONSTRUCTION DEPOT"/>
    <n v="423031640500"/>
    <s v="Recycled Waste"/>
    <x v="0"/>
    <x v="5"/>
    <s v="Account"/>
    <s v="CLEANAWAY Metal - Diversion"/>
    <m/>
    <s v="31640500_Diversion_Metal"/>
    <s v="Metal"/>
    <s v="Cleanaway"/>
    <m/>
    <m/>
    <m/>
    <d v="2021-03-01T00:00:00"/>
    <s v="FY21"/>
    <s v="t"/>
    <n v="1.92"/>
    <n v="0"/>
    <n v="0"/>
    <n v="1.92"/>
    <n v="1"/>
    <n v="0"/>
    <n v="0"/>
    <n v="1"/>
    <n v="100"/>
    <n v="0"/>
    <n v="0"/>
    <s v="Consolidation"/>
    <s v="CO2e and Base Measure"/>
    <n v="100"/>
    <n v="100"/>
    <n v="1.92"/>
    <m/>
    <m/>
    <m/>
    <m/>
    <m/>
    <m/>
    <m/>
    <m/>
    <m/>
    <m/>
    <m/>
    <m/>
    <m/>
    <s v="AUD"/>
    <s v="13641248Waste Recycled - Construction and Demolition [t]"/>
    <n v="13641248"/>
  </r>
  <r>
    <d v="2019-07-01T00:00:00"/>
    <d v="2021-06-30T00:00:00"/>
    <s v="Telstra"/>
    <s v="NON-NETWORK"/>
    <s v="NON-NETWORK"/>
    <s v="QLD"/>
    <s v="Australia"/>
    <s v="Zillmere"/>
    <s v="BOONDALL CONSTRUCTION DEPOT"/>
    <n v="423031640500"/>
    <s v="Recycled Waste"/>
    <x v="0"/>
    <x v="5"/>
    <s v="Account"/>
    <s v="CLEANAWAY Metal - Diversion"/>
    <m/>
    <s v="31640500_Diversion_Metal"/>
    <s v="Metal"/>
    <s v="Cleanaway"/>
    <m/>
    <m/>
    <m/>
    <d v="2021-04-01T00:00:00"/>
    <s v="FY21"/>
    <s v="t"/>
    <n v="0"/>
    <n v="0"/>
    <n v="1.92"/>
    <n v="1.92"/>
    <n v="0"/>
    <n v="0"/>
    <n v="30"/>
    <n v="30"/>
    <n v="0"/>
    <n v="0"/>
    <n v="100"/>
    <s v="Consolidation"/>
    <s v="CO2e and Base Measure"/>
    <n v="100"/>
    <n v="100"/>
    <n v="1.92"/>
    <m/>
    <m/>
    <m/>
    <m/>
    <m/>
    <m/>
    <m/>
    <m/>
    <m/>
    <m/>
    <m/>
    <m/>
    <m/>
    <s v="AUD"/>
    <s v="13641248Waste Recycled - Construction and Demolition [t]"/>
    <n v="13641248"/>
  </r>
  <r>
    <d v="2019-07-01T00:00:00"/>
    <d v="2021-06-30T00:00:00"/>
    <s v="Telstra"/>
    <s v="NON-NETWORK"/>
    <s v="NON-NETWORK"/>
    <s v="QLD"/>
    <s v="Australia"/>
    <s v="Zillmere"/>
    <s v="BOONDALL CONSTRUCTION DEPOT"/>
    <n v="423031640500"/>
    <s v="Recycled Waste"/>
    <x v="0"/>
    <x v="5"/>
    <s v="Account"/>
    <s v="CLEANAWAY Metal - Diversion"/>
    <m/>
    <s v="31640500_Diversion_Metal"/>
    <s v="Metal"/>
    <s v="Cleanaway"/>
    <m/>
    <m/>
    <m/>
    <d v="2021-05-01T00:00:00"/>
    <s v="FY21"/>
    <s v="t"/>
    <n v="0"/>
    <n v="0"/>
    <n v="1.984"/>
    <n v="1.984"/>
    <n v="0"/>
    <n v="0"/>
    <n v="31"/>
    <n v="31"/>
    <n v="0"/>
    <n v="0"/>
    <n v="100"/>
    <s v="Consolidation"/>
    <s v="CO2e and Base Measure"/>
    <n v="100"/>
    <n v="100"/>
    <n v="1.98"/>
    <m/>
    <m/>
    <m/>
    <m/>
    <m/>
    <m/>
    <m/>
    <m/>
    <m/>
    <m/>
    <m/>
    <m/>
    <m/>
    <s v="AUD"/>
    <s v="13641248Waste Recycled - Construction and Demolition [t]"/>
    <n v="13641248"/>
  </r>
  <r>
    <d v="2019-07-01T00:00:00"/>
    <d v="2021-06-30T00:00:00"/>
    <s v="Telstra"/>
    <s v="NETWORK"/>
    <s v="Network - InfraCo"/>
    <s v="SA"/>
    <s v="Australia"/>
    <s v="Bordertown"/>
    <s v="BORDERTOWN EXCHANGE"/>
    <n v="423030484500"/>
    <s v="Recycled Waste"/>
    <x v="0"/>
    <x v="0"/>
    <s v="Account"/>
    <s v="Remondis Cardboard - Loose - Recycled"/>
    <m/>
    <s v="423030484500_RCARDBOAR"/>
    <s v="CARDBOARD - LOOSE - RECYCLED"/>
    <s v="Remondis"/>
    <m/>
    <m/>
    <d v="2020-10-01T00:00:00"/>
    <d v="2020-09-01T00:00:00"/>
    <s v="FY21"/>
    <s v="t"/>
    <n v="0"/>
    <n v="7.3499999999999996E-2"/>
    <n v="0"/>
    <n v="7.3499999999999996E-2"/>
    <n v="0"/>
    <n v="1"/>
    <n v="0"/>
    <n v="1"/>
    <n v="0"/>
    <n v="100"/>
    <n v="0"/>
    <s v="Consolidation"/>
    <s v="CO2e and Base Measure"/>
    <n v="100"/>
    <n v="100"/>
    <n v="7.0000000000000007E-2"/>
    <m/>
    <m/>
    <m/>
    <m/>
    <m/>
    <m/>
    <n v="0"/>
    <m/>
    <m/>
    <m/>
    <m/>
    <m/>
    <m/>
    <s v="AUD"/>
    <s v="13564764Waste Recycled - Cardboard [t]"/>
    <n v="13564764"/>
  </r>
  <r>
    <d v="2019-07-01T00:00:00"/>
    <d v="2021-06-30T00:00:00"/>
    <s v="Telstra"/>
    <s v="NETWORK"/>
    <s v="Network - InfraCo"/>
    <s v="SA"/>
    <s v="Australia"/>
    <s v="Bordertown"/>
    <s v="BORDERTOWN EXCHANGE"/>
    <n v="423030484500"/>
    <s v="Recycled Waste"/>
    <x v="0"/>
    <x v="0"/>
    <s v="Account"/>
    <s v="Remondis Cardboard - Loose - Recycled"/>
    <m/>
    <s v="423030484500_RCARDBOAR"/>
    <s v="CARDBOARD - LOOSE - RECYCLED"/>
    <s v="Remondis"/>
    <m/>
    <m/>
    <d v="2020-10-01T00:00:00"/>
    <d v="2020-10-01T00:00:00"/>
    <s v="FY21"/>
    <s v="t"/>
    <n v="0"/>
    <n v="0"/>
    <n v="1.1999999999999999E-3"/>
    <n v="1.1999999999999999E-3"/>
    <n v="0"/>
    <n v="0"/>
    <n v="1"/>
    <n v="1"/>
    <n v="0"/>
    <n v="0"/>
    <n v="100"/>
    <s v="Consolidation"/>
    <s v="CO2e and Base Measure"/>
    <n v="100"/>
    <n v="100"/>
    <n v="0"/>
    <m/>
    <m/>
    <m/>
    <m/>
    <m/>
    <m/>
    <n v="0"/>
    <m/>
    <m/>
    <m/>
    <m/>
    <m/>
    <m/>
    <s v="AUD"/>
    <s v="13564764Waste Recycled - Cardboard [t]"/>
    <n v="13564764"/>
  </r>
  <r>
    <d v="2019-07-01T00:00:00"/>
    <d v="2021-06-30T00:00:00"/>
    <s v="Telstra"/>
    <s v="NETWORK"/>
    <s v="Network - InfraCo"/>
    <s v="SA"/>
    <s v="Australia"/>
    <s v="Bordertown"/>
    <s v="BORDERTOWN EXCHANGE"/>
    <n v="423030484500"/>
    <s v="Waste"/>
    <x v="1"/>
    <x v="2"/>
    <s v="Account"/>
    <s v="Remondis General Waste"/>
    <m/>
    <s v="423030484500_WGENERALW"/>
    <s v="GENERAL WASTE"/>
    <s v="Remondis"/>
    <m/>
    <m/>
    <d v="2020-07-01T00:00:00"/>
    <d v="2020-07-01T00:00:00"/>
    <s v="FY21"/>
    <s v="t"/>
    <n v="0"/>
    <n v="0"/>
    <n v="7.7999999999999996E-3"/>
    <n v="7.7999999999999996E-3"/>
    <n v="0"/>
    <n v="0"/>
    <n v="1"/>
    <n v="1"/>
    <n v="0"/>
    <n v="0"/>
    <n v="100"/>
    <s v="Consolidation"/>
    <s v="CO2e and Base Measure"/>
    <n v="100"/>
    <n v="100"/>
    <n v="0.01"/>
    <m/>
    <m/>
    <m/>
    <m/>
    <m/>
    <n v="1.01E-2"/>
    <m/>
    <n v="1.01E-2"/>
    <m/>
    <m/>
    <m/>
    <m/>
    <m/>
    <s v="AUD"/>
    <s v="13564765Waste - General [t] - Scope 3"/>
    <n v="13564765"/>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0-11-01T00:00:00"/>
    <s v="FY21"/>
    <s v="t"/>
    <n v="0.22500000000000001"/>
    <n v="0"/>
    <n v="0"/>
    <n v="0.22500000000000001"/>
    <n v="1"/>
    <n v="0"/>
    <n v="0"/>
    <n v="1"/>
    <n v="100"/>
    <n v="0"/>
    <n v="0"/>
    <s v="Consolidation"/>
    <s v="CO2e and Base Measure"/>
    <n v="100"/>
    <n v="100"/>
    <n v="0.23"/>
    <m/>
    <m/>
    <m/>
    <m/>
    <m/>
    <n v="0.29249999999999998"/>
    <m/>
    <n v="0.29249999999999998"/>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0-12-01T00:00:00"/>
    <s v="FY21"/>
    <s v="t"/>
    <n v="0"/>
    <n v="0"/>
    <n v="0.24179999999999999"/>
    <n v="0.24179999999999999"/>
    <n v="0"/>
    <n v="0"/>
    <n v="31"/>
    <n v="31"/>
    <n v="0"/>
    <n v="0"/>
    <n v="100"/>
    <s v="Consolidation"/>
    <s v="CO2e and Base Measure"/>
    <n v="100"/>
    <n v="100"/>
    <n v="0.24"/>
    <m/>
    <m/>
    <m/>
    <m/>
    <m/>
    <n v="0.31430000000000002"/>
    <m/>
    <n v="0.31430000000000002"/>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1-01T00:00:00"/>
    <s v="FY21"/>
    <s v="t"/>
    <n v="0"/>
    <n v="0"/>
    <n v="0.24179999999999999"/>
    <n v="0.24179999999999999"/>
    <n v="0"/>
    <n v="0"/>
    <n v="31"/>
    <n v="31"/>
    <n v="0"/>
    <n v="0"/>
    <n v="100"/>
    <s v="Consolidation"/>
    <s v="CO2e and Base Measure"/>
    <n v="100"/>
    <n v="100"/>
    <n v="0.24"/>
    <m/>
    <m/>
    <m/>
    <m/>
    <m/>
    <n v="0.31430000000000002"/>
    <m/>
    <n v="0.31430000000000002"/>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2-01T00:00:00"/>
    <s v="FY21"/>
    <s v="t"/>
    <n v="0"/>
    <n v="0"/>
    <n v="0.21840000000000001"/>
    <n v="0.21840000000000001"/>
    <n v="0"/>
    <n v="0"/>
    <n v="28"/>
    <n v="28"/>
    <n v="0"/>
    <n v="0"/>
    <n v="100"/>
    <s v="Consolidation"/>
    <s v="CO2e and Base Measure"/>
    <n v="100"/>
    <n v="100"/>
    <n v="0.22"/>
    <m/>
    <m/>
    <m/>
    <m/>
    <m/>
    <n v="0.28389999999999999"/>
    <m/>
    <n v="0.28389999999999999"/>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3-01T00:00:00"/>
    <s v="FY21"/>
    <s v="t"/>
    <n v="0"/>
    <n v="0"/>
    <n v="0.24179999999999999"/>
    <n v="0.24179999999999999"/>
    <n v="0"/>
    <n v="0"/>
    <n v="31"/>
    <n v="31"/>
    <n v="0"/>
    <n v="0"/>
    <n v="100"/>
    <s v="Consolidation"/>
    <s v="CO2e and Base Measure"/>
    <n v="100"/>
    <n v="100"/>
    <n v="0.24"/>
    <m/>
    <m/>
    <m/>
    <m/>
    <m/>
    <n v="0.31430000000000002"/>
    <m/>
    <n v="0.31430000000000002"/>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4-01T00:00:00"/>
    <s v="FY21"/>
    <s v="t"/>
    <n v="0"/>
    <n v="0"/>
    <n v="0.23400000000000001"/>
    <n v="0.23400000000000001"/>
    <n v="0"/>
    <n v="0"/>
    <n v="30"/>
    <n v="30"/>
    <n v="0"/>
    <n v="0"/>
    <n v="100"/>
    <s v="Consolidation"/>
    <s v="CO2e and Base Measure"/>
    <n v="100"/>
    <n v="100"/>
    <n v="0.23"/>
    <m/>
    <m/>
    <m/>
    <m/>
    <m/>
    <n v="0.30420000000000003"/>
    <m/>
    <n v="0.30420000000000003"/>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5-01T00:00:00"/>
    <s v="FY21"/>
    <s v="t"/>
    <n v="0"/>
    <n v="0"/>
    <n v="0.24179999999999999"/>
    <n v="0.24179999999999999"/>
    <n v="0"/>
    <n v="0"/>
    <n v="31"/>
    <n v="31"/>
    <n v="0"/>
    <n v="0"/>
    <n v="100"/>
    <s v="Consolidation"/>
    <s v="CO2e and Base Measure"/>
    <n v="100"/>
    <n v="100"/>
    <n v="0.24"/>
    <m/>
    <m/>
    <m/>
    <m/>
    <m/>
    <n v="0.31430000000000002"/>
    <m/>
    <n v="0.31430000000000002"/>
    <m/>
    <m/>
    <m/>
    <m/>
    <m/>
    <s v="AUD"/>
    <s v="13633971Waste - General [t] - Scope 3"/>
    <n v="13633971"/>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07-01T00:00:00"/>
    <s v="FY21"/>
    <s v="t"/>
    <n v="2.82"/>
    <n v="0"/>
    <n v="0"/>
    <n v="2.82"/>
    <n v="1"/>
    <n v="0"/>
    <n v="0"/>
    <n v="1"/>
    <n v="100"/>
    <n v="0"/>
    <n v="0"/>
    <s v="Consolidation"/>
    <s v="CO2e and Base Measure"/>
    <n v="100"/>
    <n v="100"/>
    <n v="2.82"/>
    <m/>
    <m/>
    <m/>
    <m/>
    <m/>
    <n v="3.3839999999999999"/>
    <m/>
    <n v="3.3839999999999999"/>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08-01T00:00:00"/>
    <s v="FY21"/>
    <s v="t"/>
    <n v="3.86"/>
    <n v="0"/>
    <n v="0"/>
    <n v="3.86"/>
    <n v="1"/>
    <n v="0"/>
    <n v="0"/>
    <n v="1"/>
    <n v="100"/>
    <n v="0"/>
    <n v="0"/>
    <s v="Consolidation"/>
    <s v="CO2e and Base Measure"/>
    <n v="100"/>
    <n v="100"/>
    <n v="3.86"/>
    <m/>
    <m/>
    <m/>
    <m/>
    <m/>
    <n v="4.6319999999999997"/>
    <m/>
    <n v="4.6319999999999997"/>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09-01T00:00:00"/>
    <s v="FY21"/>
    <s v="t"/>
    <n v="3.66"/>
    <n v="0"/>
    <n v="0"/>
    <n v="3.66"/>
    <n v="1"/>
    <n v="0"/>
    <n v="0"/>
    <n v="1"/>
    <n v="100"/>
    <n v="0"/>
    <n v="0"/>
    <s v="Consolidation"/>
    <s v="CO2e and Base Measure"/>
    <n v="100"/>
    <n v="100"/>
    <n v="3.66"/>
    <m/>
    <m/>
    <m/>
    <m/>
    <m/>
    <n v="4.3920000000000003"/>
    <m/>
    <n v="4.3920000000000003"/>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10-01T00:00:00"/>
    <s v="FY21"/>
    <s v="t"/>
    <n v="1.88"/>
    <n v="0"/>
    <n v="0"/>
    <n v="1.88"/>
    <n v="1"/>
    <n v="0"/>
    <n v="0"/>
    <n v="1"/>
    <n v="100"/>
    <n v="0"/>
    <n v="0"/>
    <s v="Consolidation"/>
    <s v="CO2e and Base Measure"/>
    <n v="100"/>
    <n v="100"/>
    <n v="1.88"/>
    <m/>
    <m/>
    <m/>
    <m/>
    <m/>
    <n v="2.2559999999999998"/>
    <m/>
    <n v="2.2559999999999998"/>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11-01T00:00:00"/>
    <s v="FY21"/>
    <s v="t"/>
    <n v="4.84"/>
    <n v="0"/>
    <n v="0"/>
    <n v="4.84"/>
    <n v="2"/>
    <n v="0"/>
    <n v="0"/>
    <n v="2"/>
    <n v="100"/>
    <n v="0"/>
    <n v="0"/>
    <s v="Consolidation"/>
    <s v="CO2e and Base Measure"/>
    <n v="100"/>
    <n v="100"/>
    <n v="4.84"/>
    <m/>
    <m/>
    <m/>
    <m/>
    <m/>
    <n v="5.8079999999999998"/>
    <m/>
    <n v="5.8079999999999998"/>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12-01T00:00:00"/>
    <s v="FY21"/>
    <s v="t"/>
    <n v="1.36"/>
    <n v="0"/>
    <n v="0"/>
    <n v="1.36"/>
    <n v="1"/>
    <n v="0"/>
    <n v="0"/>
    <n v="1"/>
    <n v="100"/>
    <n v="0"/>
    <n v="0"/>
    <s v="Consolidation"/>
    <s v="CO2e and Base Measure"/>
    <n v="100"/>
    <n v="100"/>
    <n v="1.36"/>
    <m/>
    <m/>
    <m/>
    <m/>
    <m/>
    <n v="1.6319999999999999"/>
    <m/>
    <n v="1.6319999999999999"/>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1-01-01T00:00:00"/>
    <s v="FY21"/>
    <s v="t"/>
    <n v="0"/>
    <n v="0"/>
    <n v="0.1045"/>
    <n v="0.1045"/>
    <n v="0"/>
    <n v="0"/>
    <n v="1"/>
    <n v="1"/>
    <n v="0"/>
    <n v="0"/>
    <n v="100"/>
    <s v="Consolidation"/>
    <s v="CO2e and Base Measure"/>
    <n v="100"/>
    <n v="100"/>
    <n v="0.1"/>
    <m/>
    <m/>
    <m/>
    <m/>
    <m/>
    <n v="0.12540000000000001"/>
    <m/>
    <n v="0.12540000000000001"/>
    <m/>
    <m/>
    <m/>
    <m/>
    <m/>
    <s v="AUD"/>
    <s v="13565686Waste - Construction and Demolition [t]"/>
    <n v="13565686"/>
  </r>
  <r>
    <d v="2019-07-01T00:00:00"/>
    <d v="2021-06-30T00:00:00"/>
    <s v="Telstra"/>
    <s v="NON-NETWORK"/>
    <s v="NON-NETWORK"/>
    <s v="NSW"/>
    <s v="Australia"/>
    <s v="Mascot"/>
    <s v="BOTANY 12 LORD ST"/>
    <n v="423031582900"/>
    <s v="Recycled Waste"/>
    <x v="0"/>
    <x v="1"/>
    <s v="Account"/>
    <s v="Remondis Batteries - Mixed Recycled"/>
    <m/>
    <s v="423031582900_RBATTERY."/>
    <s v="BATTERIES - MIXED RECYCLED"/>
    <s v="Remondis"/>
    <m/>
    <m/>
    <d v="2021-02-01T00:00:00"/>
    <d v="2021-01-01T00:00:00"/>
    <s v="FY21"/>
    <s v="t"/>
    <n v="0"/>
    <n v="6.4999999999999997E-3"/>
    <n v="0"/>
    <n v="6.4999999999999997E-3"/>
    <n v="0"/>
    <n v="1"/>
    <n v="0"/>
    <n v="1"/>
    <n v="0"/>
    <n v="100"/>
    <n v="0"/>
    <s v="Consolidation"/>
    <s v="CO2e and Base Measure"/>
    <n v="100"/>
    <n v="100"/>
    <n v="0.01"/>
    <m/>
    <m/>
    <m/>
    <m/>
    <m/>
    <m/>
    <m/>
    <m/>
    <m/>
    <m/>
    <m/>
    <m/>
    <m/>
    <s v="AUD"/>
    <s v="13565687Waste Recycled - E-waste [t]"/>
    <n v="13565687"/>
  </r>
  <r>
    <d v="2019-07-01T00:00:00"/>
    <d v="2021-06-30T00:00:00"/>
    <s v="Telstra"/>
    <s v="NON-NETWORK"/>
    <s v="NON-NETWORK"/>
    <s v="NSW"/>
    <s v="Australia"/>
    <s v="Mascot"/>
    <s v="BOTANY 12 LORD ST"/>
    <n v="423031582900"/>
    <s v="Recycled Waste"/>
    <x v="0"/>
    <x v="1"/>
    <s v="Account"/>
    <s v="Remondis Batteries - Mixed Recycled"/>
    <m/>
    <s v="423031582900_RBATTERY."/>
    <s v="BATTERIES - MIXED RECYCLED"/>
    <s v="Remondis"/>
    <m/>
    <m/>
    <d v="2021-02-01T00:00:00"/>
    <d v="2021-02-01T00:00:00"/>
    <s v="FY21"/>
    <s v="t"/>
    <n v="0"/>
    <n v="0"/>
    <n v="2.0000000000000001E-4"/>
    <n v="2.0000000000000001E-4"/>
    <n v="0"/>
    <n v="0"/>
    <n v="1"/>
    <n v="1"/>
    <n v="0"/>
    <n v="0"/>
    <n v="100"/>
    <s v="Consolidation"/>
    <s v="CO2e and Base Measure"/>
    <n v="100"/>
    <n v="100"/>
    <n v="0"/>
    <m/>
    <m/>
    <m/>
    <m/>
    <m/>
    <m/>
    <m/>
    <m/>
    <m/>
    <m/>
    <m/>
    <m/>
    <m/>
    <s v="AUD"/>
    <s v="13565687Waste Recycled - E-waste [t]"/>
    <n v="13565687"/>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07-01T00:00:00"/>
    <s v="FY21"/>
    <s v="t"/>
    <n v="0.26500000000000001"/>
    <n v="0"/>
    <n v="0"/>
    <n v="0.26500000000000001"/>
    <n v="5"/>
    <n v="0"/>
    <n v="0"/>
    <n v="5"/>
    <n v="100"/>
    <n v="0"/>
    <n v="0"/>
    <s v="Consolidation"/>
    <s v="CO2e and Base Measure"/>
    <n v="100"/>
    <n v="100"/>
    <n v="0.27"/>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08-01T00:00:00"/>
    <s v="FY21"/>
    <s v="t"/>
    <n v="0.41499999999999998"/>
    <n v="0"/>
    <n v="0"/>
    <n v="0.41499999999999998"/>
    <n v="4"/>
    <n v="0"/>
    <n v="0"/>
    <n v="4"/>
    <n v="100"/>
    <n v="0"/>
    <n v="0"/>
    <s v="Consolidation"/>
    <s v="CO2e and Base Measure"/>
    <n v="100"/>
    <n v="100"/>
    <n v="0.42"/>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09-01T00:00:00"/>
    <s v="FY21"/>
    <s v="t"/>
    <n v="5.5E-2"/>
    <n v="0"/>
    <n v="0"/>
    <n v="5.5E-2"/>
    <n v="4"/>
    <n v="0"/>
    <n v="0"/>
    <n v="4"/>
    <n v="100"/>
    <n v="0"/>
    <n v="0"/>
    <s v="Consolidation"/>
    <s v="CO2e and Base Measure"/>
    <n v="100"/>
    <n v="100"/>
    <n v="0.06"/>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10-01T00:00:00"/>
    <s v="FY21"/>
    <s v="t"/>
    <n v="4.4999999999999998E-2"/>
    <n v="6.3E-2"/>
    <n v="0"/>
    <n v="0.108"/>
    <n v="4"/>
    <n v="1"/>
    <n v="0"/>
    <n v="5"/>
    <n v="41.66"/>
    <n v="58.33"/>
    <n v="0"/>
    <s v="Consolidation"/>
    <s v="CO2e and Base Measure"/>
    <n v="100"/>
    <n v="100"/>
    <n v="0.11"/>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11-01T00:00:00"/>
    <s v="FY21"/>
    <s v="t"/>
    <n v="0.11"/>
    <n v="0"/>
    <n v="0"/>
    <n v="0.11"/>
    <n v="4"/>
    <n v="0"/>
    <n v="0"/>
    <n v="4"/>
    <n v="100"/>
    <n v="0"/>
    <n v="0"/>
    <s v="Consolidation"/>
    <s v="CO2e and Base Measure"/>
    <n v="100"/>
    <n v="100"/>
    <n v="0.11"/>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12-01T00:00:00"/>
    <s v="FY21"/>
    <s v="t"/>
    <n v="0.03"/>
    <n v="0.126"/>
    <n v="0"/>
    <n v="0.156"/>
    <n v="1"/>
    <n v="2"/>
    <n v="0"/>
    <n v="3"/>
    <n v="19.23"/>
    <n v="80.760000000000005"/>
    <n v="0"/>
    <s v="Consolidation"/>
    <s v="CO2e and Base Measure"/>
    <n v="100"/>
    <n v="100"/>
    <n v="0.16"/>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1-01-01T00:00:00"/>
    <s v="FY21"/>
    <s v="t"/>
    <n v="0"/>
    <n v="0"/>
    <n v="5.4000000000000003E-3"/>
    <n v="5.4000000000000003E-3"/>
    <n v="0"/>
    <n v="0"/>
    <n v="1"/>
    <n v="1"/>
    <n v="0"/>
    <n v="0"/>
    <n v="100"/>
    <s v="Consolidation"/>
    <s v="CO2e and Base Measure"/>
    <n v="100"/>
    <n v="100"/>
    <n v="0.01"/>
    <m/>
    <m/>
    <m/>
    <m/>
    <m/>
    <m/>
    <n v="0"/>
    <m/>
    <m/>
    <m/>
    <m/>
    <m/>
    <m/>
    <s v="AUD"/>
    <s v="13565688Waste Recycled - Cardboard [t]"/>
    <n v="13565688"/>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07-01T00:00:00"/>
    <s v="FY21"/>
    <s v="t"/>
    <n v="4.78"/>
    <n v="0"/>
    <n v="0"/>
    <n v="4.78"/>
    <n v="1"/>
    <n v="0"/>
    <n v="0"/>
    <n v="1"/>
    <n v="100"/>
    <n v="0"/>
    <n v="0"/>
    <s v="Consolidation"/>
    <s v="CO2e and Base Measure"/>
    <n v="100"/>
    <n v="100"/>
    <n v="4.78"/>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08-01T00:00:00"/>
    <s v="FY21"/>
    <s v="t"/>
    <n v="4.4800000000000004"/>
    <n v="0"/>
    <n v="0"/>
    <n v="4.4800000000000004"/>
    <n v="1"/>
    <n v="0"/>
    <n v="0"/>
    <n v="1"/>
    <n v="100"/>
    <n v="0"/>
    <n v="0"/>
    <s v="Consolidation"/>
    <s v="CO2e and Base Measure"/>
    <n v="100"/>
    <n v="100"/>
    <n v="4.4800000000000004"/>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09-01T00:00:00"/>
    <s v="FY21"/>
    <s v="t"/>
    <n v="3.88"/>
    <n v="0"/>
    <n v="0"/>
    <n v="3.88"/>
    <n v="1"/>
    <n v="0"/>
    <n v="0"/>
    <n v="1"/>
    <n v="100"/>
    <n v="0"/>
    <n v="0"/>
    <s v="Consolidation"/>
    <s v="CO2e and Base Measure"/>
    <n v="100"/>
    <n v="100"/>
    <n v="3.88"/>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10-01T00:00:00"/>
    <s v="FY21"/>
    <s v="t"/>
    <n v="10.5"/>
    <n v="0"/>
    <n v="0"/>
    <n v="10.5"/>
    <n v="2"/>
    <n v="0"/>
    <n v="0"/>
    <n v="2"/>
    <n v="100"/>
    <n v="0"/>
    <n v="0"/>
    <s v="Consolidation"/>
    <s v="CO2e and Base Measure"/>
    <n v="100"/>
    <n v="100"/>
    <n v="10.5"/>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11-01T00:00:00"/>
    <s v="FY21"/>
    <s v="t"/>
    <n v="8.5"/>
    <n v="0"/>
    <n v="0"/>
    <n v="8.5"/>
    <n v="2"/>
    <n v="0"/>
    <n v="0"/>
    <n v="2"/>
    <n v="100"/>
    <n v="0"/>
    <n v="0"/>
    <s v="Consolidation"/>
    <s v="CO2e and Base Measure"/>
    <n v="100"/>
    <n v="100"/>
    <n v="8.5"/>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12-01T00:00:00"/>
    <s v="FY21"/>
    <s v="t"/>
    <n v="0.52"/>
    <n v="0"/>
    <n v="0"/>
    <n v="0.52"/>
    <n v="1"/>
    <n v="0"/>
    <n v="0"/>
    <n v="1"/>
    <n v="100"/>
    <n v="0"/>
    <n v="0"/>
    <s v="Consolidation"/>
    <s v="CO2e and Base Measure"/>
    <n v="100"/>
    <n v="100"/>
    <n v="0.52"/>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1-01-01T00:00:00"/>
    <s v="FY21"/>
    <s v="t"/>
    <n v="0"/>
    <n v="0"/>
    <n v="0.17849999999999999"/>
    <n v="0.17849999999999999"/>
    <n v="0"/>
    <n v="0"/>
    <n v="1"/>
    <n v="1"/>
    <n v="0"/>
    <n v="0"/>
    <n v="100"/>
    <s v="Consolidation"/>
    <s v="CO2e and Base Measure"/>
    <n v="100"/>
    <n v="100"/>
    <n v="0.18"/>
    <m/>
    <m/>
    <m/>
    <m/>
    <m/>
    <m/>
    <m/>
    <m/>
    <m/>
    <m/>
    <m/>
    <m/>
    <m/>
    <s v="AUD"/>
    <s v="13565690Waste Recycled - Construction and Demolition [t]"/>
    <n v="13565690"/>
  </r>
  <r>
    <d v="2019-07-01T00:00:00"/>
    <d v="2021-06-30T00:00:00"/>
    <s v="Telstra"/>
    <s v="NON-NETWORK"/>
    <s v="NON-NETWORK"/>
    <s v="NSW"/>
    <s v="Australia"/>
    <s v="Mascot"/>
    <s v="BOTANY 12 LORD ST"/>
    <n v="423031582900"/>
    <s v="Recycled Waste"/>
    <x v="0"/>
    <x v="1"/>
    <s v="Account"/>
    <s v="Remondis Electrical Comp. (E-Waste)"/>
    <m/>
    <s v="4230315829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5691Waste Recycled - E-waste [t]"/>
    <n v="13565691"/>
  </r>
  <r>
    <d v="2019-07-01T00:00:00"/>
    <d v="2021-06-30T00:00:00"/>
    <s v="Telstra"/>
    <s v="NON-NETWORK"/>
    <s v="NON-NETWORK"/>
    <s v="NSW"/>
    <s v="Australia"/>
    <s v="Mascot"/>
    <s v="BOTANY 12 LORD ST"/>
    <n v="423031582900"/>
    <s v="Recycled Waste"/>
    <x v="0"/>
    <x v="1"/>
    <s v="Account"/>
    <s v="Remondis Electrical Comp. (E-Waste)"/>
    <m/>
    <s v="4230315829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65691Waste Recycled - E-waste [t]"/>
    <n v="13565691"/>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07-01T00:00:00"/>
    <s v="FY21"/>
    <s v="t"/>
    <n v="0.7"/>
    <n v="0"/>
    <n v="0"/>
    <n v="0.7"/>
    <n v="5"/>
    <n v="0"/>
    <n v="0"/>
    <n v="5"/>
    <n v="100"/>
    <n v="0"/>
    <n v="0"/>
    <s v="Consolidation"/>
    <s v="CO2e and Base Measure"/>
    <n v="100"/>
    <n v="100"/>
    <n v="0.7"/>
    <m/>
    <m/>
    <m/>
    <m/>
    <m/>
    <n v="0.91"/>
    <m/>
    <n v="0.91"/>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08-01T00:00:00"/>
    <s v="FY21"/>
    <s v="t"/>
    <n v="0.28499999999999998"/>
    <n v="0.19500000000000001"/>
    <n v="0"/>
    <n v="0.48"/>
    <n v="3"/>
    <n v="1"/>
    <n v="0"/>
    <n v="4"/>
    <n v="59.37"/>
    <n v="40.619999999999997"/>
    <n v="0"/>
    <s v="Consolidation"/>
    <s v="CO2e and Base Measure"/>
    <n v="100"/>
    <n v="100"/>
    <n v="0.48"/>
    <m/>
    <m/>
    <m/>
    <m/>
    <m/>
    <n v="0.624"/>
    <m/>
    <n v="0.624"/>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09-01T00:00:00"/>
    <s v="FY21"/>
    <s v="t"/>
    <n v="0.73"/>
    <n v="0"/>
    <n v="0"/>
    <n v="0.73"/>
    <n v="5"/>
    <n v="0"/>
    <n v="0"/>
    <n v="5"/>
    <n v="100"/>
    <n v="0"/>
    <n v="0"/>
    <s v="Consolidation"/>
    <s v="CO2e and Base Measure"/>
    <n v="100"/>
    <n v="100"/>
    <n v="0.73"/>
    <m/>
    <m/>
    <m/>
    <m/>
    <m/>
    <n v="0.94899999999999995"/>
    <m/>
    <n v="0.94899999999999995"/>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10-01T00:00:00"/>
    <s v="FY21"/>
    <s v="t"/>
    <n v="0.59499999999999997"/>
    <n v="0"/>
    <n v="0"/>
    <n v="0.59499999999999997"/>
    <n v="4"/>
    <n v="0"/>
    <n v="0"/>
    <n v="4"/>
    <n v="100"/>
    <n v="0"/>
    <n v="0"/>
    <s v="Consolidation"/>
    <s v="CO2e and Base Measure"/>
    <n v="100"/>
    <n v="100"/>
    <n v="0.6"/>
    <m/>
    <m/>
    <m/>
    <m/>
    <m/>
    <n v="0.77349999999999997"/>
    <m/>
    <n v="0.77349999999999997"/>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11-01T00:00:00"/>
    <s v="FY21"/>
    <s v="t"/>
    <n v="0.79500000000000004"/>
    <n v="0"/>
    <n v="0"/>
    <n v="0.79500000000000004"/>
    <n v="4"/>
    <n v="0"/>
    <n v="0"/>
    <n v="4"/>
    <n v="100"/>
    <n v="0"/>
    <n v="0"/>
    <s v="Consolidation"/>
    <s v="CO2e and Base Measure"/>
    <n v="100"/>
    <n v="100"/>
    <n v="0.8"/>
    <m/>
    <m/>
    <m/>
    <m/>
    <m/>
    <n v="1.0335000000000001"/>
    <m/>
    <n v="1.0335000000000001"/>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12-01T00:00:00"/>
    <s v="FY21"/>
    <s v="t"/>
    <n v="0.08"/>
    <n v="0.39"/>
    <n v="0"/>
    <n v="0.47"/>
    <n v="1"/>
    <n v="2"/>
    <n v="0"/>
    <n v="3"/>
    <n v="17.02"/>
    <n v="82.97"/>
    <n v="0"/>
    <s v="Consolidation"/>
    <s v="CO2e and Base Measure"/>
    <n v="100"/>
    <n v="100"/>
    <n v="0.47"/>
    <m/>
    <m/>
    <m/>
    <m/>
    <m/>
    <n v="0.61099999999999999"/>
    <m/>
    <n v="0.61099999999999999"/>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1-01-01T00:00:00"/>
    <s v="FY21"/>
    <s v="t"/>
    <n v="0"/>
    <n v="0"/>
    <n v="2.1000000000000001E-2"/>
    <n v="2.1000000000000001E-2"/>
    <n v="0"/>
    <n v="0"/>
    <n v="1"/>
    <n v="1"/>
    <n v="0"/>
    <n v="0"/>
    <n v="100"/>
    <s v="Consolidation"/>
    <s v="CO2e and Base Measure"/>
    <n v="100"/>
    <n v="100"/>
    <n v="0.02"/>
    <m/>
    <m/>
    <m/>
    <m/>
    <m/>
    <n v="2.7300000000000001E-2"/>
    <m/>
    <n v="2.7300000000000001E-2"/>
    <m/>
    <m/>
    <m/>
    <m/>
    <m/>
    <s v="AUD"/>
    <s v="13565693Waste - General [t] - Scope 3"/>
    <n v="13565693"/>
  </r>
  <r>
    <d v="2019-07-01T00:00:00"/>
    <d v="2021-06-30T00:00:00"/>
    <s v="Telstra"/>
    <s v="NON-NETWORK"/>
    <s v="NON-NETWORK"/>
    <s v="NSW"/>
    <s v="Australia"/>
    <s v="Mascot"/>
    <s v="BOTANY 12 LORD ST"/>
    <n v="423031582900"/>
    <s v="Recycled Waste"/>
    <x v="0"/>
    <x v="5"/>
    <s v="Account"/>
    <s v="Remondis Metal - Steel Mixed"/>
    <m/>
    <s v="423031582900_RMETSTMXD"/>
    <s v="METAL - STEEL MIXED"/>
    <s v="Remondis"/>
    <m/>
    <m/>
    <d v="2020-07-01T00:00:00"/>
    <d v="2020-07-01T00:00:00"/>
    <s v="FY21"/>
    <s v="t"/>
    <n v="0"/>
    <n v="0"/>
    <n v="5.0999999999999997E-2"/>
    <n v="5.0999999999999997E-2"/>
    <n v="0"/>
    <n v="0"/>
    <n v="1"/>
    <n v="1"/>
    <n v="0"/>
    <n v="0"/>
    <n v="100"/>
    <s v="Consolidation"/>
    <s v="CO2e and Base Measure"/>
    <n v="100"/>
    <n v="100"/>
    <n v="0.05"/>
    <m/>
    <m/>
    <m/>
    <m/>
    <m/>
    <m/>
    <m/>
    <m/>
    <m/>
    <m/>
    <m/>
    <m/>
    <m/>
    <s v="AUD"/>
    <s v="13565695Waste Recycled - Construction and Demolition [t]"/>
    <n v="13565695"/>
  </r>
  <r>
    <d v="2019-07-01T00:00:00"/>
    <d v="2021-06-30T00:00:00"/>
    <s v="Telstra"/>
    <s v="NETWORK"/>
    <s v="Network - InfraCo"/>
    <s v="NSW"/>
    <s v="Australia"/>
    <s v="Mascot"/>
    <s v="BOTANY EXCHANGE"/>
    <n v="423030328700"/>
    <s v="Waste"/>
    <x v="1"/>
    <x v="2"/>
    <s v="Account"/>
    <s v="CLEANAWAY General"/>
    <m/>
    <s v="44353_Landfill_General"/>
    <m/>
    <s v="Cleanaway"/>
    <m/>
    <d v="2021-03-30T00:00:00"/>
    <m/>
    <d v="2021-03-01T00:00:00"/>
    <s v="FY21"/>
    <s v="t"/>
    <n v="1.34"/>
    <n v="0"/>
    <n v="0"/>
    <n v="1.34"/>
    <n v="1"/>
    <n v="0"/>
    <n v="0"/>
    <n v="1"/>
    <n v="100"/>
    <n v="0"/>
    <n v="0"/>
    <s v="Consolidation"/>
    <s v="CO2e and Base Measure"/>
    <n v="100"/>
    <n v="100"/>
    <n v="1.34"/>
    <m/>
    <m/>
    <m/>
    <m/>
    <m/>
    <n v="1.742"/>
    <m/>
    <n v="1.742"/>
    <m/>
    <m/>
    <m/>
    <m/>
    <m/>
    <s v="AUD"/>
    <s v="13641253Waste - General [t] - Scope 3"/>
    <n v="13641253"/>
  </r>
  <r>
    <d v="2019-07-01T00:00:00"/>
    <d v="2021-06-30T00:00:00"/>
    <s v="Telstra"/>
    <s v="NETWORK"/>
    <s v="Network - InfraCo"/>
    <s v="NSW"/>
    <s v="Australia"/>
    <s v="Mascot"/>
    <s v="BOTANY EXCHANGE"/>
    <n v="423030328700"/>
    <s v="Waste"/>
    <x v="1"/>
    <x v="2"/>
    <s v="Account"/>
    <s v="CLEANAWAY General"/>
    <m/>
    <s v="44353_Landfill_General"/>
    <m/>
    <s v="Cleanaway"/>
    <m/>
    <d v="2021-03-30T00:00:00"/>
    <m/>
    <d v="2021-04-01T00:00:00"/>
    <s v="FY21"/>
    <s v="t"/>
    <n v="0"/>
    <n v="0"/>
    <n v="1.341"/>
    <n v="1.341"/>
    <n v="0"/>
    <n v="0"/>
    <n v="30"/>
    <n v="30"/>
    <n v="0"/>
    <n v="0"/>
    <n v="100"/>
    <s v="Consolidation"/>
    <s v="CO2e and Base Measure"/>
    <n v="100"/>
    <n v="100"/>
    <n v="1.34"/>
    <m/>
    <m/>
    <m/>
    <m/>
    <m/>
    <n v="1.7433000000000001"/>
    <m/>
    <n v="1.7433000000000001"/>
    <m/>
    <m/>
    <m/>
    <m/>
    <m/>
    <s v="AUD"/>
    <s v="13641253Waste - General [t] - Scope 3"/>
    <n v="13641253"/>
  </r>
  <r>
    <d v="2019-07-01T00:00:00"/>
    <d v="2021-06-30T00:00:00"/>
    <s v="Telstra"/>
    <s v="NETWORK"/>
    <s v="Network - InfraCo"/>
    <s v="NSW"/>
    <s v="Australia"/>
    <s v="Mascot"/>
    <s v="BOTANY EXCHANGE"/>
    <n v="423030328700"/>
    <s v="Waste"/>
    <x v="1"/>
    <x v="2"/>
    <s v="Account"/>
    <s v="CLEANAWAY General"/>
    <m/>
    <s v="44353_Landfill_General"/>
    <m/>
    <s v="Cleanaway"/>
    <m/>
    <d v="2021-03-30T00:00:00"/>
    <m/>
    <d v="2021-05-01T00:00:00"/>
    <s v="FY21"/>
    <s v="t"/>
    <n v="0"/>
    <n v="0"/>
    <n v="1.3856999999999999"/>
    <n v="1.3856999999999999"/>
    <n v="0"/>
    <n v="0"/>
    <n v="31"/>
    <n v="31"/>
    <n v="0"/>
    <n v="0"/>
    <n v="100"/>
    <s v="Consolidation"/>
    <s v="CO2e and Base Measure"/>
    <n v="100"/>
    <n v="100"/>
    <n v="1.39"/>
    <m/>
    <m/>
    <m/>
    <m/>
    <m/>
    <n v="1.8013999999999999"/>
    <m/>
    <n v="1.8013999999999999"/>
    <m/>
    <m/>
    <m/>
    <m/>
    <m/>
    <s v="AUD"/>
    <s v="13641253Waste - General [t] - Scope 3"/>
    <n v="13641253"/>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0-12-01T00:00:00"/>
    <s v="FY21"/>
    <s v="t"/>
    <n v="0"/>
    <n v="0.19800000000000001"/>
    <n v="0"/>
    <n v="0.19800000000000001"/>
    <n v="0"/>
    <n v="2"/>
    <n v="0"/>
    <n v="2"/>
    <n v="0"/>
    <n v="100"/>
    <n v="0"/>
    <s v="Consolidation"/>
    <s v="CO2e and Base Measure"/>
    <n v="100"/>
    <n v="100"/>
    <n v="0.2"/>
    <m/>
    <m/>
    <m/>
    <m/>
    <m/>
    <n v="0.25740000000000002"/>
    <m/>
    <n v="0.25740000000000002"/>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1-01T00:00:00"/>
    <s v="FY21"/>
    <s v="t"/>
    <n v="0"/>
    <n v="0.44550000000000001"/>
    <n v="0"/>
    <n v="0.44550000000000001"/>
    <n v="0"/>
    <n v="5"/>
    <n v="0"/>
    <n v="5"/>
    <n v="0"/>
    <n v="100"/>
    <n v="0"/>
    <s v="Consolidation"/>
    <s v="CO2e and Base Measure"/>
    <n v="100"/>
    <n v="100"/>
    <n v="0.45"/>
    <m/>
    <m/>
    <m/>
    <m/>
    <m/>
    <n v="0.57920000000000005"/>
    <m/>
    <n v="0.57920000000000005"/>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2-01T00:00:00"/>
    <s v="FY21"/>
    <s v="t"/>
    <n v="0"/>
    <n v="0.39600000000000002"/>
    <n v="0"/>
    <n v="0.39600000000000002"/>
    <n v="0"/>
    <n v="4"/>
    <n v="0"/>
    <n v="4"/>
    <n v="0"/>
    <n v="100"/>
    <n v="0"/>
    <s v="Consolidation"/>
    <s v="CO2e and Base Measure"/>
    <n v="100"/>
    <n v="100"/>
    <n v="0.4"/>
    <m/>
    <m/>
    <m/>
    <m/>
    <m/>
    <n v="0.51480000000000004"/>
    <m/>
    <n v="0.51480000000000004"/>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3-01T00:00:00"/>
    <s v="FY21"/>
    <s v="t"/>
    <n v="0"/>
    <n v="0.64349999999999996"/>
    <n v="0"/>
    <n v="0.64349999999999996"/>
    <n v="0"/>
    <n v="6"/>
    <n v="0"/>
    <n v="6"/>
    <n v="0"/>
    <n v="100"/>
    <n v="0"/>
    <s v="Consolidation"/>
    <s v="CO2e and Base Measure"/>
    <n v="100"/>
    <n v="100"/>
    <n v="0.64"/>
    <m/>
    <m/>
    <m/>
    <m/>
    <m/>
    <n v="0.83660000000000001"/>
    <m/>
    <n v="0.83660000000000001"/>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4-01T00:00:00"/>
    <s v="FY21"/>
    <s v="t"/>
    <n v="0"/>
    <n v="0"/>
    <n v="0.42"/>
    <n v="0.42"/>
    <n v="0"/>
    <n v="0"/>
    <n v="30"/>
    <n v="30"/>
    <n v="0"/>
    <n v="0"/>
    <n v="100"/>
    <s v="Consolidation"/>
    <s v="CO2e and Base Measure"/>
    <n v="100"/>
    <n v="100"/>
    <n v="0.42"/>
    <m/>
    <m/>
    <m/>
    <m/>
    <m/>
    <n v="0.54600000000000004"/>
    <m/>
    <n v="0.54600000000000004"/>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5-01T00:00:00"/>
    <s v="FY21"/>
    <s v="t"/>
    <n v="0"/>
    <n v="0"/>
    <n v="0.434"/>
    <n v="0.434"/>
    <n v="0"/>
    <n v="0"/>
    <n v="31"/>
    <n v="31"/>
    <n v="0"/>
    <n v="0"/>
    <n v="100"/>
    <s v="Consolidation"/>
    <s v="CO2e and Base Measure"/>
    <n v="100"/>
    <n v="100"/>
    <n v="0.43"/>
    <m/>
    <m/>
    <m/>
    <m/>
    <m/>
    <n v="0.56420000000000003"/>
    <m/>
    <n v="0.56420000000000003"/>
    <m/>
    <m/>
    <m/>
    <m/>
    <m/>
    <s v="AUD"/>
    <s v="13634231Waste - General [t] - Scope 3"/>
    <n v="13634231"/>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0-12-01T00:00:00"/>
    <s v="FY21"/>
    <s v="t"/>
    <n v="0"/>
    <n v="5.5E-2"/>
    <n v="0"/>
    <n v="5.5E-2"/>
    <n v="0"/>
    <n v="1"/>
    <n v="0"/>
    <n v="1"/>
    <n v="0"/>
    <n v="100"/>
    <n v="0"/>
    <s v="Consolidation"/>
    <s v="CO2e and Base Measure"/>
    <n v="100"/>
    <n v="100"/>
    <n v="0.06"/>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1-01T00:00:00"/>
    <s v="FY21"/>
    <s v="t"/>
    <n v="0"/>
    <n v="0.16500000000000001"/>
    <n v="0"/>
    <n v="0.16500000000000001"/>
    <n v="0"/>
    <n v="3"/>
    <n v="0"/>
    <n v="3"/>
    <n v="0"/>
    <n v="100"/>
    <n v="0"/>
    <s v="Consolidation"/>
    <s v="CO2e and Base Measure"/>
    <n v="100"/>
    <n v="100"/>
    <n v="0.17"/>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2-01T00:00:00"/>
    <s v="FY21"/>
    <s v="t"/>
    <n v="0"/>
    <n v="0.1925"/>
    <n v="0"/>
    <n v="0.1925"/>
    <n v="0"/>
    <n v="4"/>
    <n v="0"/>
    <n v="4"/>
    <n v="0"/>
    <n v="100"/>
    <n v="0"/>
    <s v="Consolidation"/>
    <s v="CO2e and Base Measure"/>
    <n v="100"/>
    <n v="100"/>
    <n v="0.19"/>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3-01T00:00:00"/>
    <s v="FY21"/>
    <s v="t"/>
    <n v="0"/>
    <n v="0.27500000000000002"/>
    <n v="0"/>
    <n v="0.27500000000000002"/>
    <n v="0"/>
    <n v="4"/>
    <n v="0"/>
    <n v="4"/>
    <n v="0"/>
    <n v="100"/>
    <n v="0"/>
    <s v="Consolidation"/>
    <s v="CO2e and Base Measure"/>
    <n v="100"/>
    <n v="100"/>
    <n v="0.28000000000000003"/>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4-01T00:00:00"/>
    <s v="FY21"/>
    <s v="t"/>
    <n v="0"/>
    <n v="0"/>
    <n v="0.17100000000000001"/>
    <n v="0.17100000000000001"/>
    <n v="0"/>
    <n v="0"/>
    <n v="30"/>
    <n v="30"/>
    <n v="0"/>
    <n v="0"/>
    <n v="100"/>
    <s v="Consolidation"/>
    <s v="CO2e and Base Measure"/>
    <n v="100"/>
    <n v="100"/>
    <n v="0.17"/>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5-01T00:00:00"/>
    <s v="FY21"/>
    <s v="t"/>
    <n v="0"/>
    <n v="0"/>
    <n v="0.1767"/>
    <n v="0.1767"/>
    <n v="0"/>
    <n v="0"/>
    <n v="31"/>
    <n v="31"/>
    <n v="0"/>
    <n v="0"/>
    <n v="100"/>
    <s v="Consolidation"/>
    <s v="CO2e and Base Measure"/>
    <n v="100"/>
    <n v="100"/>
    <n v="0.18"/>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1-01T00:00:00"/>
    <s v="FY21"/>
    <s v="t"/>
    <n v="7.9500000000000001E-2"/>
    <n v="0"/>
    <n v="0"/>
    <n v="7.9500000000000001E-2"/>
    <n v="1"/>
    <n v="0"/>
    <n v="0"/>
    <n v="1"/>
    <n v="100"/>
    <n v="0"/>
    <n v="0"/>
    <s v="Consolidation"/>
    <s v="CO2e and Base Measure"/>
    <n v="100"/>
    <n v="100"/>
    <n v="0.08"/>
    <m/>
    <m/>
    <m/>
    <m/>
    <m/>
    <m/>
    <m/>
    <m/>
    <m/>
    <m/>
    <m/>
    <m/>
    <m/>
    <s v="AUD"/>
    <s v="13639879Waste Recycled - E-waste [t]"/>
    <n v="13639879"/>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2-01T00:00:00"/>
    <s v="FY21"/>
    <s v="t"/>
    <n v="0"/>
    <n v="0"/>
    <n v="7.5600000000000001E-2"/>
    <n v="7.5600000000000001E-2"/>
    <n v="0"/>
    <n v="0"/>
    <n v="28"/>
    <n v="28"/>
    <n v="0"/>
    <n v="0"/>
    <n v="100"/>
    <s v="Consolidation"/>
    <s v="CO2e and Base Measure"/>
    <n v="100"/>
    <n v="100"/>
    <n v="0.08"/>
    <m/>
    <m/>
    <m/>
    <m/>
    <m/>
    <m/>
    <m/>
    <m/>
    <m/>
    <m/>
    <m/>
    <m/>
    <m/>
    <s v="AUD"/>
    <s v="13639879Waste Recycled - E-waste [t]"/>
    <n v="13639879"/>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3-01T00:00:00"/>
    <s v="FY21"/>
    <s v="t"/>
    <n v="0"/>
    <n v="0"/>
    <n v="8.3699999999999997E-2"/>
    <n v="8.3699999999999997E-2"/>
    <n v="0"/>
    <n v="0"/>
    <n v="31"/>
    <n v="31"/>
    <n v="0"/>
    <n v="0"/>
    <n v="100"/>
    <s v="Consolidation"/>
    <s v="CO2e and Base Measure"/>
    <n v="100"/>
    <n v="100"/>
    <n v="0.08"/>
    <m/>
    <m/>
    <m/>
    <m/>
    <m/>
    <m/>
    <m/>
    <m/>
    <m/>
    <m/>
    <m/>
    <m/>
    <m/>
    <s v="AUD"/>
    <s v="13639879Waste Recycled - E-waste [t]"/>
    <n v="13639879"/>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4-01T00:00:00"/>
    <s v="FY21"/>
    <s v="t"/>
    <n v="0"/>
    <n v="0"/>
    <n v="8.1000000000000003E-2"/>
    <n v="8.1000000000000003E-2"/>
    <n v="0"/>
    <n v="0"/>
    <n v="30"/>
    <n v="30"/>
    <n v="0"/>
    <n v="0"/>
    <n v="100"/>
    <s v="Consolidation"/>
    <s v="CO2e and Base Measure"/>
    <n v="100"/>
    <n v="100"/>
    <n v="0.08"/>
    <m/>
    <m/>
    <m/>
    <m/>
    <m/>
    <m/>
    <m/>
    <m/>
    <m/>
    <m/>
    <m/>
    <m/>
    <m/>
    <s v="AUD"/>
    <s v="13639879Waste Recycled - E-waste [t]"/>
    <n v="13639879"/>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5-01T00:00:00"/>
    <s v="FY21"/>
    <s v="t"/>
    <n v="0"/>
    <n v="0"/>
    <n v="8.3699999999999997E-2"/>
    <n v="8.3699999999999997E-2"/>
    <n v="0"/>
    <n v="0"/>
    <n v="31"/>
    <n v="31"/>
    <n v="0"/>
    <n v="0"/>
    <n v="100"/>
    <s v="Consolidation"/>
    <s v="CO2e and Base Measure"/>
    <n v="100"/>
    <n v="100"/>
    <n v="0.08"/>
    <m/>
    <m/>
    <m/>
    <m/>
    <m/>
    <m/>
    <m/>
    <m/>
    <m/>
    <m/>
    <m/>
    <m/>
    <m/>
    <s v="AUD"/>
    <s v="13639879Waste Recycled - E-waste [t]"/>
    <n v="13639879"/>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803Waste - General [t] - Scope 3"/>
    <n v="13564803"/>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07-01T00:00:00"/>
    <s v="FY21"/>
    <s v="t"/>
    <n v="0.24"/>
    <n v="9.7500000000000003E-2"/>
    <n v="0"/>
    <n v="0.33750000000000002"/>
    <n v="2"/>
    <n v="1"/>
    <n v="0"/>
    <n v="3"/>
    <n v="71.11"/>
    <n v="28.88"/>
    <n v="0"/>
    <s v="Consolidation"/>
    <s v="CO2e and Base Measure"/>
    <n v="100"/>
    <n v="100"/>
    <n v="0.34"/>
    <m/>
    <m/>
    <m/>
    <m/>
    <m/>
    <n v="0.43880000000000002"/>
    <m/>
    <n v="0.43880000000000002"/>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08-01T00:00:00"/>
    <s v="FY21"/>
    <s v="t"/>
    <n v="0.16500000000000001"/>
    <n v="0"/>
    <n v="0"/>
    <n v="0.16500000000000001"/>
    <n v="2"/>
    <n v="0"/>
    <n v="0"/>
    <n v="2"/>
    <n v="100"/>
    <n v="0"/>
    <n v="0"/>
    <s v="Consolidation"/>
    <s v="CO2e and Base Measure"/>
    <n v="100"/>
    <n v="100"/>
    <n v="0.17"/>
    <m/>
    <m/>
    <m/>
    <m/>
    <m/>
    <n v="0.2145"/>
    <m/>
    <n v="0.2145"/>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09-01T00:00:00"/>
    <s v="FY21"/>
    <s v="t"/>
    <n v="0.19"/>
    <n v="0"/>
    <n v="0"/>
    <n v="0.19"/>
    <n v="2"/>
    <n v="0"/>
    <n v="0"/>
    <n v="2"/>
    <n v="100"/>
    <n v="0"/>
    <n v="0"/>
    <s v="Consolidation"/>
    <s v="CO2e and Base Measure"/>
    <n v="100"/>
    <n v="100"/>
    <n v="0.19"/>
    <m/>
    <m/>
    <m/>
    <m/>
    <m/>
    <n v="0.247"/>
    <m/>
    <n v="0.247"/>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10-01T00:00:00"/>
    <s v="FY21"/>
    <s v="t"/>
    <n v="4.4999999999999998E-2"/>
    <n v="9.7500000000000003E-2"/>
    <n v="0"/>
    <n v="0.14249999999999999"/>
    <n v="1"/>
    <n v="1"/>
    <n v="0"/>
    <n v="2"/>
    <n v="31.57"/>
    <n v="68.42"/>
    <n v="0"/>
    <s v="Consolidation"/>
    <s v="CO2e and Base Measure"/>
    <n v="100"/>
    <n v="100"/>
    <n v="0.14000000000000001"/>
    <m/>
    <m/>
    <m/>
    <m/>
    <m/>
    <n v="0.18529999999999999"/>
    <m/>
    <n v="0.18529999999999999"/>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11-01T00:00:00"/>
    <s v="FY21"/>
    <s v="t"/>
    <n v="0.375"/>
    <n v="0"/>
    <n v="0"/>
    <n v="0.375"/>
    <n v="2"/>
    <n v="0"/>
    <n v="0"/>
    <n v="2"/>
    <n v="100"/>
    <n v="0"/>
    <n v="0"/>
    <s v="Consolidation"/>
    <s v="CO2e and Base Measure"/>
    <n v="100"/>
    <n v="100"/>
    <n v="0.38"/>
    <m/>
    <m/>
    <m/>
    <m/>
    <m/>
    <n v="0.48749999999999999"/>
    <m/>
    <n v="0.48749999999999999"/>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1-01-01T00:00:00"/>
    <s v="FY21"/>
    <s v="t"/>
    <n v="0"/>
    <n v="0"/>
    <n v="7.1999999999999998E-3"/>
    <n v="7.1999999999999998E-3"/>
    <n v="0"/>
    <n v="0"/>
    <n v="1"/>
    <n v="1"/>
    <n v="0"/>
    <n v="0"/>
    <n v="100"/>
    <s v="Consolidation"/>
    <s v="CO2e and Base Measure"/>
    <n v="100"/>
    <n v="100"/>
    <n v="0.01"/>
    <m/>
    <m/>
    <m/>
    <m/>
    <m/>
    <n v="9.4000000000000004E-3"/>
    <m/>
    <n v="9.4000000000000004E-3"/>
    <m/>
    <m/>
    <m/>
    <m/>
    <m/>
    <s v="AUD"/>
    <s v="13564580Waste - General [t] - Scope 3"/>
    <n v="13564580"/>
  </r>
  <r>
    <d v="2019-07-01T00:00:00"/>
    <d v="2021-06-30T00:00:00"/>
    <s v="Telstra"/>
    <s v="NETWORK"/>
    <s v="Network - InfraCo"/>
    <s v="VIC"/>
    <s v="Australia"/>
    <s v="Box Hill"/>
    <s v="BOX HILL EXCHANGE"/>
    <n v="423030789400"/>
    <s v="Waste"/>
    <x v="1"/>
    <x v="2"/>
    <s v="Account"/>
    <s v="Remondis General Waste"/>
    <m/>
    <s v="423030789400_WGENERALW"/>
    <s v="GENERAL WASTE"/>
    <s v="Remondis"/>
    <m/>
    <m/>
    <d v="2020-08-01T00:00:00"/>
    <d v="2020-07-01T00:00:00"/>
    <s v="FY21"/>
    <s v="t"/>
    <n v="2.54"/>
    <n v="0"/>
    <n v="0"/>
    <n v="2.54"/>
    <n v="1"/>
    <n v="0"/>
    <n v="0"/>
    <n v="1"/>
    <n v="100"/>
    <n v="0"/>
    <n v="0"/>
    <s v="Consolidation"/>
    <s v="CO2e and Base Measure"/>
    <n v="100"/>
    <n v="100"/>
    <n v="2.54"/>
    <m/>
    <m/>
    <m/>
    <m/>
    <m/>
    <n v="3.302"/>
    <m/>
    <n v="3.302"/>
    <m/>
    <m/>
    <m/>
    <m/>
    <m/>
    <s v="AUD"/>
    <s v="13565306Waste - General [t] - Scope 3"/>
    <n v="13565306"/>
  </r>
  <r>
    <d v="2019-07-01T00:00:00"/>
    <d v="2021-06-30T00:00:00"/>
    <s v="Telstra"/>
    <s v="NETWORK"/>
    <s v="Network - InfraCo"/>
    <s v="VIC"/>
    <s v="Australia"/>
    <s v="Box Hill"/>
    <s v="BOX HILL EXCHANGE"/>
    <n v="423030789400"/>
    <s v="Waste"/>
    <x v="1"/>
    <x v="2"/>
    <s v="Account"/>
    <s v="Remondis General Waste"/>
    <m/>
    <s v="423030789400_WGENERALW"/>
    <s v="GENERAL WASTE"/>
    <s v="Remondis"/>
    <m/>
    <m/>
    <d v="2020-08-01T00:00:00"/>
    <d v="2020-08-01T00:00:00"/>
    <s v="FY21"/>
    <s v="t"/>
    <n v="0"/>
    <n v="0"/>
    <n v="8.4699999999999998E-2"/>
    <n v="8.4699999999999998E-2"/>
    <n v="0"/>
    <n v="0"/>
    <n v="1"/>
    <n v="1"/>
    <n v="0"/>
    <n v="0"/>
    <n v="100"/>
    <s v="Consolidation"/>
    <s v="CO2e and Base Measure"/>
    <n v="100"/>
    <n v="100"/>
    <n v="0.08"/>
    <m/>
    <m/>
    <m/>
    <m/>
    <m/>
    <n v="0.1101"/>
    <m/>
    <n v="0.1101"/>
    <m/>
    <m/>
    <m/>
    <m/>
    <m/>
    <s v="AUD"/>
    <s v="13565306Waste - General [t] - Scope 3"/>
    <n v="13565306"/>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07-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08-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09-01T00:00:00"/>
    <s v="FY21"/>
    <s v="t"/>
    <n v="0"/>
    <n v="7.4999999999999997E-2"/>
    <n v="0"/>
    <n v="7.4999999999999997E-2"/>
    <n v="0"/>
    <n v="30"/>
    <n v="0"/>
    <n v="30"/>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10-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11-01T00:00:00"/>
    <s v="FY21"/>
    <s v="t"/>
    <n v="0"/>
    <n v="7.4999999999999997E-2"/>
    <n v="0"/>
    <n v="7.4999999999999997E-2"/>
    <n v="0"/>
    <n v="30"/>
    <n v="0"/>
    <n v="30"/>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12-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1-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2-01T00:00:00"/>
    <s v="FY21"/>
    <s v="t"/>
    <n v="0"/>
    <n v="7.0000000000000007E-2"/>
    <n v="0"/>
    <n v="7.0000000000000007E-2"/>
    <n v="0"/>
    <n v="28"/>
    <n v="0"/>
    <n v="28"/>
    <n v="0"/>
    <n v="100"/>
    <n v="0"/>
    <s v="Consolidation"/>
    <s v="CO2e and Base Measure"/>
    <n v="100"/>
    <n v="100"/>
    <n v="7.0000000000000007E-2"/>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3-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4-01T00:00:00"/>
    <s v="FY21"/>
    <s v="t"/>
    <n v="0"/>
    <n v="7.4999999999999997E-2"/>
    <n v="0"/>
    <n v="7.4999999999999997E-2"/>
    <n v="0"/>
    <n v="30"/>
    <n v="0"/>
    <n v="30"/>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5-01T00:00:00"/>
    <s v="FY21"/>
    <s v="t"/>
    <n v="0"/>
    <n v="0"/>
    <n v="7.7499999999999999E-2"/>
    <n v="7.7499999999999999E-2"/>
    <n v="0"/>
    <n v="0"/>
    <n v="31"/>
    <n v="31"/>
    <n v="0"/>
    <n v="0"/>
    <n v="100"/>
    <s v="Consolidation"/>
    <s v="CO2e and Base Measure"/>
    <n v="100"/>
    <n v="100"/>
    <n v="0.08"/>
    <m/>
    <m/>
    <m/>
    <m/>
    <m/>
    <m/>
    <m/>
    <m/>
    <m/>
    <m/>
    <m/>
    <m/>
    <m/>
    <s v="AUD"/>
    <s v="13644549Waste Recycled - E-waste [t]"/>
    <n v="13644549"/>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07-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08-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09-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10-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11-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12-01T00:00:00"/>
    <s v="FY21"/>
    <s v="t"/>
    <n v="0"/>
    <n v="0"/>
    <n v="8.6E-3"/>
    <n v="8.6E-3"/>
    <n v="0"/>
    <n v="0"/>
    <n v="1"/>
    <n v="1"/>
    <n v="0"/>
    <n v="0"/>
    <n v="100"/>
    <s v="Consolidation"/>
    <s v="CO2e and Base Measure"/>
    <n v="100"/>
    <n v="100"/>
    <n v="0.01"/>
    <m/>
    <m/>
    <m/>
    <m/>
    <m/>
    <n v="1.12E-2"/>
    <m/>
    <n v="1.12E-2"/>
    <m/>
    <m/>
    <m/>
    <m/>
    <m/>
    <s v="AUD"/>
    <s v="13564187Waste - General [t] - Scope 3"/>
    <n v="13564187"/>
  </r>
  <r>
    <d v="2019-07-01T00:00:00"/>
    <d v="2021-06-30T00:00:00"/>
    <s v="Telstra"/>
    <s v="NETWORK"/>
    <s v="Network - InfraCo"/>
    <s v="NSW"/>
    <s v="Australia"/>
    <s v="Braidwood"/>
    <s v="BRAIDWOOD EXCHANGE"/>
    <n v="423030118100"/>
    <s v="Waste"/>
    <x v="1"/>
    <x v="2"/>
    <s v="Account"/>
    <s v="CLEANAWAY General"/>
    <m/>
    <s v="43536_Landfill_General"/>
    <s v="General"/>
    <s v="Cleanaway"/>
    <m/>
    <m/>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41238Waste - General [t] - Scope 3"/>
    <n v="13641238"/>
  </r>
  <r>
    <d v="2019-07-01T00:00:00"/>
    <d v="2021-06-30T00:00:00"/>
    <s v="Telstra"/>
    <s v="NETWORK"/>
    <s v="Network - InfraCo"/>
    <s v="NSW"/>
    <s v="Australia"/>
    <s v="Braidwood"/>
    <s v="BRAIDWOOD EXCHANGE"/>
    <n v="423030118100"/>
    <s v="Waste"/>
    <x v="1"/>
    <x v="2"/>
    <s v="Account"/>
    <s v="CLEANAWAY General"/>
    <m/>
    <s v="43536_Landfill_General"/>
    <s v="General"/>
    <s v="Cleanaway"/>
    <m/>
    <m/>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41238Waste - General [t] - Scope 3"/>
    <n v="13641238"/>
  </r>
  <r>
    <d v="2019-07-01T00:00:00"/>
    <d v="2021-06-30T00:00:00"/>
    <s v="Telstra"/>
    <s v="NETWORK"/>
    <s v="Network - InfraCo"/>
    <s v="NSW"/>
    <s v="Australia"/>
    <s v="Braidwood"/>
    <s v="BRAIDWOOD EXCHANGE"/>
    <n v="423030118100"/>
    <s v="Waste"/>
    <x v="1"/>
    <x v="2"/>
    <s v="Account"/>
    <s v="CLEANAWAY General"/>
    <m/>
    <s v="43536_Landfill_General"/>
    <s v="General"/>
    <s v="Cleanaway"/>
    <m/>
    <m/>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41238Waste - General [t] - Scope 3"/>
    <n v="13641238"/>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07-01T00:00:00"/>
    <s v="FY21"/>
    <s v="t"/>
    <n v="0"/>
    <n v="6.2399999999999997E-2"/>
    <n v="0"/>
    <n v="6.2399999999999997E-2"/>
    <n v="0"/>
    <n v="4"/>
    <n v="0"/>
    <n v="4"/>
    <n v="0"/>
    <n v="100"/>
    <n v="0"/>
    <s v="Consolidation"/>
    <s v="CO2e and Base Measure"/>
    <n v="100"/>
    <n v="100"/>
    <n v="0.06"/>
    <m/>
    <m/>
    <m/>
    <m/>
    <m/>
    <n v="8.1100000000000005E-2"/>
    <m/>
    <n v="8.1100000000000005E-2"/>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08-01T00:00:00"/>
    <s v="FY21"/>
    <s v="t"/>
    <n v="0"/>
    <n v="7.8E-2"/>
    <n v="0"/>
    <n v="7.8E-2"/>
    <n v="0"/>
    <n v="5"/>
    <n v="0"/>
    <n v="5"/>
    <n v="0"/>
    <n v="100"/>
    <n v="0"/>
    <s v="Consolidation"/>
    <s v="CO2e and Base Measure"/>
    <n v="100"/>
    <n v="100"/>
    <n v="0.08"/>
    <m/>
    <m/>
    <m/>
    <m/>
    <m/>
    <n v="0.1014"/>
    <m/>
    <n v="0.1014"/>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09-01T00:00:00"/>
    <s v="FY21"/>
    <s v="t"/>
    <n v="0"/>
    <n v="6.2399999999999997E-2"/>
    <n v="0"/>
    <n v="6.2399999999999997E-2"/>
    <n v="0"/>
    <n v="4"/>
    <n v="0"/>
    <n v="4"/>
    <n v="0"/>
    <n v="100"/>
    <n v="0"/>
    <s v="Consolidation"/>
    <s v="CO2e and Base Measure"/>
    <n v="100"/>
    <n v="100"/>
    <n v="0.06"/>
    <m/>
    <m/>
    <m/>
    <m/>
    <m/>
    <n v="8.1100000000000005E-2"/>
    <m/>
    <n v="8.1100000000000005E-2"/>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10-01T00:00:00"/>
    <s v="FY21"/>
    <s v="t"/>
    <n v="0"/>
    <n v="6.2399999999999997E-2"/>
    <n v="0"/>
    <n v="6.2399999999999997E-2"/>
    <n v="0"/>
    <n v="4"/>
    <n v="0"/>
    <n v="4"/>
    <n v="0"/>
    <n v="100"/>
    <n v="0"/>
    <s v="Consolidation"/>
    <s v="CO2e and Base Measure"/>
    <n v="100"/>
    <n v="100"/>
    <n v="0.06"/>
    <m/>
    <m/>
    <m/>
    <m/>
    <m/>
    <n v="8.1100000000000005E-2"/>
    <m/>
    <n v="8.1100000000000005E-2"/>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11-01T00:00:00"/>
    <s v="FY21"/>
    <s v="t"/>
    <n v="0"/>
    <n v="7.8E-2"/>
    <n v="0"/>
    <n v="7.8E-2"/>
    <n v="0"/>
    <n v="5"/>
    <n v="0"/>
    <n v="5"/>
    <n v="0"/>
    <n v="100"/>
    <n v="0"/>
    <s v="Consolidation"/>
    <s v="CO2e and Base Measure"/>
    <n v="100"/>
    <n v="100"/>
    <n v="0.08"/>
    <m/>
    <m/>
    <m/>
    <m/>
    <m/>
    <n v="0.1014"/>
    <m/>
    <n v="0.1014"/>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12-01T00:00:00"/>
    <s v="FY21"/>
    <s v="t"/>
    <n v="0"/>
    <n v="0"/>
    <n v="2.3E-3"/>
    <n v="2.3E-3"/>
    <n v="0"/>
    <n v="0"/>
    <n v="1"/>
    <n v="1"/>
    <n v="0"/>
    <n v="0"/>
    <n v="100"/>
    <s v="Consolidation"/>
    <s v="CO2e and Base Measure"/>
    <n v="100"/>
    <n v="100"/>
    <n v="0"/>
    <m/>
    <m/>
    <m/>
    <m/>
    <m/>
    <n v="3.0000000000000001E-3"/>
    <m/>
    <n v="3.0000000000000001E-3"/>
    <m/>
    <m/>
    <m/>
    <m/>
    <m/>
    <s v="AUD"/>
    <s v="13564111Waste - General [t] - Scope 3"/>
    <n v="13564111"/>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847Waste - General [t] - Scope 3"/>
    <n v="13564847"/>
  </r>
  <r>
    <d v="2019-07-01T00:00:00"/>
    <d v="2021-06-30T00:00:00"/>
    <s v="Telstra"/>
    <s v="NETWORK"/>
    <s v="Network - InfraCo"/>
    <s v="VIC"/>
    <s v="Australia"/>
    <s v="Mount Beauty"/>
    <s v="BRIGHT EXCHANGE"/>
    <n v="423030565700"/>
    <s v="Waste"/>
    <x v="1"/>
    <x v="4"/>
    <s v="Account"/>
    <s v="Remondis Asbestos"/>
    <m/>
    <s v="4230305657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76214Waste - Construction and Demolition [t]"/>
    <n v="13576214"/>
  </r>
  <r>
    <d v="2019-07-01T00:00:00"/>
    <d v="2021-06-30T00:00:00"/>
    <s v="Telstra"/>
    <s v="NETWORK"/>
    <s v="Network - InfraCo"/>
    <s v="VIC"/>
    <s v="Australia"/>
    <s v="Mount Beauty"/>
    <s v="BRIGHT EXCHANGE"/>
    <n v="423030565700"/>
    <s v="Waste"/>
    <x v="1"/>
    <x v="4"/>
    <s v="Account"/>
    <s v="Remondis Asbestos"/>
    <m/>
    <s v="423030565700_WASBESTOS"/>
    <s v="ASBESTOS"/>
    <s v="Remondis"/>
    <m/>
    <m/>
    <d v="2021-01-01T00:00:00"/>
    <d v="2021-01-01T00:00:00"/>
    <s v="FY21"/>
    <s v="t"/>
    <n v="0"/>
    <n v="0"/>
    <n v="4.8999999999999998E-3"/>
    <n v="4.8999999999999998E-3"/>
    <n v="0"/>
    <n v="0"/>
    <n v="1"/>
    <n v="1"/>
    <n v="0"/>
    <n v="0"/>
    <n v="100"/>
    <s v="Consolidation"/>
    <s v="CO2e and Base Measure"/>
    <n v="100"/>
    <n v="100"/>
    <n v="0"/>
    <m/>
    <m/>
    <m/>
    <m/>
    <m/>
    <n v="5.8999999999999999E-3"/>
    <m/>
    <n v="5.8999999999999999E-3"/>
    <m/>
    <m/>
    <m/>
    <m/>
    <m/>
    <s v="AUD"/>
    <s v="13576214Waste - Construction and Demolition [t]"/>
    <n v="13576214"/>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1-01T00:00:00"/>
    <s v="FY21"/>
    <s v="t"/>
    <n v="4.1000000000000002E-2"/>
    <n v="0"/>
    <n v="0"/>
    <n v="4.1000000000000002E-2"/>
    <n v="2"/>
    <n v="0"/>
    <n v="0"/>
    <n v="2"/>
    <n v="100"/>
    <n v="0"/>
    <n v="0"/>
    <s v="Consolidation"/>
    <s v="CO2e and Base Measure"/>
    <n v="100"/>
    <n v="100"/>
    <n v="0.04"/>
    <m/>
    <m/>
    <m/>
    <m/>
    <m/>
    <n v="5.33E-2"/>
    <m/>
    <n v="5.33E-2"/>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2-01T00:00:00"/>
    <s v="FY21"/>
    <s v="t"/>
    <n v="2.1000000000000001E-2"/>
    <n v="6.7500000000000004E-2"/>
    <n v="0"/>
    <n v="8.8499999999999995E-2"/>
    <n v="1"/>
    <n v="1"/>
    <n v="0"/>
    <n v="2"/>
    <n v="23.72"/>
    <n v="76.27"/>
    <n v="0"/>
    <s v="Consolidation"/>
    <s v="CO2e and Base Measure"/>
    <n v="100"/>
    <n v="100"/>
    <n v="0.09"/>
    <m/>
    <m/>
    <m/>
    <m/>
    <m/>
    <n v="0.11509999999999999"/>
    <m/>
    <n v="0.11509999999999999"/>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3-01T00:00:00"/>
    <s v="FY21"/>
    <s v="t"/>
    <n v="0"/>
    <n v="0.20250000000000001"/>
    <n v="0"/>
    <n v="0.20250000000000001"/>
    <n v="0"/>
    <n v="3"/>
    <n v="0"/>
    <n v="3"/>
    <n v="0"/>
    <n v="100"/>
    <n v="0"/>
    <s v="Consolidation"/>
    <s v="CO2e and Base Measure"/>
    <n v="100"/>
    <n v="100"/>
    <n v="0.2"/>
    <m/>
    <m/>
    <m/>
    <m/>
    <m/>
    <n v="0.26329999999999998"/>
    <m/>
    <n v="0.26329999999999998"/>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4-01T00:00:00"/>
    <s v="FY21"/>
    <s v="t"/>
    <n v="0"/>
    <n v="0"/>
    <n v="9.9000000000000005E-2"/>
    <n v="9.9000000000000005E-2"/>
    <n v="0"/>
    <n v="0"/>
    <n v="30"/>
    <n v="30"/>
    <n v="0"/>
    <n v="0"/>
    <n v="100"/>
    <s v="Consolidation"/>
    <s v="CO2e and Base Measure"/>
    <n v="100"/>
    <n v="100"/>
    <n v="0.1"/>
    <m/>
    <m/>
    <m/>
    <m/>
    <m/>
    <n v="0.12870000000000001"/>
    <m/>
    <n v="0.12870000000000001"/>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5-01T00:00:00"/>
    <s v="FY21"/>
    <s v="t"/>
    <n v="0"/>
    <n v="0"/>
    <n v="0.1023"/>
    <n v="0.1023"/>
    <n v="0"/>
    <n v="0"/>
    <n v="31"/>
    <n v="31"/>
    <n v="0"/>
    <n v="0"/>
    <n v="100"/>
    <s v="Consolidation"/>
    <s v="CO2e and Base Measure"/>
    <n v="100"/>
    <n v="100"/>
    <n v="0.1"/>
    <m/>
    <m/>
    <m/>
    <m/>
    <m/>
    <n v="0.13300000000000001"/>
    <m/>
    <n v="0.13300000000000001"/>
    <m/>
    <m/>
    <m/>
    <m/>
    <m/>
    <s v="AUD"/>
    <s v="13634036Waste - General [t] - Scope 3"/>
    <n v="13634036"/>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07-01T00:00:00"/>
    <s v="FY21"/>
    <s v="t"/>
    <n v="0"/>
    <n v="0.24"/>
    <n v="0"/>
    <n v="0.24"/>
    <n v="0"/>
    <n v="1"/>
    <n v="0"/>
    <n v="1"/>
    <n v="0"/>
    <n v="100"/>
    <n v="0"/>
    <s v="Consolidation"/>
    <s v="CO2e and Base Measure"/>
    <n v="100"/>
    <n v="100"/>
    <n v="0.24"/>
    <m/>
    <m/>
    <m/>
    <m/>
    <m/>
    <n v="0.312"/>
    <m/>
    <n v="0.312"/>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08-01T00:00:00"/>
    <s v="FY21"/>
    <s v="t"/>
    <n v="0"/>
    <n v="0.435"/>
    <n v="0"/>
    <n v="0.435"/>
    <n v="0"/>
    <n v="2"/>
    <n v="0"/>
    <n v="2"/>
    <n v="0"/>
    <n v="100"/>
    <n v="0"/>
    <s v="Consolidation"/>
    <s v="CO2e and Base Measure"/>
    <n v="100"/>
    <n v="100"/>
    <n v="0.44"/>
    <m/>
    <m/>
    <m/>
    <m/>
    <m/>
    <n v="0.5655"/>
    <m/>
    <n v="0.5655"/>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10-01T00:00:00"/>
    <s v="FY21"/>
    <s v="t"/>
    <n v="0"/>
    <n v="0.48"/>
    <n v="0"/>
    <n v="0.48"/>
    <n v="0"/>
    <n v="2"/>
    <n v="0"/>
    <n v="2"/>
    <n v="0"/>
    <n v="100"/>
    <n v="0"/>
    <s v="Consolidation"/>
    <s v="CO2e and Base Measure"/>
    <n v="100"/>
    <n v="100"/>
    <n v="0.48"/>
    <m/>
    <m/>
    <m/>
    <m/>
    <m/>
    <n v="0.624"/>
    <m/>
    <n v="0.624"/>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11-01T00:00:00"/>
    <s v="FY21"/>
    <s v="t"/>
    <n v="0"/>
    <n v="0.58499999999999996"/>
    <n v="0"/>
    <n v="0.58499999999999996"/>
    <n v="0"/>
    <n v="3"/>
    <n v="0"/>
    <n v="3"/>
    <n v="0"/>
    <n v="100"/>
    <n v="0"/>
    <s v="Consolidation"/>
    <s v="CO2e and Base Measure"/>
    <n v="100"/>
    <n v="100"/>
    <n v="0.59"/>
    <m/>
    <m/>
    <m/>
    <m/>
    <m/>
    <n v="0.76049999999999995"/>
    <m/>
    <n v="0.76049999999999995"/>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1-01-01T00:00:00"/>
    <s v="FY21"/>
    <s v="t"/>
    <n v="0"/>
    <n v="0"/>
    <n v="1.2699999999999999E-2"/>
    <n v="1.2699999999999999E-2"/>
    <n v="0"/>
    <n v="0"/>
    <n v="1"/>
    <n v="1"/>
    <n v="0"/>
    <n v="0"/>
    <n v="100"/>
    <s v="Consolidation"/>
    <s v="CO2e and Base Measure"/>
    <n v="100"/>
    <n v="100"/>
    <n v="0.01"/>
    <m/>
    <m/>
    <m/>
    <m/>
    <m/>
    <n v="1.6500000000000001E-2"/>
    <m/>
    <n v="1.6500000000000001E-2"/>
    <m/>
    <m/>
    <m/>
    <m/>
    <m/>
    <s v="AUD"/>
    <s v="13564771Waste - General [t] - Scope 3"/>
    <n v="13564771"/>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07-01T00:00:00"/>
    <s v="FY21"/>
    <s v="t"/>
    <n v="0"/>
    <n v="0.105"/>
    <n v="0"/>
    <n v="0.105"/>
    <n v="0"/>
    <n v="1"/>
    <n v="0"/>
    <n v="1"/>
    <n v="0"/>
    <n v="100"/>
    <n v="0"/>
    <s v="Consolidation"/>
    <s v="CO2e and Base Measure"/>
    <n v="100"/>
    <n v="100"/>
    <n v="0.1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08-01T00:00:00"/>
    <s v="FY21"/>
    <s v="t"/>
    <n v="0"/>
    <n v="0.21"/>
    <n v="0"/>
    <n v="0.21"/>
    <n v="0"/>
    <n v="2"/>
    <n v="0"/>
    <n v="2"/>
    <n v="0"/>
    <n v="100"/>
    <n v="0"/>
    <s v="Consolidation"/>
    <s v="CO2e and Base Measure"/>
    <n v="100"/>
    <n v="100"/>
    <n v="0.2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09-01T00:00:00"/>
    <s v="FY21"/>
    <s v="t"/>
    <n v="0"/>
    <n v="0.21"/>
    <n v="0"/>
    <n v="0.21"/>
    <n v="0"/>
    <n v="2"/>
    <n v="0"/>
    <n v="2"/>
    <n v="0"/>
    <n v="100"/>
    <n v="0"/>
    <s v="Consolidation"/>
    <s v="CO2e and Base Measure"/>
    <n v="100"/>
    <n v="100"/>
    <n v="0.2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10-01T00:00:00"/>
    <s v="FY21"/>
    <s v="t"/>
    <n v="0"/>
    <n v="0.21"/>
    <n v="0"/>
    <n v="0.21"/>
    <n v="0"/>
    <n v="2"/>
    <n v="0"/>
    <n v="2"/>
    <n v="0"/>
    <n v="100"/>
    <n v="0"/>
    <s v="Consolidation"/>
    <s v="CO2e and Base Measure"/>
    <n v="100"/>
    <n v="100"/>
    <n v="0.2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11-01T00:00:00"/>
    <s v="FY21"/>
    <s v="t"/>
    <n v="0"/>
    <n v="0.23100000000000001"/>
    <n v="0"/>
    <n v="0.23100000000000001"/>
    <n v="0"/>
    <n v="3"/>
    <n v="0"/>
    <n v="3"/>
    <n v="0"/>
    <n v="100"/>
    <n v="0"/>
    <s v="Consolidation"/>
    <s v="CO2e and Base Measure"/>
    <n v="100"/>
    <n v="100"/>
    <n v="0.23"/>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12-01T00:00:00"/>
    <s v="FY21"/>
    <s v="t"/>
    <n v="0"/>
    <n v="0.105"/>
    <n v="0"/>
    <n v="0.105"/>
    <n v="0"/>
    <n v="1"/>
    <n v="0"/>
    <n v="1"/>
    <n v="0"/>
    <n v="100"/>
    <n v="0"/>
    <s v="Consolidation"/>
    <s v="CO2e and Base Measure"/>
    <n v="100"/>
    <n v="100"/>
    <n v="0.1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1-01-01T00:00:00"/>
    <s v="FY21"/>
    <s v="t"/>
    <n v="0"/>
    <n v="0"/>
    <n v="5.8999999999999999E-3"/>
    <n v="5.8999999999999999E-3"/>
    <n v="0"/>
    <n v="0"/>
    <n v="1"/>
    <n v="1"/>
    <n v="0"/>
    <n v="0"/>
    <n v="100"/>
    <s v="Consolidation"/>
    <s v="CO2e and Base Measure"/>
    <n v="100"/>
    <n v="100"/>
    <n v="0.01"/>
    <m/>
    <m/>
    <m/>
    <m/>
    <m/>
    <m/>
    <n v="0"/>
    <m/>
    <m/>
    <m/>
    <m/>
    <m/>
    <m/>
    <s v="AUD"/>
    <s v="13625669Waste Recycled - Cardboard [t]"/>
    <n v="13625669"/>
  </r>
  <r>
    <d v="2019-07-01T00:00:00"/>
    <d v="2021-06-30T00:00:00"/>
    <s v="Telstra"/>
    <s v="NETWORK"/>
    <s v="Network - InfraCo"/>
    <s v="TAS"/>
    <s v="Australia"/>
    <s v="Bridgewater"/>
    <s v="BRIGHTON EXCHANGE3"/>
    <n v="423030905800"/>
    <s v="Waste"/>
    <x v="1"/>
    <x v="2"/>
    <s v="Account"/>
    <s v="Remondis General Waste"/>
    <m/>
    <s v="4230309058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434Waste - General [t] - Scope 3"/>
    <n v="13565434"/>
  </r>
  <r>
    <d v="2019-07-01T00:00:00"/>
    <d v="2021-06-30T00:00:00"/>
    <s v="Telstra"/>
    <s v="NETWORK"/>
    <s v="Network - InfraCo"/>
    <s v="TAS"/>
    <s v="Australia"/>
    <s v="Bridgewater"/>
    <s v="BRIGHTON EXCHANGE3"/>
    <n v="423030905800"/>
    <s v="Waste"/>
    <x v="1"/>
    <x v="2"/>
    <s v="Account"/>
    <s v="Remondis General Waste"/>
    <m/>
    <s v="423030905800_WGENERALW"/>
    <s v="GENERAL WASTE"/>
    <s v="Remondis"/>
    <m/>
    <m/>
    <d v="2020-12-01T00:00:00"/>
    <d v="2020-12-01T00:00:00"/>
    <s v="FY21"/>
    <s v="t"/>
    <n v="0"/>
    <n v="0"/>
    <n v="1.1000000000000001E-3"/>
    <n v="1.1000000000000001E-3"/>
    <n v="0"/>
    <n v="0"/>
    <n v="1"/>
    <n v="1"/>
    <n v="0"/>
    <n v="0"/>
    <n v="100"/>
    <s v="Consolidation"/>
    <s v="CO2e and Base Measure"/>
    <n v="100"/>
    <n v="100"/>
    <n v="0"/>
    <m/>
    <m/>
    <m/>
    <m/>
    <m/>
    <n v="1.4E-3"/>
    <m/>
    <n v="1.4E-3"/>
    <m/>
    <m/>
    <m/>
    <m/>
    <m/>
    <s v="AUD"/>
    <s v="13565434Waste - General [t] - Scope 3"/>
    <n v="13565434"/>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1-01T00:00:00"/>
    <s v="FY21"/>
    <s v="t"/>
    <n v="0.11700000000000001"/>
    <n v="0"/>
    <n v="0"/>
    <n v="0.11700000000000001"/>
    <n v="1"/>
    <n v="0"/>
    <n v="0"/>
    <n v="1"/>
    <n v="100"/>
    <n v="0"/>
    <n v="0"/>
    <s v="Consolidation"/>
    <s v="CO2e and Base Measure"/>
    <n v="100"/>
    <n v="100"/>
    <n v="0.12"/>
    <m/>
    <m/>
    <m/>
    <m/>
    <m/>
    <n v="0.15210000000000001"/>
    <m/>
    <n v="0.15210000000000001"/>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3-01T00:00:00"/>
    <s v="FY21"/>
    <s v="t"/>
    <n v="0"/>
    <n v="9.9000000000000005E-2"/>
    <n v="0"/>
    <n v="9.9000000000000005E-2"/>
    <n v="0"/>
    <n v="2"/>
    <n v="0"/>
    <n v="2"/>
    <n v="0"/>
    <n v="100"/>
    <n v="0"/>
    <s v="Consolidation"/>
    <s v="CO2e and Base Measure"/>
    <n v="100"/>
    <n v="100"/>
    <n v="0.1"/>
    <m/>
    <m/>
    <m/>
    <m/>
    <m/>
    <n v="0.12870000000000001"/>
    <m/>
    <n v="0.12870000000000001"/>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4-01T00:00:00"/>
    <s v="FY21"/>
    <s v="t"/>
    <n v="0"/>
    <n v="0"/>
    <n v="7.8E-2"/>
    <n v="7.8E-2"/>
    <n v="0"/>
    <n v="0"/>
    <n v="30"/>
    <n v="30"/>
    <n v="0"/>
    <n v="0"/>
    <n v="100"/>
    <s v="Consolidation"/>
    <s v="CO2e and Base Measure"/>
    <n v="100"/>
    <n v="100"/>
    <n v="0.08"/>
    <m/>
    <m/>
    <m/>
    <m/>
    <m/>
    <n v="0.1014"/>
    <m/>
    <n v="0.1014"/>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5-01T00:00:00"/>
    <s v="FY21"/>
    <s v="t"/>
    <n v="0"/>
    <n v="0"/>
    <n v="8.0600000000000005E-2"/>
    <n v="8.0600000000000005E-2"/>
    <n v="0"/>
    <n v="0"/>
    <n v="31"/>
    <n v="31"/>
    <n v="0"/>
    <n v="0"/>
    <n v="100"/>
    <s v="Consolidation"/>
    <s v="CO2e and Base Measure"/>
    <n v="100"/>
    <n v="100"/>
    <n v="0.08"/>
    <m/>
    <m/>
    <m/>
    <m/>
    <m/>
    <n v="0.1048"/>
    <m/>
    <n v="0.1048"/>
    <m/>
    <m/>
    <m/>
    <m/>
    <m/>
    <s v="AUD"/>
    <s v="13634038Waste - General [t] - Scope 3"/>
    <n v="13634038"/>
  </r>
  <r>
    <d v="2019-07-01T00:00:00"/>
    <d v="2021-06-30T00:00:00"/>
    <s v="Telstra"/>
    <s v="NETWORK"/>
    <s v="Network - Telstra/InfraCo Split"/>
    <s v="QLD"/>
    <s v="Australia"/>
    <s v="Wooloowin"/>
    <s v="BRISBANE AIRPORT"/>
    <n v="423030245400"/>
    <s v="Recycled Waste"/>
    <x v="0"/>
    <x v="3"/>
    <s v="Account"/>
    <s v="CLEANAWAY Commingle - Diversion"/>
    <m/>
    <s v="57711_Diversion_Commingle"/>
    <s v="Commingle"/>
    <s v="Cleanaway"/>
    <m/>
    <d v="2021-02-18T00:00:00"/>
    <m/>
    <d v="2021-02-01T00:00:00"/>
    <s v="FY21"/>
    <s v="t"/>
    <n v="0"/>
    <n v="2.1999999999999999E-2"/>
    <n v="0"/>
    <n v="2.1999999999999999E-2"/>
    <n v="0"/>
    <n v="1"/>
    <n v="0"/>
    <n v="1"/>
    <n v="0"/>
    <n v="100"/>
    <n v="0"/>
    <s v="Consolidation"/>
    <s v="CO2e and Base Measure"/>
    <n v="100"/>
    <n v="100"/>
    <n v="0.02"/>
    <m/>
    <m/>
    <m/>
    <m/>
    <m/>
    <m/>
    <n v="0"/>
    <m/>
    <m/>
    <m/>
    <m/>
    <m/>
    <m/>
    <s v="AUD"/>
    <s v="13639884Waste Recycled - Commingled [t]"/>
    <n v="13639884"/>
  </r>
  <r>
    <d v="2019-07-01T00:00:00"/>
    <d v="2021-06-30T00:00:00"/>
    <s v="Telstra"/>
    <s v="NETWORK"/>
    <s v="Network - Telstra/InfraCo Split"/>
    <s v="QLD"/>
    <s v="Australia"/>
    <s v="Wooloowin"/>
    <s v="BRISBANE AIRPORT"/>
    <n v="423030245400"/>
    <s v="Recycled Waste"/>
    <x v="0"/>
    <x v="3"/>
    <s v="Account"/>
    <s v="CLEANAWAY Commingle - Diversion"/>
    <m/>
    <s v="57711_Diversion_Commingle"/>
    <s v="Commingle"/>
    <s v="Cleanaway"/>
    <m/>
    <d v="2021-02-18T00:00:00"/>
    <m/>
    <d v="2021-03-01T00:00:00"/>
    <s v="FY21"/>
    <s v="t"/>
    <n v="0"/>
    <n v="2.1999999999999999E-2"/>
    <n v="0"/>
    <n v="2.1999999999999999E-2"/>
    <n v="0"/>
    <n v="1"/>
    <n v="0"/>
    <n v="1"/>
    <n v="0"/>
    <n v="100"/>
    <n v="0"/>
    <s v="Consolidation"/>
    <s v="CO2e and Base Measure"/>
    <n v="100"/>
    <n v="100"/>
    <n v="0.02"/>
    <m/>
    <m/>
    <m/>
    <m/>
    <m/>
    <m/>
    <n v="0"/>
    <m/>
    <m/>
    <m/>
    <m/>
    <m/>
    <m/>
    <s v="AUD"/>
    <s v="13639884Waste Recycled - Commingled [t]"/>
    <n v="13639884"/>
  </r>
  <r>
    <d v="2019-07-01T00:00:00"/>
    <d v="2021-06-30T00:00:00"/>
    <s v="Telstra"/>
    <s v="NETWORK"/>
    <s v="Network - Telstra/InfraCo Split"/>
    <s v="QLD"/>
    <s v="Australia"/>
    <s v="Wooloowin"/>
    <s v="BRISBANE AIRPORT"/>
    <n v="423030245400"/>
    <s v="Recycled Waste"/>
    <x v="0"/>
    <x v="3"/>
    <s v="Account"/>
    <s v="CLEANAWAY Commingle - Diversion"/>
    <m/>
    <s v="57711_Diversion_Commingle"/>
    <s v="Commingle"/>
    <s v="Cleanaway"/>
    <m/>
    <d v="2021-02-18T00:00:00"/>
    <m/>
    <d v="2021-04-01T00:00:00"/>
    <s v="FY21"/>
    <s v="t"/>
    <n v="0"/>
    <n v="0"/>
    <n v="2.4E-2"/>
    <n v="2.4E-2"/>
    <n v="0"/>
    <n v="0"/>
    <n v="30"/>
    <n v="30"/>
    <n v="0"/>
    <n v="0"/>
    <n v="100"/>
    <s v="Consolidation"/>
    <s v="CO2e and Base Measure"/>
    <n v="100"/>
    <n v="100"/>
    <n v="0.02"/>
    <m/>
    <m/>
    <m/>
    <m/>
    <m/>
    <m/>
    <n v="0"/>
    <m/>
    <m/>
    <m/>
    <m/>
    <m/>
    <m/>
    <s v="AUD"/>
    <s v="13639884Waste Recycled - Commingled [t]"/>
    <n v="13639884"/>
  </r>
  <r>
    <d v="2019-07-01T00:00:00"/>
    <d v="2021-06-30T00:00:00"/>
    <s v="Telstra"/>
    <s v="NETWORK"/>
    <s v="Network - Telstra/InfraCo Split"/>
    <s v="QLD"/>
    <s v="Australia"/>
    <s v="Wooloowin"/>
    <s v="BRISBANE AIRPORT"/>
    <n v="423030245400"/>
    <s v="Recycled Waste"/>
    <x v="0"/>
    <x v="3"/>
    <s v="Account"/>
    <s v="CLEANAWAY Commingle - Diversion"/>
    <m/>
    <s v="57711_Diversion_Commingle"/>
    <s v="Commingle"/>
    <s v="Cleanaway"/>
    <m/>
    <d v="2021-02-18T00:00:00"/>
    <m/>
    <d v="2021-05-01T00:00:00"/>
    <s v="FY21"/>
    <s v="t"/>
    <n v="0"/>
    <n v="0"/>
    <n v="2.4799999999999999E-2"/>
    <n v="2.4799999999999999E-2"/>
    <n v="0"/>
    <n v="0"/>
    <n v="31"/>
    <n v="31"/>
    <n v="0"/>
    <n v="0"/>
    <n v="100"/>
    <s v="Consolidation"/>
    <s v="CO2e and Base Measure"/>
    <n v="100"/>
    <n v="100"/>
    <n v="0.02"/>
    <m/>
    <m/>
    <m/>
    <m/>
    <m/>
    <m/>
    <n v="0"/>
    <m/>
    <m/>
    <m/>
    <m/>
    <m/>
    <m/>
    <s v="AUD"/>
    <s v="13639884Waste Recycled - Commingled [t]"/>
    <n v="13639884"/>
  </r>
  <r>
    <d v="2019-07-01T00:00:00"/>
    <d v="2021-06-30T00:00:00"/>
    <s v="Telstra"/>
    <s v="NETWORK"/>
    <s v="Network - Telstra/InfraCo Split"/>
    <s v="QLD"/>
    <s v="Australia"/>
    <s v="Wooloowin"/>
    <s v="BRISBANE AIRPORT"/>
    <n v="423030245400"/>
    <s v="Recycled Waste"/>
    <x v="0"/>
    <x v="1"/>
    <s v="Account"/>
    <s v="CLEANAWAY eWaste"/>
    <m/>
    <s v="57711_Diversion_eWaste"/>
    <s v="eWaste"/>
    <s v="Cleanaway"/>
    <m/>
    <d v="2021-03-22T00:00:00"/>
    <m/>
    <d v="2021-03-01T00:00:00"/>
    <s v="FY21"/>
    <s v="t"/>
    <n v="0.68"/>
    <n v="0"/>
    <n v="0"/>
    <n v="0.68"/>
    <n v="1"/>
    <n v="0"/>
    <n v="0"/>
    <n v="1"/>
    <n v="100"/>
    <n v="0"/>
    <n v="0"/>
    <s v="Consolidation"/>
    <s v="CO2e and Base Measure"/>
    <n v="100"/>
    <n v="100"/>
    <n v="0.68"/>
    <m/>
    <m/>
    <m/>
    <m/>
    <m/>
    <m/>
    <m/>
    <m/>
    <m/>
    <m/>
    <m/>
    <m/>
    <m/>
    <s v="AUD"/>
    <s v="13641227Waste Recycled - E-waste [t]"/>
    <n v="13641227"/>
  </r>
  <r>
    <d v="2019-07-01T00:00:00"/>
    <d v="2021-06-30T00:00:00"/>
    <s v="Telstra"/>
    <s v="NETWORK"/>
    <s v="Network - Telstra/InfraCo Split"/>
    <s v="QLD"/>
    <s v="Australia"/>
    <s v="Wooloowin"/>
    <s v="BRISBANE AIRPORT"/>
    <n v="423030245400"/>
    <s v="Recycled Waste"/>
    <x v="0"/>
    <x v="1"/>
    <s v="Account"/>
    <s v="CLEANAWAY eWaste"/>
    <m/>
    <s v="57711_Diversion_eWaste"/>
    <s v="eWaste"/>
    <s v="Cleanaway"/>
    <m/>
    <d v="2021-03-22T00:00:00"/>
    <m/>
    <d v="2021-04-01T00:00:00"/>
    <s v="FY21"/>
    <s v="t"/>
    <n v="0"/>
    <n v="0"/>
    <n v="0.68100000000000005"/>
    <n v="0.68100000000000005"/>
    <n v="0"/>
    <n v="0"/>
    <n v="30"/>
    <n v="30"/>
    <n v="0"/>
    <n v="0"/>
    <n v="100"/>
    <s v="Consolidation"/>
    <s v="CO2e and Base Measure"/>
    <n v="100"/>
    <n v="100"/>
    <n v="0.68"/>
    <m/>
    <m/>
    <m/>
    <m/>
    <m/>
    <m/>
    <m/>
    <m/>
    <m/>
    <m/>
    <m/>
    <m/>
    <m/>
    <s v="AUD"/>
    <s v="13641227Waste Recycled - E-waste [t]"/>
    <n v="13641227"/>
  </r>
  <r>
    <d v="2019-07-01T00:00:00"/>
    <d v="2021-06-30T00:00:00"/>
    <s v="Telstra"/>
    <s v="NETWORK"/>
    <s v="Network - Telstra/InfraCo Split"/>
    <s v="QLD"/>
    <s v="Australia"/>
    <s v="Wooloowin"/>
    <s v="BRISBANE AIRPORT"/>
    <n v="423030245400"/>
    <s v="Recycled Waste"/>
    <x v="0"/>
    <x v="1"/>
    <s v="Account"/>
    <s v="CLEANAWAY eWaste"/>
    <m/>
    <s v="57711_Diversion_eWaste"/>
    <s v="eWaste"/>
    <s v="Cleanaway"/>
    <m/>
    <d v="2021-03-22T00:00:00"/>
    <m/>
    <d v="2021-05-01T00:00:00"/>
    <s v="FY21"/>
    <s v="t"/>
    <n v="0"/>
    <n v="0"/>
    <n v="0.70369999999999999"/>
    <n v="0.70369999999999999"/>
    <n v="0"/>
    <n v="0"/>
    <n v="31"/>
    <n v="31"/>
    <n v="0"/>
    <n v="0"/>
    <n v="100"/>
    <s v="Consolidation"/>
    <s v="CO2e and Base Measure"/>
    <n v="100"/>
    <n v="100"/>
    <n v="0.7"/>
    <m/>
    <m/>
    <m/>
    <m/>
    <m/>
    <m/>
    <m/>
    <m/>
    <m/>
    <m/>
    <m/>
    <m/>
    <m/>
    <s v="AUD"/>
    <s v="13641227Waste Recycled - E-waste [t]"/>
    <n v="13641227"/>
  </r>
  <r>
    <d v="2019-07-01T00:00:00"/>
    <d v="2021-06-30T00:00:00"/>
    <s v="Telstra"/>
    <s v="NETWORK"/>
    <s v="Network - InfraCo"/>
    <s v="QLD"/>
    <s v="Australia"/>
    <s v="Wooloowin"/>
    <s v="BRISBANE AIRPORT1"/>
    <n v="423030245400"/>
    <s v="Recycled Waste"/>
    <x v="0"/>
    <x v="0"/>
    <s v="Account"/>
    <s v="Remondis Cardboard - Loose - Recycled"/>
    <m/>
    <s v="4230302454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306Waste Recycled - Cardboard [t]"/>
    <n v="13564306"/>
  </r>
  <r>
    <d v="2019-07-01T00:00:00"/>
    <d v="2021-06-30T00:00:00"/>
    <s v="Telstra"/>
    <s v="NETWORK"/>
    <s v="Network - InfraCo"/>
    <s v="QLD"/>
    <s v="Australia"/>
    <s v="Wooloowin"/>
    <s v="BRISBANE AIRPORT1"/>
    <n v="423030245400"/>
    <s v="Recycled Waste"/>
    <x v="0"/>
    <x v="0"/>
    <s v="Account"/>
    <s v="Remondis Cardboard - Loose - Recycled"/>
    <m/>
    <s v="423030245400_RCARDBOAR"/>
    <s v="CARDBOARD - LOOSE - RECYCLED"/>
    <s v="Remondis"/>
    <m/>
    <m/>
    <d v="2021-01-01T00:00:00"/>
    <d v="2020-11-01T00:00:00"/>
    <s v="FY21"/>
    <s v="t"/>
    <n v="0"/>
    <n v="6.3E-2"/>
    <n v="0"/>
    <n v="6.3E-2"/>
    <n v="0"/>
    <n v="1"/>
    <n v="0"/>
    <n v="1"/>
    <n v="0"/>
    <n v="100"/>
    <n v="0"/>
    <s v="Consolidation"/>
    <s v="CO2e and Base Measure"/>
    <n v="100"/>
    <n v="100"/>
    <n v="0.06"/>
    <m/>
    <m/>
    <m/>
    <m/>
    <m/>
    <m/>
    <n v="0"/>
    <m/>
    <m/>
    <m/>
    <m/>
    <m/>
    <m/>
    <s v="AUD"/>
    <s v="13564306Waste Recycled - Cardboard [t]"/>
    <n v="13564306"/>
  </r>
  <r>
    <d v="2019-07-01T00:00:00"/>
    <d v="2021-06-30T00:00:00"/>
    <s v="Telstra"/>
    <s v="NETWORK"/>
    <s v="Network - InfraCo"/>
    <s v="QLD"/>
    <s v="Australia"/>
    <s v="Wooloowin"/>
    <s v="BRISBANE AIRPORT1"/>
    <n v="423030245400"/>
    <s v="Recycled Waste"/>
    <x v="0"/>
    <x v="0"/>
    <s v="Account"/>
    <s v="Remondis Cardboard - Loose - Recycled"/>
    <m/>
    <s v="423030245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06Waste Recycled - Cardboard [t]"/>
    <n v="13564306"/>
  </r>
  <r>
    <d v="2019-07-01T00:00:00"/>
    <d v="2021-06-30T00:00:00"/>
    <s v="Telstra"/>
    <s v="NETWORK"/>
    <s v="Network - InfraCo"/>
    <s v="QLD"/>
    <s v="Australia"/>
    <s v="Wooloowin"/>
    <s v="BRISBANE AIRPORT1"/>
    <n v="423030245400"/>
    <s v="Recycled Waste"/>
    <x v="0"/>
    <x v="0"/>
    <s v="Account"/>
    <s v="Remondis Cardboard - Loose - Recycled"/>
    <m/>
    <s v="423030245400_RCARDBOAR"/>
    <s v="CARDBOARD - LOOSE - RECYCLED"/>
    <s v="Remondis"/>
    <m/>
    <m/>
    <d v="2021-01-01T00:00:00"/>
    <d v="2021-01-01T00:00:00"/>
    <s v="FY21"/>
    <s v="t"/>
    <n v="0"/>
    <n v="0"/>
    <n v="1.1999999999999999E-3"/>
    <n v="1.1999999999999999E-3"/>
    <n v="0"/>
    <n v="0"/>
    <n v="1"/>
    <n v="1"/>
    <n v="0"/>
    <n v="0"/>
    <n v="100"/>
    <s v="Consolidation"/>
    <s v="CO2e and Base Measure"/>
    <n v="100"/>
    <n v="100"/>
    <n v="0"/>
    <m/>
    <m/>
    <m/>
    <m/>
    <m/>
    <m/>
    <n v="0"/>
    <m/>
    <m/>
    <m/>
    <m/>
    <m/>
    <m/>
    <s v="AUD"/>
    <s v="13564306Waste Recycled - Cardboard [t]"/>
    <n v="13564306"/>
  </r>
  <r>
    <d v="2019-07-01T00:00:00"/>
    <d v="2021-06-30T00:00:00"/>
    <s v="Telstra"/>
    <s v="NETWORK"/>
    <s v="Network - InfraCo"/>
    <s v="QLD"/>
    <s v="Australia"/>
    <s v="Wooloowin"/>
    <s v="BRISBANE AIRPORT1"/>
    <n v="423030245400"/>
    <s v="Waste"/>
    <x v="1"/>
    <x v="2"/>
    <s v="Account"/>
    <s v="Remondis General Waste"/>
    <m/>
    <s v="4230302454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307Waste - General [t] - Scope 3"/>
    <n v="13564307"/>
  </r>
  <r>
    <d v="2019-07-01T00:00:00"/>
    <d v="2021-06-30T00:00:00"/>
    <s v="Telstra"/>
    <s v="NETWORK"/>
    <s v="Network - InfraCo"/>
    <s v="QLD"/>
    <s v="Australia"/>
    <s v="Wooloowin"/>
    <s v="BRISBANE AIRPORT1"/>
    <n v="423030245400"/>
    <s v="Waste"/>
    <x v="1"/>
    <x v="2"/>
    <s v="Account"/>
    <s v="Remondis General Waste"/>
    <m/>
    <s v="423030245400_WGENERALW"/>
    <s v="GENERAL WASTE"/>
    <s v="Remondis"/>
    <m/>
    <m/>
    <d v="2021-01-01T00:00:00"/>
    <d v="2020-11-01T00:00:00"/>
    <s v="FY21"/>
    <s v="t"/>
    <n v="0.14000000000000001"/>
    <n v="0"/>
    <n v="0"/>
    <n v="0.14000000000000001"/>
    <n v="1"/>
    <n v="0"/>
    <n v="0"/>
    <n v="1"/>
    <n v="100"/>
    <n v="0"/>
    <n v="0"/>
    <s v="Consolidation"/>
    <s v="CO2e and Base Measure"/>
    <n v="100"/>
    <n v="100"/>
    <n v="0.14000000000000001"/>
    <m/>
    <m/>
    <m/>
    <m/>
    <m/>
    <n v="0.182"/>
    <m/>
    <n v="0.182"/>
    <m/>
    <m/>
    <m/>
    <m/>
    <m/>
    <s v="AUD"/>
    <s v="13564307Waste - General [t] - Scope 3"/>
    <n v="13564307"/>
  </r>
  <r>
    <d v="2019-07-01T00:00:00"/>
    <d v="2021-06-30T00:00:00"/>
    <s v="Telstra"/>
    <s v="NETWORK"/>
    <s v="Network - InfraCo"/>
    <s v="QLD"/>
    <s v="Australia"/>
    <s v="Wooloowin"/>
    <s v="BRISBANE AIRPORT1"/>
    <n v="423030245400"/>
    <s v="Waste"/>
    <x v="1"/>
    <x v="2"/>
    <s v="Account"/>
    <s v="Remondis General Waste"/>
    <m/>
    <s v="423030245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07Waste - General [t] - Scope 3"/>
    <n v="13564307"/>
  </r>
  <r>
    <d v="2019-07-01T00:00:00"/>
    <d v="2021-06-30T00:00:00"/>
    <s v="Telstra"/>
    <s v="NETWORK"/>
    <s v="Network - InfraCo"/>
    <s v="QLD"/>
    <s v="Australia"/>
    <s v="Wooloowin"/>
    <s v="BRISBANE AIRPORT1"/>
    <n v="423030245400"/>
    <s v="Waste"/>
    <x v="1"/>
    <x v="2"/>
    <s v="Account"/>
    <s v="Remondis General Waste"/>
    <m/>
    <s v="423030245400_WGENERALW"/>
    <s v="GENERAL WASTE"/>
    <s v="Remondis"/>
    <m/>
    <m/>
    <d v="2021-01-01T00:00:00"/>
    <d v="2021-01-01T00:00:00"/>
    <s v="FY21"/>
    <s v="t"/>
    <n v="0"/>
    <n v="0"/>
    <n v="5.7999999999999996E-3"/>
    <n v="5.7999999999999996E-3"/>
    <n v="0"/>
    <n v="0"/>
    <n v="1"/>
    <n v="1"/>
    <n v="0"/>
    <n v="0"/>
    <n v="100"/>
    <s v="Consolidation"/>
    <s v="CO2e and Base Measure"/>
    <n v="100"/>
    <n v="100"/>
    <n v="0.01"/>
    <m/>
    <m/>
    <m/>
    <m/>
    <m/>
    <n v="7.4999999999999997E-3"/>
    <m/>
    <n v="7.4999999999999997E-3"/>
    <m/>
    <m/>
    <m/>
    <m/>
    <m/>
    <s v="AUD"/>
    <s v="13564307Waste - General [t] - Scope 3"/>
    <n v="13564307"/>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07-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09-01T00:00:00"/>
    <s v="FY21"/>
    <s v="t"/>
    <n v="0"/>
    <n v="0"/>
    <n v="2.7E-2"/>
    <n v="2.7E-2"/>
    <n v="0"/>
    <n v="0"/>
    <n v="30"/>
    <n v="30"/>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11-01T00:00:00"/>
    <s v="FY21"/>
    <s v="t"/>
    <n v="0"/>
    <n v="0"/>
    <n v="2.7E-2"/>
    <n v="2.7E-2"/>
    <n v="0"/>
    <n v="0"/>
    <n v="30"/>
    <n v="30"/>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2-01T00:00:00"/>
    <s v="FY21"/>
    <s v="t"/>
    <n v="0"/>
    <n v="0"/>
    <n v="2.52E-2"/>
    <n v="2.52E-2"/>
    <n v="0"/>
    <n v="0"/>
    <n v="28"/>
    <n v="28"/>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4-01T00:00:00"/>
    <s v="FY21"/>
    <s v="t"/>
    <n v="0"/>
    <n v="0"/>
    <n v="2.7E-2"/>
    <n v="2.7E-2"/>
    <n v="0"/>
    <n v="0"/>
    <n v="30"/>
    <n v="30"/>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65622Waste - General [t] - Scope 3"/>
    <n v="13565622"/>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1-01T00:00:00"/>
    <s v="FY21"/>
    <s v="t"/>
    <n v="6.0999999999999999E-2"/>
    <n v="0"/>
    <n v="0"/>
    <n v="6.0999999999999999E-2"/>
    <n v="1"/>
    <n v="0"/>
    <n v="0"/>
    <n v="1"/>
    <n v="100"/>
    <n v="0"/>
    <n v="0"/>
    <s v="Consolidation"/>
    <s v="CO2e and Base Measure"/>
    <n v="100"/>
    <n v="100"/>
    <n v="0.06"/>
    <m/>
    <m/>
    <m/>
    <m/>
    <m/>
    <n v="7.9299999999999995E-2"/>
    <m/>
    <n v="7.9299999999999995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2-01T00:00:00"/>
    <s v="FY21"/>
    <s v="t"/>
    <n v="1.0999999999999999E-2"/>
    <n v="0"/>
    <n v="0"/>
    <n v="1.0999999999999999E-2"/>
    <n v="1"/>
    <n v="0"/>
    <n v="0"/>
    <n v="1"/>
    <n v="100"/>
    <n v="0"/>
    <n v="0"/>
    <s v="Consolidation"/>
    <s v="CO2e and Base Measure"/>
    <n v="100"/>
    <n v="100"/>
    <n v="0.01"/>
    <m/>
    <m/>
    <m/>
    <m/>
    <m/>
    <n v="1.43E-2"/>
    <m/>
    <n v="1.43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037Waste - General [t] - Scope 3"/>
    <n v="13634037"/>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07-01T00:00:00"/>
    <s v="FY21"/>
    <s v="t"/>
    <n v="3.72"/>
    <n v="0"/>
    <n v="0"/>
    <n v="3.72"/>
    <n v="3"/>
    <n v="0"/>
    <n v="0"/>
    <n v="3"/>
    <n v="100"/>
    <n v="0"/>
    <n v="0"/>
    <s v="Consolidation"/>
    <s v="CO2e and Base Measure"/>
    <n v="100"/>
    <n v="100"/>
    <n v="3.72"/>
    <m/>
    <m/>
    <m/>
    <m/>
    <m/>
    <n v="4.8360000000000003"/>
    <m/>
    <n v="4.8360000000000003"/>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08-01T00:00:00"/>
    <s v="FY21"/>
    <s v="t"/>
    <n v="0.57999999999999996"/>
    <n v="0"/>
    <n v="0"/>
    <n v="0.57999999999999996"/>
    <n v="1"/>
    <n v="0"/>
    <n v="0"/>
    <n v="1"/>
    <n v="100"/>
    <n v="0"/>
    <n v="0"/>
    <s v="Consolidation"/>
    <s v="CO2e and Base Measure"/>
    <n v="100"/>
    <n v="100"/>
    <n v="0.57999999999999996"/>
    <m/>
    <m/>
    <m/>
    <m/>
    <m/>
    <n v="0.754"/>
    <m/>
    <n v="0.754"/>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09-01T00:00:00"/>
    <s v="FY21"/>
    <s v="t"/>
    <n v="4"/>
    <n v="0"/>
    <n v="0"/>
    <n v="4"/>
    <n v="3"/>
    <n v="0"/>
    <n v="0"/>
    <n v="3"/>
    <n v="100"/>
    <n v="0"/>
    <n v="0"/>
    <s v="Consolidation"/>
    <s v="CO2e and Base Measure"/>
    <n v="100"/>
    <n v="100"/>
    <n v="4"/>
    <m/>
    <m/>
    <m/>
    <m/>
    <m/>
    <n v="5.2"/>
    <m/>
    <n v="5.2"/>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10-01T00:00:00"/>
    <s v="FY21"/>
    <s v="t"/>
    <n v="2.78"/>
    <n v="0"/>
    <n v="0"/>
    <n v="2.78"/>
    <n v="2"/>
    <n v="0"/>
    <n v="0"/>
    <n v="2"/>
    <n v="100"/>
    <n v="0"/>
    <n v="0"/>
    <s v="Consolidation"/>
    <s v="CO2e and Base Measure"/>
    <n v="100"/>
    <n v="100"/>
    <n v="2.78"/>
    <m/>
    <m/>
    <m/>
    <m/>
    <m/>
    <n v="3.6139999999999999"/>
    <m/>
    <n v="3.6139999999999999"/>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11-01T00:00:00"/>
    <s v="FY21"/>
    <s v="t"/>
    <n v="3.44"/>
    <n v="0"/>
    <n v="0"/>
    <n v="3.44"/>
    <n v="2"/>
    <n v="0"/>
    <n v="0"/>
    <n v="2"/>
    <n v="100"/>
    <n v="0"/>
    <n v="0"/>
    <s v="Consolidation"/>
    <s v="CO2e and Base Measure"/>
    <n v="100"/>
    <n v="100"/>
    <n v="3.44"/>
    <m/>
    <m/>
    <m/>
    <m/>
    <m/>
    <n v="4.4720000000000004"/>
    <m/>
    <n v="4.4720000000000004"/>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12-01T00:00:00"/>
    <s v="FY21"/>
    <s v="t"/>
    <n v="1.44"/>
    <n v="0"/>
    <n v="0"/>
    <n v="1.44"/>
    <n v="1"/>
    <n v="0"/>
    <n v="0"/>
    <n v="1"/>
    <n v="100"/>
    <n v="0"/>
    <n v="0"/>
    <s v="Consolidation"/>
    <s v="CO2e and Base Measure"/>
    <n v="100"/>
    <n v="100"/>
    <n v="1.44"/>
    <m/>
    <m/>
    <m/>
    <m/>
    <m/>
    <n v="1.8720000000000001"/>
    <m/>
    <n v="1.8720000000000001"/>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1-01-01T00:00:00"/>
    <s v="FY21"/>
    <s v="t"/>
    <n v="0"/>
    <n v="0"/>
    <n v="9.1399999999999995E-2"/>
    <n v="9.1399999999999995E-2"/>
    <n v="0"/>
    <n v="0"/>
    <n v="1"/>
    <n v="1"/>
    <n v="0"/>
    <n v="0"/>
    <n v="100"/>
    <s v="Consolidation"/>
    <s v="CO2e and Base Measure"/>
    <n v="100"/>
    <n v="100"/>
    <n v="0.09"/>
    <m/>
    <m/>
    <m/>
    <m/>
    <m/>
    <n v="0.1188"/>
    <m/>
    <n v="0.1188"/>
    <m/>
    <m/>
    <m/>
    <m/>
    <m/>
    <s v="AUD"/>
    <s v="13592846Waste - General [t] - Scope 3"/>
    <n v="13592846"/>
  </r>
  <r>
    <d v="2019-07-01T00:00:00"/>
    <d v="2021-06-30T00:00:00"/>
    <s v="Telstra"/>
    <s v="NON-NETWORK"/>
    <s v="NON-NETWORK"/>
    <s v="VIC"/>
    <s v="Australia"/>
    <s v="Broadmeadows"/>
    <s v="BROADMEADOWS 37 CAMP RD CMTS"/>
    <n v="423031799700"/>
    <s v="Recycled Waste"/>
    <x v="0"/>
    <x v="0"/>
    <s v="Account"/>
    <s v="Remondis Cardboard - Loose - Recycled"/>
    <m/>
    <s v="423030790300-4200149355_RCARDBOAR"/>
    <s v="CARDBOARD - LOOSE - RECYCLED"/>
    <s v="Remondis"/>
    <m/>
    <m/>
    <d v="2020-11-01T00:00:00"/>
    <d v="2020-07-01T00:00:00"/>
    <s v="FY21"/>
    <s v="t"/>
    <n v="0.4"/>
    <n v="0"/>
    <n v="0"/>
    <n v="0.4"/>
    <n v="1"/>
    <n v="0"/>
    <n v="0"/>
    <n v="1"/>
    <n v="100"/>
    <n v="0"/>
    <n v="0"/>
    <s v="Consolidation"/>
    <s v="CO2e and Base Measure"/>
    <n v="100"/>
    <n v="100"/>
    <n v="0.4"/>
    <m/>
    <m/>
    <m/>
    <m/>
    <m/>
    <m/>
    <n v="0"/>
    <m/>
    <m/>
    <m/>
    <m/>
    <m/>
    <m/>
    <s v="AUD"/>
    <s v="13592848Waste Recycled - Cardboard [t]"/>
    <n v="13592848"/>
  </r>
  <r>
    <d v="2019-07-01T00:00:00"/>
    <d v="2021-06-30T00:00:00"/>
    <s v="Telstra"/>
    <s v="NON-NETWORK"/>
    <s v="NON-NETWORK"/>
    <s v="VIC"/>
    <s v="Australia"/>
    <s v="Broadmeadows"/>
    <s v="BROADMEADOWS 37 CAMP RD CMTS"/>
    <n v="423031799700"/>
    <s v="Recycled Waste"/>
    <x v="0"/>
    <x v="0"/>
    <s v="Account"/>
    <s v="Remondis Cardboard - Loose - Recycled"/>
    <m/>
    <s v="423030790300-4200149355_RCARDBOAR"/>
    <s v="CARDBOARD - LOOSE - RECYCLED"/>
    <s v="Remondis"/>
    <m/>
    <m/>
    <d v="2020-11-01T00:00:00"/>
    <d v="2020-09-01T00:00:00"/>
    <s v="FY21"/>
    <s v="t"/>
    <n v="0"/>
    <n v="0.126"/>
    <n v="0"/>
    <n v="0.126"/>
    <n v="0"/>
    <n v="1"/>
    <n v="0"/>
    <n v="1"/>
    <n v="0"/>
    <n v="100"/>
    <n v="0"/>
    <s v="Consolidation"/>
    <s v="CO2e and Base Measure"/>
    <n v="100"/>
    <n v="100"/>
    <n v="0.13"/>
    <m/>
    <m/>
    <m/>
    <m/>
    <m/>
    <m/>
    <n v="0"/>
    <m/>
    <m/>
    <m/>
    <m/>
    <m/>
    <m/>
    <s v="AUD"/>
    <s v="13592848Waste Recycled - Cardboard [t]"/>
    <n v="13592848"/>
  </r>
  <r>
    <d v="2019-07-01T00:00:00"/>
    <d v="2021-06-30T00:00:00"/>
    <s v="Telstra"/>
    <s v="NON-NETWORK"/>
    <s v="NON-NETWORK"/>
    <s v="VIC"/>
    <s v="Australia"/>
    <s v="Broadmeadows"/>
    <s v="BROADMEADOWS 37 CAMP RD CMTS"/>
    <n v="423031799700"/>
    <s v="Recycled Waste"/>
    <x v="0"/>
    <x v="0"/>
    <s v="Account"/>
    <s v="Remondis Cardboard - Loose - Recycled"/>
    <m/>
    <s v="423030790300-4200149355_RCARDBOAR"/>
    <s v="CARDBOARD - LOOSE - RECYCLED"/>
    <s v="Remondis"/>
    <m/>
    <m/>
    <d v="2020-11-01T00:00:00"/>
    <d v="2020-10-01T00:00:00"/>
    <s v="FY21"/>
    <s v="t"/>
    <n v="0.36"/>
    <n v="0.126"/>
    <n v="0"/>
    <n v="0.48599999999999999"/>
    <n v="1"/>
    <n v="1"/>
    <n v="0"/>
    <n v="2"/>
    <n v="74.069999999999993"/>
    <n v="25.92"/>
    <n v="0"/>
    <s v="Consolidation"/>
    <s v="CO2e and Base Measure"/>
    <n v="100"/>
    <n v="100"/>
    <n v="0.49"/>
    <m/>
    <m/>
    <m/>
    <m/>
    <m/>
    <m/>
    <n v="0"/>
    <m/>
    <m/>
    <m/>
    <m/>
    <m/>
    <m/>
    <s v="AUD"/>
    <s v="13592848Waste Recycled - Cardboard [t]"/>
    <n v="13592848"/>
  </r>
  <r>
    <d v="2019-07-01T00:00:00"/>
    <d v="2021-06-30T00:00:00"/>
    <s v="Telstra"/>
    <s v="NON-NETWORK"/>
    <s v="NON-NETWORK"/>
    <s v="VIC"/>
    <s v="Australia"/>
    <s v="Broadmeadows"/>
    <s v="BROADMEADOWS 37 CAMP RD CMTS"/>
    <n v="423031799700"/>
    <s v="Recycled Waste"/>
    <x v="0"/>
    <x v="0"/>
    <s v="Account"/>
    <s v="Remondis Cardboard - Loose - Recycled"/>
    <m/>
    <s v="423030790300-4200149355_RCARDBOAR"/>
    <s v="CARDBOARD - LOOSE - RECYCLED"/>
    <s v="Remondis"/>
    <m/>
    <m/>
    <d v="2020-11-01T00:00:00"/>
    <d v="2020-11-01T00:00:00"/>
    <s v="FY21"/>
    <s v="t"/>
    <n v="0"/>
    <n v="0"/>
    <n v="7.4999999999999997E-3"/>
    <n v="7.4999999999999997E-3"/>
    <n v="0"/>
    <n v="0"/>
    <n v="1"/>
    <n v="1"/>
    <n v="0"/>
    <n v="0"/>
    <n v="100"/>
    <s v="Consolidation"/>
    <s v="CO2e and Base Measure"/>
    <n v="100"/>
    <n v="100"/>
    <n v="0.01"/>
    <m/>
    <m/>
    <m/>
    <m/>
    <m/>
    <m/>
    <n v="0"/>
    <m/>
    <m/>
    <m/>
    <m/>
    <m/>
    <m/>
    <s v="AUD"/>
    <s v="13592848Waste Recycled - Cardboard [t]"/>
    <n v="13592848"/>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0-07-01T00:00:00"/>
    <s v="FY21"/>
    <s v="t"/>
    <n v="1.6"/>
    <n v="0"/>
    <n v="0"/>
    <n v="1.6"/>
    <n v="1"/>
    <n v="0"/>
    <n v="0"/>
    <n v="1"/>
    <n v="100"/>
    <n v="0"/>
    <n v="0"/>
    <s v="Consolidation"/>
    <s v="CO2e and Base Measure"/>
    <n v="100"/>
    <n v="100"/>
    <n v="1.6"/>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0-08-01T00:00:00"/>
    <s v="FY21"/>
    <s v="t"/>
    <n v="2.149"/>
    <n v="0"/>
    <n v="0"/>
    <n v="2.149"/>
    <n v="2"/>
    <n v="0"/>
    <n v="0"/>
    <n v="2"/>
    <n v="100"/>
    <n v="0"/>
    <n v="0"/>
    <s v="Consolidation"/>
    <s v="CO2e and Base Measure"/>
    <n v="100"/>
    <n v="100"/>
    <n v="2.15"/>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0-10-01T00:00:00"/>
    <s v="FY21"/>
    <s v="t"/>
    <n v="0.98499999999999999"/>
    <n v="0"/>
    <n v="0"/>
    <n v="0.98499999999999999"/>
    <n v="1"/>
    <n v="0"/>
    <n v="0"/>
    <n v="1"/>
    <n v="100"/>
    <n v="0"/>
    <n v="0"/>
    <s v="Consolidation"/>
    <s v="CO2e and Base Measure"/>
    <n v="100"/>
    <n v="100"/>
    <n v="0.99"/>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0-12-01T00:00:00"/>
    <s v="FY21"/>
    <s v="t"/>
    <n v="0"/>
    <n v="2.25"/>
    <n v="0"/>
    <n v="2.25"/>
    <n v="0"/>
    <n v="1"/>
    <n v="0"/>
    <n v="1"/>
    <n v="0"/>
    <n v="100"/>
    <n v="0"/>
    <s v="Consolidation"/>
    <s v="CO2e and Base Measure"/>
    <n v="100"/>
    <n v="100"/>
    <n v="2.25"/>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1-01-01T00:00:00"/>
    <s v="FY21"/>
    <s v="t"/>
    <n v="0"/>
    <n v="0"/>
    <n v="3.8300000000000001E-2"/>
    <n v="3.8300000000000001E-2"/>
    <n v="0"/>
    <n v="0"/>
    <n v="1"/>
    <n v="1"/>
    <n v="0"/>
    <n v="0"/>
    <n v="100"/>
    <s v="Consolidation"/>
    <s v="CO2e and Base Measure"/>
    <n v="100"/>
    <n v="100"/>
    <n v="0.04"/>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1"/>
    <s v="Account"/>
    <s v="Remondis Batteries - Lead Acid"/>
    <m/>
    <s v="423030790300-4200149355_RBATLEDAC"/>
    <s v="BATTERIES - LEAD ACID"/>
    <s v="Remondis"/>
    <m/>
    <m/>
    <d v="2020-09-01T00:00:00"/>
    <d v="2020-07-01T00:00:00"/>
    <s v="FY21"/>
    <s v="t"/>
    <n v="0.77400000000000002"/>
    <n v="0"/>
    <n v="0"/>
    <n v="0.77400000000000002"/>
    <n v="1"/>
    <n v="0"/>
    <n v="0"/>
    <n v="1"/>
    <n v="100"/>
    <n v="0"/>
    <n v="0"/>
    <s v="Consolidation"/>
    <s v="CO2e and Base Measure"/>
    <n v="100"/>
    <n v="100"/>
    <n v="0.77"/>
    <m/>
    <m/>
    <m/>
    <m/>
    <m/>
    <m/>
    <m/>
    <m/>
    <m/>
    <m/>
    <m/>
    <m/>
    <m/>
    <s v="AUD"/>
    <s v="13602599Waste Recycled - E-waste [t]"/>
    <n v="13602599"/>
  </r>
  <r>
    <d v="2019-07-01T00:00:00"/>
    <d v="2021-06-30T00:00:00"/>
    <s v="Telstra"/>
    <s v="NON-NETWORK"/>
    <s v="NON-NETWORK"/>
    <s v="VIC"/>
    <s v="Australia"/>
    <s v="Broadmeadows"/>
    <s v="BROADMEADOWS 37 CAMP RD CMTS"/>
    <n v="423031799700"/>
    <s v="Recycled Waste"/>
    <x v="0"/>
    <x v="1"/>
    <s v="Account"/>
    <s v="Remondis Batteries - Lead Acid"/>
    <m/>
    <s v="423030790300-4200149355_RBATLEDAC"/>
    <s v="BATTERIES - LEAD ACID"/>
    <s v="Remondis"/>
    <m/>
    <m/>
    <d v="2020-09-01T00:00:00"/>
    <d v="2020-08-01T00:00:00"/>
    <s v="FY21"/>
    <s v="t"/>
    <n v="0.90900000000000003"/>
    <n v="0"/>
    <n v="0"/>
    <n v="0.90900000000000003"/>
    <n v="1"/>
    <n v="0"/>
    <n v="0"/>
    <n v="1"/>
    <n v="100"/>
    <n v="0"/>
    <n v="0"/>
    <s v="Consolidation"/>
    <s v="CO2e and Base Measure"/>
    <n v="100"/>
    <n v="100"/>
    <n v="0.91"/>
    <m/>
    <m/>
    <m/>
    <m/>
    <m/>
    <m/>
    <m/>
    <m/>
    <m/>
    <m/>
    <m/>
    <m/>
    <m/>
    <s v="AUD"/>
    <s v="13602599Waste Recycled - E-waste [t]"/>
    <n v="13602599"/>
  </r>
  <r>
    <d v="2019-07-01T00:00:00"/>
    <d v="2021-06-30T00:00:00"/>
    <s v="Telstra"/>
    <s v="NON-NETWORK"/>
    <s v="NON-NETWORK"/>
    <s v="VIC"/>
    <s v="Australia"/>
    <s v="Broadmeadows"/>
    <s v="BROADMEADOWS 37 CAMP RD CMTS"/>
    <n v="423031799700"/>
    <s v="Recycled Waste"/>
    <x v="0"/>
    <x v="1"/>
    <s v="Account"/>
    <s v="Remondis Batteries - Lead Acid"/>
    <m/>
    <s v="423030790300-4200149355_RBATLEDAC"/>
    <s v="BATTERIES - LEAD ACID"/>
    <s v="Remondis"/>
    <m/>
    <m/>
    <d v="2020-09-01T00:00:00"/>
    <d v="2020-09-01T00:00:00"/>
    <s v="FY21"/>
    <s v="t"/>
    <n v="0"/>
    <n v="0"/>
    <n v="6.1199999999999997E-2"/>
    <n v="6.1199999999999997E-2"/>
    <n v="0"/>
    <n v="0"/>
    <n v="1"/>
    <n v="1"/>
    <n v="0"/>
    <n v="0"/>
    <n v="100"/>
    <s v="Consolidation"/>
    <s v="CO2e and Base Measure"/>
    <n v="100"/>
    <n v="100"/>
    <n v="0.06"/>
    <m/>
    <m/>
    <m/>
    <m/>
    <m/>
    <m/>
    <m/>
    <m/>
    <m/>
    <m/>
    <m/>
    <m/>
    <m/>
    <s v="AUD"/>
    <s v="13602599Waste Recycled - E-waste [t]"/>
    <n v="13602599"/>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0-12-01T00:00:00"/>
    <s v="FY21"/>
    <s v="t"/>
    <n v="1.22"/>
    <n v="0"/>
    <n v="0"/>
    <n v="1.22"/>
    <n v="1"/>
    <n v="0"/>
    <n v="0"/>
    <n v="1"/>
    <n v="100"/>
    <n v="0"/>
    <n v="0"/>
    <s v="Consolidation"/>
    <s v="CO2e and Base Measure"/>
    <n v="100"/>
    <n v="100"/>
    <n v="1.22"/>
    <m/>
    <m/>
    <m/>
    <m/>
    <m/>
    <n v="1.5860000000000001"/>
    <m/>
    <n v="1.5860000000000001"/>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1-01T00:00:00"/>
    <s v="FY21"/>
    <s v="t"/>
    <n v="3.42"/>
    <n v="0"/>
    <n v="0"/>
    <n v="3.42"/>
    <n v="2"/>
    <n v="0"/>
    <n v="0"/>
    <n v="2"/>
    <n v="100"/>
    <n v="0"/>
    <n v="0"/>
    <s v="Consolidation"/>
    <s v="CO2e and Base Measure"/>
    <n v="100"/>
    <n v="100"/>
    <n v="3.42"/>
    <m/>
    <m/>
    <m/>
    <m/>
    <m/>
    <n v="4.4459999999999997"/>
    <m/>
    <n v="4.4459999999999997"/>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2-01T00:00:00"/>
    <s v="FY21"/>
    <s v="t"/>
    <n v="0.26"/>
    <n v="0"/>
    <n v="0"/>
    <n v="0.26"/>
    <n v="1"/>
    <n v="0"/>
    <n v="0"/>
    <n v="1"/>
    <n v="100"/>
    <n v="0"/>
    <n v="0"/>
    <s v="Consolidation"/>
    <s v="CO2e and Base Measure"/>
    <n v="100"/>
    <n v="100"/>
    <n v="0.26"/>
    <m/>
    <m/>
    <m/>
    <m/>
    <m/>
    <n v="0.33800000000000002"/>
    <m/>
    <n v="0.33800000000000002"/>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3-01T00:00:00"/>
    <s v="FY21"/>
    <s v="t"/>
    <n v="2.3199999999999998"/>
    <n v="0"/>
    <n v="0"/>
    <n v="2.3199999999999998"/>
    <n v="2"/>
    <n v="0"/>
    <n v="0"/>
    <n v="2"/>
    <n v="100"/>
    <n v="0"/>
    <n v="0"/>
    <s v="Consolidation"/>
    <s v="CO2e and Base Measure"/>
    <n v="100"/>
    <n v="100"/>
    <n v="2.3199999999999998"/>
    <m/>
    <m/>
    <m/>
    <m/>
    <m/>
    <n v="3.016"/>
    <m/>
    <n v="3.016"/>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4-01T00:00:00"/>
    <s v="FY21"/>
    <s v="t"/>
    <n v="0"/>
    <n v="0"/>
    <n v="1.806"/>
    <n v="1.806"/>
    <n v="0"/>
    <n v="0"/>
    <n v="30"/>
    <n v="30"/>
    <n v="0"/>
    <n v="0"/>
    <n v="100"/>
    <s v="Consolidation"/>
    <s v="CO2e and Base Measure"/>
    <n v="100"/>
    <n v="100"/>
    <n v="1.81"/>
    <m/>
    <m/>
    <m/>
    <m/>
    <m/>
    <n v="2.3477999999999999"/>
    <m/>
    <n v="2.3477999999999999"/>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5-01T00:00:00"/>
    <s v="FY21"/>
    <s v="t"/>
    <n v="0"/>
    <n v="0"/>
    <n v="1.8662000000000001"/>
    <n v="1.8662000000000001"/>
    <n v="0"/>
    <n v="0"/>
    <n v="31"/>
    <n v="31"/>
    <n v="0"/>
    <n v="0"/>
    <n v="100"/>
    <s v="Consolidation"/>
    <s v="CO2e and Base Measure"/>
    <n v="100"/>
    <n v="100"/>
    <n v="1.87"/>
    <m/>
    <m/>
    <m/>
    <m/>
    <m/>
    <n v="2.4260999999999999"/>
    <m/>
    <n v="2.4260999999999999"/>
    <m/>
    <m/>
    <m/>
    <m/>
    <m/>
    <s v="AUD"/>
    <s v="13634355Waste - General [t] - Scope 3"/>
    <n v="13634355"/>
  </r>
  <r>
    <d v="2019-07-01T00:00:00"/>
    <d v="2021-06-30T00:00:00"/>
    <s v="Telstra"/>
    <s v="NON-NETWORK"/>
    <s v="NON-NETWORK"/>
    <s v="VIC"/>
    <s v="Australia"/>
    <s v="Broadmeadows"/>
    <s v="BROADMEADOWS 37 CAMP RD CMTS"/>
    <n v="423031799700"/>
    <s v="Recycled Waste"/>
    <x v="0"/>
    <x v="0"/>
    <s v="Account"/>
    <s v="CLEANAWAY Cardboard"/>
    <m/>
    <s v="31799700_Diversion_Cardboard"/>
    <s v="Cardboard"/>
    <s v="Cleanaway"/>
    <m/>
    <d v="2021-01-22T00:00:00"/>
    <m/>
    <d v="2021-01-01T00:00:00"/>
    <s v="FY21"/>
    <s v="t"/>
    <n v="0"/>
    <n v="0.15"/>
    <n v="0"/>
    <n v="0.15"/>
    <n v="0"/>
    <n v="1"/>
    <n v="0"/>
    <n v="1"/>
    <n v="0"/>
    <n v="100"/>
    <n v="0"/>
    <s v="Consolidation"/>
    <s v="CO2e and Base Measure"/>
    <n v="100"/>
    <n v="100"/>
    <n v="0.15"/>
    <m/>
    <m/>
    <m/>
    <m/>
    <m/>
    <m/>
    <m/>
    <m/>
    <m/>
    <m/>
    <m/>
    <m/>
    <m/>
    <s v="AUD"/>
    <s v="13634509Waste Recycled - Paper and Cardboard [t]"/>
    <n v="13634509"/>
  </r>
  <r>
    <d v="2019-07-01T00:00:00"/>
    <d v="2021-06-30T00:00:00"/>
    <s v="Telstra"/>
    <s v="NON-NETWORK"/>
    <s v="NON-NETWORK"/>
    <s v="VIC"/>
    <s v="Australia"/>
    <s v="Broadmeadows"/>
    <s v="BROADMEADOWS 37 CAMP RD CMTS"/>
    <n v="423031799700"/>
    <s v="Recycled Waste"/>
    <x v="0"/>
    <x v="0"/>
    <s v="Account"/>
    <s v="CLEANAWAY Cardboard"/>
    <m/>
    <s v="31799700_Diversion_Cardboard"/>
    <s v="Cardboard"/>
    <s v="Cleanaway"/>
    <m/>
    <d v="2021-01-22T00:00:00"/>
    <m/>
    <d v="2021-03-01T00:00:00"/>
    <s v="FY21"/>
    <s v="t"/>
    <n v="0"/>
    <n v="0.15"/>
    <n v="0"/>
    <n v="0.15"/>
    <n v="0"/>
    <n v="1"/>
    <n v="0"/>
    <n v="1"/>
    <n v="0"/>
    <n v="100"/>
    <n v="0"/>
    <s v="Consolidation"/>
    <s v="CO2e and Base Measure"/>
    <n v="100"/>
    <n v="100"/>
    <n v="0.15"/>
    <m/>
    <m/>
    <m/>
    <m/>
    <m/>
    <m/>
    <m/>
    <m/>
    <m/>
    <m/>
    <m/>
    <m/>
    <m/>
    <s v="AUD"/>
    <s v="13634509Waste Recycled - Paper and Cardboard [t]"/>
    <n v="13634509"/>
  </r>
  <r>
    <d v="2019-07-01T00:00:00"/>
    <d v="2021-06-30T00:00:00"/>
    <s v="Telstra"/>
    <s v="NON-NETWORK"/>
    <s v="NON-NETWORK"/>
    <s v="VIC"/>
    <s v="Australia"/>
    <s v="Broadmeadows"/>
    <s v="BROADMEADOWS 37 CAMP RD CMTS"/>
    <n v="423031799700"/>
    <s v="Recycled Waste"/>
    <x v="0"/>
    <x v="0"/>
    <s v="Account"/>
    <s v="CLEANAWAY Cardboard"/>
    <m/>
    <s v="31799700_Diversion_Cardboard"/>
    <s v="Cardboard"/>
    <s v="Cleanaway"/>
    <m/>
    <d v="2021-01-22T00:00:00"/>
    <m/>
    <d v="2021-04-01T00:00:00"/>
    <s v="FY21"/>
    <s v="t"/>
    <n v="0"/>
    <n v="0"/>
    <n v="0.10199999999999999"/>
    <n v="0.10199999999999999"/>
    <n v="0"/>
    <n v="0"/>
    <n v="30"/>
    <n v="30"/>
    <n v="0"/>
    <n v="0"/>
    <n v="100"/>
    <s v="Consolidation"/>
    <s v="CO2e and Base Measure"/>
    <n v="100"/>
    <n v="100"/>
    <n v="0.1"/>
    <m/>
    <m/>
    <m/>
    <m/>
    <m/>
    <m/>
    <m/>
    <m/>
    <m/>
    <m/>
    <m/>
    <m/>
    <m/>
    <s v="AUD"/>
    <s v="13634509Waste Recycled - Paper and Cardboard [t]"/>
    <n v="13634509"/>
  </r>
  <r>
    <d v="2019-07-01T00:00:00"/>
    <d v="2021-06-30T00:00:00"/>
    <s v="Telstra"/>
    <s v="NON-NETWORK"/>
    <s v="NON-NETWORK"/>
    <s v="VIC"/>
    <s v="Australia"/>
    <s v="Broadmeadows"/>
    <s v="BROADMEADOWS 37 CAMP RD CMTS"/>
    <n v="423031799700"/>
    <s v="Recycled Waste"/>
    <x v="0"/>
    <x v="0"/>
    <s v="Account"/>
    <s v="CLEANAWAY Cardboard"/>
    <m/>
    <s v="31799700_Diversion_Cardboard"/>
    <s v="Cardboard"/>
    <s v="Cleanaway"/>
    <m/>
    <d v="2021-01-22T00:00:00"/>
    <m/>
    <d v="2021-05-01T00:00:00"/>
    <s v="FY21"/>
    <s v="t"/>
    <n v="0"/>
    <n v="0"/>
    <n v="0.10539999999999999"/>
    <n v="0.10539999999999999"/>
    <n v="0"/>
    <n v="0"/>
    <n v="31"/>
    <n v="31"/>
    <n v="0"/>
    <n v="0"/>
    <n v="100"/>
    <s v="Consolidation"/>
    <s v="CO2e and Base Measure"/>
    <n v="100"/>
    <n v="100"/>
    <n v="0.11"/>
    <m/>
    <m/>
    <m/>
    <m/>
    <m/>
    <m/>
    <m/>
    <m/>
    <m/>
    <m/>
    <m/>
    <m/>
    <m/>
    <s v="AUD"/>
    <s v="13634509Waste Recycled - Paper and Cardboard [t]"/>
    <n v="13634509"/>
  </r>
  <r>
    <d v="2019-07-01T00:00:00"/>
    <d v="2021-06-30T00:00:00"/>
    <s v="Telstra"/>
    <s v="NON-NETWORK"/>
    <s v="NON-NETWORK"/>
    <s v="VIC"/>
    <s v="Australia"/>
    <s v="Broadmeadows"/>
    <s v="BROADMEADOWS 37 CAMP RD CMTS"/>
    <n v="423031799700"/>
    <s v="Recycled Waste"/>
    <x v="0"/>
    <x v="5"/>
    <s v="Account"/>
    <s v="CLEANAWAY Metal - Diversion"/>
    <m/>
    <s v="31799700_Diversion_Metal"/>
    <s v="Metal"/>
    <s v="Cleanaway"/>
    <m/>
    <d v="2021-02-23T00:00:00"/>
    <m/>
    <d v="2021-02-01T00:00:00"/>
    <s v="FY21"/>
    <s v="t"/>
    <n v="0.8"/>
    <n v="0"/>
    <n v="0"/>
    <n v="0.8"/>
    <n v="1"/>
    <n v="0"/>
    <n v="0"/>
    <n v="1"/>
    <n v="100"/>
    <n v="0"/>
    <n v="0"/>
    <s v="Consolidation"/>
    <s v="CO2e and Base Measure"/>
    <n v="100"/>
    <n v="100"/>
    <n v="0.8"/>
    <m/>
    <m/>
    <m/>
    <m/>
    <m/>
    <m/>
    <m/>
    <m/>
    <m/>
    <m/>
    <m/>
    <m/>
    <m/>
    <s v="AUD"/>
    <s v="13639947Waste Recycled - Construction and Demolition [t]"/>
    <n v="13639947"/>
  </r>
  <r>
    <d v="2019-07-01T00:00:00"/>
    <d v="2021-06-30T00:00:00"/>
    <s v="Telstra"/>
    <s v="NON-NETWORK"/>
    <s v="NON-NETWORK"/>
    <s v="VIC"/>
    <s v="Australia"/>
    <s v="Broadmeadows"/>
    <s v="BROADMEADOWS 37 CAMP RD CMTS"/>
    <n v="423031799700"/>
    <s v="Recycled Waste"/>
    <x v="0"/>
    <x v="5"/>
    <s v="Account"/>
    <s v="CLEANAWAY Metal - Diversion"/>
    <m/>
    <s v="31799700_Diversion_Metal"/>
    <s v="Metal"/>
    <s v="Cleanaway"/>
    <m/>
    <d v="2021-02-23T00:00:00"/>
    <m/>
    <d v="2021-03-01T00:00:00"/>
    <s v="FY21"/>
    <s v="t"/>
    <n v="1.3"/>
    <n v="0"/>
    <n v="0"/>
    <n v="1.3"/>
    <n v="1"/>
    <n v="0"/>
    <n v="0"/>
    <n v="1"/>
    <n v="100"/>
    <n v="0"/>
    <n v="0"/>
    <s v="Consolidation"/>
    <s v="CO2e and Base Measure"/>
    <n v="100"/>
    <n v="100"/>
    <n v="1.3"/>
    <m/>
    <m/>
    <m/>
    <m/>
    <m/>
    <m/>
    <m/>
    <m/>
    <m/>
    <m/>
    <m/>
    <m/>
    <m/>
    <s v="AUD"/>
    <s v="13639947Waste Recycled - Construction and Demolition [t]"/>
    <n v="13639947"/>
  </r>
  <r>
    <d v="2019-07-01T00:00:00"/>
    <d v="2021-06-30T00:00:00"/>
    <s v="Telstra"/>
    <s v="NON-NETWORK"/>
    <s v="NON-NETWORK"/>
    <s v="VIC"/>
    <s v="Australia"/>
    <s v="Broadmeadows"/>
    <s v="BROADMEADOWS 37 CAMP RD CMTS"/>
    <n v="423031799700"/>
    <s v="Recycled Waste"/>
    <x v="0"/>
    <x v="5"/>
    <s v="Account"/>
    <s v="CLEANAWAY Metal - Diversion"/>
    <m/>
    <s v="31799700_Diversion_Metal"/>
    <s v="Metal"/>
    <s v="Cleanaway"/>
    <m/>
    <d v="2021-02-23T00:00:00"/>
    <m/>
    <d v="2021-04-01T00:00:00"/>
    <s v="FY21"/>
    <s v="t"/>
    <n v="0"/>
    <n v="0"/>
    <n v="1.0860000000000001"/>
    <n v="1.0860000000000001"/>
    <n v="0"/>
    <n v="0"/>
    <n v="30"/>
    <n v="30"/>
    <n v="0"/>
    <n v="0"/>
    <n v="100"/>
    <s v="Consolidation"/>
    <s v="CO2e and Base Measure"/>
    <n v="100"/>
    <n v="100"/>
    <n v="1.0900000000000001"/>
    <m/>
    <m/>
    <m/>
    <m/>
    <m/>
    <m/>
    <m/>
    <m/>
    <m/>
    <m/>
    <m/>
    <m/>
    <m/>
    <s v="AUD"/>
    <s v="13639947Waste Recycled - Construction and Demolition [t]"/>
    <n v="13639947"/>
  </r>
  <r>
    <d v="2019-07-01T00:00:00"/>
    <d v="2021-06-30T00:00:00"/>
    <s v="Telstra"/>
    <s v="NON-NETWORK"/>
    <s v="NON-NETWORK"/>
    <s v="VIC"/>
    <s v="Australia"/>
    <s v="Broadmeadows"/>
    <s v="BROADMEADOWS 37 CAMP RD CMTS"/>
    <n v="423031799700"/>
    <s v="Recycled Waste"/>
    <x v="0"/>
    <x v="5"/>
    <s v="Account"/>
    <s v="CLEANAWAY Metal - Diversion"/>
    <m/>
    <s v="31799700_Diversion_Metal"/>
    <s v="Metal"/>
    <s v="Cleanaway"/>
    <m/>
    <d v="2021-02-23T00:00:00"/>
    <m/>
    <d v="2021-05-01T00:00:00"/>
    <s v="FY21"/>
    <s v="t"/>
    <n v="0"/>
    <n v="0"/>
    <n v="1.1222000000000001"/>
    <n v="1.1222000000000001"/>
    <n v="0"/>
    <n v="0"/>
    <n v="31"/>
    <n v="31"/>
    <n v="0"/>
    <n v="0"/>
    <n v="100"/>
    <s v="Consolidation"/>
    <s v="CO2e and Base Measure"/>
    <n v="100"/>
    <n v="100"/>
    <n v="1.1200000000000001"/>
    <m/>
    <m/>
    <m/>
    <m/>
    <m/>
    <m/>
    <m/>
    <m/>
    <m/>
    <m/>
    <m/>
    <m/>
    <m/>
    <s v="AUD"/>
    <s v="13639947Waste Recycled - Construction and Demolition [t]"/>
    <n v="13639947"/>
  </r>
  <r>
    <d v="2019-07-01T00:00:00"/>
    <d v="2021-06-30T00:00:00"/>
    <s v="Telstra"/>
    <s v="NON-NETWORK"/>
    <s v="NON-NETWORK"/>
    <s v="VIC"/>
    <s v="Australia"/>
    <s v="Broadmeadows"/>
    <s v="BROADMEADOWS 37 CAMP RD CMTS"/>
    <n v="423031799700"/>
    <s v="Recycled Waste"/>
    <x v="0"/>
    <x v="5"/>
    <s v="Account"/>
    <s v="CLEANAWAY Timber"/>
    <m/>
    <s v="31799700_Diversion_Timber"/>
    <s v="Timber"/>
    <s v="Cleanaway"/>
    <m/>
    <d v="2021-02-12T00:00:00"/>
    <m/>
    <d v="2021-02-01T00:00:00"/>
    <s v="FY21"/>
    <s v="t"/>
    <n v="2.52"/>
    <n v="0"/>
    <n v="0"/>
    <n v="2.52"/>
    <n v="1"/>
    <n v="0"/>
    <n v="0"/>
    <n v="1"/>
    <n v="100"/>
    <n v="0"/>
    <n v="0"/>
    <s v="Consolidation"/>
    <s v="CO2e and Base Measure"/>
    <n v="100"/>
    <n v="100"/>
    <n v="2.52"/>
    <m/>
    <m/>
    <m/>
    <m/>
    <m/>
    <m/>
    <m/>
    <m/>
    <m/>
    <m/>
    <m/>
    <m/>
    <m/>
    <s v="AUD"/>
    <s v="13639948Waste Recycled - Construction and Demolition [t]"/>
    <n v="13639948"/>
  </r>
  <r>
    <d v="2019-07-01T00:00:00"/>
    <d v="2021-06-30T00:00:00"/>
    <s v="Telstra"/>
    <s v="NON-NETWORK"/>
    <s v="NON-NETWORK"/>
    <s v="VIC"/>
    <s v="Australia"/>
    <s v="Broadmeadows"/>
    <s v="BROADMEADOWS 37 CAMP RD CMTS"/>
    <n v="423031799700"/>
    <s v="Recycled Waste"/>
    <x v="0"/>
    <x v="5"/>
    <s v="Account"/>
    <s v="CLEANAWAY Timber"/>
    <m/>
    <s v="31799700_Diversion_Timber"/>
    <s v="Timber"/>
    <s v="Cleanaway"/>
    <m/>
    <d v="2021-02-12T00:00:00"/>
    <m/>
    <d v="2021-03-01T00:00:00"/>
    <s v="FY21"/>
    <s v="t"/>
    <n v="0"/>
    <n v="0"/>
    <n v="2.8923000000000001"/>
    <n v="2.8923000000000001"/>
    <n v="0"/>
    <n v="0"/>
    <n v="31"/>
    <n v="31"/>
    <n v="0"/>
    <n v="0"/>
    <n v="100"/>
    <s v="Consolidation"/>
    <s v="CO2e and Base Measure"/>
    <n v="100"/>
    <n v="100"/>
    <n v="2.89"/>
    <m/>
    <m/>
    <m/>
    <m/>
    <m/>
    <m/>
    <m/>
    <m/>
    <m/>
    <m/>
    <m/>
    <m/>
    <m/>
    <s v="AUD"/>
    <s v="13639948Waste Recycled - Construction and Demolition [t]"/>
    <n v="13639948"/>
  </r>
  <r>
    <d v="2019-07-01T00:00:00"/>
    <d v="2021-06-30T00:00:00"/>
    <s v="Telstra"/>
    <s v="NON-NETWORK"/>
    <s v="NON-NETWORK"/>
    <s v="VIC"/>
    <s v="Australia"/>
    <s v="Broadmeadows"/>
    <s v="BROADMEADOWS 37 CAMP RD CMTS"/>
    <n v="423031799700"/>
    <s v="Recycled Waste"/>
    <x v="0"/>
    <x v="5"/>
    <s v="Account"/>
    <s v="CLEANAWAY Timber"/>
    <m/>
    <s v="31799700_Diversion_Timber"/>
    <s v="Timber"/>
    <s v="Cleanaway"/>
    <m/>
    <d v="2021-02-12T00:00:00"/>
    <m/>
    <d v="2021-04-01T00:00:00"/>
    <s v="FY21"/>
    <s v="t"/>
    <n v="0"/>
    <n v="0"/>
    <n v="2.7989999999999999"/>
    <n v="2.7989999999999999"/>
    <n v="0"/>
    <n v="0"/>
    <n v="30"/>
    <n v="30"/>
    <n v="0"/>
    <n v="0"/>
    <n v="100"/>
    <s v="Consolidation"/>
    <s v="CO2e and Base Measure"/>
    <n v="100"/>
    <n v="100"/>
    <n v="2.8"/>
    <m/>
    <m/>
    <m/>
    <m/>
    <m/>
    <m/>
    <m/>
    <m/>
    <m/>
    <m/>
    <m/>
    <m/>
    <m/>
    <s v="AUD"/>
    <s v="13639948Waste Recycled - Construction and Demolition [t]"/>
    <n v="13639948"/>
  </r>
  <r>
    <d v="2019-07-01T00:00:00"/>
    <d v="2021-06-30T00:00:00"/>
    <s v="Telstra"/>
    <s v="NON-NETWORK"/>
    <s v="NON-NETWORK"/>
    <s v="VIC"/>
    <s v="Australia"/>
    <s v="Broadmeadows"/>
    <s v="BROADMEADOWS 37 CAMP RD CMTS"/>
    <n v="423031799700"/>
    <s v="Recycled Waste"/>
    <x v="0"/>
    <x v="5"/>
    <s v="Account"/>
    <s v="CLEANAWAY Timber"/>
    <m/>
    <s v="31799700_Diversion_Timber"/>
    <s v="Timber"/>
    <s v="Cleanaway"/>
    <m/>
    <d v="2021-02-12T00:00:00"/>
    <m/>
    <d v="2021-05-01T00:00:00"/>
    <s v="FY21"/>
    <s v="t"/>
    <n v="0"/>
    <n v="0"/>
    <n v="2.8923000000000001"/>
    <n v="2.8923000000000001"/>
    <n v="0"/>
    <n v="0"/>
    <n v="31"/>
    <n v="31"/>
    <n v="0"/>
    <n v="0"/>
    <n v="100"/>
    <s v="Consolidation"/>
    <s v="CO2e and Base Measure"/>
    <n v="100"/>
    <n v="100"/>
    <n v="2.89"/>
    <m/>
    <m/>
    <m/>
    <m/>
    <m/>
    <m/>
    <m/>
    <m/>
    <m/>
    <m/>
    <m/>
    <m/>
    <m/>
    <s v="AUD"/>
    <s v="13639948Waste Recycled - Construction and Demolition [t]"/>
    <n v="13639948"/>
  </r>
  <r>
    <d v="2019-07-01T00:00:00"/>
    <d v="2021-06-30T00:00:00"/>
    <s v="Telstra"/>
    <s v="NON-NETWORK"/>
    <s v="NON-NETWORK"/>
    <s v="NSW"/>
    <s v="Australia"/>
    <s v="Broken Hill"/>
    <s v="Broken Hill 520 Wolfram Lane"/>
    <n v="423030333100"/>
    <s v="Waste"/>
    <x v="1"/>
    <x v="2"/>
    <s v="Account"/>
    <s v="Remondis General Waste"/>
    <m/>
    <s v="4230303331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593Waste - General [t] - Scope 3"/>
    <n v="13564593"/>
  </r>
  <r>
    <d v="2019-07-01T00:00:00"/>
    <d v="2021-06-30T00:00:00"/>
    <s v="Telstra"/>
    <s v="NON-NETWORK"/>
    <s v="NON-NETWORK"/>
    <s v="NSW"/>
    <s v="Australia"/>
    <s v="Broken Hill"/>
    <s v="Broken Hill 520 Wolfram Lane"/>
    <n v="423030333100"/>
    <s v="Waste"/>
    <x v="1"/>
    <x v="2"/>
    <s v="Account"/>
    <s v="Remondis General Waste"/>
    <m/>
    <s v="423030333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593Waste - General [t] - Scope 3"/>
    <n v="13564593"/>
  </r>
  <r>
    <d v="2019-07-01T00:00:00"/>
    <d v="2021-06-30T00:00:00"/>
    <s v="Telstra"/>
    <s v="NON-NETWORK"/>
    <s v="NON-NETWORK"/>
    <s v="NSW"/>
    <s v="Australia"/>
    <s v="Broken Hill"/>
    <s v="Broken Hill 520 Wolfram Lane"/>
    <n v="423030333100"/>
    <s v="Waste"/>
    <x v="1"/>
    <x v="2"/>
    <s v="Account"/>
    <s v="Remondis General Waste"/>
    <m/>
    <s v="423030333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93Waste - General [t] - Scope 3"/>
    <n v="13564593"/>
  </r>
  <r>
    <d v="2019-07-01T00:00:00"/>
    <d v="2021-06-30T00:00:00"/>
    <s v="Telstra"/>
    <s v="NON-NETWORK"/>
    <s v="NON-NETWORK"/>
    <s v="NSW"/>
    <s v="Australia"/>
    <s v="Broken Hill"/>
    <s v="Broken Hill 520 Wolfram Lane"/>
    <n v="423030333100"/>
    <s v="Waste"/>
    <x v="1"/>
    <x v="2"/>
    <s v="Account"/>
    <s v="Remondis General Waste"/>
    <m/>
    <s v="423030333100_WGENERALW"/>
    <s v="GENERAL WASTE"/>
    <s v="Remondis"/>
    <m/>
    <m/>
    <d v="2021-01-01T00:00:00"/>
    <d v="2021-01-01T00:00:00"/>
    <s v="FY21"/>
    <s v="t"/>
    <n v="0"/>
    <n v="0"/>
    <n v="4.7999999999999996E-3"/>
    <n v="4.7999999999999996E-3"/>
    <n v="0"/>
    <n v="0"/>
    <n v="1"/>
    <n v="1"/>
    <n v="0"/>
    <n v="0"/>
    <n v="100"/>
    <s v="Consolidation"/>
    <s v="CO2e and Base Measure"/>
    <n v="100"/>
    <n v="100"/>
    <n v="0"/>
    <m/>
    <m/>
    <m/>
    <m/>
    <m/>
    <n v="6.1999999999999998E-3"/>
    <m/>
    <n v="6.1999999999999998E-3"/>
    <m/>
    <m/>
    <m/>
    <m/>
    <m/>
    <s v="AUD"/>
    <s v="13564593Waste - General [t] - Scope 3"/>
    <n v="13564593"/>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07-01T00:00:00"/>
    <s v="FY21"/>
    <s v="t"/>
    <n v="1.35E-2"/>
    <n v="0"/>
    <n v="0"/>
    <n v="1.35E-2"/>
    <n v="1"/>
    <n v="0"/>
    <n v="0"/>
    <n v="1"/>
    <n v="100"/>
    <n v="0"/>
    <n v="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08-01T00:00:00"/>
    <s v="FY21"/>
    <s v="t"/>
    <n v="1.35E-2"/>
    <n v="0"/>
    <n v="0"/>
    <n v="1.35E-2"/>
    <n v="1"/>
    <n v="0"/>
    <n v="0"/>
    <n v="1"/>
    <n v="100"/>
    <n v="0"/>
    <n v="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09-01T00:00:00"/>
    <s v="FY21"/>
    <s v="t"/>
    <n v="2.7E-2"/>
    <n v="0"/>
    <n v="0"/>
    <n v="2.7E-2"/>
    <n v="2"/>
    <n v="0"/>
    <n v="0"/>
    <n v="2"/>
    <n v="100"/>
    <n v="0"/>
    <n v="0"/>
    <s v="Consolidation"/>
    <s v="CO2e and Base Measure"/>
    <n v="100"/>
    <n v="100"/>
    <n v="0.03"/>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10-01T00:00:00"/>
    <s v="FY21"/>
    <s v="t"/>
    <n v="1.35E-2"/>
    <n v="0"/>
    <n v="0"/>
    <n v="1.35E-2"/>
    <n v="1"/>
    <n v="0"/>
    <n v="0"/>
    <n v="1"/>
    <n v="100"/>
    <n v="0"/>
    <n v="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11-01T00:00:00"/>
    <s v="FY21"/>
    <s v="t"/>
    <n v="1.35E-2"/>
    <n v="0"/>
    <n v="0"/>
    <n v="1.35E-2"/>
    <n v="1"/>
    <n v="0"/>
    <n v="0"/>
    <n v="1"/>
    <n v="100"/>
    <n v="0"/>
    <n v="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12-01T00:00:00"/>
    <s v="FY21"/>
    <s v="t"/>
    <n v="0"/>
    <n v="0"/>
    <n v="1.55E-2"/>
    <n v="1.55E-2"/>
    <n v="0"/>
    <n v="0"/>
    <n v="31"/>
    <n v="31"/>
    <n v="0"/>
    <n v="0"/>
    <n v="100"/>
    <s v="Consolidation"/>
    <s v="CO2e and Base Measure"/>
    <n v="100"/>
    <n v="100"/>
    <n v="0.02"/>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1-01T00:00:00"/>
    <s v="FY21"/>
    <s v="t"/>
    <n v="0"/>
    <n v="0"/>
    <n v="1.55E-2"/>
    <n v="1.55E-2"/>
    <n v="0"/>
    <n v="0"/>
    <n v="31"/>
    <n v="31"/>
    <n v="0"/>
    <n v="0"/>
    <n v="100"/>
    <s v="Consolidation"/>
    <s v="CO2e and Base Measure"/>
    <n v="100"/>
    <n v="100"/>
    <n v="0.02"/>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2-01T00:00:00"/>
    <s v="FY21"/>
    <s v="t"/>
    <n v="0"/>
    <n v="0"/>
    <n v="1.4E-2"/>
    <n v="1.4E-2"/>
    <n v="0"/>
    <n v="0"/>
    <n v="28"/>
    <n v="28"/>
    <n v="0"/>
    <n v="0"/>
    <n v="10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3-01T00:00:00"/>
    <s v="FY21"/>
    <s v="t"/>
    <n v="0"/>
    <n v="0"/>
    <n v="1.55E-2"/>
    <n v="1.55E-2"/>
    <n v="0"/>
    <n v="0"/>
    <n v="31"/>
    <n v="31"/>
    <n v="0"/>
    <n v="0"/>
    <n v="100"/>
    <s v="Consolidation"/>
    <s v="CO2e and Base Measure"/>
    <n v="100"/>
    <n v="100"/>
    <n v="0.02"/>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5-01T00:00:00"/>
    <s v="FY21"/>
    <s v="t"/>
    <n v="0"/>
    <n v="0"/>
    <n v="1.55E-2"/>
    <n v="1.55E-2"/>
    <n v="0"/>
    <n v="0"/>
    <n v="31"/>
    <n v="31"/>
    <n v="0"/>
    <n v="0"/>
    <n v="100"/>
    <s v="Consolidation"/>
    <s v="CO2e and Base Measure"/>
    <n v="100"/>
    <n v="100"/>
    <n v="0.02"/>
    <m/>
    <m/>
    <m/>
    <m/>
    <m/>
    <m/>
    <m/>
    <m/>
    <m/>
    <m/>
    <m/>
    <m/>
    <m/>
    <s v="AUD"/>
    <s v="13566456Waste Recycled - Paper and Cardboard [t]"/>
    <n v="13566456"/>
  </r>
  <r>
    <d v="2019-07-01T00:00:00"/>
    <d v="2021-06-30T00:00:00"/>
    <s v="Telstra"/>
    <s v="NON-NETWORK"/>
    <s v="NON-NETWORK"/>
    <s v="WA"/>
    <s v="Australia"/>
    <s v="Broome"/>
    <s v="BROOME 33 CLEMENTSON ST"/>
    <n v="423031674700"/>
    <s v="Waste"/>
    <x v="1"/>
    <x v="2"/>
    <s v="Account"/>
    <s v="CLEANAWAY General"/>
    <m/>
    <s v="31674700_Landfill_General"/>
    <m/>
    <s v="Cleanaway"/>
    <m/>
    <d v="2021-02-04T00:00:00"/>
    <m/>
    <d v="2021-02-01T00:00:00"/>
    <s v="FY21"/>
    <s v="t"/>
    <n v="0"/>
    <n v="0.27"/>
    <n v="0"/>
    <n v="0.27"/>
    <n v="0"/>
    <n v="2"/>
    <n v="0"/>
    <n v="2"/>
    <n v="0"/>
    <n v="100"/>
    <n v="0"/>
    <s v="Consolidation"/>
    <s v="CO2e and Base Measure"/>
    <n v="100"/>
    <n v="100"/>
    <n v="0.27"/>
    <m/>
    <m/>
    <m/>
    <m/>
    <m/>
    <n v="0.35099999999999998"/>
    <m/>
    <n v="0.35099999999999998"/>
    <m/>
    <m/>
    <m/>
    <m/>
    <m/>
    <s v="AUD"/>
    <s v="13639962Waste - General [t] - Scope 3"/>
    <n v="13639962"/>
  </r>
  <r>
    <d v="2019-07-01T00:00:00"/>
    <d v="2021-06-30T00:00:00"/>
    <s v="Telstra"/>
    <s v="NON-NETWORK"/>
    <s v="NON-NETWORK"/>
    <s v="WA"/>
    <s v="Australia"/>
    <s v="Broome"/>
    <s v="BROOME 33 CLEMENTSON ST"/>
    <n v="423031674700"/>
    <s v="Waste"/>
    <x v="1"/>
    <x v="2"/>
    <s v="Account"/>
    <s v="CLEANAWAY General"/>
    <m/>
    <s v="31674700_Landfill_General"/>
    <m/>
    <s v="Cleanaway"/>
    <m/>
    <d v="2021-02-04T00:00:00"/>
    <m/>
    <d v="2021-03-01T00:00:00"/>
    <s v="FY21"/>
    <s v="t"/>
    <n v="0"/>
    <n v="0.27"/>
    <n v="0"/>
    <n v="0.27"/>
    <n v="0"/>
    <n v="2"/>
    <n v="0"/>
    <n v="2"/>
    <n v="0"/>
    <n v="100"/>
    <n v="0"/>
    <s v="Consolidation"/>
    <s v="CO2e and Base Measure"/>
    <n v="100"/>
    <n v="100"/>
    <n v="0.27"/>
    <m/>
    <m/>
    <m/>
    <m/>
    <m/>
    <n v="0.35099999999999998"/>
    <m/>
    <n v="0.35099999999999998"/>
    <m/>
    <m/>
    <m/>
    <m/>
    <m/>
    <s v="AUD"/>
    <s v="13639962Waste - General [t] - Scope 3"/>
    <n v="13639962"/>
  </r>
  <r>
    <d v="2019-07-01T00:00:00"/>
    <d v="2021-06-30T00:00:00"/>
    <s v="Telstra"/>
    <s v="NON-NETWORK"/>
    <s v="NON-NETWORK"/>
    <s v="WA"/>
    <s v="Australia"/>
    <s v="Broome"/>
    <s v="BROOME 33 CLEMENTSON ST"/>
    <n v="423031674700"/>
    <s v="Waste"/>
    <x v="1"/>
    <x v="2"/>
    <s v="Account"/>
    <s v="CLEANAWAY General"/>
    <m/>
    <s v="31674700_Landfill_General"/>
    <m/>
    <s v="Cleanaway"/>
    <m/>
    <d v="2021-02-04T00:00:00"/>
    <m/>
    <d v="2021-04-01T00:00:00"/>
    <s v="FY21"/>
    <s v="t"/>
    <n v="0"/>
    <n v="0"/>
    <n v="0.27900000000000003"/>
    <n v="0.27900000000000003"/>
    <n v="0"/>
    <n v="0"/>
    <n v="30"/>
    <n v="30"/>
    <n v="0"/>
    <n v="0"/>
    <n v="100"/>
    <s v="Consolidation"/>
    <s v="CO2e and Base Measure"/>
    <n v="100"/>
    <n v="100"/>
    <n v="0.28000000000000003"/>
    <m/>
    <m/>
    <m/>
    <m/>
    <m/>
    <n v="0.36270000000000002"/>
    <m/>
    <n v="0.36270000000000002"/>
    <m/>
    <m/>
    <m/>
    <m/>
    <m/>
    <s v="AUD"/>
    <s v="13639962Waste - General [t] - Scope 3"/>
    <n v="13639962"/>
  </r>
  <r>
    <d v="2019-07-01T00:00:00"/>
    <d v="2021-06-30T00:00:00"/>
    <s v="Telstra"/>
    <s v="NON-NETWORK"/>
    <s v="NON-NETWORK"/>
    <s v="WA"/>
    <s v="Australia"/>
    <s v="Broome"/>
    <s v="BROOME 33 CLEMENTSON ST"/>
    <n v="423031674700"/>
    <s v="Waste"/>
    <x v="1"/>
    <x v="2"/>
    <s v="Account"/>
    <s v="CLEANAWAY General"/>
    <m/>
    <s v="31674700_Landfill_General"/>
    <m/>
    <s v="Cleanaway"/>
    <m/>
    <d v="2021-02-04T00:00:00"/>
    <m/>
    <d v="2021-05-01T00:00:00"/>
    <s v="FY21"/>
    <s v="t"/>
    <n v="0"/>
    <n v="0"/>
    <n v="0.2883"/>
    <n v="0.2883"/>
    <n v="0"/>
    <n v="0"/>
    <n v="31"/>
    <n v="31"/>
    <n v="0"/>
    <n v="0"/>
    <n v="100"/>
    <s v="Consolidation"/>
    <s v="CO2e and Base Measure"/>
    <n v="100"/>
    <n v="100"/>
    <n v="0.28999999999999998"/>
    <m/>
    <m/>
    <m/>
    <m/>
    <m/>
    <n v="0.37480000000000002"/>
    <m/>
    <n v="0.37480000000000002"/>
    <m/>
    <m/>
    <m/>
    <m/>
    <m/>
    <s v="AUD"/>
    <s v="13639962Waste - General [t] - Scope 3"/>
    <n v="13639962"/>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07-01T00:00:00"/>
    <s v="FY21"/>
    <s v="t"/>
    <n v="0"/>
    <n v="0.26"/>
    <n v="0"/>
    <n v="0.26"/>
    <n v="0"/>
    <n v="2"/>
    <n v="0"/>
    <n v="2"/>
    <n v="0"/>
    <n v="100"/>
    <n v="0"/>
    <s v="Consolidation"/>
    <s v="CO2e and Base Measure"/>
    <n v="100"/>
    <n v="100"/>
    <n v="0.26"/>
    <m/>
    <m/>
    <m/>
    <m/>
    <m/>
    <n v="0.33800000000000002"/>
    <m/>
    <n v="0.33800000000000002"/>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08-01T00:00:00"/>
    <s v="FY21"/>
    <s v="t"/>
    <n v="0"/>
    <n v="0.26"/>
    <n v="0"/>
    <n v="0.26"/>
    <n v="0"/>
    <n v="2"/>
    <n v="0"/>
    <n v="2"/>
    <n v="0"/>
    <n v="100"/>
    <n v="0"/>
    <s v="Consolidation"/>
    <s v="CO2e and Base Measure"/>
    <n v="100"/>
    <n v="100"/>
    <n v="0.26"/>
    <m/>
    <m/>
    <m/>
    <m/>
    <m/>
    <n v="0.33800000000000002"/>
    <m/>
    <n v="0.33800000000000002"/>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09-01T00:00:00"/>
    <s v="FY21"/>
    <s v="t"/>
    <n v="0"/>
    <n v="0.26"/>
    <n v="0"/>
    <n v="0.26"/>
    <n v="0"/>
    <n v="2"/>
    <n v="0"/>
    <n v="2"/>
    <n v="0"/>
    <n v="100"/>
    <n v="0"/>
    <s v="Consolidation"/>
    <s v="CO2e and Base Measure"/>
    <n v="100"/>
    <n v="100"/>
    <n v="0.26"/>
    <m/>
    <m/>
    <m/>
    <m/>
    <m/>
    <n v="0.33800000000000002"/>
    <m/>
    <n v="0.33800000000000002"/>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10-01T00:00:00"/>
    <s v="FY21"/>
    <s v="t"/>
    <n v="0"/>
    <n v="0.13"/>
    <n v="0"/>
    <n v="0.13"/>
    <n v="0"/>
    <n v="1"/>
    <n v="0"/>
    <n v="1"/>
    <n v="0"/>
    <n v="100"/>
    <n v="0"/>
    <s v="Consolidation"/>
    <s v="CO2e and Base Measure"/>
    <n v="100"/>
    <n v="100"/>
    <n v="0.13"/>
    <m/>
    <m/>
    <m/>
    <m/>
    <m/>
    <n v="0.16900000000000001"/>
    <m/>
    <n v="0.16900000000000001"/>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12-01T00:00:00"/>
    <s v="FY21"/>
    <s v="t"/>
    <n v="0"/>
    <n v="0.13"/>
    <n v="0"/>
    <n v="0.13"/>
    <n v="0"/>
    <n v="1"/>
    <n v="0"/>
    <n v="1"/>
    <n v="0"/>
    <n v="100"/>
    <n v="0"/>
    <s v="Consolidation"/>
    <s v="CO2e and Base Measure"/>
    <n v="100"/>
    <n v="100"/>
    <n v="0.13"/>
    <m/>
    <m/>
    <m/>
    <m/>
    <m/>
    <n v="0.16900000000000001"/>
    <m/>
    <n v="0.16900000000000001"/>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1-01-01T00:00:00"/>
    <s v="FY21"/>
    <s v="t"/>
    <n v="0"/>
    <n v="0"/>
    <n v="6.1000000000000004E-3"/>
    <n v="6.1000000000000004E-3"/>
    <n v="0"/>
    <n v="0"/>
    <n v="1"/>
    <n v="1"/>
    <n v="0"/>
    <n v="0"/>
    <n v="100"/>
    <s v="Consolidation"/>
    <s v="CO2e and Base Measure"/>
    <n v="100"/>
    <n v="100"/>
    <n v="0.01"/>
    <m/>
    <m/>
    <m/>
    <m/>
    <m/>
    <n v="7.9000000000000008E-3"/>
    <m/>
    <n v="7.9000000000000008E-3"/>
    <m/>
    <m/>
    <m/>
    <m/>
    <m/>
    <s v="AUD"/>
    <s v="13565406Waste - General [t] - Scope 3"/>
    <n v="13565406"/>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1-01-01T00:00:00"/>
    <s v="FY21"/>
    <s v="t"/>
    <n v="0"/>
    <n v="0"/>
    <n v="3.8E-3"/>
    <n v="3.8E-3"/>
    <n v="0"/>
    <n v="0"/>
    <n v="1"/>
    <n v="1"/>
    <n v="0"/>
    <n v="0"/>
    <n v="100"/>
    <s v="Consolidation"/>
    <s v="CO2e and Base Measure"/>
    <n v="100"/>
    <n v="100"/>
    <n v="0"/>
    <m/>
    <m/>
    <m/>
    <m/>
    <m/>
    <m/>
    <n v="0"/>
    <m/>
    <m/>
    <m/>
    <m/>
    <m/>
    <m/>
    <s v="AUD"/>
    <s v="13564118Waste Recycled - Cardboard [t]"/>
    <n v="13564118"/>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07-01T00:00:00"/>
    <s v="FY21"/>
    <s v="t"/>
    <n v="0.23"/>
    <n v="0"/>
    <n v="0"/>
    <n v="0.23"/>
    <n v="3"/>
    <n v="0"/>
    <n v="0"/>
    <n v="3"/>
    <n v="100"/>
    <n v="0"/>
    <n v="0"/>
    <s v="Consolidation"/>
    <s v="CO2e and Base Measure"/>
    <n v="100"/>
    <n v="100"/>
    <n v="0.23"/>
    <m/>
    <m/>
    <m/>
    <m/>
    <m/>
    <n v="0.29899999999999999"/>
    <m/>
    <n v="0.29899999999999999"/>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08-01T00:00:00"/>
    <s v="FY21"/>
    <s v="t"/>
    <n v="0.21"/>
    <n v="0"/>
    <n v="0"/>
    <n v="0.21"/>
    <n v="2"/>
    <n v="0"/>
    <n v="0"/>
    <n v="2"/>
    <n v="100"/>
    <n v="0"/>
    <n v="0"/>
    <s v="Consolidation"/>
    <s v="CO2e and Base Measure"/>
    <n v="100"/>
    <n v="100"/>
    <n v="0.21"/>
    <m/>
    <m/>
    <m/>
    <m/>
    <m/>
    <n v="0.27300000000000002"/>
    <m/>
    <n v="0.27300000000000002"/>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09-01T00:00:00"/>
    <s v="FY21"/>
    <s v="t"/>
    <n v="0.05"/>
    <n v="9.7500000000000003E-2"/>
    <n v="0"/>
    <n v="0.14749999999999999"/>
    <n v="1"/>
    <n v="1"/>
    <n v="0"/>
    <n v="2"/>
    <n v="33.89"/>
    <n v="66.099999999999994"/>
    <n v="0"/>
    <s v="Consolidation"/>
    <s v="CO2e and Base Measure"/>
    <n v="100"/>
    <n v="100"/>
    <n v="0.15"/>
    <m/>
    <m/>
    <m/>
    <m/>
    <m/>
    <n v="0.1918"/>
    <m/>
    <n v="0.1918"/>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10-01T00:00:00"/>
    <s v="FY21"/>
    <s v="t"/>
    <n v="0.12"/>
    <n v="0"/>
    <n v="0"/>
    <n v="0.12"/>
    <n v="2"/>
    <n v="0"/>
    <n v="0"/>
    <n v="2"/>
    <n v="100"/>
    <n v="0"/>
    <n v="0"/>
    <s v="Consolidation"/>
    <s v="CO2e and Base Measure"/>
    <n v="100"/>
    <n v="100"/>
    <n v="0.12"/>
    <m/>
    <m/>
    <m/>
    <m/>
    <m/>
    <n v="0.156"/>
    <m/>
    <n v="0.156"/>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11-01T00:00:00"/>
    <s v="FY21"/>
    <s v="t"/>
    <n v="0.25"/>
    <n v="0"/>
    <n v="0"/>
    <n v="0.25"/>
    <n v="2"/>
    <n v="0"/>
    <n v="0"/>
    <n v="2"/>
    <n v="100"/>
    <n v="0"/>
    <n v="0"/>
    <s v="Consolidation"/>
    <s v="CO2e and Base Measure"/>
    <n v="100"/>
    <n v="100"/>
    <n v="0.25"/>
    <m/>
    <m/>
    <m/>
    <m/>
    <m/>
    <n v="0.32500000000000001"/>
    <m/>
    <n v="0.32500000000000001"/>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12-01T00:00:00"/>
    <s v="FY21"/>
    <s v="t"/>
    <n v="0.09"/>
    <n v="9.7500000000000003E-2"/>
    <n v="0"/>
    <n v="0.1875"/>
    <n v="1"/>
    <n v="1"/>
    <n v="0"/>
    <n v="2"/>
    <n v="48"/>
    <n v="52"/>
    <n v="0"/>
    <s v="Consolidation"/>
    <s v="CO2e and Base Measure"/>
    <n v="100"/>
    <n v="100"/>
    <n v="0.19"/>
    <m/>
    <m/>
    <m/>
    <m/>
    <m/>
    <n v="0.24379999999999999"/>
    <m/>
    <n v="0.24379999999999999"/>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19Waste - General [t] - Scope 3"/>
    <n v="1356411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0-12-01T00:00:00"/>
    <s v="FY21"/>
    <s v="t"/>
    <n v="0.28000000000000003"/>
    <n v="6.7500000000000004E-2"/>
    <n v="0"/>
    <n v="0.34749999999999998"/>
    <n v="2"/>
    <n v="1"/>
    <n v="0"/>
    <n v="3"/>
    <n v="80.569999999999993"/>
    <n v="19.420000000000002"/>
    <n v="0"/>
    <s v="Consolidation"/>
    <s v="CO2e and Base Measure"/>
    <n v="100"/>
    <n v="100"/>
    <n v="0.35"/>
    <m/>
    <m/>
    <m/>
    <m/>
    <m/>
    <n v="0.45179999999999998"/>
    <m/>
    <n v="0.45179999999999998"/>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1-01T00:00:00"/>
    <s v="FY21"/>
    <s v="t"/>
    <n v="0.15"/>
    <n v="0.13500000000000001"/>
    <n v="0"/>
    <n v="0.28499999999999998"/>
    <n v="2"/>
    <n v="2"/>
    <n v="0"/>
    <n v="4"/>
    <n v="52.63"/>
    <n v="47.36"/>
    <n v="0"/>
    <s v="Consolidation"/>
    <s v="CO2e and Base Measure"/>
    <n v="100"/>
    <n v="100"/>
    <n v="0.28999999999999998"/>
    <m/>
    <m/>
    <m/>
    <m/>
    <m/>
    <n v="0.3705"/>
    <m/>
    <n v="0.3705"/>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2-01T00:00:00"/>
    <s v="FY21"/>
    <s v="t"/>
    <n v="0.27"/>
    <n v="6.7500000000000004E-2"/>
    <n v="0"/>
    <n v="0.33750000000000002"/>
    <n v="3"/>
    <n v="1"/>
    <n v="0"/>
    <n v="4"/>
    <n v="80"/>
    <n v="20"/>
    <n v="0"/>
    <s v="Consolidation"/>
    <s v="CO2e and Base Measure"/>
    <n v="100"/>
    <n v="100"/>
    <n v="0.34"/>
    <m/>
    <m/>
    <m/>
    <m/>
    <m/>
    <n v="0.43880000000000002"/>
    <m/>
    <n v="0.43880000000000002"/>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3-01T00:00:00"/>
    <s v="FY21"/>
    <s v="t"/>
    <n v="0.39700000000000002"/>
    <n v="0"/>
    <n v="0"/>
    <n v="0.39700000000000002"/>
    <n v="3"/>
    <n v="0"/>
    <n v="0"/>
    <n v="3"/>
    <n v="100"/>
    <n v="0"/>
    <n v="0"/>
    <s v="Consolidation"/>
    <s v="CO2e and Base Measure"/>
    <n v="100"/>
    <n v="100"/>
    <n v="0.4"/>
    <m/>
    <m/>
    <m/>
    <m/>
    <m/>
    <n v="0.5161"/>
    <m/>
    <n v="0.5161"/>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4-01T00:00:00"/>
    <s v="FY21"/>
    <s v="t"/>
    <n v="0"/>
    <n v="0"/>
    <n v="0.34200000000000003"/>
    <n v="0.34200000000000003"/>
    <n v="0"/>
    <n v="0"/>
    <n v="30"/>
    <n v="30"/>
    <n v="0"/>
    <n v="0"/>
    <n v="100"/>
    <s v="Consolidation"/>
    <s v="CO2e and Base Measure"/>
    <n v="100"/>
    <n v="100"/>
    <n v="0.34"/>
    <m/>
    <m/>
    <m/>
    <m/>
    <m/>
    <n v="0.4446"/>
    <m/>
    <n v="0.4446"/>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5-01T00:00:00"/>
    <s v="FY21"/>
    <s v="t"/>
    <n v="0"/>
    <n v="0"/>
    <n v="0.35339999999999999"/>
    <n v="0.35339999999999999"/>
    <n v="0"/>
    <n v="0"/>
    <n v="31"/>
    <n v="31"/>
    <n v="0"/>
    <n v="0"/>
    <n v="100"/>
    <s v="Consolidation"/>
    <s v="CO2e and Base Measure"/>
    <n v="100"/>
    <n v="100"/>
    <n v="0.35"/>
    <m/>
    <m/>
    <m/>
    <m/>
    <m/>
    <n v="0.45939999999999998"/>
    <m/>
    <n v="0.45939999999999998"/>
    <m/>
    <m/>
    <m/>
    <m/>
    <m/>
    <s v="AUD"/>
    <s v="13634039Waste - General [t] - Scope 3"/>
    <n v="13634039"/>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1-01T00:00:00"/>
    <s v="FY21"/>
    <s v="t"/>
    <n v="0"/>
    <n v="7.4999999999999997E-2"/>
    <n v="0"/>
    <n v="7.4999999999999997E-2"/>
    <n v="0"/>
    <n v="1"/>
    <n v="0"/>
    <n v="1"/>
    <n v="0"/>
    <n v="100"/>
    <n v="0"/>
    <s v="Consolidation"/>
    <s v="CO2e and Base Measure"/>
    <n v="100"/>
    <n v="100"/>
    <n v="0.08"/>
    <m/>
    <m/>
    <m/>
    <m/>
    <m/>
    <m/>
    <m/>
    <m/>
    <m/>
    <m/>
    <m/>
    <m/>
    <m/>
    <s v="AUD"/>
    <s v="13634417Waste Recycled - Paper and Cardboard [t]"/>
    <n v="13634417"/>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2-01T00:00:00"/>
    <s v="FY21"/>
    <s v="t"/>
    <n v="0.318"/>
    <n v="0"/>
    <n v="0"/>
    <n v="0.318"/>
    <n v="2"/>
    <n v="0"/>
    <n v="0"/>
    <n v="2"/>
    <n v="100"/>
    <n v="0"/>
    <n v="0"/>
    <s v="Consolidation"/>
    <s v="CO2e and Base Measure"/>
    <n v="100"/>
    <n v="100"/>
    <n v="0.32"/>
    <m/>
    <m/>
    <m/>
    <m/>
    <m/>
    <m/>
    <m/>
    <m/>
    <m/>
    <m/>
    <m/>
    <m/>
    <m/>
    <s v="AUD"/>
    <s v="13634417Waste Recycled - Paper and Cardboard [t]"/>
    <n v="13634417"/>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3-01T00:00:00"/>
    <s v="FY21"/>
    <s v="t"/>
    <n v="9.6000000000000002E-2"/>
    <n v="0"/>
    <n v="0"/>
    <n v="9.6000000000000002E-2"/>
    <n v="1"/>
    <n v="0"/>
    <n v="0"/>
    <n v="1"/>
    <n v="100"/>
    <n v="0"/>
    <n v="0"/>
    <s v="Consolidation"/>
    <s v="CO2e and Base Measure"/>
    <n v="100"/>
    <n v="100"/>
    <n v="0.1"/>
    <m/>
    <m/>
    <m/>
    <m/>
    <m/>
    <m/>
    <m/>
    <m/>
    <m/>
    <m/>
    <m/>
    <m/>
    <m/>
    <s v="AUD"/>
    <s v="13634417Waste Recycled - Paper and Cardboard [t]"/>
    <n v="13634417"/>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4-01T00:00:00"/>
    <s v="FY21"/>
    <s v="t"/>
    <n v="0"/>
    <n v="0"/>
    <n v="0.16500000000000001"/>
    <n v="0.16500000000000001"/>
    <n v="0"/>
    <n v="0"/>
    <n v="30"/>
    <n v="30"/>
    <n v="0"/>
    <n v="0"/>
    <n v="100"/>
    <s v="Consolidation"/>
    <s v="CO2e and Base Measure"/>
    <n v="100"/>
    <n v="100"/>
    <n v="0.17"/>
    <m/>
    <m/>
    <m/>
    <m/>
    <m/>
    <m/>
    <m/>
    <m/>
    <m/>
    <m/>
    <m/>
    <m/>
    <m/>
    <s v="AUD"/>
    <s v="13634417Waste Recycled - Paper and Cardboard [t]"/>
    <n v="13634417"/>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5-01T00:00:00"/>
    <s v="FY21"/>
    <s v="t"/>
    <n v="0"/>
    <n v="0"/>
    <n v="0.17050000000000001"/>
    <n v="0.17050000000000001"/>
    <n v="0"/>
    <n v="0"/>
    <n v="31"/>
    <n v="31"/>
    <n v="0"/>
    <n v="0"/>
    <n v="100"/>
    <s v="Consolidation"/>
    <s v="CO2e and Base Measure"/>
    <n v="100"/>
    <n v="100"/>
    <n v="0.17"/>
    <m/>
    <m/>
    <m/>
    <m/>
    <m/>
    <m/>
    <m/>
    <m/>
    <m/>
    <m/>
    <m/>
    <m/>
    <m/>
    <s v="AUD"/>
    <s v="13634417Waste Recycled - Paper and Cardboard [t]"/>
    <n v="13634417"/>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10-01T00:00:00"/>
    <s v="FY21"/>
    <s v="t"/>
    <n v="0"/>
    <n v="0.189"/>
    <n v="0"/>
    <n v="0.189"/>
    <n v="0"/>
    <n v="3"/>
    <n v="0"/>
    <n v="3"/>
    <n v="0"/>
    <n v="100"/>
    <n v="0"/>
    <s v="Consolidation"/>
    <s v="CO2e and Base Measure"/>
    <n v="100"/>
    <n v="100"/>
    <n v="0.19"/>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11-01T00:00:00"/>
    <s v="FY21"/>
    <s v="t"/>
    <n v="0"/>
    <n v="6.3E-2"/>
    <n v="0"/>
    <n v="6.3E-2"/>
    <n v="0"/>
    <n v="1"/>
    <n v="0"/>
    <n v="1"/>
    <n v="0"/>
    <n v="100"/>
    <n v="0"/>
    <s v="Consolidation"/>
    <s v="CO2e and Base Measure"/>
    <n v="100"/>
    <n v="100"/>
    <n v="0.06"/>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12-01T00:00:00"/>
    <s v="FY21"/>
    <s v="t"/>
    <n v="0"/>
    <n v="0"/>
    <n v="3.8E-3"/>
    <n v="3.8E-3"/>
    <n v="0"/>
    <n v="0"/>
    <n v="1"/>
    <n v="1"/>
    <n v="0"/>
    <n v="0"/>
    <n v="100"/>
    <s v="Consolidation"/>
    <s v="CO2e and Base Measure"/>
    <n v="100"/>
    <n v="100"/>
    <n v="0"/>
    <m/>
    <m/>
    <m/>
    <m/>
    <m/>
    <m/>
    <n v="0"/>
    <m/>
    <m/>
    <m/>
    <m/>
    <m/>
    <m/>
    <s v="AUD"/>
    <s v="13565310Waste Recycled - Cardboard [t]"/>
    <n v="13565310"/>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07-01T00:00:00"/>
    <s v="FY21"/>
    <s v="t"/>
    <n v="0.125"/>
    <n v="0"/>
    <n v="0"/>
    <n v="0.125"/>
    <n v="1"/>
    <n v="0"/>
    <n v="0"/>
    <n v="1"/>
    <n v="100"/>
    <n v="0"/>
    <n v="0"/>
    <s v="Consolidation"/>
    <s v="CO2e and Base Measure"/>
    <n v="100"/>
    <n v="100"/>
    <n v="0.13"/>
    <m/>
    <m/>
    <m/>
    <m/>
    <m/>
    <n v="0.16250000000000001"/>
    <m/>
    <n v="0.16250000000000001"/>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08-01T00:00:00"/>
    <s v="FY21"/>
    <s v="t"/>
    <n v="0.36"/>
    <n v="0"/>
    <n v="0"/>
    <n v="0.36"/>
    <n v="2"/>
    <n v="0"/>
    <n v="0"/>
    <n v="2"/>
    <n v="100"/>
    <n v="0"/>
    <n v="0"/>
    <s v="Consolidation"/>
    <s v="CO2e and Base Measure"/>
    <n v="100"/>
    <n v="100"/>
    <n v="0.36"/>
    <m/>
    <m/>
    <m/>
    <m/>
    <m/>
    <n v="0.46800000000000003"/>
    <m/>
    <n v="0.46800000000000003"/>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10-01T00:00:00"/>
    <s v="FY21"/>
    <s v="t"/>
    <n v="0.2"/>
    <n v="0"/>
    <n v="0"/>
    <n v="0.2"/>
    <n v="1"/>
    <n v="0"/>
    <n v="0"/>
    <n v="1"/>
    <n v="100"/>
    <n v="0"/>
    <n v="0"/>
    <s v="Consolidation"/>
    <s v="CO2e and Base Measure"/>
    <n v="100"/>
    <n v="100"/>
    <n v="0.2"/>
    <m/>
    <m/>
    <m/>
    <m/>
    <m/>
    <n v="0.26"/>
    <m/>
    <n v="0.26"/>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1-01-01T00:00:00"/>
    <s v="FY21"/>
    <s v="t"/>
    <n v="0"/>
    <n v="0"/>
    <n v="1.0699999999999999E-2"/>
    <n v="1.0699999999999999E-2"/>
    <n v="0"/>
    <n v="0"/>
    <n v="1"/>
    <n v="1"/>
    <n v="0"/>
    <n v="0"/>
    <n v="100"/>
    <s v="Consolidation"/>
    <s v="CO2e and Base Measure"/>
    <n v="100"/>
    <n v="100"/>
    <n v="0.01"/>
    <m/>
    <m/>
    <m/>
    <m/>
    <m/>
    <n v="1.3899999999999999E-2"/>
    <m/>
    <n v="1.3899999999999999E-2"/>
    <m/>
    <m/>
    <m/>
    <m/>
    <m/>
    <s v="AUD"/>
    <s v="13565311Waste - General [t] - Scope 3"/>
    <n v="13565311"/>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0-12-01T00:00:00"/>
    <s v="FY21"/>
    <s v="t"/>
    <n v="9.8000000000000004E-2"/>
    <n v="0"/>
    <n v="0"/>
    <n v="9.8000000000000004E-2"/>
    <n v="1"/>
    <n v="0"/>
    <n v="0"/>
    <n v="1"/>
    <n v="100"/>
    <n v="0"/>
    <n v="0"/>
    <s v="Consolidation"/>
    <s v="CO2e and Base Measure"/>
    <n v="100"/>
    <n v="100"/>
    <n v="0.1"/>
    <m/>
    <m/>
    <m/>
    <m/>
    <m/>
    <n v="0.12740000000000001"/>
    <m/>
    <n v="0.12740000000000001"/>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1-01T00:00:00"/>
    <s v="FY21"/>
    <s v="t"/>
    <n v="6.0999999999999999E-2"/>
    <n v="0"/>
    <n v="0"/>
    <n v="6.0999999999999999E-2"/>
    <n v="1"/>
    <n v="0"/>
    <n v="0"/>
    <n v="1"/>
    <n v="100"/>
    <n v="0"/>
    <n v="0"/>
    <s v="Consolidation"/>
    <s v="CO2e and Base Measure"/>
    <n v="100"/>
    <n v="100"/>
    <n v="0.06"/>
    <m/>
    <m/>
    <m/>
    <m/>
    <m/>
    <n v="7.9299999999999995E-2"/>
    <m/>
    <n v="7.9299999999999995E-2"/>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2-01T00:00:00"/>
    <s v="FY21"/>
    <s v="t"/>
    <n v="0.3"/>
    <n v="0"/>
    <n v="0"/>
    <n v="0.3"/>
    <n v="2"/>
    <n v="0"/>
    <n v="0"/>
    <n v="2"/>
    <n v="100"/>
    <n v="0"/>
    <n v="0"/>
    <s v="Consolidation"/>
    <s v="CO2e and Base Measure"/>
    <n v="100"/>
    <n v="100"/>
    <n v="0.3"/>
    <m/>
    <m/>
    <m/>
    <m/>
    <m/>
    <n v="0.39"/>
    <m/>
    <n v="0.39"/>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3-01T00:00:00"/>
    <s v="FY21"/>
    <s v="t"/>
    <n v="0.26200000000000001"/>
    <n v="0"/>
    <n v="0"/>
    <n v="0.26200000000000001"/>
    <n v="3"/>
    <n v="0"/>
    <n v="0"/>
    <n v="3"/>
    <n v="100"/>
    <n v="0"/>
    <n v="0"/>
    <s v="Consolidation"/>
    <s v="CO2e and Base Measure"/>
    <n v="100"/>
    <n v="100"/>
    <n v="0.26"/>
    <m/>
    <m/>
    <m/>
    <m/>
    <m/>
    <n v="0.34060000000000001"/>
    <m/>
    <n v="0.34060000000000001"/>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4-01T00:00:00"/>
    <s v="FY21"/>
    <s v="t"/>
    <n v="0"/>
    <n v="0"/>
    <n v="0.18"/>
    <n v="0.18"/>
    <n v="0"/>
    <n v="0"/>
    <n v="30"/>
    <n v="30"/>
    <n v="0"/>
    <n v="0"/>
    <n v="100"/>
    <s v="Consolidation"/>
    <s v="CO2e and Base Measure"/>
    <n v="100"/>
    <n v="100"/>
    <n v="0.18"/>
    <m/>
    <m/>
    <m/>
    <m/>
    <m/>
    <n v="0.23400000000000001"/>
    <m/>
    <n v="0.23400000000000001"/>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5-01T00:00:00"/>
    <s v="FY21"/>
    <s v="t"/>
    <n v="0"/>
    <n v="0"/>
    <n v="0.186"/>
    <n v="0.186"/>
    <n v="0"/>
    <n v="0"/>
    <n v="31"/>
    <n v="31"/>
    <n v="0"/>
    <n v="0"/>
    <n v="100"/>
    <s v="Consolidation"/>
    <s v="CO2e and Base Measure"/>
    <n v="100"/>
    <n v="100"/>
    <n v="0.19"/>
    <m/>
    <m/>
    <m/>
    <m/>
    <m/>
    <n v="0.24179999999999999"/>
    <m/>
    <n v="0.24179999999999999"/>
    <m/>
    <m/>
    <m/>
    <m/>
    <m/>
    <s v="AUD"/>
    <s v="13634040Waste - General [t] - Scope 3"/>
    <n v="13634040"/>
  </r>
  <r>
    <d v="2019-07-01T00:00:00"/>
    <d v="2021-06-30T00:00:00"/>
    <s v="Telstra"/>
    <s v="NETWORK"/>
    <s v="Network - InfraCo"/>
    <s v="VIC"/>
    <s v="Australia"/>
    <s v="Brunswick"/>
    <s v="BRUNSWICK EXCHANGE"/>
    <n v="423030790600"/>
    <s v="Recycled Waste"/>
    <x v="0"/>
    <x v="0"/>
    <s v="Account"/>
    <s v="CLEANAWAY Cardboard"/>
    <m/>
    <s v="26680_Diversion_Cardboard"/>
    <s v="Cardboard"/>
    <s v="Cleanaway"/>
    <m/>
    <d v="2021-02-09T00:00:00"/>
    <m/>
    <d v="2021-02-01T00:00:00"/>
    <s v="FY21"/>
    <s v="t"/>
    <n v="0.104"/>
    <n v="0"/>
    <n v="0"/>
    <n v="0.104"/>
    <n v="2"/>
    <n v="0"/>
    <n v="0"/>
    <n v="2"/>
    <n v="100"/>
    <n v="0"/>
    <n v="0"/>
    <s v="Consolidation"/>
    <s v="CO2e and Base Measure"/>
    <n v="100"/>
    <n v="100"/>
    <n v="0.1"/>
    <m/>
    <m/>
    <m/>
    <m/>
    <m/>
    <m/>
    <m/>
    <m/>
    <m/>
    <m/>
    <m/>
    <m/>
    <m/>
    <s v="AUD"/>
    <s v="13639886Waste Recycled - Paper and Cardboard [t]"/>
    <n v="13639886"/>
  </r>
  <r>
    <d v="2019-07-01T00:00:00"/>
    <d v="2021-06-30T00:00:00"/>
    <s v="Telstra"/>
    <s v="NETWORK"/>
    <s v="Network - InfraCo"/>
    <s v="VIC"/>
    <s v="Australia"/>
    <s v="Brunswick"/>
    <s v="BRUNSWICK EXCHANGE"/>
    <n v="423030790600"/>
    <s v="Recycled Waste"/>
    <x v="0"/>
    <x v="0"/>
    <s v="Account"/>
    <s v="CLEANAWAY Cardboard"/>
    <m/>
    <s v="26680_Diversion_Cardboard"/>
    <s v="Cardboard"/>
    <s v="Cleanaway"/>
    <m/>
    <d v="2021-02-09T00:00:00"/>
    <m/>
    <d v="2021-03-01T00:00:00"/>
    <s v="FY21"/>
    <s v="t"/>
    <n v="0.123"/>
    <n v="0"/>
    <n v="0"/>
    <n v="0.123"/>
    <n v="2"/>
    <n v="0"/>
    <n v="0"/>
    <n v="2"/>
    <n v="100"/>
    <n v="0"/>
    <n v="0"/>
    <s v="Consolidation"/>
    <s v="CO2e and Base Measure"/>
    <n v="100"/>
    <n v="100"/>
    <n v="0.12"/>
    <m/>
    <m/>
    <m/>
    <m/>
    <m/>
    <m/>
    <m/>
    <m/>
    <m/>
    <m/>
    <m/>
    <m/>
    <m/>
    <s v="AUD"/>
    <s v="13639886Waste Recycled - Paper and Cardboard [t]"/>
    <n v="13639886"/>
  </r>
  <r>
    <d v="2019-07-01T00:00:00"/>
    <d v="2021-06-30T00:00:00"/>
    <s v="Telstra"/>
    <s v="NETWORK"/>
    <s v="Network - InfraCo"/>
    <s v="VIC"/>
    <s v="Australia"/>
    <s v="Brunswick"/>
    <s v="BRUNSWICK EXCHANGE"/>
    <n v="423030790600"/>
    <s v="Recycled Waste"/>
    <x v="0"/>
    <x v="0"/>
    <s v="Account"/>
    <s v="CLEANAWAY Cardboard"/>
    <m/>
    <s v="26680_Diversion_Cardboard"/>
    <s v="Cardboard"/>
    <s v="Cleanaway"/>
    <m/>
    <d v="2021-02-09T00:00:00"/>
    <m/>
    <d v="2021-04-01T00:00:00"/>
    <s v="FY21"/>
    <s v="t"/>
    <n v="0"/>
    <n v="0"/>
    <n v="0.11700000000000001"/>
    <n v="0.11700000000000001"/>
    <n v="0"/>
    <n v="0"/>
    <n v="30"/>
    <n v="30"/>
    <n v="0"/>
    <n v="0"/>
    <n v="100"/>
    <s v="Consolidation"/>
    <s v="CO2e and Base Measure"/>
    <n v="100"/>
    <n v="100"/>
    <n v="0.12"/>
    <m/>
    <m/>
    <m/>
    <m/>
    <m/>
    <m/>
    <m/>
    <m/>
    <m/>
    <m/>
    <m/>
    <m/>
    <m/>
    <s v="AUD"/>
    <s v="13639886Waste Recycled - Paper and Cardboard [t]"/>
    <n v="13639886"/>
  </r>
  <r>
    <d v="2019-07-01T00:00:00"/>
    <d v="2021-06-30T00:00:00"/>
    <s v="Telstra"/>
    <s v="NETWORK"/>
    <s v="Network - InfraCo"/>
    <s v="VIC"/>
    <s v="Australia"/>
    <s v="Brunswick"/>
    <s v="BRUNSWICK EXCHANGE"/>
    <n v="423030790600"/>
    <s v="Recycled Waste"/>
    <x v="0"/>
    <x v="0"/>
    <s v="Account"/>
    <s v="CLEANAWAY Cardboard"/>
    <m/>
    <s v="26680_Diversion_Cardboard"/>
    <s v="Cardboard"/>
    <s v="Cleanaway"/>
    <m/>
    <d v="2021-02-09T00:00:00"/>
    <m/>
    <d v="2021-05-01T00:00:00"/>
    <s v="FY21"/>
    <s v="t"/>
    <n v="0"/>
    <n v="0"/>
    <n v="0.12089999999999999"/>
    <n v="0.12089999999999999"/>
    <n v="0"/>
    <n v="0"/>
    <n v="31"/>
    <n v="31"/>
    <n v="0"/>
    <n v="0"/>
    <n v="100"/>
    <s v="Consolidation"/>
    <s v="CO2e and Base Measure"/>
    <n v="100"/>
    <n v="100"/>
    <n v="0.12"/>
    <m/>
    <m/>
    <m/>
    <m/>
    <m/>
    <m/>
    <m/>
    <m/>
    <m/>
    <m/>
    <m/>
    <m/>
    <m/>
    <s v="AUD"/>
    <s v="13639886Waste Recycled - Paper and Cardboard [t]"/>
    <n v="13639886"/>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1-01-01T00:00:00"/>
    <s v="FY21"/>
    <s v="t"/>
    <n v="0"/>
    <n v="0"/>
    <n v="5.4999999999999997E-3"/>
    <n v="5.4999999999999997E-3"/>
    <n v="0"/>
    <n v="0"/>
    <n v="1"/>
    <n v="1"/>
    <n v="0"/>
    <n v="0"/>
    <n v="100"/>
    <s v="Consolidation"/>
    <s v="CO2e and Base Measure"/>
    <n v="100"/>
    <n v="100"/>
    <n v="0.01"/>
    <m/>
    <m/>
    <m/>
    <m/>
    <m/>
    <n v="7.1999999999999998E-3"/>
    <m/>
    <n v="7.1999999999999998E-3"/>
    <m/>
    <m/>
    <m/>
    <m/>
    <m/>
    <s v="AUD"/>
    <s v="13564582Waste - General [t] - Scope 3"/>
    <n v="13564582"/>
  </r>
  <r>
    <d v="2019-07-01T00:00:00"/>
    <d v="2021-06-30T00:00:00"/>
    <s v="Telstra"/>
    <s v="NETWORK"/>
    <s v="Network - InfraCo"/>
    <s v="QLD"/>
    <s v="Australia"/>
    <s v="Woolloongabba"/>
    <s v="BULIMBA EXCHANGE"/>
    <n v="423030022600"/>
    <s v="Waste"/>
    <x v="1"/>
    <x v="2"/>
    <s v="Account"/>
    <s v="Remondis General Waste"/>
    <m/>
    <s v="423030022600_WGENERALW"/>
    <s v="GENERAL WASTE"/>
    <s v="Remondis"/>
    <m/>
    <m/>
    <d v="2021-01-01T00:00:00"/>
    <d v="2020-07-01T00:00:00"/>
    <s v="FY21"/>
    <s v="t"/>
    <n v="0"/>
    <n v="7.22E-2"/>
    <n v="0"/>
    <n v="7.22E-2"/>
    <n v="0"/>
    <n v="1"/>
    <n v="0"/>
    <n v="1"/>
    <n v="0"/>
    <n v="100"/>
    <n v="0"/>
    <s v="Consolidation"/>
    <s v="CO2e and Base Measure"/>
    <n v="100"/>
    <n v="100"/>
    <n v="7.0000000000000007E-2"/>
    <m/>
    <m/>
    <m/>
    <m/>
    <m/>
    <n v="9.3899999999999997E-2"/>
    <m/>
    <n v="9.3899999999999997E-2"/>
    <m/>
    <m/>
    <m/>
    <m/>
    <m/>
    <s v="AUD"/>
    <s v="13564109Waste - General [t] - Scope 3"/>
    <n v="13564109"/>
  </r>
  <r>
    <d v="2019-07-01T00:00:00"/>
    <d v="2021-06-30T00:00:00"/>
    <s v="Telstra"/>
    <s v="NETWORK"/>
    <s v="Network - InfraCo"/>
    <s v="QLD"/>
    <s v="Australia"/>
    <s v="Woolloongabba"/>
    <s v="BULIMBA EXCHANGE"/>
    <n v="423030022600"/>
    <s v="Waste"/>
    <x v="1"/>
    <x v="2"/>
    <s v="Account"/>
    <s v="Remondis General Waste"/>
    <m/>
    <s v="423030022600_WGENERALW"/>
    <s v="GENERAL WASTE"/>
    <s v="Remondis"/>
    <m/>
    <m/>
    <d v="2021-01-01T00:00:00"/>
    <d v="2020-08-01T00:00:00"/>
    <s v="FY21"/>
    <s v="t"/>
    <n v="0.12"/>
    <n v="7.22E-2"/>
    <n v="0"/>
    <n v="0.19220000000000001"/>
    <n v="1"/>
    <n v="1"/>
    <n v="0"/>
    <n v="2"/>
    <n v="62.43"/>
    <n v="37.56"/>
    <n v="0"/>
    <s v="Consolidation"/>
    <s v="CO2e and Base Measure"/>
    <n v="100"/>
    <n v="100"/>
    <n v="0.19"/>
    <m/>
    <m/>
    <m/>
    <m/>
    <m/>
    <n v="0.24990000000000001"/>
    <m/>
    <n v="0.24990000000000001"/>
    <m/>
    <m/>
    <m/>
    <m/>
    <m/>
    <s v="AUD"/>
    <s v="13564109Waste - General [t] - Scope 3"/>
    <n v="13564109"/>
  </r>
  <r>
    <d v="2019-07-01T00:00:00"/>
    <d v="2021-06-30T00:00:00"/>
    <s v="Telstra"/>
    <s v="NETWORK"/>
    <s v="Network - InfraCo"/>
    <s v="QLD"/>
    <s v="Australia"/>
    <s v="Woolloongabba"/>
    <s v="BULIMBA EXCHANGE"/>
    <n v="423030022600"/>
    <s v="Waste"/>
    <x v="1"/>
    <x v="2"/>
    <s v="Account"/>
    <s v="Remondis General Waste"/>
    <m/>
    <s v="4230300226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109Waste - General [t] - Scope 3"/>
    <n v="13564109"/>
  </r>
  <r>
    <d v="2019-07-01T00:00:00"/>
    <d v="2021-06-30T00:00:00"/>
    <s v="Telstra"/>
    <s v="NETWORK"/>
    <s v="Network - InfraCo"/>
    <s v="QLD"/>
    <s v="Australia"/>
    <s v="Woolloongabba"/>
    <s v="BULIMBA EXCHANGE"/>
    <n v="423030022600"/>
    <s v="Waste"/>
    <x v="1"/>
    <x v="2"/>
    <s v="Account"/>
    <s v="Remondis General Waste"/>
    <m/>
    <s v="4230300226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109Waste - General [t] - Scope 3"/>
    <n v="13564109"/>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0-12-01T00:00:00"/>
    <s v="FY21"/>
    <s v="t"/>
    <n v="0"/>
    <n v="0.14849999999999999"/>
    <n v="0"/>
    <n v="0.14849999999999999"/>
    <n v="0"/>
    <n v="3"/>
    <n v="0"/>
    <n v="3"/>
    <n v="0"/>
    <n v="100"/>
    <n v="0"/>
    <s v="Consolidation"/>
    <s v="CO2e and Base Measure"/>
    <n v="100"/>
    <n v="100"/>
    <n v="0.15"/>
    <m/>
    <m/>
    <m/>
    <m/>
    <m/>
    <n v="0.19309999999999999"/>
    <m/>
    <n v="0.19309999999999999"/>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1-01T00:00:00"/>
    <s v="FY21"/>
    <s v="t"/>
    <n v="0"/>
    <n v="9.9000000000000005E-2"/>
    <n v="0"/>
    <n v="9.9000000000000005E-2"/>
    <n v="0"/>
    <n v="2"/>
    <n v="0"/>
    <n v="2"/>
    <n v="0"/>
    <n v="100"/>
    <n v="0"/>
    <s v="Consolidation"/>
    <s v="CO2e and Base Measure"/>
    <n v="100"/>
    <n v="100"/>
    <n v="0.1"/>
    <m/>
    <m/>
    <m/>
    <m/>
    <m/>
    <n v="0.12870000000000001"/>
    <m/>
    <n v="0.12870000000000001"/>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2-01T00:00:00"/>
    <s v="FY21"/>
    <s v="t"/>
    <n v="0"/>
    <n v="9.9000000000000005E-2"/>
    <n v="0"/>
    <n v="9.9000000000000005E-2"/>
    <n v="0"/>
    <n v="2"/>
    <n v="0"/>
    <n v="2"/>
    <n v="0"/>
    <n v="100"/>
    <n v="0"/>
    <s v="Consolidation"/>
    <s v="CO2e and Base Measure"/>
    <n v="100"/>
    <n v="100"/>
    <n v="0.1"/>
    <m/>
    <m/>
    <m/>
    <m/>
    <m/>
    <n v="0.12870000000000001"/>
    <m/>
    <n v="0.12870000000000001"/>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3-01T00:00:00"/>
    <s v="FY21"/>
    <s v="t"/>
    <n v="0"/>
    <n v="9.9000000000000005E-2"/>
    <n v="0"/>
    <n v="9.9000000000000005E-2"/>
    <n v="0"/>
    <n v="2"/>
    <n v="0"/>
    <n v="2"/>
    <n v="0"/>
    <n v="100"/>
    <n v="0"/>
    <s v="Consolidation"/>
    <s v="CO2e and Base Measure"/>
    <n v="100"/>
    <n v="100"/>
    <n v="0.1"/>
    <m/>
    <m/>
    <m/>
    <m/>
    <m/>
    <n v="0.12870000000000001"/>
    <m/>
    <n v="0.12870000000000001"/>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4-01T00:00:00"/>
    <s v="FY21"/>
    <s v="t"/>
    <n v="0"/>
    <n v="0"/>
    <n v="0.111"/>
    <n v="0.111"/>
    <n v="0"/>
    <n v="0"/>
    <n v="30"/>
    <n v="30"/>
    <n v="0"/>
    <n v="0"/>
    <n v="100"/>
    <s v="Consolidation"/>
    <s v="CO2e and Base Measure"/>
    <n v="100"/>
    <n v="100"/>
    <n v="0.11"/>
    <m/>
    <m/>
    <m/>
    <m/>
    <m/>
    <n v="0.14430000000000001"/>
    <m/>
    <n v="0.14430000000000001"/>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5-01T00:00:00"/>
    <s v="FY21"/>
    <s v="t"/>
    <n v="0"/>
    <n v="0"/>
    <n v="0.1147"/>
    <n v="0.1147"/>
    <n v="0"/>
    <n v="0"/>
    <n v="31"/>
    <n v="31"/>
    <n v="0"/>
    <n v="0"/>
    <n v="100"/>
    <s v="Consolidation"/>
    <s v="CO2e and Base Measure"/>
    <n v="100"/>
    <n v="100"/>
    <n v="0.11"/>
    <m/>
    <m/>
    <m/>
    <m/>
    <m/>
    <n v="0.14910000000000001"/>
    <m/>
    <n v="0.14910000000000001"/>
    <m/>
    <m/>
    <m/>
    <m/>
    <m/>
    <s v="AUD"/>
    <s v="13634041Waste - General [t] - Scope 3"/>
    <n v="13634041"/>
  </r>
  <r>
    <d v="2019-07-01T00:00:00"/>
    <d v="2021-06-30T00:00:00"/>
    <s v="Telstra"/>
    <s v="NETWORK"/>
    <s v="Network - InfraCo"/>
    <s v="VIC"/>
    <s v="Australia"/>
    <s v="Balwyn North"/>
    <s v="BULLEEN EXCHANGE"/>
    <n v="423030568300"/>
    <s v="Waste"/>
    <x v="1"/>
    <x v="2"/>
    <s v="Account"/>
    <s v="Remondis General Waste"/>
    <m/>
    <s v="423030568300_WGENERALW"/>
    <s v="General Waste"/>
    <s v="Remondis"/>
    <m/>
    <d v="2019-10-01T00:00:00"/>
    <d v="2020-12-01T00:00:00"/>
    <d v="2020-08-01T00:00:00"/>
    <s v="FY21"/>
    <s v="t"/>
    <n v="0"/>
    <n v="0.16"/>
    <n v="0"/>
    <n v="0.16"/>
    <n v="0"/>
    <n v="1"/>
    <n v="0"/>
    <n v="1"/>
    <n v="0"/>
    <n v="100"/>
    <n v="0"/>
    <s v="Consolidation"/>
    <s v="CO2e and Base Measure"/>
    <n v="100"/>
    <n v="100"/>
    <n v="0.16"/>
    <m/>
    <m/>
    <m/>
    <m/>
    <m/>
    <n v="0.20799999999999999"/>
    <m/>
    <n v="0.20799999999999999"/>
    <m/>
    <m/>
    <m/>
    <m/>
    <m/>
    <s v="AUD"/>
    <s v="13578171Waste - General [t] - Scope 3"/>
    <n v="13578171"/>
  </r>
  <r>
    <d v="2019-07-01T00:00:00"/>
    <d v="2021-06-30T00:00:00"/>
    <s v="Telstra"/>
    <s v="NETWORK"/>
    <s v="Network - InfraCo"/>
    <s v="VIC"/>
    <s v="Australia"/>
    <s v="Balwyn North"/>
    <s v="BULLEEN EXCHANGE"/>
    <n v="423030568300"/>
    <s v="Waste"/>
    <x v="1"/>
    <x v="2"/>
    <s v="Account"/>
    <s v="Remondis General Waste"/>
    <m/>
    <s v="423030568300_WGENERALW"/>
    <s v="General Waste"/>
    <s v="Remondis"/>
    <m/>
    <d v="2019-10-01T00:00:00"/>
    <d v="2020-12-01T00:00:00"/>
    <d v="2020-10-01T00:00:00"/>
    <s v="FY21"/>
    <s v="t"/>
    <n v="0"/>
    <n v="0.16"/>
    <n v="0"/>
    <n v="0.16"/>
    <n v="0"/>
    <n v="1"/>
    <n v="0"/>
    <n v="1"/>
    <n v="0"/>
    <n v="100"/>
    <n v="0"/>
    <s v="Consolidation"/>
    <s v="CO2e and Base Measure"/>
    <n v="100"/>
    <n v="100"/>
    <n v="0.16"/>
    <m/>
    <m/>
    <m/>
    <m/>
    <m/>
    <n v="0.20799999999999999"/>
    <m/>
    <n v="0.20799999999999999"/>
    <m/>
    <m/>
    <m/>
    <m/>
    <m/>
    <s v="AUD"/>
    <s v="13578171Waste - General [t] - Scope 3"/>
    <n v="13578171"/>
  </r>
  <r>
    <d v="2019-07-01T00:00:00"/>
    <d v="2021-06-30T00:00:00"/>
    <s v="Telstra"/>
    <s v="NETWORK"/>
    <s v="Network - InfraCo"/>
    <s v="VIC"/>
    <s v="Australia"/>
    <s v="Balwyn North"/>
    <s v="BULLEEN EXCHANGE"/>
    <n v="423030568300"/>
    <s v="Waste"/>
    <x v="1"/>
    <x v="2"/>
    <s v="Account"/>
    <s v="Remondis General Waste"/>
    <m/>
    <s v="423030568300_WGENERALW"/>
    <s v="General Waste"/>
    <s v="Remondis"/>
    <m/>
    <d v="2019-10-01T00:00:00"/>
    <d v="2020-12-01T00:00:00"/>
    <d v="2020-11-01T00:00:00"/>
    <s v="FY21"/>
    <s v="t"/>
    <n v="0"/>
    <n v="0.13"/>
    <n v="0"/>
    <n v="0.13"/>
    <n v="0"/>
    <n v="1"/>
    <n v="0"/>
    <n v="1"/>
    <n v="0"/>
    <n v="100"/>
    <n v="0"/>
    <s v="Consolidation"/>
    <s v="CO2e and Base Measure"/>
    <n v="100"/>
    <n v="100"/>
    <n v="0.13"/>
    <m/>
    <m/>
    <m/>
    <m/>
    <m/>
    <n v="0.16900000000000001"/>
    <m/>
    <n v="0.16900000000000001"/>
    <m/>
    <m/>
    <m/>
    <m/>
    <m/>
    <s v="AUD"/>
    <s v="13578171Waste - General [t] - Scope 3"/>
    <n v="13578171"/>
  </r>
  <r>
    <d v="2019-07-01T00:00:00"/>
    <d v="2021-06-30T00:00:00"/>
    <s v="Telstra"/>
    <s v="NETWORK"/>
    <s v="Network - InfraCo"/>
    <s v="VIC"/>
    <s v="Australia"/>
    <s v="Balwyn North"/>
    <s v="BULLEEN EXCHANGE"/>
    <n v="423030568300"/>
    <s v="Waste"/>
    <x v="1"/>
    <x v="2"/>
    <s v="Account"/>
    <s v="Remondis General Waste"/>
    <m/>
    <s v="423030568300_WGENERALW"/>
    <s v="General Waste"/>
    <s v="Remondis"/>
    <m/>
    <d v="2019-10-01T00:00:00"/>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78171Waste - General [t] - Scope 3"/>
    <n v="13578171"/>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07-01T00:00:00"/>
    <s v="FY21"/>
    <s v="t"/>
    <n v="0"/>
    <n v="9.4500000000000001E-2"/>
    <n v="0"/>
    <n v="9.4500000000000001E-2"/>
    <n v="0"/>
    <n v="3"/>
    <n v="0"/>
    <n v="3"/>
    <n v="0"/>
    <n v="100"/>
    <n v="0"/>
    <s v="Consolidation"/>
    <s v="CO2e and Base Measure"/>
    <n v="100"/>
    <n v="100"/>
    <n v="0.09"/>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08-01T00:00:00"/>
    <s v="FY21"/>
    <s v="t"/>
    <n v="0"/>
    <n v="6.3E-2"/>
    <n v="0"/>
    <n v="6.3E-2"/>
    <n v="0"/>
    <n v="2"/>
    <n v="0"/>
    <n v="2"/>
    <n v="0"/>
    <n v="100"/>
    <n v="0"/>
    <s v="Consolidation"/>
    <s v="CO2e and Base Measure"/>
    <n v="100"/>
    <n v="100"/>
    <n v="0.06"/>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09-01T00:00:00"/>
    <s v="FY21"/>
    <s v="t"/>
    <n v="0"/>
    <n v="6.3E-2"/>
    <n v="0"/>
    <n v="6.3E-2"/>
    <n v="0"/>
    <n v="2"/>
    <n v="0"/>
    <n v="2"/>
    <n v="0"/>
    <n v="100"/>
    <n v="0"/>
    <s v="Consolidation"/>
    <s v="CO2e and Base Measure"/>
    <n v="100"/>
    <n v="100"/>
    <n v="0.06"/>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10-01T00:00:00"/>
    <s v="FY21"/>
    <s v="t"/>
    <n v="0"/>
    <n v="3.15E-2"/>
    <n v="0"/>
    <n v="3.15E-2"/>
    <n v="0"/>
    <n v="1"/>
    <n v="0"/>
    <n v="1"/>
    <n v="0"/>
    <n v="100"/>
    <n v="0"/>
    <s v="Consolidation"/>
    <s v="CO2e and Base Measure"/>
    <n v="100"/>
    <n v="100"/>
    <n v="0.03"/>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11-01T00:00:00"/>
    <s v="FY21"/>
    <s v="t"/>
    <n v="0"/>
    <n v="6.3E-2"/>
    <n v="0"/>
    <n v="6.3E-2"/>
    <n v="0"/>
    <n v="2"/>
    <n v="0"/>
    <n v="2"/>
    <n v="0"/>
    <n v="100"/>
    <n v="0"/>
    <s v="Consolidation"/>
    <s v="CO2e and Base Measure"/>
    <n v="100"/>
    <n v="100"/>
    <n v="0.06"/>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12-01T00:00:00"/>
    <s v="FY21"/>
    <s v="t"/>
    <n v="0"/>
    <n v="0"/>
    <n v="2.0999999999999999E-3"/>
    <n v="2.0999999999999999E-3"/>
    <n v="0"/>
    <n v="0"/>
    <n v="1"/>
    <n v="1"/>
    <n v="0"/>
    <n v="0"/>
    <n v="100"/>
    <s v="Consolidation"/>
    <s v="CO2e and Base Measure"/>
    <n v="100"/>
    <n v="100"/>
    <n v="0"/>
    <m/>
    <m/>
    <m/>
    <m/>
    <m/>
    <m/>
    <n v="0"/>
    <m/>
    <m/>
    <m/>
    <m/>
    <m/>
    <m/>
    <s v="AUD"/>
    <s v="13565323Waste Recycled - Cardboard [t]"/>
    <n v="13565323"/>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324Waste - General [t] - Scope 3"/>
    <n v="13565324"/>
  </r>
  <r>
    <d v="2019-07-01T00:00:00"/>
    <d v="2021-06-30T00:00:00"/>
    <s v="Telstra"/>
    <s v="NETWORK"/>
    <s v="Network - InfraCo"/>
    <s v="WA"/>
    <s v="Australia"/>
    <s v="Bunbury"/>
    <s v="BUNBURY EXCHANGE"/>
    <n v="423030813500"/>
    <s v="No Recovery"/>
    <x v="1"/>
    <x v="7"/>
    <s v="Account"/>
    <s v="Remondis Sharps Medical Disposal"/>
    <m/>
    <s v="423030813500_WSHARPSME"/>
    <s v="SHARPS MEDICAL DISPOSAL"/>
    <s v="Remondis"/>
    <m/>
    <m/>
    <d v="2020-12-01T00:00:00"/>
    <d v="2020-09-01T00:00:00"/>
    <s v="FY21"/>
    <s v="t"/>
    <n v="0"/>
    <n v="2.4E-2"/>
    <n v="0"/>
    <n v="2.4E-2"/>
    <n v="0"/>
    <n v="1"/>
    <n v="0"/>
    <n v="1"/>
    <n v="0"/>
    <n v="100"/>
    <n v="0"/>
    <s v="Consolidation"/>
    <s v="CO2e and Base Measure"/>
    <n v="100"/>
    <n v="100"/>
    <n v="0.02"/>
    <m/>
    <m/>
    <m/>
    <m/>
    <m/>
    <n v="2.8799999999999999E-2"/>
    <m/>
    <n v="2.8799999999999999E-2"/>
    <m/>
    <m/>
    <m/>
    <m/>
    <m/>
    <s v="AUD"/>
    <s v="13582131Hazardous Waste [t]"/>
    <n v="13582131"/>
  </r>
  <r>
    <d v="2019-07-01T00:00:00"/>
    <d v="2021-06-30T00:00:00"/>
    <s v="Telstra"/>
    <s v="NETWORK"/>
    <s v="Network - InfraCo"/>
    <s v="WA"/>
    <s v="Australia"/>
    <s v="Bunbury"/>
    <s v="BUNBURY EXCHANGE"/>
    <n v="423030813500"/>
    <s v="No Recovery"/>
    <x v="1"/>
    <x v="7"/>
    <s v="Account"/>
    <s v="Remondis Sharps Medical Disposal"/>
    <m/>
    <s v="423030813500_WSHARPSME"/>
    <s v="SHARPS MEDICAL DISPOSAL"/>
    <s v="Remondis"/>
    <m/>
    <m/>
    <d v="2020-12-01T00:00:00"/>
    <d v="2020-11-01T00:00:00"/>
    <s v="FY21"/>
    <s v="t"/>
    <n v="0"/>
    <n v="2.4E-2"/>
    <n v="0"/>
    <n v="2.4E-2"/>
    <n v="0"/>
    <n v="1"/>
    <n v="0"/>
    <n v="1"/>
    <n v="0"/>
    <n v="100"/>
    <n v="0"/>
    <s v="Consolidation"/>
    <s v="CO2e and Base Measure"/>
    <n v="100"/>
    <n v="100"/>
    <n v="0.02"/>
    <m/>
    <m/>
    <m/>
    <m/>
    <m/>
    <n v="2.8799999999999999E-2"/>
    <m/>
    <n v="2.8799999999999999E-2"/>
    <m/>
    <m/>
    <m/>
    <m/>
    <m/>
    <s v="AUD"/>
    <s v="13582131Hazardous Waste [t]"/>
    <n v="13582131"/>
  </r>
  <r>
    <d v="2019-07-01T00:00:00"/>
    <d v="2021-06-30T00:00:00"/>
    <s v="Telstra"/>
    <s v="NETWORK"/>
    <s v="Network - InfraCo"/>
    <s v="WA"/>
    <s v="Australia"/>
    <s v="Bunbury"/>
    <s v="BUNBURY EXCHANGE"/>
    <n v="423030813500"/>
    <s v="No Recovery"/>
    <x v="1"/>
    <x v="7"/>
    <s v="Account"/>
    <s v="Remondis Sharps Medical Disposal"/>
    <m/>
    <s v="423030813500_WSHARPSME"/>
    <s v="SHARPS MEDICAL DISPOSAL"/>
    <s v="Remondis"/>
    <m/>
    <m/>
    <d v="2020-12-01T00:00:00"/>
    <d v="2020-12-01T00:00:00"/>
    <s v="FY21"/>
    <s v="t"/>
    <n v="0"/>
    <n v="0"/>
    <n v="4.0000000000000002E-4"/>
    <n v="4.0000000000000002E-4"/>
    <n v="0"/>
    <n v="0"/>
    <n v="1"/>
    <n v="1"/>
    <n v="0"/>
    <n v="0"/>
    <n v="100"/>
    <s v="Consolidation"/>
    <s v="CO2e and Base Measure"/>
    <n v="100"/>
    <n v="100"/>
    <n v="0"/>
    <m/>
    <m/>
    <m/>
    <m/>
    <m/>
    <n v="5.0000000000000001E-4"/>
    <m/>
    <n v="5.0000000000000001E-4"/>
    <m/>
    <m/>
    <m/>
    <m/>
    <m/>
    <s v="AUD"/>
    <s v="13582131Hazardous Waste [t]"/>
    <n v="13582131"/>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0-12-01T00:00:00"/>
    <s v="FY21"/>
    <s v="t"/>
    <n v="3.1E-2"/>
    <n v="0"/>
    <n v="0"/>
    <n v="3.1E-2"/>
    <n v="2"/>
    <n v="0"/>
    <n v="0"/>
    <n v="2"/>
    <n v="100"/>
    <n v="0"/>
    <n v="0"/>
    <s v="Consolidation"/>
    <s v="CO2e and Base Measure"/>
    <n v="100"/>
    <n v="100"/>
    <n v="0.03"/>
    <m/>
    <m/>
    <m/>
    <m/>
    <m/>
    <n v="4.0300000000000002E-2"/>
    <m/>
    <n v="4.0300000000000002E-2"/>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1-01T00:00:00"/>
    <s v="FY21"/>
    <s v="t"/>
    <n v="0"/>
    <n v="0.27"/>
    <n v="0"/>
    <n v="0.27"/>
    <n v="0"/>
    <n v="2"/>
    <n v="0"/>
    <n v="2"/>
    <n v="0"/>
    <n v="100"/>
    <n v="0"/>
    <s v="Consolidation"/>
    <s v="CO2e and Base Measure"/>
    <n v="100"/>
    <n v="100"/>
    <n v="0.27"/>
    <m/>
    <m/>
    <m/>
    <m/>
    <m/>
    <n v="0.35099999999999998"/>
    <m/>
    <n v="0.35099999999999998"/>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2-01T00:00:00"/>
    <s v="FY21"/>
    <s v="t"/>
    <n v="4.1000000000000002E-2"/>
    <n v="0.13500000000000001"/>
    <n v="0"/>
    <n v="0.17599999999999999"/>
    <n v="1"/>
    <n v="1"/>
    <n v="0"/>
    <n v="2"/>
    <n v="23.29"/>
    <n v="76.7"/>
    <n v="0"/>
    <s v="Consolidation"/>
    <s v="CO2e and Base Measure"/>
    <n v="100"/>
    <n v="100"/>
    <n v="0.18"/>
    <m/>
    <m/>
    <m/>
    <m/>
    <m/>
    <n v="0.2288"/>
    <m/>
    <n v="0.2288"/>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3-01T00:00:00"/>
    <s v="FY21"/>
    <s v="t"/>
    <n v="2.1999999999999999E-2"/>
    <n v="0.13500000000000001"/>
    <n v="0"/>
    <n v="0.157"/>
    <n v="1"/>
    <n v="1"/>
    <n v="0"/>
    <n v="2"/>
    <n v="14.01"/>
    <n v="85.98"/>
    <n v="0"/>
    <s v="Consolidation"/>
    <s v="CO2e and Base Measure"/>
    <n v="100"/>
    <n v="100"/>
    <n v="0.16"/>
    <m/>
    <m/>
    <m/>
    <m/>
    <m/>
    <n v="0.2041"/>
    <m/>
    <n v="0.2041"/>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4-01T00:00:00"/>
    <s v="FY21"/>
    <s v="t"/>
    <n v="0"/>
    <n v="0"/>
    <n v="0.159"/>
    <n v="0.159"/>
    <n v="0"/>
    <n v="0"/>
    <n v="30"/>
    <n v="30"/>
    <n v="0"/>
    <n v="0"/>
    <n v="100"/>
    <s v="Consolidation"/>
    <s v="CO2e and Base Measure"/>
    <n v="100"/>
    <n v="100"/>
    <n v="0.16"/>
    <m/>
    <m/>
    <m/>
    <m/>
    <m/>
    <n v="0.20669999999999999"/>
    <m/>
    <n v="0.20669999999999999"/>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5-01T00:00:00"/>
    <s v="FY21"/>
    <s v="t"/>
    <n v="0"/>
    <n v="0"/>
    <n v="0.1643"/>
    <n v="0.1643"/>
    <n v="0"/>
    <n v="0"/>
    <n v="31"/>
    <n v="31"/>
    <n v="0"/>
    <n v="0"/>
    <n v="100"/>
    <s v="Consolidation"/>
    <s v="CO2e and Base Measure"/>
    <n v="100"/>
    <n v="100"/>
    <n v="0.16"/>
    <m/>
    <m/>
    <m/>
    <m/>
    <m/>
    <n v="0.21360000000000001"/>
    <m/>
    <n v="0.21360000000000001"/>
    <m/>
    <m/>
    <m/>
    <m/>
    <m/>
    <s v="AUD"/>
    <s v="13634042Waste - General [t] - Scope 3"/>
    <n v="13634042"/>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0-12-01T00:00:00"/>
    <s v="FY21"/>
    <s v="t"/>
    <n v="4.5999999999999999E-2"/>
    <n v="3.7499999999999999E-2"/>
    <n v="0"/>
    <n v="8.3500000000000005E-2"/>
    <n v="1"/>
    <n v="1"/>
    <n v="0"/>
    <n v="2"/>
    <n v="55.08"/>
    <n v="44.91"/>
    <n v="0"/>
    <s v="Consolidation"/>
    <s v="CO2e and Base Measure"/>
    <n v="100"/>
    <n v="100"/>
    <n v="0.08"/>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1-01T00:00:00"/>
    <s v="FY21"/>
    <s v="t"/>
    <n v="3.2000000000000001E-2"/>
    <n v="0"/>
    <n v="0"/>
    <n v="3.2000000000000001E-2"/>
    <n v="1"/>
    <n v="0"/>
    <n v="0"/>
    <n v="1"/>
    <n v="100"/>
    <n v="0"/>
    <n v="0"/>
    <s v="Consolidation"/>
    <s v="CO2e and Base Measure"/>
    <n v="100"/>
    <n v="100"/>
    <n v="0.03"/>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2-01T00:00:00"/>
    <s v="FY21"/>
    <s v="t"/>
    <n v="0"/>
    <n v="7.4999999999999997E-2"/>
    <n v="0"/>
    <n v="7.4999999999999997E-2"/>
    <n v="0"/>
    <n v="2"/>
    <n v="0"/>
    <n v="2"/>
    <n v="0"/>
    <n v="100"/>
    <n v="0"/>
    <s v="Consolidation"/>
    <s v="CO2e and Base Measure"/>
    <n v="100"/>
    <n v="100"/>
    <n v="0.08"/>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3-01T00:00:00"/>
    <s v="FY21"/>
    <s v="t"/>
    <n v="0"/>
    <n v="7.4999999999999997E-2"/>
    <n v="0"/>
    <n v="7.4999999999999997E-2"/>
    <n v="0"/>
    <n v="2"/>
    <n v="0"/>
    <n v="2"/>
    <n v="0"/>
    <n v="100"/>
    <n v="0"/>
    <s v="Consolidation"/>
    <s v="CO2e and Base Measure"/>
    <n v="100"/>
    <n v="100"/>
    <n v="0.08"/>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4-01T00:00:00"/>
    <s v="FY21"/>
    <s v="t"/>
    <n v="0"/>
    <n v="0"/>
    <n v="6.6000000000000003E-2"/>
    <n v="6.6000000000000003E-2"/>
    <n v="0"/>
    <n v="0"/>
    <n v="30"/>
    <n v="30"/>
    <n v="0"/>
    <n v="0"/>
    <n v="100"/>
    <s v="Consolidation"/>
    <s v="CO2e and Base Measure"/>
    <n v="100"/>
    <n v="100"/>
    <n v="7.0000000000000007E-2"/>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5-01T00:00:00"/>
    <s v="FY21"/>
    <s v="t"/>
    <n v="0"/>
    <n v="0"/>
    <n v="6.8199999999999997E-2"/>
    <n v="6.8199999999999997E-2"/>
    <n v="0"/>
    <n v="0"/>
    <n v="31"/>
    <n v="31"/>
    <n v="0"/>
    <n v="0"/>
    <n v="100"/>
    <s v="Consolidation"/>
    <s v="CO2e and Base Measure"/>
    <n v="100"/>
    <n v="100"/>
    <n v="7.0000000000000007E-2"/>
    <m/>
    <m/>
    <m/>
    <m/>
    <m/>
    <m/>
    <m/>
    <m/>
    <m/>
    <m/>
    <m/>
    <m/>
    <m/>
    <s v="AUD"/>
    <s v="13634043Waste Recycled - Paper and Cardboard [t]"/>
    <n v="13634043"/>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07-01T00:00:00"/>
    <s v="FY21"/>
    <s v="t"/>
    <n v="0"/>
    <n v="7.8E-2"/>
    <n v="0"/>
    <n v="7.8E-2"/>
    <n v="0"/>
    <n v="5"/>
    <n v="0"/>
    <n v="5"/>
    <n v="0"/>
    <n v="100"/>
    <n v="0"/>
    <s v="Consolidation"/>
    <s v="CO2e and Base Measure"/>
    <n v="100"/>
    <n v="100"/>
    <n v="0.08"/>
    <m/>
    <m/>
    <m/>
    <m/>
    <m/>
    <n v="0.1014"/>
    <m/>
    <n v="0.1014"/>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09-01T00:00:00"/>
    <s v="FY21"/>
    <s v="t"/>
    <n v="0"/>
    <n v="7.8E-2"/>
    <n v="0"/>
    <n v="7.8E-2"/>
    <n v="0"/>
    <n v="5"/>
    <n v="0"/>
    <n v="5"/>
    <n v="0"/>
    <n v="100"/>
    <n v="0"/>
    <s v="Consolidation"/>
    <s v="CO2e and Base Measure"/>
    <n v="100"/>
    <n v="100"/>
    <n v="0.08"/>
    <m/>
    <m/>
    <m/>
    <m/>
    <m/>
    <n v="0.1014"/>
    <m/>
    <n v="0.1014"/>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10-01T00:00:00"/>
    <s v="FY21"/>
    <s v="t"/>
    <n v="0"/>
    <n v="6.2399999999999997E-2"/>
    <n v="0"/>
    <n v="6.2399999999999997E-2"/>
    <n v="0"/>
    <n v="4"/>
    <n v="0"/>
    <n v="4"/>
    <n v="0"/>
    <n v="100"/>
    <n v="0"/>
    <s v="Consolidation"/>
    <s v="CO2e and Base Measure"/>
    <n v="100"/>
    <n v="100"/>
    <n v="0.06"/>
    <m/>
    <m/>
    <m/>
    <m/>
    <m/>
    <n v="8.1100000000000005E-2"/>
    <m/>
    <n v="8.1100000000000005E-2"/>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1-01-01T00:00:00"/>
    <s v="FY21"/>
    <s v="t"/>
    <n v="0"/>
    <n v="0"/>
    <n v="2E-3"/>
    <n v="2E-3"/>
    <n v="0"/>
    <n v="0"/>
    <n v="1"/>
    <n v="1"/>
    <n v="0"/>
    <n v="0"/>
    <n v="100"/>
    <s v="Consolidation"/>
    <s v="CO2e and Base Measure"/>
    <n v="100"/>
    <n v="100"/>
    <n v="0"/>
    <m/>
    <m/>
    <m/>
    <m/>
    <m/>
    <n v="2.5999999999999999E-3"/>
    <m/>
    <n v="2.5999999999999999E-3"/>
    <m/>
    <m/>
    <m/>
    <m/>
    <m/>
    <s v="AUD"/>
    <s v="13564117Waste - General [t] - Scope 3"/>
    <n v="13564117"/>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0-09-01T00:00:00"/>
    <s v="FY21"/>
    <s v="t"/>
    <n v="0"/>
    <n v="1.5"/>
    <n v="0"/>
    <n v="1.5"/>
    <n v="0"/>
    <n v="1"/>
    <n v="0"/>
    <n v="1"/>
    <n v="0"/>
    <n v="100"/>
    <n v="0"/>
    <s v="Consolidation"/>
    <s v="CO2e and Base Measure"/>
    <n v="100"/>
    <n v="100"/>
    <n v="1.5"/>
    <m/>
    <m/>
    <m/>
    <m/>
    <m/>
    <m/>
    <m/>
    <m/>
    <m/>
    <m/>
    <m/>
    <m/>
    <m/>
    <s v="AUD"/>
    <s v="13629332Waste Recycled - Construction and Demolition [t]"/>
    <n v="13629332"/>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0-10-01T00:00:00"/>
    <s v="FY21"/>
    <s v="t"/>
    <n v="0"/>
    <n v="3"/>
    <n v="0"/>
    <n v="3"/>
    <n v="0"/>
    <n v="2"/>
    <n v="0"/>
    <n v="2"/>
    <n v="0"/>
    <n v="100"/>
    <n v="0"/>
    <s v="Consolidation"/>
    <s v="CO2e and Base Measure"/>
    <n v="100"/>
    <n v="100"/>
    <n v="3"/>
    <m/>
    <m/>
    <m/>
    <m/>
    <m/>
    <m/>
    <m/>
    <m/>
    <m/>
    <m/>
    <m/>
    <m/>
    <m/>
    <s v="AUD"/>
    <s v="13629332Waste Recycled - Construction and Demolition [t]"/>
    <n v="13629332"/>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0-11-01T00:00:00"/>
    <s v="FY21"/>
    <s v="t"/>
    <n v="0"/>
    <n v="1.5"/>
    <n v="0"/>
    <n v="1.5"/>
    <n v="0"/>
    <n v="1"/>
    <n v="0"/>
    <n v="1"/>
    <n v="0"/>
    <n v="100"/>
    <n v="0"/>
    <s v="Consolidation"/>
    <s v="CO2e and Base Measure"/>
    <n v="100"/>
    <n v="100"/>
    <n v="1.5"/>
    <m/>
    <m/>
    <m/>
    <m/>
    <m/>
    <m/>
    <m/>
    <m/>
    <m/>
    <m/>
    <m/>
    <m/>
    <m/>
    <s v="AUD"/>
    <s v="13629332Waste Recycled - Construction and Demolition [t]"/>
    <n v="13629332"/>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0-12-01T00:00:00"/>
    <s v="FY21"/>
    <s v="t"/>
    <n v="0"/>
    <n v="1.5"/>
    <n v="0"/>
    <n v="1.5"/>
    <n v="0"/>
    <n v="1"/>
    <n v="0"/>
    <n v="1"/>
    <n v="0"/>
    <n v="100"/>
    <n v="0"/>
    <s v="Consolidation"/>
    <s v="CO2e and Base Measure"/>
    <n v="100"/>
    <n v="100"/>
    <n v="1.5"/>
    <m/>
    <m/>
    <m/>
    <m/>
    <m/>
    <m/>
    <m/>
    <m/>
    <m/>
    <m/>
    <m/>
    <m/>
    <m/>
    <s v="AUD"/>
    <s v="13629332Waste Recycled - Construction and Demolition [t]"/>
    <n v="13629332"/>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1-01-01T00:00:00"/>
    <s v="FY21"/>
    <s v="t"/>
    <n v="0"/>
    <n v="0"/>
    <n v="6.2E-2"/>
    <n v="6.2E-2"/>
    <n v="0"/>
    <n v="0"/>
    <n v="1"/>
    <n v="1"/>
    <n v="0"/>
    <n v="0"/>
    <n v="100"/>
    <s v="Consolidation"/>
    <s v="CO2e and Base Measure"/>
    <n v="100"/>
    <n v="100"/>
    <n v="0.06"/>
    <m/>
    <m/>
    <m/>
    <m/>
    <m/>
    <m/>
    <m/>
    <m/>
    <m/>
    <m/>
    <m/>
    <m/>
    <m/>
    <s v="AUD"/>
    <s v="13629332Waste Recycled - Construction and Demolition [t]"/>
    <n v="13629332"/>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07-01T00:00:00"/>
    <s v="FY21"/>
    <s v="t"/>
    <n v="0"/>
    <n v="0.11550000000000001"/>
    <n v="0"/>
    <n v="0.11550000000000001"/>
    <n v="0"/>
    <n v="5"/>
    <n v="0"/>
    <n v="5"/>
    <n v="0"/>
    <n v="100"/>
    <n v="0"/>
    <s v="Consolidation"/>
    <s v="CO2e and Base Measure"/>
    <n v="100"/>
    <n v="100"/>
    <n v="0.12"/>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08-01T00:00:00"/>
    <s v="FY21"/>
    <s v="t"/>
    <n v="0"/>
    <n v="9.2399999999999996E-2"/>
    <n v="0"/>
    <n v="9.2399999999999996E-2"/>
    <n v="0"/>
    <n v="4"/>
    <n v="0"/>
    <n v="4"/>
    <n v="0"/>
    <n v="100"/>
    <n v="0"/>
    <s v="Consolidation"/>
    <s v="CO2e and Base Measure"/>
    <n v="100"/>
    <n v="100"/>
    <n v="0.09"/>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09-01T00:00:00"/>
    <s v="FY21"/>
    <s v="t"/>
    <n v="0"/>
    <n v="9.2399999999999996E-2"/>
    <n v="0"/>
    <n v="9.2399999999999996E-2"/>
    <n v="0"/>
    <n v="4"/>
    <n v="0"/>
    <n v="4"/>
    <n v="0"/>
    <n v="100"/>
    <n v="0"/>
    <s v="Consolidation"/>
    <s v="CO2e and Base Measure"/>
    <n v="100"/>
    <n v="100"/>
    <n v="0.09"/>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10-01T00:00:00"/>
    <s v="FY21"/>
    <s v="t"/>
    <n v="0"/>
    <n v="0.11550000000000001"/>
    <n v="0"/>
    <n v="0.11550000000000001"/>
    <n v="0"/>
    <n v="5"/>
    <n v="0"/>
    <n v="5"/>
    <n v="0"/>
    <n v="100"/>
    <n v="0"/>
    <s v="Consolidation"/>
    <s v="CO2e and Base Measure"/>
    <n v="100"/>
    <n v="100"/>
    <n v="0.12"/>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11-01T00:00:00"/>
    <s v="FY21"/>
    <s v="t"/>
    <n v="0"/>
    <n v="9.2399999999999996E-2"/>
    <n v="0"/>
    <n v="9.2399999999999996E-2"/>
    <n v="0"/>
    <n v="4"/>
    <n v="0"/>
    <n v="4"/>
    <n v="0"/>
    <n v="100"/>
    <n v="0"/>
    <s v="Consolidation"/>
    <s v="CO2e and Base Measure"/>
    <n v="100"/>
    <n v="100"/>
    <n v="0.09"/>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12-01T00:00:00"/>
    <s v="FY21"/>
    <s v="t"/>
    <n v="0"/>
    <n v="0"/>
    <n v="3.3E-3"/>
    <n v="3.3E-3"/>
    <n v="0"/>
    <n v="0"/>
    <n v="1"/>
    <n v="1"/>
    <n v="0"/>
    <n v="0"/>
    <n v="100"/>
    <s v="Consolidation"/>
    <s v="CO2e and Base Measure"/>
    <n v="100"/>
    <n v="100"/>
    <n v="0"/>
    <m/>
    <m/>
    <m/>
    <m/>
    <m/>
    <m/>
    <n v="0"/>
    <m/>
    <m/>
    <m/>
    <m/>
    <m/>
    <m/>
    <s v="AUD"/>
    <s v="13565435Waste Recycled - Cardboard [t]"/>
    <n v="13565435"/>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07-01T00:00:00"/>
    <s v="FY21"/>
    <s v="t"/>
    <n v="0"/>
    <n v="0.2145"/>
    <n v="0"/>
    <n v="0.2145"/>
    <n v="0"/>
    <n v="5"/>
    <n v="0"/>
    <n v="5"/>
    <n v="0"/>
    <n v="100"/>
    <n v="0"/>
    <s v="Consolidation"/>
    <s v="CO2e and Base Measure"/>
    <n v="100"/>
    <n v="100"/>
    <n v="0.21"/>
    <m/>
    <m/>
    <m/>
    <m/>
    <m/>
    <n v="0.27889999999999998"/>
    <m/>
    <n v="0.27889999999999998"/>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08-01T00:00:00"/>
    <s v="FY21"/>
    <s v="t"/>
    <n v="0"/>
    <n v="0.1716"/>
    <n v="0"/>
    <n v="0.1716"/>
    <n v="0"/>
    <n v="4"/>
    <n v="0"/>
    <n v="4"/>
    <n v="0"/>
    <n v="100"/>
    <n v="0"/>
    <s v="Consolidation"/>
    <s v="CO2e and Base Measure"/>
    <n v="100"/>
    <n v="100"/>
    <n v="0.17"/>
    <m/>
    <m/>
    <m/>
    <m/>
    <m/>
    <n v="0.22309999999999999"/>
    <m/>
    <n v="0.22309999999999999"/>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09-01T00:00:00"/>
    <s v="FY21"/>
    <s v="t"/>
    <n v="0"/>
    <n v="0.2145"/>
    <n v="0"/>
    <n v="0.2145"/>
    <n v="0"/>
    <n v="5"/>
    <n v="0"/>
    <n v="5"/>
    <n v="0"/>
    <n v="100"/>
    <n v="0"/>
    <s v="Consolidation"/>
    <s v="CO2e and Base Measure"/>
    <n v="100"/>
    <n v="100"/>
    <n v="0.21"/>
    <m/>
    <m/>
    <m/>
    <m/>
    <m/>
    <n v="0.27889999999999998"/>
    <m/>
    <n v="0.27889999999999998"/>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10-01T00:00:00"/>
    <s v="FY21"/>
    <s v="t"/>
    <n v="0"/>
    <n v="0.1716"/>
    <n v="0"/>
    <n v="0.1716"/>
    <n v="0"/>
    <n v="4"/>
    <n v="0"/>
    <n v="4"/>
    <n v="0"/>
    <n v="100"/>
    <n v="0"/>
    <s v="Consolidation"/>
    <s v="CO2e and Base Measure"/>
    <n v="100"/>
    <n v="100"/>
    <n v="0.17"/>
    <m/>
    <m/>
    <m/>
    <m/>
    <m/>
    <n v="0.22309999999999999"/>
    <m/>
    <n v="0.22309999999999999"/>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11-01T00:00:00"/>
    <s v="FY21"/>
    <s v="t"/>
    <n v="0"/>
    <n v="0.2145"/>
    <n v="0"/>
    <n v="0.2145"/>
    <n v="0"/>
    <n v="5"/>
    <n v="0"/>
    <n v="5"/>
    <n v="0"/>
    <n v="100"/>
    <n v="0"/>
    <s v="Consolidation"/>
    <s v="CO2e and Base Measure"/>
    <n v="100"/>
    <n v="100"/>
    <n v="0.21"/>
    <m/>
    <m/>
    <m/>
    <m/>
    <m/>
    <n v="0.27889999999999998"/>
    <m/>
    <n v="0.27889999999999998"/>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436Waste - General [t] - Scope 3"/>
    <n v="13565436"/>
  </r>
  <r>
    <d v="2019-07-01T00:00:00"/>
    <d v="2021-06-30T00:00:00"/>
    <s v="Telstra"/>
    <s v="NETWORK"/>
    <s v="Network - InfraCo"/>
    <s v="TAS"/>
    <s v="Australia"/>
    <s v="Burnie"/>
    <s v="BURNIE EXCHANGE"/>
    <n v="423030906200"/>
    <s v="Recycled Waste"/>
    <x v="0"/>
    <x v="5"/>
    <s v="Account"/>
    <s v="Remondis Metal - Mixed All"/>
    <m/>
    <s v="423030906200_RMETMIXED"/>
    <s v="METAL - MIXED ALL"/>
    <s v="Remondis"/>
    <m/>
    <m/>
    <d v="2020-09-01T00:00:00"/>
    <d v="2020-07-01T00:00:00"/>
    <s v="FY21"/>
    <s v="t"/>
    <n v="0.21199999999999999"/>
    <n v="0"/>
    <n v="0"/>
    <n v="0.21199999999999999"/>
    <n v="1"/>
    <n v="0"/>
    <n v="0"/>
    <n v="1"/>
    <n v="100"/>
    <n v="0"/>
    <n v="0"/>
    <s v="Consolidation"/>
    <s v="CO2e and Base Measure"/>
    <n v="100"/>
    <n v="100"/>
    <n v="0.21"/>
    <m/>
    <m/>
    <m/>
    <m/>
    <m/>
    <m/>
    <m/>
    <m/>
    <m/>
    <m/>
    <m/>
    <m/>
    <m/>
    <s v="AUD"/>
    <s v="13565438Waste Recycled - Construction and Demolition [t]"/>
    <n v="13565438"/>
  </r>
  <r>
    <d v="2019-07-01T00:00:00"/>
    <d v="2021-06-30T00:00:00"/>
    <s v="Telstra"/>
    <s v="NETWORK"/>
    <s v="Network - InfraCo"/>
    <s v="TAS"/>
    <s v="Australia"/>
    <s v="Burnie"/>
    <s v="BURNIE EXCHANGE"/>
    <n v="423030906200"/>
    <s v="Recycled Waste"/>
    <x v="0"/>
    <x v="5"/>
    <s v="Account"/>
    <s v="Remondis Metal - Mixed All"/>
    <m/>
    <s v="423030906200_RMETMIXED"/>
    <s v="METAL - MIXED ALL"/>
    <s v="Remondis"/>
    <m/>
    <m/>
    <d v="2020-09-01T00:00:00"/>
    <d v="2020-08-01T00:00:00"/>
    <s v="FY21"/>
    <s v="t"/>
    <n v="0.26600000000000001"/>
    <n v="0"/>
    <n v="0"/>
    <n v="0.26600000000000001"/>
    <n v="1"/>
    <n v="0"/>
    <n v="0"/>
    <n v="1"/>
    <n v="100"/>
    <n v="0"/>
    <n v="0"/>
    <s v="Consolidation"/>
    <s v="CO2e and Base Measure"/>
    <n v="100"/>
    <n v="100"/>
    <n v="0.27"/>
    <m/>
    <m/>
    <m/>
    <m/>
    <m/>
    <m/>
    <m/>
    <m/>
    <m/>
    <m/>
    <m/>
    <m/>
    <m/>
    <s v="AUD"/>
    <s v="13565438Waste Recycled - Construction and Demolition [t]"/>
    <n v="13565438"/>
  </r>
  <r>
    <d v="2019-07-01T00:00:00"/>
    <d v="2021-06-30T00:00:00"/>
    <s v="Telstra"/>
    <s v="NETWORK"/>
    <s v="Network - InfraCo"/>
    <s v="TAS"/>
    <s v="Australia"/>
    <s v="Burnie"/>
    <s v="BURNIE EXCHANGE"/>
    <n v="423030906200"/>
    <s v="Recycled Waste"/>
    <x v="0"/>
    <x v="5"/>
    <s v="Account"/>
    <s v="Remondis Metal - Mixed All"/>
    <m/>
    <s v="423030906200_RMETMIXED"/>
    <s v="METAL - MIXED ALL"/>
    <s v="Remondis"/>
    <m/>
    <m/>
    <d v="2020-09-01T00:00:00"/>
    <d v="2020-09-01T00:00:00"/>
    <s v="FY21"/>
    <s v="t"/>
    <n v="0"/>
    <n v="0"/>
    <n v="7.7999999999999996E-3"/>
    <n v="7.7999999999999996E-3"/>
    <n v="0"/>
    <n v="0"/>
    <n v="1"/>
    <n v="1"/>
    <n v="0"/>
    <n v="0"/>
    <n v="100"/>
    <s v="Consolidation"/>
    <s v="CO2e and Base Measure"/>
    <n v="100"/>
    <n v="100"/>
    <n v="0.01"/>
    <m/>
    <m/>
    <m/>
    <m/>
    <m/>
    <m/>
    <m/>
    <m/>
    <m/>
    <m/>
    <m/>
    <m/>
    <m/>
    <s v="AUD"/>
    <s v="13565438Waste Recycled - Construction and Demolition [t]"/>
    <n v="13565438"/>
  </r>
  <r>
    <d v="2019-07-01T00:00:00"/>
    <d v="2021-06-30T00:00:00"/>
    <s v="Telstra"/>
    <s v="NETWORK"/>
    <s v="Network - InfraCo"/>
    <s v="TAS"/>
    <s v="Australia"/>
    <s v="Burnie"/>
    <s v="BURNIE EXCHANGE"/>
    <n v="423030906200"/>
    <s v="Waste"/>
    <x v="1"/>
    <x v="4"/>
    <s v="Account"/>
    <s v="Remondis Asbestos"/>
    <m/>
    <s v="423030906200_WASBESTOS"/>
    <s v="ASBESTOS"/>
    <s v="Remondis"/>
    <m/>
    <m/>
    <d v="2020-12-01T00:00:00"/>
    <d v="2020-11-01T00:00:00"/>
    <s v="FY21"/>
    <s v="t"/>
    <n v="0"/>
    <n v="2.34"/>
    <n v="0"/>
    <n v="2.34"/>
    <n v="0"/>
    <n v="1"/>
    <n v="0"/>
    <n v="1"/>
    <n v="0"/>
    <n v="100"/>
    <n v="0"/>
    <s v="Consolidation"/>
    <s v="CO2e and Base Measure"/>
    <n v="100"/>
    <n v="100"/>
    <n v="2.34"/>
    <m/>
    <m/>
    <m/>
    <m/>
    <m/>
    <n v="2.8079999999999998"/>
    <m/>
    <n v="2.8079999999999998"/>
    <m/>
    <m/>
    <m/>
    <m/>
    <m/>
    <s v="AUD"/>
    <s v="13576254Waste - Construction and Demolition [t]"/>
    <n v="13576254"/>
  </r>
  <r>
    <d v="2019-07-01T00:00:00"/>
    <d v="2021-06-30T00:00:00"/>
    <s v="Telstra"/>
    <s v="NETWORK"/>
    <s v="Network - InfraCo"/>
    <s v="TAS"/>
    <s v="Australia"/>
    <s v="Burnie"/>
    <s v="BURNIE EXCHANGE"/>
    <n v="423030906200"/>
    <s v="Waste"/>
    <x v="1"/>
    <x v="4"/>
    <s v="Account"/>
    <s v="Remondis Asbestos"/>
    <m/>
    <s v="423030906200_WASBESTOS"/>
    <s v="ASBESTOS"/>
    <s v="Remondis"/>
    <m/>
    <m/>
    <d v="2020-12-01T00:00:00"/>
    <d v="2020-12-01T00:00:00"/>
    <s v="FY21"/>
    <s v="t"/>
    <n v="0"/>
    <n v="0"/>
    <n v="8.0699999999999994E-2"/>
    <n v="8.0699999999999994E-2"/>
    <n v="0"/>
    <n v="0"/>
    <n v="1"/>
    <n v="1"/>
    <n v="0"/>
    <n v="0"/>
    <n v="100"/>
    <s v="Consolidation"/>
    <s v="CO2e and Base Measure"/>
    <n v="100"/>
    <n v="100"/>
    <n v="0.08"/>
    <m/>
    <m/>
    <m/>
    <m/>
    <m/>
    <n v="9.6799999999999997E-2"/>
    <m/>
    <n v="9.6799999999999997E-2"/>
    <m/>
    <m/>
    <m/>
    <m/>
    <m/>
    <s v="AUD"/>
    <s v="13576254Waste - Construction and Demolition [t]"/>
    <n v="1357625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0-12-01T00:00:00"/>
    <s v="FY21"/>
    <s v="t"/>
    <n v="3.9E-2"/>
    <n v="5.9400000000000001E-2"/>
    <n v="0"/>
    <n v="9.8400000000000001E-2"/>
    <n v="2"/>
    <n v="2"/>
    <n v="0"/>
    <n v="4"/>
    <n v="39.630000000000003"/>
    <n v="60.36"/>
    <n v="0"/>
    <s v="Consolidation"/>
    <s v="CO2e and Base Measure"/>
    <n v="100"/>
    <n v="100"/>
    <n v="0.1"/>
    <m/>
    <m/>
    <m/>
    <m/>
    <m/>
    <n v="0.12790000000000001"/>
    <m/>
    <n v="0.12790000000000001"/>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1-01T00:00:00"/>
    <s v="FY21"/>
    <s v="t"/>
    <n v="1.0999999999999999E-2"/>
    <n v="5.9400000000000001E-2"/>
    <n v="0"/>
    <n v="7.0400000000000004E-2"/>
    <n v="1"/>
    <n v="2"/>
    <n v="0"/>
    <n v="3"/>
    <n v="15.62"/>
    <n v="84.37"/>
    <n v="0"/>
    <s v="Consolidation"/>
    <s v="CO2e and Base Measure"/>
    <n v="100"/>
    <n v="100"/>
    <n v="7.0000000000000007E-2"/>
    <m/>
    <m/>
    <m/>
    <m/>
    <m/>
    <n v="9.1499999999999998E-2"/>
    <m/>
    <n v="9.1499999999999998E-2"/>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2-01T00:00:00"/>
    <s v="FY21"/>
    <s v="t"/>
    <n v="0.20499999999999999"/>
    <n v="2.9700000000000001E-2"/>
    <n v="0"/>
    <n v="0.23469999999999999"/>
    <n v="2"/>
    <n v="1"/>
    <n v="0"/>
    <n v="3"/>
    <n v="87.34"/>
    <n v="12.65"/>
    <n v="0"/>
    <s v="Consolidation"/>
    <s v="CO2e and Base Measure"/>
    <n v="100"/>
    <n v="100"/>
    <n v="0.23"/>
    <m/>
    <m/>
    <m/>
    <m/>
    <m/>
    <n v="0.30509999999999998"/>
    <m/>
    <n v="0.30509999999999998"/>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3-01T00:00:00"/>
    <s v="FY21"/>
    <s v="t"/>
    <n v="0.13700000000000001"/>
    <n v="2.9700000000000001E-2"/>
    <n v="0"/>
    <n v="0.16669999999999999"/>
    <n v="4"/>
    <n v="1"/>
    <n v="0"/>
    <n v="5"/>
    <n v="82.18"/>
    <n v="17.809999999999999"/>
    <n v="0"/>
    <s v="Consolidation"/>
    <s v="CO2e and Base Measure"/>
    <n v="100"/>
    <n v="100"/>
    <n v="0.17"/>
    <m/>
    <m/>
    <m/>
    <m/>
    <m/>
    <n v="0.2167"/>
    <m/>
    <n v="0.2167"/>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4-01T00:00:00"/>
    <s v="FY21"/>
    <s v="t"/>
    <n v="0"/>
    <n v="0"/>
    <n v="0.14399999999999999"/>
    <n v="0.14399999999999999"/>
    <n v="0"/>
    <n v="0"/>
    <n v="30"/>
    <n v="30"/>
    <n v="0"/>
    <n v="0"/>
    <n v="100"/>
    <s v="Consolidation"/>
    <s v="CO2e and Base Measure"/>
    <n v="100"/>
    <n v="100"/>
    <n v="0.14000000000000001"/>
    <m/>
    <m/>
    <m/>
    <m/>
    <m/>
    <n v="0.18720000000000001"/>
    <m/>
    <n v="0.18720000000000001"/>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5-01T00:00:00"/>
    <s v="FY21"/>
    <s v="t"/>
    <n v="0"/>
    <n v="0"/>
    <n v="0.14879999999999999"/>
    <n v="0.14879999999999999"/>
    <n v="0"/>
    <n v="0"/>
    <n v="31"/>
    <n v="31"/>
    <n v="0"/>
    <n v="0"/>
    <n v="100"/>
    <s v="Consolidation"/>
    <s v="CO2e and Base Measure"/>
    <n v="100"/>
    <n v="100"/>
    <n v="0.15"/>
    <m/>
    <m/>
    <m/>
    <m/>
    <m/>
    <n v="0.19339999999999999"/>
    <m/>
    <n v="0.19339999999999999"/>
    <m/>
    <m/>
    <m/>
    <m/>
    <m/>
    <s v="AUD"/>
    <s v="13634044Waste - General [t] - Scope 3"/>
    <n v="13634044"/>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0-12-01T00:00:00"/>
    <s v="FY21"/>
    <s v="t"/>
    <n v="6.0999999999999999E-2"/>
    <n v="2.75E-2"/>
    <n v="0"/>
    <n v="8.8499999999999995E-2"/>
    <n v="3"/>
    <n v="1"/>
    <n v="0"/>
    <n v="4"/>
    <n v="68.92"/>
    <n v="31.07"/>
    <n v="0"/>
    <s v="Consolidation"/>
    <s v="CO2e and Base Measure"/>
    <n v="100"/>
    <n v="100"/>
    <n v="0.09"/>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1-01T00:00:00"/>
    <s v="FY21"/>
    <s v="t"/>
    <n v="0"/>
    <n v="0.11"/>
    <n v="0"/>
    <n v="0.11"/>
    <n v="0"/>
    <n v="4"/>
    <n v="0"/>
    <n v="4"/>
    <n v="0"/>
    <n v="100"/>
    <n v="0"/>
    <s v="Consolidation"/>
    <s v="CO2e and Base Measure"/>
    <n v="100"/>
    <n v="100"/>
    <n v="0.11"/>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2-01T00:00:00"/>
    <s v="FY21"/>
    <s v="t"/>
    <n v="0.04"/>
    <n v="2.75E-2"/>
    <n v="0"/>
    <n v="6.7500000000000004E-2"/>
    <n v="1"/>
    <n v="1"/>
    <n v="0"/>
    <n v="2"/>
    <n v="59.25"/>
    <n v="40.74"/>
    <n v="0"/>
    <s v="Consolidation"/>
    <s v="CO2e and Base Measure"/>
    <n v="100"/>
    <n v="100"/>
    <n v="7.0000000000000007E-2"/>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3-01T00:00:00"/>
    <s v="FY21"/>
    <s v="t"/>
    <n v="0"/>
    <n v="5.5E-2"/>
    <n v="0"/>
    <n v="5.5E-2"/>
    <n v="0"/>
    <n v="2"/>
    <n v="0"/>
    <n v="2"/>
    <n v="0"/>
    <n v="100"/>
    <n v="0"/>
    <s v="Consolidation"/>
    <s v="CO2e and Base Measure"/>
    <n v="100"/>
    <n v="100"/>
    <n v="0.06"/>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4-01T00:00:00"/>
    <s v="FY21"/>
    <s v="t"/>
    <n v="0"/>
    <n v="0"/>
    <n v="8.1000000000000003E-2"/>
    <n v="8.1000000000000003E-2"/>
    <n v="0"/>
    <n v="0"/>
    <n v="30"/>
    <n v="30"/>
    <n v="0"/>
    <n v="0"/>
    <n v="100"/>
    <s v="Consolidation"/>
    <s v="CO2e and Base Measure"/>
    <n v="100"/>
    <n v="100"/>
    <n v="0.08"/>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5-01T00:00:00"/>
    <s v="FY21"/>
    <s v="t"/>
    <n v="0"/>
    <n v="0"/>
    <n v="8.3699999999999997E-2"/>
    <n v="8.3699999999999997E-2"/>
    <n v="0"/>
    <n v="0"/>
    <n v="31"/>
    <n v="31"/>
    <n v="0"/>
    <n v="0"/>
    <n v="100"/>
    <s v="Consolidation"/>
    <s v="CO2e and Base Measure"/>
    <n v="100"/>
    <n v="100"/>
    <n v="0.08"/>
    <m/>
    <m/>
    <m/>
    <m/>
    <m/>
    <m/>
    <m/>
    <m/>
    <m/>
    <m/>
    <m/>
    <m/>
    <m/>
    <s v="AUD"/>
    <s v="13634045Waste Recycled - Paper and Cardboard [t]"/>
    <n v="13634045"/>
  </r>
  <r>
    <d v="2019-07-01T00:00:00"/>
    <d v="2021-06-30T00:00:00"/>
    <s v="Telstra"/>
    <s v="NETWORK"/>
    <s v="Network - InfraCo"/>
    <s v="TAS"/>
    <s v="Australia"/>
    <s v="Burnie"/>
    <s v="BURNIE EXCHANGE"/>
    <n v="423030906200"/>
    <s v="Waste"/>
    <x v="1"/>
    <x v="4"/>
    <s v="Account"/>
    <s v="CLEANAWAY Asbestos"/>
    <m/>
    <s v="26890_Landfill_Asbestos"/>
    <s v="Asbestos"/>
    <s v="Cleanaway"/>
    <m/>
    <d v="2021-02-15T00:00:00"/>
    <m/>
    <d v="2021-02-01T00:00:00"/>
    <s v="FY21"/>
    <s v="t"/>
    <n v="0.5"/>
    <n v="0"/>
    <n v="0"/>
    <n v="0.5"/>
    <n v="1"/>
    <n v="0"/>
    <n v="0"/>
    <n v="1"/>
    <n v="100"/>
    <n v="0"/>
    <n v="0"/>
    <s v="Consolidation"/>
    <s v="CO2e and Base Measure"/>
    <n v="100"/>
    <n v="100"/>
    <n v="0.5"/>
    <m/>
    <m/>
    <m/>
    <m/>
    <m/>
    <n v="0.6"/>
    <m/>
    <n v="0.6"/>
    <m/>
    <m/>
    <m/>
    <m/>
    <m/>
    <s v="AUD"/>
    <s v="13639887Waste - Construction and Demolition [t]"/>
    <n v="13639887"/>
  </r>
  <r>
    <d v="2019-07-01T00:00:00"/>
    <d v="2021-06-30T00:00:00"/>
    <s v="Telstra"/>
    <s v="NETWORK"/>
    <s v="Network - InfraCo"/>
    <s v="TAS"/>
    <s v="Australia"/>
    <s v="Burnie"/>
    <s v="BURNIE EXCHANGE"/>
    <n v="423030906200"/>
    <s v="Waste"/>
    <x v="1"/>
    <x v="4"/>
    <s v="Account"/>
    <s v="CLEANAWAY Asbestos"/>
    <m/>
    <s v="26890_Landfill_Asbestos"/>
    <s v="Asbestos"/>
    <s v="Cleanaway"/>
    <m/>
    <d v="2021-02-15T00:00:00"/>
    <m/>
    <d v="2021-03-01T00:00:00"/>
    <s v="FY21"/>
    <s v="t"/>
    <n v="0"/>
    <n v="0"/>
    <n v="0.57350000000000001"/>
    <n v="0.57350000000000001"/>
    <n v="0"/>
    <n v="0"/>
    <n v="31"/>
    <n v="31"/>
    <n v="0"/>
    <n v="0"/>
    <n v="100"/>
    <s v="Consolidation"/>
    <s v="CO2e and Base Measure"/>
    <n v="100"/>
    <n v="100"/>
    <n v="0.56999999999999995"/>
    <m/>
    <m/>
    <m/>
    <m/>
    <m/>
    <n v="0.68820000000000003"/>
    <m/>
    <n v="0.68820000000000003"/>
    <m/>
    <m/>
    <m/>
    <m/>
    <m/>
    <s v="AUD"/>
    <s v="13639887Waste - Construction and Demolition [t]"/>
    <n v="13639887"/>
  </r>
  <r>
    <d v="2019-07-01T00:00:00"/>
    <d v="2021-06-30T00:00:00"/>
    <s v="Telstra"/>
    <s v="NETWORK"/>
    <s v="Network - InfraCo"/>
    <s v="TAS"/>
    <s v="Australia"/>
    <s v="Burnie"/>
    <s v="BURNIE EXCHANGE"/>
    <n v="423030906200"/>
    <s v="Waste"/>
    <x v="1"/>
    <x v="4"/>
    <s v="Account"/>
    <s v="CLEANAWAY Asbestos"/>
    <m/>
    <s v="26890_Landfill_Asbestos"/>
    <s v="Asbestos"/>
    <s v="Cleanaway"/>
    <m/>
    <d v="2021-02-15T00:00:00"/>
    <m/>
    <d v="2021-04-01T00:00:00"/>
    <s v="FY21"/>
    <s v="t"/>
    <n v="0"/>
    <n v="0"/>
    <n v="0.55500000000000005"/>
    <n v="0.55500000000000005"/>
    <n v="0"/>
    <n v="0"/>
    <n v="30"/>
    <n v="30"/>
    <n v="0"/>
    <n v="0"/>
    <n v="100"/>
    <s v="Consolidation"/>
    <s v="CO2e and Base Measure"/>
    <n v="100"/>
    <n v="100"/>
    <n v="0.56000000000000005"/>
    <m/>
    <m/>
    <m/>
    <m/>
    <m/>
    <n v="0.66600000000000004"/>
    <m/>
    <n v="0.66600000000000004"/>
    <m/>
    <m/>
    <m/>
    <m/>
    <m/>
    <s v="AUD"/>
    <s v="13639887Waste - Construction and Demolition [t]"/>
    <n v="13639887"/>
  </r>
  <r>
    <d v="2019-07-01T00:00:00"/>
    <d v="2021-06-30T00:00:00"/>
    <s v="Telstra"/>
    <s v="NETWORK"/>
    <s v="Network - InfraCo"/>
    <s v="TAS"/>
    <s v="Australia"/>
    <s v="Burnie"/>
    <s v="BURNIE EXCHANGE"/>
    <n v="423030906200"/>
    <s v="Waste"/>
    <x v="1"/>
    <x v="4"/>
    <s v="Account"/>
    <s v="CLEANAWAY Asbestos"/>
    <m/>
    <s v="26890_Landfill_Asbestos"/>
    <s v="Asbestos"/>
    <s v="Cleanaway"/>
    <m/>
    <d v="2021-02-15T00:00:00"/>
    <m/>
    <d v="2021-05-01T00:00:00"/>
    <s v="FY21"/>
    <s v="t"/>
    <n v="0"/>
    <n v="0"/>
    <n v="0.57350000000000001"/>
    <n v="0.57350000000000001"/>
    <n v="0"/>
    <n v="0"/>
    <n v="31"/>
    <n v="31"/>
    <n v="0"/>
    <n v="0"/>
    <n v="100"/>
    <s v="Consolidation"/>
    <s v="CO2e and Base Measure"/>
    <n v="100"/>
    <n v="100"/>
    <n v="0.56999999999999995"/>
    <m/>
    <m/>
    <m/>
    <m/>
    <m/>
    <n v="0.68820000000000003"/>
    <m/>
    <n v="0.68820000000000003"/>
    <m/>
    <m/>
    <m/>
    <m/>
    <m/>
    <s v="AUD"/>
    <s v="13639887Waste - Construction and Demolition [t]"/>
    <n v="13639887"/>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07-01T00:00:00"/>
    <s v="FY21"/>
    <s v="t"/>
    <n v="0.125"/>
    <n v="0"/>
    <n v="0"/>
    <n v="0.125"/>
    <n v="1"/>
    <n v="0"/>
    <n v="0"/>
    <n v="1"/>
    <n v="100"/>
    <n v="0"/>
    <n v="0"/>
    <s v="Consolidation"/>
    <s v="CO2e and Base Measure"/>
    <n v="100"/>
    <n v="100"/>
    <n v="0.13"/>
    <m/>
    <m/>
    <m/>
    <m/>
    <m/>
    <n v="0.16250000000000001"/>
    <m/>
    <n v="0.16250000000000001"/>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08-01T00:00:00"/>
    <s v="FY21"/>
    <s v="t"/>
    <n v="0.34499999999999997"/>
    <n v="0"/>
    <n v="0"/>
    <n v="0.34499999999999997"/>
    <n v="1"/>
    <n v="0"/>
    <n v="0"/>
    <n v="1"/>
    <n v="100"/>
    <n v="0"/>
    <n v="0"/>
    <s v="Consolidation"/>
    <s v="CO2e and Base Measure"/>
    <n v="100"/>
    <n v="100"/>
    <n v="0.35"/>
    <m/>
    <m/>
    <m/>
    <m/>
    <m/>
    <n v="0.44850000000000001"/>
    <m/>
    <n v="0.44850000000000001"/>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09-01T00:00:00"/>
    <s v="FY21"/>
    <s v="t"/>
    <n v="0.12"/>
    <n v="0"/>
    <n v="0"/>
    <n v="0.12"/>
    <n v="1"/>
    <n v="0"/>
    <n v="0"/>
    <n v="1"/>
    <n v="100"/>
    <n v="0"/>
    <n v="0"/>
    <s v="Consolidation"/>
    <s v="CO2e and Base Measure"/>
    <n v="100"/>
    <n v="100"/>
    <n v="0.12"/>
    <m/>
    <m/>
    <m/>
    <m/>
    <m/>
    <n v="0.156"/>
    <m/>
    <n v="0.156"/>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10-01T00:00:00"/>
    <s v="FY21"/>
    <s v="t"/>
    <n v="0.3"/>
    <n v="0"/>
    <n v="0"/>
    <n v="0.3"/>
    <n v="2"/>
    <n v="0"/>
    <n v="0"/>
    <n v="2"/>
    <n v="100"/>
    <n v="0"/>
    <n v="0"/>
    <s v="Consolidation"/>
    <s v="CO2e and Base Measure"/>
    <n v="100"/>
    <n v="100"/>
    <n v="0.3"/>
    <m/>
    <m/>
    <m/>
    <m/>
    <m/>
    <n v="0.39"/>
    <m/>
    <n v="0.39"/>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11-01T00:00:00"/>
    <s v="FY21"/>
    <s v="t"/>
    <n v="0.245"/>
    <n v="0"/>
    <n v="0"/>
    <n v="0.245"/>
    <n v="2"/>
    <n v="0"/>
    <n v="0"/>
    <n v="2"/>
    <n v="100"/>
    <n v="0"/>
    <n v="0"/>
    <s v="Consolidation"/>
    <s v="CO2e and Base Measure"/>
    <n v="100"/>
    <n v="100"/>
    <n v="0.25"/>
    <m/>
    <m/>
    <m/>
    <m/>
    <m/>
    <n v="0.31850000000000001"/>
    <m/>
    <n v="0.31850000000000001"/>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12-01T00:00:00"/>
    <s v="FY21"/>
    <s v="t"/>
    <n v="0.189"/>
    <n v="0"/>
    <n v="0"/>
    <n v="0.189"/>
    <n v="2"/>
    <n v="0"/>
    <n v="0"/>
    <n v="2"/>
    <n v="100"/>
    <n v="0"/>
    <n v="0"/>
    <s v="Consolidation"/>
    <s v="CO2e and Base Measure"/>
    <n v="100"/>
    <n v="100"/>
    <n v="0.19"/>
    <m/>
    <m/>
    <m/>
    <m/>
    <m/>
    <n v="0.2457"/>
    <m/>
    <n v="0.2457"/>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1-01-01T00:00:00"/>
    <s v="FY21"/>
    <s v="t"/>
    <n v="0"/>
    <n v="0"/>
    <n v="1.21E-2"/>
    <n v="1.21E-2"/>
    <n v="0"/>
    <n v="0"/>
    <n v="1"/>
    <n v="1"/>
    <n v="0"/>
    <n v="0"/>
    <n v="100"/>
    <s v="Consolidation"/>
    <s v="CO2e and Base Measure"/>
    <n v="100"/>
    <n v="100"/>
    <n v="0.01"/>
    <m/>
    <m/>
    <m/>
    <m/>
    <m/>
    <n v="1.5699999999999999E-2"/>
    <m/>
    <n v="1.5699999999999999E-2"/>
    <m/>
    <m/>
    <m/>
    <m/>
    <m/>
    <s v="AUD"/>
    <s v="13564590Waste - General [t] - Scope 3"/>
    <n v="13564590"/>
  </r>
  <r>
    <d v="2019-07-01T00:00:00"/>
    <d v="2021-06-30T00:00:00"/>
    <s v="Telstra"/>
    <s v="NETWORK"/>
    <s v="Network - InfraCo"/>
    <s v="NSW"/>
    <s v="Australia"/>
    <s v="Croydon"/>
    <s v="BURWOOD EXCHANGE"/>
    <n v="423030332500"/>
    <s v="Recycled Waste"/>
    <x v="0"/>
    <x v="5"/>
    <s v="Account"/>
    <s v="Remondis Construction &amp; Demolition - Recycled"/>
    <m/>
    <s v="423030332500_RCONSDEM"/>
    <s v="CONSTRUCTION &amp; DEMOLITION - RECYLED"/>
    <s v="Remondis"/>
    <m/>
    <d v="2020-10-09T00:00:00"/>
    <d v="2021-01-01T00:00:00"/>
    <d v="2020-10-01T00:00:00"/>
    <s v="FY21"/>
    <s v="t"/>
    <n v="0"/>
    <n v="1"/>
    <n v="0"/>
    <n v="1"/>
    <n v="0"/>
    <n v="1"/>
    <n v="0"/>
    <n v="1"/>
    <n v="0"/>
    <n v="100"/>
    <n v="0"/>
    <s v="Consolidation"/>
    <s v="CO2e and Base Measure"/>
    <n v="100"/>
    <n v="100"/>
    <n v="1"/>
    <m/>
    <m/>
    <m/>
    <m/>
    <m/>
    <m/>
    <m/>
    <m/>
    <m/>
    <m/>
    <m/>
    <m/>
    <m/>
    <s v="AUD"/>
    <s v="13631698Waste Recycled - Construction and Demolition [t]"/>
    <n v="13631698"/>
  </r>
  <r>
    <d v="2019-07-01T00:00:00"/>
    <d v="2021-06-30T00:00:00"/>
    <s v="Telstra"/>
    <s v="NETWORK"/>
    <s v="Network - InfraCo"/>
    <s v="NSW"/>
    <s v="Australia"/>
    <s v="Croydon"/>
    <s v="BURWOOD EXCHANGE"/>
    <n v="423030332500"/>
    <s v="Recycled Waste"/>
    <x v="0"/>
    <x v="5"/>
    <s v="Account"/>
    <s v="Remondis Construction &amp; Demolition - Recycled"/>
    <m/>
    <s v="423030332500_RCONSDEM"/>
    <s v="CONSTRUCTION &amp; DEMOLITION - RECYLED"/>
    <s v="Remondis"/>
    <m/>
    <d v="2020-10-09T00:00:00"/>
    <d v="2021-01-01T00:00:00"/>
    <d v="2020-12-01T00:00:00"/>
    <s v="FY21"/>
    <s v="t"/>
    <n v="1"/>
    <n v="0"/>
    <n v="0"/>
    <n v="1"/>
    <n v="1"/>
    <n v="0"/>
    <n v="0"/>
    <n v="1"/>
    <n v="100"/>
    <n v="0"/>
    <n v="0"/>
    <s v="Consolidation"/>
    <s v="CO2e and Base Measure"/>
    <n v="100"/>
    <n v="100"/>
    <n v="1"/>
    <m/>
    <m/>
    <m/>
    <m/>
    <m/>
    <m/>
    <m/>
    <m/>
    <m/>
    <m/>
    <m/>
    <m/>
    <m/>
    <s v="AUD"/>
    <s v="13631698Waste Recycled - Construction and Demolition [t]"/>
    <n v="13631698"/>
  </r>
  <r>
    <d v="2019-07-01T00:00:00"/>
    <d v="2021-06-30T00:00:00"/>
    <s v="Telstra"/>
    <s v="NETWORK"/>
    <s v="Network - InfraCo"/>
    <s v="NSW"/>
    <s v="Australia"/>
    <s v="Croydon"/>
    <s v="BURWOOD EXCHANGE"/>
    <n v="423030332500"/>
    <s v="Recycled Waste"/>
    <x v="0"/>
    <x v="5"/>
    <s v="Account"/>
    <s v="Remondis Construction &amp; Demolition - Recycled"/>
    <m/>
    <s v="423030332500_RCONSDEM"/>
    <s v="CONSTRUCTION &amp; DEMOLITION - RECYLED"/>
    <s v="Remondis"/>
    <m/>
    <d v="2020-10-09T00:00:00"/>
    <d v="2021-01-01T00:00:00"/>
    <d v="2021-01-01T00:00:00"/>
    <s v="FY21"/>
    <s v="t"/>
    <n v="0"/>
    <n v="0"/>
    <n v="2.1999999999999999E-2"/>
    <n v="2.1999999999999999E-2"/>
    <n v="0"/>
    <n v="0"/>
    <n v="1"/>
    <n v="1"/>
    <n v="0"/>
    <n v="0"/>
    <n v="100"/>
    <s v="Consolidation"/>
    <s v="CO2e and Base Measure"/>
    <n v="100"/>
    <n v="100"/>
    <n v="0.02"/>
    <m/>
    <m/>
    <m/>
    <m/>
    <m/>
    <m/>
    <m/>
    <m/>
    <m/>
    <m/>
    <m/>
    <m/>
    <m/>
    <s v="AUD"/>
    <s v="13631698Waste Recycled - Construction and Demolition [t]"/>
    <n v="13631698"/>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0-12-01T00:00:00"/>
    <s v="FY21"/>
    <s v="t"/>
    <n v="0.03"/>
    <n v="0.20250000000000001"/>
    <n v="0"/>
    <n v="0.23250000000000001"/>
    <n v="1"/>
    <n v="3"/>
    <n v="0"/>
    <n v="4"/>
    <n v="12.9"/>
    <n v="87.09"/>
    <n v="0"/>
    <s v="Consolidation"/>
    <s v="CO2e and Base Measure"/>
    <n v="100"/>
    <n v="100"/>
    <n v="0.23"/>
    <m/>
    <m/>
    <m/>
    <m/>
    <m/>
    <n v="0.30230000000000001"/>
    <m/>
    <n v="0.30230000000000001"/>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1-01T00:00:00"/>
    <s v="FY21"/>
    <s v="t"/>
    <n v="2.9000000000000001E-2"/>
    <n v="0.27"/>
    <n v="0"/>
    <n v="0.29899999999999999"/>
    <n v="1"/>
    <n v="4"/>
    <n v="0"/>
    <n v="5"/>
    <n v="9.69"/>
    <n v="90.3"/>
    <n v="0"/>
    <s v="Consolidation"/>
    <s v="CO2e and Base Measure"/>
    <n v="100"/>
    <n v="100"/>
    <n v="0.3"/>
    <m/>
    <m/>
    <m/>
    <m/>
    <m/>
    <n v="0.38869999999999999"/>
    <m/>
    <n v="0.38869999999999999"/>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2-01T00:00:00"/>
    <s v="FY21"/>
    <s v="t"/>
    <n v="0.42199999999999999"/>
    <n v="0"/>
    <n v="0"/>
    <n v="0.42199999999999999"/>
    <n v="6"/>
    <n v="0"/>
    <n v="0"/>
    <n v="6"/>
    <n v="100"/>
    <n v="0"/>
    <n v="0"/>
    <s v="Consolidation"/>
    <s v="CO2e and Base Measure"/>
    <n v="100"/>
    <n v="100"/>
    <n v="0.42"/>
    <m/>
    <m/>
    <m/>
    <m/>
    <m/>
    <n v="0.54859999999999998"/>
    <m/>
    <n v="0.54859999999999998"/>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3-01T00:00:00"/>
    <s v="FY21"/>
    <s v="t"/>
    <n v="0.60799999999999998"/>
    <n v="0"/>
    <n v="0"/>
    <n v="0.60799999999999998"/>
    <n v="5"/>
    <n v="0"/>
    <n v="0"/>
    <n v="5"/>
    <n v="100"/>
    <n v="0"/>
    <n v="0"/>
    <s v="Consolidation"/>
    <s v="CO2e and Base Measure"/>
    <n v="100"/>
    <n v="100"/>
    <n v="0.61"/>
    <m/>
    <m/>
    <m/>
    <m/>
    <m/>
    <n v="0.79039999999999999"/>
    <m/>
    <n v="0.79039999999999999"/>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4-01T00:00:00"/>
    <s v="FY21"/>
    <s v="t"/>
    <n v="0"/>
    <n v="0"/>
    <n v="0.39"/>
    <n v="0.39"/>
    <n v="0"/>
    <n v="0"/>
    <n v="30"/>
    <n v="30"/>
    <n v="0"/>
    <n v="0"/>
    <n v="100"/>
    <s v="Consolidation"/>
    <s v="CO2e and Base Measure"/>
    <n v="100"/>
    <n v="100"/>
    <n v="0.39"/>
    <m/>
    <m/>
    <m/>
    <m/>
    <m/>
    <n v="0.50700000000000001"/>
    <m/>
    <n v="0.50700000000000001"/>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5-01T00:00:00"/>
    <s v="FY21"/>
    <s v="t"/>
    <n v="0"/>
    <n v="0"/>
    <n v="0.40300000000000002"/>
    <n v="0.40300000000000002"/>
    <n v="0"/>
    <n v="0"/>
    <n v="31"/>
    <n v="31"/>
    <n v="0"/>
    <n v="0"/>
    <n v="100"/>
    <s v="Consolidation"/>
    <s v="CO2e and Base Measure"/>
    <n v="100"/>
    <n v="100"/>
    <n v="0.4"/>
    <m/>
    <m/>
    <m/>
    <m/>
    <m/>
    <n v="0.52390000000000003"/>
    <m/>
    <n v="0.52390000000000003"/>
    <m/>
    <m/>
    <m/>
    <m/>
    <m/>
    <s v="AUD"/>
    <s v="13634046Waste - General [t] - Scope 3"/>
    <n v="13634046"/>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07-01T00:00:00"/>
    <s v="FY21"/>
    <s v="t"/>
    <n v="0"/>
    <n v="0.189"/>
    <n v="0"/>
    <n v="0.189"/>
    <n v="0"/>
    <n v="3"/>
    <n v="0"/>
    <n v="3"/>
    <n v="0"/>
    <n v="100"/>
    <n v="0"/>
    <s v="Consolidation"/>
    <s v="CO2e and Base Measure"/>
    <n v="100"/>
    <n v="100"/>
    <n v="0.19"/>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10-01T00:00:00"/>
    <s v="FY21"/>
    <s v="t"/>
    <n v="0"/>
    <n v="6.3E-2"/>
    <n v="0"/>
    <n v="6.3E-2"/>
    <n v="0"/>
    <n v="1"/>
    <n v="0"/>
    <n v="1"/>
    <n v="0"/>
    <n v="100"/>
    <n v="0"/>
    <s v="Consolidation"/>
    <s v="CO2e and Base Measure"/>
    <n v="100"/>
    <n v="100"/>
    <n v="0.06"/>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1-01-01T00:00:00"/>
    <s v="FY21"/>
    <s v="t"/>
    <n v="0"/>
    <n v="0"/>
    <n v="3.8E-3"/>
    <n v="3.8E-3"/>
    <n v="0"/>
    <n v="0"/>
    <n v="1"/>
    <n v="1"/>
    <n v="0"/>
    <n v="0"/>
    <n v="100"/>
    <s v="Consolidation"/>
    <s v="CO2e and Base Measure"/>
    <n v="100"/>
    <n v="100"/>
    <n v="0"/>
    <m/>
    <m/>
    <m/>
    <m/>
    <m/>
    <m/>
    <n v="0"/>
    <m/>
    <m/>
    <m/>
    <m/>
    <m/>
    <m/>
    <s v="AUD"/>
    <s v="13565318Waste Recycled - Cardboard [t]"/>
    <n v="13565318"/>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5319Waste - General [t] - Scope 3"/>
    <n v="13565319"/>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0-12-01T00:00:00"/>
    <s v="FY21"/>
    <s v="t"/>
    <n v="0"/>
    <n v="0.40500000000000003"/>
    <n v="0"/>
    <n v="0.40500000000000003"/>
    <n v="0"/>
    <n v="2"/>
    <n v="0"/>
    <n v="2"/>
    <n v="0"/>
    <n v="100"/>
    <n v="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1-01T00:00:00"/>
    <s v="FY21"/>
    <s v="t"/>
    <n v="0"/>
    <n v="0.40500000000000003"/>
    <n v="0"/>
    <n v="0.40500000000000003"/>
    <n v="0"/>
    <n v="2"/>
    <n v="0"/>
    <n v="2"/>
    <n v="0"/>
    <n v="100"/>
    <n v="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2-01T00:00:00"/>
    <s v="FY21"/>
    <s v="t"/>
    <n v="0"/>
    <n v="0.40500000000000003"/>
    <n v="0"/>
    <n v="0.40500000000000003"/>
    <n v="0"/>
    <n v="2"/>
    <n v="0"/>
    <n v="2"/>
    <n v="0"/>
    <n v="100"/>
    <n v="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3-01T00:00:00"/>
    <s v="FY21"/>
    <s v="t"/>
    <n v="0"/>
    <n v="0.40500000000000003"/>
    <n v="0"/>
    <n v="0.40500000000000003"/>
    <n v="0"/>
    <n v="2"/>
    <n v="0"/>
    <n v="2"/>
    <n v="0"/>
    <n v="100"/>
    <n v="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4-01T00:00:00"/>
    <s v="FY21"/>
    <s v="t"/>
    <n v="0"/>
    <n v="0"/>
    <n v="0.40500000000000003"/>
    <n v="0.40500000000000003"/>
    <n v="0"/>
    <n v="0"/>
    <n v="30"/>
    <n v="30"/>
    <n v="0"/>
    <n v="0"/>
    <n v="10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5-01T00:00:00"/>
    <s v="FY21"/>
    <s v="t"/>
    <n v="0"/>
    <n v="0"/>
    <n v="0.41849999999999998"/>
    <n v="0.41849999999999998"/>
    <n v="0"/>
    <n v="0"/>
    <n v="31"/>
    <n v="31"/>
    <n v="0"/>
    <n v="0"/>
    <n v="100"/>
    <s v="Consolidation"/>
    <s v="CO2e and Base Measure"/>
    <n v="100"/>
    <n v="100"/>
    <n v="0.42"/>
    <m/>
    <m/>
    <m/>
    <m/>
    <m/>
    <n v="0.54410000000000003"/>
    <m/>
    <n v="0.54410000000000003"/>
    <m/>
    <m/>
    <m/>
    <m/>
    <m/>
    <s v="AUD"/>
    <s v="13634047Waste - General [t] - Scope 3"/>
    <n v="13634047"/>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0-12-01T00:00:00"/>
    <s v="FY21"/>
    <s v="t"/>
    <n v="3.6999999999999998E-2"/>
    <n v="7.4999999999999997E-2"/>
    <n v="0"/>
    <n v="0.112"/>
    <n v="1"/>
    <n v="1"/>
    <n v="0"/>
    <n v="2"/>
    <n v="33.03"/>
    <n v="66.959999999999994"/>
    <n v="0"/>
    <s v="Consolidation"/>
    <s v="CO2e and Base Measure"/>
    <n v="100"/>
    <n v="100"/>
    <n v="0.11"/>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1-01T00:00:00"/>
    <s v="FY21"/>
    <s v="t"/>
    <n v="0"/>
    <n v="0.15"/>
    <n v="0"/>
    <n v="0.15"/>
    <n v="0"/>
    <n v="2"/>
    <n v="0"/>
    <n v="2"/>
    <n v="0"/>
    <n v="100"/>
    <n v="0"/>
    <s v="Consolidation"/>
    <s v="CO2e and Base Measure"/>
    <n v="100"/>
    <n v="100"/>
    <n v="0.15"/>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2-01T00:00:00"/>
    <s v="FY21"/>
    <s v="t"/>
    <n v="0"/>
    <n v="0.15"/>
    <n v="0"/>
    <n v="0.15"/>
    <n v="0"/>
    <n v="2"/>
    <n v="0"/>
    <n v="2"/>
    <n v="0"/>
    <n v="100"/>
    <n v="0"/>
    <s v="Consolidation"/>
    <s v="CO2e and Base Measure"/>
    <n v="100"/>
    <n v="100"/>
    <n v="0.15"/>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3-01T00:00:00"/>
    <s v="FY21"/>
    <s v="t"/>
    <n v="0"/>
    <n v="0.15"/>
    <n v="0"/>
    <n v="0.15"/>
    <n v="0"/>
    <n v="2"/>
    <n v="0"/>
    <n v="2"/>
    <n v="0"/>
    <n v="100"/>
    <n v="0"/>
    <s v="Consolidation"/>
    <s v="CO2e and Base Measure"/>
    <n v="100"/>
    <n v="100"/>
    <n v="0.15"/>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4-01T00:00:00"/>
    <s v="FY21"/>
    <s v="t"/>
    <n v="0"/>
    <n v="0"/>
    <n v="0.14099999999999999"/>
    <n v="0.14099999999999999"/>
    <n v="0"/>
    <n v="0"/>
    <n v="30"/>
    <n v="30"/>
    <n v="0"/>
    <n v="0"/>
    <n v="100"/>
    <s v="Consolidation"/>
    <s v="CO2e and Base Measure"/>
    <n v="100"/>
    <n v="100"/>
    <n v="0.14000000000000001"/>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5-01T00:00:00"/>
    <s v="FY21"/>
    <s v="t"/>
    <n v="0"/>
    <n v="0"/>
    <n v="0.1457"/>
    <n v="0.1457"/>
    <n v="0"/>
    <n v="0"/>
    <n v="31"/>
    <n v="31"/>
    <n v="0"/>
    <n v="0"/>
    <n v="100"/>
    <s v="Consolidation"/>
    <s v="CO2e and Base Measure"/>
    <n v="100"/>
    <n v="100"/>
    <n v="0.15"/>
    <m/>
    <m/>
    <m/>
    <m/>
    <m/>
    <m/>
    <m/>
    <m/>
    <m/>
    <m/>
    <m/>
    <m/>
    <m/>
    <s v="AUD"/>
    <s v="13634048Waste Recycled - Paper and Cardboard [t]"/>
    <n v="13634048"/>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592Waste - General [t] - Scope 3"/>
    <n v="13564592"/>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0-12-01T00:00:00"/>
    <s v="FY21"/>
    <s v="t"/>
    <n v="0"/>
    <n v="0.27"/>
    <n v="0"/>
    <n v="0.27"/>
    <n v="0"/>
    <n v="2"/>
    <n v="0"/>
    <n v="2"/>
    <n v="0"/>
    <n v="100"/>
    <n v="0"/>
    <s v="Consolidation"/>
    <s v="CO2e and Base Measure"/>
    <n v="100"/>
    <n v="100"/>
    <n v="0.27"/>
    <m/>
    <m/>
    <m/>
    <m/>
    <m/>
    <n v="0.35099999999999998"/>
    <m/>
    <n v="0.35099999999999998"/>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2-01T00:00:00"/>
    <s v="FY21"/>
    <s v="t"/>
    <n v="0.26200000000000001"/>
    <n v="0.13500000000000001"/>
    <n v="0"/>
    <n v="0.39700000000000002"/>
    <n v="1"/>
    <n v="1"/>
    <n v="0"/>
    <n v="2"/>
    <n v="65.989999999999995"/>
    <n v="34"/>
    <n v="0"/>
    <s v="Consolidation"/>
    <s v="CO2e and Base Measure"/>
    <n v="100"/>
    <n v="100"/>
    <n v="0.4"/>
    <m/>
    <m/>
    <m/>
    <m/>
    <m/>
    <n v="0.5161"/>
    <m/>
    <n v="0.5161"/>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4-01T00:00:00"/>
    <s v="FY21"/>
    <s v="t"/>
    <n v="0"/>
    <n v="0"/>
    <n v="0.23400000000000001"/>
    <n v="0.23400000000000001"/>
    <n v="0"/>
    <n v="0"/>
    <n v="30"/>
    <n v="30"/>
    <n v="0"/>
    <n v="0"/>
    <n v="100"/>
    <s v="Consolidation"/>
    <s v="CO2e and Base Measure"/>
    <n v="100"/>
    <n v="100"/>
    <n v="0.23"/>
    <m/>
    <m/>
    <m/>
    <m/>
    <m/>
    <n v="0.30420000000000003"/>
    <m/>
    <n v="0.30420000000000003"/>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5-01T00:00:00"/>
    <s v="FY21"/>
    <s v="t"/>
    <n v="0"/>
    <n v="0"/>
    <n v="0.24179999999999999"/>
    <n v="0.24179999999999999"/>
    <n v="0"/>
    <n v="0"/>
    <n v="31"/>
    <n v="31"/>
    <n v="0"/>
    <n v="0"/>
    <n v="100"/>
    <s v="Consolidation"/>
    <s v="CO2e and Base Measure"/>
    <n v="100"/>
    <n v="100"/>
    <n v="0.24"/>
    <m/>
    <m/>
    <m/>
    <m/>
    <m/>
    <n v="0.31430000000000002"/>
    <m/>
    <n v="0.31430000000000002"/>
    <m/>
    <m/>
    <m/>
    <m/>
    <m/>
    <s v="AUD"/>
    <s v="13634049Waste - General [t] - Scope 3"/>
    <n v="13634049"/>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07-01T00:00:00"/>
    <s v="FY21"/>
    <s v="t"/>
    <n v="0"/>
    <n v="0.1575"/>
    <n v="0"/>
    <n v="0.1575"/>
    <n v="0"/>
    <n v="5"/>
    <n v="0"/>
    <n v="5"/>
    <n v="0"/>
    <n v="100"/>
    <n v="0"/>
    <s v="Consolidation"/>
    <s v="CO2e and Base Measure"/>
    <n v="100"/>
    <n v="100"/>
    <n v="0.16"/>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08-01T00:00:00"/>
    <s v="FY21"/>
    <s v="t"/>
    <n v="0"/>
    <n v="0.126"/>
    <n v="0"/>
    <n v="0.126"/>
    <n v="0"/>
    <n v="4"/>
    <n v="0"/>
    <n v="4"/>
    <n v="0"/>
    <n v="100"/>
    <n v="0"/>
    <s v="Consolidation"/>
    <s v="CO2e and Base Measure"/>
    <n v="100"/>
    <n v="100"/>
    <n v="0.13"/>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09-01T00:00:00"/>
    <s v="FY21"/>
    <s v="t"/>
    <n v="0"/>
    <n v="0.126"/>
    <n v="0"/>
    <n v="0.126"/>
    <n v="0"/>
    <n v="4"/>
    <n v="0"/>
    <n v="4"/>
    <n v="0"/>
    <n v="100"/>
    <n v="0"/>
    <s v="Consolidation"/>
    <s v="CO2e and Base Measure"/>
    <n v="100"/>
    <n v="100"/>
    <n v="0.13"/>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10-01T00:00:00"/>
    <s v="FY21"/>
    <s v="t"/>
    <n v="0"/>
    <n v="0.1575"/>
    <n v="0"/>
    <n v="0.1575"/>
    <n v="0"/>
    <n v="5"/>
    <n v="0"/>
    <n v="5"/>
    <n v="0"/>
    <n v="100"/>
    <n v="0"/>
    <s v="Consolidation"/>
    <s v="CO2e and Base Measure"/>
    <n v="100"/>
    <n v="100"/>
    <n v="0.16"/>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11-01T00:00:00"/>
    <s v="FY21"/>
    <s v="t"/>
    <n v="0"/>
    <n v="9.4500000000000001E-2"/>
    <n v="0"/>
    <n v="9.4500000000000001E-2"/>
    <n v="0"/>
    <n v="3"/>
    <n v="0"/>
    <n v="3"/>
    <n v="0"/>
    <n v="100"/>
    <n v="0"/>
    <s v="Consolidation"/>
    <s v="CO2e and Base Measure"/>
    <n v="100"/>
    <n v="100"/>
    <n v="0.09"/>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1-01-01T00:00:00"/>
    <s v="FY21"/>
    <s v="t"/>
    <n v="0"/>
    <n v="0"/>
    <n v="3.8E-3"/>
    <n v="3.8E-3"/>
    <n v="0"/>
    <n v="0"/>
    <n v="1"/>
    <n v="1"/>
    <n v="0"/>
    <n v="0"/>
    <n v="100"/>
    <s v="Consolidation"/>
    <s v="CO2e and Base Measure"/>
    <n v="100"/>
    <n v="100"/>
    <n v="0"/>
    <m/>
    <m/>
    <m/>
    <m/>
    <m/>
    <m/>
    <n v="0"/>
    <m/>
    <m/>
    <m/>
    <m/>
    <m/>
    <m/>
    <s v="AUD"/>
    <s v="13565864Waste Recycled - Cardboard [t]"/>
    <n v="13565864"/>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07-01T00:00:00"/>
    <s v="FY21"/>
    <s v="t"/>
    <n v="0"/>
    <n v="0.97499999999999998"/>
    <n v="0"/>
    <n v="0.97499999999999998"/>
    <n v="0"/>
    <n v="5"/>
    <n v="0"/>
    <n v="5"/>
    <n v="0"/>
    <n v="100"/>
    <n v="0"/>
    <s v="Consolidation"/>
    <s v="CO2e and Base Measure"/>
    <n v="100"/>
    <n v="100"/>
    <n v="0.98"/>
    <m/>
    <m/>
    <m/>
    <m/>
    <m/>
    <n v="1.2675000000000001"/>
    <m/>
    <n v="1.2675000000000001"/>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08-01T00:00:00"/>
    <s v="FY21"/>
    <s v="t"/>
    <n v="0"/>
    <n v="0.78"/>
    <n v="0"/>
    <n v="0.78"/>
    <n v="0"/>
    <n v="4"/>
    <n v="0"/>
    <n v="4"/>
    <n v="0"/>
    <n v="100"/>
    <n v="0"/>
    <s v="Consolidation"/>
    <s v="CO2e and Base Measure"/>
    <n v="100"/>
    <n v="100"/>
    <n v="0.78"/>
    <m/>
    <m/>
    <m/>
    <m/>
    <m/>
    <n v="1.014"/>
    <m/>
    <n v="1.014"/>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09-01T00:00:00"/>
    <s v="FY21"/>
    <s v="t"/>
    <n v="0"/>
    <n v="0.97499999999999998"/>
    <n v="0"/>
    <n v="0.97499999999999998"/>
    <n v="0"/>
    <n v="5"/>
    <n v="0"/>
    <n v="5"/>
    <n v="0"/>
    <n v="100"/>
    <n v="0"/>
    <s v="Consolidation"/>
    <s v="CO2e and Base Measure"/>
    <n v="100"/>
    <n v="100"/>
    <n v="0.98"/>
    <m/>
    <m/>
    <m/>
    <m/>
    <m/>
    <n v="1.2675000000000001"/>
    <m/>
    <n v="1.2675000000000001"/>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10-01T00:00:00"/>
    <s v="FY21"/>
    <s v="t"/>
    <n v="0"/>
    <n v="0.78"/>
    <n v="0"/>
    <n v="0.78"/>
    <n v="0"/>
    <n v="4"/>
    <n v="0"/>
    <n v="4"/>
    <n v="0"/>
    <n v="100"/>
    <n v="0"/>
    <s v="Consolidation"/>
    <s v="CO2e and Base Measure"/>
    <n v="100"/>
    <n v="100"/>
    <n v="0.78"/>
    <m/>
    <m/>
    <m/>
    <m/>
    <m/>
    <n v="1.014"/>
    <m/>
    <n v="1.014"/>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11-01T00:00:00"/>
    <s v="FY21"/>
    <s v="t"/>
    <n v="0"/>
    <n v="0.78"/>
    <n v="0"/>
    <n v="0.78"/>
    <n v="0"/>
    <n v="4"/>
    <n v="0"/>
    <n v="4"/>
    <n v="0"/>
    <n v="100"/>
    <n v="0"/>
    <s v="Consolidation"/>
    <s v="CO2e and Base Measure"/>
    <n v="100"/>
    <n v="100"/>
    <n v="0.78"/>
    <m/>
    <m/>
    <m/>
    <m/>
    <m/>
    <n v="1.014"/>
    <m/>
    <n v="1.014"/>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1-01-01T00:00:00"/>
    <s v="FY21"/>
    <s v="t"/>
    <n v="0"/>
    <n v="0"/>
    <n v="2.5600000000000001E-2"/>
    <n v="2.5600000000000001E-2"/>
    <n v="0"/>
    <n v="0"/>
    <n v="1"/>
    <n v="1"/>
    <n v="0"/>
    <n v="0"/>
    <n v="100"/>
    <s v="Consolidation"/>
    <s v="CO2e and Base Measure"/>
    <n v="100"/>
    <n v="100"/>
    <n v="0.03"/>
    <m/>
    <m/>
    <m/>
    <m/>
    <m/>
    <n v="3.3300000000000003E-2"/>
    <m/>
    <n v="3.3300000000000003E-2"/>
    <m/>
    <m/>
    <m/>
    <m/>
    <m/>
    <s v="AUD"/>
    <s v="13565865Waste - General [t] - Scope 3"/>
    <n v="13565865"/>
  </r>
  <r>
    <d v="2019-07-01T00:00:00"/>
    <d v="2021-06-30T00:00:00"/>
    <s v="Telstra"/>
    <s v="NON-NETWORK"/>
    <s v="NON-NETWORK"/>
    <s v="NSW"/>
    <s v="Australia"/>
    <s v="Albury"/>
    <s v="CA149"/>
    <n v="423031939100"/>
    <s v="Recycled Waste"/>
    <x v="0"/>
    <x v="5"/>
    <s v="Account"/>
    <s v="Remondis Metal - Mixed All"/>
    <m/>
    <s v="423031939100_RMETMIXED"/>
    <s v="METAL - MIXED ALL"/>
    <s v="Remondis"/>
    <m/>
    <m/>
    <d v="2020-08-01T00:00:00"/>
    <d v="2020-07-01T00:00:00"/>
    <s v="FY21"/>
    <s v="t"/>
    <n v="0.52500000000000002"/>
    <n v="0"/>
    <n v="0"/>
    <n v="0.52500000000000002"/>
    <n v="1"/>
    <n v="0"/>
    <n v="0"/>
    <n v="1"/>
    <n v="100"/>
    <n v="0"/>
    <n v="0"/>
    <s v="Consolidation"/>
    <s v="CO2e and Base Measure"/>
    <n v="100"/>
    <n v="100"/>
    <n v="0.53"/>
    <m/>
    <m/>
    <m/>
    <m/>
    <m/>
    <m/>
    <m/>
    <m/>
    <m/>
    <m/>
    <m/>
    <m/>
    <m/>
    <s v="AUD"/>
    <s v="13565866Waste Recycled - Construction and Demolition [t]"/>
    <n v="13565866"/>
  </r>
  <r>
    <d v="2019-07-01T00:00:00"/>
    <d v="2021-06-30T00:00:00"/>
    <s v="Telstra"/>
    <s v="NON-NETWORK"/>
    <s v="NON-NETWORK"/>
    <s v="NSW"/>
    <s v="Australia"/>
    <s v="Albury"/>
    <s v="CA149"/>
    <n v="423031939100"/>
    <s v="Recycled Waste"/>
    <x v="0"/>
    <x v="5"/>
    <s v="Account"/>
    <s v="Remondis Metal - Mixed All"/>
    <m/>
    <s v="423031939100_RMETMIXED"/>
    <s v="METAL - MIXED ALL"/>
    <s v="Remondis"/>
    <m/>
    <m/>
    <d v="2020-08-01T00:00:00"/>
    <d v="2020-08-01T00:00:00"/>
    <s v="FY21"/>
    <s v="t"/>
    <n v="0"/>
    <n v="0"/>
    <n v="1.7500000000000002E-2"/>
    <n v="1.7500000000000002E-2"/>
    <n v="0"/>
    <n v="0"/>
    <n v="1"/>
    <n v="1"/>
    <n v="0"/>
    <n v="0"/>
    <n v="100"/>
    <s v="Consolidation"/>
    <s v="CO2e and Base Measure"/>
    <n v="100"/>
    <n v="100"/>
    <n v="0.02"/>
    <m/>
    <m/>
    <m/>
    <m/>
    <m/>
    <m/>
    <m/>
    <m/>
    <m/>
    <m/>
    <m/>
    <m/>
    <m/>
    <s v="AUD"/>
    <s v="13565866Waste Recycled - Construction and Demolition [t]"/>
    <n v="13565866"/>
  </r>
  <r>
    <d v="2019-07-01T00:00:00"/>
    <d v="2021-06-30T00:00:00"/>
    <s v="Telstra"/>
    <s v="NON-NETWORK"/>
    <s v="NON-NETWORK"/>
    <s v="NSW"/>
    <s v="Australia"/>
    <s v="Albury"/>
    <s v="CA149"/>
    <n v="423031939100"/>
    <s v="Recycled Waste"/>
    <x v="0"/>
    <x v="1"/>
    <s v="Account"/>
    <s v="Remondis Electrical Comp. (E-Waste)"/>
    <m/>
    <s v="423031939100_RELECTRIC"/>
    <s v="ELECTRICAL COMP. E-WASTE"/>
    <s v="Remondis"/>
    <m/>
    <m/>
    <d v="2021-02-01T00:00:00"/>
    <d v="2021-01-01T00:00:00"/>
    <s v="FY21"/>
    <s v="t"/>
    <n v="0"/>
    <n v="4.5600000000000002E-2"/>
    <n v="0"/>
    <n v="4.5600000000000002E-2"/>
    <n v="0"/>
    <n v="1"/>
    <n v="0"/>
    <n v="1"/>
    <n v="0"/>
    <n v="100"/>
    <n v="0"/>
    <s v="Consolidation"/>
    <s v="CO2e and Base Measure"/>
    <n v="100"/>
    <n v="100"/>
    <n v="0.05"/>
    <m/>
    <m/>
    <m/>
    <m/>
    <m/>
    <m/>
    <m/>
    <m/>
    <m/>
    <m/>
    <m/>
    <m/>
    <m/>
    <s v="AUD"/>
    <s v="13566109Waste Recycled - E-waste [t]"/>
    <n v="13566109"/>
  </r>
  <r>
    <d v="2019-07-01T00:00:00"/>
    <d v="2021-06-30T00:00:00"/>
    <s v="Telstra"/>
    <s v="NON-NETWORK"/>
    <s v="NON-NETWORK"/>
    <s v="NSW"/>
    <s v="Australia"/>
    <s v="Albury"/>
    <s v="CA149"/>
    <n v="423031939100"/>
    <s v="Recycled Waste"/>
    <x v="0"/>
    <x v="1"/>
    <s v="Account"/>
    <s v="Remondis Electrical Comp. (E-Waste)"/>
    <m/>
    <s v="423031939100_RELECTRIC"/>
    <s v="ELECTRICAL COMP. E-WASTE"/>
    <s v="Remondis"/>
    <m/>
    <m/>
    <d v="2021-02-01T00:00:00"/>
    <d v="2021-02-01T00:00:00"/>
    <s v="FY21"/>
    <s v="t"/>
    <n v="0"/>
    <n v="0"/>
    <n v="1.5E-3"/>
    <n v="1.5E-3"/>
    <n v="0"/>
    <n v="0"/>
    <n v="1"/>
    <n v="1"/>
    <n v="0"/>
    <n v="0"/>
    <n v="100"/>
    <s v="Consolidation"/>
    <s v="CO2e and Base Measure"/>
    <n v="100"/>
    <n v="100"/>
    <n v="0"/>
    <m/>
    <m/>
    <m/>
    <m/>
    <m/>
    <m/>
    <m/>
    <m/>
    <m/>
    <m/>
    <m/>
    <m/>
    <m/>
    <s v="AUD"/>
    <s v="13566109Waste Recycled - E-waste [t]"/>
    <n v="13566109"/>
  </r>
  <r>
    <d v="2019-07-01T00:00:00"/>
    <d v="2021-06-30T00:00:00"/>
    <s v="Telstra"/>
    <s v="NON-NETWORK"/>
    <s v="NON-NETWORK"/>
    <s v="NSW"/>
    <s v="Australia"/>
    <s v="Albury"/>
    <s v="CA149"/>
    <n v="423031939100"/>
    <s v="Waste"/>
    <x v="1"/>
    <x v="2"/>
    <s v="Account"/>
    <s v="CLEANAWAY General"/>
    <m/>
    <s v="31939100_Landfill_General"/>
    <s v="General"/>
    <s v="Cleanaway"/>
    <m/>
    <d v="2020-12-14T00:00:00"/>
    <m/>
    <d v="2020-12-01T00:00:00"/>
    <s v="FY21"/>
    <s v="t"/>
    <n v="5.1999999999999998E-2"/>
    <n v="0"/>
    <n v="0"/>
    <n v="5.1999999999999998E-2"/>
    <n v="1"/>
    <n v="0"/>
    <n v="0"/>
    <n v="1"/>
    <n v="100"/>
    <n v="0"/>
    <n v="0"/>
    <s v="Consolidation"/>
    <s v="CO2e and Base Measure"/>
    <n v="100"/>
    <n v="100"/>
    <n v="0.05"/>
    <m/>
    <m/>
    <m/>
    <m/>
    <m/>
    <n v="6.7599999999999993E-2"/>
    <m/>
    <n v="6.7599999999999993E-2"/>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1-01T00:00:00"/>
    <s v="FY21"/>
    <s v="t"/>
    <n v="0.495"/>
    <n v="0"/>
    <n v="0"/>
    <n v="0.495"/>
    <n v="2"/>
    <n v="0"/>
    <n v="0"/>
    <n v="2"/>
    <n v="100"/>
    <n v="0"/>
    <n v="0"/>
    <s v="Consolidation"/>
    <s v="CO2e and Base Measure"/>
    <n v="100"/>
    <n v="100"/>
    <n v="0.5"/>
    <m/>
    <m/>
    <m/>
    <m/>
    <m/>
    <n v="0.64349999999999996"/>
    <m/>
    <n v="0.64349999999999996"/>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2-01T00:00:00"/>
    <s v="FY21"/>
    <s v="t"/>
    <n v="0.503"/>
    <n v="0"/>
    <n v="0"/>
    <n v="0.503"/>
    <n v="2"/>
    <n v="0"/>
    <n v="0"/>
    <n v="2"/>
    <n v="100"/>
    <n v="0"/>
    <n v="0"/>
    <s v="Consolidation"/>
    <s v="CO2e and Base Measure"/>
    <n v="100"/>
    <n v="100"/>
    <n v="0.5"/>
    <m/>
    <m/>
    <m/>
    <m/>
    <m/>
    <n v="0.65390000000000004"/>
    <m/>
    <n v="0.65390000000000004"/>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3-01T00:00:00"/>
    <s v="FY21"/>
    <s v="t"/>
    <n v="0.54900000000000004"/>
    <n v="0"/>
    <n v="0"/>
    <n v="0.54900000000000004"/>
    <n v="2"/>
    <n v="0"/>
    <n v="0"/>
    <n v="2"/>
    <n v="100"/>
    <n v="0"/>
    <n v="0"/>
    <s v="Consolidation"/>
    <s v="CO2e and Base Measure"/>
    <n v="100"/>
    <n v="100"/>
    <n v="0.55000000000000004"/>
    <m/>
    <m/>
    <m/>
    <m/>
    <m/>
    <n v="0.7137"/>
    <m/>
    <n v="0.7137"/>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4-01T00:00:00"/>
    <s v="FY21"/>
    <s v="t"/>
    <n v="0"/>
    <n v="0"/>
    <n v="0.39900000000000002"/>
    <n v="0.39900000000000002"/>
    <n v="0"/>
    <n v="0"/>
    <n v="30"/>
    <n v="30"/>
    <n v="0"/>
    <n v="0"/>
    <n v="100"/>
    <s v="Consolidation"/>
    <s v="CO2e and Base Measure"/>
    <n v="100"/>
    <n v="100"/>
    <n v="0.4"/>
    <m/>
    <m/>
    <m/>
    <m/>
    <m/>
    <n v="0.51870000000000005"/>
    <m/>
    <n v="0.51870000000000005"/>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5-01T00:00:00"/>
    <s v="FY21"/>
    <s v="t"/>
    <n v="0"/>
    <n v="0"/>
    <n v="0.4123"/>
    <n v="0.4123"/>
    <n v="0"/>
    <n v="0"/>
    <n v="31"/>
    <n v="31"/>
    <n v="0"/>
    <n v="0"/>
    <n v="100"/>
    <s v="Consolidation"/>
    <s v="CO2e and Base Measure"/>
    <n v="100"/>
    <n v="100"/>
    <n v="0.41"/>
    <m/>
    <m/>
    <m/>
    <m/>
    <m/>
    <n v="0.53600000000000003"/>
    <m/>
    <n v="0.53600000000000003"/>
    <m/>
    <m/>
    <m/>
    <m/>
    <m/>
    <s v="AUD"/>
    <s v="13634330Waste - General [t] - Scope 3"/>
    <n v="13634330"/>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1-01T00:00:00"/>
    <s v="FY21"/>
    <s v="t"/>
    <n v="6.5000000000000002E-2"/>
    <n v="0"/>
    <n v="0"/>
    <n v="6.5000000000000002E-2"/>
    <n v="2"/>
    <n v="0"/>
    <n v="0"/>
    <n v="2"/>
    <n v="100"/>
    <n v="0"/>
    <n v="0"/>
    <s v="Consolidation"/>
    <s v="CO2e and Base Measure"/>
    <n v="100"/>
    <n v="100"/>
    <n v="7.0000000000000007E-2"/>
    <m/>
    <m/>
    <m/>
    <m/>
    <m/>
    <m/>
    <m/>
    <m/>
    <m/>
    <m/>
    <m/>
    <m/>
    <m/>
    <s v="AUD"/>
    <s v="13634506Waste Recycled - Paper and Cardboard [t]"/>
    <n v="13634506"/>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2-01T00:00:00"/>
    <s v="FY21"/>
    <s v="t"/>
    <n v="1.4E-2"/>
    <n v="0"/>
    <n v="0"/>
    <n v="1.4E-2"/>
    <n v="1"/>
    <n v="0"/>
    <n v="0"/>
    <n v="1"/>
    <n v="100"/>
    <n v="0"/>
    <n v="0"/>
    <s v="Consolidation"/>
    <s v="CO2e and Base Measure"/>
    <n v="100"/>
    <n v="100"/>
    <n v="0.01"/>
    <m/>
    <m/>
    <m/>
    <m/>
    <m/>
    <m/>
    <m/>
    <m/>
    <m/>
    <m/>
    <m/>
    <m/>
    <m/>
    <s v="AUD"/>
    <s v="13634506Waste Recycled - Paper and Cardboard [t]"/>
    <n v="13634506"/>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3-01T00:00:00"/>
    <s v="FY21"/>
    <s v="t"/>
    <n v="0.04"/>
    <n v="0"/>
    <n v="0"/>
    <n v="0.04"/>
    <n v="1"/>
    <n v="0"/>
    <n v="0"/>
    <n v="1"/>
    <n v="100"/>
    <n v="0"/>
    <n v="0"/>
    <s v="Consolidation"/>
    <s v="CO2e and Base Measure"/>
    <n v="100"/>
    <n v="100"/>
    <n v="0.04"/>
    <m/>
    <m/>
    <m/>
    <m/>
    <m/>
    <m/>
    <m/>
    <m/>
    <m/>
    <m/>
    <m/>
    <m/>
    <m/>
    <s v="AUD"/>
    <s v="13634506Waste Recycled - Paper and Cardboard [t]"/>
    <n v="13634506"/>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4-01T00:00:00"/>
    <s v="FY21"/>
    <s v="t"/>
    <n v="0"/>
    <n v="0"/>
    <n v="3.9E-2"/>
    <n v="3.9E-2"/>
    <n v="0"/>
    <n v="0"/>
    <n v="30"/>
    <n v="30"/>
    <n v="0"/>
    <n v="0"/>
    <n v="100"/>
    <s v="Consolidation"/>
    <s v="CO2e and Base Measure"/>
    <n v="100"/>
    <n v="100"/>
    <n v="0.04"/>
    <m/>
    <m/>
    <m/>
    <m/>
    <m/>
    <m/>
    <m/>
    <m/>
    <m/>
    <m/>
    <m/>
    <m/>
    <m/>
    <s v="AUD"/>
    <s v="13634506Waste Recycled - Paper and Cardboard [t]"/>
    <n v="13634506"/>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5-01T00:00:00"/>
    <s v="FY21"/>
    <s v="t"/>
    <n v="0"/>
    <n v="0"/>
    <n v="4.0300000000000002E-2"/>
    <n v="4.0300000000000002E-2"/>
    <n v="0"/>
    <n v="0"/>
    <n v="31"/>
    <n v="31"/>
    <n v="0"/>
    <n v="0"/>
    <n v="100"/>
    <s v="Consolidation"/>
    <s v="CO2e and Base Measure"/>
    <n v="100"/>
    <n v="100"/>
    <n v="0.04"/>
    <m/>
    <m/>
    <m/>
    <m/>
    <m/>
    <m/>
    <m/>
    <m/>
    <m/>
    <m/>
    <m/>
    <m/>
    <m/>
    <s v="AUD"/>
    <s v="13634506Waste Recycled - Paper and Cardboard [t]"/>
    <n v="13634506"/>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09-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11-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1-01-01T00:00:00"/>
    <s v="FY21"/>
    <s v="t"/>
    <n v="0"/>
    <n v="0"/>
    <n v="2.0999999999999999E-3"/>
    <n v="2.0999999999999999E-3"/>
    <n v="0"/>
    <n v="0"/>
    <n v="1"/>
    <n v="1"/>
    <n v="0"/>
    <n v="0"/>
    <n v="100"/>
    <s v="Consolidation"/>
    <s v="CO2e and Base Measure"/>
    <n v="100"/>
    <n v="100"/>
    <n v="0"/>
    <m/>
    <m/>
    <m/>
    <m/>
    <m/>
    <m/>
    <n v="0"/>
    <m/>
    <m/>
    <m/>
    <m/>
    <m/>
    <m/>
    <s v="AUD"/>
    <s v="13564090Waste Recycled - Cardboard [t]"/>
    <n v="13564090"/>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07-01T00:00:00"/>
    <s v="FY21"/>
    <s v="t"/>
    <n v="0.27"/>
    <n v="0.19500000000000001"/>
    <n v="0"/>
    <n v="0.46500000000000002"/>
    <n v="2"/>
    <n v="1"/>
    <n v="0"/>
    <n v="3"/>
    <n v="58.06"/>
    <n v="41.93"/>
    <n v="0"/>
    <s v="Consolidation"/>
    <s v="CO2e and Base Measure"/>
    <n v="100"/>
    <n v="100"/>
    <n v="0.47"/>
    <m/>
    <m/>
    <m/>
    <m/>
    <m/>
    <n v="0.60450000000000004"/>
    <m/>
    <n v="0.60450000000000004"/>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08-01T00:00:00"/>
    <s v="FY21"/>
    <s v="t"/>
    <n v="0.03"/>
    <n v="0"/>
    <n v="0"/>
    <n v="0.03"/>
    <n v="1"/>
    <n v="0"/>
    <n v="0"/>
    <n v="1"/>
    <n v="100"/>
    <n v="0"/>
    <n v="0"/>
    <s v="Consolidation"/>
    <s v="CO2e and Base Measure"/>
    <n v="100"/>
    <n v="100"/>
    <n v="0.03"/>
    <m/>
    <m/>
    <m/>
    <m/>
    <m/>
    <n v="3.9E-2"/>
    <m/>
    <n v="3.9E-2"/>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09-01T00:00:00"/>
    <s v="FY21"/>
    <s v="t"/>
    <n v="0.39"/>
    <n v="0"/>
    <n v="0"/>
    <n v="0.39"/>
    <n v="2"/>
    <n v="0"/>
    <n v="0"/>
    <n v="2"/>
    <n v="100"/>
    <n v="0"/>
    <n v="0"/>
    <s v="Consolidation"/>
    <s v="CO2e and Base Measure"/>
    <n v="100"/>
    <n v="100"/>
    <n v="0.39"/>
    <m/>
    <m/>
    <m/>
    <m/>
    <m/>
    <n v="0.50700000000000001"/>
    <m/>
    <n v="0.50700000000000001"/>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10-01T00:00:00"/>
    <s v="FY21"/>
    <s v="t"/>
    <n v="0.32"/>
    <n v="0"/>
    <n v="0"/>
    <n v="0.32"/>
    <n v="2"/>
    <n v="0"/>
    <n v="0"/>
    <n v="2"/>
    <n v="100"/>
    <n v="0"/>
    <n v="0"/>
    <s v="Consolidation"/>
    <s v="CO2e and Base Measure"/>
    <n v="100"/>
    <n v="100"/>
    <n v="0.32"/>
    <m/>
    <m/>
    <m/>
    <m/>
    <m/>
    <n v="0.41599999999999998"/>
    <m/>
    <n v="0.41599999999999998"/>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11-01T00:00:00"/>
    <s v="FY21"/>
    <s v="t"/>
    <n v="0.08"/>
    <n v="0"/>
    <n v="0"/>
    <n v="0.08"/>
    <n v="1"/>
    <n v="0"/>
    <n v="0"/>
    <n v="1"/>
    <n v="100"/>
    <n v="0"/>
    <n v="0"/>
    <s v="Consolidation"/>
    <s v="CO2e and Base Measure"/>
    <n v="100"/>
    <n v="100"/>
    <n v="0.08"/>
    <m/>
    <m/>
    <m/>
    <m/>
    <m/>
    <n v="0.104"/>
    <m/>
    <n v="0.104"/>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12-01T00:00:00"/>
    <s v="FY21"/>
    <s v="t"/>
    <n v="0.23"/>
    <n v="0.45500000000000002"/>
    <n v="0"/>
    <n v="0.68500000000000005"/>
    <n v="1"/>
    <n v="2"/>
    <n v="0"/>
    <n v="3"/>
    <n v="33.57"/>
    <n v="66.42"/>
    <n v="0"/>
    <s v="Consolidation"/>
    <s v="CO2e and Base Measure"/>
    <n v="100"/>
    <n v="100"/>
    <n v="0.69"/>
    <m/>
    <m/>
    <m/>
    <m/>
    <m/>
    <n v="0.89049999999999996"/>
    <m/>
    <n v="0.89049999999999996"/>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1-01-01T00:00:00"/>
    <s v="FY21"/>
    <s v="t"/>
    <n v="0"/>
    <n v="0"/>
    <n v="9.9000000000000008E-3"/>
    <n v="9.9000000000000008E-3"/>
    <n v="0"/>
    <n v="0"/>
    <n v="1"/>
    <n v="1"/>
    <n v="0"/>
    <n v="0"/>
    <n v="100"/>
    <s v="Consolidation"/>
    <s v="CO2e and Base Measure"/>
    <n v="100"/>
    <n v="100"/>
    <n v="0.01"/>
    <m/>
    <m/>
    <m/>
    <m/>
    <m/>
    <n v="1.29E-2"/>
    <m/>
    <n v="1.29E-2"/>
    <m/>
    <m/>
    <m/>
    <m/>
    <m/>
    <s v="AUD"/>
    <s v="13564091Waste - General [t] - Scope 3"/>
    <n v="13564091"/>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1-01T00:00:00"/>
    <s v="FY21"/>
    <s v="t"/>
    <n v="0.115"/>
    <n v="0.27"/>
    <n v="0"/>
    <n v="0.38500000000000001"/>
    <n v="2"/>
    <n v="2"/>
    <n v="0"/>
    <n v="4"/>
    <n v="29.87"/>
    <n v="70.12"/>
    <n v="0"/>
    <s v="Consolidation"/>
    <s v="CO2e and Base Measure"/>
    <n v="100"/>
    <n v="100"/>
    <n v="0.39"/>
    <m/>
    <m/>
    <m/>
    <m/>
    <m/>
    <n v="0.50049999999999994"/>
    <m/>
    <n v="0.50049999999999994"/>
    <m/>
    <m/>
    <m/>
    <m/>
    <m/>
    <s v="AUD"/>
    <s v="13634418Waste - General [t] - Scope 3"/>
    <n v="13634418"/>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2-01T00:00:00"/>
    <s v="FY21"/>
    <s v="t"/>
    <n v="0.109"/>
    <n v="9.9000000000000005E-2"/>
    <n v="0"/>
    <n v="0.20799999999999999"/>
    <n v="2"/>
    <n v="2"/>
    <n v="0"/>
    <n v="4"/>
    <n v="52.4"/>
    <n v="47.59"/>
    <n v="0"/>
    <s v="Consolidation"/>
    <s v="CO2e and Base Measure"/>
    <n v="100"/>
    <n v="100"/>
    <n v="0.21"/>
    <m/>
    <m/>
    <m/>
    <m/>
    <m/>
    <n v="0.27039999999999997"/>
    <m/>
    <n v="0.27039999999999997"/>
    <m/>
    <m/>
    <m/>
    <m/>
    <m/>
    <s v="AUD"/>
    <s v="13634418Waste - General [t] - Scope 3"/>
    <n v="13634418"/>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3-01T00:00:00"/>
    <s v="FY21"/>
    <s v="t"/>
    <n v="0.104"/>
    <n v="0"/>
    <n v="0"/>
    <n v="0.104"/>
    <n v="4"/>
    <n v="0"/>
    <n v="0"/>
    <n v="4"/>
    <n v="100"/>
    <n v="0"/>
    <n v="0"/>
    <s v="Consolidation"/>
    <s v="CO2e and Base Measure"/>
    <n v="100"/>
    <n v="100"/>
    <n v="0.1"/>
    <m/>
    <m/>
    <m/>
    <m/>
    <m/>
    <n v="0.13519999999999999"/>
    <m/>
    <n v="0.13519999999999999"/>
    <m/>
    <m/>
    <m/>
    <m/>
    <m/>
    <s v="AUD"/>
    <s v="13634418Waste - General [t] - Scope 3"/>
    <n v="13634418"/>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4-01T00:00:00"/>
    <s v="FY21"/>
    <s v="t"/>
    <n v="0"/>
    <n v="0"/>
    <n v="0.23400000000000001"/>
    <n v="0.23400000000000001"/>
    <n v="0"/>
    <n v="0"/>
    <n v="30"/>
    <n v="30"/>
    <n v="0"/>
    <n v="0"/>
    <n v="100"/>
    <s v="Consolidation"/>
    <s v="CO2e and Base Measure"/>
    <n v="100"/>
    <n v="100"/>
    <n v="0.23"/>
    <m/>
    <m/>
    <m/>
    <m/>
    <m/>
    <n v="0.30420000000000003"/>
    <m/>
    <n v="0.30420000000000003"/>
    <m/>
    <m/>
    <m/>
    <m/>
    <m/>
    <s v="AUD"/>
    <s v="13634418Waste - General [t] - Scope 3"/>
    <n v="13634418"/>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5-01T00:00:00"/>
    <s v="FY21"/>
    <s v="t"/>
    <n v="0"/>
    <n v="0"/>
    <n v="0.24179999999999999"/>
    <n v="0.24179999999999999"/>
    <n v="0"/>
    <n v="0"/>
    <n v="31"/>
    <n v="31"/>
    <n v="0"/>
    <n v="0"/>
    <n v="100"/>
    <s v="Consolidation"/>
    <s v="CO2e and Base Measure"/>
    <n v="100"/>
    <n v="100"/>
    <n v="0.24"/>
    <m/>
    <m/>
    <m/>
    <m/>
    <m/>
    <n v="0.31430000000000002"/>
    <m/>
    <n v="0.31430000000000002"/>
    <m/>
    <m/>
    <m/>
    <m/>
    <m/>
    <s v="AUD"/>
    <s v="13634418Waste - General [t] - Scope 3"/>
    <n v="13634418"/>
  </r>
  <r>
    <d v="2019-07-01T00:00:00"/>
    <d v="2021-06-30T00:00:00"/>
    <s v="Telstra"/>
    <s v="NETWORK"/>
    <s v="Network - InfraCo"/>
    <s v="QLD"/>
    <s v="Australia"/>
    <s v="Caboolture"/>
    <s v="CABOOLTURE EXCHANGE"/>
    <n v="423030001400"/>
    <s v="Recycled Waste"/>
    <x v="0"/>
    <x v="0"/>
    <s v="Account"/>
    <s v="CLEANAWAY Cardboard"/>
    <m/>
    <s v="56103_Diversion_Cardboard"/>
    <s v="Cardboard"/>
    <s v="Cleanaway"/>
    <m/>
    <d v="2021-02-11T00:00:00"/>
    <m/>
    <d v="2021-02-01T00:00:00"/>
    <s v="FY21"/>
    <s v="t"/>
    <n v="0"/>
    <n v="2.75E-2"/>
    <n v="0"/>
    <n v="2.75E-2"/>
    <n v="0"/>
    <n v="1"/>
    <n v="0"/>
    <n v="1"/>
    <n v="0"/>
    <n v="100"/>
    <n v="0"/>
    <s v="Consolidation"/>
    <s v="CO2e and Base Measure"/>
    <n v="100"/>
    <n v="100"/>
    <n v="0.03"/>
    <m/>
    <m/>
    <m/>
    <m/>
    <m/>
    <m/>
    <m/>
    <m/>
    <m/>
    <m/>
    <m/>
    <m/>
    <m/>
    <s v="AUD"/>
    <s v="13639888Waste Recycled - Paper and Cardboard [t]"/>
    <n v="13639888"/>
  </r>
  <r>
    <d v="2019-07-01T00:00:00"/>
    <d v="2021-06-30T00:00:00"/>
    <s v="Telstra"/>
    <s v="NETWORK"/>
    <s v="Network - InfraCo"/>
    <s v="QLD"/>
    <s v="Australia"/>
    <s v="Caboolture"/>
    <s v="CABOOLTURE EXCHANGE"/>
    <n v="423030001400"/>
    <s v="Recycled Waste"/>
    <x v="0"/>
    <x v="0"/>
    <s v="Account"/>
    <s v="CLEANAWAY Cardboard"/>
    <m/>
    <s v="56103_Diversion_Cardboard"/>
    <s v="Cardboard"/>
    <s v="Cleanaway"/>
    <m/>
    <d v="2021-02-11T00:00:00"/>
    <m/>
    <d v="2021-03-01T00:00:00"/>
    <s v="FY21"/>
    <s v="t"/>
    <n v="4.4999999999999998E-2"/>
    <n v="2.75E-2"/>
    <n v="0"/>
    <n v="7.2499999999999995E-2"/>
    <n v="1"/>
    <n v="1"/>
    <n v="0"/>
    <n v="2"/>
    <n v="62.06"/>
    <n v="37.93"/>
    <n v="0"/>
    <s v="Consolidation"/>
    <s v="CO2e and Base Measure"/>
    <n v="100"/>
    <n v="100"/>
    <n v="7.0000000000000007E-2"/>
    <m/>
    <m/>
    <m/>
    <m/>
    <m/>
    <m/>
    <m/>
    <m/>
    <m/>
    <m/>
    <m/>
    <m/>
    <m/>
    <s v="AUD"/>
    <s v="13639888Waste Recycled - Paper and Cardboard [t]"/>
    <n v="13639888"/>
  </r>
  <r>
    <d v="2019-07-01T00:00:00"/>
    <d v="2021-06-30T00:00:00"/>
    <s v="Telstra"/>
    <s v="NETWORK"/>
    <s v="Network - InfraCo"/>
    <s v="QLD"/>
    <s v="Australia"/>
    <s v="Caboolture"/>
    <s v="CABOOLTURE EXCHANGE"/>
    <n v="423030001400"/>
    <s v="Recycled Waste"/>
    <x v="0"/>
    <x v="0"/>
    <s v="Account"/>
    <s v="CLEANAWAY Cardboard"/>
    <m/>
    <s v="56103_Diversion_Cardboard"/>
    <s v="Cardboard"/>
    <s v="Cleanaway"/>
    <m/>
    <d v="2021-02-11T00:00:00"/>
    <m/>
    <d v="2021-04-01T00:00:00"/>
    <s v="FY21"/>
    <s v="t"/>
    <n v="0"/>
    <n v="0"/>
    <n v="5.0999999999999997E-2"/>
    <n v="5.0999999999999997E-2"/>
    <n v="0"/>
    <n v="0"/>
    <n v="30"/>
    <n v="30"/>
    <n v="0"/>
    <n v="0"/>
    <n v="100"/>
    <s v="Consolidation"/>
    <s v="CO2e and Base Measure"/>
    <n v="100"/>
    <n v="100"/>
    <n v="0.05"/>
    <m/>
    <m/>
    <m/>
    <m/>
    <m/>
    <m/>
    <m/>
    <m/>
    <m/>
    <m/>
    <m/>
    <m/>
    <m/>
    <s v="AUD"/>
    <s v="13639888Waste Recycled - Paper and Cardboard [t]"/>
    <n v="13639888"/>
  </r>
  <r>
    <d v="2019-07-01T00:00:00"/>
    <d v="2021-06-30T00:00:00"/>
    <s v="Telstra"/>
    <s v="NETWORK"/>
    <s v="Network - InfraCo"/>
    <s v="QLD"/>
    <s v="Australia"/>
    <s v="Caboolture"/>
    <s v="CABOOLTURE EXCHANGE"/>
    <n v="423030001400"/>
    <s v="Recycled Waste"/>
    <x v="0"/>
    <x v="0"/>
    <s v="Account"/>
    <s v="CLEANAWAY Cardboard"/>
    <m/>
    <s v="56103_Diversion_Cardboard"/>
    <s v="Cardboard"/>
    <s v="Cleanaway"/>
    <m/>
    <d v="2021-02-11T00:00:00"/>
    <m/>
    <d v="2021-05-01T00:00:00"/>
    <s v="FY21"/>
    <s v="t"/>
    <n v="0"/>
    <n v="0"/>
    <n v="5.2699999999999997E-2"/>
    <n v="5.2699999999999997E-2"/>
    <n v="0"/>
    <n v="0"/>
    <n v="31"/>
    <n v="31"/>
    <n v="0"/>
    <n v="0"/>
    <n v="100"/>
    <s v="Consolidation"/>
    <s v="CO2e and Base Measure"/>
    <n v="100"/>
    <n v="100"/>
    <n v="0.05"/>
    <m/>
    <m/>
    <m/>
    <m/>
    <m/>
    <m/>
    <m/>
    <m/>
    <m/>
    <m/>
    <m/>
    <m/>
    <m/>
    <s v="AUD"/>
    <s v="13639888Waste Recycled - Paper and Cardboard [t]"/>
    <n v="13639888"/>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12-01T00:00:00"/>
    <s v="FY21"/>
    <s v="t"/>
    <n v="1.02"/>
    <n v="0"/>
    <n v="0"/>
    <n v="1.02"/>
    <n v="1"/>
    <n v="0"/>
    <n v="0"/>
    <n v="1"/>
    <n v="100"/>
    <n v="0"/>
    <n v="0"/>
    <s v="Consolidation"/>
    <s v="CO2e and Base Measure"/>
    <n v="100"/>
    <n v="100"/>
    <n v="1.02"/>
    <m/>
    <m/>
    <m/>
    <m/>
    <m/>
    <n v="1.3260000000000001"/>
    <m/>
    <n v="1.3260000000000001"/>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1-01-01T00:00:00"/>
    <s v="FY21"/>
    <s v="t"/>
    <n v="0"/>
    <n v="0"/>
    <n v="8.8999999999999999E-3"/>
    <n v="8.8999999999999999E-3"/>
    <n v="0"/>
    <n v="0"/>
    <n v="1"/>
    <n v="1"/>
    <n v="0"/>
    <n v="0"/>
    <n v="100"/>
    <s v="Consolidation"/>
    <s v="CO2e and Base Measure"/>
    <n v="100"/>
    <n v="100"/>
    <n v="0.01"/>
    <m/>
    <m/>
    <m/>
    <m/>
    <m/>
    <n v="1.1599999999999999E-2"/>
    <m/>
    <n v="1.1599999999999999E-2"/>
    <m/>
    <m/>
    <m/>
    <m/>
    <m/>
    <s v="AUD"/>
    <s v="13564094Waste - General [t] - Scope 3"/>
    <n v="13564094"/>
  </r>
  <r>
    <d v="2019-07-01T00:00:00"/>
    <d v="2021-06-30T00:00:00"/>
    <s v="Telstra"/>
    <s v="NETWORK"/>
    <s v="Network - InfraCo"/>
    <s v="QLD"/>
    <s v="Australia"/>
    <s v="Cairns"/>
    <s v="CAIRNS EXCHANGE"/>
    <n v="423030003900"/>
    <s v="Waste"/>
    <x v="1"/>
    <x v="2"/>
    <s v="Account"/>
    <s v="CLEANAWAY General"/>
    <m/>
    <s v="56127_Landfill_General"/>
    <s v="General"/>
    <s v="Cleanaway"/>
    <m/>
    <d v="2021-02-23T00:00:00"/>
    <m/>
    <d v="2021-02-01T00:00:00"/>
    <s v="FY21"/>
    <s v="t"/>
    <n v="0.35799999999999998"/>
    <n v="0"/>
    <n v="0"/>
    <n v="0.35799999999999998"/>
    <n v="1"/>
    <n v="0"/>
    <n v="0"/>
    <n v="1"/>
    <n v="100"/>
    <n v="0"/>
    <n v="0"/>
    <s v="Consolidation"/>
    <s v="CO2e and Base Measure"/>
    <n v="100"/>
    <n v="100"/>
    <n v="0.36"/>
    <m/>
    <m/>
    <m/>
    <m/>
    <m/>
    <n v="0.46539999999999998"/>
    <m/>
    <n v="0.46539999999999998"/>
    <m/>
    <m/>
    <m/>
    <m/>
    <m/>
    <s v="AUD"/>
    <s v="13639937Waste - General [t] - Scope 3"/>
    <n v="13639937"/>
  </r>
  <r>
    <d v="2019-07-01T00:00:00"/>
    <d v="2021-06-30T00:00:00"/>
    <s v="Telstra"/>
    <s v="NETWORK"/>
    <s v="Network - InfraCo"/>
    <s v="QLD"/>
    <s v="Australia"/>
    <s v="Cairns"/>
    <s v="CAIRNS EXCHANGE"/>
    <n v="423030003900"/>
    <s v="Waste"/>
    <x v="1"/>
    <x v="2"/>
    <s v="Account"/>
    <s v="CLEANAWAY General"/>
    <m/>
    <s v="56127_Landfill_General"/>
    <s v="General"/>
    <s v="Cleanaway"/>
    <m/>
    <d v="2021-02-23T00:00:00"/>
    <m/>
    <d v="2021-03-01T00:00:00"/>
    <s v="FY21"/>
    <s v="t"/>
    <n v="3.7999999999999999E-2"/>
    <n v="0"/>
    <n v="0"/>
    <n v="3.7999999999999999E-2"/>
    <n v="2"/>
    <n v="0"/>
    <n v="0"/>
    <n v="2"/>
    <n v="100"/>
    <n v="0"/>
    <n v="0"/>
    <s v="Consolidation"/>
    <s v="CO2e and Base Measure"/>
    <n v="100"/>
    <n v="100"/>
    <n v="0.04"/>
    <m/>
    <m/>
    <m/>
    <m/>
    <m/>
    <n v="4.9399999999999999E-2"/>
    <m/>
    <n v="4.9399999999999999E-2"/>
    <m/>
    <m/>
    <m/>
    <m/>
    <m/>
    <s v="AUD"/>
    <s v="13639937Waste - General [t] - Scope 3"/>
    <n v="13639937"/>
  </r>
  <r>
    <d v="2019-07-01T00:00:00"/>
    <d v="2021-06-30T00:00:00"/>
    <s v="Telstra"/>
    <s v="NETWORK"/>
    <s v="Network - InfraCo"/>
    <s v="QLD"/>
    <s v="Australia"/>
    <s v="Cairns"/>
    <s v="CAIRNS EXCHANGE"/>
    <n v="423030003900"/>
    <s v="Waste"/>
    <x v="1"/>
    <x v="2"/>
    <s v="Account"/>
    <s v="CLEANAWAY General"/>
    <m/>
    <s v="56127_Landfill_General"/>
    <s v="General"/>
    <s v="Cleanaway"/>
    <m/>
    <d v="2021-02-23T00:00:00"/>
    <m/>
    <d v="2021-04-01T00:00:00"/>
    <s v="FY21"/>
    <s v="t"/>
    <n v="0"/>
    <n v="0"/>
    <n v="0.20399999999999999"/>
    <n v="0.20399999999999999"/>
    <n v="0"/>
    <n v="0"/>
    <n v="30"/>
    <n v="30"/>
    <n v="0"/>
    <n v="0"/>
    <n v="100"/>
    <s v="Consolidation"/>
    <s v="CO2e and Base Measure"/>
    <n v="100"/>
    <n v="100"/>
    <n v="0.2"/>
    <m/>
    <m/>
    <m/>
    <m/>
    <m/>
    <n v="0.26519999999999999"/>
    <m/>
    <n v="0.26519999999999999"/>
    <m/>
    <m/>
    <m/>
    <m/>
    <m/>
    <s v="AUD"/>
    <s v="13639937Waste - General [t] - Scope 3"/>
    <n v="13639937"/>
  </r>
  <r>
    <d v="2019-07-01T00:00:00"/>
    <d v="2021-06-30T00:00:00"/>
    <s v="Telstra"/>
    <s v="NETWORK"/>
    <s v="Network - InfraCo"/>
    <s v="QLD"/>
    <s v="Australia"/>
    <s v="Cairns"/>
    <s v="CAIRNS EXCHANGE"/>
    <n v="423030003900"/>
    <s v="Waste"/>
    <x v="1"/>
    <x v="2"/>
    <s v="Account"/>
    <s v="CLEANAWAY General"/>
    <m/>
    <s v="56127_Landfill_General"/>
    <s v="General"/>
    <s v="Cleanaway"/>
    <m/>
    <d v="2021-02-23T00:00:00"/>
    <m/>
    <d v="2021-05-01T00:00:00"/>
    <s v="FY21"/>
    <s v="t"/>
    <n v="0"/>
    <n v="0"/>
    <n v="0.21079999999999999"/>
    <n v="0.21079999999999999"/>
    <n v="0"/>
    <n v="0"/>
    <n v="31"/>
    <n v="31"/>
    <n v="0"/>
    <n v="0"/>
    <n v="100"/>
    <s v="Consolidation"/>
    <s v="CO2e and Base Measure"/>
    <n v="100"/>
    <n v="100"/>
    <n v="0.21"/>
    <m/>
    <m/>
    <m/>
    <m/>
    <m/>
    <n v="0.27400000000000002"/>
    <m/>
    <n v="0.27400000000000002"/>
    <m/>
    <m/>
    <m/>
    <m/>
    <m/>
    <s v="AUD"/>
    <s v="13639937Waste - General [t] - Scope 3"/>
    <n v="13639937"/>
  </r>
  <r>
    <d v="2019-07-01T00:00:00"/>
    <d v="2021-06-30T00:00:00"/>
    <s v="Telstra"/>
    <s v="NETWORK"/>
    <s v="Network - InfraCo"/>
    <s v="QLD"/>
    <s v="Australia"/>
    <s v="Cairns"/>
    <s v="CAIRNS RT __ PORTSMITH EXCHANGE"/>
    <n v="423030003200"/>
    <s v="Waste"/>
    <x v="1"/>
    <x v="2"/>
    <s v="Account"/>
    <s v="Remondis General Waste"/>
    <m/>
    <s v="423030003200_WGENERALW"/>
    <s v="GENERAL WASTE"/>
    <s v="Remondis"/>
    <m/>
    <m/>
    <d v="2020-09-01T00:00:00"/>
    <d v="2020-08-01T00:00:00"/>
    <s v="FY21"/>
    <s v="t"/>
    <n v="0"/>
    <n v="9.7500000000000003E-2"/>
    <n v="0"/>
    <n v="9.7500000000000003E-2"/>
    <n v="0"/>
    <n v="1"/>
    <n v="0"/>
    <n v="1"/>
    <n v="0"/>
    <n v="100"/>
    <n v="0"/>
    <s v="Consolidation"/>
    <s v="CO2e and Base Measure"/>
    <n v="100"/>
    <n v="100"/>
    <n v="0.1"/>
    <m/>
    <m/>
    <m/>
    <m/>
    <m/>
    <n v="0.1268"/>
    <m/>
    <n v="0.1268"/>
    <m/>
    <m/>
    <m/>
    <m/>
    <m/>
    <s v="AUD"/>
    <s v="13564093Waste - General [t] - Scope 3"/>
    <n v="13564093"/>
  </r>
  <r>
    <d v="2019-07-01T00:00:00"/>
    <d v="2021-06-30T00:00:00"/>
    <s v="Telstra"/>
    <s v="NETWORK"/>
    <s v="Network - InfraCo"/>
    <s v="QLD"/>
    <s v="Australia"/>
    <s v="Cairns"/>
    <s v="CAIRNS RT __ PORTSMITH EXCHANGE"/>
    <n v="423030003200"/>
    <s v="Waste"/>
    <x v="1"/>
    <x v="2"/>
    <s v="Account"/>
    <s v="Remondis General Waste"/>
    <m/>
    <s v="423030003200_WGENERALW"/>
    <s v="GENERAL WASTE"/>
    <s v="Remondis"/>
    <m/>
    <m/>
    <d v="2020-09-01T00:00:00"/>
    <d v="2020-09-01T00:00:00"/>
    <s v="FY21"/>
    <s v="t"/>
    <n v="0"/>
    <n v="0"/>
    <n v="3.3E-3"/>
    <n v="3.3E-3"/>
    <n v="0"/>
    <n v="0"/>
    <n v="1"/>
    <n v="1"/>
    <n v="0"/>
    <n v="0"/>
    <n v="100"/>
    <s v="Consolidation"/>
    <s v="CO2e and Base Measure"/>
    <n v="100"/>
    <n v="100"/>
    <n v="0"/>
    <m/>
    <m/>
    <m/>
    <m/>
    <m/>
    <n v="4.3E-3"/>
    <m/>
    <n v="4.3E-3"/>
    <m/>
    <m/>
    <m/>
    <m/>
    <m/>
    <s v="AUD"/>
    <s v="13564093Waste - General [t] - Scope 3"/>
    <n v="13564093"/>
  </r>
  <r>
    <d v="2019-07-01T00:00:00"/>
    <d v="2021-06-30T00:00:00"/>
    <s v="Telstra"/>
    <s v="NON-NETWORK"/>
    <s v="NON-NETWORK"/>
    <s v="QLD"/>
    <s v="Australia"/>
    <s v="Cairns"/>
    <s v="CAIRNS TOC"/>
    <n v="423031190600"/>
    <s v="Waste"/>
    <x v="1"/>
    <x v="4"/>
    <s v="Account"/>
    <s v="Remondis Asbestos"/>
    <m/>
    <s v="423031190600_WASBESTOS"/>
    <s v="ASBESTOS"/>
    <s v="Remondis"/>
    <m/>
    <m/>
    <d v="2021-01-01T00:00:00"/>
    <d v="2020-08-01T00:00:00"/>
    <s v="FY21"/>
    <s v="t"/>
    <n v="3"/>
    <n v="0"/>
    <n v="0"/>
    <n v="3"/>
    <n v="2"/>
    <n v="0"/>
    <n v="0"/>
    <n v="2"/>
    <n v="100"/>
    <n v="0"/>
    <n v="0"/>
    <s v="Consolidation"/>
    <s v="CO2e and Base Measure"/>
    <n v="100"/>
    <n v="100"/>
    <n v="3"/>
    <m/>
    <m/>
    <m/>
    <m/>
    <m/>
    <n v="3.6"/>
    <m/>
    <n v="3.6"/>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0-09-01T00:00:00"/>
    <s v="FY21"/>
    <s v="t"/>
    <n v="3"/>
    <n v="0"/>
    <n v="0"/>
    <n v="3"/>
    <n v="2"/>
    <n v="0"/>
    <n v="0"/>
    <n v="2"/>
    <n v="100"/>
    <n v="0"/>
    <n v="0"/>
    <s v="Consolidation"/>
    <s v="CO2e and Base Measure"/>
    <n v="100"/>
    <n v="100"/>
    <n v="3"/>
    <m/>
    <m/>
    <m/>
    <m/>
    <m/>
    <n v="3.6"/>
    <m/>
    <n v="3.6"/>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0-10-01T00:00:00"/>
    <s v="FY21"/>
    <s v="t"/>
    <n v="1.5"/>
    <n v="0"/>
    <n v="0"/>
    <n v="1.5"/>
    <n v="1"/>
    <n v="0"/>
    <n v="0"/>
    <n v="1"/>
    <n v="100"/>
    <n v="0"/>
    <n v="0"/>
    <s v="Consolidation"/>
    <s v="CO2e and Base Measure"/>
    <n v="100"/>
    <n v="100"/>
    <n v="1.5"/>
    <m/>
    <m/>
    <m/>
    <m/>
    <m/>
    <n v="1.8"/>
    <m/>
    <n v="1.8"/>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0-11-01T00:00:00"/>
    <s v="FY21"/>
    <s v="t"/>
    <n v="1.5"/>
    <n v="0"/>
    <n v="0"/>
    <n v="1.5"/>
    <n v="1"/>
    <n v="0"/>
    <n v="0"/>
    <n v="1"/>
    <n v="100"/>
    <n v="0"/>
    <n v="0"/>
    <s v="Consolidation"/>
    <s v="CO2e and Base Measure"/>
    <n v="100"/>
    <n v="100"/>
    <n v="1.5"/>
    <m/>
    <m/>
    <m/>
    <m/>
    <m/>
    <n v="1.8"/>
    <m/>
    <n v="1.8"/>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0-12-01T00:00:00"/>
    <s v="FY21"/>
    <s v="t"/>
    <n v="1.5"/>
    <n v="0"/>
    <n v="0"/>
    <n v="1.5"/>
    <n v="1"/>
    <n v="0"/>
    <n v="0"/>
    <n v="1"/>
    <n v="100"/>
    <n v="0"/>
    <n v="0"/>
    <s v="Consolidation"/>
    <s v="CO2e and Base Measure"/>
    <n v="100"/>
    <n v="100"/>
    <n v="1.5"/>
    <m/>
    <m/>
    <m/>
    <m/>
    <m/>
    <n v="1.8"/>
    <m/>
    <n v="1.8"/>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1-01-01T00:00:00"/>
    <s v="FY21"/>
    <s v="t"/>
    <n v="0"/>
    <n v="0"/>
    <n v="6.3399999999999998E-2"/>
    <n v="6.3399999999999998E-2"/>
    <n v="0"/>
    <n v="0"/>
    <n v="1"/>
    <n v="1"/>
    <n v="0"/>
    <n v="0"/>
    <n v="100"/>
    <s v="Consolidation"/>
    <s v="CO2e and Base Measure"/>
    <n v="100"/>
    <n v="100"/>
    <n v="0.06"/>
    <m/>
    <m/>
    <m/>
    <m/>
    <m/>
    <n v="7.6100000000000001E-2"/>
    <m/>
    <n v="7.6100000000000001E-2"/>
    <m/>
    <m/>
    <m/>
    <m/>
    <m/>
    <s v="AUD"/>
    <s v="13565573Waste - Construction and Demolition [t]"/>
    <n v="13565573"/>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07-01T00:00:00"/>
    <s v="FY21"/>
    <s v="t"/>
    <n v="0"/>
    <n v="6.3E-2"/>
    <n v="0"/>
    <n v="6.3E-2"/>
    <n v="0"/>
    <n v="2"/>
    <n v="0"/>
    <n v="2"/>
    <n v="0"/>
    <n v="100"/>
    <n v="0"/>
    <s v="Consolidation"/>
    <s v="CO2e and Base Measure"/>
    <n v="100"/>
    <n v="100"/>
    <n v="0.06"/>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08-01T00:00:00"/>
    <s v="FY21"/>
    <s v="t"/>
    <n v="0"/>
    <n v="9.4500000000000001E-2"/>
    <n v="0"/>
    <n v="9.4500000000000001E-2"/>
    <n v="0"/>
    <n v="3"/>
    <n v="0"/>
    <n v="3"/>
    <n v="0"/>
    <n v="100"/>
    <n v="0"/>
    <s v="Consolidation"/>
    <s v="CO2e and Base Measure"/>
    <n v="100"/>
    <n v="100"/>
    <n v="0.09"/>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09-01T00:00:00"/>
    <s v="FY21"/>
    <s v="t"/>
    <n v="0"/>
    <n v="6.3E-2"/>
    <n v="0"/>
    <n v="6.3E-2"/>
    <n v="0"/>
    <n v="2"/>
    <n v="0"/>
    <n v="2"/>
    <n v="0"/>
    <n v="100"/>
    <n v="0"/>
    <s v="Consolidation"/>
    <s v="CO2e and Base Measure"/>
    <n v="100"/>
    <n v="100"/>
    <n v="0.06"/>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10-01T00:00:00"/>
    <s v="FY21"/>
    <s v="t"/>
    <n v="0"/>
    <n v="6.3E-2"/>
    <n v="0"/>
    <n v="6.3E-2"/>
    <n v="0"/>
    <n v="2"/>
    <n v="0"/>
    <n v="2"/>
    <n v="0"/>
    <n v="100"/>
    <n v="0"/>
    <s v="Consolidation"/>
    <s v="CO2e and Base Measure"/>
    <n v="100"/>
    <n v="100"/>
    <n v="0.06"/>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11-01T00:00:00"/>
    <s v="FY21"/>
    <s v="t"/>
    <n v="0"/>
    <n v="6.3E-2"/>
    <n v="0"/>
    <n v="6.3E-2"/>
    <n v="0"/>
    <n v="2"/>
    <n v="0"/>
    <n v="2"/>
    <n v="0"/>
    <n v="100"/>
    <n v="0"/>
    <s v="Consolidation"/>
    <s v="CO2e and Base Measure"/>
    <n v="100"/>
    <n v="100"/>
    <n v="0.06"/>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12-01T00:00:00"/>
    <s v="FY21"/>
    <s v="t"/>
    <n v="0"/>
    <n v="0"/>
    <n v="2.2000000000000001E-3"/>
    <n v="2.2000000000000001E-3"/>
    <n v="0"/>
    <n v="0"/>
    <n v="1"/>
    <n v="1"/>
    <n v="0"/>
    <n v="0"/>
    <n v="100"/>
    <s v="Consolidation"/>
    <s v="CO2e and Base Measure"/>
    <n v="100"/>
    <n v="100"/>
    <n v="0"/>
    <m/>
    <m/>
    <m/>
    <m/>
    <m/>
    <m/>
    <n v="0"/>
    <m/>
    <m/>
    <m/>
    <m/>
    <m/>
    <m/>
    <s v="AUD"/>
    <s v="13565575Waste Recycled - Cardboard [t]"/>
    <n v="13565575"/>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07-01T00:00:00"/>
    <s v="FY21"/>
    <s v="t"/>
    <n v="0.2"/>
    <n v="1.17"/>
    <n v="0"/>
    <n v="1.37"/>
    <n v="1"/>
    <n v="6"/>
    <n v="0"/>
    <n v="7"/>
    <n v="14.59"/>
    <n v="85.4"/>
    <n v="0"/>
    <s v="Consolidation"/>
    <s v="CO2e and Base Measure"/>
    <n v="100"/>
    <n v="100"/>
    <n v="1.37"/>
    <m/>
    <m/>
    <m/>
    <m/>
    <m/>
    <n v="1.7809999999999999"/>
    <m/>
    <n v="1.7809999999999999"/>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08-01T00:00:00"/>
    <s v="FY21"/>
    <s v="t"/>
    <n v="0.18"/>
    <n v="0.39"/>
    <n v="0"/>
    <n v="0.56999999999999995"/>
    <n v="2"/>
    <n v="4"/>
    <n v="0"/>
    <n v="6"/>
    <n v="31.57"/>
    <n v="68.42"/>
    <n v="0"/>
    <s v="Consolidation"/>
    <s v="CO2e and Base Measure"/>
    <n v="100"/>
    <n v="100"/>
    <n v="0.56999999999999995"/>
    <m/>
    <m/>
    <m/>
    <m/>
    <m/>
    <n v="0.74099999999999999"/>
    <m/>
    <n v="0.74099999999999999"/>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09-01T00:00:00"/>
    <s v="FY21"/>
    <s v="t"/>
    <n v="0.24"/>
    <n v="0.39"/>
    <n v="0"/>
    <n v="0.63"/>
    <n v="1"/>
    <n v="4"/>
    <n v="0"/>
    <n v="5"/>
    <n v="38.090000000000003"/>
    <n v="61.9"/>
    <n v="0"/>
    <s v="Consolidation"/>
    <s v="CO2e and Base Measure"/>
    <n v="100"/>
    <n v="100"/>
    <n v="0.63"/>
    <m/>
    <m/>
    <m/>
    <m/>
    <m/>
    <n v="0.81899999999999995"/>
    <m/>
    <n v="0.81899999999999995"/>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10-01T00:00:00"/>
    <s v="FY21"/>
    <s v="t"/>
    <n v="0.7"/>
    <n v="0.39"/>
    <n v="0"/>
    <n v="1.0900000000000001"/>
    <n v="2"/>
    <n v="4"/>
    <n v="0"/>
    <n v="6"/>
    <n v="64.22"/>
    <n v="35.770000000000003"/>
    <n v="0"/>
    <s v="Consolidation"/>
    <s v="CO2e and Base Measure"/>
    <n v="100"/>
    <n v="100"/>
    <n v="1.0900000000000001"/>
    <m/>
    <m/>
    <m/>
    <m/>
    <m/>
    <n v="1.417"/>
    <m/>
    <n v="1.417"/>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11-01T00:00:00"/>
    <s v="FY21"/>
    <s v="t"/>
    <n v="0.78"/>
    <n v="0.39"/>
    <n v="0"/>
    <n v="1.17"/>
    <n v="2"/>
    <n v="4"/>
    <n v="0"/>
    <n v="6"/>
    <n v="66.66"/>
    <n v="33.33"/>
    <n v="0"/>
    <s v="Consolidation"/>
    <s v="CO2e and Base Measure"/>
    <n v="100"/>
    <n v="100"/>
    <n v="1.17"/>
    <m/>
    <m/>
    <m/>
    <m/>
    <m/>
    <n v="1.5209999999999999"/>
    <m/>
    <n v="1.5209999999999999"/>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12-01T00:00:00"/>
    <s v="FY21"/>
    <s v="t"/>
    <n v="0"/>
    <n v="0"/>
    <n v="4.0300000000000002E-2"/>
    <n v="4.0300000000000002E-2"/>
    <n v="0"/>
    <n v="0"/>
    <n v="1"/>
    <n v="1"/>
    <n v="0"/>
    <n v="0"/>
    <n v="100"/>
    <s v="Consolidation"/>
    <s v="CO2e and Base Measure"/>
    <n v="100"/>
    <n v="100"/>
    <n v="0.04"/>
    <m/>
    <m/>
    <m/>
    <m/>
    <m/>
    <n v="5.2400000000000002E-2"/>
    <m/>
    <n v="5.2400000000000002E-2"/>
    <m/>
    <m/>
    <m/>
    <m/>
    <m/>
    <s v="AUD"/>
    <s v="13565577Waste - General [t] - Scope 3"/>
    <n v="13565577"/>
  </r>
  <r>
    <d v="2019-07-01T00:00:00"/>
    <d v="2021-06-30T00:00:00"/>
    <s v="Telstra"/>
    <s v="NON-NETWORK"/>
    <s v="NON-NETWORK"/>
    <s v="QLD"/>
    <s v="Australia"/>
    <s v="Cairns"/>
    <s v="CAIRNS TOC"/>
    <n v="423031190600"/>
    <s v="Recycled Waste"/>
    <x v="0"/>
    <x v="5"/>
    <s v="Account"/>
    <s v="Remondis Metal - Mixed All"/>
    <m/>
    <s v="423031190600_RMETMIXED"/>
    <s v="METAL - MIXED ALL"/>
    <s v="Remondis"/>
    <m/>
    <m/>
    <d v="2020-09-01T00:00:00"/>
    <d v="2020-08-01T00:00:00"/>
    <s v="FY21"/>
    <s v="t"/>
    <n v="0.52"/>
    <n v="0"/>
    <n v="0"/>
    <n v="0.52"/>
    <n v="1"/>
    <n v="0"/>
    <n v="0"/>
    <n v="1"/>
    <n v="100"/>
    <n v="0"/>
    <n v="0"/>
    <s v="Consolidation"/>
    <s v="CO2e and Base Measure"/>
    <n v="100"/>
    <n v="100"/>
    <n v="0.52"/>
    <m/>
    <m/>
    <m/>
    <m/>
    <m/>
    <m/>
    <m/>
    <m/>
    <m/>
    <m/>
    <m/>
    <m/>
    <m/>
    <s v="AUD"/>
    <s v="13565578Waste Recycled - Construction and Demolition [t]"/>
    <n v="13565578"/>
  </r>
  <r>
    <d v="2019-07-01T00:00:00"/>
    <d v="2021-06-30T00:00:00"/>
    <s v="Telstra"/>
    <s v="NON-NETWORK"/>
    <s v="NON-NETWORK"/>
    <s v="QLD"/>
    <s v="Australia"/>
    <s v="Cairns"/>
    <s v="CAIRNS TOC"/>
    <n v="423031190600"/>
    <s v="Recycled Waste"/>
    <x v="0"/>
    <x v="5"/>
    <s v="Account"/>
    <s v="Remondis Metal - Mixed All"/>
    <m/>
    <s v="423031190600_RMETMIXED"/>
    <s v="METAL - MIXED ALL"/>
    <s v="Remondis"/>
    <m/>
    <m/>
    <d v="2020-09-01T00:00:00"/>
    <d v="2020-09-01T00:00:00"/>
    <s v="FY21"/>
    <s v="t"/>
    <n v="0"/>
    <n v="0"/>
    <n v="1.1599999999999999E-2"/>
    <n v="1.1599999999999999E-2"/>
    <n v="0"/>
    <n v="0"/>
    <n v="1"/>
    <n v="1"/>
    <n v="0"/>
    <n v="0"/>
    <n v="100"/>
    <s v="Consolidation"/>
    <s v="CO2e and Base Measure"/>
    <n v="100"/>
    <n v="100"/>
    <n v="0.01"/>
    <m/>
    <m/>
    <m/>
    <m/>
    <m/>
    <m/>
    <m/>
    <m/>
    <m/>
    <m/>
    <m/>
    <m/>
    <m/>
    <s v="AUD"/>
    <s v="13565578Waste Recycled - Construction and Demolition [t]"/>
    <n v="13565578"/>
  </r>
  <r>
    <d v="2019-07-01T00:00:00"/>
    <d v="2021-06-30T00:00:00"/>
    <s v="Telstra"/>
    <s v="NON-NETWORK"/>
    <s v="NON-NETWORK"/>
    <s v="QLD"/>
    <s v="Australia"/>
    <s v="Cairns"/>
    <s v="CAIRNS TOC"/>
    <n v="423031190600"/>
    <s v="Waste"/>
    <x v="1"/>
    <x v="2"/>
    <s v="Account"/>
    <s v="CLEANAWAY General"/>
    <m/>
    <s v="31190600_Landfill_General"/>
    <s v="General"/>
    <s v="Cleanaway"/>
    <m/>
    <d v="2020-12-08T00:00:00"/>
    <m/>
    <d v="2020-12-01T00:00:00"/>
    <s v="FY21"/>
    <s v="t"/>
    <n v="0.44600000000000001"/>
    <n v="0.13500000000000001"/>
    <n v="0"/>
    <n v="0.58099999999999996"/>
    <n v="3"/>
    <n v="2"/>
    <n v="0"/>
    <n v="5"/>
    <n v="76.760000000000005"/>
    <n v="23.23"/>
    <n v="0"/>
    <s v="Consolidation"/>
    <s v="CO2e and Base Measure"/>
    <n v="100"/>
    <n v="100"/>
    <n v="0.57999999999999996"/>
    <m/>
    <m/>
    <m/>
    <m/>
    <m/>
    <n v="0.75529999999999997"/>
    <m/>
    <n v="0.75529999999999997"/>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1-01T00:00:00"/>
    <s v="FY21"/>
    <s v="t"/>
    <n v="0.63400000000000001"/>
    <n v="0.13500000000000001"/>
    <n v="0"/>
    <n v="0.76900000000000002"/>
    <n v="4"/>
    <n v="2"/>
    <n v="0"/>
    <n v="6"/>
    <n v="82.44"/>
    <n v="17.55"/>
    <n v="0"/>
    <s v="Consolidation"/>
    <s v="CO2e and Base Measure"/>
    <n v="100"/>
    <n v="100"/>
    <n v="0.77"/>
    <m/>
    <m/>
    <m/>
    <m/>
    <m/>
    <n v="0.99970000000000003"/>
    <m/>
    <n v="0.99970000000000003"/>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2-01T00:00:00"/>
    <s v="FY21"/>
    <s v="t"/>
    <n v="0.64"/>
    <n v="6.7500000000000004E-2"/>
    <n v="0"/>
    <n v="0.70750000000000002"/>
    <n v="5"/>
    <n v="1"/>
    <n v="0"/>
    <n v="6"/>
    <n v="90.45"/>
    <n v="9.5399999999999991"/>
    <n v="0"/>
    <s v="Consolidation"/>
    <s v="CO2e and Base Measure"/>
    <n v="100"/>
    <n v="100"/>
    <n v="0.71"/>
    <m/>
    <m/>
    <m/>
    <m/>
    <m/>
    <n v="0.91979999999999995"/>
    <m/>
    <n v="0.91979999999999995"/>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3-01T00:00:00"/>
    <s v="FY21"/>
    <s v="t"/>
    <n v="0.33500000000000002"/>
    <n v="6.7500000000000004E-2"/>
    <n v="0"/>
    <n v="0.40250000000000002"/>
    <n v="6"/>
    <n v="1"/>
    <n v="0"/>
    <n v="7"/>
    <n v="83.22"/>
    <n v="16.77"/>
    <n v="0"/>
    <s v="Consolidation"/>
    <s v="CO2e and Base Measure"/>
    <n v="100"/>
    <n v="100"/>
    <n v="0.4"/>
    <m/>
    <m/>
    <m/>
    <m/>
    <m/>
    <n v="0.52329999999999999"/>
    <m/>
    <n v="0.52329999999999999"/>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4-01T00:00:00"/>
    <s v="FY21"/>
    <s v="t"/>
    <n v="0"/>
    <n v="0"/>
    <n v="0.61499999999999999"/>
    <n v="0.61499999999999999"/>
    <n v="0"/>
    <n v="0"/>
    <n v="30"/>
    <n v="30"/>
    <n v="0"/>
    <n v="0"/>
    <n v="100"/>
    <s v="Consolidation"/>
    <s v="CO2e and Base Measure"/>
    <n v="100"/>
    <n v="100"/>
    <n v="0.62"/>
    <m/>
    <m/>
    <m/>
    <m/>
    <m/>
    <n v="0.79949999999999999"/>
    <m/>
    <n v="0.79949999999999999"/>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5-01T00:00:00"/>
    <s v="FY21"/>
    <s v="t"/>
    <n v="0"/>
    <n v="0"/>
    <n v="0.63549999999999995"/>
    <n v="0.63549999999999995"/>
    <n v="0"/>
    <n v="0"/>
    <n v="31"/>
    <n v="31"/>
    <n v="0"/>
    <n v="0"/>
    <n v="100"/>
    <s v="Consolidation"/>
    <s v="CO2e and Base Measure"/>
    <n v="100"/>
    <n v="100"/>
    <n v="0.64"/>
    <m/>
    <m/>
    <m/>
    <m/>
    <m/>
    <n v="0.82620000000000005"/>
    <m/>
    <n v="0.82620000000000005"/>
    <m/>
    <m/>
    <m/>
    <m/>
    <m/>
    <s v="AUD"/>
    <s v="13634356Waste - General [t] - Scope 3"/>
    <n v="13634356"/>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0-12-01T00:00:00"/>
    <s v="FY21"/>
    <s v="t"/>
    <n v="5.1999999999999998E-2"/>
    <n v="0"/>
    <n v="0"/>
    <n v="5.1999999999999998E-2"/>
    <n v="2"/>
    <n v="0"/>
    <n v="0"/>
    <n v="2"/>
    <n v="100"/>
    <n v="0"/>
    <n v="0"/>
    <s v="Consolidation"/>
    <s v="CO2e and Base Measure"/>
    <n v="100"/>
    <n v="100"/>
    <n v="0.05"/>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1-01T00:00:00"/>
    <s v="FY21"/>
    <s v="t"/>
    <n v="5.3999999999999999E-2"/>
    <n v="0"/>
    <n v="0"/>
    <n v="5.3999999999999999E-2"/>
    <n v="1"/>
    <n v="0"/>
    <n v="0"/>
    <n v="1"/>
    <n v="100"/>
    <n v="0"/>
    <n v="0"/>
    <s v="Consolidation"/>
    <s v="CO2e and Base Measure"/>
    <n v="100"/>
    <n v="100"/>
    <n v="0.05"/>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2-01T00:00:00"/>
    <s v="FY21"/>
    <s v="t"/>
    <n v="0.05"/>
    <n v="3.7499999999999999E-2"/>
    <n v="0"/>
    <n v="8.7499999999999994E-2"/>
    <n v="1"/>
    <n v="1"/>
    <n v="0"/>
    <n v="2"/>
    <n v="57.14"/>
    <n v="42.85"/>
    <n v="0"/>
    <s v="Consolidation"/>
    <s v="CO2e and Base Measure"/>
    <n v="100"/>
    <n v="100"/>
    <n v="0.09"/>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3-01T00:00:00"/>
    <s v="FY21"/>
    <s v="t"/>
    <n v="0.03"/>
    <n v="7.4999999999999997E-2"/>
    <n v="0"/>
    <n v="0.105"/>
    <n v="1"/>
    <n v="2"/>
    <n v="0"/>
    <n v="3"/>
    <n v="28.57"/>
    <n v="71.42"/>
    <n v="0"/>
    <s v="Consolidation"/>
    <s v="CO2e and Base Measure"/>
    <n v="100"/>
    <n v="100"/>
    <n v="0.11"/>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4-01T00:00:00"/>
    <s v="FY21"/>
    <s v="t"/>
    <n v="0"/>
    <n v="0"/>
    <n v="7.4999999999999997E-2"/>
    <n v="7.4999999999999997E-2"/>
    <n v="0"/>
    <n v="0"/>
    <n v="30"/>
    <n v="30"/>
    <n v="0"/>
    <n v="0"/>
    <n v="100"/>
    <s v="Consolidation"/>
    <s v="CO2e and Base Measure"/>
    <n v="100"/>
    <n v="100"/>
    <n v="0.08"/>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5-01T00:00:00"/>
    <s v="FY21"/>
    <s v="t"/>
    <n v="0"/>
    <n v="0"/>
    <n v="7.7499999999999999E-2"/>
    <n v="7.7499999999999999E-2"/>
    <n v="0"/>
    <n v="0"/>
    <n v="31"/>
    <n v="31"/>
    <n v="0"/>
    <n v="0"/>
    <n v="100"/>
    <s v="Consolidation"/>
    <s v="CO2e and Base Measure"/>
    <n v="100"/>
    <n v="100"/>
    <n v="0.08"/>
    <m/>
    <m/>
    <m/>
    <m/>
    <m/>
    <m/>
    <m/>
    <m/>
    <m/>
    <m/>
    <m/>
    <m/>
    <m/>
    <s v="AUD"/>
    <s v="13634357Waste Recycled - Paper and Cardboard [t]"/>
    <n v="13634357"/>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1-01T00:00:00"/>
    <s v="FY21"/>
    <s v="t"/>
    <n v="2E-3"/>
    <n v="0"/>
    <n v="0"/>
    <n v="2E-3"/>
    <n v="1"/>
    <n v="0"/>
    <n v="0"/>
    <n v="1"/>
    <n v="100"/>
    <n v="0"/>
    <n v="0"/>
    <s v="Consolidation"/>
    <s v="CO2e and Base Measure"/>
    <n v="100"/>
    <n v="100"/>
    <n v="0"/>
    <m/>
    <m/>
    <m/>
    <m/>
    <m/>
    <n v="2.3999999999999998E-3"/>
    <m/>
    <n v="2.3999999999999998E-3"/>
    <m/>
    <m/>
    <m/>
    <m/>
    <m/>
    <s v="AUD"/>
    <s v="13634511Waste - Construction and Demolition [t]"/>
    <n v="13634511"/>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2-01T00:00:00"/>
    <s v="FY21"/>
    <s v="t"/>
    <n v="0"/>
    <n v="0"/>
    <n v="2.8E-3"/>
    <n v="2.8E-3"/>
    <n v="0"/>
    <n v="0"/>
    <n v="28"/>
    <n v="28"/>
    <n v="0"/>
    <n v="0"/>
    <n v="100"/>
    <s v="Consolidation"/>
    <s v="CO2e and Base Measure"/>
    <n v="100"/>
    <n v="100"/>
    <n v="0"/>
    <m/>
    <m/>
    <m/>
    <m/>
    <m/>
    <n v="3.3999999999999998E-3"/>
    <m/>
    <n v="3.3999999999999998E-3"/>
    <m/>
    <m/>
    <m/>
    <m/>
    <m/>
    <s v="AUD"/>
    <s v="13634511Waste - Construction and Demolition [t]"/>
    <n v="13634511"/>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3-01T00:00:00"/>
    <s v="FY21"/>
    <s v="t"/>
    <n v="0"/>
    <n v="0"/>
    <n v="3.0999999999999999E-3"/>
    <n v="3.0999999999999999E-3"/>
    <n v="0"/>
    <n v="0"/>
    <n v="31"/>
    <n v="31"/>
    <n v="0"/>
    <n v="0"/>
    <n v="100"/>
    <s v="Consolidation"/>
    <s v="CO2e and Base Measure"/>
    <n v="100"/>
    <n v="100"/>
    <n v="0"/>
    <m/>
    <m/>
    <m/>
    <m/>
    <m/>
    <n v="3.7000000000000002E-3"/>
    <m/>
    <n v="3.7000000000000002E-3"/>
    <m/>
    <m/>
    <m/>
    <m/>
    <m/>
    <s v="AUD"/>
    <s v="13634511Waste - Construction and Demolition [t]"/>
    <n v="13634511"/>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4-01T00:00:00"/>
    <s v="FY21"/>
    <s v="t"/>
    <n v="0"/>
    <n v="0"/>
    <n v="3.0000000000000001E-3"/>
    <n v="3.0000000000000001E-3"/>
    <n v="0"/>
    <n v="0"/>
    <n v="30"/>
    <n v="30"/>
    <n v="0"/>
    <n v="0"/>
    <n v="100"/>
    <s v="Consolidation"/>
    <s v="CO2e and Base Measure"/>
    <n v="100"/>
    <n v="100"/>
    <n v="0"/>
    <m/>
    <m/>
    <m/>
    <m/>
    <m/>
    <n v="3.5999999999999999E-3"/>
    <m/>
    <n v="3.5999999999999999E-3"/>
    <m/>
    <m/>
    <m/>
    <m/>
    <m/>
    <s v="AUD"/>
    <s v="13634511Waste - Construction and Demolition [t]"/>
    <n v="13634511"/>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5-01T00:00:00"/>
    <s v="FY21"/>
    <s v="t"/>
    <n v="0"/>
    <n v="0"/>
    <n v="3.0999999999999999E-3"/>
    <n v="3.0999999999999999E-3"/>
    <n v="0"/>
    <n v="0"/>
    <n v="31"/>
    <n v="31"/>
    <n v="0"/>
    <n v="0"/>
    <n v="100"/>
    <s v="Consolidation"/>
    <s v="CO2e and Base Measure"/>
    <n v="100"/>
    <n v="100"/>
    <n v="0"/>
    <m/>
    <m/>
    <m/>
    <m/>
    <m/>
    <n v="3.7000000000000002E-3"/>
    <m/>
    <n v="3.7000000000000002E-3"/>
    <m/>
    <m/>
    <m/>
    <m/>
    <m/>
    <s v="AUD"/>
    <s v="13634511Waste - Construction and Demolition [t]"/>
    <n v="13634511"/>
  </r>
  <r>
    <d v="2019-07-01T00:00:00"/>
    <d v="2021-06-30T00:00:00"/>
    <s v="Telstra"/>
    <s v="NON-NETWORK"/>
    <s v="NON-NETWORK"/>
    <s v="QLD"/>
    <s v="Australia"/>
    <s v="Cairns"/>
    <s v="CAIRNS TOC"/>
    <n v="423031190600"/>
    <s v="Recycled Waste"/>
    <x v="0"/>
    <x v="1"/>
    <s v="Account"/>
    <s v="CLEANAWAY eWaste"/>
    <m/>
    <s v="31190600_Diversion_eWaste"/>
    <s v="eWaste"/>
    <s v="Cleanaway"/>
    <m/>
    <d v="2021-02-03T00:00:00"/>
    <m/>
    <d v="2021-02-01T00:00:00"/>
    <s v="FY21"/>
    <s v="t"/>
    <n v="1"/>
    <n v="0"/>
    <n v="0"/>
    <n v="1"/>
    <n v="1"/>
    <n v="0"/>
    <n v="0"/>
    <n v="1"/>
    <n v="100"/>
    <n v="0"/>
    <n v="0"/>
    <s v="Consolidation"/>
    <s v="CO2e and Base Measure"/>
    <n v="100"/>
    <n v="100"/>
    <n v="1"/>
    <m/>
    <m/>
    <m/>
    <m/>
    <m/>
    <m/>
    <m/>
    <m/>
    <m/>
    <m/>
    <m/>
    <m/>
    <m/>
    <s v="AUD"/>
    <s v="13639949Waste Recycled - E-waste [t]"/>
    <n v="13639949"/>
  </r>
  <r>
    <d v="2019-07-01T00:00:00"/>
    <d v="2021-06-30T00:00:00"/>
    <s v="Telstra"/>
    <s v="NON-NETWORK"/>
    <s v="NON-NETWORK"/>
    <s v="QLD"/>
    <s v="Australia"/>
    <s v="Cairns"/>
    <s v="CAIRNS TOC"/>
    <n v="423031190600"/>
    <s v="Recycled Waste"/>
    <x v="0"/>
    <x v="1"/>
    <s v="Account"/>
    <s v="CLEANAWAY eWaste"/>
    <m/>
    <s v="31190600_Diversion_eWaste"/>
    <s v="eWaste"/>
    <s v="Cleanaway"/>
    <m/>
    <d v="2021-02-03T00:00:00"/>
    <m/>
    <d v="2021-03-01T00:00:00"/>
    <s v="FY21"/>
    <s v="t"/>
    <n v="0"/>
    <n v="0"/>
    <n v="1.147"/>
    <n v="1.147"/>
    <n v="0"/>
    <n v="0"/>
    <n v="31"/>
    <n v="31"/>
    <n v="0"/>
    <n v="0"/>
    <n v="100"/>
    <s v="Consolidation"/>
    <s v="CO2e and Base Measure"/>
    <n v="100"/>
    <n v="100"/>
    <n v="1.1499999999999999"/>
    <m/>
    <m/>
    <m/>
    <m/>
    <m/>
    <m/>
    <m/>
    <m/>
    <m/>
    <m/>
    <m/>
    <m/>
    <m/>
    <s v="AUD"/>
    <s v="13639949Waste Recycled - E-waste [t]"/>
    <n v="13639949"/>
  </r>
  <r>
    <d v="2019-07-01T00:00:00"/>
    <d v="2021-06-30T00:00:00"/>
    <s v="Telstra"/>
    <s v="NON-NETWORK"/>
    <s v="NON-NETWORK"/>
    <s v="QLD"/>
    <s v="Australia"/>
    <s v="Cairns"/>
    <s v="CAIRNS TOC"/>
    <n v="423031190600"/>
    <s v="Recycled Waste"/>
    <x v="0"/>
    <x v="1"/>
    <s v="Account"/>
    <s v="CLEANAWAY eWaste"/>
    <m/>
    <s v="31190600_Diversion_eWaste"/>
    <s v="eWaste"/>
    <s v="Cleanaway"/>
    <m/>
    <d v="2021-02-03T00:00:00"/>
    <m/>
    <d v="2021-04-01T00:00:00"/>
    <s v="FY21"/>
    <s v="t"/>
    <n v="0"/>
    <n v="0"/>
    <n v="1.1100000000000001"/>
    <n v="1.1100000000000001"/>
    <n v="0"/>
    <n v="0"/>
    <n v="30"/>
    <n v="30"/>
    <n v="0"/>
    <n v="0"/>
    <n v="100"/>
    <s v="Consolidation"/>
    <s v="CO2e and Base Measure"/>
    <n v="100"/>
    <n v="100"/>
    <n v="1.1100000000000001"/>
    <m/>
    <m/>
    <m/>
    <m/>
    <m/>
    <m/>
    <m/>
    <m/>
    <m/>
    <m/>
    <m/>
    <m/>
    <m/>
    <s v="AUD"/>
    <s v="13639949Waste Recycled - E-waste [t]"/>
    <n v="13639949"/>
  </r>
  <r>
    <d v="2019-07-01T00:00:00"/>
    <d v="2021-06-30T00:00:00"/>
    <s v="Telstra"/>
    <s v="NON-NETWORK"/>
    <s v="NON-NETWORK"/>
    <s v="QLD"/>
    <s v="Australia"/>
    <s v="Cairns"/>
    <s v="CAIRNS TOC"/>
    <n v="423031190600"/>
    <s v="Recycled Waste"/>
    <x v="0"/>
    <x v="1"/>
    <s v="Account"/>
    <s v="CLEANAWAY eWaste"/>
    <m/>
    <s v="31190600_Diversion_eWaste"/>
    <s v="eWaste"/>
    <s v="Cleanaway"/>
    <m/>
    <d v="2021-02-03T00:00:00"/>
    <m/>
    <d v="2021-05-01T00:00:00"/>
    <s v="FY21"/>
    <s v="t"/>
    <n v="0"/>
    <n v="0"/>
    <n v="1.147"/>
    <n v="1.147"/>
    <n v="0"/>
    <n v="0"/>
    <n v="31"/>
    <n v="31"/>
    <n v="0"/>
    <n v="0"/>
    <n v="100"/>
    <s v="Consolidation"/>
    <s v="CO2e and Base Measure"/>
    <n v="100"/>
    <n v="100"/>
    <n v="1.1499999999999999"/>
    <m/>
    <m/>
    <m/>
    <m/>
    <m/>
    <m/>
    <m/>
    <m/>
    <m/>
    <m/>
    <m/>
    <m/>
    <m/>
    <s v="AUD"/>
    <s v="13639949Waste Recycled - E-waste [t]"/>
    <n v="13639949"/>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07-01T00:00:00"/>
    <s v="FY21"/>
    <s v="t"/>
    <n v="0.54500000000000004"/>
    <n v="0"/>
    <n v="0"/>
    <n v="0.54500000000000004"/>
    <n v="9"/>
    <n v="0"/>
    <n v="0"/>
    <n v="9"/>
    <n v="100"/>
    <n v="0"/>
    <n v="0"/>
    <s v="Consolidation"/>
    <s v="CO2e and Base Measure"/>
    <n v="100"/>
    <n v="100"/>
    <n v="0.55000000000000004"/>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08-01T00:00:00"/>
    <s v="FY21"/>
    <s v="t"/>
    <n v="0.21"/>
    <n v="6.3E-2"/>
    <n v="0"/>
    <n v="0.27300000000000002"/>
    <n v="7"/>
    <n v="1"/>
    <n v="0"/>
    <n v="8"/>
    <n v="76.92"/>
    <n v="23.07"/>
    <n v="0"/>
    <s v="Consolidation"/>
    <s v="CO2e and Base Measure"/>
    <n v="100"/>
    <n v="100"/>
    <n v="0.27"/>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09-01T00:00:00"/>
    <s v="FY21"/>
    <s v="t"/>
    <n v="0.22500000000000001"/>
    <n v="0"/>
    <n v="0"/>
    <n v="0.22500000000000001"/>
    <n v="8"/>
    <n v="0"/>
    <n v="0"/>
    <n v="8"/>
    <n v="100"/>
    <n v="0"/>
    <n v="0"/>
    <s v="Consolidation"/>
    <s v="CO2e and Base Measure"/>
    <n v="100"/>
    <n v="100"/>
    <n v="0.23"/>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10-01T00:00:00"/>
    <s v="FY21"/>
    <s v="t"/>
    <n v="0.23499999999999999"/>
    <n v="0"/>
    <n v="0"/>
    <n v="0.23499999999999999"/>
    <n v="8"/>
    <n v="0"/>
    <n v="0"/>
    <n v="8"/>
    <n v="100"/>
    <n v="0"/>
    <n v="0"/>
    <s v="Consolidation"/>
    <s v="CO2e and Base Measure"/>
    <n v="100"/>
    <n v="100"/>
    <n v="0.24"/>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11-01T00:00:00"/>
    <s v="FY21"/>
    <s v="t"/>
    <n v="0.13500000000000001"/>
    <n v="0.189"/>
    <n v="0"/>
    <n v="0.32400000000000001"/>
    <n v="5"/>
    <n v="3"/>
    <n v="0"/>
    <n v="8"/>
    <n v="41.66"/>
    <n v="58.33"/>
    <n v="0"/>
    <s v="Consolidation"/>
    <s v="CO2e and Base Measure"/>
    <n v="100"/>
    <n v="100"/>
    <n v="0.32"/>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12-01T00:00:00"/>
    <s v="FY21"/>
    <s v="t"/>
    <n v="0.04"/>
    <n v="6.3E-2"/>
    <n v="0"/>
    <n v="0.10299999999999999"/>
    <n v="1"/>
    <n v="1"/>
    <n v="0"/>
    <n v="2"/>
    <n v="38.83"/>
    <n v="61.16"/>
    <n v="0"/>
    <s v="Consolidation"/>
    <s v="CO2e and Base Measure"/>
    <n v="100"/>
    <n v="100"/>
    <n v="0.1"/>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1-01-01T00:00:00"/>
    <s v="FY21"/>
    <s v="t"/>
    <n v="0"/>
    <n v="0"/>
    <n v="9.4000000000000004E-3"/>
    <n v="9.4000000000000004E-3"/>
    <n v="0"/>
    <n v="0"/>
    <n v="1"/>
    <n v="1"/>
    <n v="0"/>
    <n v="0"/>
    <n v="100"/>
    <s v="Consolidation"/>
    <s v="CO2e and Base Measure"/>
    <n v="100"/>
    <n v="100"/>
    <n v="0.01"/>
    <m/>
    <m/>
    <m/>
    <m/>
    <m/>
    <m/>
    <n v="0"/>
    <m/>
    <m/>
    <m/>
    <m/>
    <m/>
    <m/>
    <s v="AUD"/>
    <s v="13565560Waste Recycled - Cardboard [t]"/>
    <n v="13565560"/>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0-07-01T00:00:00"/>
    <s v="FY21"/>
    <s v="t"/>
    <n v="0"/>
    <n v="0.246"/>
    <n v="0"/>
    <n v="0.246"/>
    <n v="0"/>
    <n v="3"/>
    <n v="0"/>
    <n v="3"/>
    <n v="0"/>
    <n v="100"/>
    <n v="0"/>
    <s v="Consolidation"/>
    <s v="CO2e and Base Measure"/>
    <n v="100"/>
    <n v="100"/>
    <n v="0.25"/>
    <m/>
    <m/>
    <m/>
    <m/>
    <m/>
    <m/>
    <n v="0"/>
    <m/>
    <m/>
    <m/>
    <m/>
    <m/>
    <m/>
    <s v="AUD"/>
    <s v="13565562Waste Recycled - Commingled [t]"/>
    <n v="13565562"/>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0-08-01T00:00:00"/>
    <s v="FY21"/>
    <s v="t"/>
    <n v="0"/>
    <n v="0.159"/>
    <n v="0"/>
    <n v="0.159"/>
    <n v="0"/>
    <n v="3"/>
    <n v="0"/>
    <n v="3"/>
    <n v="0"/>
    <n v="100"/>
    <n v="0"/>
    <s v="Consolidation"/>
    <s v="CO2e and Base Measure"/>
    <n v="100"/>
    <n v="100"/>
    <n v="0.16"/>
    <m/>
    <m/>
    <m/>
    <m/>
    <m/>
    <m/>
    <n v="0"/>
    <m/>
    <m/>
    <m/>
    <m/>
    <m/>
    <m/>
    <s v="AUD"/>
    <s v="13565562Waste Recycled - Commingled [t]"/>
    <n v="13565562"/>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0-09-01T00:00:00"/>
    <s v="FY21"/>
    <s v="t"/>
    <n v="0"/>
    <n v="2.4E-2"/>
    <n v="0"/>
    <n v="2.4E-2"/>
    <n v="0"/>
    <n v="1"/>
    <n v="0"/>
    <n v="1"/>
    <n v="0"/>
    <n v="100"/>
    <n v="0"/>
    <s v="Consolidation"/>
    <s v="CO2e and Base Measure"/>
    <n v="100"/>
    <n v="100"/>
    <n v="0.02"/>
    <m/>
    <m/>
    <m/>
    <m/>
    <m/>
    <m/>
    <n v="0"/>
    <m/>
    <m/>
    <m/>
    <m/>
    <m/>
    <m/>
    <s v="AUD"/>
    <s v="13565562Waste Recycled - Commingled [t]"/>
    <n v="13565562"/>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0-12-01T00:00:00"/>
    <s v="FY21"/>
    <s v="t"/>
    <n v="0"/>
    <n v="6.6000000000000003E-2"/>
    <n v="0"/>
    <n v="6.6000000000000003E-2"/>
    <n v="0"/>
    <n v="1"/>
    <n v="0"/>
    <n v="1"/>
    <n v="0"/>
    <n v="100"/>
    <n v="0"/>
    <s v="Consolidation"/>
    <s v="CO2e and Base Measure"/>
    <n v="100"/>
    <n v="100"/>
    <n v="7.0000000000000007E-2"/>
    <m/>
    <m/>
    <m/>
    <m/>
    <m/>
    <m/>
    <n v="0"/>
    <m/>
    <m/>
    <m/>
    <m/>
    <m/>
    <m/>
    <s v="AUD"/>
    <s v="13565562Waste Recycled - Commingled [t]"/>
    <n v="13565562"/>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1-01-01T00:00:00"/>
    <s v="FY21"/>
    <s v="t"/>
    <n v="0"/>
    <n v="0"/>
    <n v="3.0999999999999999E-3"/>
    <n v="3.0999999999999999E-3"/>
    <n v="0"/>
    <n v="0"/>
    <n v="1"/>
    <n v="1"/>
    <n v="0"/>
    <n v="0"/>
    <n v="100"/>
    <s v="Consolidation"/>
    <s v="CO2e and Base Measure"/>
    <n v="100"/>
    <n v="100"/>
    <n v="0"/>
    <m/>
    <m/>
    <m/>
    <m/>
    <m/>
    <m/>
    <n v="0"/>
    <m/>
    <m/>
    <m/>
    <m/>
    <m/>
    <m/>
    <s v="AUD"/>
    <s v="13565562Waste Recycled - Commingled [t]"/>
    <n v="13565562"/>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0-09-01T00:00:00"/>
    <s v="FY21"/>
    <s v="t"/>
    <n v="0.218"/>
    <n v="0"/>
    <n v="0"/>
    <n v="0.218"/>
    <n v="1"/>
    <n v="0"/>
    <n v="0"/>
    <n v="1"/>
    <n v="100"/>
    <n v="0"/>
    <n v="0"/>
    <s v="Consolidation"/>
    <s v="CO2e and Base Measure"/>
    <n v="100"/>
    <n v="100"/>
    <n v="0.22"/>
    <m/>
    <m/>
    <m/>
    <m/>
    <m/>
    <m/>
    <m/>
    <m/>
    <m/>
    <m/>
    <m/>
    <m/>
    <m/>
    <s v="AUD"/>
    <s v="13565563Waste Recycled - E-waste [t]"/>
    <n v="13565563"/>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0-10-01T00:00:00"/>
    <s v="FY21"/>
    <s v="t"/>
    <n v="0.22500000000000001"/>
    <n v="0"/>
    <n v="0"/>
    <n v="0.22500000000000001"/>
    <n v="1"/>
    <n v="0"/>
    <n v="0"/>
    <n v="1"/>
    <n v="100"/>
    <n v="0"/>
    <n v="0"/>
    <s v="Consolidation"/>
    <s v="CO2e and Base Measure"/>
    <n v="100"/>
    <n v="100"/>
    <n v="0.23"/>
    <m/>
    <m/>
    <m/>
    <m/>
    <m/>
    <m/>
    <m/>
    <m/>
    <m/>
    <m/>
    <m/>
    <m/>
    <m/>
    <s v="AUD"/>
    <s v="13565563Waste Recycled - E-waste [t]"/>
    <n v="13565563"/>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0-11-01T00:00:00"/>
    <s v="FY21"/>
    <s v="t"/>
    <n v="0"/>
    <n v="0.17100000000000001"/>
    <n v="0"/>
    <n v="0.17100000000000001"/>
    <n v="0"/>
    <n v="2"/>
    <n v="0"/>
    <n v="2"/>
    <n v="0"/>
    <n v="100"/>
    <n v="0"/>
    <s v="Consolidation"/>
    <s v="CO2e and Base Measure"/>
    <n v="100"/>
    <n v="100"/>
    <n v="0.17"/>
    <m/>
    <m/>
    <m/>
    <m/>
    <m/>
    <m/>
    <m/>
    <m/>
    <m/>
    <m/>
    <m/>
    <m/>
    <m/>
    <s v="AUD"/>
    <s v="13565563Waste Recycled - E-waste [t]"/>
    <n v="13565563"/>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0-12-01T00:00:00"/>
    <s v="FY21"/>
    <s v="t"/>
    <n v="0"/>
    <n v="0.17100000000000001"/>
    <n v="0"/>
    <n v="0.17100000000000001"/>
    <n v="0"/>
    <n v="2"/>
    <n v="0"/>
    <n v="2"/>
    <n v="0"/>
    <n v="100"/>
    <n v="0"/>
    <s v="Consolidation"/>
    <s v="CO2e and Base Measure"/>
    <n v="100"/>
    <n v="100"/>
    <n v="0.17"/>
    <m/>
    <m/>
    <m/>
    <m/>
    <m/>
    <m/>
    <m/>
    <m/>
    <m/>
    <m/>
    <m/>
    <m/>
    <m/>
    <s v="AUD"/>
    <s v="13565563Waste Recycled - E-waste [t]"/>
    <n v="13565563"/>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1-01-01T00:00:00"/>
    <s v="FY21"/>
    <s v="t"/>
    <n v="0"/>
    <n v="0"/>
    <n v="6.4999999999999997E-3"/>
    <n v="6.4999999999999997E-3"/>
    <n v="0"/>
    <n v="0"/>
    <n v="1"/>
    <n v="1"/>
    <n v="0"/>
    <n v="0"/>
    <n v="100"/>
    <s v="Consolidation"/>
    <s v="CO2e and Base Measure"/>
    <n v="100"/>
    <n v="100"/>
    <n v="0.01"/>
    <m/>
    <m/>
    <m/>
    <m/>
    <m/>
    <m/>
    <m/>
    <m/>
    <m/>
    <m/>
    <m/>
    <m/>
    <m/>
    <s v="AUD"/>
    <s v="13565563Waste Recycled - E-waste [t]"/>
    <n v="13565563"/>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07-01T00:00:00"/>
    <s v="FY21"/>
    <s v="t"/>
    <n v="0.97"/>
    <n v="0.39"/>
    <n v="0"/>
    <n v="1.36"/>
    <n v="16"/>
    <n v="2"/>
    <n v="0"/>
    <n v="18"/>
    <n v="71.319999999999993"/>
    <n v="28.67"/>
    <n v="0"/>
    <s v="Consolidation"/>
    <s v="CO2e and Base Measure"/>
    <n v="100"/>
    <n v="100"/>
    <n v="1.36"/>
    <m/>
    <m/>
    <m/>
    <m/>
    <m/>
    <n v="1.768"/>
    <m/>
    <n v="1.768"/>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08-01T00:00:00"/>
    <s v="FY21"/>
    <s v="t"/>
    <n v="0.65500000000000003"/>
    <n v="0.58499999999999996"/>
    <n v="0"/>
    <n v="1.24"/>
    <n v="13"/>
    <n v="3"/>
    <n v="0"/>
    <n v="16"/>
    <n v="52.82"/>
    <n v="47.17"/>
    <n v="0"/>
    <s v="Consolidation"/>
    <s v="CO2e and Base Measure"/>
    <n v="100"/>
    <n v="100"/>
    <n v="1.24"/>
    <m/>
    <m/>
    <m/>
    <m/>
    <m/>
    <n v="1.6120000000000001"/>
    <m/>
    <n v="1.6120000000000001"/>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09-01T00:00:00"/>
    <s v="FY21"/>
    <s v="t"/>
    <n v="0.40500000000000003"/>
    <n v="0.19500000000000001"/>
    <n v="0"/>
    <n v="0.6"/>
    <n v="12"/>
    <n v="1"/>
    <n v="0"/>
    <n v="13"/>
    <n v="67.5"/>
    <n v="32.5"/>
    <n v="0"/>
    <s v="Consolidation"/>
    <s v="CO2e and Base Measure"/>
    <n v="100"/>
    <n v="100"/>
    <n v="0.6"/>
    <m/>
    <m/>
    <m/>
    <m/>
    <m/>
    <n v="0.78"/>
    <m/>
    <n v="0.78"/>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10-01T00:00:00"/>
    <s v="FY21"/>
    <s v="t"/>
    <n v="0.35499999999999998"/>
    <n v="0.39"/>
    <n v="0"/>
    <n v="0.745"/>
    <n v="11"/>
    <n v="2"/>
    <n v="0"/>
    <n v="13"/>
    <n v="47.65"/>
    <n v="52.34"/>
    <n v="0"/>
    <s v="Consolidation"/>
    <s v="CO2e and Base Measure"/>
    <n v="100"/>
    <n v="100"/>
    <n v="0.75"/>
    <m/>
    <m/>
    <m/>
    <m/>
    <m/>
    <n v="0.96850000000000003"/>
    <m/>
    <n v="0.96850000000000003"/>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11-01T00:00:00"/>
    <s v="FY21"/>
    <s v="t"/>
    <n v="0.56499999999999995"/>
    <n v="0.19500000000000001"/>
    <n v="0"/>
    <n v="0.76"/>
    <n v="9"/>
    <n v="1"/>
    <n v="0"/>
    <n v="10"/>
    <n v="74.34"/>
    <n v="25.65"/>
    <n v="0"/>
    <s v="Consolidation"/>
    <s v="CO2e and Base Measure"/>
    <n v="100"/>
    <n v="100"/>
    <n v="0.76"/>
    <m/>
    <m/>
    <m/>
    <m/>
    <m/>
    <n v="0.98799999999999999"/>
    <m/>
    <n v="0.98799999999999999"/>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12-01T00:00:00"/>
    <s v="FY21"/>
    <s v="t"/>
    <n v="0"/>
    <n v="0.78"/>
    <n v="0"/>
    <n v="0.78"/>
    <n v="0"/>
    <n v="4"/>
    <n v="0"/>
    <n v="4"/>
    <n v="0"/>
    <n v="100"/>
    <n v="0"/>
    <s v="Consolidation"/>
    <s v="CO2e and Base Measure"/>
    <n v="100"/>
    <n v="100"/>
    <n v="0.78"/>
    <m/>
    <m/>
    <m/>
    <m/>
    <m/>
    <n v="1.014"/>
    <m/>
    <n v="1.014"/>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1-01-01T00:00:00"/>
    <s v="FY21"/>
    <s v="t"/>
    <n v="0"/>
    <n v="0"/>
    <n v="3.2899999999999999E-2"/>
    <n v="3.2899999999999999E-2"/>
    <n v="0"/>
    <n v="0"/>
    <n v="1"/>
    <n v="1"/>
    <n v="0"/>
    <n v="0"/>
    <n v="100"/>
    <s v="Consolidation"/>
    <s v="CO2e and Base Measure"/>
    <n v="100"/>
    <n v="100"/>
    <n v="0.03"/>
    <m/>
    <m/>
    <m/>
    <m/>
    <m/>
    <n v="4.2799999999999998E-2"/>
    <m/>
    <n v="4.2799999999999998E-2"/>
    <m/>
    <m/>
    <m/>
    <m/>
    <m/>
    <s v="AUD"/>
    <s v="13565565Waste - General [t] - Scope 3"/>
    <n v="13565565"/>
  </r>
  <r>
    <d v="2019-07-01T00:00:00"/>
    <d v="2021-06-30T00:00:00"/>
    <s v="Telstra"/>
    <s v="NON-NETWORK"/>
    <s v="NON-NETWORK"/>
    <s v="VIC"/>
    <s v="Australia"/>
    <s v="Burwood"/>
    <s v="CALL CENTRE 301 BURWOOD HWY"/>
    <n v="423031160300"/>
    <s v="Recycled Waste"/>
    <x v="0"/>
    <x v="0"/>
    <s v="Account"/>
    <s v="Remondis Security Destruction"/>
    <m/>
    <s v="423031160300_RPAPSECUR"/>
    <s v="SECURITY DESTRUCTION"/>
    <s v="Remondis"/>
    <m/>
    <m/>
    <d v="2021-01-01T00:00:00"/>
    <d v="2020-12-01T00:00:00"/>
    <s v="FY21"/>
    <s v="t"/>
    <n v="0"/>
    <n v="7.9200000000000007E-2"/>
    <n v="0"/>
    <n v="7.9200000000000007E-2"/>
    <n v="0"/>
    <n v="1"/>
    <n v="0"/>
    <n v="1"/>
    <n v="0"/>
    <n v="100"/>
    <n v="0"/>
    <s v="Consolidation"/>
    <s v="CO2e and Base Measure"/>
    <n v="100"/>
    <n v="100"/>
    <n v="0.08"/>
    <m/>
    <m/>
    <m/>
    <m/>
    <m/>
    <m/>
    <n v="0"/>
    <m/>
    <m/>
    <m/>
    <m/>
    <m/>
    <m/>
    <s v="AUD"/>
    <s v="13565569Waste Recycled - Cardboard [t]"/>
    <n v="13565569"/>
  </r>
  <r>
    <d v="2019-07-01T00:00:00"/>
    <d v="2021-06-30T00:00:00"/>
    <s v="Telstra"/>
    <s v="NON-NETWORK"/>
    <s v="NON-NETWORK"/>
    <s v="VIC"/>
    <s v="Australia"/>
    <s v="Burwood"/>
    <s v="CALL CENTRE 301 BURWOOD HWY"/>
    <n v="423031160300"/>
    <s v="Recycled Waste"/>
    <x v="0"/>
    <x v="0"/>
    <s v="Account"/>
    <s v="Remondis Security Destruction"/>
    <m/>
    <s v="423031160300_RPAPSECUR"/>
    <s v="SECURITY DESTRUCTION"/>
    <s v="Remondis"/>
    <m/>
    <m/>
    <d v="2021-01-01T00:00:00"/>
    <d v="2021-01-01T00:00:00"/>
    <s v="FY21"/>
    <s v="t"/>
    <n v="0"/>
    <n v="0"/>
    <n v="2.5999999999999999E-3"/>
    <n v="2.5999999999999999E-3"/>
    <n v="0"/>
    <n v="0"/>
    <n v="1"/>
    <n v="1"/>
    <n v="0"/>
    <n v="0"/>
    <n v="100"/>
    <s v="Consolidation"/>
    <s v="CO2e and Base Measure"/>
    <n v="100"/>
    <n v="100"/>
    <n v="0"/>
    <m/>
    <m/>
    <m/>
    <m/>
    <m/>
    <m/>
    <n v="0"/>
    <m/>
    <m/>
    <m/>
    <m/>
    <m/>
    <m/>
    <s v="AUD"/>
    <s v="13565569Waste Recycled - Cardboard [t]"/>
    <n v="13565569"/>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07-01T00:00:00"/>
    <s v="FY21"/>
    <s v="t"/>
    <n v="0"/>
    <n v="0.2145"/>
    <n v="0"/>
    <n v="0.2145"/>
    <n v="0"/>
    <n v="5"/>
    <n v="0"/>
    <n v="5"/>
    <n v="0"/>
    <n v="100"/>
    <n v="0"/>
    <s v="Consolidation"/>
    <s v="CO2e and Base Measure"/>
    <n v="100"/>
    <n v="100"/>
    <n v="0.21"/>
    <m/>
    <m/>
    <m/>
    <m/>
    <m/>
    <n v="0.27889999999999998"/>
    <m/>
    <n v="0.27889999999999998"/>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08-01T00:00:00"/>
    <s v="FY21"/>
    <s v="t"/>
    <n v="0"/>
    <n v="0.1716"/>
    <n v="0"/>
    <n v="0.1716"/>
    <n v="0"/>
    <n v="4"/>
    <n v="0"/>
    <n v="4"/>
    <n v="0"/>
    <n v="100"/>
    <n v="0"/>
    <s v="Consolidation"/>
    <s v="CO2e and Base Measure"/>
    <n v="100"/>
    <n v="100"/>
    <n v="0.17"/>
    <m/>
    <m/>
    <m/>
    <m/>
    <m/>
    <n v="0.22309999999999999"/>
    <m/>
    <n v="0.22309999999999999"/>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09-01T00:00:00"/>
    <s v="FY21"/>
    <s v="t"/>
    <n v="0"/>
    <n v="0.1716"/>
    <n v="0"/>
    <n v="0.1716"/>
    <n v="0"/>
    <n v="4"/>
    <n v="0"/>
    <n v="4"/>
    <n v="0"/>
    <n v="100"/>
    <n v="0"/>
    <s v="Consolidation"/>
    <s v="CO2e and Base Measure"/>
    <n v="100"/>
    <n v="100"/>
    <n v="0.17"/>
    <m/>
    <m/>
    <m/>
    <m/>
    <m/>
    <n v="0.22309999999999999"/>
    <m/>
    <n v="0.22309999999999999"/>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10-01T00:00:00"/>
    <s v="FY21"/>
    <s v="t"/>
    <n v="0"/>
    <n v="0.2145"/>
    <n v="0"/>
    <n v="0.2145"/>
    <n v="0"/>
    <n v="5"/>
    <n v="0"/>
    <n v="5"/>
    <n v="0"/>
    <n v="100"/>
    <n v="0"/>
    <s v="Consolidation"/>
    <s v="CO2e and Base Measure"/>
    <n v="100"/>
    <n v="100"/>
    <n v="0.21"/>
    <m/>
    <m/>
    <m/>
    <m/>
    <m/>
    <n v="0.27889999999999998"/>
    <m/>
    <n v="0.27889999999999998"/>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11-01T00:00:00"/>
    <s v="FY21"/>
    <s v="t"/>
    <n v="0"/>
    <n v="0.1716"/>
    <n v="0"/>
    <n v="0.1716"/>
    <n v="0"/>
    <n v="4"/>
    <n v="0"/>
    <n v="4"/>
    <n v="0"/>
    <n v="100"/>
    <n v="0"/>
    <s v="Consolidation"/>
    <s v="CO2e and Base Measure"/>
    <n v="100"/>
    <n v="100"/>
    <n v="0.17"/>
    <m/>
    <m/>
    <m/>
    <m/>
    <m/>
    <n v="0.22309999999999999"/>
    <m/>
    <n v="0.22309999999999999"/>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12-01T00:00:00"/>
    <s v="FY21"/>
    <s v="t"/>
    <n v="0"/>
    <n v="8.5800000000000001E-2"/>
    <n v="0"/>
    <n v="8.5800000000000001E-2"/>
    <n v="0"/>
    <n v="2"/>
    <n v="0"/>
    <n v="2"/>
    <n v="0"/>
    <n v="100"/>
    <n v="0"/>
    <s v="Consolidation"/>
    <s v="CO2e and Base Measure"/>
    <n v="100"/>
    <n v="100"/>
    <n v="0.09"/>
    <m/>
    <m/>
    <m/>
    <m/>
    <m/>
    <n v="0.1115"/>
    <m/>
    <n v="0.1115"/>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1-01-01T00:00:00"/>
    <s v="FY21"/>
    <s v="t"/>
    <n v="0"/>
    <n v="0"/>
    <n v="5.5999999999999999E-3"/>
    <n v="5.5999999999999999E-3"/>
    <n v="0"/>
    <n v="0"/>
    <n v="1"/>
    <n v="1"/>
    <n v="0"/>
    <n v="0"/>
    <n v="100"/>
    <s v="Consolidation"/>
    <s v="CO2e and Base Measure"/>
    <n v="100"/>
    <n v="100"/>
    <n v="0.01"/>
    <m/>
    <m/>
    <m/>
    <m/>
    <m/>
    <n v="7.3000000000000001E-3"/>
    <m/>
    <n v="7.3000000000000001E-3"/>
    <m/>
    <m/>
    <m/>
    <m/>
    <m/>
    <s v="AUD"/>
    <s v="13564092Waste - General [t] - Scope 3"/>
    <n v="13564092"/>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0-12-01T00:00:00"/>
    <s v="FY21"/>
    <s v="t"/>
    <n v="0.22900000000000001"/>
    <n v="0"/>
    <n v="0"/>
    <n v="0.22900000000000001"/>
    <n v="3"/>
    <n v="0"/>
    <n v="0"/>
    <n v="3"/>
    <n v="100"/>
    <n v="0"/>
    <n v="0"/>
    <s v="Consolidation"/>
    <s v="CO2e and Base Measure"/>
    <n v="100"/>
    <n v="100"/>
    <n v="0.23"/>
    <m/>
    <m/>
    <m/>
    <m/>
    <m/>
    <n v="0.29770000000000002"/>
    <m/>
    <n v="0.29770000000000002"/>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1-01T00:00:00"/>
    <s v="FY21"/>
    <s v="t"/>
    <n v="7.8E-2"/>
    <n v="6.7500000000000004E-2"/>
    <n v="0"/>
    <n v="0.14549999999999999"/>
    <n v="1"/>
    <n v="1"/>
    <n v="0"/>
    <n v="2"/>
    <n v="53.6"/>
    <n v="46.39"/>
    <n v="0"/>
    <s v="Consolidation"/>
    <s v="CO2e and Base Measure"/>
    <n v="100"/>
    <n v="100"/>
    <n v="0.15"/>
    <m/>
    <m/>
    <m/>
    <m/>
    <m/>
    <n v="0.18920000000000001"/>
    <m/>
    <n v="0.18920000000000001"/>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2-01T00:00:00"/>
    <s v="FY21"/>
    <s v="t"/>
    <n v="0.219"/>
    <n v="0"/>
    <n v="0"/>
    <n v="0.219"/>
    <n v="2"/>
    <n v="0"/>
    <n v="0"/>
    <n v="2"/>
    <n v="100"/>
    <n v="0"/>
    <n v="0"/>
    <s v="Consolidation"/>
    <s v="CO2e and Base Measure"/>
    <n v="100"/>
    <n v="100"/>
    <n v="0.22"/>
    <m/>
    <m/>
    <m/>
    <m/>
    <m/>
    <n v="0.28470000000000001"/>
    <m/>
    <n v="0.28470000000000001"/>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3-01T00:00:00"/>
    <s v="FY21"/>
    <s v="t"/>
    <n v="0.14399999999999999"/>
    <n v="0"/>
    <n v="0"/>
    <n v="0.14399999999999999"/>
    <n v="1"/>
    <n v="0"/>
    <n v="0"/>
    <n v="1"/>
    <n v="100"/>
    <n v="0"/>
    <n v="0"/>
    <s v="Consolidation"/>
    <s v="CO2e and Base Measure"/>
    <n v="100"/>
    <n v="100"/>
    <n v="0.14000000000000001"/>
    <m/>
    <m/>
    <m/>
    <m/>
    <m/>
    <n v="0.18720000000000001"/>
    <m/>
    <n v="0.18720000000000001"/>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4-01T00:00:00"/>
    <s v="FY21"/>
    <s v="t"/>
    <n v="0"/>
    <n v="0"/>
    <n v="0.183"/>
    <n v="0.183"/>
    <n v="0"/>
    <n v="0"/>
    <n v="30"/>
    <n v="30"/>
    <n v="0"/>
    <n v="0"/>
    <n v="100"/>
    <s v="Consolidation"/>
    <s v="CO2e and Base Measure"/>
    <n v="100"/>
    <n v="100"/>
    <n v="0.18"/>
    <m/>
    <m/>
    <m/>
    <m/>
    <m/>
    <n v="0.2379"/>
    <m/>
    <n v="0.2379"/>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5-01T00:00:00"/>
    <s v="FY21"/>
    <s v="t"/>
    <n v="0"/>
    <n v="0"/>
    <n v="0.18909999999999999"/>
    <n v="0.18909999999999999"/>
    <n v="0"/>
    <n v="0"/>
    <n v="31"/>
    <n v="31"/>
    <n v="0"/>
    <n v="0"/>
    <n v="100"/>
    <s v="Consolidation"/>
    <s v="CO2e and Base Measure"/>
    <n v="100"/>
    <n v="100"/>
    <n v="0.19"/>
    <m/>
    <m/>
    <m/>
    <m/>
    <m/>
    <n v="0.24579999999999999"/>
    <m/>
    <n v="0.24579999999999999"/>
    <m/>
    <m/>
    <m/>
    <m/>
    <m/>
    <s v="AUD"/>
    <s v="13634050Waste - General [t] - Scope 3"/>
    <n v="13634050"/>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0-12-01T00:00:00"/>
    <s v="FY21"/>
    <s v="t"/>
    <n v="0.12"/>
    <n v="0"/>
    <n v="0"/>
    <n v="0.12"/>
    <n v="1"/>
    <n v="0"/>
    <n v="0"/>
    <n v="1"/>
    <n v="100"/>
    <n v="0"/>
    <n v="0"/>
    <s v="Consolidation"/>
    <s v="CO2e and Base Measure"/>
    <n v="100"/>
    <n v="100"/>
    <n v="0.12"/>
    <m/>
    <m/>
    <m/>
    <m/>
    <m/>
    <n v="0.156"/>
    <m/>
    <n v="0.156"/>
    <m/>
    <m/>
    <m/>
    <m/>
    <m/>
    <s v="AUD"/>
    <s v="13634251Waste - General [t] - Scope 3"/>
    <n v="13634251"/>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1-01-01T00:00:00"/>
    <s v="FY21"/>
    <s v="t"/>
    <n v="0.17"/>
    <n v="6.7500000000000004E-2"/>
    <n v="0"/>
    <n v="0.23749999999999999"/>
    <n v="2"/>
    <n v="1"/>
    <n v="0"/>
    <n v="3"/>
    <n v="71.569999999999993"/>
    <n v="28.42"/>
    <n v="0"/>
    <s v="Consolidation"/>
    <s v="CO2e and Base Measure"/>
    <n v="100"/>
    <n v="100"/>
    <n v="0.24"/>
    <m/>
    <m/>
    <m/>
    <m/>
    <m/>
    <n v="0.30880000000000002"/>
    <m/>
    <n v="0.30880000000000002"/>
    <m/>
    <m/>
    <m/>
    <m/>
    <m/>
    <s v="AUD"/>
    <s v="13634251Waste - General [t] - Scope 3"/>
    <n v="13634251"/>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1-03-01T00:00:00"/>
    <s v="FY21"/>
    <s v="t"/>
    <n v="0.24"/>
    <n v="0"/>
    <n v="0"/>
    <n v="0.24"/>
    <n v="2"/>
    <n v="0"/>
    <n v="0"/>
    <n v="2"/>
    <n v="100"/>
    <n v="0"/>
    <n v="0"/>
    <s v="Consolidation"/>
    <s v="CO2e and Base Measure"/>
    <n v="100"/>
    <n v="100"/>
    <n v="0.24"/>
    <m/>
    <m/>
    <m/>
    <m/>
    <m/>
    <n v="0.312"/>
    <m/>
    <n v="0.312"/>
    <m/>
    <m/>
    <m/>
    <m/>
    <m/>
    <s v="AUD"/>
    <s v="13634251Waste - General [t] - Scope 3"/>
    <n v="13634251"/>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1-04-01T00:00:00"/>
    <s v="FY21"/>
    <s v="t"/>
    <n v="0"/>
    <n v="0"/>
    <n v="0.15"/>
    <n v="0.15"/>
    <n v="0"/>
    <n v="0"/>
    <n v="30"/>
    <n v="30"/>
    <n v="0"/>
    <n v="0"/>
    <n v="100"/>
    <s v="Consolidation"/>
    <s v="CO2e and Base Measure"/>
    <n v="100"/>
    <n v="100"/>
    <n v="0.15"/>
    <m/>
    <m/>
    <m/>
    <m/>
    <m/>
    <n v="0.19500000000000001"/>
    <m/>
    <n v="0.19500000000000001"/>
    <m/>
    <m/>
    <m/>
    <m/>
    <m/>
    <s v="AUD"/>
    <s v="13634251Waste - General [t] - Scope 3"/>
    <n v="13634251"/>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1-05-01T00:00:00"/>
    <s v="FY21"/>
    <s v="t"/>
    <n v="0"/>
    <n v="0"/>
    <n v="0.155"/>
    <n v="0.155"/>
    <n v="0"/>
    <n v="0"/>
    <n v="31"/>
    <n v="31"/>
    <n v="0"/>
    <n v="0"/>
    <n v="100"/>
    <s v="Consolidation"/>
    <s v="CO2e and Base Measure"/>
    <n v="100"/>
    <n v="100"/>
    <n v="0.16"/>
    <m/>
    <m/>
    <m/>
    <m/>
    <m/>
    <n v="0.20150000000000001"/>
    <m/>
    <n v="0.20150000000000001"/>
    <m/>
    <m/>
    <m/>
    <m/>
    <m/>
    <s v="AUD"/>
    <s v="13634251Waste - General [t] - Scope 3"/>
    <n v="13634251"/>
  </r>
  <r>
    <d v="2019-07-01T00:00:00"/>
    <d v="2021-06-30T00:00:00"/>
    <s v="Telstra"/>
    <s v="NETWORK"/>
    <s v="Network - InfraCo"/>
    <s v="VIC"/>
    <s v="Australia"/>
    <s v="Hawthorn East"/>
    <s v="CAMBERWELL EXCHANGE"/>
    <n v="423030566700"/>
    <s v="Recycled Waste"/>
    <x v="0"/>
    <x v="5"/>
    <s v="Account"/>
    <s v="Remondis Construction &amp; Demolition - Recycled"/>
    <m/>
    <s v="423030566700_RCONSDEM"/>
    <s v="CONSTRUCTION &amp; DEMOLITION - RECYLED"/>
    <s v="Remondis"/>
    <m/>
    <d v="2020-06-02T00:00:00"/>
    <d v="2020-07-01T00:00:00"/>
    <d v="2020-07-01T00:00:00"/>
    <s v="FY21"/>
    <s v="t"/>
    <n v="0"/>
    <n v="0"/>
    <n v="0.1179"/>
    <n v="0.1179"/>
    <n v="0"/>
    <n v="0"/>
    <n v="1"/>
    <n v="1"/>
    <n v="0"/>
    <n v="0"/>
    <n v="100"/>
    <s v="Consolidation"/>
    <s v="CO2e and Base Measure"/>
    <n v="100"/>
    <n v="100"/>
    <n v="0.12"/>
    <m/>
    <m/>
    <m/>
    <m/>
    <m/>
    <m/>
    <m/>
    <m/>
    <m/>
    <m/>
    <m/>
    <m/>
    <m/>
    <s v="AUD"/>
    <s v="13612602Waste Recycled - Construction and Demolition [t]"/>
    <n v="13612602"/>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07-01T00:00:00"/>
    <s v="FY21"/>
    <s v="t"/>
    <n v="0"/>
    <n v="0.252"/>
    <n v="0"/>
    <n v="0.252"/>
    <n v="0"/>
    <n v="4"/>
    <n v="0"/>
    <n v="4"/>
    <n v="0"/>
    <n v="100"/>
    <n v="0"/>
    <s v="Consolidation"/>
    <s v="CO2e and Base Measure"/>
    <n v="100"/>
    <n v="100"/>
    <n v="0.25"/>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08-01T00:00:00"/>
    <s v="FY21"/>
    <s v="t"/>
    <n v="0"/>
    <n v="0.252"/>
    <n v="0"/>
    <n v="0.252"/>
    <n v="0"/>
    <n v="4"/>
    <n v="0"/>
    <n v="4"/>
    <n v="0"/>
    <n v="100"/>
    <n v="0"/>
    <s v="Consolidation"/>
    <s v="CO2e and Base Measure"/>
    <n v="100"/>
    <n v="100"/>
    <n v="0.25"/>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09-01T00:00:00"/>
    <s v="FY21"/>
    <s v="t"/>
    <n v="0"/>
    <n v="0.315"/>
    <n v="0"/>
    <n v="0.315"/>
    <n v="0"/>
    <n v="5"/>
    <n v="0"/>
    <n v="5"/>
    <n v="0"/>
    <n v="100"/>
    <n v="0"/>
    <s v="Consolidation"/>
    <s v="CO2e and Base Measure"/>
    <n v="100"/>
    <n v="100"/>
    <n v="0.32"/>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10-01T00:00:00"/>
    <s v="FY21"/>
    <s v="t"/>
    <n v="0"/>
    <n v="0.189"/>
    <n v="0"/>
    <n v="0.189"/>
    <n v="0"/>
    <n v="5"/>
    <n v="0"/>
    <n v="5"/>
    <n v="0"/>
    <n v="100"/>
    <n v="0"/>
    <s v="Consolidation"/>
    <s v="CO2e and Base Measure"/>
    <n v="100"/>
    <n v="100"/>
    <n v="0.19"/>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11-01T00:00:00"/>
    <s v="FY21"/>
    <s v="t"/>
    <n v="0"/>
    <n v="0.252"/>
    <n v="0"/>
    <n v="0.252"/>
    <n v="0"/>
    <n v="4"/>
    <n v="0"/>
    <n v="4"/>
    <n v="0"/>
    <n v="100"/>
    <n v="0"/>
    <s v="Consolidation"/>
    <s v="CO2e and Base Measure"/>
    <n v="100"/>
    <n v="100"/>
    <n v="0.25"/>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12-01T00:00:00"/>
    <s v="FY21"/>
    <s v="t"/>
    <n v="0"/>
    <n v="0.126"/>
    <n v="0"/>
    <n v="0.126"/>
    <n v="0"/>
    <n v="2"/>
    <n v="0"/>
    <n v="2"/>
    <n v="0"/>
    <n v="100"/>
    <n v="0"/>
    <s v="Consolidation"/>
    <s v="CO2e and Base Measure"/>
    <n v="100"/>
    <n v="100"/>
    <n v="0.13"/>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1-01-01T00:00:00"/>
    <s v="FY21"/>
    <s v="t"/>
    <n v="0"/>
    <n v="0"/>
    <n v="7.7000000000000002E-3"/>
    <n v="7.7000000000000002E-3"/>
    <n v="0"/>
    <n v="0"/>
    <n v="1"/>
    <n v="1"/>
    <n v="0"/>
    <n v="0"/>
    <n v="100"/>
    <s v="Consolidation"/>
    <s v="CO2e and Base Measure"/>
    <n v="100"/>
    <n v="100"/>
    <n v="0.01"/>
    <m/>
    <m/>
    <m/>
    <m/>
    <m/>
    <m/>
    <n v="0"/>
    <m/>
    <m/>
    <m/>
    <m/>
    <m/>
    <m/>
    <s v="AUD"/>
    <s v="13564585Waste Recycled - Cardboard [t]"/>
    <n v="13564585"/>
  </r>
  <r>
    <d v="2019-07-01T00:00:00"/>
    <d v="2021-06-30T00:00:00"/>
    <s v="Telstra"/>
    <s v="NETWORK"/>
    <s v="Network - InfraCo"/>
    <s v="NSW"/>
    <s v="Australia"/>
    <s v="Campbelltown"/>
    <s v="CAMPBELLTOWN EXCHANGE"/>
    <n v="423030332100"/>
    <s v="Recycled Waste"/>
    <x v="0"/>
    <x v="1"/>
    <s v="Account"/>
    <s v="Remondis Electrical Comp. (E-Waste)"/>
    <m/>
    <s v="423030332100_RELECTRIC"/>
    <s v="ELECTRICAL COMP. E-WASTE"/>
    <s v="Remondis"/>
    <m/>
    <m/>
    <d v="2021-01-01T00:00:00"/>
    <d v="2020-12-01T00:00:00"/>
    <s v="FY21"/>
    <s v="t"/>
    <n v="0.10100000000000001"/>
    <n v="0"/>
    <n v="0"/>
    <n v="0.10100000000000001"/>
    <n v="1"/>
    <n v="0"/>
    <n v="0"/>
    <n v="1"/>
    <n v="100"/>
    <n v="0"/>
    <n v="0"/>
    <s v="Consolidation"/>
    <s v="CO2e and Base Measure"/>
    <n v="100"/>
    <n v="100"/>
    <n v="0.1"/>
    <m/>
    <m/>
    <m/>
    <m/>
    <m/>
    <m/>
    <m/>
    <m/>
    <m/>
    <m/>
    <m/>
    <m/>
    <m/>
    <s v="AUD"/>
    <s v="13564586Waste Recycled - E-waste [t]"/>
    <n v="13564586"/>
  </r>
  <r>
    <d v="2019-07-01T00:00:00"/>
    <d v="2021-06-30T00:00:00"/>
    <s v="Telstra"/>
    <s v="NETWORK"/>
    <s v="Network - InfraCo"/>
    <s v="NSW"/>
    <s v="Australia"/>
    <s v="Campbelltown"/>
    <s v="CAMPBELLTOWN EXCHANGE"/>
    <n v="423030332100"/>
    <s v="Recycled Waste"/>
    <x v="0"/>
    <x v="1"/>
    <s v="Account"/>
    <s v="Remondis Electrical Comp. (E-Waste)"/>
    <m/>
    <s v="423030332100_RELECTRIC"/>
    <s v="ELECTRICAL COMP. E-WASTE"/>
    <s v="Remondis"/>
    <m/>
    <m/>
    <d v="2021-01-01T00:00:00"/>
    <d v="2021-01-01T00:00:00"/>
    <s v="FY21"/>
    <s v="t"/>
    <n v="0"/>
    <n v="0"/>
    <n v="3.3999999999999998E-3"/>
    <n v="3.3999999999999998E-3"/>
    <n v="0"/>
    <n v="0"/>
    <n v="1"/>
    <n v="1"/>
    <n v="0"/>
    <n v="0"/>
    <n v="100"/>
    <s v="Consolidation"/>
    <s v="CO2e and Base Measure"/>
    <n v="100"/>
    <n v="100"/>
    <n v="0"/>
    <m/>
    <m/>
    <m/>
    <m/>
    <m/>
    <m/>
    <m/>
    <m/>
    <m/>
    <m/>
    <m/>
    <m/>
    <m/>
    <s v="AUD"/>
    <s v="13564586Waste Recycled - E-waste [t]"/>
    <n v="13564586"/>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07-01T00:00:00"/>
    <s v="FY21"/>
    <s v="t"/>
    <n v="0.44500000000000001"/>
    <n v="0"/>
    <n v="0"/>
    <n v="0.44500000000000001"/>
    <n v="1"/>
    <n v="0"/>
    <n v="0"/>
    <n v="1"/>
    <n v="100"/>
    <n v="0"/>
    <n v="0"/>
    <s v="Consolidation"/>
    <s v="CO2e and Base Measure"/>
    <n v="100"/>
    <n v="100"/>
    <n v="0.45"/>
    <m/>
    <m/>
    <m/>
    <m/>
    <m/>
    <n v="0.57850000000000001"/>
    <m/>
    <n v="0.57850000000000001"/>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08-01T00:00:00"/>
    <s v="FY21"/>
    <s v="t"/>
    <n v="0.52500000000000002"/>
    <n v="0"/>
    <n v="0"/>
    <n v="0.52500000000000002"/>
    <n v="2"/>
    <n v="0"/>
    <n v="0"/>
    <n v="2"/>
    <n v="100"/>
    <n v="0"/>
    <n v="0"/>
    <s v="Consolidation"/>
    <s v="CO2e and Base Measure"/>
    <n v="100"/>
    <n v="100"/>
    <n v="0.53"/>
    <m/>
    <m/>
    <m/>
    <m/>
    <m/>
    <n v="0.6825"/>
    <m/>
    <n v="0.6825"/>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09-01T00:00:00"/>
    <s v="FY21"/>
    <s v="t"/>
    <n v="0.92500000000000004"/>
    <n v="0"/>
    <n v="0"/>
    <n v="0.92500000000000004"/>
    <n v="2"/>
    <n v="0"/>
    <n v="0"/>
    <n v="2"/>
    <n v="100"/>
    <n v="0"/>
    <n v="0"/>
    <s v="Consolidation"/>
    <s v="CO2e and Base Measure"/>
    <n v="100"/>
    <n v="100"/>
    <n v="0.93"/>
    <m/>
    <m/>
    <m/>
    <m/>
    <m/>
    <n v="1.2024999999999999"/>
    <m/>
    <n v="1.2024999999999999"/>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10-01T00:00:00"/>
    <s v="FY21"/>
    <s v="t"/>
    <n v="0.69499999999999995"/>
    <n v="0"/>
    <n v="0"/>
    <n v="0.69499999999999995"/>
    <n v="2"/>
    <n v="0"/>
    <n v="0"/>
    <n v="2"/>
    <n v="100"/>
    <n v="0"/>
    <n v="0"/>
    <s v="Consolidation"/>
    <s v="CO2e and Base Measure"/>
    <n v="100"/>
    <n v="100"/>
    <n v="0.7"/>
    <m/>
    <m/>
    <m/>
    <m/>
    <m/>
    <n v="0.90349999999999997"/>
    <m/>
    <n v="0.90349999999999997"/>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11-01T00:00:00"/>
    <s v="FY21"/>
    <s v="t"/>
    <n v="0.86"/>
    <n v="0"/>
    <n v="0"/>
    <n v="0.86"/>
    <n v="2"/>
    <n v="0"/>
    <n v="0"/>
    <n v="2"/>
    <n v="100"/>
    <n v="0"/>
    <n v="0"/>
    <s v="Consolidation"/>
    <s v="CO2e and Base Measure"/>
    <n v="100"/>
    <n v="100"/>
    <n v="0.86"/>
    <m/>
    <m/>
    <m/>
    <m/>
    <m/>
    <n v="1.1180000000000001"/>
    <m/>
    <n v="1.1180000000000001"/>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1-01-01T00:00:00"/>
    <s v="FY21"/>
    <s v="t"/>
    <n v="0"/>
    <n v="0"/>
    <n v="2.69E-2"/>
    <n v="2.69E-2"/>
    <n v="0"/>
    <n v="0"/>
    <n v="1"/>
    <n v="1"/>
    <n v="0"/>
    <n v="0"/>
    <n v="100"/>
    <s v="Consolidation"/>
    <s v="CO2e and Base Measure"/>
    <n v="100"/>
    <n v="100"/>
    <n v="0.03"/>
    <m/>
    <m/>
    <m/>
    <m/>
    <m/>
    <n v="3.5000000000000003E-2"/>
    <m/>
    <n v="3.5000000000000003E-2"/>
    <m/>
    <m/>
    <m/>
    <m/>
    <m/>
    <s v="AUD"/>
    <s v="13564588Waste - General [t] - Scope 3"/>
    <n v="13564588"/>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0-09-01T00:00:00"/>
    <s v="FY21"/>
    <s v="t"/>
    <n v="0.621"/>
    <n v="0"/>
    <n v="0"/>
    <n v="0.621"/>
    <n v="1"/>
    <n v="0"/>
    <n v="0"/>
    <n v="1"/>
    <n v="100"/>
    <n v="0"/>
    <n v="0"/>
    <s v="Consolidation"/>
    <s v="CO2e and Base Measure"/>
    <n v="100"/>
    <n v="100"/>
    <n v="0.62"/>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0-10-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0-11-01T00:00:00"/>
    <s v="FY21"/>
    <s v="t"/>
    <n v="0"/>
    <n v="0"/>
    <n v="0.64200000000000002"/>
    <n v="0.64200000000000002"/>
    <n v="0"/>
    <n v="0"/>
    <n v="30"/>
    <n v="30"/>
    <n v="0"/>
    <n v="0"/>
    <n v="100"/>
    <s v="Consolidation"/>
    <s v="CO2e and Base Measure"/>
    <n v="100"/>
    <n v="100"/>
    <n v="0.64"/>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0-12-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1-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2-01T00:00:00"/>
    <s v="FY21"/>
    <s v="t"/>
    <n v="0"/>
    <n v="0"/>
    <n v="0.59919999999999995"/>
    <n v="0.59919999999999995"/>
    <n v="0"/>
    <n v="0"/>
    <n v="28"/>
    <n v="28"/>
    <n v="0"/>
    <n v="0"/>
    <n v="100"/>
    <s v="Consolidation"/>
    <s v="CO2e and Base Measure"/>
    <n v="100"/>
    <n v="100"/>
    <n v="0.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3-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4-01T00:00:00"/>
    <s v="FY21"/>
    <s v="t"/>
    <n v="0"/>
    <n v="0"/>
    <n v="0.64200000000000002"/>
    <n v="0.64200000000000002"/>
    <n v="0"/>
    <n v="0"/>
    <n v="30"/>
    <n v="30"/>
    <n v="0"/>
    <n v="0"/>
    <n v="100"/>
    <s v="Consolidation"/>
    <s v="CO2e and Base Measure"/>
    <n v="100"/>
    <n v="100"/>
    <n v="0.64"/>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5-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Concrete - Recycled"/>
    <m/>
    <s v="423030332100_RCONCRETR"/>
    <s v="CONCRETE - RECYCLED"/>
    <s v="Remondis"/>
    <m/>
    <m/>
    <d v="2021-01-01T00:00:00"/>
    <d v="2020-07-01T00:00:00"/>
    <s v="FY21"/>
    <s v="t"/>
    <n v="3.7"/>
    <n v="0"/>
    <n v="0"/>
    <n v="3.7"/>
    <n v="1"/>
    <n v="0"/>
    <n v="0"/>
    <n v="1"/>
    <n v="100"/>
    <n v="0"/>
    <n v="0"/>
    <s v="Consolidation"/>
    <s v="CO2e and Base Measure"/>
    <n v="100"/>
    <n v="100"/>
    <n v="3.7"/>
    <m/>
    <m/>
    <m/>
    <m/>
    <m/>
    <m/>
    <m/>
    <m/>
    <m/>
    <m/>
    <m/>
    <m/>
    <m/>
    <s v="AUD"/>
    <s v="13566097Waste Recycled - Construction and Demolition [t]"/>
    <n v="13566097"/>
  </r>
  <r>
    <d v="2019-07-01T00:00:00"/>
    <d v="2021-06-30T00:00:00"/>
    <s v="Telstra"/>
    <s v="NETWORK"/>
    <s v="Network - InfraCo"/>
    <s v="NSW"/>
    <s v="Australia"/>
    <s v="Campbelltown"/>
    <s v="CAMPBELLTOWN EXCHANGE"/>
    <n v="423030332100"/>
    <s v="Recycled Waste"/>
    <x v="0"/>
    <x v="5"/>
    <s v="Account"/>
    <s v="Remondis Concrete - Recycled"/>
    <m/>
    <s v="423030332100_RCONCRETR"/>
    <s v="CONCRETE - RECYCLED"/>
    <s v="Remondis"/>
    <m/>
    <m/>
    <d v="2021-01-01T00:00:00"/>
    <d v="2020-12-01T00:00:00"/>
    <s v="FY21"/>
    <s v="t"/>
    <n v="4.12"/>
    <n v="0"/>
    <n v="0"/>
    <n v="4.12"/>
    <n v="1"/>
    <n v="0"/>
    <n v="0"/>
    <n v="1"/>
    <n v="100"/>
    <n v="0"/>
    <n v="0"/>
    <s v="Consolidation"/>
    <s v="CO2e and Base Measure"/>
    <n v="100"/>
    <n v="100"/>
    <n v="4.12"/>
    <m/>
    <m/>
    <m/>
    <m/>
    <m/>
    <m/>
    <m/>
    <m/>
    <m/>
    <m/>
    <m/>
    <m/>
    <m/>
    <s v="AUD"/>
    <s v="13566097Waste Recycled - Construction and Demolition [t]"/>
    <n v="13566097"/>
  </r>
  <r>
    <d v="2019-07-01T00:00:00"/>
    <d v="2021-06-30T00:00:00"/>
    <s v="Telstra"/>
    <s v="NETWORK"/>
    <s v="Network - InfraCo"/>
    <s v="NSW"/>
    <s v="Australia"/>
    <s v="Campbelltown"/>
    <s v="CAMPBELLTOWN EXCHANGE"/>
    <n v="423030332100"/>
    <s v="Recycled Waste"/>
    <x v="0"/>
    <x v="5"/>
    <s v="Account"/>
    <s v="Remondis Concrete - Recycled"/>
    <m/>
    <s v="423030332100_RCONCRETR"/>
    <s v="CONCRETE - RECYCLED"/>
    <s v="Remondis"/>
    <m/>
    <m/>
    <d v="2021-01-01T00:00:00"/>
    <d v="2021-01-01T00:00:00"/>
    <s v="FY21"/>
    <s v="t"/>
    <n v="0"/>
    <n v="0"/>
    <n v="4.2700000000000002E-2"/>
    <n v="4.2700000000000002E-2"/>
    <n v="0"/>
    <n v="0"/>
    <n v="1"/>
    <n v="1"/>
    <n v="0"/>
    <n v="0"/>
    <n v="100"/>
    <s v="Consolidation"/>
    <s v="CO2e and Base Measure"/>
    <n v="100"/>
    <n v="100"/>
    <n v="0.04"/>
    <m/>
    <m/>
    <m/>
    <m/>
    <m/>
    <m/>
    <m/>
    <m/>
    <m/>
    <m/>
    <m/>
    <m/>
    <m/>
    <s v="AUD"/>
    <s v="13566097Waste Recycled - Construction and Demolition [t]"/>
    <n v="13566097"/>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0-12-01T00:00:00"/>
    <s v="FY21"/>
    <s v="t"/>
    <n v="0.97499999999999998"/>
    <n v="0"/>
    <n v="0"/>
    <n v="0.97499999999999998"/>
    <n v="3"/>
    <n v="0"/>
    <n v="0"/>
    <n v="3"/>
    <n v="100"/>
    <n v="0"/>
    <n v="0"/>
    <s v="Consolidation"/>
    <s v="CO2e and Base Measure"/>
    <n v="100"/>
    <n v="100"/>
    <n v="0.98"/>
    <m/>
    <m/>
    <m/>
    <m/>
    <m/>
    <n v="1.2675000000000001"/>
    <m/>
    <n v="1.2675000000000001"/>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1-01T00:00:00"/>
    <s v="FY21"/>
    <s v="t"/>
    <n v="0.59499999999999997"/>
    <n v="0"/>
    <n v="0"/>
    <n v="0.59499999999999997"/>
    <n v="4"/>
    <n v="0"/>
    <n v="0"/>
    <n v="4"/>
    <n v="100"/>
    <n v="0"/>
    <n v="0"/>
    <s v="Consolidation"/>
    <s v="CO2e and Base Measure"/>
    <n v="100"/>
    <n v="100"/>
    <n v="0.6"/>
    <m/>
    <m/>
    <m/>
    <m/>
    <m/>
    <n v="0.77349999999999997"/>
    <m/>
    <n v="0.77349999999999997"/>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2-01T00:00:00"/>
    <s v="FY21"/>
    <s v="t"/>
    <n v="1.296"/>
    <n v="0"/>
    <n v="0"/>
    <n v="1.296"/>
    <n v="4"/>
    <n v="0"/>
    <n v="0"/>
    <n v="4"/>
    <n v="100"/>
    <n v="0"/>
    <n v="0"/>
    <s v="Consolidation"/>
    <s v="CO2e and Base Measure"/>
    <n v="100"/>
    <n v="100"/>
    <n v="1.3"/>
    <m/>
    <m/>
    <m/>
    <m/>
    <m/>
    <n v="1.6848000000000001"/>
    <m/>
    <n v="1.6848000000000001"/>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3-01T00:00:00"/>
    <s v="FY21"/>
    <s v="t"/>
    <n v="0.63100000000000001"/>
    <n v="0.13500000000000001"/>
    <n v="0"/>
    <n v="0.76600000000000001"/>
    <n v="4"/>
    <n v="1"/>
    <n v="0"/>
    <n v="5"/>
    <n v="82.37"/>
    <n v="17.62"/>
    <n v="0"/>
    <s v="Consolidation"/>
    <s v="CO2e and Base Measure"/>
    <n v="100"/>
    <n v="100"/>
    <n v="0.77"/>
    <m/>
    <m/>
    <m/>
    <m/>
    <m/>
    <n v="0.99580000000000002"/>
    <m/>
    <n v="0.99580000000000002"/>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4-01T00:00:00"/>
    <s v="FY21"/>
    <s v="t"/>
    <n v="0"/>
    <n v="0"/>
    <n v="0.90900000000000003"/>
    <n v="0.90900000000000003"/>
    <n v="0"/>
    <n v="0"/>
    <n v="30"/>
    <n v="30"/>
    <n v="0"/>
    <n v="0"/>
    <n v="100"/>
    <s v="Consolidation"/>
    <s v="CO2e and Base Measure"/>
    <n v="100"/>
    <n v="100"/>
    <n v="0.91"/>
    <m/>
    <m/>
    <m/>
    <m/>
    <m/>
    <n v="1.1817"/>
    <m/>
    <n v="1.1817"/>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5-01T00:00:00"/>
    <s v="FY21"/>
    <s v="t"/>
    <n v="0"/>
    <n v="0"/>
    <n v="0.93930000000000002"/>
    <n v="0.93930000000000002"/>
    <n v="0"/>
    <n v="0"/>
    <n v="31"/>
    <n v="31"/>
    <n v="0"/>
    <n v="0"/>
    <n v="100"/>
    <s v="Consolidation"/>
    <s v="CO2e and Base Measure"/>
    <n v="100"/>
    <n v="100"/>
    <n v="0.94"/>
    <m/>
    <m/>
    <m/>
    <m/>
    <m/>
    <n v="1.2211000000000001"/>
    <m/>
    <n v="1.2211000000000001"/>
    <m/>
    <m/>
    <m/>
    <m/>
    <m/>
    <s v="AUD"/>
    <s v="13634051Waste - General [t] - Scope 3"/>
    <n v="13634051"/>
  </r>
  <r>
    <d v="2019-07-01T00:00:00"/>
    <d v="2021-06-30T00:00:00"/>
    <s v="Telstra"/>
    <s v="NETWORK"/>
    <s v="Network - InfraCo"/>
    <s v="NSW"/>
    <s v="Australia"/>
    <s v="Campbelltown"/>
    <s v="CAMPBELLTOWN EXCHANGE"/>
    <n v="423030332100"/>
    <s v="Recycled Waste"/>
    <x v="0"/>
    <x v="0"/>
    <s v="Account"/>
    <s v="CLEANAWAY Cardboard"/>
    <m/>
    <s v="44371_Diversion_Cardboard"/>
    <s v="Cardboard"/>
    <s v="Cleanaway"/>
    <m/>
    <d v="2020-12-08T00:00:00"/>
    <m/>
    <d v="2020-12-01T00:00:00"/>
    <s v="FY21"/>
    <s v="t"/>
    <n v="7.9000000000000001E-2"/>
    <n v="0"/>
    <n v="0"/>
    <n v="7.9000000000000001E-2"/>
    <n v="1"/>
    <n v="0"/>
    <n v="0"/>
    <n v="1"/>
    <n v="100"/>
    <n v="0"/>
    <n v="0"/>
    <s v="Consolidation"/>
    <s v="CO2e and Base Measure"/>
    <n v="100"/>
    <n v="100"/>
    <n v="0.08"/>
    <m/>
    <m/>
    <m/>
    <m/>
    <m/>
    <m/>
    <m/>
    <m/>
    <m/>
    <m/>
    <m/>
    <m/>
    <m/>
    <s v="AUD"/>
    <s v="13634052Waste Recycled - Paper and Cardboard [t]"/>
    <n v="13634052"/>
  </r>
  <r>
    <d v="2019-07-01T00:00:00"/>
    <d v="2021-06-30T00:00:00"/>
    <s v="Telstra"/>
    <s v="NETWORK"/>
    <s v="Network - InfraCo"/>
    <s v="NSW"/>
    <s v="Australia"/>
    <s v="Campbelltown"/>
    <s v="CAMPBELLTOWN EXCHANGE"/>
    <n v="423030332100"/>
    <s v="Recycled Waste"/>
    <x v="0"/>
    <x v="0"/>
    <s v="Account"/>
    <s v="CLEANAWAY Cardboard"/>
    <m/>
    <s v="44371_Diversion_Cardboard"/>
    <s v="Cardboard"/>
    <s v="Cleanaway"/>
    <m/>
    <d v="2020-12-08T00:00:00"/>
    <m/>
    <d v="2021-03-01T00:00:00"/>
    <s v="FY21"/>
    <s v="t"/>
    <n v="0.35699999999999998"/>
    <n v="0"/>
    <n v="0"/>
    <n v="0.35699999999999998"/>
    <n v="5"/>
    <n v="0"/>
    <n v="0"/>
    <n v="5"/>
    <n v="100"/>
    <n v="0"/>
    <n v="0"/>
    <s v="Consolidation"/>
    <s v="CO2e and Base Measure"/>
    <n v="100"/>
    <n v="100"/>
    <n v="0.36"/>
    <m/>
    <m/>
    <m/>
    <m/>
    <m/>
    <m/>
    <m/>
    <m/>
    <m/>
    <m/>
    <m/>
    <m/>
    <m/>
    <s v="AUD"/>
    <s v="13634052Waste Recycled - Paper and Cardboard [t]"/>
    <n v="13634052"/>
  </r>
  <r>
    <d v="2019-07-01T00:00:00"/>
    <d v="2021-06-30T00:00:00"/>
    <s v="Telstra"/>
    <s v="NETWORK"/>
    <s v="Network - InfraCo"/>
    <s v="NSW"/>
    <s v="Australia"/>
    <s v="Campbelltown"/>
    <s v="CAMPBELLTOWN EXCHANGE"/>
    <n v="423030332100"/>
    <s v="Recycled Waste"/>
    <x v="0"/>
    <x v="0"/>
    <s v="Account"/>
    <s v="CLEANAWAY Cardboard"/>
    <m/>
    <s v="44371_Diversion_Cardboard"/>
    <s v="Cardboard"/>
    <s v="Cleanaway"/>
    <m/>
    <d v="2020-12-08T00:00:00"/>
    <m/>
    <d v="2021-04-01T00:00:00"/>
    <s v="FY21"/>
    <s v="t"/>
    <n v="0"/>
    <n v="0"/>
    <n v="0.108"/>
    <n v="0.108"/>
    <n v="0"/>
    <n v="0"/>
    <n v="30"/>
    <n v="30"/>
    <n v="0"/>
    <n v="0"/>
    <n v="100"/>
    <s v="Consolidation"/>
    <s v="CO2e and Base Measure"/>
    <n v="100"/>
    <n v="100"/>
    <n v="0.11"/>
    <m/>
    <m/>
    <m/>
    <m/>
    <m/>
    <m/>
    <m/>
    <m/>
    <m/>
    <m/>
    <m/>
    <m/>
    <m/>
    <s v="AUD"/>
    <s v="13634052Waste Recycled - Paper and Cardboard [t]"/>
    <n v="13634052"/>
  </r>
  <r>
    <d v="2019-07-01T00:00:00"/>
    <d v="2021-06-30T00:00:00"/>
    <s v="Telstra"/>
    <s v="NETWORK"/>
    <s v="Network - InfraCo"/>
    <s v="NSW"/>
    <s v="Australia"/>
    <s v="Campbelltown"/>
    <s v="CAMPBELLTOWN EXCHANGE"/>
    <n v="423030332100"/>
    <s v="Recycled Waste"/>
    <x v="0"/>
    <x v="0"/>
    <s v="Account"/>
    <s v="CLEANAWAY Cardboard"/>
    <m/>
    <s v="44371_Diversion_Cardboard"/>
    <s v="Cardboard"/>
    <s v="Cleanaway"/>
    <m/>
    <d v="2020-12-08T00:00:00"/>
    <m/>
    <d v="2021-05-01T00:00:00"/>
    <s v="FY21"/>
    <s v="t"/>
    <n v="0"/>
    <n v="0"/>
    <n v="0.1116"/>
    <n v="0.1116"/>
    <n v="0"/>
    <n v="0"/>
    <n v="31"/>
    <n v="31"/>
    <n v="0"/>
    <n v="0"/>
    <n v="100"/>
    <s v="Consolidation"/>
    <s v="CO2e and Base Measure"/>
    <n v="100"/>
    <n v="100"/>
    <n v="0.11"/>
    <m/>
    <m/>
    <m/>
    <m/>
    <m/>
    <m/>
    <m/>
    <m/>
    <m/>
    <m/>
    <m/>
    <m/>
    <m/>
    <s v="AUD"/>
    <s v="13634052Waste Recycled - Paper and Cardboard [t]"/>
    <n v="13634052"/>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11-01T00:00:00"/>
    <s v="FY21"/>
    <s v="t"/>
    <n v="0"/>
    <n v="0.29249999999999998"/>
    <n v="0"/>
    <n v="0.29249999999999998"/>
    <n v="0"/>
    <n v="3"/>
    <n v="0"/>
    <n v="3"/>
    <n v="0"/>
    <n v="100"/>
    <n v="0"/>
    <s v="Consolidation"/>
    <s v="CO2e and Base Measure"/>
    <n v="100"/>
    <n v="100"/>
    <n v="0.28999999999999998"/>
    <m/>
    <m/>
    <m/>
    <m/>
    <m/>
    <n v="0.38030000000000003"/>
    <m/>
    <n v="0.38030000000000003"/>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5138Waste - General [t] - Scope 3"/>
    <n v="13565138"/>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0-12-01T00:00:00"/>
    <s v="FY21"/>
    <s v="t"/>
    <n v="0.02"/>
    <n v="0.13500000000000001"/>
    <n v="0"/>
    <n v="0.155"/>
    <n v="1"/>
    <n v="2"/>
    <n v="0"/>
    <n v="3"/>
    <n v="12.9"/>
    <n v="87.09"/>
    <n v="0"/>
    <s v="Consolidation"/>
    <s v="CO2e and Base Measure"/>
    <n v="100"/>
    <n v="100"/>
    <n v="0.16"/>
    <m/>
    <m/>
    <m/>
    <m/>
    <m/>
    <n v="0.20150000000000001"/>
    <m/>
    <n v="0.20150000000000001"/>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1-01T00:00:00"/>
    <s v="FY21"/>
    <s v="t"/>
    <n v="4.4999999999999998E-2"/>
    <n v="0.13500000000000001"/>
    <n v="0"/>
    <n v="0.18"/>
    <n v="1"/>
    <n v="2"/>
    <n v="0"/>
    <n v="3"/>
    <n v="25"/>
    <n v="75"/>
    <n v="0"/>
    <s v="Consolidation"/>
    <s v="CO2e and Base Measure"/>
    <n v="100"/>
    <n v="100"/>
    <n v="0.18"/>
    <m/>
    <m/>
    <m/>
    <m/>
    <m/>
    <n v="0.23400000000000001"/>
    <m/>
    <n v="0.23400000000000001"/>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2-01T00:00:00"/>
    <s v="FY21"/>
    <s v="t"/>
    <n v="0.02"/>
    <n v="6.7500000000000004E-2"/>
    <n v="0"/>
    <n v="8.7499999999999994E-2"/>
    <n v="1"/>
    <n v="1"/>
    <n v="0"/>
    <n v="2"/>
    <n v="22.85"/>
    <n v="77.14"/>
    <n v="0"/>
    <s v="Consolidation"/>
    <s v="CO2e and Base Measure"/>
    <n v="100"/>
    <n v="100"/>
    <n v="0.09"/>
    <m/>
    <m/>
    <m/>
    <m/>
    <m/>
    <n v="0.1138"/>
    <m/>
    <n v="0.1138"/>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3-01T00:00:00"/>
    <s v="FY21"/>
    <s v="t"/>
    <n v="3.1E-2"/>
    <n v="0"/>
    <n v="0"/>
    <n v="3.1E-2"/>
    <n v="1"/>
    <n v="0"/>
    <n v="0"/>
    <n v="1"/>
    <n v="100"/>
    <n v="0"/>
    <n v="0"/>
    <s v="Consolidation"/>
    <s v="CO2e and Base Measure"/>
    <n v="100"/>
    <n v="100"/>
    <n v="0.03"/>
    <m/>
    <m/>
    <m/>
    <m/>
    <m/>
    <n v="4.0300000000000002E-2"/>
    <m/>
    <n v="4.0300000000000002E-2"/>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4-01T00:00:00"/>
    <s v="FY21"/>
    <s v="t"/>
    <n v="0"/>
    <n v="0"/>
    <n v="0.114"/>
    <n v="0.114"/>
    <n v="0"/>
    <n v="0"/>
    <n v="30"/>
    <n v="30"/>
    <n v="0"/>
    <n v="0"/>
    <n v="100"/>
    <s v="Consolidation"/>
    <s v="CO2e and Base Measure"/>
    <n v="100"/>
    <n v="100"/>
    <n v="0.11"/>
    <m/>
    <m/>
    <m/>
    <m/>
    <m/>
    <n v="0.1482"/>
    <m/>
    <n v="0.1482"/>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5-01T00:00:00"/>
    <s v="FY21"/>
    <s v="t"/>
    <n v="0"/>
    <n v="0"/>
    <n v="0.1178"/>
    <n v="0.1178"/>
    <n v="0"/>
    <n v="0"/>
    <n v="31"/>
    <n v="31"/>
    <n v="0"/>
    <n v="0"/>
    <n v="100"/>
    <s v="Consolidation"/>
    <s v="CO2e and Base Measure"/>
    <n v="100"/>
    <n v="100"/>
    <n v="0.12"/>
    <m/>
    <m/>
    <m/>
    <m/>
    <m/>
    <n v="0.15310000000000001"/>
    <m/>
    <n v="0.15310000000000001"/>
    <m/>
    <m/>
    <m/>
    <m/>
    <m/>
    <s v="AUD"/>
    <s v="13634053Waste - General [t] - Scope 3"/>
    <n v="13634053"/>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07-01T00:00:00"/>
    <s v="FY21"/>
    <s v="t"/>
    <n v="0.64"/>
    <n v="0"/>
    <n v="0"/>
    <n v="0.64"/>
    <n v="2"/>
    <n v="0"/>
    <n v="0"/>
    <n v="2"/>
    <n v="100"/>
    <n v="0"/>
    <n v="0"/>
    <s v="Consolidation"/>
    <s v="CO2e and Base Measure"/>
    <n v="100"/>
    <n v="100"/>
    <n v="0.64"/>
    <m/>
    <m/>
    <m/>
    <m/>
    <m/>
    <n v="0.83199999999999996"/>
    <m/>
    <n v="0.83199999999999996"/>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08-01T00:00:00"/>
    <s v="FY21"/>
    <s v="t"/>
    <n v="0.15"/>
    <n v="0"/>
    <n v="0"/>
    <n v="0.15"/>
    <n v="1"/>
    <n v="0"/>
    <n v="0"/>
    <n v="1"/>
    <n v="100"/>
    <n v="0"/>
    <n v="0"/>
    <s v="Consolidation"/>
    <s v="CO2e and Base Measure"/>
    <n v="100"/>
    <n v="100"/>
    <n v="0.15"/>
    <m/>
    <m/>
    <m/>
    <m/>
    <m/>
    <n v="0.19500000000000001"/>
    <m/>
    <n v="0.19500000000000001"/>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09-01T00:00:00"/>
    <s v="FY21"/>
    <s v="t"/>
    <n v="0.11"/>
    <n v="0.29249999999999998"/>
    <n v="0"/>
    <n v="0.40250000000000002"/>
    <n v="1"/>
    <n v="1"/>
    <n v="0"/>
    <n v="2"/>
    <n v="27.32"/>
    <n v="72.67"/>
    <n v="0"/>
    <s v="Consolidation"/>
    <s v="CO2e and Base Measure"/>
    <n v="100"/>
    <n v="100"/>
    <n v="0.4"/>
    <m/>
    <m/>
    <m/>
    <m/>
    <m/>
    <n v="0.52329999999999999"/>
    <m/>
    <n v="0.52329999999999999"/>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10-01T00:00:00"/>
    <s v="FY21"/>
    <s v="t"/>
    <n v="0.24"/>
    <n v="0"/>
    <n v="0"/>
    <n v="0.24"/>
    <n v="2"/>
    <n v="0"/>
    <n v="0"/>
    <n v="2"/>
    <n v="100"/>
    <n v="0"/>
    <n v="0"/>
    <s v="Consolidation"/>
    <s v="CO2e and Base Measure"/>
    <n v="100"/>
    <n v="100"/>
    <n v="0.24"/>
    <m/>
    <m/>
    <m/>
    <m/>
    <m/>
    <n v="0.312"/>
    <m/>
    <n v="0.312"/>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11-01T00:00:00"/>
    <s v="FY21"/>
    <s v="t"/>
    <n v="0.33"/>
    <n v="0"/>
    <n v="0"/>
    <n v="0.33"/>
    <n v="1"/>
    <n v="0"/>
    <n v="0"/>
    <n v="1"/>
    <n v="100"/>
    <n v="0"/>
    <n v="0"/>
    <s v="Consolidation"/>
    <s v="CO2e and Base Measure"/>
    <n v="100"/>
    <n v="100"/>
    <n v="0.33"/>
    <m/>
    <m/>
    <m/>
    <m/>
    <m/>
    <n v="0.42899999999999999"/>
    <m/>
    <n v="0.42899999999999999"/>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12-01T00:00:00"/>
    <s v="FY21"/>
    <s v="t"/>
    <n v="0"/>
    <n v="0"/>
    <n v="1.2E-2"/>
    <n v="1.2E-2"/>
    <n v="0"/>
    <n v="0"/>
    <n v="1"/>
    <n v="1"/>
    <n v="0"/>
    <n v="0"/>
    <n v="100"/>
    <s v="Consolidation"/>
    <s v="CO2e and Base Measure"/>
    <n v="100"/>
    <n v="100"/>
    <n v="0.01"/>
    <m/>
    <m/>
    <m/>
    <m/>
    <m/>
    <n v="1.5599999999999999E-2"/>
    <m/>
    <n v="1.5599999999999999E-2"/>
    <m/>
    <m/>
    <m/>
    <m/>
    <m/>
    <s v="AUD"/>
    <s v="13565515Waste - General [t] - Scope 3"/>
    <n v="13565515"/>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1-01T00:00:00"/>
    <s v="FY21"/>
    <s v="t"/>
    <n v="0.26"/>
    <n v="0"/>
    <n v="0"/>
    <n v="0.26"/>
    <n v="1"/>
    <n v="0"/>
    <n v="0"/>
    <n v="1"/>
    <n v="100"/>
    <n v="0"/>
    <n v="0"/>
    <s v="Consolidation"/>
    <s v="CO2e and Base Measure"/>
    <n v="100"/>
    <n v="100"/>
    <n v="0.26"/>
    <m/>
    <m/>
    <m/>
    <m/>
    <m/>
    <n v="0.33800000000000002"/>
    <m/>
    <n v="0.33800000000000002"/>
    <m/>
    <m/>
    <m/>
    <m/>
    <m/>
    <s v="AUD"/>
    <s v="13634419Waste - General [t] - Scope 3"/>
    <n v="13634419"/>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2-01T00:00:00"/>
    <s v="FY21"/>
    <s v="t"/>
    <n v="0"/>
    <n v="0"/>
    <n v="0.24360000000000001"/>
    <n v="0.24360000000000001"/>
    <n v="0"/>
    <n v="0"/>
    <n v="28"/>
    <n v="28"/>
    <n v="0"/>
    <n v="0"/>
    <n v="100"/>
    <s v="Consolidation"/>
    <s v="CO2e and Base Measure"/>
    <n v="100"/>
    <n v="100"/>
    <n v="0.24"/>
    <m/>
    <m/>
    <m/>
    <m/>
    <m/>
    <n v="0.31669999999999998"/>
    <m/>
    <n v="0.31669999999999998"/>
    <m/>
    <m/>
    <m/>
    <m/>
    <m/>
    <s v="AUD"/>
    <s v="13634419Waste - General [t] - Scope 3"/>
    <n v="13634419"/>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3-01T00:00:00"/>
    <s v="FY21"/>
    <s v="t"/>
    <n v="0"/>
    <n v="0"/>
    <n v="0.2697"/>
    <n v="0.2697"/>
    <n v="0"/>
    <n v="0"/>
    <n v="31"/>
    <n v="31"/>
    <n v="0"/>
    <n v="0"/>
    <n v="100"/>
    <s v="Consolidation"/>
    <s v="CO2e and Base Measure"/>
    <n v="100"/>
    <n v="100"/>
    <n v="0.27"/>
    <m/>
    <m/>
    <m/>
    <m/>
    <m/>
    <n v="0.35060000000000002"/>
    <m/>
    <n v="0.35060000000000002"/>
    <m/>
    <m/>
    <m/>
    <m/>
    <m/>
    <s v="AUD"/>
    <s v="13634419Waste - General [t] - Scope 3"/>
    <n v="13634419"/>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4-01T00:00:00"/>
    <s v="FY21"/>
    <s v="t"/>
    <n v="0"/>
    <n v="0"/>
    <n v="0.26100000000000001"/>
    <n v="0.26100000000000001"/>
    <n v="0"/>
    <n v="0"/>
    <n v="30"/>
    <n v="30"/>
    <n v="0"/>
    <n v="0"/>
    <n v="100"/>
    <s v="Consolidation"/>
    <s v="CO2e and Base Measure"/>
    <n v="100"/>
    <n v="100"/>
    <n v="0.26"/>
    <m/>
    <m/>
    <m/>
    <m/>
    <m/>
    <n v="0.33929999999999999"/>
    <m/>
    <n v="0.33929999999999999"/>
    <m/>
    <m/>
    <m/>
    <m/>
    <m/>
    <s v="AUD"/>
    <s v="13634419Waste - General [t] - Scope 3"/>
    <n v="13634419"/>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5-01T00:00:00"/>
    <s v="FY21"/>
    <s v="t"/>
    <n v="0"/>
    <n v="0"/>
    <n v="0.2697"/>
    <n v="0.2697"/>
    <n v="0"/>
    <n v="0"/>
    <n v="31"/>
    <n v="31"/>
    <n v="0"/>
    <n v="0"/>
    <n v="100"/>
    <s v="Consolidation"/>
    <s v="CO2e and Base Measure"/>
    <n v="100"/>
    <n v="100"/>
    <n v="0.27"/>
    <m/>
    <m/>
    <m/>
    <m/>
    <m/>
    <n v="0.35060000000000002"/>
    <m/>
    <n v="0.35060000000000002"/>
    <m/>
    <m/>
    <m/>
    <m/>
    <m/>
    <s v="AUD"/>
    <s v="13634419Waste - General [t] - Scope 3"/>
    <n v="1363441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07-01T00:00:00"/>
    <s v="FY21"/>
    <s v="t"/>
    <n v="0.05"/>
    <n v="0"/>
    <n v="0"/>
    <n v="0.05"/>
    <n v="2"/>
    <n v="0"/>
    <n v="0"/>
    <n v="2"/>
    <n v="100"/>
    <n v="0"/>
    <n v="0"/>
    <s v="Consolidation"/>
    <s v="CO2e and Base Measure"/>
    <n v="100"/>
    <n v="100"/>
    <n v="0.05"/>
    <m/>
    <m/>
    <m/>
    <m/>
    <m/>
    <n v="6.5000000000000002E-2"/>
    <m/>
    <n v="6.5000000000000002E-2"/>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08-01T00:00:00"/>
    <s v="FY21"/>
    <s v="t"/>
    <n v="0.13500000000000001"/>
    <n v="0"/>
    <n v="0"/>
    <n v="0.13500000000000001"/>
    <n v="2"/>
    <n v="0"/>
    <n v="0"/>
    <n v="2"/>
    <n v="100"/>
    <n v="0"/>
    <n v="0"/>
    <s v="Consolidation"/>
    <s v="CO2e and Base Measure"/>
    <n v="100"/>
    <n v="100"/>
    <n v="0.14000000000000001"/>
    <m/>
    <m/>
    <m/>
    <m/>
    <m/>
    <n v="0.17549999999999999"/>
    <m/>
    <n v="0.17549999999999999"/>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09-01T00:00:00"/>
    <s v="FY21"/>
    <s v="t"/>
    <n v="0.14000000000000001"/>
    <n v="0"/>
    <n v="0"/>
    <n v="0.14000000000000001"/>
    <n v="3"/>
    <n v="0"/>
    <n v="0"/>
    <n v="3"/>
    <n v="100"/>
    <n v="0"/>
    <n v="0"/>
    <s v="Consolidation"/>
    <s v="CO2e and Base Measure"/>
    <n v="100"/>
    <n v="100"/>
    <n v="0.14000000000000001"/>
    <m/>
    <m/>
    <m/>
    <m/>
    <m/>
    <n v="0.182"/>
    <m/>
    <n v="0.182"/>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10-01T00:00:00"/>
    <s v="FY21"/>
    <s v="t"/>
    <n v="8.1000000000000003E-2"/>
    <n v="0"/>
    <n v="0"/>
    <n v="8.1000000000000003E-2"/>
    <n v="2"/>
    <n v="0"/>
    <n v="0"/>
    <n v="2"/>
    <n v="100"/>
    <n v="0"/>
    <n v="0"/>
    <s v="Consolidation"/>
    <s v="CO2e and Base Measure"/>
    <n v="100"/>
    <n v="100"/>
    <n v="0.08"/>
    <m/>
    <m/>
    <m/>
    <m/>
    <m/>
    <n v="0.1053"/>
    <m/>
    <n v="0.1053"/>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11-01T00:00:00"/>
    <s v="FY21"/>
    <s v="t"/>
    <n v="2.9000000000000001E-2"/>
    <n v="0"/>
    <n v="0"/>
    <n v="2.9000000000000001E-2"/>
    <n v="2"/>
    <n v="0"/>
    <n v="0"/>
    <n v="2"/>
    <n v="100"/>
    <n v="0"/>
    <n v="0"/>
    <s v="Consolidation"/>
    <s v="CO2e and Base Measure"/>
    <n v="100"/>
    <n v="100"/>
    <n v="0.03"/>
    <m/>
    <m/>
    <m/>
    <m/>
    <m/>
    <n v="3.7699999999999997E-2"/>
    <m/>
    <n v="3.7699999999999997E-2"/>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1-01-01T00:00:00"/>
    <s v="FY21"/>
    <s v="t"/>
    <n v="0"/>
    <n v="0"/>
    <n v="2.8999999999999998E-3"/>
    <n v="2.8999999999999998E-3"/>
    <n v="0"/>
    <n v="0"/>
    <n v="1"/>
    <n v="1"/>
    <n v="0"/>
    <n v="0"/>
    <n v="100"/>
    <s v="Consolidation"/>
    <s v="CO2e and Base Measure"/>
    <n v="100"/>
    <n v="100"/>
    <n v="0"/>
    <m/>
    <m/>
    <m/>
    <m/>
    <m/>
    <n v="3.8E-3"/>
    <m/>
    <n v="3.8E-3"/>
    <m/>
    <m/>
    <m/>
    <m/>
    <m/>
    <s v="AUD"/>
    <s v="13564099Waste - General [t] - Scope 3"/>
    <n v="13564099"/>
  </r>
  <r>
    <d v="2019-07-01T00:00:00"/>
    <d v="2021-06-30T00:00:00"/>
    <s v="Telstra"/>
    <s v="NETWORK"/>
    <s v="Network - InfraCo"/>
    <s v="QLD"/>
    <s v="Australia"/>
    <s v="Belmont"/>
    <s v="CAPALABA EXCHANGE"/>
    <n v="423030006300"/>
    <s v="Waste"/>
    <x v="1"/>
    <x v="2"/>
    <s v="Account"/>
    <s v="CLEANAWAY General"/>
    <m/>
    <s v="56148_Landfill_General"/>
    <s v="General"/>
    <s v="Cleanaway"/>
    <m/>
    <d v="2021-02-16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9931Waste - General [t] - Scope 3"/>
    <n v="13639931"/>
  </r>
  <r>
    <d v="2019-07-01T00:00:00"/>
    <d v="2021-06-30T00:00:00"/>
    <s v="Telstra"/>
    <s v="NETWORK"/>
    <s v="Network - InfraCo"/>
    <s v="QLD"/>
    <s v="Australia"/>
    <s v="Belmont"/>
    <s v="CAPALABA EXCHANGE"/>
    <n v="423030006300"/>
    <s v="Waste"/>
    <x v="1"/>
    <x v="2"/>
    <s v="Account"/>
    <s v="CLEANAWAY General"/>
    <m/>
    <s v="56148_Landfill_General"/>
    <s v="General"/>
    <s v="Cleanaway"/>
    <m/>
    <d v="2021-02-16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9931Waste - General [t] - Scope 3"/>
    <n v="13639931"/>
  </r>
  <r>
    <d v="2019-07-01T00:00:00"/>
    <d v="2021-06-30T00:00:00"/>
    <s v="Telstra"/>
    <s v="NETWORK"/>
    <s v="Network - InfraCo"/>
    <s v="QLD"/>
    <s v="Australia"/>
    <s v="Belmont"/>
    <s v="CAPALABA EXCHANGE"/>
    <n v="423030006300"/>
    <s v="Waste"/>
    <x v="1"/>
    <x v="2"/>
    <s v="Account"/>
    <s v="CLEANAWAY General"/>
    <m/>
    <s v="56148_Landfill_General"/>
    <s v="General"/>
    <s v="Cleanaway"/>
    <m/>
    <d v="2021-02-16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9931Waste - General [t] - Scope 3"/>
    <n v="13639931"/>
  </r>
  <r>
    <d v="2019-07-01T00:00:00"/>
    <d v="2021-06-30T00:00:00"/>
    <s v="Telstra"/>
    <s v="NETWORK"/>
    <s v="Network - InfraCo"/>
    <s v="QLD"/>
    <s v="Australia"/>
    <s v="Belmont"/>
    <s v="CAPALABA EXCHANGE"/>
    <n v="423030006300"/>
    <s v="Waste"/>
    <x v="1"/>
    <x v="2"/>
    <s v="Account"/>
    <s v="CLEANAWAY General"/>
    <m/>
    <s v="56148_Landfill_General"/>
    <s v="General"/>
    <s v="Cleanaway"/>
    <m/>
    <d v="2021-02-16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9931Waste - General [t] - Scope 3"/>
    <n v="13639931"/>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0-08-01T00:00:00"/>
    <s v="FY21"/>
    <s v="t"/>
    <n v="2.7E-2"/>
    <n v="0"/>
    <n v="0"/>
    <n v="2.7E-2"/>
    <n v="1"/>
    <n v="0"/>
    <n v="0"/>
    <n v="1"/>
    <n v="100"/>
    <n v="0"/>
    <n v="0"/>
    <s v="Consolidation"/>
    <s v="CO2e and Base Measure"/>
    <n v="100"/>
    <n v="100"/>
    <n v="0.03"/>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0-10-01T00:00:00"/>
    <s v="FY21"/>
    <s v="t"/>
    <n v="2.7E-2"/>
    <n v="0"/>
    <n v="0"/>
    <n v="2.7E-2"/>
    <n v="1"/>
    <n v="0"/>
    <n v="0"/>
    <n v="1"/>
    <n v="100"/>
    <n v="0"/>
    <n v="0"/>
    <s v="Consolidation"/>
    <s v="CO2e and Base Measure"/>
    <n v="100"/>
    <n v="100"/>
    <n v="0.03"/>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0-11-01T00:00:00"/>
    <s v="FY21"/>
    <s v="t"/>
    <n v="2.7E-2"/>
    <n v="0"/>
    <n v="0"/>
    <n v="2.7E-2"/>
    <n v="1"/>
    <n v="0"/>
    <n v="0"/>
    <n v="1"/>
    <n v="100"/>
    <n v="0"/>
    <n v="0"/>
    <s v="Consolidation"/>
    <s v="CO2e and Base Measure"/>
    <n v="100"/>
    <n v="100"/>
    <n v="0.03"/>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0-12-01T00:00:00"/>
    <s v="FY21"/>
    <s v="t"/>
    <n v="0"/>
    <n v="0"/>
    <n v="1.8599999999999998E-2"/>
    <n v="1.8599999999999998E-2"/>
    <n v="0"/>
    <n v="0"/>
    <n v="31"/>
    <n v="31"/>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623Waste Recycled - Paper and Cardboard [t]"/>
    <n v="13566623"/>
  </r>
  <r>
    <d v="2019-07-01T00:00:00"/>
    <d v="2021-06-30T00:00:00"/>
    <s v="Telstra"/>
    <s v="NETWORK"/>
    <s v="Network - InfraCo"/>
    <s v="NSW"/>
    <s v="Australia"/>
    <s v="Carlingford"/>
    <s v="CARLINGFORD EXCHANGE"/>
    <n v="423030337600"/>
    <s v="Waste"/>
    <x v="1"/>
    <x v="2"/>
    <s v="Account"/>
    <s v="Remondis General Waste"/>
    <m/>
    <s v="423030337600_WGENERALW"/>
    <s v="GENERAL WASTE"/>
    <s v="Remondis"/>
    <m/>
    <m/>
    <d v="2021-01-01T00:00:00"/>
    <d v="2020-07-01T00:00:00"/>
    <s v="FY21"/>
    <s v="t"/>
    <n v="0.62"/>
    <n v="0"/>
    <n v="0"/>
    <n v="0.62"/>
    <n v="1"/>
    <n v="0"/>
    <n v="0"/>
    <n v="1"/>
    <n v="100"/>
    <n v="0"/>
    <n v="0"/>
    <s v="Consolidation"/>
    <s v="CO2e and Base Measure"/>
    <n v="100"/>
    <n v="100"/>
    <n v="0.62"/>
    <m/>
    <m/>
    <m/>
    <m/>
    <m/>
    <n v="0.80600000000000005"/>
    <m/>
    <n v="0.80600000000000005"/>
    <m/>
    <m/>
    <m/>
    <m/>
    <m/>
    <s v="AUD"/>
    <s v="13564618Waste - General [t] - Scope 3"/>
    <n v="13564618"/>
  </r>
  <r>
    <d v="2019-07-01T00:00:00"/>
    <d v="2021-06-30T00:00:00"/>
    <s v="Telstra"/>
    <s v="NETWORK"/>
    <s v="Network - InfraCo"/>
    <s v="NSW"/>
    <s v="Australia"/>
    <s v="Carlingford"/>
    <s v="CARLINGFORD EXCHANGE"/>
    <n v="423030337600"/>
    <s v="Waste"/>
    <x v="1"/>
    <x v="2"/>
    <s v="Account"/>
    <s v="Remondis General Waste"/>
    <m/>
    <s v="423030337600_WGENERALW"/>
    <s v="GENERAL WASTE"/>
    <s v="Remondis"/>
    <m/>
    <m/>
    <d v="2021-01-01T00:00:00"/>
    <d v="2020-09-01T00:00:00"/>
    <s v="FY21"/>
    <s v="t"/>
    <n v="0.50800000000000001"/>
    <n v="0"/>
    <n v="0"/>
    <n v="0.50800000000000001"/>
    <n v="1"/>
    <n v="0"/>
    <n v="0"/>
    <n v="1"/>
    <n v="100"/>
    <n v="0"/>
    <n v="0"/>
    <s v="Consolidation"/>
    <s v="CO2e and Base Measure"/>
    <n v="100"/>
    <n v="100"/>
    <n v="0.51"/>
    <m/>
    <m/>
    <m/>
    <m/>
    <m/>
    <n v="0.66039999999999999"/>
    <m/>
    <n v="0.66039999999999999"/>
    <m/>
    <m/>
    <m/>
    <m/>
    <m/>
    <s v="AUD"/>
    <s v="13564618Waste - General [t] - Scope 3"/>
    <n v="13564618"/>
  </r>
  <r>
    <d v="2019-07-01T00:00:00"/>
    <d v="2021-06-30T00:00:00"/>
    <s v="Telstra"/>
    <s v="NETWORK"/>
    <s v="Network - InfraCo"/>
    <s v="NSW"/>
    <s v="Australia"/>
    <s v="Carlingford"/>
    <s v="CARLINGFORD EXCHANGE"/>
    <n v="423030337600"/>
    <s v="Waste"/>
    <x v="1"/>
    <x v="2"/>
    <s v="Account"/>
    <s v="Remondis General Waste"/>
    <m/>
    <s v="423030337600_WGENERALW"/>
    <s v="GENERAL WASTE"/>
    <s v="Remondis"/>
    <m/>
    <m/>
    <d v="2021-01-01T00:00:00"/>
    <d v="2020-12-01T00:00:00"/>
    <s v="FY21"/>
    <s v="t"/>
    <n v="0.36"/>
    <n v="0"/>
    <n v="0"/>
    <n v="0.36"/>
    <n v="1"/>
    <n v="0"/>
    <n v="0"/>
    <n v="1"/>
    <n v="100"/>
    <n v="0"/>
    <n v="0"/>
    <s v="Consolidation"/>
    <s v="CO2e and Base Measure"/>
    <n v="100"/>
    <n v="100"/>
    <n v="0.36"/>
    <m/>
    <m/>
    <m/>
    <m/>
    <m/>
    <n v="0.46800000000000003"/>
    <m/>
    <n v="0.46800000000000003"/>
    <m/>
    <m/>
    <m/>
    <m/>
    <m/>
    <s v="AUD"/>
    <s v="13564618Waste - General [t] - Scope 3"/>
    <n v="13564618"/>
  </r>
  <r>
    <d v="2019-07-01T00:00:00"/>
    <d v="2021-06-30T00:00:00"/>
    <s v="Telstra"/>
    <s v="NETWORK"/>
    <s v="Network - InfraCo"/>
    <s v="NSW"/>
    <s v="Australia"/>
    <s v="Carlingford"/>
    <s v="CARLINGFORD EXCHANGE"/>
    <n v="423030337600"/>
    <s v="Waste"/>
    <x v="1"/>
    <x v="2"/>
    <s v="Account"/>
    <s v="Remondis General Waste"/>
    <m/>
    <s v="423030337600_WGENERALW"/>
    <s v="GENERAL WASTE"/>
    <s v="Remondis"/>
    <m/>
    <m/>
    <d v="2021-01-01T00:00:00"/>
    <d v="2021-01-01T00:00:00"/>
    <s v="FY21"/>
    <s v="t"/>
    <n v="0"/>
    <n v="0"/>
    <n v="8.6E-3"/>
    <n v="8.6E-3"/>
    <n v="0"/>
    <n v="0"/>
    <n v="1"/>
    <n v="1"/>
    <n v="0"/>
    <n v="0"/>
    <n v="100"/>
    <s v="Consolidation"/>
    <s v="CO2e and Base Measure"/>
    <n v="100"/>
    <n v="100"/>
    <n v="0.01"/>
    <m/>
    <m/>
    <m/>
    <m/>
    <m/>
    <n v="1.12E-2"/>
    <m/>
    <n v="1.12E-2"/>
    <m/>
    <m/>
    <m/>
    <m/>
    <m/>
    <s v="AUD"/>
    <s v="13564618Waste - General [t] - Scope 3"/>
    <n v="13564618"/>
  </r>
  <r>
    <d v="2019-07-01T00:00:00"/>
    <d v="2021-06-30T00:00:00"/>
    <s v="Telstra"/>
    <s v="NON-NETWORK"/>
    <s v="NON-NETWORK"/>
    <s v="VIC"/>
    <s v="Australia"/>
    <s v="North Melbourne"/>
    <s v="CARLTON EARTH STATION"/>
    <n v="423030883600"/>
    <s v="Recycled Waste"/>
    <x v="0"/>
    <x v="0"/>
    <s v="Account"/>
    <s v="Remondis Cardboard - Loose - Recycled"/>
    <m/>
    <s v="423030883600_RCARDBOAR"/>
    <s v="CARDBOARD - LOOSE - RECYCLED"/>
    <s v="Remondis"/>
    <m/>
    <m/>
    <d v="2020-10-01T00:00:00"/>
    <d v="2020-09-01T00:00:00"/>
    <s v="FY21"/>
    <s v="t"/>
    <n v="0"/>
    <n v="2.3300000000000001E-2"/>
    <n v="0"/>
    <n v="2.3300000000000001E-2"/>
    <n v="0"/>
    <n v="1"/>
    <n v="0"/>
    <n v="1"/>
    <n v="0"/>
    <n v="100"/>
    <n v="0"/>
    <s v="Consolidation"/>
    <s v="CO2e and Base Measure"/>
    <n v="100"/>
    <n v="100"/>
    <n v="0.02"/>
    <m/>
    <m/>
    <m/>
    <m/>
    <m/>
    <m/>
    <n v="0"/>
    <m/>
    <m/>
    <m/>
    <m/>
    <m/>
    <m/>
    <s v="AUD"/>
    <s v="13565420Waste Recycled - Cardboard [t]"/>
    <n v="13565420"/>
  </r>
  <r>
    <d v="2019-07-01T00:00:00"/>
    <d v="2021-06-30T00:00:00"/>
    <s v="Telstra"/>
    <s v="NON-NETWORK"/>
    <s v="NON-NETWORK"/>
    <s v="VIC"/>
    <s v="Australia"/>
    <s v="North Melbourne"/>
    <s v="CARLTON EARTH STATION"/>
    <n v="423030883600"/>
    <s v="Recycled Waste"/>
    <x v="0"/>
    <x v="0"/>
    <s v="Account"/>
    <s v="Remondis Cardboard - Loose - Recycled"/>
    <m/>
    <s v="423030883600_RCARDBOAR"/>
    <s v="CARDBOARD - LOOSE - RECYCLED"/>
    <s v="Remondis"/>
    <m/>
    <m/>
    <d v="2020-10-01T00:00:00"/>
    <d v="2020-10-01T00:00:00"/>
    <s v="FY21"/>
    <s v="t"/>
    <n v="0"/>
    <n v="0"/>
    <n v="4.0000000000000002E-4"/>
    <n v="4.0000000000000002E-4"/>
    <n v="0"/>
    <n v="0"/>
    <n v="1"/>
    <n v="1"/>
    <n v="0"/>
    <n v="0"/>
    <n v="100"/>
    <s v="Consolidation"/>
    <s v="CO2e and Base Measure"/>
    <n v="100"/>
    <n v="100"/>
    <n v="0"/>
    <m/>
    <m/>
    <m/>
    <m/>
    <m/>
    <m/>
    <n v="0"/>
    <m/>
    <m/>
    <m/>
    <m/>
    <m/>
    <m/>
    <s v="AUD"/>
    <s v="13565420Waste Recycled - Cardboard [t]"/>
    <n v="13565420"/>
  </r>
  <r>
    <d v="2019-07-01T00:00:00"/>
    <d v="2021-06-30T00:00:00"/>
    <s v="Telstra"/>
    <s v="NON-NETWORK"/>
    <s v="NON-NETWORK"/>
    <s v="VIC"/>
    <s v="Australia"/>
    <s v="North Melbourne"/>
    <s v="CARLTON EARTH STATION"/>
    <n v="423030883600"/>
    <s v="Recycled Waste"/>
    <x v="0"/>
    <x v="1"/>
    <s v="Account"/>
    <s v="Remondis Electrical Comp. (E-Waste)"/>
    <m/>
    <s v="423030883600_RELECTRIC"/>
    <s v="ELECTRICAL COMP. E-WASTE"/>
    <s v="Remondis"/>
    <m/>
    <m/>
    <d v="2020-12-01T00:00:00"/>
    <d v="2020-11-01T00:00:00"/>
    <s v="FY21"/>
    <s v="t"/>
    <n v="0"/>
    <n v="0.12540000000000001"/>
    <n v="0"/>
    <n v="0.12540000000000001"/>
    <n v="0"/>
    <n v="1"/>
    <n v="0"/>
    <n v="1"/>
    <n v="0"/>
    <n v="100"/>
    <n v="0"/>
    <s v="Consolidation"/>
    <s v="CO2e and Base Measure"/>
    <n v="100"/>
    <n v="100"/>
    <n v="0.13"/>
    <m/>
    <m/>
    <m/>
    <m/>
    <m/>
    <m/>
    <m/>
    <m/>
    <m/>
    <m/>
    <m/>
    <m/>
    <m/>
    <s v="AUD"/>
    <s v="13565422Waste Recycled - E-waste [t]"/>
    <n v="13565422"/>
  </r>
  <r>
    <d v="2019-07-01T00:00:00"/>
    <d v="2021-06-30T00:00:00"/>
    <s v="Telstra"/>
    <s v="NON-NETWORK"/>
    <s v="NON-NETWORK"/>
    <s v="VIC"/>
    <s v="Australia"/>
    <s v="North Melbourne"/>
    <s v="CARLTON EARTH STATION"/>
    <n v="423030883600"/>
    <s v="Recycled Waste"/>
    <x v="0"/>
    <x v="1"/>
    <s v="Account"/>
    <s v="Remondis Electrical Comp. (E-Waste)"/>
    <m/>
    <s v="423030883600_RELECTRIC"/>
    <s v="ELECTRICAL COMP. E-WASTE"/>
    <s v="Remondis"/>
    <m/>
    <m/>
    <d v="2020-12-01T00:00:00"/>
    <d v="2020-12-01T00:00:00"/>
    <s v="FY21"/>
    <s v="t"/>
    <n v="0"/>
    <n v="0"/>
    <n v="4.3E-3"/>
    <n v="4.3E-3"/>
    <n v="0"/>
    <n v="0"/>
    <n v="1"/>
    <n v="1"/>
    <n v="0"/>
    <n v="0"/>
    <n v="100"/>
    <s v="Consolidation"/>
    <s v="CO2e and Base Measure"/>
    <n v="100"/>
    <n v="100"/>
    <n v="0"/>
    <m/>
    <m/>
    <m/>
    <m/>
    <m/>
    <m/>
    <m/>
    <m/>
    <m/>
    <m/>
    <m/>
    <m/>
    <m/>
    <s v="AUD"/>
    <s v="13565422Waste Recycled - E-waste [t]"/>
    <n v="13565422"/>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07-01T00:00:00"/>
    <s v="FY21"/>
    <s v="t"/>
    <n v="0"/>
    <n v="0.2145"/>
    <n v="0"/>
    <n v="0.2145"/>
    <n v="0"/>
    <n v="5"/>
    <n v="0"/>
    <n v="5"/>
    <n v="0"/>
    <n v="100"/>
    <n v="0"/>
    <s v="Consolidation"/>
    <s v="CO2e and Base Measure"/>
    <n v="100"/>
    <n v="100"/>
    <n v="0.21"/>
    <m/>
    <m/>
    <m/>
    <m/>
    <m/>
    <n v="0.27889999999999998"/>
    <m/>
    <n v="0.27889999999999998"/>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08-01T00:00:00"/>
    <s v="FY21"/>
    <s v="t"/>
    <n v="0"/>
    <n v="0.1716"/>
    <n v="0"/>
    <n v="0.1716"/>
    <n v="0"/>
    <n v="4"/>
    <n v="0"/>
    <n v="4"/>
    <n v="0"/>
    <n v="100"/>
    <n v="0"/>
    <s v="Consolidation"/>
    <s v="CO2e and Base Measure"/>
    <n v="100"/>
    <n v="100"/>
    <n v="0.17"/>
    <m/>
    <m/>
    <m/>
    <m/>
    <m/>
    <n v="0.22309999999999999"/>
    <m/>
    <n v="0.22309999999999999"/>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09-01T00:00:00"/>
    <s v="FY21"/>
    <s v="t"/>
    <n v="0"/>
    <n v="0.28670000000000001"/>
    <n v="0"/>
    <n v="0.28670000000000001"/>
    <n v="0"/>
    <n v="6"/>
    <n v="0"/>
    <n v="6"/>
    <n v="0"/>
    <n v="100"/>
    <n v="0"/>
    <s v="Consolidation"/>
    <s v="CO2e and Base Measure"/>
    <n v="100"/>
    <n v="100"/>
    <n v="0.28999999999999998"/>
    <m/>
    <m/>
    <m/>
    <m/>
    <m/>
    <n v="0.37269999999999998"/>
    <m/>
    <n v="0.37269999999999998"/>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10-01T00:00:00"/>
    <s v="FY21"/>
    <s v="t"/>
    <n v="0"/>
    <n v="0.12870000000000001"/>
    <n v="0"/>
    <n v="0.12870000000000001"/>
    <n v="0"/>
    <n v="3"/>
    <n v="0"/>
    <n v="3"/>
    <n v="0"/>
    <n v="100"/>
    <n v="0"/>
    <s v="Consolidation"/>
    <s v="CO2e and Base Measure"/>
    <n v="100"/>
    <n v="100"/>
    <n v="0.13"/>
    <m/>
    <m/>
    <m/>
    <m/>
    <m/>
    <n v="0.1673"/>
    <m/>
    <n v="0.1673"/>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11-01T00:00:00"/>
    <s v="FY21"/>
    <s v="t"/>
    <n v="0"/>
    <n v="0.1716"/>
    <n v="0"/>
    <n v="0.1716"/>
    <n v="0"/>
    <n v="4"/>
    <n v="0"/>
    <n v="4"/>
    <n v="0"/>
    <n v="100"/>
    <n v="0"/>
    <s v="Consolidation"/>
    <s v="CO2e and Base Measure"/>
    <n v="100"/>
    <n v="100"/>
    <n v="0.17"/>
    <m/>
    <m/>
    <m/>
    <m/>
    <m/>
    <n v="0.22309999999999999"/>
    <m/>
    <n v="0.22309999999999999"/>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12-01T00:00:00"/>
    <s v="FY21"/>
    <s v="t"/>
    <n v="0"/>
    <n v="4.2900000000000001E-2"/>
    <n v="0"/>
    <n v="4.2900000000000001E-2"/>
    <n v="0"/>
    <n v="1"/>
    <n v="0"/>
    <n v="1"/>
    <n v="0"/>
    <n v="100"/>
    <n v="0"/>
    <s v="Consolidation"/>
    <s v="CO2e and Base Measure"/>
    <n v="100"/>
    <n v="100"/>
    <n v="0.04"/>
    <m/>
    <m/>
    <m/>
    <m/>
    <m/>
    <n v="5.5800000000000002E-2"/>
    <m/>
    <n v="5.5800000000000002E-2"/>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1-01-01T00:00:00"/>
    <s v="FY21"/>
    <s v="t"/>
    <n v="0"/>
    <n v="0"/>
    <n v="5.5999999999999999E-3"/>
    <n v="5.5999999999999999E-3"/>
    <n v="0"/>
    <n v="0"/>
    <n v="1"/>
    <n v="1"/>
    <n v="0"/>
    <n v="0"/>
    <n v="100"/>
    <s v="Consolidation"/>
    <s v="CO2e and Base Measure"/>
    <n v="100"/>
    <n v="100"/>
    <n v="0.01"/>
    <m/>
    <m/>
    <m/>
    <m/>
    <m/>
    <n v="7.3000000000000001E-3"/>
    <m/>
    <n v="7.3000000000000001E-3"/>
    <m/>
    <m/>
    <m/>
    <m/>
    <m/>
    <s v="AUD"/>
    <s v="13565423Waste - General [t] - Scope 3"/>
    <n v="13565423"/>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0-12-01T00:00:00"/>
    <s v="FY21"/>
    <s v="t"/>
    <n v="0"/>
    <n v="0.12870000000000001"/>
    <n v="0"/>
    <n v="0.12870000000000001"/>
    <n v="0"/>
    <n v="3"/>
    <n v="0"/>
    <n v="3"/>
    <n v="0"/>
    <n v="100"/>
    <n v="0"/>
    <s v="Consolidation"/>
    <s v="CO2e and Base Measure"/>
    <n v="100"/>
    <n v="100"/>
    <n v="0.13"/>
    <m/>
    <m/>
    <m/>
    <m/>
    <m/>
    <n v="0.1673"/>
    <m/>
    <n v="0.1673"/>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2-01T00:00:00"/>
    <s v="FY21"/>
    <s v="t"/>
    <n v="0"/>
    <n v="0.15840000000000001"/>
    <n v="0"/>
    <n v="0.15840000000000001"/>
    <n v="0"/>
    <n v="4"/>
    <n v="0"/>
    <n v="4"/>
    <n v="0"/>
    <n v="100"/>
    <n v="0"/>
    <s v="Consolidation"/>
    <s v="CO2e and Base Measure"/>
    <n v="100"/>
    <n v="100"/>
    <n v="0.16"/>
    <m/>
    <m/>
    <m/>
    <m/>
    <m/>
    <n v="0.2059"/>
    <m/>
    <n v="0.2059"/>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3-01T00:00:00"/>
    <s v="FY21"/>
    <s v="t"/>
    <n v="6.3E-2"/>
    <n v="0.23760000000000001"/>
    <n v="0"/>
    <n v="0.30059999999999998"/>
    <n v="3"/>
    <n v="6"/>
    <n v="0"/>
    <n v="9"/>
    <n v="20.95"/>
    <n v="79.040000000000006"/>
    <n v="0"/>
    <s v="Consolidation"/>
    <s v="CO2e and Base Measure"/>
    <n v="100"/>
    <n v="100"/>
    <n v="0.3"/>
    <m/>
    <m/>
    <m/>
    <m/>
    <m/>
    <n v="0.39079999999999998"/>
    <m/>
    <n v="0.39079999999999998"/>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4-01T00:00:00"/>
    <s v="FY21"/>
    <s v="t"/>
    <n v="0"/>
    <n v="0"/>
    <n v="0.159"/>
    <n v="0.159"/>
    <n v="0"/>
    <n v="0"/>
    <n v="30"/>
    <n v="30"/>
    <n v="0"/>
    <n v="0"/>
    <n v="100"/>
    <s v="Consolidation"/>
    <s v="CO2e and Base Measure"/>
    <n v="100"/>
    <n v="100"/>
    <n v="0.16"/>
    <m/>
    <m/>
    <m/>
    <m/>
    <m/>
    <n v="0.20669999999999999"/>
    <m/>
    <n v="0.20669999999999999"/>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5-01T00:00:00"/>
    <s v="FY21"/>
    <s v="t"/>
    <n v="0"/>
    <n v="0"/>
    <n v="0.1643"/>
    <n v="0.1643"/>
    <n v="0"/>
    <n v="0"/>
    <n v="31"/>
    <n v="31"/>
    <n v="0"/>
    <n v="0"/>
    <n v="100"/>
    <s v="Consolidation"/>
    <s v="CO2e and Base Measure"/>
    <n v="100"/>
    <n v="100"/>
    <n v="0.16"/>
    <m/>
    <m/>
    <m/>
    <m/>
    <m/>
    <n v="0.21360000000000001"/>
    <m/>
    <n v="0.21360000000000001"/>
    <m/>
    <m/>
    <m/>
    <m/>
    <m/>
    <s v="AUD"/>
    <s v="13634358Waste - General [t] - Scope 3"/>
    <n v="13634358"/>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0-12-01T00:00:00"/>
    <s v="FY21"/>
    <s v="t"/>
    <n v="0"/>
    <n v="2.75E-2"/>
    <n v="0"/>
    <n v="2.75E-2"/>
    <n v="0"/>
    <n v="1"/>
    <n v="0"/>
    <n v="1"/>
    <n v="0"/>
    <n v="100"/>
    <n v="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1-01T00:00:00"/>
    <s v="FY21"/>
    <s v="t"/>
    <n v="0"/>
    <n v="0"/>
    <n v="2.7900000000000001E-2"/>
    <n v="2.7900000000000001E-2"/>
    <n v="0"/>
    <n v="0"/>
    <n v="31"/>
    <n v="31"/>
    <n v="0"/>
    <n v="0"/>
    <n v="10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2-01T00:00:00"/>
    <s v="FY21"/>
    <s v="t"/>
    <n v="0"/>
    <n v="0"/>
    <n v="2.52E-2"/>
    <n v="2.52E-2"/>
    <n v="0"/>
    <n v="0"/>
    <n v="28"/>
    <n v="28"/>
    <n v="0"/>
    <n v="0"/>
    <n v="10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3-01T00:00:00"/>
    <s v="FY21"/>
    <s v="t"/>
    <n v="0"/>
    <n v="0"/>
    <n v="2.7900000000000001E-2"/>
    <n v="2.7900000000000001E-2"/>
    <n v="0"/>
    <n v="0"/>
    <n v="31"/>
    <n v="31"/>
    <n v="0"/>
    <n v="0"/>
    <n v="10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4-01T00:00:00"/>
    <s v="FY21"/>
    <s v="t"/>
    <n v="0"/>
    <n v="0"/>
    <n v="2.7E-2"/>
    <n v="2.7E-2"/>
    <n v="0"/>
    <n v="0"/>
    <n v="30"/>
    <n v="30"/>
    <n v="0"/>
    <n v="0"/>
    <n v="10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5-01T00:00:00"/>
    <s v="FY21"/>
    <s v="t"/>
    <n v="0"/>
    <n v="0"/>
    <n v="2.7900000000000001E-2"/>
    <n v="2.7900000000000001E-2"/>
    <n v="0"/>
    <n v="0"/>
    <n v="31"/>
    <n v="31"/>
    <n v="0"/>
    <n v="0"/>
    <n v="100"/>
    <s v="Consolidation"/>
    <s v="CO2e and Base Measure"/>
    <n v="100"/>
    <n v="100"/>
    <n v="0.03"/>
    <m/>
    <m/>
    <m/>
    <m/>
    <m/>
    <m/>
    <m/>
    <m/>
    <m/>
    <m/>
    <m/>
    <m/>
    <m/>
    <s v="AUD"/>
    <s v="13634359Waste Recycled - Paper and Cardboard [t]"/>
    <n v="13634359"/>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1-01-01T00:00:00"/>
    <s v="FY21"/>
    <s v="t"/>
    <n v="0"/>
    <n v="0"/>
    <n v="5.4999999999999997E-3"/>
    <n v="5.4999999999999997E-3"/>
    <n v="0"/>
    <n v="0"/>
    <n v="1"/>
    <n v="1"/>
    <n v="0"/>
    <n v="0"/>
    <n v="100"/>
    <s v="Consolidation"/>
    <s v="CO2e and Base Measure"/>
    <n v="100"/>
    <n v="100"/>
    <n v="0.01"/>
    <m/>
    <m/>
    <m/>
    <m/>
    <m/>
    <n v="7.1999999999999998E-3"/>
    <m/>
    <n v="7.1999999999999998E-3"/>
    <m/>
    <m/>
    <m/>
    <m/>
    <m/>
    <s v="AUD"/>
    <s v="13565417Waste - General [t] - Scope 3"/>
    <n v="13565417"/>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0-07-01T00:00:00"/>
    <s v="FY21"/>
    <s v="t"/>
    <n v="2.7E-2"/>
    <n v="0"/>
    <n v="0"/>
    <n v="2.7E-2"/>
    <n v="1"/>
    <n v="0"/>
    <n v="0"/>
    <n v="1"/>
    <n v="100"/>
    <n v="0"/>
    <n v="0"/>
    <s v="Consolidation"/>
    <s v="CO2e and Base Measure"/>
    <n v="100"/>
    <n v="100"/>
    <n v="0.03"/>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0-09-01T00:00:00"/>
    <s v="FY21"/>
    <s v="t"/>
    <n v="2E-3"/>
    <n v="0"/>
    <n v="0"/>
    <n v="2E-3"/>
    <n v="1"/>
    <n v="0"/>
    <n v="0"/>
    <n v="1"/>
    <n v="100"/>
    <n v="0"/>
    <n v="0"/>
    <s v="Consolidation"/>
    <s v="CO2e and Base Measure"/>
    <n v="100"/>
    <n v="100"/>
    <n v="0"/>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0-11-01T00:00:00"/>
    <s v="FY21"/>
    <s v="t"/>
    <n v="2.7E-2"/>
    <n v="0"/>
    <n v="0"/>
    <n v="2.7E-2"/>
    <n v="1"/>
    <n v="0"/>
    <n v="0"/>
    <n v="1"/>
    <n v="100"/>
    <n v="0"/>
    <n v="0"/>
    <s v="Consolidation"/>
    <s v="CO2e and Base Measure"/>
    <n v="100"/>
    <n v="100"/>
    <n v="0.03"/>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0-12-01T00:00:00"/>
    <s v="FY21"/>
    <s v="t"/>
    <n v="0"/>
    <n v="0"/>
    <n v="1.55E-2"/>
    <n v="1.55E-2"/>
    <n v="0"/>
    <n v="0"/>
    <n v="31"/>
    <n v="31"/>
    <n v="0"/>
    <n v="0"/>
    <n v="100"/>
    <s v="Consolidation"/>
    <s v="CO2e and Base Measure"/>
    <n v="100"/>
    <n v="100"/>
    <n v="0.02"/>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1-01T00:00:00"/>
    <s v="FY21"/>
    <s v="t"/>
    <n v="0"/>
    <n v="0"/>
    <n v="1.55E-2"/>
    <n v="1.55E-2"/>
    <n v="0"/>
    <n v="0"/>
    <n v="31"/>
    <n v="31"/>
    <n v="0"/>
    <n v="0"/>
    <n v="100"/>
    <s v="Consolidation"/>
    <s v="CO2e and Base Measure"/>
    <n v="100"/>
    <n v="100"/>
    <n v="0.02"/>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2-01T00:00:00"/>
    <s v="FY21"/>
    <s v="t"/>
    <n v="0"/>
    <n v="0"/>
    <n v="1.4E-2"/>
    <n v="1.4E-2"/>
    <n v="0"/>
    <n v="0"/>
    <n v="28"/>
    <n v="28"/>
    <n v="0"/>
    <n v="0"/>
    <n v="100"/>
    <s v="Consolidation"/>
    <s v="CO2e and Base Measure"/>
    <n v="100"/>
    <n v="100"/>
    <n v="0.01"/>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3-01T00:00:00"/>
    <s v="FY21"/>
    <s v="t"/>
    <n v="0"/>
    <n v="0"/>
    <n v="1.55E-2"/>
    <n v="1.55E-2"/>
    <n v="0"/>
    <n v="0"/>
    <n v="31"/>
    <n v="31"/>
    <n v="0"/>
    <n v="0"/>
    <n v="100"/>
    <s v="Consolidation"/>
    <s v="CO2e and Base Measure"/>
    <n v="100"/>
    <n v="100"/>
    <n v="0.02"/>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5-01T00:00:00"/>
    <s v="FY21"/>
    <s v="t"/>
    <n v="0"/>
    <n v="0"/>
    <n v="1.55E-2"/>
    <n v="1.55E-2"/>
    <n v="0"/>
    <n v="0"/>
    <n v="31"/>
    <n v="31"/>
    <n v="0"/>
    <n v="0"/>
    <n v="100"/>
    <s v="Consolidation"/>
    <s v="CO2e and Base Measure"/>
    <n v="100"/>
    <n v="100"/>
    <n v="0.02"/>
    <m/>
    <m/>
    <m/>
    <m/>
    <m/>
    <m/>
    <m/>
    <m/>
    <m/>
    <m/>
    <m/>
    <m/>
    <m/>
    <s v="AUD"/>
    <s v="13566451Waste Recycled - Paper and Cardboard [t]"/>
    <n v="13566451"/>
  </r>
  <r>
    <d v="2019-07-01T00:00:00"/>
    <d v="2021-06-30T00:00:00"/>
    <s v="Telstra"/>
    <s v="NETWORK"/>
    <s v="Network - InfraCo"/>
    <s v="NSW"/>
    <s v="Australia"/>
    <s v="Chipping Norton"/>
    <s v="CARRAMAR EXCHANGE"/>
    <n v="423030337900"/>
    <s v="Recycled Waste"/>
    <x v="0"/>
    <x v="5"/>
    <s v="Account"/>
    <s v="Remondis Construction &amp; Demolition - Recycled"/>
    <m/>
    <s v="423030337900_RCONSDEM"/>
    <s v="CONSTRUCTION &amp; DEMOLITION - RECYLED"/>
    <s v="Remondis"/>
    <m/>
    <m/>
    <d v="2021-01-01T00:00:00"/>
    <d v="2020-12-01T00:00:00"/>
    <s v="FY21"/>
    <s v="t"/>
    <n v="3.36"/>
    <n v="0"/>
    <n v="0"/>
    <n v="3.36"/>
    <n v="1"/>
    <n v="0"/>
    <n v="0"/>
    <n v="1"/>
    <n v="100"/>
    <n v="0"/>
    <n v="0"/>
    <s v="Consolidation"/>
    <s v="CO2e and Base Measure"/>
    <n v="100"/>
    <n v="100"/>
    <n v="3.36"/>
    <m/>
    <m/>
    <m/>
    <m/>
    <m/>
    <m/>
    <m/>
    <m/>
    <m/>
    <m/>
    <m/>
    <m/>
    <m/>
    <s v="AUD"/>
    <s v="13576202Waste Recycled - Construction and Demolition [t]"/>
    <n v="13576202"/>
  </r>
  <r>
    <d v="2019-07-01T00:00:00"/>
    <d v="2021-06-30T00:00:00"/>
    <s v="Telstra"/>
    <s v="NETWORK"/>
    <s v="Network - InfraCo"/>
    <s v="NSW"/>
    <s v="Australia"/>
    <s v="Chipping Norton"/>
    <s v="CARRAMAR EXCHANGE"/>
    <n v="423030337900"/>
    <s v="Recycled Waste"/>
    <x v="0"/>
    <x v="5"/>
    <s v="Account"/>
    <s v="Remondis Construction &amp; Demolition - Recycled"/>
    <m/>
    <s v="423030337900_RCONSDEM"/>
    <s v="CONSTRUCTION &amp; DEMOLITION - RECYLED"/>
    <s v="Remondis"/>
    <m/>
    <m/>
    <d v="2021-01-01T00:00:00"/>
    <d v="2021-01-01T00:00:00"/>
    <s v="FY21"/>
    <s v="t"/>
    <n v="0"/>
    <n v="0"/>
    <n v="9.7100000000000006E-2"/>
    <n v="9.7100000000000006E-2"/>
    <n v="0"/>
    <n v="0"/>
    <n v="1"/>
    <n v="1"/>
    <n v="0"/>
    <n v="0"/>
    <n v="100"/>
    <s v="Consolidation"/>
    <s v="CO2e and Base Measure"/>
    <n v="100"/>
    <n v="100"/>
    <n v="0.1"/>
    <m/>
    <m/>
    <m/>
    <m/>
    <m/>
    <m/>
    <m/>
    <m/>
    <m/>
    <m/>
    <m/>
    <m/>
    <m/>
    <s v="AUD"/>
    <s v="13576202Waste Recycled - Construction and Demolition [t]"/>
    <n v="13576202"/>
  </r>
  <r>
    <d v="2019-07-01T00:00:00"/>
    <d v="2021-06-30T00:00:00"/>
    <s v="Telstra"/>
    <s v="NETWORK"/>
    <s v="Network - InfraCo"/>
    <s v="VIC"/>
    <s v="Australia"/>
    <s v="Mildura"/>
    <s v="CARWARP EXCHANGE"/>
    <n v="423030568900"/>
    <s v="Waste"/>
    <x v="1"/>
    <x v="4"/>
    <s v="Account"/>
    <s v="Remondis Construction &amp; Demolition - Landfill"/>
    <m/>
    <s v="423030568900_WCONSDEM"/>
    <s v="CONSTRUCTION &amp; DEMOLITION - LANDFILL"/>
    <s v="Remondis"/>
    <m/>
    <d v="2020-10-06T00:00:00"/>
    <d v="2020-11-01T00:00:00"/>
    <d v="2020-10-01T00:00:00"/>
    <s v="FY21"/>
    <s v="t"/>
    <n v="0.2"/>
    <n v="0"/>
    <n v="0"/>
    <n v="0.2"/>
    <n v="1"/>
    <n v="0"/>
    <n v="0"/>
    <n v="1"/>
    <n v="100"/>
    <n v="0"/>
    <n v="0"/>
    <s v="Consolidation"/>
    <s v="CO2e and Base Measure"/>
    <n v="100"/>
    <n v="100"/>
    <n v="0.2"/>
    <m/>
    <m/>
    <m/>
    <m/>
    <m/>
    <n v="0.24"/>
    <m/>
    <n v="0.24"/>
    <m/>
    <m/>
    <m/>
    <m/>
    <m/>
    <s v="AUD"/>
    <s v="13631690Waste - Construction and Demolition [t]"/>
    <n v="13631690"/>
  </r>
  <r>
    <d v="2019-07-01T00:00:00"/>
    <d v="2021-06-30T00:00:00"/>
    <s v="Telstra"/>
    <s v="NETWORK"/>
    <s v="Network - InfraCo"/>
    <s v="VIC"/>
    <s v="Australia"/>
    <s v="Mildura"/>
    <s v="CARWARP EXCHANGE"/>
    <n v="423030568900"/>
    <s v="Waste"/>
    <x v="1"/>
    <x v="4"/>
    <s v="Account"/>
    <s v="Remondis Construction &amp; Demolition - Landfill"/>
    <m/>
    <s v="423030568900_WCONSDEM"/>
    <s v="CONSTRUCTION &amp; DEMOLITION - LANDFILL"/>
    <s v="Remondis"/>
    <m/>
    <d v="2020-10-06T00:00:00"/>
    <d v="2020-11-01T00:00:00"/>
    <d v="2020-11-01T00:00:00"/>
    <s v="FY21"/>
    <s v="t"/>
    <n v="0"/>
    <n v="0"/>
    <n v="6.7000000000000002E-3"/>
    <n v="6.7000000000000002E-3"/>
    <n v="0"/>
    <n v="0"/>
    <n v="1"/>
    <n v="1"/>
    <n v="0"/>
    <n v="0"/>
    <n v="100"/>
    <s v="Consolidation"/>
    <s v="CO2e and Base Measure"/>
    <n v="100"/>
    <n v="100"/>
    <n v="0.01"/>
    <m/>
    <m/>
    <m/>
    <m/>
    <m/>
    <n v="8.0000000000000002E-3"/>
    <m/>
    <n v="8.0000000000000002E-3"/>
    <m/>
    <m/>
    <m/>
    <m/>
    <m/>
    <s v="AUD"/>
    <s v="13631690Waste - Construction and Demolition [t]"/>
    <n v="13631690"/>
  </r>
  <r>
    <d v="2019-07-01T00:00:00"/>
    <d v="2021-06-30T00:00:00"/>
    <s v="Telstra"/>
    <s v="NETWORK"/>
    <s v="Network - InfraCo"/>
    <s v="VIC"/>
    <s v="Australia"/>
    <s v="Mildura"/>
    <s v="CARWARP EXCHANGE"/>
    <n v="423030568900"/>
    <s v="Recycled Waste"/>
    <x v="0"/>
    <x v="5"/>
    <s v="Account"/>
    <s v="Remondis Construction &amp; Demolition - Recycled"/>
    <m/>
    <s v="423030568900_RCONSDEM"/>
    <s v="CONSTRUCTION &amp; DEMOLITION - RECYLED"/>
    <s v="Remondis"/>
    <m/>
    <d v="2020-08-19T00:00:00"/>
    <d v="2020-11-01T00:00:00"/>
    <d v="2020-08-01T00:00:00"/>
    <s v="FY21"/>
    <s v="t"/>
    <n v="1.26"/>
    <n v="0"/>
    <n v="0"/>
    <n v="1.26"/>
    <n v="1"/>
    <n v="0"/>
    <n v="0"/>
    <n v="1"/>
    <n v="100"/>
    <n v="0"/>
    <n v="0"/>
    <s v="Consolidation"/>
    <s v="CO2e and Base Measure"/>
    <n v="100"/>
    <n v="100"/>
    <n v="1.26"/>
    <m/>
    <m/>
    <m/>
    <m/>
    <m/>
    <m/>
    <m/>
    <m/>
    <m/>
    <m/>
    <m/>
    <m/>
    <m/>
    <s v="AUD"/>
    <s v="13631700Waste Recycled - Construction and Demolition [t]"/>
    <n v="13631700"/>
  </r>
  <r>
    <d v="2019-07-01T00:00:00"/>
    <d v="2021-06-30T00:00:00"/>
    <s v="Telstra"/>
    <s v="NETWORK"/>
    <s v="Network - InfraCo"/>
    <s v="VIC"/>
    <s v="Australia"/>
    <s v="Mildura"/>
    <s v="CARWARP EXCHANGE"/>
    <n v="423030568900"/>
    <s v="Recycled Waste"/>
    <x v="0"/>
    <x v="5"/>
    <s v="Account"/>
    <s v="Remondis Construction &amp; Demolition - Recycled"/>
    <m/>
    <s v="423030568900_RCONSDEM"/>
    <s v="CONSTRUCTION &amp; DEMOLITION - RECYLED"/>
    <s v="Remondis"/>
    <m/>
    <d v="2020-08-19T00:00:00"/>
    <d v="2020-11-01T00:00:00"/>
    <d v="2020-10-01T00:00:00"/>
    <s v="FY21"/>
    <s v="t"/>
    <n v="0"/>
    <n v="4.5"/>
    <n v="0"/>
    <n v="4.5"/>
    <n v="0"/>
    <n v="1"/>
    <n v="0"/>
    <n v="1"/>
    <n v="0"/>
    <n v="100"/>
    <n v="0"/>
    <s v="Consolidation"/>
    <s v="CO2e and Base Measure"/>
    <n v="100"/>
    <n v="100"/>
    <n v="4.5"/>
    <m/>
    <m/>
    <m/>
    <m/>
    <m/>
    <m/>
    <m/>
    <m/>
    <m/>
    <m/>
    <m/>
    <m/>
    <m/>
    <s v="AUD"/>
    <s v="13631700Waste Recycled - Construction and Demolition [t]"/>
    <n v="13631700"/>
  </r>
  <r>
    <d v="2019-07-01T00:00:00"/>
    <d v="2021-06-30T00:00:00"/>
    <s v="Telstra"/>
    <s v="NETWORK"/>
    <s v="Network - InfraCo"/>
    <s v="VIC"/>
    <s v="Australia"/>
    <s v="Mildura"/>
    <s v="CARWARP EXCHANGE"/>
    <n v="423030568900"/>
    <s v="Recycled Waste"/>
    <x v="0"/>
    <x v="5"/>
    <s v="Account"/>
    <s v="Remondis Construction &amp; Demolition - Recycled"/>
    <m/>
    <s v="423030568900_RCONSDEM"/>
    <s v="CONSTRUCTION &amp; DEMOLITION - RECYLED"/>
    <s v="Remondis"/>
    <m/>
    <d v="2020-08-19T00:00:00"/>
    <d v="2020-11-01T00:00:00"/>
    <d v="2020-11-01T00:00:00"/>
    <s v="FY21"/>
    <s v="t"/>
    <n v="0"/>
    <n v="0"/>
    <n v="6.3299999999999995E-2"/>
    <n v="6.3299999999999995E-2"/>
    <n v="0"/>
    <n v="0"/>
    <n v="1"/>
    <n v="1"/>
    <n v="0"/>
    <n v="0"/>
    <n v="100"/>
    <s v="Consolidation"/>
    <s v="CO2e and Base Measure"/>
    <n v="100"/>
    <n v="100"/>
    <n v="0.06"/>
    <m/>
    <m/>
    <m/>
    <m/>
    <m/>
    <m/>
    <m/>
    <m/>
    <m/>
    <m/>
    <m/>
    <m/>
    <m/>
    <s v="AUD"/>
    <s v="13631700Waste Recycled - Construction and Demolition [t]"/>
    <n v="13631700"/>
  </r>
  <r>
    <d v="2019-07-01T00:00:00"/>
    <d v="2021-06-30T00:00:00"/>
    <s v="Telstra"/>
    <s v="NETWORK"/>
    <s v="Network - InfraCo"/>
    <s v="NSW"/>
    <s v="Australia"/>
    <s v="Casino"/>
    <s v="CASINO EXCHANGE"/>
    <n v="423030333500"/>
    <s v="Waste"/>
    <x v="1"/>
    <x v="4"/>
    <s v="Account"/>
    <s v="Remondis Asbestos"/>
    <m/>
    <s v="423030333500_WASBESTOS"/>
    <s v="ASBESTOS"/>
    <s v="Remondis"/>
    <m/>
    <m/>
    <d v="2021-01-01T00:00:00"/>
    <d v="2020-12-01T00:00:00"/>
    <s v="FY21"/>
    <s v="t"/>
    <n v="6.5000000000000002E-2"/>
    <n v="0"/>
    <n v="0"/>
    <n v="6.5000000000000002E-2"/>
    <n v="1"/>
    <n v="0"/>
    <n v="0"/>
    <n v="1"/>
    <n v="100"/>
    <n v="0"/>
    <n v="0"/>
    <s v="Consolidation"/>
    <s v="CO2e and Base Measure"/>
    <n v="100"/>
    <n v="100"/>
    <n v="7.0000000000000007E-2"/>
    <m/>
    <m/>
    <m/>
    <m/>
    <m/>
    <n v="7.8E-2"/>
    <m/>
    <n v="7.8E-2"/>
    <m/>
    <m/>
    <m/>
    <m/>
    <m/>
    <s v="AUD"/>
    <s v="13564594Waste - Construction and Demolition [t]"/>
    <n v="13564594"/>
  </r>
  <r>
    <d v="2019-07-01T00:00:00"/>
    <d v="2021-06-30T00:00:00"/>
    <s v="Telstra"/>
    <s v="NETWORK"/>
    <s v="Network - InfraCo"/>
    <s v="NSW"/>
    <s v="Australia"/>
    <s v="Casino"/>
    <s v="CASINO EXCHANGE"/>
    <n v="423030333500"/>
    <s v="Waste"/>
    <x v="1"/>
    <x v="4"/>
    <s v="Account"/>
    <s v="Remondis Asbestos"/>
    <m/>
    <s v="423030333500_WASBESTOS"/>
    <s v="ASBESTOS"/>
    <s v="Remondis"/>
    <m/>
    <m/>
    <d v="2021-01-01T00:00:00"/>
    <d v="2021-01-01T00:00:00"/>
    <s v="FY21"/>
    <s v="t"/>
    <n v="0"/>
    <n v="0"/>
    <n v="2.2000000000000001E-3"/>
    <n v="2.2000000000000001E-3"/>
    <n v="0"/>
    <n v="0"/>
    <n v="1"/>
    <n v="1"/>
    <n v="0"/>
    <n v="0"/>
    <n v="100"/>
    <s v="Consolidation"/>
    <s v="CO2e and Base Measure"/>
    <n v="100"/>
    <n v="100"/>
    <n v="0"/>
    <m/>
    <m/>
    <m/>
    <m/>
    <m/>
    <n v="2.5999999999999999E-3"/>
    <m/>
    <n v="2.5999999999999999E-3"/>
    <m/>
    <m/>
    <m/>
    <m/>
    <m/>
    <s v="AUD"/>
    <s v="13564594Waste - Construction and Demolition [t]"/>
    <n v="13564594"/>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09-01T00:00:00"/>
    <s v="FY21"/>
    <s v="t"/>
    <n v="0"/>
    <n v="6.3E-2"/>
    <n v="0"/>
    <n v="6.3E-2"/>
    <n v="0"/>
    <n v="2"/>
    <n v="0"/>
    <n v="2"/>
    <n v="0"/>
    <n v="100"/>
    <n v="0"/>
    <s v="Consolidation"/>
    <s v="CO2e and Base Measure"/>
    <n v="100"/>
    <n v="100"/>
    <n v="0.06"/>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10-01T00:00:00"/>
    <s v="FY21"/>
    <s v="t"/>
    <n v="0"/>
    <n v="9.4500000000000001E-2"/>
    <n v="0"/>
    <n v="9.4500000000000001E-2"/>
    <n v="0"/>
    <n v="3"/>
    <n v="0"/>
    <n v="3"/>
    <n v="0"/>
    <n v="100"/>
    <n v="0"/>
    <s v="Consolidation"/>
    <s v="CO2e and Base Measure"/>
    <n v="100"/>
    <n v="100"/>
    <n v="0.09"/>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11-01T00:00:00"/>
    <s v="FY21"/>
    <s v="t"/>
    <n v="0"/>
    <n v="6.3E-2"/>
    <n v="0"/>
    <n v="6.3E-2"/>
    <n v="0"/>
    <n v="2"/>
    <n v="0"/>
    <n v="2"/>
    <n v="0"/>
    <n v="100"/>
    <n v="0"/>
    <s v="Consolidation"/>
    <s v="CO2e and Base Measure"/>
    <n v="100"/>
    <n v="100"/>
    <n v="0.06"/>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12-01T00:00:00"/>
    <s v="FY21"/>
    <s v="t"/>
    <n v="0"/>
    <n v="0"/>
    <n v="2.2000000000000001E-3"/>
    <n v="2.2000000000000001E-3"/>
    <n v="0"/>
    <n v="0"/>
    <n v="1"/>
    <n v="1"/>
    <n v="0"/>
    <n v="0"/>
    <n v="100"/>
    <s v="Consolidation"/>
    <s v="CO2e and Base Measure"/>
    <n v="100"/>
    <n v="100"/>
    <n v="0"/>
    <m/>
    <m/>
    <m/>
    <m/>
    <m/>
    <m/>
    <n v="0"/>
    <m/>
    <m/>
    <m/>
    <m/>
    <m/>
    <m/>
    <s v="AUD"/>
    <s v="13564595Waste Recycled - Cardboard [t]"/>
    <n v="13564595"/>
  </r>
  <r>
    <d v="2019-07-01T00:00:00"/>
    <d v="2021-06-30T00:00:00"/>
    <s v="Telstra"/>
    <s v="NETWORK"/>
    <s v="Network - InfraCo"/>
    <s v="NSW"/>
    <s v="Australia"/>
    <s v="Casino"/>
    <s v="CASINO EXCHANGE"/>
    <n v="423030333500"/>
    <s v="Recycled Waste"/>
    <x v="0"/>
    <x v="1"/>
    <s v="Account"/>
    <s v="Remondis Electrical Comp. (E-Waste)"/>
    <m/>
    <s v="4230303335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4596Waste Recycled - E-waste [t]"/>
    <n v="13564596"/>
  </r>
  <r>
    <d v="2019-07-01T00:00:00"/>
    <d v="2021-06-30T00:00:00"/>
    <s v="Telstra"/>
    <s v="NETWORK"/>
    <s v="Network - InfraCo"/>
    <s v="NSW"/>
    <s v="Australia"/>
    <s v="Casino"/>
    <s v="CASINO EXCHANGE"/>
    <n v="423030333500"/>
    <s v="Recycled Waste"/>
    <x v="0"/>
    <x v="1"/>
    <s v="Account"/>
    <s v="Remondis Electrical Comp. (E-Waste)"/>
    <m/>
    <s v="4230303335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64596Waste Recycled - E-waste [t]"/>
    <n v="13564596"/>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07-01T00:00:00"/>
    <s v="FY21"/>
    <s v="t"/>
    <n v="0"/>
    <n v="0.48749999999999999"/>
    <n v="0"/>
    <n v="0.48749999999999999"/>
    <n v="0"/>
    <n v="5"/>
    <n v="0"/>
    <n v="5"/>
    <n v="0"/>
    <n v="100"/>
    <n v="0"/>
    <s v="Consolidation"/>
    <s v="CO2e and Base Measure"/>
    <n v="100"/>
    <n v="100"/>
    <n v="0.49"/>
    <m/>
    <m/>
    <m/>
    <m/>
    <m/>
    <n v="0.63380000000000003"/>
    <m/>
    <n v="0.63380000000000003"/>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08-01T00:00:00"/>
    <s v="FY21"/>
    <s v="t"/>
    <n v="0"/>
    <n v="0.39"/>
    <n v="0"/>
    <n v="0.39"/>
    <n v="0"/>
    <n v="4"/>
    <n v="0"/>
    <n v="4"/>
    <n v="0"/>
    <n v="100"/>
    <n v="0"/>
    <s v="Consolidation"/>
    <s v="CO2e and Base Measure"/>
    <n v="100"/>
    <n v="100"/>
    <n v="0.39"/>
    <m/>
    <m/>
    <m/>
    <m/>
    <m/>
    <n v="0.50700000000000001"/>
    <m/>
    <n v="0.50700000000000001"/>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09-01T00:00:00"/>
    <s v="FY21"/>
    <s v="t"/>
    <n v="0"/>
    <n v="0.39"/>
    <n v="0"/>
    <n v="0.39"/>
    <n v="0"/>
    <n v="4"/>
    <n v="0"/>
    <n v="4"/>
    <n v="0"/>
    <n v="100"/>
    <n v="0"/>
    <s v="Consolidation"/>
    <s v="CO2e and Base Measure"/>
    <n v="100"/>
    <n v="100"/>
    <n v="0.39"/>
    <m/>
    <m/>
    <m/>
    <m/>
    <m/>
    <n v="0.50700000000000001"/>
    <m/>
    <n v="0.50700000000000001"/>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10-01T00:00:00"/>
    <s v="FY21"/>
    <s v="t"/>
    <n v="0"/>
    <n v="0.48749999999999999"/>
    <n v="0"/>
    <n v="0.48749999999999999"/>
    <n v="0"/>
    <n v="5"/>
    <n v="0"/>
    <n v="5"/>
    <n v="0"/>
    <n v="100"/>
    <n v="0"/>
    <s v="Consolidation"/>
    <s v="CO2e and Base Measure"/>
    <n v="100"/>
    <n v="100"/>
    <n v="0.49"/>
    <m/>
    <m/>
    <m/>
    <m/>
    <m/>
    <n v="0.63380000000000003"/>
    <m/>
    <n v="0.63380000000000003"/>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11-01T00:00:00"/>
    <s v="FY21"/>
    <s v="t"/>
    <n v="0"/>
    <n v="0.39"/>
    <n v="0"/>
    <n v="0.39"/>
    <n v="0"/>
    <n v="4"/>
    <n v="0"/>
    <n v="4"/>
    <n v="0"/>
    <n v="100"/>
    <n v="0"/>
    <s v="Consolidation"/>
    <s v="CO2e and Base Measure"/>
    <n v="100"/>
    <n v="100"/>
    <n v="0.39"/>
    <m/>
    <m/>
    <m/>
    <m/>
    <m/>
    <n v="0.50700000000000001"/>
    <m/>
    <n v="0.50700000000000001"/>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12-01T00:00:00"/>
    <s v="FY21"/>
    <s v="t"/>
    <n v="0"/>
    <n v="0.35749999999999998"/>
    <n v="0"/>
    <n v="0.35749999999999998"/>
    <n v="0"/>
    <n v="2"/>
    <n v="0"/>
    <n v="2"/>
    <n v="0"/>
    <n v="100"/>
    <n v="0"/>
    <s v="Consolidation"/>
    <s v="CO2e and Base Measure"/>
    <n v="100"/>
    <n v="100"/>
    <n v="0.36"/>
    <m/>
    <m/>
    <m/>
    <m/>
    <m/>
    <n v="0.46479999999999999"/>
    <m/>
    <n v="0.46479999999999999"/>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1-01-01T00:00:00"/>
    <s v="FY21"/>
    <s v="t"/>
    <n v="0"/>
    <n v="0"/>
    <n v="1.3599999999999999E-2"/>
    <n v="1.3599999999999999E-2"/>
    <n v="0"/>
    <n v="0"/>
    <n v="1"/>
    <n v="1"/>
    <n v="0"/>
    <n v="0"/>
    <n v="100"/>
    <s v="Consolidation"/>
    <s v="CO2e and Base Measure"/>
    <n v="100"/>
    <n v="100"/>
    <n v="0.01"/>
    <m/>
    <m/>
    <m/>
    <m/>
    <m/>
    <n v="1.77E-2"/>
    <m/>
    <n v="1.77E-2"/>
    <m/>
    <m/>
    <m/>
    <m/>
    <m/>
    <s v="AUD"/>
    <s v="13564597Waste - General [t] - Scope 3"/>
    <n v="13564597"/>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0-12-01T00:00:00"/>
    <s v="FY21"/>
    <s v="t"/>
    <n v="7.4999999999999997E-2"/>
    <n v="6.7500000000000004E-2"/>
    <n v="0"/>
    <n v="0.14249999999999999"/>
    <n v="1"/>
    <n v="1"/>
    <n v="0"/>
    <n v="2"/>
    <n v="52.63"/>
    <n v="47.36"/>
    <n v="0"/>
    <s v="Consolidation"/>
    <s v="CO2e and Base Measure"/>
    <n v="100"/>
    <n v="100"/>
    <n v="0.14000000000000001"/>
    <m/>
    <m/>
    <m/>
    <m/>
    <m/>
    <n v="0.18529999999999999"/>
    <m/>
    <n v="0.18529999999999999"/>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1-01T00:00:00"/>
    <s v="FY21"/>
    <s v="t"/>
    <n v="0.223"/>
    <n v="6.7500000000000004E-2"/>
    <n v="0"/>
    <n v="0.29049999999999998"/>
    <n v="3"/>
    <n v="1"/>
    <n v="0"/>
    <n v="4"/>
    <n v="76.760000000000005"/>
    <n v="23.23"/>
    <n v="0"/>
    <s v="Consolidation"/>
    <s v="CO2e and Base Measure"/>
    <n v="100"/>
    <n v="100"/>
    <n v="0.28999999999999998"/>
    <m/>
    <m/>
    <m/>
    <m/>
    <m/>
    <n v="0.37769999999999998"/>
    <m/>
    <n v="0.37769999999999998"/>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2-01T00:00:00"/>
    <s v="FY21"/>
    <s v="t"/>
    <n v="0.17799999999999999"/>
    <n v="6.7500000000000004E-2"/>
    <n v="0"/>
    <n v="0.2455"/>
    <n v="3"/>
    <n v="1"/>
    <n v="0"/>
    <n v="4"/>
    <n v="72.5"/>
    <n v="27.49"/>
    <n v="0"/>
    <s v="Consolidation"/>
    <s v="CO2e and Base Measure"/>
    <n v="100"/>
    <n v="100"/>
    <n v="0.25"/>
    <m/>
    <m/>
    <m/>
    <m/>
    <m/>
    <n v="0.31919999999999998"/>
    <m/>
    <n v="0.31919999999999998"/>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3-01T00:00:00"/>
    <s v="FY21"/>
    <s v="t"/>
    <n v="0.06"/>
    <n v="0"/>
    <n v="0"/>
    <n v="0.06"/>
    <n v="1"/>
    <n v="0"/>
    <n v="0"/>
    <n v="1"/>
    <n v="100"/>
    <n v="0"/>
    <n v="0"/>
    <s v="Consolidation"/>
    <s v="CO2e and Base Measure"/>
    <n v="100"/>
    <n v="100"/>
    <n v="0.06"/>
    <m/>
    <m/>
    <m/>
    <m/>
    <m/>
    <n v="7.8E-2"/>
    <m/>
    <n v="7.8E-2"/>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4-01T00:00:00"/>
    <s v="FY21"/>
    <s v="t"/>
    <n v="0"/>
    <n v="0"/>
    <n v="0.186"/>
    <n v="0.186"/>
    <n v="0"/>
    <n v="0"/>
    <n v="30"/>
    <n v="30"/>
    <n v="0"/>
    <n v="0"/>
    <n v="100"/>
    <s v="Consolidation"/>
    <s v="CO2e and Base Measure"/>
    <n v="100"/>
    <n v="100"/>
    <n v="0.19"/>
    <m/>
    <m/>
    <m/>
    <m/>
    <m/>
    <n v="0.24179999999999999"/>
    <m/>
    <n v="0.24179999999999999"/>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5-01T00:00:00"/>
    <s v="FY21"/>
    <s v="t"/>
    <n v="0"/>
    <n v="0"/>
    <n v="0.19220000000000001"/>
    <n v="0.19220000000000001"/>
    <n v="0"/>
    <n v="0"/>
    <n v="31"/>
    <n v="31"/>
    <n v="0"/>
    <n v="0"/>
    <n v="100"/>
    <s v="Consolidation"/>
    <s v="CO2e and Base Measure"/>
    <n v="100"/>
    <n v="100"/>
    <n v="0.19"/>
    <m/>
    <m/>
    <m/>
    <m/>
    <m/>
    <n v="0.24990000000000001"/>
    <m/>
    <n v="0.24990000000000001"/>
    <m/>
    <m/>
    <m/>
    <m/>
    <m/>
    <s v="AUD"/>
    <s v="13634054Waste - General [t] - Scope 3"/>
    <n v="13634054"/>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0-12-01T00:00:00"/>
    <s v="FY21"/>
    <s v="t"/>
    <n v="0"/>
    <n v="3.7499999999999999E-2"/>
    <n v="0"/>
    <n v="3.7499999999999999E-2"/>
    <n v="0"/>
    <n v="1"/>
    <n v="0"/>
    <n v="1"/>
    <n v="0"/>
    <n v="100"/>
    <n v="0"/>
    <s v="Consolidation"/>
    <s v="CO2e and Base Measure"/>
    <n v="100"/>
    <n v="100"/>
    <n v="0.04"/>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1-01T00:00:00"/>
    <s v="FY21"/>
    <s v="t"/>
    <n v="0"/>
    <n v="0.1125"/>
    <n v="0"/>
    <n v="0.1125"/>
    <n v="0"/>
    <n v="3"/>
    <n v="0"/>
    <n v="3"/>
    <n v="0"/>
    <n v="100"/>
    <n v="0"/>
    <s v="Consolidation"/>
    <s v="CO2e and Base Measure"/>
    <n v="100"/>
    <n v="100"/>
    <n v="0.11"/>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2-01T00:00:00"/>
    <s v="FY21"/>
    <s v="t"/>
    <n v="0"/>
    <n v="0.15"/>
    <n v="0"/>
    <n v="0.15"/>
    <n v="0"/>
    <n v="4"/>
    <n v="0"/>
    <n v="4"/>
    <n v="0"/>
    <n v="100"/>
    <n v="0"/>
    <s v="Consolidation"/>
    <s v="CO2e and Base Measure"/>
    <n v="100"/>
    <n v="100"/>
    <n v="0.15"/>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3-01T00:00:00"/>
    <s v="FY21"/>
    <s v="t"/>
    <n v="0"/>
    <n v="7.4999999999999997E-2"/>
    <n v="0"/>
    <n v="7.4999999999999997E-2"/>
    <n v="0"/>
    <n v="2"/>
    <n v="0"/>
    <n v="2"/>
    <n v="0"/>
    <n v="100"/>
    <n v="0"/>
    <s v="Consolidation"/>
    <s v="CO2e and Base Measure"/>
    <n v="100"/>
    <n v="100"/>
    <n v="0.08"/>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4-01T00:00:00"/>
    <s v="FY21"/>
    <s v="t"/>
    <n v="0"/>
    <n v="0"/>
    <n v="9.2999999999999999E-2"/>
    <n v="9.2999999999999999E-2"/>
    <n v="0"/>
    <n v="0"/>
    <n v="30"/>
    <n v="30"/>
    <n v="0"/>
    <n v="0"/>
    <n v="100"/>
    <s v="Consolidation"/>
    <s v="CO2e and Base Measure"/>
    <n v="100"/>
    <n v="100"/>
    <n v="0.09"/>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5-01T00:00:00"/>
    <s v="FY21"/>
    <s v="t"/>
    <n v="0"/>
    <n v="0"/>
    <n v="9.6100000000000005E-2"/>
    <n v="9.6100000000000005E-2"/>
    <n v="0"/>
    <n v="0"/>
    <n v="31"/>
    <n v="31"/>
    <n v="0"/>
    <n v="0"/>
    <n v="100"/>
    <s v="Consolidation"/>
    <s v="CO2e and Base Measure"/>
    <n v="100"/>
    <n v="100"/>
    <n v="0.1"/>
    <m/>
    <m/>
    <m/>
    <m/>
    <m/>
    <m/>
    <m/>
    <m/>
    <m/>
    <m/>
    <m/>
    <m/>
    <m/>
    <s v="AUD"/>
    <s v="13634055Waste Recycled - Paper and Cardboard [t]"/>
    <n v="13634055"/>
  </r>
  <r>
    <d v="2019-07-01T00:00:00"/>
    <d v="2021-06-30T00:00:00"/>
    <s v="Telstra"/>
    <s v="NETWORK"/>
    <s v="Network - InfraCo"/>
    <s v="NSW"/>
    <s v="Australia"/>
    <s v="Castle Hill"/>
    <s v="CASTLE HILL EXCHANGE"/>
    <n v="423030333900"/>
    <s v="Waste"/>
    <x v="1"/>
    <x v="2"/>
    <s v="Account"/>
    <s v="Remondis General Waste"/>
    <m/>
    <s v="423030333900_WGENERALW"/>
    <s v="GENERAL WASTE"/>
    <s v="Remondis"/>
    <m/>
    <m/>
    <d v="2021-01-01T00:00:00"/>
    <d v="2020-12-01T00:00:00"/>
    <s v="FY21"/>
    <s v="t"/>
    <n v="1.1000000000000001"/>
    <n v="0.13"/>
    <n v="0"/>
    <n v="1.23"/>
    <n v="1"/>
    <n v="1"/>
    <n v="0"/>
    <n v="2"/>
    <n v="89.43"/>
    <n v="10.56"/>
    <n v="0"/>
    <s v="Consolidation"/>
    <s v="CO2e and Base Measure"/>
    <n v="100"/>
    <n v="100"/>
    <n v="1.23"/>
    <m/>
    <m/>
    <m/>
    <m/>
    <m/>
    <n v="1.599"/>
    <m/>
    <n v="1.599"/>
    <m/>
    <m/>
    <m/>
    <m/>
    <m/>
    <s v="AUD"/>
    <s v="13564600Waste - General [t] - Scope 3"/>
    <n v="13564600"/>
  </r>
  <r>
    <d v="2019-07-01T00:00:00"/>
    <d v="2021-06-30T00:00:00"/>
    <s v="Telstra"/>
    <s v="NETWORK"/>
    <s v="Network - InfraCo"/>
    <s v="NSW"/>
    <s v="Australia"/>
    <s v="Castle Hill"/>
    <s v="CASTLE HILL EXCHANGE"/>
    <n v="423030333900"/>
    <s v="Waste"/>
    <x v="1"/>
    <x v="2"/>
    <s v="Account"/>
    <s v="Remondis General Waste"/>
    <m/>
    <s v="423030333900_WGENERALW"/>
    <s v="GENERAL WASTE"/>
    <s v="Remondis"/>
    <m/>
    <m/>
    <d v="2021-01-01T00:00:00"/>
    <d v="2021-01-01T00:00:00"/>
    <s v="FY21"/>
    <s v="t"/>
    <n v="0"/>
    <n v="0"/>
    <n v="4.1000000000000002E-2"/>
    <n v="4.1000000000000002E-2"/>
    <n v="0"/>
    <n v="0"/>
    <n v="1"/>
    <n v="1"/>
    <n v="0"/>
    <n v="0"/>
    <n v="100"/>
    <s v="Consolidation"/>
    <s v="CO2e and Base Measure"/>
    <n v="100"/>
    <n v="100"/>
    <n v="0.04"/>
    <m/>
    <m/>
    <m/>
    <m/>
    <m/>
    <n v="5.33E-2"/>
    <m/>
    <n v="5.33E-2"/>
    <m/>
    <m/>
    <m/>
    <m/>
    <m/>
    <s v="AUD"/>
    <s v="13564600Waste - General [t] - Scope 3"/>
    <n v="13564600"/>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07-01T00:00:00"/>
    <s v="FY21"/>
    <s v="t"/>
    <n v="0"/>
    <n v="0.28599999999999998"/>
    <n v="0"/>
    <n v="0.28599999999999998"/>
    <n v="0"/>
    <n v="2"/>
    <n v="0"/>
    <n v="2"/>
    <n v="0"/>
    <n v="100"/>
    <n v="0"/>
    <s v="Consolidation"/>
    <s v="CO2e and Base Measure"/>
    <n v="100"/>
    <n v="100"/>
    <n v="0.28999999999999998"/>
    <m/>
    <m/>
    <m/>
    <m/>
    <m/>
    <n v="0.37180000000000002"/>
    <m/>
    <n v="0.37180000000000002"/>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08-01T00:00:00"/>
    <s v="FY21"/>
    <s v="t"/>
    <n v="0"/>
    <n v="0.2145"/>
    <n v="0"/>
    <n v="0.2145"/>
    <n v="0"/>
    <n v="2"/>
    <n v="0"/>
    <n v="2"/>
    <n v="0"/>
    <n v="100"/>
    <n v="0"/>
    <s v="Consolidation"/>
    <s v="CO2e and Base Measure"/>
    <n v="100"/>
    <n v="100"/>
    <n v="0.21"/>
    <m/>
    <m/>
    <m/>
    <m/>
    <m/>
    <n v="0.27889999999999998"/>
    <m/>
    <n v="0.27889999999999998"/>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09-01T00:00:00"/>
    <s v="FY21"/>
    <s v="t"/>
    <n v="0"/>
    <n v="0.2145"/>
    <n v="0"/>
    <n v="0.2145"/>
    <n v="0"/>
    <n v="2"/>
    <n v="0"/>
    <n v="2"/>
    <n v="0"/>
    <n v="100"/>
    <n v="0"/>
    <s v="Consolidation"/>
    <s v="CO2e and Base Measure"/>
    <n v="100"/>
    <n v="100"/>
    <n v="0.21"/>
    <m/>
    <m/>
    <m/>
    <m/>
    <m/>
    <n v="0.27889999999999998"/>
    <m/>
    <n v="0.27889999999999998"/>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10-01T00:00:00"/>
    <s v="FY21"/>
    <s v="t"/>
    <n v="0"/>
    <n v="0.28599999999999998"/>
    <n v="0"/>
    <n v="0.28599999999999998"/>
    <n v="0"/>
    <n v="2"/>
    <n v="0"/>
    <n v="2"/>
    <n v="0"/>
    <n v="100"/>
    <n v="0"/>
    <s v="Consolidation"/>
    <s v="CO2e and Base Measure"/>
    <n v="100"/>
    <n v="100"/>
    <n v="0.28999999999999998"/>
    <m/>
    <m/>
    <m/>
    <m/>
    <m/>
    <n v="0.37180000000000002"/>
    <m/>
    <n v="0.37180000000000002"/>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11-01T00:00:00"/>
    <s v="FY21"/>
    <s v="t"/>
    <n v="0"/>
    <n v="0.35749999999999998"/>
    <n v="0"/>
    <n v="0.35749999999999998"/>
    <n v="0"/>
    <n v="3"/>
    <n v="0"/>
    <n v="3"/>
    <n v="0"/>
    <n v="100"/>
    <n v="0"/>
    <s v="Consolidation"/>
    <s v="CO2e and Base Measure"/>
    <n v="100"/>
    <n v="100"/>
    <n v="0.36"/>
    <m/>
    <m/>
    <m/>
    <m/>
    <m/>
    <n v="0.46479999999999999"/>
    <m/>
    <n v="0.46479999999999999"/>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12-01T00:00:00"/>
    <s v="FY21"/>
    <s v="t"/>
    <n v="0"/>
    <n v="0"/>
    <n v="8.6E-3"/>
    <n v="8.6E-3"/>
    <n v="0"/>
    <n v="0"/>
    <n v="1"/>
    <n v="1"/>
    <n v="0"/>
    <n v="0"/>
    <n v="100"/>
    <s v="Consolidation"/>
    <s v="CO2e and Base Measure"/>
    <n v="100"/>
    <n v="100"/>
    <n v="0.01"/>
    <m/>
    <m/>
    <m/>
    <m/>
    <m/>
    <n v="1.12E-2"/>
    <m/>
    <n v="1.12E-2"/>
    <m/>
    <m/>
    <m/>
    <m/>
    <m/>
    <s v="AUD"/>
    <s v="13565131Waste - General [t] - Scope 3"/>
    <n v="13565131"/>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1-01T00:00:00"/>
    <s v="FY21"/>
    <s v="t"/>
    <n v="0"/>
    <n v="9.9000000000000005E-2"/>
    <n v="0"/>
    <n v="9.9000000000000005E-2"/>
    <n v="0"/>
    <n v="2"/>
    <n v="0"/>
    <n v="2"/>
    <n v="0"/>
    <n v="100"/>
    <n v="0"/>
    <s v="Consolidation"/>
    <s v="CO2e and Base Measure"/>
    <n v="100"/>
    <n v="100"/>
    <n v="0.1"/>
    <m/>
    <m/>
    <m/>
    <m/>
    <m/>
    <n v="0.12870000000000001"/>
    <m/>
    <n v="0.12870000000000001"/>
    <m/>
    <m/>
    <m/>
    <m/>
    <m/>
    <s v="AUD"/>
    <s v="13634420Waste - General [t] - Scope 3"/>
    <n v="13634420"/>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2-01T00:00:00"/>
    <s v="FY21"/>
    <s v="t"/>
    <n v="0"/>
    <n v="9.9000000000000005E-2"/>
    <n v="0"/>
    <n v="9.9000000000000005E-2"/>
    <n v="0"/>
    <n v="2"/>
    <n v="0"/>
    <n v="2"/>
    <n v="0"/>
    <n v="100"/>
    <n v="0"/>
    <s v="Consolidation"/>
    <s v="CO2e and Base Measure"/>
    <n v="100"/>
    <n v="100"/>
    <n v="0.1"/>
    <m/>
    <m/>
    <m/>
    <m/>
    <m/>
    <n v="0.12870000000000001"/>
    <m/>
    <n v="0.12870000000000001"/>
    <m/>
    <m/>
    <m/>
    <m/>
    <m/>
    <s v="AUD"/>
    <s v="13634420Waste - General [t] - Scope 3"/>
    <n v="13634420"/>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3-01T00:00:00"/>
    <s v="FY21"/>
    <s v="t"/>
    <n v="0"/>
    <n v="0.14849999999999999"/>
    <n v="0"/>
    <n v="0.14849999999999999"/>
    <n v="0"/>
    <n v="3"/>
    <n v="0"/>
    <n v="3"/>
    <n v="0"/>
    <n v="100"/>
    <n v="0"/>
    <s v="Consolidation"/>
    <s v="CO2e and Base Measure"/>
    <n v="100"/>
    <n v="100"/>
    <n v="0.15"/>
    <m/>
    <m/>
    <m/>
    <m/>
    <m/>
    <n v="0.19309999999999999"/>
    <m/>
    <n v="0.19309999999999999"/>
    <m/>
    <m/>
    <m/>
    <m/>
    <m/>
    <s v="AUD"/>
    <s v="13634420Waste - General [t] - Scope 3"/>
    <n v="13634420"/>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4-01T00:00:00"/>
    <s v="FY21"/>
    <s v="t"/>
    <n v="0"/>
    <n v="0"/>
    <n v="0.11700000000000001"/>
    <n v="0.11700000000000001"/>
    <n v="0"/>
    <n v="0"/>
    <n v="30"/>
    <n v="30"/>
    <n v="0"/>
    <n v="0"/>
    <n v="100"/>
    <s v="Consolidation"/>
    <s v="CO2e and Base Measure"/>
    <n v="100"/>
    <n v="100"/>
    <n v="0.12"/>
    <m/>
    <m/>
    <m/>
    <m/>
    <m/>
    <n v="0.15210000000000001"/>
    <m/>
    <n v="0.15210000000000001"/>
    <m/>
    <m/>
    <m/>
    <m/>
    <m/>
    <s v="AUD"/>
    <s v="13634420Waste - General [t] - Scope 3"/>
    <n v="13634420"/>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5-01T00:00:00"/>
    <s v="FY21"/>
    <s v="t"/>
    <n v="0"/>
    <n v="0"/>
    <n v="0.12089999999999999"/>
    <n v="0.12089999999999999"/>
    <n v="0"/>
    <n v="0"/>
    <n v="31"/>
    <n v="31"/>
    <n v="0"/>
    <n v="0"/>
    <n v="100"/>
    <s v="Consolidation"/>
    <s v="CO2e and Base Measure"/>
    <n v="100"/>
    <n v="100"/>
    <n v="0.12"/>
    <m/>
    <m/>
    <m/>
    <m/>
    <m/>
    <n v="0.15720000000000001"/>
    <m/>
    <n v="0.15720000000000001"/>
    <m/>
    <m/>
    <m/>
    <m/>
    <m/>
    <s v="AUD"/>
    <s v="13634420Waste - General [t] - Scope 3"/>
    <n v="13634420"/>
  </r>
  <r>
    <d v="2019-07-01T00:00:00"/>
    <d v="2021-06-30T00:00:00"/>
    <s v="Telstra"/>
    <s v="NETWORK"/>
    <s v="Network - InfraCo"/>
    <s v="NT"/>
    <s v="Australia"/>
    <s v="Leanyer"/>
    <s v="CASUARINA EXCHANGE"/>
    <n v="423030519900"/>
    <s v="Recycled Waste"/>
    <x v="0"/>
    <x v="0"/>
    <s v="Account"/>
    <s v="Remondis Cardboard - Loose - Recycled"/>
    <m/>
    <s v="423030519900_RCARDBOAR"/>
    <s v="CARDBOARD - LOOSE - RECYCLED"/>
    <s v="Remondis"/>
    <m/>
    <m/>
    <d v="2020-09-01T00:00:00"/>
    <d v="2020-07-01T00:00:00"/>
    <s v="FY21"/>
    <s v="t"/>
    <n v="0"/>
    <n v="6.3E-2"/>
    <n v="0"/>
    <n v="6.3E-2"/>
    <n v="0"/>
    <n v="2"/>
    <n v="0"/>
    <n v="2"/>
    <n v="0"/>
    <n v="100"/>
    <n v="0"/>
    <s v="Consolidation"/>
    <s v="CO2e and Base Measure"/>
    <n v="100"/>
    <n v="100"/>
    <n v="0.06"/>
    <m/>
    <m/>
    <m/>
    <m/>
    <m/>
    <m/>
    <n v="0"/>
    <m/>
    <m/>
    <m/>
    <m/>
    <m/>
    <m/>
    <s v="AUD"/>
    <s v="13565935Waste Recycled - Cardboard [t]"/>
    <n v="13565935"/>
  </r>
  <r>
    <d v="2019-07-01T00:00:00"/>
    <d v="2021-06-30T00:00:00"/>
    <s v="Telstra"/>
    <s v="NETWORK"/>
    <s v="Network - InfraCo"/>
    <s v="NT"/>
    <s v="Australia"/>
    <s v="Leanyer"/>
    <s v="CASUARINA EXCHANGE"/>
    <n v="423030519900"/>
    <s v="Recycled Waste"/>
    <x v="0"/>
    <x v="0"/>
    <s v="Account"/>
    <s v="Remondis Cardboard - Loose - Recycled"/>
    <m/>
    <s v="423030519900_RCARDBOAR"/>
    <s v="CARDBOARD - LOOSE - RECYCLED"/>
    <s v="Remondis"/>
    <m/>
    <m/>
    <d v="2020-09-01T00:00:00"/>
    <d v="2020-08-01T00:00:00"/>
    <s v="FY21"/>
    <s v="t"/>
    <n v="0"/>
    <n v="3.15E-2"/>
    <n v="0"/>
    <n v="3.15E-2"/>
    <n v="0"/>
    <n v="1"/>
    <n v="0"/>
    <n v="1"/>
    <n v="0"/>
    <n v="100"/>
    <n v="0"/>
    <s v="Consolidation"/>
    <s v="CO2e and Base Measure"/>
    <n v="100"/>
    <n v="100"/>
    <n v="0.03"/>
    <m/>
    <m/>
    <m/>
    <m/>
    <m/>
    <m/>
    <n v="0"/>
    <m/>
    <m/>
    <m/>
    <m/>
    <m/>
    <m/>
    <s v="AUD"/>
    <s v="13565935Waste Recycled - Cardboard [t]"/>
    <n v="13565935"/>
  </r>
  <r>
    <d v="2019-07-01T00:00:00"/>
    <d v="2021-06-30T00:00:00"/>
    <s v="Telstra"/>
    <s v="NETWORK"/>
    <s v="Network - InfraCo"/>
    <s v="NT"/>
    <s v="Australia"/>
    <s v="Leanyer"/>
    <s v="CASUARINA EXCHANGE"/>
    <n v="423030519900"/>
    <s v="Recycled Waste"/>
    <x v="0"/>
    <x v="0"/>
    <s v="Account"/>
    <s v="Remondis Cardboard - Loose - Recycled"/>
    <m/>
    <s v="423030519900_RCARDBOAR"/>
    <s v="CARDBOARD - LOOSE - RECYCLED"/>
    <s v="Remondis"/>
    <m/>
    <m/>
    <d v="2020-09-01T00:00:00"/>
    <d v="2020-09-01T00:00:00"/>
    <s v="FY21"/>
    <s v="t"/>
    <n v="0"/>
    <n v="0"/>
    <n v="1.6999999999999999E-3"/>
    <n v="1.6999999999999999E-3"/>
    <n v="0"/>
    <n v="0"/>
    <n v="1"/>
    <n v="1"/>
    <n v="0"/>
    <n v="0"/>
    <n v="100"/>
    <s v="Consolidation"/>
    <s v="CO2e and Base Measure"/>
    <n v="100"/>
    <n v="100"/>
    <n v="0"/>
    <m/>
    <m/>
    <m/>
    <m/>
    <m/>
    <m/>
    <n v="0"/>
    <m/>
    <m/>
    <m/>
    <m/>
    <m/>
    <m/>
    <s v="AUD"/>
    <s v="13565935Waste Recycled - Cardboard [t]"/>
    <n v="13565935"/>
  </r>
  <r>
    <d v="2019-07-01T00:00:00"/>
    <d v="2021-06-30T00:00:00"/>
    <s v="Telstra"/>
    <s v="NETWORK"/>
    <s v="Network - InfraCo"/>
    <s v="NT"/>
    <s v="Australia"/>
    <s v="Leanyer"/>
    <s v="CASUARINA EXCHANGE"/>
    <n v="423030519900"/>
    <s v="Waste"/>
    <x v="1"/>
    <x v="2"/>
    <s v="Account"/>
    <s v="Remondis General Waste"/>
    <m/>
    <s v="423030519900_WGENERALW"/>
    <s v="GENERAL WASTE"/>
    <s v="Remondis"/>
    <m/>
    <m/>
    <d v="2020-09-01T00:00:00"/>
    <d v="2020-07-01T00:00:00"/>
    <s v="FY21"/>
    <s v="t"/>
    <n v="0"/>
    <n v="0.19500000000000001"/>
    <n v="0"/>
    <n v="0.19500000000000001"/>
    <n v="0"/>
    <n v="2"/>
    <n v="0"/>
    <n v="2"/>
    <n v="0"/>
    <n v="100"/>
    <n v="0"/>
    <s v="Consolidation"/>
    <s v="CO2e and Base Measure"/>
    <n v="100"/>
    <n v="100"/>
    <n v="0.2"/>
    <m/>
    <m/>
    <m/>
    <m/>
    <m/>
    <n v="0.2535"/>
    <m/>
    <n v="0.2535"/>
    <m/>
    <m/>
    <m/>
    <m/>
    <m/>
    <s v="AUD"/>
    <s v="13565936Waste - General [t] - Scope 3"/>
    <n v="13565936"/>
  </r>
  <r>
    <d v="2019-07-01T00:00:00"/>
    <d v="2021-06-30T00:00:00"/>
    <s v="Telstra"/>
    <s v="NETWORK"/>
    <s v="Network - InfraCo"/>
    <s v="NT"/>
    <s v="Australia"/>
    <s v="Leanyer"/>
    <s v="CASUARINA EXCHANGE"/>
    <n v="423030519900"/>
    <s v="Waste"/>
    <x v="1"/>
    <x v="2"/>
    <s v="Account"/>
    <s v="Remondis General Waste"/>
    <m/>
    <s v="423030519900_WGENERALW"/>
    <s v="GENERAL WASTE"/>
    <s v="Remondis"/>
    <m/>
    <m/>
    <d v="2020-09-01T00:00:00"/>
    <d v="2020-08-01T00:00:00"/>
    <s v="FY21"/>
    <s v="t"/>
    <n v="0"/>
    <n v="9.7500000000000003E-2"/>
    <n v="0"/>
    <n v="9.7500000000000003E-2"/>
    <n v="0"/>
    <n v="1"/>
    <n v="0"/>
    <n v="1"/>
    <n v="0"/>
    <n v="100"/>
    <n v="0"/>
    <s v="Consolidation"/>
    <s v="CO2e and Base Measure"/>
    <n v="100"/>
    <n v="100"/>
    <n v="0.1"/>
    <m/>
    <m/>
    <m/>
    <m/>
    <m/>
    <n v="0.1268"/>
    <m/>
    <n v="0.1268"/>
    <m/>
    <m/>
    <m/>
    <m/>
    <m/>
    <s v="AUD"/>
    <s v="13565936Waste - General [t] - Scope 3"/>
    <n v="13565936"/>
  </r>
  <r>
    <d v="2019-07-01T00:00:00"/>
    <d v="2021-06-30T00:00:00"/>
    <s v="Telstra"/>
    <s v="NETWORK"/>
    <s v="Network - InfraCo"/>
    <s v="NT"/>
    <s v="Australia"/>
    <s v="Leanyer"/>
    <s v="CASUARINA EXCHANGE"/>
    <n v="423030519900"/>
    <s v="Waste"/>
    <x v="1"/>
    <x v="2"/>
    <s v="Account"/>
    <s v="Remondis General Waste"/>
    <m/>
    <s v="423030519900_WGENERALW"/>
    <s v="GENERAL WASTE"/>
    <s v="Remondis"/>
    <m/>
    <m/>
    <d v="2020-09-01T00:00:00"/>
    <d v="2020-09-01T00:00:00"/>
    <s v="FY21"/>
    <s v="t"/>
    <n v="0"/>
    <n v="0"/>
    <n v="4.3E-3"/>
    <n v="4.3E-3"/>
    <n v="0"/>
    <n v="0"/>
    <n v="1"/>
    <n v="1"/>
    <n v="0"/>
    <n v="0"/>
    <n v="100"/>
    <s v="Consolidation"/>
    <s v="CO2e and Base Measure"/>
    <n v="100"/>
    <n v="100"/>
    <n v="0"/>
    <m/>
    <m/>
    <m/>
    <m/>
    <m/>
    <n v="5.5999999999999999E-3"/>
    <m/>
    <n v="5.5999999999999999E-3"/>
    <m/>
    <m/>
    <m/>
    <m/>
    <m/>
    <s v="AUD"/>
    <s v="13565936Waste - General [t] - Scope 3"/>
    <n v="13565936"/>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421Waste - General [t] - Scope 3"/>
    <n v="13634421"/>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421Waste - General [t] - Scope 3"/>
    <n v="13634421"/>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3-01T00:00:00"/>
    <s v="FY21"/>
    <s v="t"/>
    <n v="0"/>
    <n v="9.9000000000000005E-2"/>
    <n v="0"/>
    <n v="9.9000000000000005E-2"/>
    <n v="0"/>
    <n v="2"/>
    <n v="0"/>
    <n v="2"/>
    <n v="0"/>
    <n v="100"/>
    <n v="0"/>
    <s v="Consolidation"/>
    <s v="CO2e and Base Measure"/>
    <n v="100"/>
    <n v="100"/>
    <n v="0.1"/>
    <m/>
    <m/>
    <m/>
    <m/>
    <m/>
    <n v="0.12870000000000001"/>
    <m/>
    <n v="0.12870000000000001"/>
    <m/>
    <m/>
    <m/>
    <m/>
    <m/>
    <s v="AUD"/>
    <s v="13634421Waste - General [t] - Scope 3"/>
    <n v="13634421"/>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4-01T00:00:00"/>
    <s v="FY21"/>
    <s v="t"/>
    <n v="0"/>
    <n v="0"/>
    <n v="6.6000000000000003E-2"/>
    <n v="6.6000000000000003E-2"/>
    <n v="0"/>
    <n v="0"/>
    <n v="30"/>
    <n v="30"/>
    <n v="0"/>
    <n v="0"/>
    <n v="100"/>
    <s v="Consolidation"/>
    <s v="CO2e and Base Measure"/>
    <n v="100"/>
    <n v="100"/>
    <n v="7.0000000000000007E-2"/>
    <m/>
    <m/>
    <m/>
    <m/>
    <m/>
    <n v="8.5800000000000001E-2"/>
    <m/>
    <n v="8.5800000000000001E-2"/>
    <m/>
    <m/>
    <m/>
    <m/>
    <m/>
    <s v="AUD"/>
    <s v="13634421Waste - General [t] - Scope 3"/>
    <n v="13634421"/>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5-01T00:00:00"/>
    <s v="FY21"/>
    <s v="t"/>
    <n v="0"/>
    <n v="0"/>
    <n v="6.8199999999999997E-2"/>
    <n v="6.8199999999999997E-2"/>
    <n v="0"/>
    <n v="0"/>
    <n v="31"/>
    <n v="31"/>
    <n v="0"/>
    <n v="0"/>
    <n v="100"/>
    <s v="Consolidation"/>
    <s v="CO2e and Base Measure"/>
    <n v="100"/>
    <n v="100"/>
    <n v="7.0000000000000007E-2"/>
    <m/>
    <m/>
    <m/>
    <m/>
    <m/>
    <n v="8.8700000000000001E-2"/>
    <m/>
    <n v="8.8700000000000001E-2"/>
    <m/>
    <m/>
    <m/>
    <m/>
    <m/>
    <s v="AUD"/>
    <s v="13634421Waste - General [t] - Scope 3"/>
    <n v="13634421"/>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07-01T00:00:00"/>
    <s v="FY21"/>
    <s v="t"/>
    <n v="0"/>
    <n v="0.36099999999999999"/>
    <n v="0"/>
    <n v="0.36099999999999999"/>
    <n v="0"/>
    <n v="5"/>
    <n v="0"/>
    <n v="5"/>
    <n v="0"/>
    <n v="100"/>
    <n v="0"/>
    <s v="Consolidation"/>
    <s v="CO2e and Base Measure"/>
    <n v="100"/>
    <n v="100"/>
    <n v="0.36"/>
    <m/>
    <m/>
    <m/>
    <m/>
    <m/>
    <n v="0.46929999999999999"/>
    <m/>
    <n v="0.46929999999999999"/>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08-01T00:00:00"/>
    <s v="FY21"/>
    <s v="t"/>
    <n v="0"/>
    <n v="0.2888"/>
    <n v="0"/>
    <n v="0.2888"/>
    <n v="0"/>
    <n v="4"/>
    <n v="0"/>
    <n v="4"/>
    <n v="0"/>
    <n v="100"/>
    <n v="0"/>
    <s v="Consolidation"/>
    <s v="CO2e and Base Measure"/>
    <n v="100"/>
    <n v="100"/>
    <n v="0.28999999999999998"/>
    <m/>
    <m/>
    <m/>
    <m/>
    <m/>
    <n v="0.37540000000000001"/>
    <m/>
    <n v="0.37540000000000001"/>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09-01T00:00:00"/>
    <s v="FY21"/>
    <s v="t"/>
    <n v="0"/>
    <n v="0.2888"/>
    <n v="0"/>
    <n v="0.2888"/>
    <n v="0"/>
    <n v="4"/>
    <n v="0"/>
    <n v="4"/>
    <n v="0"/>
    <n v="100"/>
    <n v="0"/>
    <s v="Consolidation"/>
    <s v="CO2e and Base Measure"/>
    <n v="100"/>
    <n v="100"/>
    <n v="0.28999999999999998"/>
    <m/>
    <m/>
    <m/>
    <m/>
    <m/>
    <n v="0.37540000000000001"/>
    <m/>
    <n v="0.37540000000000001"/>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10-01T00:00:00"/>
    <s v="FY21"/>
    <s v="t"/>
    <n v="0"/>
    <n v="0.36099999999999999"/>
    <n v="0"/>
    <n v="0.36099999999999999"/>
    <n v="0"/>
    <n v="5"/>
    <n v="0"/>
    <n v="5"/>
    <n v="0"/>
    <n v="100"/>
    <n v="0"/>
    <s v="Consolidation"/>
    <s v="CO2e and Base Measure"/>
    <n v="100"/>
    <n v="100"/>
    <n v="0.36"/>
    <m/>
    <m/>
    <m/>
    <m/>
    <m/>
    <n v="0.46929999999999999"/>
    <m/>
    <n v="0.46929999999999999"/>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11-01T00:00:00"/>
    <s v="FY21"/>
    <s v="t"/>
    <n v="0"/>
    <n v="0.2888"/>
    <n v="0"/>
    <n v="0.2888"/>
    <n v="0"/>
    <n v="4"/>
    <n v="0"/>
    <n v="4"/>
    <n v="0"/>
    <n v="100"/>
    <n v="0"/>
    <s v="Consolidation"/>
    <s v="CO2e and Base Measure"/>
    <n v="100"/>
    <n v="100"/>
    <n v="0.28999999999999998"/>
    <m/>
    <m/>
    <m/>
    <m/>
    <m/>
    <n v="0.37540000000000001"/>
    <m/>
    <n v="0.37540000000000001"/>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12-01T00:00:00"/>
    <s v="FY21"/>
    <s v="t"/>
    <n v="0"/>
    <n v="0.2888"/>
    <n v="0"/>
    <n v="0.2888"/>
    <n v="0"/>
    <n v="4"/>
    <n v="0"/>
    <n v="4"/>
    <n v="0"/>
    <n v="100"/>
    <n v="0"/>
    <s v="Consolidation"/>
    <s v="CO2e and Base Measure"/>
    <n v="100"/>
    <n v="100"/>
    <n v="0.28999999999999998"/>
    <m/>
    <m/>
    <m/>
    <m/>
    <m/>
    <n v="0.37540000000000001"/>
    <m/>
    <n v="0.37540000000000001"/>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1-01-01T00:00:00"/>
    <s v="FY21"/>
    <s v="t"/>
    <n v="0"/>
    <n v="0"/>
    <n v="1.0200000000000001E-2"/>
    <n v="1.0200000000000001E-2"/>
    <n v="0"/>
    <n v="0"/>
    <n v="1"/>
    <n v="1"/>
    <n v="0"/>
    <n v="0"/>
    <n v="100"/>
    <s v="Consolidation"/>
    <s v="CO2e and Base Measure"/>
    <n v="100"/>
    <n v="100"/>
    <n v="0.01"/>
    <m/>
    <m/>
    <m/>
    <m/>
    <m/>
    <n v="1.3299999999999999E-2"/>
    <m/>
    <n v="1.3299999999999999E-2"/>
    <m/>
    <m/>
    <m/>
    <m/>
    <m/>
    <s v="AUD"/>
    <s v="13564602Waste - General [t] - Scope 3"/>
    <n v="13564602"/>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060Waste - General [t] - Scope 3"/>
    <n v="13634060"/>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1-01-01T00:00:00"/>
    <s v="FY21"/>
    <s v="t"/>
    <n v="0"/>
    <n v="2.9700000000000001E-2"/>
    <n v="0"/>
    <n v="2.9700000000000001E-2"/>
    <n v="0"/>
    <n v="1"/>
    <n v="0"/>
    <n v="1"/>
    <n v="0"/>
    <n v="100"/>
    <n v="0"/>
    <s v="Consolidation"/>
    <s v="CO2e and Base Measure"/>
    <n v="100"/>
    <n v="100"/>
    <n v="0.03"/>
    <m/>
    <m/>
    <m/>
    <m/>
    <m/>
    <n v="3.8600000000000002E-2"/>
    <m/>
    <n v="3.8600000000000002E-2"/>
    <m/>
    <m/>
    <m/>
    <m/>
    <m/>
    <s v="AUD"/>
    <s v="13634060Waste - General [t] - Scope 3"/>
    <n v="13634060"/>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1-03-01T00:00:00"/>
    <s v="FY21"/>
    <s v="t"/>
    <n v="0"/>
    <n v="2.9700000000000001E-2"/>
    <n v="0"/>
    <n v="2.9700000000000001E-2"/>
    <n v="0"/>
    <n v="1"/>
    <n v="0"/>
    <n v="1"/>
    <n v="0"/>
    <n v="100"/>
    <n v="0"/>
    <s v="Consolidation"/>
    <s v="CO2e and Base Measure"/>
    <n v="100"/>
    <n v="100"/>
    <n v="0.03"/>
    <m/>
    <m/>
    <m/>
    <m/>
    <m/>
    <n v="3.8600000000000002E-2"/>
    <m/>
    <n v="3.8600000000000002E-2"/>
    <m/>
    <m/>
    <m/>
    <m/>
    <m/>
    <s v="AUD"/>
    <s v="13634060Waste - General [t] - Scope 3"/>
    <n v="13634060"/>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1-04-01T00:00:00"/>
    <s v="FY21"/>
    <s v="t"/>
    <n v="0"/>
    <n v="0"/>
    <n v="2.1000000000000001E-2"/>
    <n v="2.1000000000000001E-2"/>
    <n v="0"/>
    <n v="0"/>
    <n v="30"/>
    <n v="30"/>
    <n v="0"/>
    <n v="0"/>
    <n v="100"/>
    <s v="Consolidation"/>
    <s v="CO2e and Base Measure"/>
    <n v="100"/>
    <n v="100"/>
    <n v="0.02"/>
    <m/>
    <m/>
    <m/>
    <m/>
    <m/>
    <n v="2.7300000000000001E-2"/>
    <m/>
    <n v="2.7300000000000001E-2"/>
    <m/>
    <m/>
    <m/>
    <m/>
    <m/>
    <s v="AUD"/>
    <s v="13634060Waste - General [t] - Scope 3"/>
    <n v="13634060"/>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1-05-01T00:00:00"/>
    <s v="FY21"/>
    <s v="t"/>
    <n v="0"/>
    <n v="0"/>
    <n v="2.1700000000000001E-2"/>
    <n v="2.1700000000000001E-2"/>
    <n v="0"/>
    <n v="0"/>
    <n v="31"/>
    <n v="31"/>
    <n v="0"/>
    <n v="0"/>
    <n v="100"/>
    <s v="Consolidation"/>
    <s v="CO2e and Base Measure"/>
    <n v="100"/>
    <n v="100"/>
    <n v="0.02"/>
    <m/>
    <m/>
    <m/>
    <m/>
    <m/>
    <n v="2.8199999999999999E-2"/>
    <m/>
    <n v="2.8199999999999999E-2"/>
    <m/>
    <m/>
    <m/>
    <m/>
    <m/>
    <s v="AUD"/>
    <s v="13634060Waste - General [t] - Scope 3"/>
    <n v="13634060"/>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07-01T00:00:00"/>
    <s v="FY21"/>
    <s v="t"/>
    <n v="3.9E-2"/>
    <n v="0"/>
    <n v="0"/>
    <n v="3.9E-2"/>
    <n v="2"/>
    <n v="0"/>
    <n v="0"/>
    <n v="2"/>
    <n v="100"/>
    <n v="0"/>
    <n v="0"/>
    <s v="Consolidation"/>
    <s v="CO2e and Base Measure"/>
    <n v="100"/>
    <n v="100"/>
    <n v="0.04"/>
    <m/>
    <m/>
    <m/>
    <m/>
    <m/>
    <n v="5.0700000000000002E-2"/>
    <m/>
    <n v="5.0700000000000002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08-01T00:00:00"/>
    <s v="FY21"/>
    <s v="t"/>
    <n v="5.3999999999999999E-2"/>
    <n v="0"/>
    <n v="0"/>
    <n v="5.3999999999999999E-2"/>
    <n v="2"/>
    <n v="0"/>
    <n v="0"/>
    <n v="2"/>
    <n v="100"/>
    <n v="0"/>
    <n v="0"/>
    <s v="Consolidation"/>
    <s v="CO2e and Base Measure"/>
    <n v="100"/>
    <n v="100"/>
    <n v="0.05"/>
    <m/>
    <m/>
    <m/>
    <m/>
    <m/>
    <n v="7.0199999999999999E-2"/>
    <m/>
    <n v="7.0199999999999999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09-01T00:00:00"/>
    <s v="FY21"/>
    <s v="t"/>
    <n v="3.4000000000000002E-2"/>
    <n v="7.22E-2"/>
    <n v="0"/>
    <n v="0.1062"/>
    <n v="2"/>
    <n v="1"/>
    <n v="0"/>
    <n v="3"/>
    <n v="32.01"/>
    <n v="67.98"/>
    <n v="0"/>
    <s v="Consolidation"/>
    <s v="CO2e and Base Measure"/>
    <n v="100"/>
    <n v="100"/>
    <n v="0.11"/>
    <m/>
    <m/>
    <m/>
    <m/>
    <m/>
    <n v="0.1381"/>
    <m/>
    <n v="0.1381"/>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10-01T00:00:00"/>
    <s v="FY21"/>
    <s v="t"/>
    <n v="1.6E-2"/>
    <n v="0"/>
    <n v="0"/>
    <n v="1.6E-2"/>
    <n v="2"/>
    <n v="0"/>
    <n v="0"/>
    <n v="2"/>
    <n v="100"/>
    <n v="0"/>
    <n v="0"/>
    <s v="Consolidation"/>
    <s v="CO2e and Base Measure"/>
    <n v="100"/>
    <n v="100"/>
    <n v="0.02"/>
    <m/>
    <m/>
    <m/>
    <m/>
    <m/>
    <n v="2.0799999999999999E-2"/>
    <m/>
    <n v="2.0799999999999999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11-01T00:00:00"/>
    <s v="FY21"/>
    <s v="t"/>
    <n v="4.5999999999999999E-2"/>
    <n v="0"/>
    <n v="0"/>
    <n v="4.5999999999999999E-2"/>
    <n v="2"/>
    <n v="0"/>
    <n v="0"/>
    <n v="2"/>
    <n v="100"/>
    <n v="0"/>
    <n v="0"/>
    <s v="Consolidation"/>
    <s v="CO2e and Base Measure"/>
    <n v="100"/>
    <n v="100"/>
    <n v="0.05"/>
    <m/>
    <m/>
    <m/>
    <m/>
    <m/>
    <n v="5.9799999999999999E-2"/>
    <m/>
    <n v="5.9799999999999999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1-01-01T00:00:00"/>
    <s v="FY21"/>
    <s v="t"/>
    <n v="0"/>
    <n v="0"/>
    <n v="1.9E-3"/>
    <n v="1.9E-3"/>
    <n v="0"/>
    <n v="0"/>
    <n v="1"/>
    <n v="1"/>
    <n v="0"/>
    <n v="0"/>
    <n v="100"/>
    <s v="Consolidation"/>
    <s v="CO2e and Base Measure"/>
    <n v="100"/>
    <n v="100"/>
    <n v="0"/>
    <m/>
    <m/>
    <m/>
    <m/>
    <m/>
    <n v="2.5000000000000001E-3"/>
    <m/>
    <n v="2.5000000000000001E-3"/>
    <m/>
    <m/>
    <m/>
    <m/>
    <m/>
    <s v="AUD"/>
    <s v="13564101Waste - General [t] - Scope 3"/>
    <n v="1356410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061Waste - General [t] - Scope 3"/>
    <n v="1363406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061Waste - General [t] - Scope 3"/>
    <n v="1363406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1-03-01T00:00:00"/>
    <s v="FY21"/>
    <s v="t"/>
    <n v="0"/>
    <n v="0"/>
    <n v="3.4099999999999998E-2"/>
    <n v="3.4099999999999998E-2"/>
    <n v="0"/>
    <n v="0"/>
    <n v="31"/>
    <n v="31"/>
    <n v="0"/>
    <n v="0"/>
    <n v="100"/>
    <s v="Consolidation"/>
    <s v="CO2e and Base Measure"/>
    <n v="100"/>
    <n v="100"/>
    <n v="0.03"/>
    <m/>
    <m/>
    <m/>
    <m/>
    <m/>
    <n v="4.4299999999999999E-2"/>
    <m/>
    <n v="4.4299999999999999E-2"/>
    <m/>
    <m/>
    <m/>
    <m/>
    <m/>
    <s v="AUD"/>
    <s v="13634061Waste - General [t] - Scope 3"/>
    <n v="1363406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1-04-01T00:00:00"/>
    <s v="FY21"/>
    <s v="t"/>
    <n v="0"/>
    <n v="0"/>
    <n v="3.3000000000000002E-2"/>
    <n v="3.3000000000000002E-2"/>
    <n v="0"/>
    <n v="0"/>
    <n v="30"/>
    <n v="30"/>
    <n v="0"/>
    <n v="0"/>
    <n v="100"/>
    <s v="Consolidation"/>
    <s v="CO2e and Base Measure"/>
    <n v="100"/>
    <n v="100"/>
    <n v="0.03"/>
    <m/>
    <m/>
    <m/>
    <m/>
    <m/>
    <n v="4.2900000000000001E-2"/>
    <m/>
    <n v="4.2900000000000001E-2"/>
    <m/>
    <m/>
    <m/>
    <m/>
    <m/>
    <s v="AUD"/>
    <s v="13634061Waste - General [t] - Scope 3"/>
    <n v="1363406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1-05-01T00:00:00"/>
    <s v="FY21"/>
    <s v="t"/>
    <n v="0"/>
    <n v="0"/>
    <n v="3.4099999999999998E-2"/>
    <n v="3.4099999999999998E-2"/>
    <n v="0"/>
    <n v="0"/>
    <n v="31"/>
    <n v="31"/>
    <n v="0"/>
    <n v="0"/>
    <n v="100"/>
    <s v="Consolidation"/>
    <s v="CO2e and Base Measure"/>
    <n v="100"/>
    <n v="100"/>
    <n v="0.03"/>
    <m/>
    <m/>
    <m/>
    <m/>
    <m/>
    <n v="4.4299999999999999E-2"/>
    <m/>
    <n v="4.4299999999999999E-2"/>
    <m/>
    <m/>
    <m/>
    <m/>
    <m/>
    <s v="AUD"/>
    <s v="13634061Waste - General [t] - Scope 3"/>
    <n v="13634061"/>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07-01T00:00:00"/>
    <s v="FY21"/>
    <s v="t"/>
    <n v="1.0999999999999999E-2"/>
    <n v="2.3300000000000001E-2"/>
    <n v="0"/>
    <n v="3.4299999999999997E-2"/>
    <n v="2"/>
    <n v="1"/>
    <n v="0"/>
    <n v="3"/>
    <n v="32.06"/>
    <n v="67.930000000000007"/>
    <n v="0"/>
    <s v="Consolidation"/>
    <s v="CO2e and Base Measure"/>
    <n v="100"/>
    <n v="100"/>
    <n v="0.03"/>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08-01T00:00:00"/>
    <s v="FY21"/>
    <s v="t"/>
    <n v="2.1999999999999999E-2"/>
    <n v="0"/>
    <n v="0"/>
    <n v="2.1999999999999999E-2"/>
    <n v="2"/>
    <n v="0"/>
    <n v="0"/>
    <n v="2"/>
    <n v="100"/>
    <n v="0"/>
    <n v="0"/>
    <s v="Consolidation"/>
    <s v="CO2e and Base Measure"/>
    <n v="100"/>
    <n v="100"/>
    <n v="0.02"/>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09-01T00:00:00"/>
    <s v="FY21"/>
    <s v="t"/>
    <n v="8.6999999999999994E-2"/>
    <n v="0"/>
    <n v="0"/>
    <n v="8.6999999999999994E-2"/>
    <n v="3"/>
    <n v="0"/>
    <n v="0"/>
    <n v="3"/>
    <n v="100"/>
    <n v="0"/>
    <n v="0"/>
    <s v="Consolidation"/>
    <s v="CO2e and Base Measure"/>
    <n v="100"/>
    <n v="100"/>
    <n v="0.09"/>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10-01T00:00:00"/>
    <s v="FY21"/>
    <s v="t"/>
    <n v="4.8000000000000001E-2"/>
    <n v="4.6600000000000003E-2"/>
    <n v="0"/>
    <n v="9.4600000000000004E-2"/>
    <n v="4"/>
    <n v="1"/>
    <n v="0"/>
    <n v="5"/>
    <n v="50.73"/>
    <n v="49.26"/>
    <n v="0"/>
    <s v="Consolidation"/>
    <s v="CO2e and Base Measure"/>
    <n v="100"/>
    <n v="100"/>
    <n v="0.09"/>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11-01T00:00:00"/>
    <s v="FY21"/>
    <s v="t"/>
    <n v="0.248"/>
    <n v="0"/>
    <n v="0"/>
    <n v="0.248"/>
    <n v="3"/>
    <n v="0"/>
    <n v="0"/>
    <n v="3"/>
    <n v="100"/>
    <n v="0"/>
    <n v="0"/>
    <s v="Consolidation"/>
    <s v="CO2e and Base Measure"/>
    <n v="100"/>
    <n v="100"/>
    <n v="0.25"/>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12-01T00:00:00"/>
    <s v="FY21"/>
    <s v="t"/>
    <n v="1E-3"/>
    <n v="4.6600000000000003E-2"/>
    <n v="0"/>
    <n v="4.7600000000000003E-2"/>
    <n v="1"/>
    <n v="1"/>
    <n v="0"/>
    <n v="2"/>
    <n v="2.1"/>
    <n v="97.89"/>
    <n v="0"/>
    <s v="Consolidation"/>
    <s v="CO2e and Base Measure"/>
    <n v="100"/>
    <n v="100"/>
    <n v="0.05"/>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1-01-01T00:00:00"/>
    <s v="FY21"/>
    <s v="t"/>
    <n v="0"/>
    <n v="0"/>
    <n v="2.7000000000000001E-3"/>
    <n v="2.7000000000000001E-3"/>
    <n v="0"/>
    <n v="0"/>
    <n v="1"/>
    <n v="1"/>
    <n v="0"/>
    <n v="0"/>
    <n v="100"/>
    <s v="Consolidation"/>
    <s v="CO2e and Base Measure"/>
    <n v="100"/>
    <n v="100"/>
    <n v="0"/>
    <m/>
    <m/>
    <m/>
    <m/>
    <m/>
    <m/>
    <n v="0"/>
    <m/>
    <m/>
    <m/>
    <m/>
    <m/>
    <m/>
    <s v="AUD"/>
    <s v="13564114Waste Recycled - Cardboard [t]"/>
    <n v="13564114"/>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07-01T00:00:00"/>
    <s v="FY21"/>
    <s v="t"/>
    <n v="0.25900000000000001"/>
    <n v="0"/>
    <n v="0"/>
    <n v="0.25900000000000001"/>
    <n v="5"/>
    <n v="0"/>
    <n v="0"/>
    <n v="5"/>
    <n v="100"/>
    <n v="0"/>
    <n v="0"/>
    <s v="Consolidation"/>
    <s v="CO2e and Base Measure"/>
    <n v="100"/>
    <n v="100"/>
    <n v="0.26"/>
    <m/>
    <m/>
    <m/>
    <m/>
    <m/>
    <n v="0.3367"/>
    <m/>
    <n v="0.3367"/>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08-01T00:00:00"/>
    <s v="FY21"/>
    <s v="t"/>
    <n v="0.107"/>
    <n v="0"/>
    <n v="0"/>
    <n v="0.107"/>
    <n v="2"/>
    <n v="0"/>
    <n v="0"/>
    <n v="2"/>
    <n v="100"/>
    <n v="0"/>
    <n v="0"/>
    <s v="Consolidation"/>
    <s v="CO2e and Base Measure"/>
    <n v="100"/>
    <n v="100"/>
    <n v="0.11"/>
    <m/>
    <m/>
    <m/>
    <m/>
    <m/>
    <n v="0.1391"/>
    <m/>
    <n v="0.1391"/>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09-01T00:00:00"/>
    <s v="FY21"/>
    <s v="t"/>
    <n v="0.14199999999999999"/>
    <n v="0"/>
    <n v="0"/>
    <n v="0.14199999999999999"/>
    <n v="3"/>
    <n v="0"/>
    <n v="0"/>
    <n v="3"/>
    <n v="100"/>
    <n v="0"/>
    <n v="0"/>
    <s v="Consolidation"/>
    <s v="CO2e and Base Measure"/>
    <n v="100"/>
    <n v="100"/>
    <n v="0.14000000000000001"/>
    <m/>
    <m/>
    <m/>
    <m/>
    <m/>
    <n v="0.18459999999999999"/>
    <m/>
    <n v="0.18459999999999999"/>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10-01T00:00:00"/>
    <s v="FY21"/>
    <s v="t"/>
    <n v="0.128"/>
    <n v="0"/>
    <n v="0"/>
    <n v="0.128"/>
    <n v="4"/>
    <n v="0"/>
    <n v="0"/>
    <n v="4"/>
    <n v="100"/>
    <n v="0"/>
    <n v="0"/>
    <s v="Consolidation"/>
    <s v="CO2e and Base Measure"/>
    <n v="100"/>
    <n v="100"/>
    <n v="0.13"/>
    <m/>
    <m/>
    <m/>
    <m/>
    <m/>
    <n v="0.16639999999999999"/>
    <m/>
    <n v="0.16639999999999999"/>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11-01T00:00:00"/>
    <s v="FY21"/>
    <s v="t"/>
    <n v="0.38700000000000001"/>
    <n v="0"/>
    <n v="0"/>
    <n v="0.38700000000000001"/>
    <n v="5"/>
    <n v="0"/>
    <n v="0"/>
    <n v="5"/>
    <n v="100"/>
    <n v="0"/>
    <n v="0"/>
    <s v="Consolidation"/>
    <s v="CO2e and Base Measure"/>
    <n v="100"/>
    <n v="100"/>
    <n v="0.39"/>
    <m/>
    <m/>
    <m/>
    <m/>
    <m/>
    <n v="0.50309999999999999"/>
    <m/>
    <n v="0.50309999999999999"/>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12-01T00:00:00"/>
    <s v="FY21"/>
    <s v="t"/>
    <n v="3.4000000000000002E-2"/>
    <n v="0.25940000000000002"/>
    <n v="0"/>
    <n v="0.29339999999999999"/>
    <n v="1"/>
    <n v="2"/>
    <n v="0"/>
    <n v="3"/>
    <n v="11.58"/>
    <n v="88.41"/>
    <n v="0"/>
    <s v="Consolidation"/>
    <s v="CO2e and Base Measure"/>
    <n v="100"/>
    <n v="100"/>
    <n v="0.28999999999999998"/>
    <m/>
    <m/>
    <m/>
    <m/>
    <m/>
    <n v="0.38140000000000002"/>
    <m/>
    <n v="0.38140000000000002"/>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1-01-01T00:00:00"/>
    <s v="FY21"/>
    <s v="t"/>
    <n v="0"/>
    <n v="0"/>
    <n v="6.7000000000000002E-3"/>
    <n v="6.7000000000000002E-3"/>
    <n v="0"/>
    <n v="0"/>
    <n v="1"/>
    <n v="1"/>
    <n v="0"/>
    <n v="0"/>
    <n v="100"/>
    <s v="Consolidation"/>
    <s v="CO2e and Base Measure"/>
    <n v="100"/>
    <n v="100"/>
    <n v="0.01"/>
    <m/>
    <m/>
    <m/>
    <m/>
    <m/>
    <n v="8.6999999999999994E-3"/>
    <m/>
    <n v="8.6999999999999994E-3"/>
    <m/>
    <m/>
    <m/>
    <m/>
    <m/>
    <s v="AUD"/>
    <s v="13564116Waste - General [t] - Scope 3"/>
    <n v="13564116"/>
  </r>
  <r>
    <d v="2019-07-01T00:00:00"/>
    <d v="2021-06-30T00:00:00"/>
    <s v="Telstra"/>
    <s v="NETWORK"/>
    <s v="Network - InfraCo"/>
    <s v="QLD"/>
    <s v="Australia"/>
    <s v="Brisbane"/>
    <s v="CHARLOTTE EXCHANGE"/>
    <n v="423030026200"/>
    <s v="Recycled Waste"/>
    <x v="0"/>
    <x v="1"/>
    <s v="Account"/>
    <s v="Remondis Electrical Comp. (E-Waste)"/>
    <m/>
    <s v="423030026200_RELECTRIC"/>
    <s v="ELECTRICAL COMP. (E-WASTE)"/>
    <s v="Remondis"/>
    <m/>
    <d v="2020-06-18T00:00:00"/>
    <d v="2020-10-01T00:00:00"/>
    <d v="2020-08-01T00:00:00"/>
    <s v="FY21"/>
    <s v="t"/>
    <n v="0.32"/>
    <n v="0"/>
    <n v="0"/>
    <n v="0.32"/>
    <n v="1"/>
    <n v="0"/>
    <n v="0"/>
    <n v="1"/>
    <n v="100"/>
    <n v="0"/>
    <n v="0"/>
    <s v="Consolidation"/>
    <s v="CO2e and Base Measure"/>
    <n v="100"/>
    <n v="100"/>
    <n v="0.32"/>
    <m/>
    <m/>
    <m/>
    <m/>
    <m/>
    <m/>
    <m/>
    <m/>
    <m/>
    <m/>
    <m/>
    <m/>
    <m/>
    <s v="AUD"/>
    <s v="13612609Waste Recycled - E-waste [t]"/>
    <n v="13612609"/>
  </r>
  <r>
    <d v="2019-07-01T00:00:00"/>
    <d v="2021-06-30T00:00:00"/>
    <s v="Telstra"/>
    <s v="NETWORK"/>
    <s v="Network - InfraCo"/>
    <s v="QLD"/>
    <s v="Australia"/>
    <s v="Brisbane"/>
    <s v="CHARLOTTE EXCHANGE"/>
    <n v="423030026200"/>
    <s v="Recycled Waste"/>
    <x v="0"/>
    <x v="1"/>
    <s v="Account"/>
    <s v="Remondis Electrical Comp. (E-Waste)"/>
    <m/>
    <s v="423030026200_RELECTRIC"/>
    <s v="ELECTRICAL COMP. (E-WASTE)"/>
    <s v="Remondis"/>
    <m/>
    <d v="2020-06-18T00:00:00"/>
    <d v="2020-10-01T00:00:00"/>
    <d v="2020-09-01T00:00:00"/>
    <s v="FY21"/>
    <s v="t"/>
    <n v="0.1"/>
    <n v="0"/>
    <n v="0"/>
    <n v="0.1"/>
    <n v="1"/>
    <n v="0"/>
    <n v="0"/>
    <n v="1"/>
    <n v="100"/>
    <n v="0"/>
    <n v="0"/>
    <s v="Consolidation"/>
    <s v="CO2e and Base Measure"/>
    <n v="100"/>
    <n v="100"/>
    <n v="0.1"/>
    <m/>
    <m/>
    <m/>
    <m/>
    <m/>
    <m/>
    <m/>
    <m/>
    <m/>
    <m/>
    <m/>
    <m/>
    <m/>
    <s v="AUD"/>
    <s v="13612609Waste Recycled - E-waste [t]"/>
    <n v="13612609"/>
  </r>
  <r>
    <d v="2019-07-01T00:00:00"/>
    <d v="2021-06-30T00:00:00"/>
    <s v="Telstra"/>
    <s v="NETWORK"/>
    <s v="Network - InfraCo"/>
    <s v="QLD"/>
    <s v="Australia"/>
    <s v="Brisbane"/>
    <s v="CHARLOTTE EXCHANGE"/>
    <n v="423030026200"/>
    <s v="Recycled Waste"/>
    <x v="0"/>
    <x v="1"/>
    <s v="Account"/>
    <s v="Remondis Electrical Comp. (E-Waste)"/>
    <m/>
    <s v="423030026200_RELECTRIC"/>
    <s v="ELECTRICAL COMP. (E-WASTE)"/>
    <s v="Remondis"/>
    <m/>
    <d v="2020-06-18T00:00:00"/>
    <d v="2020-10-01T00:00:00"/>
    <d v="2020-10-01T00:00:00"/>
    <s v="FY21"/>
    <s v="t"/>
    <n v="0"/>
    <n v="0"/>
    <n v="5.1999999999999998E-3"/>
    <n v="5.1999999999999998E-3"/>
    <n v="0"/>
    <n v="0"/>
    <n v="1"/>
    <n v="1"/>
    <n v="0"/>
    <n v="0"/>
    <n v="100"/>
    <s v="Consolidation"/>
    <s v="CO2e and Base Measure"/>
    <n v="100"/>
    <n v="100"/>
    <n v="0.01"/>
    <m/>
    <m/>
    <m/>
    <m/>
    <m/>
    <m/>
    <m/>
    <m/>
    <m/>
    <m/>
    <m/>
    <m/>
    <m/>
    <s v="AUD"/>
    <s v="13612609Waste Recycled - E-waste [t]"/>
    <n v="13612609"/>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0-12-01T00:00:00"/>
    <s v="FY21"/>
    <s v="t"/>
    <n v="0"/>
    <n v="1.0800000000000001E-2"/>
    <n v="0"/>
    <n v="1.0800000000000001E-2"/>
    <n v="0"/>
    <n v="1"/>
    <n v="0"/>
    <n v="1"/>
    <n v="0"/>
    <n v="100"/>
    <n v="0"/>
    <s v="Consolidation"/>
    <s v="CO2e and Base Measure"/>
    <n v="100"/>
    <n v="100"/>
    <n v="0.01"/>
    <m/>
    <m/>
    <m/>
    <m/>
    <m/>
    <n v="1.4E-2"/>
    <m/>
    <n v="1.4E-2"/>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1-01T00:00:00"/>
    <s v="FY21"/>
    <s v="t"/>
    <n v="0"/>
    <n v="0.20519999999999999"/>
    <n v="0"/>
    <n v="0.20519999999999999"/>
    <n v="0"/>
    <n v="3"/>
    <n v="0"/>
    <n v="3"/>
    <n v="0"/>
    <n v="100"/>
    <n v="0"/>
    <s v="Consolidation"/>
    <s v="CO2e and Base Measure"/>
    <n v="100"/>
    <n v="100"/>
    <n v="0.21"/>
    <m/>
    <m/>
    <m/>
    <m/>
    <m/>
    <n v="0.26679999999999998"/>
    <m/>
    <n v="0.26679999999999998"/>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2-01T00:00:00"/>
    <s v="FY21"/>
    <s v="t"/>
    <n v="6.6000000000000003E-2"/>
    <n v="0.1512"/>
    <n v="0"/>
    <n v="0.2172"/>
    <n v="1"/>
    <n v="3"/>
    <n v="0"/>
    <n v="4"/>
    <n v="30.38"/>
    <n v="69.61"/>
    <n v="0"/>
    <s v="Consolidation"/>
    <s v="CO2e and Base Measure"/>
    <n v="100"/>
    <n v="100"/>
    <n v="0.22"/>
    <m/>
    <m/>
    <m/>
    <m/>
    <m/>
    <n v="0.28239999999999998"/>
    <m/>
    <n v="0.28239999999999998"/>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3-01T00:00:00"/>
    <s v="FY21"/>
    <s v="t"/>
    <n v="0"/>
    <n v="0.24390000000000001"/>
    <n v="0"/>
    <n v="0.24390000000000001"/>
    <n v="0"/>
    <n v="5"/>
    <n v="0"/>
    <n v="5"/>
    <n v="0"/>
    <n v="100"/>
    <n v="0"/>
    <s v="Consolidation"/>
    <s v="CO2e and Base Measure"/>
    <n v="100"/>
    <n v="100"/>
    <n v="0.24"/>
    <m/>
    <m/>
    <m/>
    <m/>
    <m/>
    <n v="0.31709999999999999"/>
    <m/>
    <n v="0.31709999999999999"/>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4-01T00:00:00"/>
    <s v="FY21"/>
    <s v="t"/>
    <n v="0"/>
    <n v="0"/>
    <n v="0.16800000000000001"/>
    <n v="0.16800000000000001"/>
    <n v="0"/>
    <n v="0"/>
    <n v="30"/>
    <n v="30"/>
    <n v="0"/>
    <n v="0"/>
    <n v="100"/>
    <s v="Consolidation"/>
    <s v="CO2e and Base Measure"/>
    <n v="100"/>
    <n v="100"/>
    <n v="0.17"/>
    <m/>
    <m/>
    <m/>
    <m/>
    <m/>
    <n v="0.21840000000000001"/>
    <m/>
    <n v="0.21840000000000001"/>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5-01T00:00:00"/>
    <s v="FY21"/>
    <s v="t"/>
    <n v="0"/>
    <n v="0"/>
    <n v="0.1736"/>
    <n v="0.1736"/>
    <n v="0"/>
    <n v="0"/>
    <n v="31"/>
    <n v="31"/>
    <n v="0"/>
    <n v="0"/>
    <n v="100"/>
    <s v="Consolidation"/>
    <s v="CO2e and Base Measure"/>
    <n v="100"/>
    <n v="100"/>
    <n v="0.17"/>
    <m/>
    <m/>
    <m/>
    <m/>
    <m/>
    <n v="0.22570000000000001"/>
    <m/>
    <n v="0.22570000000000001"/>
    <m/>
    <m/>
    <m/>
    <m/>
    <m/>
    <s v="AUD"/>
    <s v="13634062Waste - General [t] - Scope 3"/>
    <n v="13634062"/>
  </r>
  <r>
    <d v="2019-07-01T00:00:00"/>
    <d v="2021-06-30T00:00:00"/>
    <s v="Telstra"/>
    <s v="NETWORK"/>
    <s v="Network - InfraCo"/>
    <s v="QLD"/>
    <s v="Australia"/>
    <s v="Brisbane"/>
    <s v="CHARLOTTE EXCHANGE"/>
    <n v="423030026200"/>
    <s v="Recycled Waste"/>
    <x v="0"/>
    <x v="0"/>
    <s v="Account"/>
    <s v="CLEANAWAY Cardboard"/>
    <m/>
    <s v="56297_Diversion_Cardboard"/>
    <s v="Cardboard"/>
    <s v="Cleanaway"/>
    <m/>
    <d v="2021-03-04T00:00:00"/>
    <m/>
    <d v="2021-03-01T00:00:00"/>
    <s v="FY21"/>
    <s v="t"/>
    <n v="6.5000000000000002E-2"/>
    <n v="0"/>
    <n v="0"/>
    <n v="6.5000000000000002E-2"/>
    <n v="1"/>
    <n v="0"/>
    <n v="0"/>
    <n v="1"/>
    <n v="100"/>
    <n v="0"/>
    <n v="0"/>
    <s v="Consolidation"/>
    <s v="CO2e and Base Measure"/>
    <n v="100"/>
    <n v="100"/>
    <n v="7.0000000000000007E-2"/>
    <m/>
    <m/>
    <m/>
    <m/>
    <m/>
    <m/>
    <m/>
    <m/>
    <m/>
    <m/>
    <m/>
    <m/>
    <m/>
    <s v="AUD"/>
    <s v="13641226Waste Recycled - Paper and Cardboard [t]"/>
    <n v="13641226"/>
  </r>
  <r>
    <d v="2019-07-01T00:00:00"/>
    <d v="2021-06-30T00:00:00"/>
    <s v="Telstra"/>
    <s v="NETWORK"/>
    <s v="Network - InfraCo"/>
    <s v="QLD"/>
    <s v="Australia"/>
    <s v="Brisbane"/>
    <s v="CHARLOTTE EXCHANGE"/>
    <n v="423030026200"/>
    <s v="Recycled Waste"/>
    <x v="0"/>
    <x v="0"/>
    <s v="Account"/>
    <s v="CLEANAWAY Cardboard"/>
    <m/>
    <s v="56297_Diversion_Cardboard"/>
    <s v="Cardboard"/>
    <s v="Cleanaway"/>
    <m/>
    <d v="2021-03-04T00:00:00"/>
    <m/>
    <d v="2021-04-01T00:00:00"/>
    <s v="FY21"/>
    <s v="t"/>
    <n v="0"/>
    <n v="0"/>
    <n v="6.6000000000000003E-2"/>
    <n v="6.6000000000000003E-2"/>
    <n v="0"/>
    <n v="0"/>
    <n v="30"/>
    <n v="30"/>
    <n v="0"/>
    <n v="0"/>
    <n v="100"/>
    <s v="Consolidation"/>
    <s v="CO2e and Base Measure"/>
    <n v="100"/>
    <n v="100"/>
    <n v="7.0000000000000007E-2"/>
    <m/>
    <m/>
    <m/>
    <m/>
    <m/>
    <m/>
    <m/>
    <m/>
    <m/>
    <m/>
    <m/>
    <m/>
    <m/>
    <s v="AUD"/>
    <s v="13641226Waste Recycled - Paper and Cardboard [t]"/>
    <n v="13641226"/>
  </r>
  <r>
    <d v="2019-07-01T00:00:00"/>
    <d v="2021-06-30T00:00:00"/>
    <s v="Telstra"/>
    <s v="NETWORK"/>
    <s v="Network - InfraCo"/>
    <s v="QLD"/>
    <s v="Australia"/>
    <s v="Brisbane"/>
    <s v="CHARLOTTE EXCHANGE"/>
    <n v="423030026200"/>
    <s v="Recycled Waste"/>
    <x v="0"/>
    <x v="0"/>
    <s v="Account"/>
    <s v="CLEANAWAY Cardboard"/>
    <m/>
    <s v="56297_Diversion_Cardboard"/>
    <s v="Cardboard"/>
    <s v="Cleanaway"/>
    <m/>
    <d v="2021-03-04T00:00:00"/>
    <m/>
    <d v="2021-05-01T00:00:00"/>
    <s v="FY21"/>
    <s v="t"/>
    <n v="0"/>
    <n v="0"/>
    <n v="6.8199999999999997E-2"/>
    <n v="6.8199999999999997E-2"/>
    <n v="0"/>
    <n v="0"/>
    <n v="31"/>
    <n v="31"/>
    <n v="0"/>
    <n v="0"/>
    <n v="100"/>
    <s v="Consolidation"/>
    <s v="CO2e and Base Measure"/>
    <n v="100"/>
    <n v="100"/>
    <n v="7.0000000000000007E-2"/>
    <m/>
    <m/>
    <m/>
    <m/>
    <m/>
    <m/>
    <m/>
    <m/>
    <m/>
    <m/>
    <m/>
    <m/>
    <m/>
    <s v="AUD"/>
    <s v="13641226Waste Recycled - Paper and Cardboard [t]"/>
    <n v="136412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126Waste - General [t] - Scope 3"/>
    <n v="13564126"/>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3-01T00:00:00"/>
    <s v="FY21"/>
    <s v="t"/>
    <n v="0"/>
    <n v="0.20250000000000001"/>
    <n v="0"/>
    <n v="0.20250000000000001"/>
    <n v="0"/>
    <n v="3"/>
    <n v="0"/>
    <n v="3"/>
    <n v="0"/>
    <n v="100"/>
    <n v="0"/>
    <s v="Consolidation"/>
    <s v="CO2e and Base Measure"/>
    <n v="100"/>
    <n v="100"/>
    <n v="0.2"/>
    <m/>
    <m/>
    <m/>
    <m/>
    <m/>
    <n v="0.26329999999999998"/>
    <m/>
    <n v="0.26329999999999998"/>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4-01T00:00:00"/>
    <s v="FY21"/>
    <s v="t"/>
    <n v="0"/>
    <n v="0"/>
    <n v="0.153"/>
    <n v="0.153"/>
    <n v="0"/>
    <n v="0"/>
    <n v="30"/>
    <n v="30"/>
    <n v="0"/>
    <n v="0"/>
    <n v="100"/>
    <s v="Consolidation"/>
    <s v="CO2e and Base Measure"/>
    <n v="100"/>
    <n v="100"/>
    <n v="0.15"/>
    <m/>
    <m/>
    <m/>
    <m/>
    <m/>
    <n v="0.19889999999999999"/>
    <m/>
    <n v="0.19889999999999999"/>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5-01T00:00:00"/>
    <s v="FY21"/>
    <s v="t"/>
    <n v="0"/>
    <n v="0"/>
    <n v="0.15809999999999999"/>
    <n v="0.15809999999999999"/>
    <n v="0"/>
    <n v="0"/>
    <n v="31"/>
    <n v="31"/>
    <n v="0"/>
    <n v="0"/>
    <n v="100"/>
    <s v="Consolidation"/>
    <s v="CO2e and Base Measure"/>
    <n v="100"/>
    <n v="100"/>
    <n v="0.16"/>
    <m/>
    <m/>
    <m/>
    <m/>
    <m/>
    <n v="0.20549999999999999"/>
    <m/>
    <n v="0.20549999999999999"/>
    <m/>
    <m/>
    <m/>
    <m/>
    <m/>
    <s v="AUD"/>
    <s v="13634063Waste - General [t] - Scope 3"/>
    <n v="13634063"/>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07-01T00:00:00"/>
    <s v="FY21"/>
    <s v="t"/>
    <n v="0"/>
    <n v="3.15E-2"/>
    <n v="0"/>
    <n v="3.15E-2"/>
    <n v="0"/>
    <n v="1"/>
    <n v="0"/>
    <n v="1"/>
    <n v="0"/>
    <n v="100"/>
    <n v="0"/>
    <s v="Consolidation"/>
    <s v="CO2e and Base Measure"/>
    <n v="100"/>
    <n v="100"/>
    <n v="0.03"/>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09-01T00:00:00"/>
    <s v="FY21"/>
    <s v="t"/>
    <n v="0"/>
    <n v="0.126"/>
    <n v="0"/>
    <n v="0.126"/>
    <n v="0"/>
    <n v="4"/>
    <n v="0"/>
    <n v="4"/>
    <n v="0"/>
    <n v="100"/>
    <n v="0"/>
    <s v="Consolidation"/>
    <s v="CO2e and Base Measure"/>
    <n v="100"/>
    <n v="100"/>
    <n v="0.13"/>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11-01T00:00:00"/>
    <s v="FY21"/>
    <s v="t"/>
    <n v="0"/>
    <n v="9.4500000000000001E-2"/>
    <n v="0"/>
    <n v="9.4500000000000001E-2"/>
    <n v="0"/>
    <n v="3"/>
    <n v="0"/>
    <n v="3"/>
    <n v="0"/>
    <n v="100"/>
    <n v="0"/>
    <s v="Consolidation"/>
    <s v="CO2e and Base Measure"/>
    <n v="100"/>
    <n v="100"/>
    <n v="0.09"/>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1-01-01T00:00:00"/>
    <s v="FY21"/>
    <s v="t"/>
    <n v="0"/>
    <n v="0"/>
    <n v="2.7000000000000001E-3"/>
    <n v="2.7000000000000001E-3"/>
    <n v="0"/>
    <n v="0"/>
    <n v="1"/>
    <n v="1"/>
    <n v="0"/>
    <n v="0"/>
    <n v="100"/>
    <s v="Consolidation"/>
    <s v="CO2e and Base Measure"/>
    <n v="100"/>
    <n v="100"/>
    <n v="0"/>
    <m/>
    <m/>
    <m/>
    <m/>
    <m/>
    <m/>
    <n v="0"/>
    <m/>
    <m/>
    <m/>
    <m/>
    <m/>
    <m/>
    <s v="AUD"/>
    <s v="13564605Waste Recycled - Cardboard [t]"/>
    <n v="13564605"/>
  </r>
  <r>
    <d v="2019-07-01T00:00:00"/>
    <d v="2021-06-30T00:00:00"/>
    <s v="Telstra"/>
    <s v="NETWORK"/>
    <s v="Network - InfraCo"/>
    <s v="NSW"/>
    <s v="Australia"/>
    <s v="Chatswood"/>
    <s v="CHATSWOOD EXCHANGE"/>
    <n v="423030335500"/>
    <s v="Recycled Waste"/>
    <x v="0"/>
    <x v="1"/>
    <s v="Account"/>
    <s v="Remondis Electrical Comp. (E-Waste)"/>
    <m/>
    <s v="423030335500_RELECTRIC"/>
    <s v="ELECTRICAL COMP. E-WASTE"/>
    <s v="Remondis"/>
    <m/>
    <m/>
    <d v="2021-01-01T00:00:00"/>
    <d v="2020-09-01T00:00:00"/>
    <s v="FY21"/>
    <s v="t"/>
    <n v="0.44"/>
    <n v="0"/>
    <n v="0"/>
    <n v="0.44"/>
    <n v="1"/>
    <n v="0"/>
    <n v="0"/>
    <n v="1"/>
    <n v="100"/>
    <n v="0"/>
    <n v="0"/>
    <s v="Consolidation"/>
    <s v="CO2e and Base Measure"/>
    <n v="100"/>
    <n v="100"/>
    <n v="0.44"/>
    <m/>
    <m/>
    <m/>
    <m/>
    <m/>
    <m/>
    <m/>
    <m/>
    <m/>
    <m/>
    <m/>
    <m/>
    <m/>
    <s v="AUD"/>
    <s v="13564606Waste Recycled - E-waste [t]"/>
    <n v="13564606"/>
  </r>
  <r>
    <d v="2019-07-01T00:00:00"/>
    <d v="2021-06-30T00:00:00"/>
    <s v="Telstra"/>
    <s v="NETWORK"/>
    <s v="Network - InfraCo"/>
    <s v="NSW"/>
    <s v="Australia"/>
    <s v="Chatswood"/>
    <s v="CHATSWOOD EXCHANGE"/>
    <n v="423030335500"/>
    <s v="Recycled Waste"/>
    <x v="0"/>
    <x v="1"/>
    <s v="Account"/>
    <s v="Remondis Electrical Comp. (E-Waste)"/>
    <m/>
    <s v="423030335500_RELECTRIC"/>
    <s v="ELECTRICAL COMP. E-WASTE"/>
    <s v="Remondis"/>
    <m/>
    <m/>
    <d v="2021-01-01T00:00:00"/>
    <d v="2020-12-01T00:00:00"/>
    <s v="FY21"/>
    <s v="t"/>
    <n v="1.36"/>
    <n v="0"/>
    <n v="0"/>
    <n v="1.36"/>
    <n v="2"/>
    <n v="0"/>
    <n v="0"/>
    <n v="2"/>
    <n v="100"/>
    <n v="0"/>
    <n v="0"/>
    <s v="Consolidation"/>
    <s v="CO2e and Base Measure"/>
    <n v="100"/>
    <n v="100"/>
    <n v="1.36"/>
    <m/>
    <m/>
    <m/>
    <m/>
    <m/>
    <m/>
    <m/>
    <m/>
    <m/>
    <m/>
    <m/>
    <m/>
    <m/>
    <s v="AUD"/>
    <s v="13564606Waste Recycled - E-waste [t]"/>
    <n v="13564606"/>
  </r>
  <r>
    <d v="2019-07-01T00:00:00"/>
    <d v="2021-06-30T00:00:00"/>
    <s v="Telstra"/>
    <s v="NETWORK"/>
    <s v="Network - InfraCo"/>
    <s v="NSW"/>
    <s v="Australia"/>
    <s v="Chatswood"/>
    <s v="CHATSWOOD EXCHANGE"/>
    <n v="423030335500"/>
    <s v="Recycled Waste"/>
    <x v="0"/>
    <x v="1"/>
    <s v="Account"/>
    <s v="Remondis Electrical Comp. (E-Waste)"/>
    <m/>
    <s v="423030335500_RELECTRIC"/>
    <s v="ELECTRICAL COMP. E-WASTE"/>
    <s v="Remondis"/>
    <m/>
    <m/>
    <d v="2021-01-01T00:00:00"/>
    <d v="2021-01-01T00:00:00"/>
    <s v="FY21"/>
    <s v="t"/>
    <n v="0"/>
    <n v="0"/>
    <n v="1.14E-2"/>
    <n v="1.14E-2"/>
    <n v="0"/>
    <n v="0"/>
    <n v="1"/>
    <n v="1"/>
    <n v="0"/>
    <n v="0"/>
    <n v="100"/>
    <s v="Consolidation"/>
    <s v="CO2e and Base Measure"/>
    <n v="100"/>
    <n v="100"/>
    <n v="0.01"/>
    <m/>
    <m/>
    <m/>
    <m/>
    <m/>
    <m/>
    <m/>
    <m/>
    <m/>
    <m/>
    <m/>
    <m/>
    <m/>
    <s v="AUD"/>
    <s v="13564606Waste Recycled - E-waste [t]"/>
    <n v="13564606"/>
  </r>
  <r>
    <d v="2019-07-01T00:00:00"/>
    <d v="2021-06-30T00:00:00"/>
    <s v="Telstra"/>
    <s v="NETWORK"/>
    <s v="Network - InfraCo"/>
    <s v="NSW"/>
    <s v="Australia"/>
    <s v="Chatswood"/>
    <s v="CHATSWOOD EXCHANGE"/>
    <n v="423030335500"/>
    <s v="Recycled Waste"/>
    <x v="0"/>
    <x v="1"/>
    <s v="Account"/>
    <s v="Remondis Fluoro Tubes - Recycled"/>
    <m/>
    <s v="423030335500_RFLUORO"/>
    <s v="FLUORO TUBES - RECYCLED"/>
    <s v="Remondis"/>
    <m/>
    <m/>
    <d v="2020-08-01T00:00:00"/>
    <d v="2020-07-01T00:00:00"/>
    <s v="FY21"/>
    <s v="t"/>
    <n v="0"/>
    <n v="0.04"/>
    <n v="0"/>
    <n v="0.04"/>
    <n v="0"/>
    <n v="1"/>
    <n v="0"/>
    <n v="1"/>
    <n v="0"/>
    <n v="100"/>
    <n v="0"/>
    <s v="Consolidation"/>
    <s v="CO2e and Base Measure"/>
    <n v="100"/>
    <n v="100"/>
    <n v="0.04"/>
    <m/>
    <m/>
    <m/>
    <m/>
    <m/>
    <m/>
    <m/>
    <m/>
    <m/>
    <m/>
    <m/>
    <m/>
    <m/>
    <s v="AUD"/>
    <s v="13564607Waste Recycled - E-waste [t]"/>
    <n v="13564607"/>
  </r>
  <r>
    <d v="2019-07-01T00:00:00"/>
    <d v="2021-06-30T00:00:00"/>
    <s v="Telstra"/>
    <s v="NETWORK"/>
    <s v="Network - InfraCo"/>
    <s v="NSW"/>
    <s v="Australia"/>
    <s v="Chatswood"/>
    <s v="CHATSWOOD EXCHANGE"/>
    <n v="423030335500"/>
    <s v="Recycled Waste"/>
    <x v="0"/>
    <x v="1"/>
    <s v="Account"/>
    <s v="Remondis Fluoro Tubes - Recycled"/>
    <m/>
    <s v="423030335500_RFLUORO"/>
    <s v="FLUORO TUBES - RECYCLED"/>
    <s v="Remondis"/>
    <m/>
    <m/>
    <d v="2020-08-01T00:00:00"/>
    <d v="2020-08-01T00:00:00"/>
    <s v="FY21"/>
    <s v="t"/>
    <n v="0"/>
    <n v="0"/>
    <n v="1.2999999999999999E-3"/>
    <n v="1.2999999999999999E-3"/>
    <n v="0"/>
    <n v="0"/>
    <n v="1"/>
    <n v="1"/>
    <n v="0"/>
    <n v="0"/>
    <n v="100"/>
    <s v="Consolidation"/>
    <s v="CO2e and Base Measure"/>
    <n v="100"/>
    <n v="100"/>
    <n v="0"/>
    <m/>
    <m/>
    <m/>
    <m/>
    <m/>
    <m/>
    <m/>
    <m/>
    <m/>
    <m/>
    <m/>
    <m/>
    <m/>
    <s v="AUD"/>
    <s v="13564607Waste Recycled - E-waste [t]"/>
    <n v="13564607"/>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07-01T00:00:00"/>
    <s v="FY21"/>
    <s v="t"/>
    <n v="0.3"/>
    <n v="0"/>
    <n v="0"/>
    <n v="0.3"/>
    <n v="4"/>
    <n v="0"/>
    <n v="0"/>
    <n v="4"/>
    <n v="100"/>
    <n v="0"/>
    <n v="0"/>
    <s v="Consolidation"/>
    <s v="CO2e and Base Measure"/>
    <n v="100"/>
    <n v="100"/>
    <n v="0.3"/>
    <m/>
    <m/>
    <m/>
    <m/>
    <m/>
    <n v="0.39"/>
    <m/>
    <n v="0.39"/>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08-01T00:00:00"/>
    <s v="FY21"/>
    <s v="t"/>
    <n v="0.54"/>
    <n v="0"/>
    <n v="0"/>
    <n v="0.54"/>
    <n v="5"/>
    <n v="0"/>
    <n v="0"/>
    <n v="5"/>
    <n v="100"/>
    <n v="0"/>
    <n v="0"/>
    <s v="Consolidation"/>
    <s v="CO2e and Base Measure"/>
    <n v="100"/>
    <n v="100"/>
    <n v="0.54"/>
    <m/>
    <m/>
    <m/>
    <m/>
    <m/>
    <n v="0.70199999999999996"/>
    <m/>
    <n v="0.70199999999999996"/>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09-01T00:00:00"/>
    <s v="FY21"/>
    <s v="t"/>
    <n v="0.28000000000000003"/>
    <n v="0"/>
    <n v="0"/>
    <n v="0.28000000000000003"/>
    <n v="4"/>
    <n v="0"/>
    <n v="0"/>
    <n v="4"/>
    <n v="100"/>
    <n v="0"/>
    <n v="0"/>
    <s v="Consolidation"/>
    <s v="CO2e and Base Measure"/>
    <n v="100"/>
    <n v="100"/>
    <n v="0.28000000000000003"/>
    <m/>
    <m/>
    <m/>
    <m/>
    <m/>
    <n v="0.36399999999999999"/>
    <m/>
    <n v="0.36399999999999999"/>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10-01T00:00:00"/>
    <s v="FY21"/>
    <s v="t"/>
    <n v="0.24"/>
    <n v="0"/>
    <n v="0"/>
    <n v="0.24"/>
    <n v="4"/>
    <n v="0"/>
    <n v="0"/>
    <n v="4"/>
    <n v="100"/>
    <n v="0"/>
    <n v="0"/>
    <s v="Consolidation"/>
    <s v="CO2e and Base Measure"/>
    <n v="100"/>
    <n v="100"/>
    <n v="0.24"/>
    <m/>
    <m/>
    <m/>
    <m/>
    <m/>
    <n v="0.312"/>
    <m/>
    <n v="0.312"/>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11-01T00:00:00"/>
    <s v="FY21"/>
    <s v="t"/>
    <n v="0.35"/>
    <n v="0"/>
    <n v="0"/>
    <n v="0.35"/>
    <n v="5"/>
    <n v="0"/>
    <n v="0"/>
    <n v="5"/>
    <n v="100"/>
    <n v="0"/>
    <n v="0"/>
    <s v="Consolidation"/>
    <s v="CO2e and Base Measure"/>
    <n v="100"/>
    <n v="100"/>
    <n v="0.35"/>
    <m/>
    <m/>
    <m/>
    <m/>
    <m/>
    <n v="0.45500000000000002"/>
    <m/>
    <n v="0.45500000000000002"/>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1-01-01T00:00:00"/>
    <s v="FY21"/>
    <s v="t"/>
    <n v="0"/>
    <n v="0"/>
    <n v="1.24E-2"/>
    <n v="1.24E-2"/>
    <n v="0"/>
    <n v="0"/>
    <n v="1"/>
    <n v="1"/>
    <n v="0"/>
    <n v="0"/>
    <n v="100"/>
    <s v="Consolidation"/>
    <s v="CO2e and Base Measure"/>
    <n v="100"/>
    <n v="100"/>
    <n v="0.01"/>
    <m/>
    <m/>
    <m/>
    <m/>
    <m/>
    <n v="1.61E-2"/>
    <m/>
    <n v="1.61E-2"/>
    <m/>
    <m/>
    <m/>
    <m/>
    <m/>
    <s v="AUD"/>
    <s v="13564608Waste - General [t] - Scope 3"/>
    <n v="13564608"/>
  </r>
  <r>
    <d v="2019-07-01T00:00:00"/>
    <d v="2021-06-30T00:00:00"/>
    <s v="Telstra"/>
    <s v="NETWORK"/>
    <s v="Network - InfraCo"/>
    <s v="NSW"/>
    <s v="Australia"/>
    <s v="Chatswood"/>
    <s v="CHATSWOOD EXCHANGE"/>
    <n v="423030335500"/>
    <s v="Recycled Waste"/>
    <x v="0"/>
    <x v="5"/>
    <s v="Account"/>
    <s v="Remondis Metal - Mixed All"/>
    <m/>
    <s v="423030335500_RMETMIXED"/>
    <s v="METAL - MIXED ALL"/>
    <s v="Remondis"/>
    <m/>
    <m/>
    <d v="2020-07-01T00:00:00"/>
    <d v="2020-07-01T00:00:00"/>
    <s v="FY21"/>
    <s v="t"/>
    <n v="0"/>
    <n v="0"/>
    <n v="3.9300000000000002E-2"/>
    <n v="3.9300000000000002E-2"/>
    <n v="0"/>
    <n v="0"/>
    <n v="1"/>
    <n v="1"/>
    <n v="0"/>
    <n v="0"/>
    <n v="100"/>
    <s v="Consolidation"/>
    <s v="CO2e and Base Measure"/>
    <n v="100"/>
    <n v="100"/>
    <n v="0.04"/>
    <m/>
    <m/>
    <m/>
    <m/>
    <m/>
    <m/>
    <m/>
    <m/>
    <m/>
    <m/>
    <m/>
    <m/>
    <m/>
    <s v="AUD"/>
    <s v="13564609Waste Recycled - Construction and Demolition [t]"/>
    <n v="13564609"/>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0-11-01T00:00:00"/>
    <s v="FY21"/>
    <s v="t"/>
    <n v="2.7E-2"/>
    <n v="0"/>
    <n v="0"/>
    <n v="2.7E-2"/>
    <n v="1"/>
    <n v="0"/>
    <n v="0"/>
    <n v="1"/>
    <n v="100"/>
    <n v="0"/>
    <n v="0"/>
    <s v="Consolidation"/>
    <s v="CO2e and Base Measure"/>
    <n v="100"/>
    <n v="100"/>
    <n v="0.03"/>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0-12-01T00:00:00"/>
    <s v="FY21"/>
    <s v="t"/>
    <n v="0"/>
    <n v="0"/>
    <n v="9.2999999999999992E-3"/>
    <n v="9.2999999999999992E-3"/>
    <n v="0"/>
    <n v="0"/>
    <n v="31"/>
    <n v="31"/>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1"/>
    <s v="Account"/>
    <s v="Remondis Metal - Copper"/>
    <m/>
    <s v="423030335500_RMETCOPPR"/>
    <s v="METAL - COPPER"/>
    <s v="Remondis"/>
    <m/>
    <d v="2020-07-16T00:00:00"/>
    <d v="2021-01-01T00:00:00"/>
    <d v="2020-07-01T00:00:00"/>
    <s v="FY21"/>
    <s v="t"/>
    <n v="0.68100000000000005"/>
    <n v="0"/>
    <n v="0"/>
    <n v="0.68100000000000005"/>
    <n v="1"/>
    <n v="0"/>
    <n v="0"/>
    <n v="1"/>
    <n v="100"/>
    <n v="0"/>
    <n v="0"/>
    <s v="Consolidation"/>
    <s v="CO2e and Base Measure"/>
    <n v="100"/>
    <n v="100"/>
    <n v="0.68"/>
    <m/>
    <m/>
    <m/>
    <m/>
    <m/>
    <m/>
    <m/>
    <m/>
    <m/>
    <m/>
    <m/>
    <m/>
    <m/>
    <s v="AUD"/>
    <s v="13629338Waste Recycled - E-waste [t]"/>
    <n v="13629338"/>
  </r>
  <r>
    <d v="2019-07-01T00:00:00"/>
    <d v="2021-06-30T00:00:00"/>
    <s v="Telstra"/>
    <s v="NETWORK"/>
    <s v="Network - InfraCo"/>
    <s v="NSW"/>
    <s v="Australia"/>
    <s v="Chatswood"/>
    <s v="CHATSWOOD EXCHANGE"/>
    <n v="423030335500"/>
    <s v="Recycled Waste"/>
    <x v="0"/>
    <x v="1"/>
    <s v="Account"/>
    <s v="Remondis Metal - Copper"/>
    <m/>
    <s v="423030335500_RMETCOPPR"/>
    <s v="METAL - COPPER"/>
    <s v="Remondis"/>
    <m/>
    <d v="2020-07-16T00:00:00"/>
    <d v="2021-01-01T00:00:00"/>
    <d v="2020-12-01T00:00:00"/>
    <s v="FY21"/>
    <s v="t"/>
    <n v="0.12"/>
    <n v="0"/>
    <n v="0"/>
    <n v="0.12"/>
    <n v="1"/>
    <n v="0"/>
    <n v="0"/>
    <n v="1"/>
    <n v="100"/>
    <n v="0"/>
    <n v="0"/>
    <s v="Consolidation"/>
    <s v="CO2e and Base Measure"/>
    <n v="100"/>
    <n v="100"/>
    <n v="0.12"/>
    <m/>
    <m/>
    <m/>
    <m/>
    <m/>
    <m/>
    <m/>
    <m/>
    <m/>
    <m/>
    <m/>
    <m/>
    <m/>
    <s v="AUD"/>
    <s v="13629338Waste Recycled - E-waste [t]"/>
    <n v="13629338"/>
  </r>
  <r>
    <d v="2019-07-01T00:00:00"/>
    <d v="2021-06-30T00:00:00"/>
    <s v="Telstra"/>
    <s v="NETWORK"/>
    <s v="Network - InfraCo"/>
    <s v="NSW"/>
    <s v="Australia"/>
    <s v="Chatswood"/>
    <s v="CHATSWOOD EXCHANGE"/>
    <n v="423030335500"/>
    <s v="Recycled Waste"/>
    <x v="0"/>
    <x v="1"/>
    <s v="Account"/>
    <s v="Remondis Metal - Copper"/>
    <m/>
    <s v="423030335500_RMETCOPPR"/>
    <s v="METAL - COPPER"/>
    <s v="Remondis"/>
    <m/>
    <d v="2020-07-16T00:00:00"/>
    <d v="2021-01-01T00:00:00"/>
    <d v="2021-01-01T00:00:00"/>
    <s v="FY21"/>
    <s v="t"/>
    <n v="0"/>
    <n v="0"/>
    <n v="4.4000000000000003E-3"/>
    <n v="4.4000000000000003E-3"/>
    <n v="0"/>
    <n v="0"/>
    <n v="1"/>
    <n v="1"/>
    <n v="0"/>
    <n v="0"/>
    <n v="100"/>
    <s v="Consolidation"/>
    <s v="CO2e and Base Measure"/>
    <n v="100"/>
    <n v="100"/>
    <n v="0"/>
    <m/>
    <m/>
    <m/>
    <m/>
    <m/>
    <m/>
    <m/>
    <m/>
    <m/>
    <m/>
    <m/>
    <m/>
    <m/>
    <s v="AUD"/>
    <s v="13629338Waste Recycled - E-waste [t]"/>
    <n v="13629338"/>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0-12-01T00:00:00"/>
    <s v="FY21"/>
    <s v="t"/>
    <n v="0"/>
    <n v="0.19800000000000001"/>
    <n v="0"/>
    <n v="0.19800000000000001"/>
    <n v="0"/>
    <n v="4"/>
    <n v="0"/>
    <n v="4"/>
    <n v="0"/>
    <n v="100"/>
    <n v="0"/>
    <s v="Consolidation"/>
    <s v="CO2e and Base Measure"/>
    <n v="100"/>
    <n v="100"/>
    <n v="0.2"/>
    <m/>
    <m/>
    <m/>
    <m/>
    <m/>
    <n v="0.25740000000000002"/>
    <m/>
    <n v="0.25740000000000002"/>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1-01T00:00:00"/>
    <s v="FY21"/>
    <s v="t"/>
    <n v="0"/>
    <n v="0.14849999999999999"/>
    <n v="0"/>
    <n v="0.14849999999999999"/>
    <n v="0"/>
    <n v="3"/>
    <n v="0"/>
    <n v="3"/>
    <n v="0"/>
    <n v="100"/>
    <n v="0"/>
    <s v="Consolidation"/>
    <s v="CO2e and Base Measure"/>
    <n v="100"/>
    <n v="100"/>
    <n v="0.15"/>
    <m/>
    <m/>
    <m/>
    <m/>
    <m/>
    <n v="0.19309999999999999"/>
    <m/>
    <n v="0.19309999999999999"/>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2-01T00:00:00"/>
    <s v="FY21"/>
    <s v="t"/>
    <n v="0"/>
    <n v="0.19800000000000001"/>
    <n v="0"/>
    <n v="0.19800000000000001"/>
    <n v="0"/>
    <n v="4"/>
    <n v="0"/>
    <n v="4"/>
    <n v="0"/>
    <n v="100"/>
    <n v="0"/>
    <s v="Consolidation"/>
    <s v="CO2e and Base Measure"/>
    <n v="100"/>
    <n v="100"/>
    <n v="0.2"/>
    <m/>
    <m/>
    <m/>
    <m/>
    <m/>
    <n v="0.25740000000000002"/>
    <m/>
    <n v="0.25740000000000002"/>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3-01T00:00:00"/>
    <s v="FY21"/>
    <s v="t"/>
    <n v="0"/>
    <n v="0.44550000000000001"/>
    <n v="0"/>
    <n v="0.44550000000000001"/>
    <n v="0"/>
    <n v="5"/>
    <n v="0"/>
    <n v="5"/>
    <n v="0"/>
    <n v="100"/>
    <n v="0"/>
    <s v="Consolidation"/>
    <s v="CO2e and Base Measure"/>
    <n v="100"/>
    <n v="100"/>
    <n v="0.45"/>
    <m/>
    <m/>
    <m/>
    <m/>
    <m/>
    <n v="0.57920000000000005"/>
    <m/>
    <n v="0.57920000000000005"/>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4-01T00:00:00"/>
    <s v="FY21"/>
    <s v="t"/>
    <n v="0"/>
    <n v="0"/>
    <n v="0.249"/>
    <n v="0.249"/>
    <n v="0"/>
    <n v="0"/>
    <n v="30"/>
    <n v="30"/>
    <n v="0"/>
    <n v="0"/>
    <n v="100"/>
    <s v="Consolidation"/>
    <s v="CO2e and Base Measure"/>
    <n v="100"/>
    <n v="100"/>
    <n v="0.25"/>
    <m/>
    <m/>
    <m/>
    <m/>
    <m/>
    <n v="0.32369999999999999"/>
    <m/>
    <n v="0.32369999999999999"/>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5-01T00:00:00"/>
    <s v="FY21"/>
    <s v="t"/>
    <n v="0"/>
    <n v="0"/>
    <n v="0.25729999999999997"/>
    <n v="0.25729999999999997"/>
    <n v="0"/>
    <n v="0"/>
    <n v="31"/>
    <n v="31"/>
    <n v="0"/>
    <n v="0"/>
    <n v="100"/>
    <s v="Consolidation"/>
    <s v="CO2e and Base Measure"/>
    <n v="100"/>
    <n v="100"/>
    <n v="0.26"/>
    <m/>
    <m/>
    <m/>
    <m/>
    <m/>
    <n v="0.33450000000000002"/>
    <m/>
    <n v="0.33450000000000002"/>
    <m/>
    <m/>
    <m/>
    <m/>
    <m/>
    <s v="AUD"/>
    <s v="13634064Waste - General [t] - Scope 3"/>
    <n v="13634064"/>
  </r>
  <r>
    <d v="2019-07-01T00:00:00"/>
    <d v="2021-06-30T00:00:00"/>
    <s v="Telstra"/>
    <s v="NETWORK"/>
    <s v="Network - InfraCo"/>
    <s v="VIC"/>
    <s v="Australia"/>
    <s v="Cheltenham"/>
    <s v="CHELTENHAM EXCHANGE"/>
    <n v="423030713200"/>
    <s v="Recycled Waste"/>
    <x v="0"/>
    <x v="0"/>
    <s v="Account"/>
    <s v="Remondis Cardboard - Loose - Recycled"/>
    <m/>
    <s v="423030713200_RCARDBOAR"/>
    <s v="CARDBOARD - LOOSE - RECYCLED"/>
    <s v="Remondis"/>
    <m/>
    <m/>
    <d v="2020-10-01T00:00:00"/>
    <d v="2020-07-01T00:00:00"/>
    <s v="FY21"/>
    <s v="t"/>
    <n v="0"/>
    <n v="0.126"/>
    <n v="0"/>
    <n v="0.126"/>
    <n v="0"/>
    <n v="2"/>
    <n v="0"/>
    <n v="2"/>
    <n v="0"/>
    <n v="100"/>
    <n v="0"/>
    <s v="Consolidation"/>
    <s v="CO2e and Base Measure"/>
    <n v="100"/>
    <n v="100"/>
    <n v="0.13"/>
    <m/>
    <m/>
    <m/>
    <m/>
    <m/>
    <m/>
    <n v="0"/>
    <m/>
    <m/>
    <m/>
    <m/>
    <m/>
    <m/>
    <s v="AUD"/>
    <s v="13565136Waste Recycled - Cardboard [t]"/>
    <n v="13565136"/>
  </r>
  <r>
    <d v="2019-07-01T00:00:00"/>
    <d v="2021-06-30T00:00:00"/>
    <s v="Telstra"/>
    <s v="NETWORK"/>
    <s v="Network - InfraCo"/>
    <s v="VIC"/>
    <s v="Australia"/>
    <s v="Cheltenham"/>
    <s v="CHELTENHAM EXCHANGE"/>
    <n v="423030713200"/>
    <s v="Recycled Waste"/>
    <x v="0"/>
    <x v="0"/>
    <s v="Account"/>
    <s v="Remondis Cardboard - Loose - Recycled"/>
    <m/>
    <s v="423030713200_RCARDBOAR"/>
    <s v="CARDBOARD - LOOSE - RECYCLED"/>
    <s v="Remondis"/>
    <m/>
    <m/>
    <d v="2020-10-01T00:00:00"/>
    <d v="2020-08-01T00:00:00"/>
    <s v="FY21"/>
    <s v="t"/>
    <n v="0"/>
    <n v="0.126"/>
    <n v="0"/>
    <n v="0.126"/>
    <n v="0"/>
    <n v="2"/>
    <n v="0"/>
    <n v="2"/>
    <n v="0"/>
    <n v="100"/>
    <n v="0"/>
    <s v="Consolidation"/>
    <s v="CO2e and Base Measure"/>
    <n v="100"/>
    <n v="100"/>
    <n v="0.13"/>
    <m/>
    <m/>
    <m/>
    <m/>
    <m/>
    <m/>
    <n v="0"/>
    <m/>
    <m/>
    <m/>
    <m/>
    <m/>
    <m/>
    <s v="AUD"/>
    <s v="13565136Waste Recycled - Cardboard [t]"/>
    <n v="13565136"/>
  </r>
  <r>
    <d v="2019-07-01T00:00:00"/>
    <d v="2021-06-30T00:00:00"/>
    <s v="Telstra"/>
    <s v="NETWORK"/>
    <s v="Network - InfraCo"/>
    <s v="VIC"/>
    <s v="Australia"/>
    <s v="Cheltenham"/>
    <s v="CHELTENHAM EXCHANGE"/>
    <n v="423030713200"/>
    <s v="Recycled Waste"/>
    <x v="0"/>
    <x v="0"/>
    <s v="Account"/>
    <s v="Remondis Cardboard - Loose - Recycled"/>
    <m/>
    <s v="423030713200_RCARDBOAR"/>
    <s v="CARDBOARD - LOOSE - RECYCLED"/>
    <s v="Remondis"/>
    <m/>
    <m/>
    <d v="2020-10-01T00:00:00"/>
    <d v="2020-09-01T00:00:00"/>
    <s v="FY21"/>
    <s v="t"/>
    <n v="0"/>
    <n v="0.189"/>
    <n v="0"/>
    <n v="0.189"/>
    <n v="0"/>
    <n v="3"/>
    <n v="0"/>
    <n v="3"/>
    <n v="0"/>
    <n v="100"/>
    <n v="0"/>
    <s v="Consolidation"/>
    <s v="CO2e and Base Measure"/>
    <n v="100"/>
    <n v="100"/>
    <n v="0.19"/>
    <m/>
    <m/>
    <m/>
    <m/>
    <m/>
    <m/>
    <n v="0"/>
    <m/>
    <m/>
    <m/>
    <m/>
    <m/>
    <m/>
    <s v="AUD"/>
    <s v="13565136Waste Recycled - Cardboard [t]"/>
    <n v="13565136"/>
  </r>
  <r>
    <d v="2019-07-01T00:00:00"/>
    <d v="2021-06-30T00:00:00"/>
    <s v="Telstra"/>
    <s v="NETWORK"/>
    <s v="Network - InfraCo"/>
    <s v="VIC"/>
    <s v="Australia"/>
    <s v="Cheltenham"/>
    <s v="CHELTENHAM EXCHANGE"/>
    <n v="423030713200"/>
    <s v="Recycled Waste"/>
    <x v="0"/>
    <x v="0"/>
    <s v="Account"/>
    <s v="Remondis Cardboard - Loose - Recycled"/>
    <m/>
    <s v="423030713200_RCARDBOAR"/>
    <s v="CARDBOARD - LOOSE - RECYCLED"/>
    <s v="Remondis"/>
    <m/>
    <m/>
    <d v="2020-10-01T00:00:00"/>
    <d v="2020-10-01T00:00:00"/>
    <s v="FY21"/>
    <s v="t"/>
    <n v="0"/>
    <n v="0"/>
    <n v="4.7000000000000002E-3"/>
    <n v="4.7000000000000002E-3"/>
    <n v="0"/>
    <n v="0"/>
    <n v="1"/>
    <n v="1"/>
    <n v="0"/>
    <n v="0"/>
    <n v="100"/>
    <s v="Consolidation"/>
    <s v="CO2e and Base Measure"/>
    <n v="100"/>
    <n v="100"/>
    <n v="0"/>
    <m/>
    <m/>
    <m/>
    <m/>
    <m/>
    <m/>
    <n v="0"/>
    <m/>
    <m/>
    <m/>
    <m/>
    <m/>
    <m/>
    <s v="AUD"/>
    <s v="13565136Waste Recycled - Cardboard [t]"/>
    <n v="13565136"/>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07-01T00:00:00"/>
    <s v="FY21"/>
    <s v="t"/>
    <n v="0.245"/>
    <n v="0"/>
    <n v="0"/>
    <n v="0.245"/>
    <n v="1"/>
    <n v="0"/>
    <n v="0"/>
    <n v="1"/>
    <n v="100"/>
    <n v="0"/>
    <n v="0"/>
    <s v="Consolidation"/>
    <s v="CO2e and Base Measure"/>
    <n v="100"/>
    <n v="100"/>
    <n v="0.25"/>
    <m/>
    <m/>
    <m/>
    <m/>
    <m/>
    <n v="0.31850000000000001"/>
    <m/>
    <n v="0.31850000000000001"/>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08-01T00:00:00"/>
    <s v="FY21"/>
    <s v="t"/>
    <n v="0.47"/>
    <n v="0"/>
    <n v="0"/>
    <n v="0.47"/>
    <n v="2"/>
    <n v="0"/>
    <n v="0"/>
    <n v="2"/>
    <n v="100"/>
    <n v="0"/>
    <n v="0"/>
    <s v="Consolidation"/>
    <s v="CO2e and Base Measure"/>
    <n v="100"/>
    <n v="100"/>
    <n v="0.47"/>
    <m/>
    <m/>
    <m/>
    <m/>
    <m/>
    <n v="0.61099999999999999"/>
    <m/>
    <n v="0.61099999999999999"/>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09-01T00:00:00"/>
    <s v="FY21"/>
    <s v="t"/>
    <n v="0.39"/>
    <n v="0"/>
    <n v="0"/>
    <n v="0.39"/>
    <n v="3"/>
    <n v="0"/>
    <n v="0"/>
    <n v="3"/>
    <n v="100"/>
    <n v="0"/>
    <n v="0"/>
    <s v="Consolidation"/>
    <s v="CO2e and Base Measure"/>
    <n v="100"/>
    <n v="100"/>
    <n v="0.39"/>
    <m/>
    <m/>
    <m/>
    <m/>
    <m/>
    <n v="0.50700000000000001"/>
    <m/>
    <n v="0.50700000000000001"/>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10-01T00:00:00"/>
    <s v="FY21"/>
    <s v="t"/>
    <n v="0.20499999999999999"/>
    <n v="0"/>
    <n v="0"/>
    <n v="0.20499999999999999"/>
    <n v="2"/>
    <n v="0"/>
    <n v="0"/>
    <n v="2"/>
    <n v="100"/>
    <n v="0"/>
    <n v="0"/>
    <s v="Consolidation"/>
    <s v="CO2e and Base Measure"/>
    <n v="100"/>
    <n v="100"/>
    <n v="0.21"/>
    <m/>
    <m/>
    <m/>
    <m/>
    <m/>
    <n v="0.26650000000000001"/>
    <m/>
    <n v="0.26650000000000001"/>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11-01T00:00:00"/>
    <s v="FY21"/>
    <s v="t"/>
    <n v="9.5000000000000001E-2"/>
    <n v="0"/>
    <n v="0"/>
    <n v="9.5000000000000001E-2"/>
    <n v="1"/>
    <n v="0"/>
    <n v="0"/>
    <n v="1"/>
    <n v="100"/>
    <n v="0"/>
    <n v="0"/>
    <s v="Consolidation"/>
    <s v="CO2e and Base Measure"/>
    <n v="100"/>
    <n v="100"/>
    <n v="0.1"/>
    <m/>
    <m/>
    <m/>
    <m/>
    <m/>
    <n v="0.1235"/>
    <m/>
    <n v="0.1235"/>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12-01T00:00:00"/>
    <s v="FY21"/>
    <s v="t"/>
    <n v="0"/>
    <n v="0"/>
    <n v="8.9999999999999993E-3"/>
    <n v="8.9999999999999993E-3"/>
    <n v="0"/>
    <n v="0"/>
    <n v="1"/>
    <n v="1"/>
    <n v="0"/>
    <n v="0"/>
    <n v="100"/>
    <s v="Consolidation"/>
    <s v="CO2e and Base Measure"/>
    <n v="100"/>
    <n v="100"/>
    <n v="0.01"/>
    <m/>
    <m/>
    <m/>
    <m/>
    <m/>
    <n v="1.17E-2"/>
    <m/>
    <n v="1.17E-2"/>
    <m/>
    <m/>
    <m/>
    <m/>
    <m/>
    <s v="AUD"/>
    <s v="13565137Waste - General [t] - Scope 3"/>
    <n v="13565137"/>
  </r>
  <r>
    <d v="2019-07-01T00:00:00"/>
    <d v="2021-06-30T00:00:00"/>
    <s v="Telstra"/>
    <s v="NETWORK"/>
    <s v="Network - InfraCo"/>
    <s v="VIC"/>
    <s v="Australia"/>
    <s v="Cheltenham"/>
    <s v="CHELTENHAM EXCHANGE"/>
    <n v="423030713200"/>
    <s v="Recycled Waste"/>
    <x v="0"/>
    <x v="0"/>
    <s v="Account"/>
    <s v="CLEANAWAY Cardboard"/>
    <m/>
    <s v="26037_Diversion_Cardboard"/>
    <s v="Cardboard"/>
    <s v="Cleanaway"/>
    <m/>
    <d v="2021-03-31T00:00:00"/>
    <m/>
    <d v="2021-03-01T00:00:00"/>
    <s v="FY21"/>
    <s v="t"/>
    <n v="0.69499999999999995"/>
    <n v="0"/>
    <n v="0"/>
    <n v="0.69499999999999995"/>
    <n v="1"/>
    <n v="0"/>
    <n v="0"/>
    <n v="1"/>
    <n v="100"/>
    <n v="0"/>
    <n v="0"/>
    <s v="Consolidation"/>
    <s v="CO2e and Base Measure"/>
    <n v="100"/>
    <n v="100"/>
    <n v="0.7"/>
    <m/>
    <m/>
    <m/>
    <m/>
    <m/>
    <m/>
    <m/>
    <m/>
    <m/>
    <m/>
    <m/>
    <m/>
    <m/>
    <s v="AUD"/>
    <s v="13641223Waste Recycled - Paper and Cardboard [t]"/>
    <n v="13641223"/>
  </r>
  <r>
    <d v="2019-07-01T00:00:00"/>
    <d v="2021-06-30T00:00:00"/>
    <s v="Telstra"/>
    <s v="NETWORK"/>
    <s v="Network - InfraCo"/>
    <s v="VIC"/>
    <s v="Australia"/>
    <s v="Cheltenham"/>
    <s v="CHELTENHAM EXCHANGE"/>
    <n v="423030713200"/>
    <s v="Recycled Waste"/>
    <x v="0"/>
    <x v="0"/>
    <s v="Account"/>
    <s v="CLEANAWAY Cardboard"/>
    <m/>
    <s v="26037_Diversion_Cardboard"/>
    <s v="Cardboard"/>
    <s v="Cleanaway"/>
    <m/>
    <d v="2021-03-31T00:00:00"/>
    <m/>
    <d v="2021-04-01T00:00:00"/>
    <s v="FY21"/>
    <s v="t"/>
    <n v="0"/>
    <n v="0"/>
    <n v="0.69599999999999995"/>
    <n v="0.69599999999999995"/>
    <n v="0"/>
    <n v="0"/>
    <n v="30"/>
    <n v="30"/>
    <n v="0"/>
    <n v="0"/>
    <n v="100"/>
    <s v="Consolidation"/>
    <s v="CO2e and Base Measure"/>
    <n v="100"/>
    <n v="100"/>
    <n v="0.7"/>
    <m/>
    <m/>
    <m/>
    <m/>
    <m/>
    <m/>
    <m/>
    <m/>
    <m/>
    <m/>
    <m/>
    <m/>
    <m/>
    <s v="AUD"/>
    <s v="13641223Waste Recycled - Paper and Cardboard [t]"/>
    <n v="13641223"/>
  </r>
  <r>
    <d v="2019-07-01T00:00:00"/>
    <d v="2021-06-30T00:00:00"/>
    <s v="Telstra"/>
    <s v="NETWORK"/>
    <s v="Network - InfraCo"/>
    <s v="VIC"/>
    <s v="Australia"/>
    <s v="Cheltenham"/>
    <s v="CHELTENHAM EXCHANGE"/>
    <n v="423030713200"/>
    <s v="Recycled Waste"/>
    <x v="0"/>
    <x v="0"/>
    <s v="Account"/>
    <s v="CLEANAWAY Cardboard"/>
    <m/>
    <s v="26037_Diversion_Cardboard"/>
    <s v="Cardboard"/>
    <s v="Cleanaway"/>
    <m/>
    <d v="2021-03-31T00:00:00"/>
    <m/>
    <d v="2021-05-01T00:00:00"/>
    <s v="FY21"/>
    <s v="t"/>
    <n v="0"/>
    <n v="0"/>
    <n v="0.71919999999999995"/>
    <n v="0.71919999999999995"/>
    <n v="0"/>
    <n v="0"/>
    <n v="31"/>
    <n v="31"/>
    <n v="0"/>
    <n v="0"/>
    <n v="100"/>
    <s v="Consolidation"/>
    <s v="CO2e and Base Measure"/>
    <n v="100"/>
    <n v="100"/>
    <n v="0.72"/>
    <m/>
    <m/>
    <m/>
    <m/>
    <m/>
    <m/>
    <m/>
    <m/>
    <m/>
    <m/>
    <m/>
    <m/>
    <m/>
    <s v="AUD"/>
    <s v="13641223Waste Recycled - Paper and Cardboard [t]"/>
    <n v="13641223"/>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04Waste - General [t] - Scope 3"/>
    <n v="13564104"/>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0-12-01T00:00:00"/>
    <s v="FY21"/>
    <s v="t"/>
    <n v="0"/>
    <n v="0.20250000000000001"/>
    <n v="0"/>
    <n v="0.20250000000000001"/>
    <n v="0"/>
    <n v="3"/>
    <n v="0"/>
    <n v="3"/>
    <n v="0"/>
    <n v="100"/>
    <n v="0"/>
    <s v="Consolidation"/>
    <s v="CO2e and Base Measure"/>
    <n v="100"/>
    <n v="100"/>
    <n v="0.2"/>
    <m/>
    <m/>
    <m/>
    <m/>
    <m/>
    <n v="0.26329999999999998"/>
    <m/>
    <n v="0.26329999999999998"/>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1-01T00:00:00"/>
    <s v="FY21"/>
    <s v="t"/>
    <n v="0"/>
    <n v="0.33750000000000002"/>
    <n v="0"/>
    <n v="0.33750000000000002"/>
    <n v="0"/>
    <n v="5"/>
    <n v="0"/>
    <n v="5"/>
    <n v="0"/>
    <n v="100"/>
    <n v="0"/>
    <s v="Consolidation"/>
    <s v="CO2e and Base Measure"/>
    <n v="100"/>
    <n v="100"/>
    <n v="0.34"/>
    <m/>
    <m/>
    <m/>
    <m/>
    <m/>
    <n v="0.43880000000000002"/>
    <m/>
    <n v="0.43880000000000002"/>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2-01T00:00:00"/>
    <s v="FY21"/>
    <s v="t"/>
    <n v="0"/>
    <n v="0.47249999999999998"/>
    <n v="0"/>
    <n v="0.47249999999999998"/>
    <n v="0"/>
    <n v="7"/>
    <n v="0"/>
    <n v="7"/>
    <n v="0"/>
    <n v="100"/>
    <n v="0"/>
    <s v="Consolidation"/>
    <s v="CO2e and Base Measure"/>
    <n v="100"/>
    <n v="100"/>
    <n v="0.47"/>
    <m/>
    <m/>
    <m/>
    <m/>
    <m/>
    <n v="0.61429999999999996"/>
    <m/>
    <n v="0.61429999999999996"/>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3-01T00:00:00"/>
    <s v="FY21"/>
    <s v="t"/>
    <n v="0"/>
    <n v="0.20250000000000001"/>
    <n v="0"/>
    <n v="0.20250000000000001"/>
    <n v="0"/>
    <n v="3"/>
    <n v="0"/>
    <n v="3"/>
    <n v="0"/>
    <n v="100"/>
    <n v="0"/>
    <s v="Consolidation"/>
    <s v="CO2e and Base Measure"/>
    <n v="100"/>
    <n v="100"/>
    <n v="0.2"/>
    <m/>
    <m/>
    <m/>
    <m/>
    <m/>
    <n v="0.26329999999999998"/>
    <m/>
    <n v="0.26329999999999998"/>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4-01T00:00:00"/>
    <s v="FY21"/>
    <s v="t"/>
    <n v="0"/>
    <n v="0"/>
    <n v="0.30299999999999999"/>
    <n v="0.30299999999999999"/>
    <n v="0"/>
    <n v="0"/>
    <n v="30"/>
    <n v="30"/>
    <n v="0"/>
    <n v="0"/>
    <n v="100"/>
    <s v="Consolidation"/>
    <s v="CO2e and Base Measure"/>
    <n v="100"/>
    <n v="100"/>
    <n v="0.3"/>
    <m/>
    <m/>
    <m/>
    <m/>
    <m/>
    <n v="0.39389999999999997"/>
    <m/>
    <n v="0.39389999999999997"/>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5-01T00:00:00"/>
    <s v="FY21"/>
    <s v="t"/>
    <n v="0"/>
    <n v="0"/>
    <n v="0.31309999999999999"/>
    <n v="0.31309999999999999"/>
    <n v="0"/>
    <n v="0"/>
    <n v="31"/>
    <n v="31"/>
    <n v="0"/>
    <n v="0"/>
    <n v="100"/>
    <s v="Consolidation"/>
    <s v="CO2e and Base Measure"/>
    <n v="100"/>
    <n v="100"/>
    <n v="0.31"/>
    <m/>
    <m/>
    <m/>
    <m/>
    <m/>
    <n v="0.40699999999999997"/>
    <m/>
    <n v="0.40699999999999997"/>
    <m/>
    <m/>
    <m/>
    <m/>
    <m/>
    <s v="AUD"/>
    <s v="13634408Waste - General [t] - Scope 3"/>
    <n v="13634408"/>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07-01T00:00:00"/>
    <s v="FY21"/>
    <s v="t"/>
    <n v="0.11"/>
    <n v="0"/>
    <n v="0"/>
    <n v="0.11"/>
    <n v="1"/>
    <n v="0"/>
    <n v="0"/>
    <n v="1"/>
    <n v="100"/>
    <n v="0"/>
    <n v="0"/>
    <s v="Consolidation"/>
    <s v="CO2e and Base Measure"/>
    <n v="100"/>
    <n v="100"/>
    <n v="0.11"/>
    <m/>
    <m/>
    <m/>
    <m/>
    <m/>
    <n v="0.14299999999999999"/>
    <m/>
    <n v="0.14299999999999999"/>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08-01T00:00:00"/>
    <s v="FY21"/>
    <s v="t"/>
    <n v="0.156"/>
    <n v="0"/>
    <n v="0"/>
    <n v="0.156"/>
    <n v="1"/>
    <n v="0"/>
    <n v="0"/>
    <n v="1"/>
    <n v="100"/>
    <n v="0"/>
    <n v="0"/>
    <s v="Consolidation"/>
    <s v="CO2e and Base Measure"/>
    <n v="100"/>
    <n v="100"/>
    <n v="0.16"/>
    <m/>
    <m/>
    <m/>
    <m/>
    <m/>
    <n v="0.20280000000000001"/>
    <m/>
    <n v="0.20280000000000001"/>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09-01T00:00:00"/>
    <s v="FY21"/>
    <s v="t"/>
    <n v="7.0000000000000007E-2"/>
    <n v="0"/>
    <n v="0"/>
    <n v="7.0000000000000007E-2"/>
    <n v="2"/>
    <n v="0"/>
    <n v="0"/>
    <n v="2"/>
    <n v="100"/>
    <n v="0"/>
    <n v="0"/>
    <s v="Consolidation"/>
    <s v="CO2e and Base Measure"/>
    <n v="100"/>
    <n v="100"/>
    <n v="7.0000000000000007E-2"/>
    <m/>
    <m/>
    <m/>
    <m/>
    <m/>
    <n v="9.0999999999999998E-2"/>
    <m/>
    <n v="9.0999999999999998E-2"/>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10-01T00:00:00"/>
    <s v="FY21"/>
    <s v="t"/>
    <n v="0.04"/>
    <n v="0"/>
    <n v="0"/>
    <n v="0.04"/>
    <n v="1"/>
    <n v="0"/>
    <n v="0"/>
    <n v="1"/>
    <n v="100"/>
    <n v="0"/>
    <n v="0"/>
    <s v="Consolidation"/>
    <s v="CO2e and Base Measure"/>
    <n v="100"/>
    <n v="100"/>
    <n v="0.04"/>
    <m/>
    <m/>
    <m/>
    <m/>
    <m/>
    <n v="5.1999999999999998E-2"/>
    <m/>
    <n v="5.1999999999999998E-2"/>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11-01T00:00:00"/>
    <s v="FY21"/>
    <s v="t"/>
    <n v="0.441"/>
    <n v="0"/>
    <n v="0"/>
    <n v="0.441"/>
    <n v="3"/>
    <n v="0"/>
    <n v="0"/>
    <n v="3"/>
    <n v="100"/>
    <n v="0"/>
    <n v="0"/>
    <s v="Consolidation"/>
    <s v="CO2e and Base Measure"/>
    <n v="100"/>
    <n v="100"/>
    <n v="0.44"/>
    <m/>
    <m/>
    <m/>
    <m/>
    <m/>
    <n v="0.57330000000000003"/>
    <m/>
    <n v="0.57330000000000003"/>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12-01T00:00:00"/>
    <s v="FY21"/>
    <s v="t"/>
    <n v="0"/>
    <n v="0"/>
    <n v="7.3000000000000001E-3"/>
    <n v="7.3000000000000001E-3"/>
    <n v="0"/>
    <n v="0"/>
    <n v="1"/>
    <n v="1"/>
    <n v="0"/>
    <n v="0"/>
    <n v="100"/>
    <s v="Consolidation"/>
    <s v="CO2e and Base Measure"/>
    <n v="100"/>
    <n v="100"/>
    <n v="0.01"/>
    <m/>
    <m/>
    <m/>
    <m/>
    <m/>
    <n v="9.4999999999999998E-3"/>
    <m/>
    <n v="9.4999999999999998E-3"/>
    <m/>
    <m/>
    <m/>
    <m/>
    <m/>
    <s v="AUD"/>
    <s v="13564454Waste - General [t] - Scope 3"/>
    <n v="13564454"/>
  </r>
  <r>
    <d v="2019-07-01T00:00:00"/>
    <d v="2021-06-30T00:00:00"/>
    <s v="Telstra"/>
    <s v="NETWORK"/>
    <s v="Network - InfraCo"/>
    <s v="NSW"/>
    <s v="Australia"/>
    <s v="Woodford"/>
    <s v="CITY SOUTH EXCHANGE"/>
    <n v="423030303600"/>
    <s v="Waste"/>
    <x v="1"/>
    <x v="2"/>
    <s v="Account"/>
    <s v="Remondis General Waste"/>
    <m/>
    <s v="423030303600_WGENERALW"/>
    <s v="GENERAL WASTE"/>
    <s v="Remondis"/>
    <m/>
    <m/>
    <d v="2020-10-01T00:00:00"/>
    <d v="2020-09-01T00:00:00"/>
    <s v="FY21"/>
    <s v="t"/>
    <n v="0.33200000000000002"/>
    <n v="0"/>
    <n v="0"/>
    <n v="0.33200000000000002"/>
    <n v="1"/>
    <n v="0"/>
    <n v="0"/>
    <n v="1"/>
    <n v="100"/>
    <n v="0"/>
    <n v="0"/>
    <s v="Consolidation"/>
    <s v="CO2e and Base Measure"/>
    <n v="100"/>
    <n v="100"/>
    <n v="0.33"/>
    <m/>
    <m/>
    <m/>
    <m/>
    <m/>
    <n v="0.43159999999999998"/>
    <m/>
    <n v="0.43159999999999998"/>
    <m/>
    <m/>
    <m/>
    <m/>
    <m/>
    <s v="AUD"/>
    <s v="13564456Waste - General [t] - Scope 3"/>
    <n v="13564456"/>
  </r>
  <r>
    <d v="2019-07-01T00:00:00"/>
    <d v="2021-06-30T00:00:00"/>
    <s v="Telstra"/>
    <s v="NETWORK"/>
    <s v="Network - InfraCo"/>
    <s v="NSW"/>
    <s v="Australia"/>
    <s v="Woodford"/>
    <s v="CITY SOUTH EXCHANGE"/>
    <n v="423030303600"/>
    <s v="Waste"/>
    <x v="1"/>
    <x v="2"/>
    <s v="Account"/>
    <s v="Remondis General Waste"/>
    <m/>
    <s v="423030303600_WGENERALW"/>
    <s v="GENERAL WASTE"/>
    <s v="Remondis"/>
    <m/>
    <m/>
    <d v="2020-10-01T00:00:00"/>
    <d v="2020-10-01T00:00:00"/>
    <s v="FY21"/>
    <s v="t"/>
    <n v="0"/>
    <n v="0"/>
    <n v="1.14E-2"/>
    <n v="1.14E-2"/>
    <n v="0"/>
    <n v="0"/>
    <n v="1"/>
    <n v="1"/>
    <n v="0"/>
    <n v="0"/>
    <n v="100"/>
    <s v="Consolidation"/>
    <s v="CO2e and Base Measure"/>
    <n v="100"/>
    <n v="100"/>
    <n v="0.01"/>
    <m/>
    <m/>
    <m/>
    <m/>
    <m/>
    <n v="1.4800000000000001E-2"/>
    <m/>
    <n v="1.4800000000000001E-2"/>
    <m/>
    <m/>
    <m/>
    <m/>
    <m/>
    <s v="AUD"/>
    <s v="13564456Waste - General [t] - Scope 3"/>
    <n v="13564456"/>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07-01T00:00:00"/>
    <s v="FY21"/>
    <s v="t"/>
    <n v="0"/>
    <n v="0.378"/>
    <n v="0"/>
    <n v="0.378"/>
    <n v="0"/>
    <n v="4"/>
    <n v="0"/>
    <n v="4"/>
    <n v="0"/>
    <n v="100"/>
    <n v="0"/>
    <s v="Consolidation"/>
    <s v="CO2e and Base Measure"/>
    <n v="100"/>
    <n v="100"/>
    <n v="0.38"/>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08-01T00:00:00"/>
    <s v="FY21"/>
    <s v="t"/>
    <n v="0"/>
    <n v="0.378"/>
    <n v="0"/>
    <n v="0.378"/>
    <n v="0"/>
    <n v="4"/>
    <n v="0"/>
    <n v="4"/>
    <n v="0"/>
    <n v="100"/>
    <n v="0"/>
    <s v="Consolidation"/>
    <s v="CO2e and Base Measure"/>
    <n v="100"/>
    <n v="100"/>
    <n v="0.38"/>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09-01T00:00:00"/>
    <s v="FY21"/>
    <s v="t"/>
    <n v="0"/>
    <n v="0.47249999999999998"/>
    <n v="0"/>
    <n v="0.47249999999999998"/>
    <n v="0"/>
    <n v="5"/>
    <n v="0"/>
    <n v="5"/>
    <n v="0"/>
    <n v="100"/>
    <n v="0"/>
    <s v="Consolidation"/>
    <s v="CO2e and Base Measure"/>
    <n v="100"/>
    <n v="100"/>
    <n v="0.47"/>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10-01T00:00:00"/>
    <s v="FY21"/>
    <s v="t"/>
    <n v="0"/>
    <n v="0.378"/>
    <n v="0"/>
    <n v="0.378"/>
    <n v="0"/>
    <n v="4"/>
    <n v="0"/>
    <n v="4"/>
    <n v="0"/>
    <n v="100"/>
    <n v="0"/>
    <s v="Consolidation"/>
    <s v="CO2e and Base Measure"/>
    <n v="100"/>
    <n v="100"/>
    <n v="0.38"/>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11-01T00:00:00"/>
    <s v="FY21"/>
    <s v="t"/>
    <n v="0"/>
    <n v="0.378"/>
    <n v="0"/>
    <n v="0.378"/>
    <n v="0"/>
    <n v="4"/>
    <n v="0"/>
    <n v="4"/>
    <n v="0"/>
    <n v="100"/>
    <n v="0"/>
    <s v="Consolidation"/>
    <s v="CO2e and Base Measure"/>
    <n v="100"/>
    <n v="100"/>
    <n v="0.38"/>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12-01T00:00:00"/>
    <s v="FY21"/>
    <s v="t"/>
    <n v="0"/>
    <n v="0.189"/>
    <n v="0"/>
    <n v="0.189"/>
    <n v="0"/>
    <n v="2"/>
    <n v="0"/>
    <n v="2"/>
    <n v="0"/>
    <n v="100"/>
    <n v="0"/>
    <s v="Consolidation"/>
    <s v="CO2e and Base Measure"/>
    <n v="100"/>
    <n v="100"/>
    <n v="0.19"/>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1-01-01T00:00:00"/>
    <s v="FY21"/>
    <s v="t"/>
    <n v="0"/>
    <n v="0"/>
    <n v="1.24E-2"/>
    <n v="1.24E-2"/>
    <n v="0"/>
    <n v="0"/>
    <n v="1"/>
    <n v="1"/>
    <n v="0"/>
    <n v="0"/>
    <n v="100"/>
    <s v="Consolidation"/>
    <s v="CO2e and Base Measure"/>
    <n v="100"/>
    <n v="100"/>
    <n v="0.01"/>
    <m/>
    <m/>
    <m/>
    <m/>
    <m/>
    <m/>
    <n v="0"/>
    <m/>
    <m/>
    <m/>
    <m/>
    <m/>
    <m/>
    <s v="AUD"/>
    <s v="13564612Waste Recycled - Cardboard [t]"/>
    <n v="13564612"/>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07-01T00:00:00"/>
    <s v="FY21"/>
    <s v="t"/>
    <n v="0.48499999999999999"/>
    <n v="0"/>
    <n v="0"/>
    <n v="0.48499999999999999"/>
    <n v="4"/>
    <n v="0"/>
    <n v="0"/>
    <n v="4"/>
    <n v="100"/>
    <n v="0"/>
    <n v="0"/>
    <s v="Consolidation"/>
    <s v="CO2e and Base Measure"/>
    <n v="100"/>
    <n v="100"/>
    <n v="0.49"/>
    <m/>
    <m/>
    <m/>
    <m/>
    <m/>
    <n v="0.63049999999999995"/>
    <m/>
    <n v="0.63049999999999995"/>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08-01T00:00:00"/>
    <s v="FY21"/>
    <s v="t"/>
    <n v="0.26"/>
    <n v="0"/>
    <n v="0"/>
    <n v="0.26"/>
    <n v="4"/>
    <n v="0"/>
    <n v="0"/>
    <n v="4"/>
    <n v="100"/>
    <n v="0"/>
    <n v="0"/>
    <s v="Consolidation"/>
    <s v="CO2e and Base Measure"/>
    <n v="100"/>
    <n v="100"/>
    <n v="0.26"/>
    <m/>
    <m/>
    <m/>
    <m/>
    <m/>
    <n v="0.33800000000000002"/>
    <m/>
    <n v="0.33800000000000002"/>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09-01T00:00:00"/>
    <s v="FY21"/>
    <s v="t"/>
    <n v="0.45500000000000002"/>
    <n v="0"/>
    <n v="0"/>
    <n v="0.45500000000000002"/>
    <n v="5"/>
    <n v="0"/>
    <n v="0"/>
    <n v="5"/>
    <n v="100"/>
    <n v="0"/>
    <n v="0"/>
    <s v="Consolidation"/>
    <s v="CO2e and Base Measure"/>
    <n v="100"/>
    <n v="100"/>
    <n v="0.46"/>
    <m/>
    <m/>
    <m/>
    <m/>
    <m/>
    <n v="0.59150000000000003"/>
    <m/>
    <n v="0.59150000000000003"/>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10-01T00:00:00"/>
    <s v="FY21"/>
    <s v="t"/>
    <n v="0.48499999999999999"/>
    <n v="0"/>
    <n v="0"/>
    <n v="0.48499999999999999"/>
    <n v="4"/>
    <n v="0"/>
    <n v="0"/>
    <n v="4"/>
    <n v="100"/>
    <n v="0"/>
    <n v="0"/>
    <s v="Consolidation"/>
    <s v="CO2e and Base Measure"/>
    <n v="100"/>
    <n v="100"/>
    <n v="0.49"/>
    <m/>
    <m/>
    <m/>
    <m/>
    <m/>
    <n v="0.63049999999999995"/>
    <m/>
    <n v="0.63049999999999995"/>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11-01T00:00:00"/>
    <s v="FY21"/>
    <s v="t"/>
    <n v="0.39"/>
    <n v="0"/>
    <n v="0"/>
    <n v="0.39"/>
    <n v="3"/>
    <n v="0"/>
    <n v="0"/>
    <n v="3"/>
    <n v="100"/>
    <n v="0"/>
    <n v="0"/>
    <s v="Consolidation"/>
    <s v="CO2e and Base Measure"/>
    <n v="100"/>
    <n v="100"/>
    <n v="0.39"/>
    <m/>
    <m/>
    <m/>
    <m/>
    <m/>
    <n v="0.50700000000000001"/>
    <m/>
    <n v="0.50700000000000001"/>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12-01T00:00:00"/>
    <s v="FY21"/>
    <s v="t"/>
    <n v="0"/>
    <n v="0.29249999999999998"/>
    <n v="0"/>
    <n v="0.29249999999999998"/>
    <n v="0"/>
    <n v="1"/>
    <n v="0"/>
    <n v="1"/>
    <n v="0"/>
    <n v="100"/>
    <n v="0"/>
    <s v="Consolidation"/>
    <s v="CO2e and Base Measure"/>
    <n v="100"/>
    <n v="100"/>
    <n v="0.28999999999999998"/>
    <m/>
    <m/>
    <m/>
    <m/>
    <m/>
    <n v="0.38030000000000003"/>
    <m/>
    <n v="0.38030000000000003"/>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1-01-01T00:00:00"/>
    <s v="FY21"/>
    <s v="t"/>
    <n v="0"/>
    <n v="0"/>
    <n v="1.29E-2"/>
    <n v="1.29E-2"/>
    <n v="0"/>
    <n v="0"/>
    <n v="1"/>
    <n v="1"/>
    <n v="0"/>
    <n v="0"/>
    <n v="100"/>
    <s v="Consolidation"/>
    <s v="CO2e and Base Measure"/>
    <n v="100"/>
    <n v="100"/>
    <n v="0.01"/>
    <m/>
    <m/>
    <m/>
    <m/>
    <m/>
    <n v="1.6799999999999999E-2"/>
    <m/>
    <n v="1.6799999999999999E-2"/>
    <m/>
    <m/>
    <m/>
    <m/>
    <m/>
    <s v="AUD"/>
    <s v="13564614Waste - General [t] - Scope 3"/>
    <n v="13564614"/>
  </r>
  <r>
    <d v="2019-07-01T00:00:00"/>
    <d v="2021-06-30T00:00:00"/>
    <s v="Telstra"/>
    <s v="NETWORK"/>
    <s v="Network - InfraCo"/>
    <s v="ACT"/>
    <s v="Australia"/>
    <s v="Canberra"/>
    <s v="CIVIC EXCHANGE"/>
    <n v="423030336900"/>
    <s v="Recycled Waste"/>
    <x v="0"/>
    <x v="1"/>
    <s v="Account"/>
    <s v="Remondis Fluoro Tubes - Recycled"/>
    <m/>
    <s v="423030336900_RFLUORO"/>
    <s v="FLUORO TUBES - RECYCLED"/>
    <s v="Remondis"/>
    <m/>
    <m/>
    <d v="2020-10-01T00:00:00"/>
    <d v="2020-09-01T00:00:00"/>
    <s v="FY21"/>
    <s v="t"/>
    <n v="0.13"/>
    <n v="0"/>
    <n v="0"/>
    <n v="0.13"/>
    <n v="1"/>
    <n v="0"/>
    <n v="0"/>
    <n v="1"/>
    <n v="100"/>
    <n v="0"/>
    <n v="0"/>
    <s v="Consolidation"/>
    <s v="CO2e and Base Measure"/>
    <n v="100"/>
    <n v="100"/>
    <n v="0.13"/>
    <m/>
    <m/>
    <m/>
    <m/>
    <m/>
    <m/>
    <m/>
    <m/>
    <m/>
    <m/>
    <m/>
    <m/>
    <m/>
    <s v="AUD"/>
    <s v="13576201Waste Recycled - E-waste [t]"/>
    <n v="13576201"/>
  </r>
  <r>
    <d v="2019-07-01T00:00:00"/>
    <d v="2021-06-30T00:00:00"/>
    <s v="Telstra"/>
    <s v="NETWORK"/>
    <s v="Network - InfraCo"/>
    <s v="ACT"/>
    <s v="Australia"/>
    <s v="Canberra"/>
    <s v="CIVIC EXCHANGE"/>
    <n v="423030336900"/>
    <s v="Recycled Waste"/>
    <x v="0"/>
    <x v="1"/>
    <s v="Account"/>
    <s v="Remondis Fluoro Tubes - Recycled"/>
    <m/>
    <s v="423030336900_RFLUORO"/>
    <s v="FLUORO TUBES - RECYCLED"/>
    <s v="Remondis"/>
    <m/>
    <m/>
    <d v="2020-10-01T00:00:00"/>
    <d v="2020-10-01T00:00:00"/>
    <s v="FY21"/>
    <s v="t"/>
    <n v="0"/>
    <n v="0"/>
    <n v="4.4999999999999997E-3"/>
    <n v="4.4999999999999997E-3"/>
    <n v="0"/>
    <n v="0"/>
    <n v="1"/>
    <n v="1"/>
    <n v="0"/>
    <n v="0"/>
    <n v="100"/>
    <s v="Consolidation"/>
    <s v="CO2e and Base Measure"/>
    <n v="100"/>
    <n v="100"/>
    <n v="0"/>
    <m/>
    <m/>
    <m/>
    <m/>
    <m/>
    <m/>
    <m/>
    <m/>
    <m/>
    <m/>
    <m/>
    <m/>
    <m/>
    <s v="AUD"/>
    <s v="13576201Waste Recycled - E-waste [t]"/>
    <n v="13576201"/>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0-11-01T00:00:00"/>
    <s v="FY21"/>
    <s v="t"/>
    <n v="0"/>
    <n v="7.4999999999999997E-2"/>
    <n v="0"/>
    <n v="7.4999999999999997E-2"/>
    <n v="0"/>
    <n v="1"/>
    <n v="0"/>
    <n v="1"/>
    <n v="0"/>
    <n v="100"/>
    <n v="0"/>
    <s v="Consolidation"/>
    <s v="CO2e and Base Measure"/>
    <n v="100"/>
    <n v="100"/>
    <n v="0.08"/>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0-12-01T00:00:00"/>
    <s v="FY21"/>
    <s v="t"/>
    <n v="0"/>
    <n v="0.22500000000000001"/>
    <n v="0"/>
    <n v="0.22500000000000001"/>
    <n v="0"/>
    <n v="3"/>
    <n v="0"/>
    <n v="3"/>
    <n v="0"/>
    <n v="100"/>
    <n v="0"/>
    <s v="Consolidation"/>
    <s v="CO2e and Base Measure"/>
    <n v="100"/>
    <n v="100"/>
    <n v="0.23"/>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1-01T00:00:00"/>
    <s v="FY21"/>
    <s v="t"/>
    <n v="0"/>
    <n v="0.22500000000000001"/>
    <n v="0"/>
    <n v="0.22500000000000001"/>
    <n v="0"/>
    <n v="3"/>
    <n v="0"/>
    <n v="3"/>
    <n v="0"/>
    <n v="100"/>
    <n v="0"/>
    <s v="Consolidation"/>
    <s v="CO2e and Base Measure"/>
    <n v="100"/>
    <n v="100"/>
    <n v="0.23"/>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2-01T00:00:00"/>
    <s v="FY21"/>
    <s v="t"/>
    <n v="0"/>
    <n v="0.15"/>
    <n v="0"/>
    <n v="0.15"/>
    <n v="0"/>
    <n v="2"/>
    <n v="0"/>
    <n v="2"/>
    <n v="0"/>
    <n v="100"/>
    <n v="0"/>
    <s v="Consolidation"/>
    <s v="CO2e and Base Measure"/>
    <n v="100"/>
    <n v="100"/>
    <n v="0.15"/>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3-01T00:00:00"/>
    <s v="FY21"/>
    <s v="t"/>
    <n v="0"/>
    <n v="0.22500000000000001"/>
    <n v="0"/>
    <n v="0.22500000000000001"/>
    <n v="0"/>
    <n v="3"/>
    <n v="0"/>
    <n v="3"/>
    <n v="0"/>
    <n v="100"/>
    <n v="0"/>
    <s v="Consolidation"/>
    <s v="CO2e and Base Measure"/>
    <n v="100"/>
    <n v="100"/>
    <n v="0.23"/>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4-01T00:00:00"/>
    <s v="FY21"/>
    <s v="t"/>
    <n v="0"/>
    <n v="0"/>
    <n v="0.18"/>
    <n v="0.18"/>
    <n v="0"/>
    <n v="0"/>
    <n v="30"/>
    <n v="30"/>
    <n v="0"/>
    <n v="0"/>
    <n v="100"/>
    <s v="Consolidation"/>
    <s v="CO2e and Base Measure"/>
    <n v="100"/>
    <n v="100"/>
    <n v="0.18"/>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5-01T00:00:00"/>
    <s v="FY21"/>
    <s v="t"/>
    <n v="0"/>
    <n v="0"/>
    <n v="0.186"/>
    <n v="0.186"/>
    <n v="0"/>
    <n v="0"/>
    <n v="31"/>
    <n v="31"/>
    <n v="0"/>
    <n v="0"/>
    <n v="100"/>
    <s v="Consolidation"/>
    <s v="CO2e and Base Measure"/>
    <n v="100"/>
    <n v="100"/>
    <n v="0.19"/>
    <m/>
    <m/>
    <m/>
    <m/>
    <m/>
    <m/>
    <m/>
    <m/>
    <m/>
    <m/>
    <m/>
    <m/>
    <m/>
    <s v="AUD"/>
    <s v="13633972Waste Recycled - Paper and Cardboard [t]"/>
    <n v="13633972"/>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0-12-01T00:00:00"/>
    <s v="FY21"/>
    <s v="t"/>
    <n v="0.46"/>
    <n v="0"/>
    <n v="0"/>
    <n v="0.46"/>
    <n v="5"/>
    <n v="0"/>
    <n v="0"/>
    <n v="5"/>
    <n v="100"/>
    <n v="0"/>
    <n v="0"/>
    <s v="Consolidation"/>
    <s v="CO2e and Base Measure"/>
    <n v="100"/>
    <n v="100"/>
    <n v="0.46"/>
    <m/>
    <m/>
    <m/>
    <m/>
    <m/>
    <n v="0.59799999999999998"/>
    <m/>
    <n v="0.59799999999999998"/>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1-01T00:00:00"/>
    <s v="FY21"/>
    <s v="t"/>
    <n v="0.20899999999999999"/>
    <n v="0"/>
    <n v="0"/>
    <n v="0.20899999999999999"/>
    <n v="3"/>
    <n v="0"/>
    <n v="0"/>
    <n v="3"/>
    <n v="100"/>
    <n v="0"/>
    <n v="0"/>
    <s v="Consolidation"/>
    <s v="CO2e and Base Measure"/>
    <n v="100"/>
    <n v="100"/>
    <n v="0.21"/>
    <m/>
    <m/>
    <m/>
    <m/>
    <m/>
    <n v="0.2717"/>
    <m/>
    <n v="0.2717"/>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2-01T00:00:00"/>
    <s v="FY21"/>
    <s v="t"/>
    <n v="0.307"/>
    <n v="0.27"/>
    <n v="0"/>
    <n v="0.57699999999999996"/>
    <n v="2"/>
    <n v="2"/>
    <n v="0"/>
    <n v="4"/>
    <n v="53.2"/>
    <n v="46.79"/>
    <n v="0"/>
    <s v="Consolidation"/>
    <s v="CO2e and Base Measure"/>
    <n v="100"/>
    <n v="100"/>
    <n v="0.57999999999999996"/>
    <m/>
    <m/>
    <m/>
    <m/>
    <m/>
    <n v="0.75009999999999999"/>
    <m/>
    <n v="0.75009999999999999"/>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3-01T00:00:00"/>
    <s v="FY21"/>
    <s v="t"/>
    <n v="0"/>
    <n v="0.67500000000000004"/>
    <n v="0"/>
    <n v="0.67500000000000004"/>
    <n v="0"/>
    <n v="5"/>
    <n v="0"/>
    <n v="5"/>
    <n v="0"/>
    <n v="100"/>
    <n v="0"/>
    <s v="Consolidation"/>
    <s v="CO2e and Base Measure"/>
    <n v="100"/>
    <n v="100"/>
    <n v="0.68"/>
    <m/>
    <m/>
    <m/>
    <m/>
    <m/>
    <n v="0.87749999999999995"/>
    <m/>
    <n v="0.87749999999999995"/>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4-01T00:00:00"/>
    <s v="FY21"/>
    <s v="t"/>
    <n v="0"/>
    <n v="0"/>
    <n v="0.48"/>
    <n v="0.48"/>
    <n v="0"/>
    <n v="0"/>
    <n v="30"/>
    <n v="30"/>
    <n v="0"/>
    <n v="0"/>
    <n v="100"/>
    <s v="Consolidation"/>
    <s v="CO2e and Base Measure"/>
    <n v="100"/>
    <n v="100"/>
    <n v="0.48"/>
    <m/>
    <m/>
    <m/>
    <m/>
    <m/>
    <n v="0.624"/>
    <m/>
    <n v="0.624"/>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5-01T00:00:00"/>
    <s v="FY21"/>
    <s v="t"/>
    <n v="0"/>
    <n v="0"/>
    <n v="0.496"/>
    <n v="0.496"/>
    <n v="0"/>
    <n v="0"/>
    <n v="31"/>
    <n v="31"/>
    <n v="0"/>
    <n v="0"/>
    <n v="100"/>
    <s v="Consolidation"/>
    <s v="CO2e and Base Measure"/>
    <n v="100"/>
    <n v="100"/>
    <n v="0.5"/>
    <m/>
    <m/>
    <m/>
    <m/>
    <m/>
    <n v="0.64480000000000004"/>
    <m/>
    <n v="0.64480000000000004"/>
    <m/>
    <m/>
    <m/>
    <m/>
    <m/>
    <s v="AUD"/>
    <s v="13634065Waste - General [t] - Scope 3"/>
    <n v="13634065"/>
  </r>
  <r>
    <d v="2019-07-01T00:00:00"/>
    <d v="2021-06-30T00:00:00"/>
    <s v="Telstra"/>
    <s v="DATACENTRE"/>
    <s v="Datacentre - InfraCo"/>
    <s v="VIC"/>
    <s v="Australia"/>
    <s v="Clayton"/>
    <s v="CLAYTON DATA CENTRE"/>
    <n v="423030781600"/>
    <s v="Recycled Waste"/>
    <x v="0"/>
    <x v="1"/>
    <s v="Account"/>
    <s v="Remondis Batteries - Mixed Recycled"/>
    <m/>
    <s v="423030781600_RBATTERY."/>
    <s v="BATTERIES - MIXED RECYCLED"/>
    <s v="Remondis"/>
    <m/>
    <m/>
    <d v="2020-12-01T00:00:00"/>
    <d v="2020-11-01T00:00:00"/>
    <s v="FY21"/>
    <s v="t"/>
    <n v="0.28199999999999997"/>
    <n v="0"/>
    <n v="0"/>
    <n v="0.28199999999999997"/>
    <n v="1"/>
    <n v="0"/>
    <n v="0"/>
    <n v="1"/>
    <n v="100"/>
    <n v="0"/>
    <n v="0"/>
    <s v="Consolidation"/>
    <s v="CO2e and Base Measure"/>
    <n v="100"/>
    <n v="100"/>
    <n v="0.28000000000000003"/>
    <m/>
    <m/>
    <m/>
    <m/>
    <m/>
    <m/>
    <m/>
    <m/>
    <m/>
    <m/>
    <m/>
    <m/>
    <m/>
    <s v="AUD"/>
    <s v="13565250Waste Recycled - E-waste [t]"/>
    <n v="13565250"/>
  </r>
  <r>
    <d v="2019-07-01T00:00:00"/>
    <d v="2021-06-30T00:00:00"/>
    <s v="Telstra"/>
    <s v="DATACENTRE"/>
    <s v="Datacentre - InfraCo"/>
    <s v="VIC"/>
    <s v="Australia"/>
    <s v="Clayton"/>
    <s v="CLAYTON DATA CENTRE"/>
    <n v="423030781600"/>
    <s v="Recycled Waste"/>
    <x v="0"/>
    <x v="1"/>
    <s v="Account"/>
    <s v="Remondis Batteries - Mixed Recycled"/>
    <m/>
    <s v="423030781600_RBATTERY."/>
    <s v="BATTERIES - MIXED RECYCLED"/>
    <s v="Remondis"/>
    <m/>
    <m/>
    <d v="2020-12-01T00:00:00"/>
    <d v="2020-12-01T00:00:00"/>
    <s v="FY21"/>
    <s v="t"/>
    <n v="0"/>
    <n v="0"/>
    <n v="2.5999999999999999E-3"/>
    <n v="2.5999999999999999E-3"/>
    <n v="0"/>
    <n v="0"/>
    <n v="1"/>
    <n v="1"/>
    <n v="0"/>
    <n v="0"/>
    <n v="100"/>
    <s v="Consolidation"/>
    <s v="CO2e and Base Measure"/>
    <n v="100"/>
    <n v="100"/>
    <n v="0"/>
    <m/>
    <m/>
    <m/>
    <m/>
    <m/>
    <m/>
    <m/>
    <m/>
    <m/>
    <m/>
    <m/>
    <m/>
    <m/>
    <s v="AUD"/>
    <s v="13565250Waste Recycled - E-waste [t]"/>
    <n v="13565250"/>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07-01T00:00:00"/>
    <s v="FY21"/>
    <s v="t"/>
    <n v="0"/>
    <n v="0.66149999999999998"/>
    <n v="0"/>
    <n v="0.66149999999999998"/>
    <n v="0"/>
    <n v="4"/>
    <n v="0"/>
    <n v="4"/>
    <n v="0"/>
    <n v="100"/>
    <n v="0"/>
    <s v="Consolidation"/>
    <s v="CO2e and Base Measure"/>
    <n v="100"/>
    <n v="100"/>
    <n v="0.66"/>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08-01T00:00:00"/>
    <s v="FY21"/>
    <s v="t"/>
    <n v="0"/>
    <n v="0.56699999999999995"/>
    <n v="0"/>
    <n v="0.56699999999999995"/>
    <n v="0"/>
    <n v="4"/>
    <n v="0"/>
    <n v="4"/>
    <n v="0"/>
    <n v="100"/>
    <n v="0"/>
    <s v="Consolidation"/>
    <s v="CO2e and Base Measure"/>
    <n v="100"/>
    <n v="100"/>
    <n v="0.56999999999999995"/>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09-01T00:00:00"/>
    <s v="FY21"/>
    <s v="t"/>
    <n v="0"/>
    <n v="0.66149999999999998"/>
    <n v="0"/>
    <n v="0.66149999999999998"/>
    <n v="0"/>
    <n v="5"/>
    <n v="0"/>
    <n v="5"/>
    <n v="0"/>
    <n v="100"/>
    <n v="0"/>
    <s v="Consolidation"/>
    <s v="CO2e and Base Measure"/>
    <n v="100"/>
    <n v="100"/>
    <n v="0.66"/>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10-01T00:00:00"/>
    <s v="FY21"/>
    <s v="t"/>
    <n v="0"/>
    <n v="0.378"/>
    <n v="0"/>
    <n v="0.378"/>
    <n v="0"/>
    <n v="4"/>
    <n v="0"/>
    <n v="4"/>
    <n v="0"/>
    <n v="100"/>
    <n v="0"/>
    <s v="Consolidation"/>
    <s v="CO2e and Base Measure"/>
    <n v="100"/>
    <n v="100"/>
    <n v="0.38"/>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11-01T00:00:00"/>
    <s v="FY21"/>
    <s v="t"/>
    <n v="0"/>
    <n v="0.378"/>
    <n v="0"/>
    <n v="0.378"/>
    <n v="0"/>
    <n v="3"/>
    <n v="0"/>
    <n v="3"/>
    <n v="0"/>
    <n v="100"/>
    <n v="0"/>
    <s v="Consolidation"/>
    <s v="CO2e and Base Measure"/>
    <n v="100"/>
    <n v="100"/>
    <n v="0.38"/>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12-01T00:00:00"/>
    <s v="FY21"/>
    <s v="t"/>
    <n v="0"/>
    <n v="0.28349999999999997"/>
    <n v="0"/>
    <n v="0.28349999999999997"/>
    <n v="0"/>
    <n v="2"/>
    <n v="0"/>
    <n v="2"/>
    <n v="0"/>
    <n v="100"/>
    <n v="0"/>
    <s v="Consolidation"/>
    <s v="CO2e and Base Measure"/>
    <n v="100"/>
    <n v="100"/>
    <n v="0.28000000000000003"/>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1-01-01T00:00:00"/>
    <s v="FY21"/>
    <s v="t"/>
    <n v="0"/>
    <n v="0"/>
    <n v="1.77E-2"/>
    <n v="1.77E-2"/>
    <n v="0"/>
    <n v="0"/>
    <n v="1"/>
    <n v="1"/>
    <n v="0"/>
    <n v="0"/>
    <n v="100"/>
    <s v="Consolidation"/>
    <s v="CO2e and Base Measure"/>
    <n v="100"/>
    <n v="100"/>
    <n v="0.02"/>
    <m/>
    <m/>
    <m/>
    <m/>
    <m/>
    <m/>
    <n v="0"/>
    <m/>
    <m/>
    <m/>
    <m/>
    <m/>
    <m/>
    <s v="AUD"/>
    <s v="13565252Waste Recycled - Cardboard [t]"/>
    <n v="13565252"/>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07-01T00:00:00"/>
    <s v="FY21"/>
    <s v="t"/>
    <n v="0"/>
    <n v="2.25"/>
    <n v="0"/>
    <n v="2.25"/>
    <n v="0"/>
    <n v="5"/>
    <n v="0"/>
    <n v="5"/>
    <n v="0"/>
    <n v="100"/>
    <n v="0"/>
    <s v="Consolidation"/>
    <s v="CO2e and Base Measure"/>
    <n v="100"/>
    <n v="100"/>
    <n v="2.25"/>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08-01T00:00:00"/>
    <s v="FY21"/>
    <s v="t"/>
    <n v="0"/>
    <n v="1.8"/>
    <n v="0"/>
    <n v="1.8"/>
    <n v="0"/>
    <n v="4"/>
    <n v="0"/>
    <n v="4"/>
    <n v="0"/>
    <n v="100"/>
    <n v="0"/>
    <s v="Consolidation"/>
    <s v="CO2e and Base Measure"/>
    <n v="100"/>
    <n v="100"/>
    <n v="1.8"/>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09-01T00:00:00"/>
    <s v="FY21"/>
    <s v="t"/>
    <n v="0"/>
    <n v="1.8"/>
    <n v="0"/>
    <n v="1.8"/>
    <n v="0"/>
    <n v="4"/>
    <n v="0"/>
    <n v="4"/>
    <n v="0"/>
    <n v="100"/>
    <n v="0"/>
    <s v="Consolidation"/>
    <s v="CO2e and Base Measure"/>
    <n v="100"/>
    <n v="100"/>
    <n v="1.8"/>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10-01T00:00:00"/>
    <s v="FY21"/>
    <s v="t"/>
    <n v="0"/>
    <n v="2.25"/>
    <n v="0"/>
    <n v="2.25"/>
    <n v="0"/>
    <n v="5"/>
    <n v="0"/>
    <n v="5"/>
    <n v="0"/>
    <n v="100"/>
    <n v="0"/>
    <s v="Consolidation"/>
    <s v="CO2e and Base Measure"/>
    <n v="100"/>
    <n v="100"/>
    <n v="2.25"/>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11-01T00:00:00"/>
    <s v="FY21"/>
    <s v="t"/>
    <n v="0"/>
    <n v="1.8"/>
    <n v="0"/>
    <n v="1.8"/>
    <n v="0"/>
    <n v="4"/>
    <n v="0"/>
    <n v="4"/>
    <n v="0"/>
    <n v="100"/>
    <n v="0"/>
    <s v="Consolidation"/>
    <s v="CO2e and Base Measure"/>
    <n v="100"/>
    <n v="100"/>
    <n v="1.8"/>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12-01T00:00:00"/>
    <s v="FY21"/>
    <s v="t"/>
    <n v="0"/>
    <n v="0.45"/>
    <n v="0"/>
    <n v="0.45"/>
    <n v="0"/>
    <n v="1"/>
    <n v="0"/>
    <n v="1"/>
    <n v="0"/>
    <n v="100"/>
    <n v="0"/>
    <s v="Consolidation"/>
    <s v="CO2e and Base Measure"/>
    <n v="100"/>
    <n v="100"/>
    <n v="0.45"/>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1-01-01T00:00:00"/>
    <s v="FY21"/>
    <s v="t"/>
    <n v="0"/>
    <n v="0"/>
    <n v="5.7000000000000002E-2"/>
    <n v="5.7000000000000002E-2"/>
    <n v="0"/>
    <n v="0"/>
    <n v="1"/>
    <n v="1"/>
    <n v="0"/>
    <n v="0"/>
    <n v="100"/>
    <s v="Consolidation"/>
    <s v="CO2e and Base Measure"/>
    <n v="100"/>
    <n v="100"/>
    <n v="0.06"/>
    <m/>
    <m/>
    <m/>
    <m/>
    <m/>
    <m/>
    <n v="0"/>
    <m/>
    <m/>
    <m/>
    <m/>
    <m/>
    <m/>
    <s v="AUD"/>
    <s v="13565253Waste Recycled - Commingled [t]"/>
    <n v="13565253"/>
  </r>
  <r>
    <d v="2019-07-01T00:00:00"/>
    <d v="2021-06-30T00:00:00"/>
    <s v="Telstra"/>
    <s v="DATACENTRE"/>
    <s v="Datacentre - InfraCo"/>
    <s v="VIC"/>
    <s v="Australia"/>
    <s v="Clayton"/>
    <s v="CLAYTON DATA CENTRE"/>
    <n v="423030781600"/>
    <s v="Recycled Waste"/>
    <x v="0"/>
    <x v="1"/>
    <s v="Account"/>
    <s v="Remondis Electrical Comp. (E-Waste)"/>
    <m/>
    <s v="423030781600_RELECTRIC"/>
    <s v="ELECTRICAL COMP. E-WASTE"/>
    <s v="Remondis"/>
    <m/>
    <m/>
    <d v="2020-07-01T00:00:00"/>
    <d v="2020-07-01T00:00:00"/>
    <s v="FY21"/>
    <s v="t"/>
    <n v="0"/>
    <n v="0"/>
    <n v="1.2E-2"/>
    <n v="1.2E-2"/>
    <n v="0"/>
    <n v="0"/>
    <n v="1"/>
    <n v="1"/>
    <n v="0"/>
    <n v="0"/>
    <n v="100"/>
    <s v="Consolidation"/>
    <s v="CO2e and Base Measure"/>
    <n v="100"/>
    <n v="100"/>
    <n v="0.01"/>
    <m/>
    <m/>
    <m/>
    <m/>
    <m/>
    <m/>
    <m/>
    <m/>
    <m/>
    <m/>
    <m/>
    <m/>
    <m/>
    <s v="AUD"/>
    <s v="13565254Waste Recycled - E-waste [t]"/>
    <n v="13565254"/>
  </r>
  <r>
    <d v="2019-07-01T00:00:00"/>
    <d v="2021-06-30T00:00:00"/>
    <s v="Telstra"/>
    <s v="DATACENTRE"/>
    <s v="Datacentre - InfraCo"/>
    <s v="VIC"/>
    <s v="Australia"/>
    <s v="Clayton"/>
    <s v="CLAYTON DATA CENTRE"/>
    <n v="423030781600"/>
    <s v="Recycled Waste"/>
    <x v="0"/>
    <x v="1"/>
    <s v="Account"/>
    <s v="Remondis Fluoro Tubes - Recycled"/>
    <m/>
    <s v="423030781600_RFLUORO"/>
    <s v="FLUORO TUBES - RECYCLED"/>
    <s v="Remondis"/>
    <m/>
    <m/>
    <d v="2020-12-01T00:00:00"/>
    <d v="2020-11-01T00:00:00"/>
    <s v="FY21"/>
    <s v="t"/>
    <n v="3.7999999999999999E-2"/>
    <n v="0"/>
    <n v="0"/>
    <n v="3.7999999999999999E-2"/>
    <n v="1"/>
    <n v="0"/>
    <n v="0"/>
    <n v="1"/>
    <n v="100"/>
    <n v="0"/>
    <n v="0"/>
    <s v="Consolidation"/>
    <s v="CO2e and Base Measure"/>
    <n v="100"/>
    <n v="100"/>
    <n v="0.04"/>
    <m/>
    <m/>
    <m/>
    <m/>
    <m/>
    <m/>
    <m/>
    <m/>
    <m/>
    <m/>
    <m/>
    <m/>
    <m/>
    <s v="AUD"/>
    <s v="13565255Waste Recycled - E-waste [t]"/>
    <n v="13565255"/>
  </r>
  <r>
    <d v="2019-07-01T00:00:00"/>
    <d v="2021-06-30T00:00:00"/>
    <s v="Telstra"/>
    <s v="DATACENTRE"/>
    <s v="Datacentre - InfraCo"/>
    <s v="VIC"/>
    <s v="Australia"/>
    <s v="Clayton"/>
    <s v="CLAYTON DATA CENTRE"/>
    <n v="423030781600"/>
    <s v="Recycled Waste"/>
    <x v="0"/>
    <x v="1"/>
    <s v="Account"/>
    <s v="Remondis Fluoro Tubes - Recycled"/>
    <m/>
    <s v="423030781600_RFLUORO"/>
    <s v="FLUORO TUBES - RECYCLED"/>
    <s v="Remondis"/>
    <m/>
    <m/>
    <d v="2020-12-01T00:00:00"/>
    <d v="2020-12-01T00:00:00"/>
    <s v="FY21"/>
    <s v="t"/>
    <n v="0"/>
    <n v="0"/>
    <n v="1.2999999999999999E-3"/>
    <n v="1.2999999999999999E-3"/>
    <n v="0"/>
    <n v="0"/>
    <n v="1"/>
    <n v="1"/>
    <n v="0"/>
    <n v="0"/>
    <n v="100"/>
    <s v="Consolidation"/>
    <s v="CO2e and Base Measure"/>
    <n v="100"/>
    <n v="100"/>
    <n v="0"/>
    <m/>
    <m/>
    <m/>
    <m/>
    <m/>
    <m/>
    <m/>
    <m/>
    <m/>
    <m/>
    <m/>
    <m/>
    <m/>
    <s v="AUD"/>
    <s v="13565255Waste Recycled - E-waste [t]"/>
    <n v="13565255"/>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07-01T00:00:00"/>
    <s v="FY21"/>
    <s v="t"/>
    <n v="3.6949999999999998"/>
    <n v="0.7137"/>
    <n v="0"/>
    <n v="4.4086999999999996"/>
    <n v="5"/>
    <n v="5"/>
    <n v="0"/>
    <n v="10"/>
    <n v="83.81"/>
    <n v="16.18"/>
    <n v="0"/>
    <s v="Consolidation"/>
    <s v="CO2e and Base Measure"/>
    <n v="100"/>
    <n v="100"/>
    <n v="4.41"/>
    <m/>
    <m/>
    <m/>
    <m/>
    <m/>
    <n v="5.7313000000000001"/>
    <m/>
    <n v="5.7313000000000001"/>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08-01T00:00:00"/>
    <s v="FY21"/>
    <s v="t"/>
    <n v="0.81499999999999995"/>
    <n v="0.75660000000000005"/>
    <n v="0"/>
    <n v="1.5716000000000001"/>
    <n v="3"/>
    <n v="4"/>
    <n v="0"/>
    <n v="7"/>
    <n v="51.85"/>
    <n v="48.14"/>
    <n v="0"/>
    <s v="Consolidation"/>
    <s v="CO2e and Base Measure"/>
    <n v="100"/>
    <n v="100"/>
    <n v="1.57"/>
    <m/>
    <m/>
    <m/>
    <m/>
    <m/>
    <n v="2.0430999999999999"/>
    <m/>
    <n v="2.0430999999999999"/>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09-01T00:00:00"/>
    <s v="FY21"/>
    <s v="t"/>
    <n v="1.43"/>
    <n v="0.75660000000000005"/>
    <n v="0"/>
    <n v="2.1865999999999999"/>
    <n v="3"/>
    <n v="4"/>
    <n v="0"/>
    <n v="7"/>
    <n v="65.39"/>
    <n v="34.6"/>
    <n v="0"/>
    <s v="Consolidation"/>
    <s v="CO2e and Base Measure"/>
    <n v="100"/>
    <n v="100"/>
    <n v="2.19"/>
    <m/>
    <m/>
    <m/>
    <m/>
    <m/>
    <n v="2.8426"/>
    <m/>
    <n v="2.8426"/>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10-01T00:00:00"/>
    <s v="FY21"/>
    <s v="t"/>
    <n v="0.19"/>
    <n v="0.1716"/>
    <n v="0"/>
    <n v="0.36159999999999998"/>
    <n v="5"/>
    <n v="2"/>
    <n v="0"/>
    <n v="7"/>
    <n v="52.54"/>
    <n v="47.45"/>
    <n v="0"/>
    <s v="Consolidation"/>
    <s v="CO2e and Base Measure"/>
    <n v="100"/>
    <n v="100"/>
    <n v="0.36"/>
    <m/>
    <m/>
    <m/>
    <m/>
    <m/>
    <n v="0.47010000000000002"/>
    <m/>
    <n v="0.47010000000000002"/>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11-01T00:00:00"/>
    <s v="FY21"/>
    <s v="t"/>
    <n v="4.0149999999999997"/>
    <n v="0.30030000000000001"/>
    <n v="0"/>
    <n v="4.3152999999999997"/>
    <n v="6"/>
    <n v="2"/>
    <n v="0"/>
    <n v="8"/>
    <n v="93.04"/>
    <n v="6.95"/>
    <n v="0"/>
    <s v="Consolidation"/>
    <s v="CO2e and Base Measure"/>
    <n v="100"/>
    <n v="100"/>
    <n v="4.32"/>
    <m/>
    <m/>
    <m/>
    <m/>
    <m/>
    <n v="5.6098999999999997"/>
    <m/>
    <n v="5.6098999999999997"/>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12-01T00:00:00"/>
    <s v="FY21"/>
    <s v="t"/>
    <n v="2.2799999999999998"/>
    <n v="0.29249999999999998"/>
    <n v="0"/>
    <n v="2.5724999999999998"/>
    <n v="2"/>
    <n v="1"/>
    <n v="0"/>
    <n v="3"/>
    <n v="88.62"/>
    <n v="11.37"/>
    <n v="0"/>
    <s v="Consolidation"/>
    <s v="CO2e and Base Measure"/>
    <n v="100"/>
    <n v="100"/>
    <n v="2.57"/>
    <m/>
    <m/>
    <m/>
    <m/>
    <m/>
    <n v="3.3443000000000001"/>
    <m/>
    <n v="3.3443000000000001"/>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1-01-01T00:00:00"/>
    <s v="FY21"/>
    <s v="t"/>
    <n v="0"/>
    <n v="0"/>
    <n v="7.5700000000000003E-2"/>
    <n v="7.5700000000000003E-2"/>
    <n v="0"/>
    <n v="0"/>
    <n v="1"/>
    <n v="1"/>
    <n v="0"/>
    <n v="0"/>
    <n v="100"/>
    <s v="Consolidation"/>
    <s v="CO2e and Base Measure"/>
    <n v="100"/>
    <n v="100"/>
    <n v="0.08"/>
    <m/>
    <m/>
    <m/>
    <m/>
    <m/>
    <n v="9.8400000000000001E-2"/>
    <m/>
    <n v="9.8400000000000001E-2"/>
    <m/>
    <m/>
    <m/>
    <m/>
    <m/>
    <s v="AUD"/>
    <s v="13565256Waste - General [t] - Scope 3"/>
    <n v="13565256"/>
  </r>
  <r>
    <d v="2019-07-01T00:00:00"/>
    <d v="2021-06-30T00:00:00"/>
    <s v="Telstra"/>
    <s v="DATACENTRE"/>
    <s v="Datacentre - InfraCo"/>
    <s v="VIC"/>
    <s v="Australia"/>
    <s v="Clayton"/>
    <s v="CLAYTON DATA CENTRE"/>
    <n v="423030781600"/>
    <s v="Recycled Waste"/>
    <x v="0"/>
    <x v="1"/>
    <s v="Account"/>
    <s v="Remondis Metal - Copper"/>
    <m/>
    <s v="423030781600_RMETCOPPR"/>
    <s v="METAL - COPPER"/>
    <s v="Remondis"/>
    <m/>
    <m/>
    <d v="2021-01-01T00:00:00"/>
    <d v="2020-12-01T00:00:00"/>
    <s v="FY21"/>
    <s v="t"/>
    <n v="0"/>
    <n v="0.52500000000000002"/>
    <n v="0"/>
    <n v="0.52500000000000002"/>
    <n v="0"/>
    <n v="1"/>
    <n v="0"/>
    <n v="1"/>
    <n v="0"/>
    <n v="100"/>
    <n v="0"/>
    <s v="Consolidation"/>
    <s v="CO2e and Base Measure"/>
    <n v="100"/>
    <n v="100"/>
    <n v="0.53"/>
    <m/>
    <m/>
    <m/>
    <m/>
    <m/>
    <m/>
    <m/>
    <m/>
    <m/>
    <m/>
    <m/>
    <m/>
    <m/>
    <s v="AUD"/>
    <s v="13565257Waste Recycled - E-waste [t]"/>
    <n v="13565257"/>
  </r>
  <r>
    <d v="2019-07-01T00:00:00"/>
    <d v="2021-06-30T00:00:00"/>
    <s v="Telstra"/>
    <s v="DATACENTRE"/>
    <s v="Datacentre - InfraCo"/>
    <s v="VIC"/>
    <s v="Australia"/>
    <s v="Clayton"/>
    <s v="CLAYTON DATA CENTRE"/>
    <n v="423030781600"/>
    <s v="Recycled Waste"/>
    <x v="0"/>
    <x v="1"/>
    <s v="Account"/>
    <s v="Remondis Metal - Copper"/>
    <m/>
    <s v="423030781600_RMETCOPPR"/>
    <s v="METAL - COPPER"/>
    <s v="Remondis"/>
    <m/>
    <m/>
    <d v="2021-01-01T00:00:00"/>
    <d v="2021-01-01T00:00:00"/>
    <s v="FY21"/>
    <s v="t"/>
    <n v="0"/>
    <n v="0"/>
    <n v="1.7500000000000002E-2"/>
    <n v="1.7500000000000002E-2"/>
    <n v="0"/>
    <n v="0"/>
    <n v="1"/>
    <n v="1"/>
    <n v="0"/>
    <n v="0"/>
    <n v="100"/>
    <s v="Consolidation"/>
    <s v="CO2e and Base Measure"/>
    <n v="100"/>
    <n v="100"/>
    <n v="0.02"/>
    <m/>
    <m/>
    <m/>
    <m/>
    <m/>
    <m/>
    <m/>
    <m/>
    <m/>
    <m/>
    <m/>
    <m/>
    <m/>
    <s v="AUD"/>
    <s v="13565257Waste Recycled - E-waste [t]"/>
    <n v="13565257"/>
  </r>
  <r>
    <d v="2019-07-01T00:00:00"/>
    <d v="2021-06-30T00:00:00"/>
    <s v="Telstra"/>
    <s v="DATACENTRE"/>
    <s v="Datacentre - InfraCo"/>
    <s v="VIC"/>
    <s v="Australia"/>
    <s v="Clayton"/>
    <s v="CLAYTON DATA CENTRE"/>
    <n v="423030781600"/>
    <s v="Recycled Waste"/>
    <x v="0"/>
    <x v="5"/>
    <s v="Account"/>
    <s v="Remondis Metal - Mixed All"/>
    <m/>
    <s v="423030781600_RMETMIXED"/>
    <s v="METAL - MIXED ALL"/>
    <s v="Remondis"/>
    <m/>
    <m/>
    <d v="2021-01-01T00:00:00"/>
    <d v="2020-07-01T00:00:00"/>
    <s v="FY21"/>
    <s v="t"/>
    <n v="0.83699999999999997"/>
    <n v="0"/>
    <n v="0"/>
    <n v="0.83699999999999997"/>
    <n v="2"/>
    <n v="0"/>
    <n v="0"/>
    <n v="2"/>
    <n v="100"/>
    <n v="0"/>
    <n v="0"/>
    <s v="Consolidation"/>
    <s v="CO2e and Base Measure"/>
    <n v="100"/>
    <n v="100"/>
    <n v="0.84"/>
    <m/>
    <m/>
    <m/>
    <m/>
    <m/>
    <m/>
    <m/>
    <m/>
    <m/>
    <m/>
    <m/>
    <m/>
    <m/>
    <s v="AUD"/>
    <s v="13565258Waste Recycled - Construction and Demolition [t]"/>
    <n v="13565258"/>
  </r>
  <r>
    <d v="2019-07-01T00:00:00"/>
    <d v="2021-06-30T00:00:00"/>
    <s v="Telstra"/>
    <s v="DATACENTRE"/>
    <s v="Datacentre - InfraCo"/>
    <s v="VIC"/>
    <s v="Australia"/>
    <s v="Clayton"/>
    <s v="CLAYTON DATA CENTRE"/>
    <n v="423030781600"/>
    <s v="Recycled Waste"/>
    <x v="0"/>
    <x v="5"/>
    <s v="Account"/>
    <s v="Remondis Metal - Mixed All"/>
    <m/>
    <s v="423030781600_RMETMIXED"/>
    <s v="METAL - MIXED ALL"/>
    <s v="Remondis"/>
    <m/>
    <m/>
    <d v="2021-01-01T00:00:00"/>
    <d v="2020-12-01T00:00:00"/>
    <s v="FY21"/>
    <s v="t"/>
    <n v="0"/>
    <n v="0.6"/>
    <n v="0"/>
    <n v="0.6"/>
    <n v="0"/>
    <n v="1"/>
    <n v="0"/>
    <n v="1"/>
    <n v="0"/>
    <n v="100"/>
    <n v="0"/>
    <s v="Consolidation"/>
    <s v="CO2e and Base Measure"/>
    <n v="100"/>
    <n v="100"/>
    <n v="0.6"/>
    <m/>
    <m/>
    <m/>
    <m/>
    <m/>
    <m/>
    <m/>
    <m/>
    <m/>
    <m/>
    <m/>
    <m/>
    <m/>
    <s v="AUD"/>
    <s v="13565258Waste Recycled - Construction and Demolition [t]"/>
    <n v="13565258"/>
  </r>
  <r>
    <d v="2019-07-01T00:00:00"/>
    <d v="2021-06-30T00:00:00"/>
    <s v="Telstra"/>
    <s v="DATACENTRE"/>
    <s v="Datacentre - InfraCo"/>
    <s v="VIC"/>
    <s v="Australia"/>
    <s v="Clayton"/>
    <s v="CLAYTON DATA CENTRE"/>
    <n v="423030781600"/>
    <s v="Recycled Waste"/>
    <x v="0"/>
    <x v="5"/>
    <s v="Account"/>
    <s v="Remondis Metal - Mixed All"/>
    <m/>
    <s v="423030781600_RMETMIXED"/>
    <s v="METAL - MIXED ALL"/>
    <s v="Remondis"/>
    <m/>
    <m/>
    <d v="2021-01-01T00:00:00"/>
    <d v="2021-01-01T00:00:00"/>
    <s v="FY21"/>
    <s v="t"/>
    <n v="0"/>
    <n v="0"/>
    <n v="1.06E-2"/>
    <n v="1.06E-2"/>
    <n v="0"/>
    <n v="0"/>
    <n v="1"/>
    <n v="1"/>
    <n v="0"/>
    <n v="0"/>
    <n v="100"/>
    <s v="Consolidation"/>
    <s v="CO2e and Base Measure"/>
    <n v="100"/>
    <n v="100"/>
    <n v="0.01"/>
    <m/>
    <m/>
    <m/>
    <m/>
    <m/>
    <m/>
    <m/>
    <m/>
    <m/>
    <m/>
    <m/>
    <m/>
    <m/>
    <s v="AUD"/>
    <s v="13565258Waste Recycled - Construction and Demolition [t]"/>
    <n v="13565258"/>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0-12-01T00:00:00"/>
    <s v="FY21"/>
    <s v="t"/>
    <n v="0"/>
    <n v="0.20250000000000001"/>
    <n v="0"/>
    <n v="0.20250000000000001"/>
    <n v="0"/>
    <n v="1"/>
    <n v="0"/>
    <n v="1"/>
    <n v="0"/>
    <n v="100"/>
    <n v="0"/>
    <s v="Consolidation"/>
    <s v="CO2e and Base Measure"/>
    <n v="100"/>
    <n v="100"/>
    <n v="0.2"/>
    <m/>
    <m/>
    <m/>
    <m/>
    <m/>
    <n v="0.26329999999999998"/>
    <m/>
    <n v="0.26329999999999998"/>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1-01T00:00:00"/>
    <s v="FY21"/>
    <s v="t"/>
    <n v="0.185"/>
    <n v="0.20250000000000001"/>
    <n v="0"/>
    <n v="0.38750000000000001"/>
    <n v="3"/>
    <n v="1"/>
    <n v="0"/>
    <n v="4"/>
    <n v="47.74"/>
    <n v="52.25"/>
    <n v="0"/>
    <s v="Consolidation"/>
    <s v="CO2e and Base Measure"/>
    <n v="100"/>
    <n v="100"/>
    <n v="0.39"/>
    <m/>
    <m/>
    <m/>
    <m/>
    <m/>
    <n v="0.50380000000000003"/>
    <m/>
    <n v="0.50380000000000003"/>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2-01T00:00:00"/>
    <s v="FY21"/>
    <s v="t"/>
    <n v="0.22900000000000001"/>
    <n v="0"/>
    <n v="0"/>
    <n v="0.22900000000000001"/>
    <n v="4"/>
    <n v="0"/>
    <n v="0"/>
    <n v="4"/>
    <n v="100"/>
    <n v="0"/>
    <n v="0"/>
    <s v="Consolidation"/>
    <s v="CO2e and Base Measure"/>
    <n v="100"/>
    <n v="100"/>
    <n v="0.23"/>
    <m/>
    <m/>
    <m/>
    <m/>
    <m/>
    <n v="0.29770000000000002"/>
    <m/>
    <n v="0.29770000000000002"/>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3-01T00:00:00"/>
    <s v="FY21"/>
    <s v="t"/>
    <n v="1.661"/>
    <n v="0.20250000000000001"/>
    <n v="0"/>
    <n v="1.8634999999999999"/>
    <n v="4"/>
    <n v="1"/>
    <n v="0"/>
    <n v="5"/>
    <n v="89.13"/>
    <n v="10.86"/>
    <n v="0"/>
    <s v="Consolidation"/>
    <s v="CO2e and Base Measure"/>
    <n v="100"/>
    <n v="100"/>
    <n v="1.86"/>
    <m/>
    <m/>
    <m/>
    <m/>
    <m/>
    <n v="2.4226000000000001"/>
    <m/>
    <n v="2.4226000000000001"/>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4-01T00:00:00"/>
    <s v="FY21"/>
    <s v="t"/>
    <n v="0"/>
    <n v="0"/>
    <n v="0.67200000000000004"/>
    <n v="0.67200000000000004"/>
    <n v="0"/>
    <n v="0"/>
    <n v="30"/>
    <n v="30"/>
    <n v="0"/>
    <n v="0"/>
    <n v="100"/>
    <s v="Consolidation"/>
    <s v="CO2e and Base Measure"/>
    <n v="100"/>
    <n v="100"/>
    <n v="0.67"/>
    <m/>
    <m/>
    <m/>
    <m/>
    <m/>
    <n v="0.87360000000000004"/>
    <m/>
    <n v="0.87360000000000004"/>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5-01T00:00:00"/>
    <s v="FY21"/>
    <s v="t"/>
    <n v="0"/>
    <n v="0"/>
    <n v="0.69440000000000002"/>
    <n v="0.69440000000000002"/>
    <n v="0"/>
    <n v="0"/>
    <n v="31"/>
    <n v="31"/>
    <n v="0"/>
    <n v="0"/>
    <n v="100"/>
    <s v="Consolidation"/>
    <s v="CO2e and Base Measure"/>
    <n v="100"/>
    <n v="100"/>
    <n v="0.69"/>
    <m/>
    <m/>
    <m/>
    <m/>
    <m/>
    <n v="0.90269999999999995"/>
    <m/>
    <n v="0.90269999999999995"/>
    <m/>
    <m/>
    <m/>
    <m/>
    <m/>
    <s v="AUD"/>
    <s v="13634066Waste - General [t] - Scope 3"/>
    <n v="13634066"/>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0-12-01T00:00:00"/>
    <s v="FY21"/>
    <s v="t"/>
    <n v="2.1000000000000001E-2"/>
    <n v="0"/>
    <n v="0"/>
    <n v="2.1000000000000001E-2"/>
    <n v="1"/>
    <n v="0"/>
    <n v="0"/>
    <n v="1"/>
    <n v="100"/>
    <n v="0"/>
    <n v="0"/>
    <s v="Consolidation"/>
    <s v="CO2e and Base Measure"/>
    <n v="100"/>
    <n v="100"/>
    <n v="0.02"/>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1-01T00:00:00"/>
    <s v="FY21"/>
    <s v="t"/>
    <n v="0.156"/>
    <n v="0.1125"/>
    <n v="0"/>
    <n v="0.26850000000000002"/>
    <n v="3"/>
    <n v="1"/>
    <n v="0"/>
    <n v="4"/>
    <n v="58.1"/>
    <n v="41.89"/>
    <n v="0"/>
    <s v="Consolidation"/>
    <s v="CO2e and Base Measure"/>
    <n v="100"/>
    <n v="100"/>
    <n v="0.27"/>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2-01T00:00:00"/>
    <s v="FY21"/>
    <s v="t"/>
    <n v="0.28999999999999998"/>
    <n v="0.45"/>
    <n v="0"/>
    <n v="0.74"/>
    <n v="2"/>
    <n v="2"/>
    <n v="0"/>
    <n v="4"/>
    <n v="39.18"/>
    <n v="60.81"/>
    <n v="0"/>
    <s v="Consolidation"/>
    <s v="CO2e and Base Measure"/>
    <n v="100"/>
    <n v="100"/>
    <n v="0.74"/>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3-01T00:00:00"/>
    <s v="FY21"/>
    <s v="t"/>
    <n v="0.14199999999999999"/>
    <n v="0.45"/>
    <n v="0"/>
    <n v="0.59199999999999997"/>
    <n v="3"/>
    <n v="1"/>
    <n v="0"/>
    <n v="4"/>
    <n v="23.98"/>
    <n v="76.010000000000005"/>
    <n v="0"/>
    <s v="Consolidation"/>
    <s v="CO2e and Base Measure"/>
    <n v="100"/>
    <n v="100"/>
    <n v="0.59"/>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4-01T00:00:00"/>
    <s v="FY21"/>
    <s v="t"/>
    <n v="0"/>
    <n v="0"/>
    <n v="0.40500000000000003"/>
    <n v="0.40500000000000003"/>
    <n v="0"/>
    <n v="0"/>
    <n v="30"/>
    <n v="30"/>
    <n v="0"/>
    <n v="0"/>
    <n v="100"/>
    <s v="Consolidation"/>
    <s v="CO2e and Base Measure"/>
    <n v="100"/>
    <n v="100"/>
    <n v="0.41"/>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5-01T00:00:00"/>
    <s v="FY21"/>
    <s v="t"/>
    <n v="0"/>
    <n v="0"/>
    <n v="0.41849999999999998"/>
    <n v="0.41849999999999998"/>
    <n v="0"/>
    <n v="0"/>
    <n v="31"/>
    <n v="31"/>
    <n v="0"/>
    <n v="0"/>
    <n v="100"/>
    <s v="Consolidation"/>
    <s v="CO2e and Base Measure"/>
    <n v="100"/>
    <n v="100"/>
    <n v="0.42"/>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07-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08-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09-01T00:00:00"/>
    <s v="FY21"/>
    <s v="t"/>
    <n v="0"/>
    <n v="1.2325999999999999"/>
    <n v="0"/>
    <n v="1.2325999999999999"/>
    <n v="0"/>
    <n v="30"/>
    <n v="0"/>
    <n v="30"/>
    <n v="0"/>
    <n v="100"/>
    <n v="0"/>
    <s v="Consolidation"/>
    <s v="CO2e and Base Measure"/>
    <n v="100"/>
    <n v="100"/>
    <n v="1.23"/>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10-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11-01T00:00:00"/>
    <s v="FY21"/>
    <s v="t"/>
    <n v="0"/>
    <n v="1.2325999999999999"/>
    <n v="0"/>
    <n v="1.2325999999999999"/>
    <n v="0"/>
    <n v="30"/>
    <n v="0"/>
    <n v="30"/>
    <n v="0"/>
    <n v="100"/>
    <n v="0"/>
    <s v="Consolidation"/>
    <s v="CO2e and Base Measure"/>
    <n v="100"/>
    <n v="100"/>
    <n v="1.23"/>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12-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1-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2-01T00:00:00"/>
    <s v="FY21"/>
    <s v="t"/>
    <n v="0"/>
    <n v="1.1504000000000001"/>
    <n v="0"/>
    <n v="1.1504000000000001"/>
    <n v="0"/>
    <n v="28"/>
    <n v="0"/>
    <n v="28"/>
    <n v="0"/>
    <n v="100"/>
    <n v="0"/>
    <s v="Consolidation"/>
    <s v="CO2e and Base Measure"/>
    <n v="100"/>
    <n v="100"/>
    <n v="1.1499999999999999"/>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3-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4-01T00:00:00"/>
    <s v="FY21"/>
    <s v="t"/>
    <n v="0"/>
    <n v="1.2325999999999999"/>
    <n v="0"/>
    <n v="1.2325999999999999"/>
    <n v="0"/>
    <n v="30"/>
    <n v="0"/>
    <n v="30"/>
    <n v="0"/>
    <n v="100"/>
    <n v="0"/>
    <s v="Consolidation"/>
    <s v="CO2e and Base Measure"/>
    <n v="100"/>
    <n v="100"/>
    <n v="1.23"/>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5-01T00:00:00"/>
    <s v="FY21"/>
    <s v="t"/>
    <n v="0"/>
    <n v="0"/>
    <n v="1.2771999999999999"/>
    <n v="1.2771999999999999"/>
    <n v="0"/>
    <n v="0"/>
    <n v="31"/>
    <n v="31"/>
    <n v="0"/>
    <n v="0"/>
    <n v="100"/>
    <s v="Consolidation"/>
    <s v="CO2e and Base Measure"/>
    <n v="100"/>
    <n v="100"/>
    <n v="1.28"/>
    <m/>
    <m/>
    <m/>
    <m/>
    <m/>
    <m/>
    <m/>
    <m/>
    <m/>
    <m/>
    <m/>
    <m/>
    <m/>
    <s v="AUD"/>
    <s v="13644540Waste Recycled - E-waste [t]"/>
    <n v="13644540"/>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07-01T00:00:00"/>
    <s v="FY21"/>
    <s v="t"/>
    <n v="8.5000000000000006E-2"/>
    <n v="0"/>
    <n v="0"/>
    <n v="8.5000000000000006E-2"/>
    <n v="2"/>
    <n v="0"/>
    <n v="0"/>
    <n v="2"/>
    <n v="100"/>
    <n v="0"/>
    <n v="0"/>
    <s v="Consolidation"/>
    <s v="CO2e and Base Measure"/>
    <n v="100"/>
    <n v="100"/>
    <n v="0.09"/>
    <m/>
    <m/>
    <m/>
    <m/>
    <m/>
    <m/>
    <n v="0"/>
    <m/>
    <m/>
    <m/>
    <m/>
    <m/>
    <m/>
    <s v="AUD"/>
    <s v="13565197Waste Recycled - Cardboard [t]"/>
    <n v="13565197"/>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08-01T00:00:00"/>
    <s v="FY21"/>
    <s v="t"/>
    <n v="0.03"/>
    <n v="0"/>
    <n v="0"/>
    <n v="0.03"/>
    <n v="1"/>
    <n v="0"/>
    <n v="0"/>
    <n v="1"/>
    <n v="100"/>
    <n v="0"/>
    <n v="0"/>
    <s v="Consolidation"/>
    <s v="CO2e and Base Measure"/>
    <n v="100"/>
    <n v="100"/>
    <n v="0.03"/>
    <m/>
    <m/>
    <m/>
    <m/>
    <m/>
    <m/>
    <n v="0"/>
    <m/>
    <m/>
    <m/>
    <m/>
    <m/>
    <m/>
    <s v="AUD"/>
    <s v="13565197Waste Recycled - Cardboard [t]"/>
    <n v="13565197"/>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09-01T00:00:00"/>
    <s v="FY21"/>
    <s v="t"/>
    <n v="0"/>
    <n v="0.189"/>
    <n v="0"/>
    <n v="0.189"/>
    <n v="0"/>
    <n v="3"/>
    <n v="0"/>
    <n v="3"/>
    <n v="0"/>
    <n v="100"/>
    <n v="0"/>
    <s v="Consolidation"/>
    <s v="CO2e and Base Measure"/>
    <n v="100"/>
    <n v="100"/>
    <n v="0.19"/>
    <m/>
    <m/>
    <m/>
    <m/>
    <m/>
    <m/>
    <n v="0"/>
    <m/>
    <m/>
    <m/>
    <m/>
    <m/>
    <m/>
    <s v="AUD"/>
    <s v="13565197Waste Recycled - Cardboard [t]"/>
    <n v="13565197"/>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10-01T00:00:00"/>
    <s v="FY21"/>
    <s v="t"/>
    <n v="0.08"/>
    <n v="0"/>
    <n v="0"/>
    <n v="0.08"/>
    <n v="1"/>
    <n v="0"/>
    <n v="0"/>
    <n v="1"/>
    <n v="100"/>
    <n v="0"/>
    <n v="0"/>
    <s v="Consolidation"/>
    <s v="CO2e and Base Measure"/>
    <n v="100"/>
    <n v="100"/>
    <n v="0.08"/>
    <m/>
    <m/>
    <m/>
    <m/>
    <m/>
    <m/>
    <n v="0"/>
    <m/>
    <m/>
    <m/>
    <m/>
    <m/>
    <m/>
    <s v="AUD"/>
    <s v="13565197Waste Recycled - Cardboard [t]"/>
    <n v="13565197"/>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11-01T00:00:00"/>
    <s v="FY21"/>
    <s v="t"/>
    <n v="0"/>
    <n v="0"/>
    <n v="3.3E-3"/>
    <n v="3.3E-3"/>
    <n v="0"/>
    <n v="0"/>
    <n v="1"/>
    <n v="1"/>
    <n v="0"/>
    <n v="0"/>
    <n v="100"/>
    <s v="Consolidation"/>
    <s v="CO2e and Base Measure"/>
    <n v="100"/>
    <n v="100"/>
    <n v="0"/>
    <m/>
    <m/>
    <m/>
    <m/>
    <m/>
    <m/>
    <n v="0"/>
    <m/>
    <m/>
    <m/>
    <m/>
    <m/>
    <m/>
    <s v="AUD"/>
    <s v="13565197Waste Recycled - Cardboard [t]"/>
    <n v="13565197"/>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07-01T00:00:00"/>
    <s v="FY21"/>
    <s v="t"/>
    <n v="0.34499999999999997"/>
    <n v="0"/>
    <n v="0"/>
    <n v="0.34499999999999997"/>
    <n v="2"/>
    <n v="0"/>
    <n v="0"/>
    <n v="2"/>
    <n v="100"/>
    <n v="0"/>
    <n v="0"/>
    <s v="Consolidation"/>
    <s v="CO2e and Base Measure"/>
    <n v="100"/>
    <n v="100"/>
    <n v="0.35"/>
    <m/>
    <m/>
    <m/>
    <m/>
    <m/>
    <n v="0.44850000000000001"/>
    <m/>
    <n v="0.44850000000000001"/>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08-01T00:00:00"/>
    <s v="FY21"/>
    <s v="t"/>
    <n v="0.375"/>
    <n v="0"/>
    <n v="0"/>
    <n v="0.375"/>
    <n v="2"/>
    <n v="0"/>
    <n v="0"/>
    <n v="2"/>
    <n v="100"/>
    <n v="0"/>
    <n v="0"/>
    <s v="Consolidation"/>
    <s v="CO2e and Base Measure"/>
    <n v="100"/>
    <n v="100"/>
    <n v="0.38"/>
    <m/>
    <m/>
    <m/>
    <m/>
    <m/>
    <n v="0.48749999999999999"/>
    <m/>
    <n v="0.48749999999999999"/>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09-01T00:00:00"/>
    <s v="FY21"/>
    <s v="t"/>
    <n v="0.18"/>
    <n v="0"/>
    <n v="0"/>
    <n v="0.18"/>
    <n v="2"/>
    <n v="0"/>
    <n v="0"/>
    <n v="2"/>
    <n v="100"/>
    <n v="0"/>
    <n v="0"/>
    <s v="Consolidation"/>
    <s v="CO2e and Base Measure"/>
    <n v="100"/>
    <n v="100"/>
    <n v="0.18"/>
    <m/>
    <m/>
    <m/>
    <m/>
    <m/>
    <n v="0.23400000000000001"/>
    <m/>
    <n v="0.23400000000000001"/>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10-01T00:00:00"/>
    <s v="FY21"/>
    <s v="t"/>
    <n v="0.14499999999999999"/>
    <n v="0"/>
    <n v="0"/>
    <n v="0.14499999999999999"/>
    <n v="1"/>
    <n v="0"/>
    <n v="0"/>
    <n v="1"/>
    <n v="100"/>
    <n v="0"/>
    <n v="0"/>
    <s v="Consolidation"/>
    <s v="CO2e and Base Measure"/>
    <n v="100"/>
    <n v="100"/>
    <n v="0.15"/>
    <m/>
    <m/>
    <m/>
    <m/>
    <m/>
    <n v="0.1885"/>
    <m/>
    <n v="0.1885"/>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11-01T00:00:00"/>
    <s v="FY21"/>
    <s v="t"/>
    <n v="4.4999999999999998E-2"/>
    <n v="0"/>
    <n v="0"/>
    <n v="4.4999999999999998E-2"/>
    <n v="1"/>
    <n v="0"/>
    <n v="0"/>
    <n v="1"/>
    <n v="100"/>
    <n v="0"/>
    <n v="0"/>
    <s v="Consolidation"/>
    <s v="CO2e and Base Measure"/>
    <n v="100"/>
    <n v="100"/>
    <n v="0.05"/>
    <m/>
    <m/>
    <m/>
    <m/>
    <m/>
    <n v="5.8500000000000003E-2"/>
    <m/>
    <n v="5.8500000000000003E-2"/>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12-01T00:00:00"/>
    <s v="FY21"/>
    <s v="t"/>
    <n v="0.125"/>
    <n v="0"/>
    <n v="0"/>
    <n v="0.125"/>
    <n v="1"/>
    <n v="0"/>
    <n v="0"/>
    <n v="1"/>
    <n v="100"/>
    <n v="0"/>
    <n v="0"/>
    <s v="Consolidation"/>
    <s v="CO2e and Base Measure"/>
    <n v="100"/>
    <n v="100"/>
    <n v="0.13"/>
    <m/>
    <m/>
    <m/>
    <m/>
    <m/>
    <n v="0.16250000000000001"/>
    <m/>
    <n v="0.16250000000000001"/>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1-01-01T00:00:00"/>
    <s v="FY21"/>
    <s v="t"/>
    <n v="0"/>
    <n v="0"/>
    <n v="2.5000000000000001E-2"/>
    <n v="2.5000000000000001E-2"/>
    <n v="0"/>
    <n v="0"/>
    <n v="1"/>
    <n v="1"/>
    <n v="0"/>
    <n v="0"/>
    <n v="100"/>
    <s v="Consolidation"/>
    <s v="CO2e and Base Measure"/>
    <n v="100"/>
    <n v="100"/>
    <n v="0.03"/>
    <m/>
    <m/>
    <m/>
    <m/>
    <m/>
    <n v="3.2500000000000001E-2"/>
    <m/>
    <n v="3.2500000000000001E-2"/>
    <m/>
    <m/>
    <m/>
    <m/>
    <m/>
    <s v="AUD"/>
    <s v="13565199Waste - General [t] - Scope 3"/>
    <n v="13565199"/>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0-12-01T00:00:00"/>
    <s v="FY21"/>
    <s v="t"/>
    <n v="0"/>
    <n v="0.27"/>
    <n v="0"/>
    <n v="0.27"/>
    <n v="0"/>
    <n v="2"/>
    <n v="0"/>
    <n v="2"/>
    <n v="0"/>
    <n v="100"/>
    <n v="0"/>
    <s v="Consolidation"/>
    <s v="CO2e and Base Measure"/>
    <n v="100"/>
    <n v="100"/>
    <n v="0.27"/>
    <m/>
    <m/>
    <m/>
    <m/>
    <m/>
    <n v="0.35099999999999998"/>
    <m/>
    <n v="0.35099999999999998"/>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1-01T00:00:00"/>
    <s v="FY21"/>
    <s v="t"/>
    <n v="0.08"/>
    <n v="0"/>
    <n v="0"/>
    <n v="0.08"/>
    <n v="2"/>
    <n v="0"/>
    <n v="0"/>
    <n v="2"/>
    <n v="100"/>
    <n v="0"/>
    <n v="0"/>
    <s v="Consolidation"/>
    <s v="CO2e and Base Measure"/>
    <n v="100"/>
    <n v="100"/>
    <n v="0.08"/>
    <m/>
    <m/>
    <m/>
    <m/>
    <m/>
    <n v="0.104"/>
    <m/>
    <n v="0.104"/>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2-01T00:00:00"/>
    <s v="FY21"/>
    <s v="t"/>
    <n v="0.109"/>
    <n v="0"/>
    <n v="0"/>
    <n v="0.109"/>
    <n v="2"/>
    <n v="0"/>
    <n v="0"/>
    <n v="2"/>
    <n v="100"/>
    <n v="0"/>
    <n v="0"/>
    <s v="Consolidation"/>
    <s v="CO2e and Base Measure"/>
    <n v="100"/>
    <n v="100"/>
    <n v="0.11"/>
    <m/>
    <m/>
    <m/>
    <m/>
    <m/>
    <n v="0.14169999999999999"/>
    <m/>
    <n v="0.14169999999999999"/>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3-01T00:00:00"/>
    <s v="FY21"/>
    <s v="t"/>
    <n v="0.13800000000000001"/>
    <n v="0"/>
    <n v="0"/>
    <n v="0.13800000000000001"/>
    <n v="3"/>
    <n v="0"/>
    <n v="0"/>
    <n v="3"/>
    <n v="100"/>
    <n v="0"/>
    <n v="0"/>
    <s v="Consolidation"/>
    <s v="CO2e and Base Measure"/>
    <n v="100"/>
    <n v="100"/>
    <n v="0.14000000000000001"/>
    <m/>
    <m/>
    <m/>
    <m/>
    <m/>
    <n v="0.1794"/>
    <m/>
    <n v="0.1794"/>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4-01T00:00:00"/>
    <s v="FY21"/>
    <s v="t"/>
    <n v="0"/>
    <n v="0"/>
    <n v="0.15"/>
    <n v="0.15"/>
    <n v="0"/>
    <n v="0"/>
    <n v="30"/>
    <n v="30"/>
    <n v="0"/>
    <n v="0"/>
    <n v="100"/>
    <s v="Consolidation"/>
    <s v="CO2e and Base Measure"/>
    <n v="100"/>
    <n v="100"/>
    <n v="0.15"/>
    <m/>
    <m/>
    <m/>
    <m/>
    <m/>
    <n v="0.19500000000000001"/>
    <m/>
    <n v="0.19500000000000001"/>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5-01T00:00:00"/>
    <s v="FY21"/>
    <s v="t"/>
    <n v="0"/>
    <n v="0"/>
    <n v="0.155"/>
    <n v="0.155"/>
    <n v="0"/>
    <n v="0"/>
    <n v="31"/>
    <n v="31"/>
    <n v="0"/>
    <n v="0"/>
    <n v="100"/>
    <s v="Consolidation"/>
    <s v="CO2e and Base Measure"/>
    <n v="100"/>
    <n v="100"/>
    <n v="0.16"/>
    <m/>
    <m/>
    <m/>
    <m/>
    <m/>
    <n v="0.20150000000000001"/>
    <m/>
    <n v="0.20150000000000001"/>
    <m/>
    <m/>
    <m/>
    <m/>
    <m/>
    <s v="AUD"/>
    <s v="13634075Waste - General [t] - Scope 3"/>
    <n v="13634075"/>
  </r>
  <r>
    <d v="2019-07-01T00:00:00"/>
    <d v="2021-06-30T00:00:00"/>
    <s v="Telstra"/>
    <s v="NETWORK"/>
    <s v="Network - InfraCo"/>
    <s v="VIC"/>
    <s v="Australia"/>
    <s v="Oakleigh East"/>
    <s v="CLAYTON EXCHANGE"/>
    <n v="423030759500"/>
    <s v="Recycled Waste"/>
    <x v="0"/>
    <x v="0"/>
    <s v="Account"/>
    <s v="CLEANAWAY Cardboard"/>
    <m/>
    <s v="26423_Diversion_Cardboard"/>
    <s v="Cardboard"/>
    <s v="Cleanaway"/>
    <m/>
    <d v="2021-03-15T00:00:00"/>
    <m/>
    <d v="2021-03-01T00:00:00"/>
    <s v="FY21"/>
    <s v="t"/>
    <n v="3.7999999999999999E-2"/>
    <n v="0"/>
    <n v="0"/>
    <n v="3.7999999999999999E-2"/>
    <n v="1"/>
    <n v="0"/>
    <n v="0"/>
    <n v="1"/>
    <n v="100"/>
    <n v="0"/>
    <n v="0"/>
    <s v="Consolidation"/>
    <s v="CO2e and Base Measure"/>
    <n v="100"/>
    <n v="100"/>
    <n v="0.04"/>
    <m/>
    <m/>
    <m/>
    <m/>
    <m/>
    <m/>
    <m/>
    <m/>
    <m/>
    <m/>
    <m/>
    <m/>
    <m/>
    <s v="AUD"/>
    <s v="13641218Waste Recycled - Paper and Cardboard [t]"/>
    <n v="13641218"/>
  </r>
  <r>
    <d v="2019-07-01T00:00:00"/>
    <d v="2021-06-30T00:00:00"/>
    <s v="Telstra"/>
    <s v="NETWORK"/>
    <s v="Network - InfraCo"/>
    <s v="VIC"/>
    <s v="Australia"/>
    <s v="Oakleigh East"/>
    <s v="CLAYTON EXCHANGE"/>
    <n v="423030759500"/>
    <s v="Recycled Waste"/>
    <x v="0"/>
    <x v="0"/>
    <s v="Account"/>
    <s v="CLEANAWAY Cardboard"/>
    <m/>
    <s v="26423_Diversion_Cardboard"/>
    <s v="Cardboard"/>
    <s v="Cleanaway"/>
    <m/>
    <d v="2021-03-15T00:00:00"/>
    <m/>
    <d v="2021-04-01T00:00:00"/>
    <s v="FY21"/>
    <s v="t"/>
    <n v="0"/>
    <n v="0"/>
    <n v="3.9E-2"/>
    <n v="3.9E-2"/>
    <n v="0"/>
    <n v="0"/>
    <n v="30"/>
    <n v="30"/>
    <n v="0"/>
    <n v="0"/>
    <n v="100"/>
    <s v="Consolidation"/>
    <s v="CO2e and Base Measure"/>
    <n v="100"/>
    <n v="100"/>
    <n v="0.04"/>
    <m/>
    <m/>
    <m/>
    <m/>
    <m/>
    <m/>
    <m/>
    <m/>
    <m/>
    <m/>
    <m/>
    <m/>
    <m/>
    <s v="AUD"/>
    <s v="13641218Waste Recycled - Paper and Cardboard [t]"/>
    <n v="13641218"/>
  </r>
  <r>
    <d v="2019-07-01T00:00:00"/>
    <d v="2021-06-30T00:00:00"/>
    <s v="Telstra"/>
    <s v="NETWORK"/>
    <s v="Network - InfraCo"/>
    <s v="VIC"/>
    <s v="Australia"/>
    <s v="Oakleigh East"/>
    <s v="CLAYTON EXCHANGE"/>
    <n v="423030759500"/>
    <s v="Recycled Waste"/>
    <x v="0"/>
    <x v="0"/>
    <s v="Account"/>
    <s v="CLEANAWAY Cardboard"/>
    <m/>
    <s v="26423_Diversion_Cardboard"/>
    <s v="Cardboard"/>
    <s v="Cleanaway"/>
    <m/>
    <d v="2021-03-15T00:00:00"/>
    <m/>
    <d v="2021-05-01T00:00:00"/>
    <s v="FY21"/>
    <s v="t"/>
    <n v="0"/>
    <n v="0"/>
    <n v="4.0300000000000002E-2"/>
    <n v="4.0300000000000002E-2"/>
    <n v="0"/>
    <n v="0"/>
    <n v="31"/>
    <n v="31"/>
    <n v="0"/>
    <n v="0"/>
    <n v="100"/>
    <s v="Consolidation"/>
    <s v="CO2e and Base Measure"/>
    <n v="100"/>
    <n v="100"/>
    <n v="0.04"/>
    <m/>
    <m/>
    <m/>
    <m/>
    <m/>
    <m/>
    <m/>
    <m/>
    <m/>
    <m/>
    <m/>
    <m/>
    <m/>
    <s v="AUD"/>
    <s v="13641218Waste Recycled - Paper and Cardboard [t]"/>
    <n v="13641218"/>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0-12-01T00:00:00"/>
    <s v="FY21"/>
    <s v="t"/>
    <n v="0.85099999999999998"/>
    <n v="2.7675000000000001"/>
    <n v="0"/>
    <n v="3.6185"/>
    <n v="15"/>
    <n v="12"/>
    <n v="0"/>
    <n v="27"/>
    <n v="23.51"/>
    <n v="76.48"/>
    <n v="0"/>
    <s v="Consolidation"/>
    <s v="CO2e and Base Measure"/>
    <n v="100"/>
    <n v="100"/>
    <n v="3.62"/>
    <m/>
    <m/>
    <m/>
    <m/>
    <m/>
    <n v="4.7041000000000004"/>
    <m/>
    <n v="4.7041000000000004"/>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1-01T00:00:00"/>
    <s v="FY21"/>
    <s v="t"/>
    <n v="0.41499999999999998"/>
    <n v="1.35"/>
    <n v="0"/>
    <n v="1.7649999999999999"/>
    <n v="12"/>
    <n v="8"/>
    <n v="0"/>
    <n v="20"/>
    <n v="23.51"/>
    <n v="76.48"/>
    <n v="0"/>
    <s v="Consolidation"/>
    <s v="CO2e and Base Measure"/>
    <n v="100"/>
    <n v="100"/>
    <n v="1.77"/>
    <m/>
    <m/>
    <m/>
    <m/>
    <m/>
    <n v="2.2945000000000002"/>
    <m/>
    <n v="2.2945000000000002"/>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2-01T00:00:00"/>
    <s v="FY21"/>
    <s v="t"/>
    <n v="1.3919999999999999"/>
    <n v="4.4550000000000001"/>
    <n v="0"/>
    <n v="5.8470000000000004"/>
    <n v="19"/>
    <n v="19"/>
    <n v="0"/>
    <n v="38"/>
    <n v="23.8"/>
    <n v="76.19"/>
    <n v="0"/>
    <s v="Consolidation"/>
    <s v="CO2e and Base Measure"/>
    <n v="100"/>
    <n v="100"/>
    <n v="5.85"/>
    <m/>
    <m/>
    <m/>
    <m/>
    <m/>
    <n v="7.6010999999999997"/>
    <m/>
    <n v="7.6010999999999997"/>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3-01T00:00:00"/>
    <s v="FY21"/>
    <s v="t"/>
    <n v="1.536"/>
    <n v="3.24"/>
    <n v="0"/>
    <n v="4.7759999999999998"/>
    <n v="28"/>
    <n v="12"/>
    <n v="0"/>
    <n v="40"/>
    <n v="32.159999999999997"/>
    <n v="67.83"/>
    <n v="0"/>
    <s v="Consolidation"/>
    <s v="CO2e and Base Measure"/>
    <n v="100"/>
    <n v="100"/>
    <n v="4.78"/>
    <m/>
    <m/>
    <m/>
    <m/>
    <m/>
    <n v="6.2088000000000001"/>
    <m/>
    <n v="6.2088000000000001"/>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4-01T00:00:00"/>
    <s v="FY21"/>
    <s v="t"/>
    <n v="0"/>
    <n v="0"/>
    <n v="4.0019999999999998"/>
    <n v="4.0019999999999998"/>
    <n v="0"/>
    <n v="0"/>
    <n v="30"/>
    <n v="30"/>
    <n v="0"/>
    <n v="0"/>
    <n v="100"/>
    <s v="Consolidation"/>
    <s v="CO2e and Base Measure"/>
    <n v="100"/>
    <n v="100"/>
    <n v="4"/>
    <m/>
    <m/>
    <m/>
    <m/>
    <m/>
    <n v="5.2026000000000003"/>
    <m/>
    <n v="5.2026000000000003"/>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5-01T00:00:00"/>
    <s v="FY21"/>
    <s v="t"/>
    <n v="0"/>
    <n v="0"/>
    <n v="4.1353999999999997"/>
    <n v="4.1353999999999997"/>
    <n v="0"/>
    <n v="0"/>
    <n v="31"/>
    <n v="31"/>
    <n v="0"/>
    <n v="0"/>
    <n v="100"/>
    <s v="Consolidation"/>
    <s v="CO2e and Base Measure"/>
    <n v="100"/>
    <n v="100"/>
    <n v="4.1399999999999997"/>
    <m/>
    <m/>
    <m/>
    <m/>
    <m/>
    <n v="5.3760000000000003"/>
    <m/>
    <n v="5.3760000000000003"/>
    <m/>
    <m/>
    <m/>
    <m/>
    <m/>
    <s v="AUD"/>
    <s v="13634076Waste - General [t] - Scope 3"/>
    <n v="13634076"/>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0-12-01T00:00:00"/>
    <s v="FY21"/>
    <s v="t"/>
    <n v="0.13800000000000001"/>
    <n v="0.45"/>
    <n v="0"/>
    <n v="0.58799999999999997"/>
    <n v="3"/>
    <n v="4"/>
    <n v="0"/>
    <n v="7"/>
    <n v="23.46"/>
    <n v="76.53"/>
    <n v="0"/>
    <s v="Consolidation"/>
    <s v="CO2e and Base Measure"/>
    <n v="100"/>
    <n v="100"/>
    <n v="0.59"/>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1-01T00:00:00"/>
    <s v="FY21"/>
    <s v="t"/>
    <n v="0.183"/>
    <n v="0.33750000000000002"/>
    <n v="0"/>
    <n v="0.52049999999999996"/>
    <n v="3"/>
    <n v="3"/>
    <n v="0"/>
    <n v="6"/>
    <n v="35.15"/>
    <n v="64.84"/>
    <n v="0"/>
    <s v="Consolidation"/>
    <s v="CO2e and Base Measure"/>
    <n v="100"/>
    <n v="100"/>
    <n v="0.52"/>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2-01T00:00:00"/>
    <s v="FY21"/>
    <s v="t"/>
    <n v="0.22600000000000001"/>
    <n v="2.7"/>
    <n v="0"/>
    <n v="2.9260000000000002"/>
    <n v="2"/>
    <n v="13"/>
    <n v="0"/>
    <n v="15"/>
    <n v="7.72"/>
    <n v="92.27"/>
    <n v="0"/>
    <s v="Consolidation"/>
    <s v="CO2e and Base Measure"/>
    <n v="100"/>
    <n v="100"/>
    <n v="2.93"/>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3-01T00:00:00"/>
    <s v="FY21"/>
    <s v="t"/>
    <n v="9.0999999999999998E-2"/>
    <n v="0.5625"/>
    <n v="0"/>
    <n v="0.65349999999999997"/>
    <n v="3"/>
    <n v="5"/>
    <n v="0"/>
    <n v="8"/>
    <n v="13.92"/>
    <n v="86.07"/>
    <n v="0"/>
    <s v="Consolidation"/>
    <s v="CO2e and Base Measure"/>
    <n v="100"/>
    <n v="100"/>
    <n v="0.65"/>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4-01T00:00:00"/>
    <s v="FY21"/>
    <s v="t"/>
    <n v="0"/>
    <n v="0"/>
    <n v="1.173"/>
    <n v="1.173"/>
    <n v="0"/>
    <n v="0"/>
    <n v="30"/>
    <n v="30"/>
    <n v="0"/>
    <n v="0"/>
    <n v="100"/>
    <s v="Consolidation"/>
    <s v="CO2e and Base Measure"/>
    <n v="100"/>
    <n v="100"/>
    <n v="1.17"/>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5-01T00:00:00"/>
    <s v="FY21"/>
    <s v="t"/>
    <n v="0"/>
    <n v="0"/>
    <n v="1.2121"/>
    <n v="1.2121"/>
    <n v="0"/>
    <n v="0"/>
    <n v="31"/>
    <n v="31"/>
    <n v="0"/>
    <n v="0"/>
    <n v="100"/>
    <s v="Consolidation"/>
    <s v="CO2e and Base Measure"/>
    <n v="100"/>
    <n v="100"/>
    <n v="1.21"/>
    <m/>
    <m/>
    <m/>
    <m/>
    <m/>
    <m/>
    <m/>
    <m/>
    <m/>
    <m/>
    <m/>
    <m/>
    <m/>
    <s v="AUD"/>
    <s v="13634077Waste Recycled - Paper and Cardboard [t]"/>
    <n v="13634077"/>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05Waste - General [t] - Scope 3"/>
    <n v="13564105"/>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2-01T00:00:00"/>
    <s v="FY21"/>
    <s v="t"/>
    <n v="0"/>
    <n v="0.20250000000000001"/>
    <n v="0"/>
    <n v="0.20250000000000001"/>
    <n v="0"/>
    <n v="3"/>
    <n v="0"/>
    <n v="3"/>
    <n v="0"/>
    <n v="100"/>
    <n v="0"/>
    <s v="Consolidation"/>
    <s v="CO2e and Base Measure"/>
    <n v="100"/>
    <n v="100"/>
    <n v="0.2"/>
    <m/>
    <m/>
    <m/>
    <m/>
    <m/>
    <n v="0.26329999999999998"/>
    <m/>
    <n v="0.26329999999999998"/>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3-01T00:00:00"/>
    <s v="FY21"/>
    <s v="t"/>
    <n v="0"/>
    <n v="0.13500000000000001"/>
    <n v="0"/>
    <n v="0.13500000000000001"/>
    <n v="0"/>
    <n v="2"/>
    <n v="0"/>
    <n v="2"/>
    <n v="0"/>
    <n v="100"/>
    <n v="0"/>
    <s v="Consolidation"/>
    <s v="CO2e and Base Measure"/>
    <n v="100"/>
    <n v="100"/>
    <n v="0.14000000000000001"/>
    <m/>
    <m/>
    <m/>
    <m/>
    <m/>
    <n v="0.17549999999999999"/>
    <m/>
    <n v="0.17549999999999999"/>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410Waste - General [t] - Scope 3"/>
    <n v="13634410"/>
  </r>
  <r>
    <d v="2019-07-01T00:00:00"/>
    <d v="2021-06-30T00:00:00"/>
    <s v="Telstra"/>
    <s v="NETWORK"/>
    <s v="Network - InfraCo"/>
    <s v="SA"/>
    <s v="Australia"/>
    <s v="Cleve"/>
    <s v="CLEVE EXCHANGE"/>
    <n v="423030510200"/>
    <s v="Waste"/>
    <x v="1"/>
    <x v="4"/>
    <s v="Account"/>
    <s v="Remondis Asbestos"/>
    <m/>
    <s v="423030510200_WASBESTOS"/>
    <s v="ASBESTOS"/>
    <s v="Remondis"/>
    <m/>
    <m/>
    <d v="2020-10-01T00:00:00"/>
    <d v="2020-09-01T00:00:00"/>
    <s v="FY21"/>
    <s v="t"/>
    <n v="0"/>
    <n v="0.12"/>
    <n v="0"/>
    <n v="0.12"/>
    <n v="0"/>
    <n v="1"/>
    <n v="0"/>
    <n v="1"/>
    <n v="0"/>
    <n v="100"/>
    <n v="0"/>
    <s v="Consolidation"/>
    <s v="CO2e and Base Measure"/>
    <n v="100"/>
    <n v="100"/>
    <n v="0.12"/>
    <m/>
    <m/>
    <m/>
    <m/>
    <m/>
    <n v="0.14399999999999999"/>
    <m/>
    <n v="0.14399999999999999"/>
    <m/>
    <m/>
    <m/>
    <m/>
    <m/>
    <s v="AUD"/>
    <s v="13564773Waste - Construction and Demolition [t]"/>
    <n v="13564773"/>
  </r>
  <r>
    <d v="2019-07-01T00:00:00"/>
    <d v="2021-06-30T00:00:00"/>
    <s v="Telstra"/>
    <s v="NETWORK"/>
    <s v="Network - InfraCo"/>
    <s v="SA"/>
    <s v="Australia"/>
    <s v="Cleve"/>
    <s v="CLEVE EXCHANGE"/>
    <n v="423030510200"/>
    <s v="Waste"/>
    <x v="1"/>
    <x v="4"/>
    <s v="Account"/>
    <s v="Remondis Asbestos"/>
    <m/>
    <s v="423030510200_WASBESTOS"/>
    <s v="ASBESTOS"/>
    <s v="Remondis"/>
    <m/>
    <m/>
    <d v="2020-10-01T00:00:00"/>
    <d v="2020-10-01T00:00:00"/>
    <s v="FY21"/>
    <s v="t"/>
    <n v="0"/>
    <n v="0"/>
    <n v="4.1000000000000003E-3"/>
    <n v="4.1000000000000003E-3"/>
    <n v="0"/>
    <n v="0"/>
    <n v="1"/>
    <n v="1"/>
    <n v="0"/>
    <n v="0"/>
    <n v="100"/>
    <s v="Consolidation"/>
    <s v="CO2e and Base Measure"/>
    <n v="100"/>
    <n v="100"/>
    <n v="0"/>
    <m/>
    <m/>
    <m/>
    <m/>
    <m/>
    <n v="4.8999999999999998E-3"/>
    <m/>
    <n v="4.8999999999999998E-3"/>
    <m/>
    <m/>
    <m/>
    <m/>
    <m/>
    <s v="AUD"/>
    <s v="13564773Waste - Construction and Demolition [t]"/>
    <n v="13564773"/>
  </r>
  <r>
    <d v="2019-07-01T00:00:00"/>
    <d v="2021-06-30T00:00:00"/>
    <s v="Telstra"/>
    <s v="NETWORK"/>
    <s v="Network - InfraCo"/>
    <s v="QLD"/>
    <s v="Australia"/>
    <s v="Mount Isa"/>
    <s v="CLONCURRY EXCHANGE __ STORE"/>
    <n v="423030040400"/>
    <s v="Recycled Waste"/>
    <x v="0"/>
    <x v="1"/>
    <s v="Account"/>
    <s v="Remondis Batteries - Lead Acid"/>
    <m/>
    <s v="423030040400_RBATLEDAC"/>
    <s v="BATTERIES - LEAD ACID"/>
    <s v="Remondis"/>
    <m/>
    <m/>
    <d v="2020-11-01T00:00:00"/>
    <d v="2020-10-01T00:00:00"/>
    <s v="FY21"/>
    <s v="t"/>
    <n v="1.452"/>
    <n v="0"/>
    <n v="0"/>
    <n v="1.452"/>
    <n v="1"/>
    <n v="0"/>
    <n v="0"/>
    <n v="1"/>
    <n v="100"/>
    <n v="0"/>
    <n v="0"/>
    <s v="Consolidation"/>
    <s v="CO2e and Base Measure"/>
    <n v="100"/>
    <n v="100"/>
    <n v="1.45"/>
    <m/>
    <m/>
    <m/>
    <m/>
    <m/>
    <m/>
    <m/>
    <m/>
    <m/>
    <m/>
    <m/>
    <m/>
    <m/>
    <s v="AUD"/>
    <s v="13564127Waste Recycled - E-waste [t]"/>
    <n v="13564127"/>
  </r>
  <r>
    <d v="2019-07-01T00:00:00"/>
    <d v="2021-06-30T00:00:00"/>
    <s v="Telstra"/>
    <s v="NETWORK"/>
    <s v="Network - InfraCo"/>
    <s v="QLD"/>
    <s v="Australia"/>
    <s v="Mount Isa"/>
    <s v="CLONCURRY EXCHANGE __ STORE"/>
    <n v="423030040400"/>
    <s v="Recycled Waste"/>
    <x v="0"/>
    <x v="1"/>
    <s v="Account"/>
    <s v="Remondis Batteries - Lead Acid"/>
    <m/>
    <s v="423030040400_RBATLEDAC"/>
    <s v="BATTERIES - LEAD ACID"/>
    <s v="Remondis"/>
    <m/>
    <m/>
    <d v="2020-11-01T00:00:00"/>
    <d v="2020-11-01T00:00:00"/>
    <s v="FY21"/>
    <s v="t"/>
    <n v="0"/>
    <n v="0"/>
    <n v="2.4199999999999999E-2"/>
    <n v="2.4199999999999999E-2"/>
    <n v="0"/>
    <n v="0"/>
    <n v="1"/>
    <n v="1"/>
    <n v="0"/>
    <n v="0"/>
    <n v="100"/>
    <s v="Consolidation"/>
    <s v="CO2e and Base Measure"/>
    <n v="100"/>
    <n v="100"/>
    <n v="0.02"/>
    <m/>
    <m/>
    <m/>
    <m/>
    <m/>
    <m/>
    <m/>
    <m/>
    <m/>
    <m/>
    <m/>
    <m/>
    <m/>
    <s v="AUD"/>
    <s v="13564127Waste Recycled - E-waste [t]"/>
    <n v="13564127"/>
  </r>
  <r>
    <d v="2019-07-01T00:00:00"/>
    <d v="2021-06-30T00:00:00"/>
    <s v="Telstra"/>
    <s v="NETWORK"/>
    <s v="Network - InfraCo"/>
    <s v="QLD"/>
    <s v="Australia"/>
    <s v="Mount Isa"/>
    <s v="CLONCURRY EXCHANGE __ STORE"/>
    <n v="423030040400"/>
    <s v="Waste"/>
    <x v="1"/>
    <x v="2"/>
    <s v="Account"/>
    <s v="Remondis General Waste"/>
    <m/>
    <s v="4230300404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128Waste - General [t] - Scope 3"/>
    <n v="13564128"/>
  </r>
  <r>
    <d v="2019-07-01T00:00:00"/>
    <d v="2021-06-30T00:00:00"/>
    <s v="Telstra"/>
    <s v="NETWORK"/>
    <s v="Network - InfraCo"/>
    <s v="QLD"/>
    <s v="Australia"/>
    <s v="Mount Isa"/>
    <s v="CLONCURRY EXCHANGE __ STORE"/>
    <n v="423030040400"/>
    <s v="Waste"/>
    <x v="1"/>
    <x v="2"/>
    <s v="Account"/>
    <s v="Remondis General Waste"/>
    <m/>
    <s v="4230300404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128Waste - General [t] - Scope 3"/>
    <n v="13564128"/>
  </r>
  <r>
    <d v="2019-07-01T00:00:00"/>
    <d v="2021-06-30T00:00:00"/>
    <s v="Telstra"/>
    <s v="NETWORK"/>
    <s v="Network - InfraCo"/>
    <s v="QLD"/>
    <s v="Australia"/>
    <s v="Mount Isa"/>
    <s v="CLONCURRY EXCHANGE __ STORE"/>
    <n v="423030040400"/>
    <s v="Waste"/>
    <x v="1"/>
    <x v="2"/>
    <s v="Account"/>
    <s v="Remondis General Waste"/>
    <m/>
    <s v="423030040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28Waste - General [t] - Scope 3"/>
    <n v="13564128"/>
  </r>
  <r>
    <d v="2019-07-01T00:00:00"/>
    <d v="2021-06-30T00:00:00"/>
    <s v="Telstra"/>
    <s v="NETWORK"/>
    <s v="Network - InfraCo"/>
    <s v="QLD"/>
    <s v="Australia"/>
    <s v="Mount Isa"/>
    <s v="CLONCURRY EXCHANGE __ STORE"/>
    <n v="423030040400"/>
    <s v="Waste"/>
    <x v="1"/>
    <x v="2"/>
    <s v="Account"/>
    <s v="Remondis General Waste"/>
    <m/>
    <s v="423030040400_WGENERALW"/>
    <s v="GENERAL WASTE"/>
    <s v="Remondis"/>
    <m/>
    <m/>
    <d v="2021-01-01T00:00:00"/>
    <d v="2021-01-01T00:00:00"/>
    <s v="FY21"/>
    <s v="t"/>
    <n v="0"/>
    <n v="0"/>
    <n v="3.8E-3"/>
    <n v="3.8E-3"/>
    <n v="0"/>
    <n v="0"/>
    <n v="1"/>
    <n v="1"/>
    <n v="0"/>
    <n v="0"/>
    <n v="100"/>
    <s v="Consolidation"/>
    <s v="CO2e and Base Measure"/>
    <n v="100"/>
    <n v="100"/>
    <n v="0"/>
    <m/>
    <m/>
    <m/>
    <m/>
    <m/>
    <n v="4.8999999999999998E-3"/>
    <m/>
    <n v="4.8999999999999998E-3"/>
    <m/>
    <m/>
    <m/>
    <m/>
    <m/>
    <s v="AUD"/>
    <s v="13564128Waste - General [t] - Scope 3"/>
    <n v="13564128"/>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500Waste - General [t] - Scope 3"/>
    <n v="13634500"/>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2-01T00:00:00"/>
    <s v="FY21"/>
    <s v="t"/>
    <n v="0"/>
    <n v="0.27"/>
    <n v="0"/>
    <n v="0.27"/>
    <n v="0"/>
    <n v="2"/>
    <n v="0"/>
    <n v="2"/>
    <n v="0"/>
    <n v="100"/>
    <n v="0"/>
    <s v="Consolidation"/>
    <s v="CO2e and Base Measure"/>
    <n v="100"/>
    <n v="100"/>
    <n v="0.27"/>
    <m/>
    <m/>
    <m/>
    <m/>
    <m/>
    <n v="0.35099999999999998"/>
    <m/>
    <n v="0.35099999999999998"/>
    <m/>
    <m/>
    <m/>
    <m/>
    <m/>
    <s v="AUD"/>
    <s v="13634500Waste - General [t] - Scope 3"/>
    <n v="13634500"/>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3-01T00:00:00"/>
    <s v="FY21"/>
    <s v="t"/>
    <n v="0"/>
    <n v="0.40500000000000003"/>
    <n v="0"/>
    <n v="0.40500000000000003"/>
    <n v="0"/>
    <n v="3"/>
    <n v="0"/>
    <n v="3"/>
    <n v="0"/>
    <n v="100"/>
    <n v="0"/>
    <s v="Consolidation"/>
    <s v="CO2e and Base Measure"/>
    <n v="100"/>
    <n v="100"/>
    <n v="0.41"/>
    <m/>
    <m/>
    <m/>
    <m/>
    <m/>
    <n v="0.52649999999999997"/>
    <m/>
    <n v="0.52649999999999997"/>
    <m/>
    <m/>
    <m/>
    <m/>
    <m/>
    <s v="AUD"/>
    <s v="13634500Waste - General [t] - Scope 3"/>
    <n v="13634500"/>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4-01T00:00:00"/>
    <s v="FY21"/>
    <s v="t"/>
    <n v="0"/>
    <n v="0"/>
    <n v="0.27300000000000002"/>
    <n v="0.27300000000000002"/>
    <n v="0"/>
    <n v="0"/>
    <n v="30"/>
    <n v="30"/>
    <n v="0"/>
    <n v="0"/>
    <n v="100"/>
    <s v="Consolidation"/>
    <s v="CO2e and Base Measure"/>
    <n v="100"/>
    <n v="100"/>
    <n v="0.27"/>
    <m/>
    <m/>
    <m/>
    <m/>
    <m/>
    <n v="0.35489999999999999"/>
    <m/>
    <n v="0.35489999999999999"/>
    <m/>
    <m/>
    <m/>
    <m/>
    <m/>
    <s v="AUD"/>
    <s v="13634500Waste - General [t] - Scope 3"/>
    <n v="13634500"/>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5-01T00:00:00"/>
    <s v="FY21"/>
    <s v="t"/>
    <n v="0"/>
    <n v="0"/>
    <n v="0.28210000000000002"/>
    <n v="0.28210000000000002"/>
    <n v="0"/>
    <n v="0"/>
    <n v="31"/>
    <n v="31"/>
    <n v="0"/>
    <n v="0"/>
    <n v="100"/>
    <s v="Consolidation"/>
    <s v="CO2e and Base Measure"/>
    <n v="100"/>
    <n v="100"/>
    <n v="0.28000000000000003"/>
    <m/>
    <m/>
    <m/>
    <m/>
    <m/>
    <n v="0.36670000000000003"/>
    <m/>
    <n v="0.36670000000000003"/>
    <m/>
    <m/>
    <m/>
    <m/>
    <m/>
    <s v="AUD"/>
    <s v="13634500Waste - General [t] - Scope 3"/>
    <n v="13634500"/>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07-01T00:00:00"/>
    <s v="FY21"/>
    <s v="t"/>
    <n v="2.7E-2"/>
    <n v="0"/>
    <n v="0"/>
    <n v="2.7E-2"/>
    <n v="2"/>
    <n v="0"/>
    <n v="0"/>
    <n v="2"/>
    <n v="100"/>
    <n v="0"/>
    <n v="0"/>
    <s v="Consolidation"/>
    <s v="CO2e and Base Measure"/>
    <n v="100"/>
    <n v="100"/>
    <n v="0.03"/>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08-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09-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10-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11-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12-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1-01T00:00:00"/>
    <s v="FY21"/>
    <s v="t"/>
    <n v="0"/>
    <n v="0"/>
    <n v="1.55E-2"/>
    <n v="1.55E-2"/>
    <n v="0"/>
    <n v="0"/>
    <n v="31"/>
    <n v="31"/>
    <n v="0"/>
    <n v="0"/>
    <n v="100"/>
    <s v="Consolidation"/>
    <s v="CO2e and Base Measure"/>
    <n v="100"/>
    <n v="100"/>
    <n v="0.02"/>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2-01T00:00:00"/>
    <s v="FY21"/>
    <s v="t"/>
    <n v="0"/>
    <n v="0"/>
    <n v="1.4E-2"/>
    <n v="1.4E-2"/>
    <n v="0"/>
    <n v="0"/>
    <n v="28"/>
    <n v="28"/>
    <n v="0"/>
    <n v="0"/>
    <n v="10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3-01T00:00:00"/>
    <s v="FY21"/>
    <s v="t"/>
    <n v="0"/>
    <n v="0"/>
    <n v="1.55E-2"/>
    <n v="1.55E-2"/>
    <n v="0"/>
    <n v="0"/>
    <n v="31"/>
    <n v="31"/>
    <n v="0"/>
    <n v="0"/>
    <n v="100"/>
    <s v="Consolidation"/>
    <s v="CO2e and Base Measure"/>
    <n v="100"/>
    <n v="100"/>
    <n v="0.02"/>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5-01T00:00:00"/>
    <s v="FY21"/>
    <s v="t"/>
    <n v="0"/>
    <n v="0"/>
    <n v="1.55E-2"/>
    <n v="1.55E-2"/>
    <n v="0"/>
    <n v="0"/>
    <n v="31"/>
    <n v="31"/>
    <n v="0"/>
    <n v="0"/>
    <n v="100"/>
    <s v="Consolidation"/>
    <s v="CO2e and Base Measure"/>
    <n v="100"/>
    <n v="100"/>
    <n v="0.02"/>
    <m/>
    <m/>
    <m/>
    <m/>
    <m/>
    <m/>
    <m/>
    <m/>
    <m/>
    <m/>
    <m/>
    <m/>
    <m/>
    <s v="AUD"/>
    <s v="13566416Waste Recycled - Paper and Cardboard [t]"/>
    <n v="13566416"/>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0-12-01T00:00:00"/>
    <s v="FY21"/>
    <s v="t"/>
    <n v="0"/>
    <n v="0.19800000000000001"/>
    <n v="0"/>
    <n v="0.19800000000000001"/>
    <n v="0"/>
    <n v="4"/>
    <n v="0"/>
    <n v="4"/>
    <n v="0"/>
    <n v="100"/>
    <n v="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1-01T00:00:00"/>
    <s v="FY21"/>
    <s v="t"/>
    <n v="0"/>
    <n v="0.19800000000000001"/>
    <n v="0"/>
    <n v="0.19800000000000001"/>
    <n v="0"/>
    <n v="4"/>
    <n v="0"/>
    <n v="4"/>
    <n v="0"/>
    <n v="100"/>
    <n v="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2-01T00:00:00"/>
    <s v="FY21"/>
    <s v="t"/>
    <n v="0"/>
    <n v="0.19800000000000001"/>
    <n v="0"/>
    <n v="0.19800000000000001"/>
    <n v="0"/>
    <n v="4"/>
    <n v="0"/>
    <n v="4"/>
    <n v="0"/>
    <n v="100"/>
    <n v="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3-01T00:00:00"/>
    <s v="FY21"/>
    <s v="t"/>
    <n v="0"/>
    <n v="0.19800000000000001"/>
    <n v="0"/>
    <n v="0.19800000000000001"/>
    <n v="0"/>
    <n v="4"/>
    <n v="0"/>
    <n v="4"/>
    <n v="0"/>
    <n v="100"/>
    <n v="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4-01T00:00:00"/>
    <s v="FY21"/>
    <s v="t"/>
    <n v="0"/>
    <n v="0"/>
    <n v="0.19800000000000001"/>
    <n v="0.19800000000000001"/>
    <n v="0"/>
    <n v="0"/>
    <n v="30"/>
    <n v="30"/>
    <n v="0"/>
    <n v="0"/>
    <n v="10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5-01T00:00:00"/>
    <s v="FY21"/>
    <s v="t"/>
    <n v="0"/>
    <n v="0"/>
    <n v="0.2046"/>
    <n v="0.2046"/>
    <n v="0"/>
    <n v="0"/>
    <n v="31"/>
    <n v="31"/>
    <n v="0"/>
    <n v="0"/>
    <n v="100"/>
    <s v="Consolidation"/>
    <s v="CO2e and Base Measure"/>
    <n v="100"/>
    <n v="100"/>
    <n v="0.2"/>
    <m/>
    <m/>
    <m/>
    <m/>
    <m/>
    <n v="0.26600000000000001"/>
    <m/>
    <n v="0.26600000000000001"/>
    <m/>
    <m/>
    <m/>
    <m/>
    <m/>
    <s v="AUD"/>
    <s v="13634360Waste - General [t] - Scope 3"/>
    <n v="13634360"/>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0-12-01T00:00:00"/>
    <s v="FY21"/>
    <s v="t"/>
    <n v="0.52"/>
    <n v="0"/>
    <n v="0"/>
    <n v="0.52"/>
    <n v="1"/>
    <n v="0"/>
    <n v="0"/>
    <n v="1"/>
    <n v="100"/>
    <n v="0"/>
    <n v="0"/>
    <s v="Consolidation"/>
    <s v="CO2e and Base Measure"/>
    <n v="100"/>
    <n v="100"/>
    <n v="0.52"/>
    <m/>
    <m/>
    <m/>
    <m/>
    <m/>
    <n v="0.67600000000000005"/>
    <m/>
    <n v="0.67600000000000005"/>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1-01T00:00:00"/>
    <s v="FY21"/>
    <s v="t"/>
    <n v="0"/>
    <n v="0"/>
    <n v="0.5363"/>
    <n v="0.5363"/>
    <n v="0"/>
    <n v="0"/>
    <n v="31"/>
    <n v="31"/>
    <n v="0"/>
    <n v="0"/>
    <n v="100"/>
    <s v="Consolidation"/>
    <s v="CO2e and Base Measure"/>
    <n v="100"/>
    <n v="100"/>
    <n v="0.54"/>
    <m/>
    <m/>
    <m/>
    <m/>
    <m/>
    <n v="0.69720000000000004"/>
    <m/>
    <n v="0.69720000000000004"/>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2-01T00:00:00"/>
    <s v="FY21"/>
    <s v="t"/>
    <n v="0"/>
    <n v="0"/>
    <n v="0.4844"/>
    <n v="0.4844"/>
    <n v="0"/>
    <n v="0"/>
    <n v="28"/>
    <n v="28"/>
    <n v="0"/>
    <n v="0"/>
    <n v="100"/>
    <s v="Consolidation"/>
    <s v="CO2e and Base Measure"/>
    <n v="100"/>
    <n v="100"/>
    <n v="0.48"/>
    <m/>
    <m/>
    <m/>
    <m/>
    <m/>
    <n v="0.62970000000000004"/>
    <m/>
    <n v="0.62970000000000004"/>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3-01T00:00:00"/>
    <s v="FY21"/>
    <s v="t"/>
    <n v="0"/>
    <n v="0"/>
    <n v="0.5363"/>
    <n v="0.5363"/>
    <n v="0"/>
    <n v="0"/>
    <n v="31"/>
    <n v="31"/>
    <n v="0"/>
    <n v="0"/>
    <n v="100"/>
    <s v="Consolidation"/>
    <s v="CO2e and Base Measure"/>
    <n v="100"/>
    <n v="100"/>
    <n v="0.54"/>
    <m/>
    <m/>
    <m/>
    <m/>
    <m/>
    <n v="0.69720000000000004"/>
    <m/>
    <n v="0.69720000000000004"/>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4-01T00:00:00"/>
    <s v="FY21"/>
    <s v="t"/>
    <n v="0"/>
    <n v="0"/>
    <n v="0.51900000000000002"/>
    <n v="0.51900000000000002"/>
    <n v="0"/>
    <n v="0"/>
    <n v="30"/>
    <n v="30"/>
    <n v="0"/>
    <n v="0"/>
    <n v="100"/>
    <s v="Consolidation"/>
    <s v="CO2e and Base Measure"/>
    <n v="100"/>
    <n v="100"/>
    <n v="0.52"/>
    <m/>
    <m/>
    <m/>
    <m/>
    <m/>
    <n v="0.67469999999999997"/>
    <m/>
    <n v="0.67469999999999997"/>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5-01T00:00:00"/>
    <s v="FY21"/>
    <s v="t"/>
    <n v="0"/>
    <n v="0"/>
    <n v="0.5363"/>
    <n v="0.5363"/>
    <n v="0"/>
    <n v="0"/>
    <n v="31"/>
    <n v="31"/>
    <n v="0"/>
    <n v="0"/>
    <n v="100"/>
    <s v="Consolidation"/>
    <s v="CO2e and Base Measure"/>
    <n v="100"/>
    <n v="100"/>
    <n v="0.54"/>
    <m/>
    <m/>
    <m/>
    <m/>
    <m/>
    <n v="0.69720000000000004"/>
    <m/>
    <n v="0.69720000000000004"/>
    <m/>
    <m/>
    <m/>
    <m/>
    <m/>
    <s v="AUD"/>
    <s v="13633416Waste - General [t] - Scope 3"/>
    <n v="13633416"/>
  </r>
  <r>
    <d v="2019-07-01T00:00:00"/>
    <d v="2021-06-30T00:00:00"/>
    <s v="Telstra"/>
    <s v="NETWORK"/>
    <s v="Network - InfraCo"/>
    <s v="NSW"/>
    <s v="Australia"/>
    <s v="Bermagui"/>
    <s v="COBARGO EXCHANGE"/>
    <n v="423030336300"/>
    <s v="Waste"/>
    <x v="1"/>
    <x v="2"/>
    <s v="Account"/>
    <s v="Remondis General Waste"/>
    <m/>
    <s v="423030336300_WGENERALW"/>
    <s v="GENERAL WASTE"/>
    <s v="Remondis"/>
    <m/>
    <m/>
    <d v="2021-01-01T00:00:00"/>
    <d v="2020-08-01T00:00:00"/>
    <s v="FY21"/>
    <s v="t"/>
    <n v="0.6"/>
    <n v="0.19500000000000001"/>
    <n v="0"/>
    <n v="0.79500000000000004"/>
    <n v="1"/>
    <n v="1"/>
    <n v="0"/>
    <n v="2"/>
    <n v="75.47"/>
    <n v="24.52"/>
    <n v="0"/>
    <s v="Consolidation"/>
    <s v="CO2e and Base Measure"/>
    <n v="100"/>
    <n v="100"/>
    <n v="0.8"/>
    <m/>
    <m/>
    <m/>
    <m/>
    <m/>
    <n v="1.0335000000000001"/>
    <m/>
    <n v="1.0335000000000001"/>
    <m/>
    <m/>
    <m/>
    <m/>
    <m/>
    <s v="AUD"/>
    <s v="13592845Waste - General [t] - Scope 3"/>
    <n v="13592845"/>
  </r>
  <r>
    <d v="2019-07-01T00:00:00"/>
    <d v="2021-06-30T00:00:00"/>
    <s v="Telstra"/>
    <s v="NETWORK"/>
    <s v="Network - InfraCo"/>
    <s v="NSW"/>
    <s v="Australia"/>
    <s v="Bermagui"/>
    <s v="COBARGO EXCHANGE"/>
    <n v="423030336300"/>
    <s v="Waste"/>
    <x v="1"/>
    <x v="2"/>
    <s v="Account"/>
    <s v="Remondis General Waste"/>
    <m/>
    <s v="423030336300_WGENERALW"/>
    <s v="GENERAL WASTE"/>
    <s v="Remondis"/>
    <m/>
    <m/>
    <d v="2021-01-01T00:00:00"/>
    <d v="2020-10-01T00:00:00"/>
    <s v="FY21"/>
    <s v="t"/>
    <n v="0.16"/>
    <n v="0"/>
    <n v="0"/>
    <n v="0.16"/>
    <n v="1"/>
    <n v="0"/>
    <n v="0"/>
    <n v="1"/>
    <n v="100"/>
    <n v="0"/>
    <n v="0"/>
    <s v="Consolidation"/>
    <s v="CO2e and Base Measure"/>
    <n v="100"/>
    <n v="100"/>
    <n v="0.16"/>
    <m/>
    <m/>
    <m/>
    <m/>
    <m/>
    <n v="0.20799999999999999"/>
    <m/>
    <n v="0.20799999999999999"/>
    <m/>
    <m/>
    <m/>
    <m/>
    <m/>
    <s v="AUD"/>
    <s v="13592845Waste - General [t] - Scope 3"/>
    <n v="13592845"/>
  </r>
  <r>
    <d v="2019-07-01T00:00:00"/>
    <d v="2021-06-30T00:00:00"/>
    <s v="Telstra"/>
    <s v="NETWORK"/>
    <s v="Network - InfraCo"/>
    <s v="NSW"/>
    <s v="Australia"/>
    <s v="Bermagui"/>
    <s v="COBARGO EXCHANGE"/>
    <n v="423030336300"/>
    <s v="Waste"/>
    <x v="1"/>
    <x v="2"/>
    <s v="Account"/>
    <s v="Remondis General Waste"/>
    <m/>
    <s v="423030336300_WGENERALW"/>
    <s v="GENERAL WASTE"/>
    <s v="Remondis"/>
    <m/>
    <m/>
    <d v="2021-01-01T00:00:00"/>
    <d v="2020-12-01T00:00:00"/>
    <s v="FY21"/>
    <s v="t"/>
    <n v="0.22"/>
    <n v="0"/>
    <n v="0"/>
    <n v="0.22"/>
    <n v="1"/>
    <n v="0"/>
    <n v="0"/>
    <n v="1"/>
    <n v="100"/>
    <n v="0"/>
    <n v="0"/>
    <s v="Consolidation"/>
    <s v="CO2e and Base Measure"/>
    <n v="100"/>
    <n v="100"/>
    <n v="0.22"/>
    <m/>
    <m/>
    <m/>
    <m/>
    <m/>
    <n v="0.28599999999999998"/>
    <m/>
    <n v="0.28599999999999998"/>
    <m/>
    <m/>
    <m/>
    <m/>
    <m/>
    <s v="AUD"/>
    <s v="13592845Waste - General [t] - Scope 3"/>
    <n v="13592845"/>
  </r>
  <r>
    <d v="2019-07-01T00:00:00"/>
    <d v="2021-06-30T00:00:00"/>
    <s v="Telstra"/>
    <s v="NETWORK"/>
    <s v="Network - InfraCo"/>
    <s v="NSW"/>
    <s v="Australia"/>
    <s v="Bermagui"/>
    <s v="COBARGO EXCHANGE"/>
    <n v="423030336300"/>
    <s v="Waste"/>
    <x v="1"/>
    <x v="2"/>
    <s v="Account"/>
    <s v="Remondis General Waste"/>
    <m/>
    <s v="423030336300_WGENERALW"/>
    <s v="GENERAL WASTE"/>
    <s v="Remondis"/>
    <m/>
    <m/>
    <d v="2021-01-01T00:00:00"/>
    <d v="2021-01-01T00:00:00"/>
    <s v="FY21"/>
    <s v="t"/>
    <n v="0"/>
    <n v="0"/>
    <n v="7.7000000000000002E-3"/>
    <n v="7.7000000000000002E-3"/>
    <n v="0"/>
    <n v="0"/>
    <n v="1"/>
    <n v="1"/>
    <n v="0"/>
    <n v="0"/>
    <n v="100"/>
    <s v="Consolidation"/>
    <s v="CO2e and Base Measure"/>
    <n v="100"/>
    <n v="100"/>
    <n v="0.01"/>
    <m/>
    <m/>
    <m/>
    <m/>
    <m/>
    <n v="0.01"/>
    <m/>
    <n v="0.01"/>
    <m/>
    <m/>
    <m/>
    <m/>
    <m/>
    <s v="AUD"/>
    <s v="13592845Waste - General [t] - Scope 3"/>
    <n v="13592845"/>
  </r>
  <r>
    <d v="2019-07-01T00:00:00"/>
    <d v="2021-06-30T00:00:00"/>
    <s v="Telstra"/>
    <s v="NETWORK"/>
    <s v="Network - InfraCo"/>
    <s v="VIC"/>
    <s v="Australia"/>
    <s v="Finley"/>
    <s v="COBRAM EXCHANGE"/>
    <n v="423030571800"/>
    <s v="Waste"/>
    <x v="1"/>
    <x v="4"/>
    <s v="Account"/>
    <s v="Remondis Asbestos"/>
    <m/>
    <s v="4230305718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861Waste - Construction and Demolition [t]"/>
    <n v="13564861"/>
  </r>
  <r>
    <d v="2019-07-01T00:00:00"/>
    <d v="2021-06-30T00:00:00"/>
    <s v="Telstra"/>
    <s v="NETWORK"/>
    <s v="Network - InfraCo"/>
    <s v="VIC"/>
    <s v="Australia"/>
    <s v="Finley"/>
    <s v="COBRAM EXCHANGE"/>
    <n v="423030571800"/>
    <s v="Waste"/>
    <x v="1"/>
    <x v="4"/>
    <s v="Account"/>
    <s v="Remondis Asbestos"/>
    <m/>
    <s v="4230305718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861Waste - Construction and Demolition [t]"/>
    <n v="13564861"/>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4862Waste - General [t] - Scope 3"/>
    <n v="13564862"/>
  </r>
  <r>
    <d v="2019-07-01T00:00:00"/>
    <d v="2021-06-30T00:00:00"/>
    <s v="Telstra"/>
    <s v="NETWORK"/>
    <s v="Network - InfraCo"/>
    <s v="VIC"/>
    <s v="Australia"/>
    <s v="Finley"/>
    <s v="COBRAM EXCHANGE"/>
    <n v="423030571800"/>
    <s v="Waste"/>
    <x v="1"/>
    <x v="2"/>
    <s v="Account"/>
    <s v="CLEANAWAY General"/>
    <m/>
    <s v="25519_Landfill_General"/>
    <s v="General"/>
    <s v="Cleanaway"/>
    <m/>
    <d v="2021-03-22T00:00:00"/>
    <m/>
    <d v="2021-03-01T00:00:00"/>
    <s v="FY21"/>
    <s v="t"/>
    <n v="0.159"/>
    <n v="0"/>
    <n v="0"/>
    <n v="0.159"/>
    <n v="1"/>
    <n v="0"/>
    <n v="0"/>
    <n v="1"/>
    <n v="100"/>
    <n v="0"/>
    <n v="0"/>
    <s v="Consolidation"/>
    <s v="CO2e and Base Measure"/>
    <n v="100"/>
    <n v="100"/>
    <n v="0.16"/>
    <m/>
    <m/>
    <m/>
    <m/>
    <m/>
    <n v="0.20669999999999999"/>
    <m/>
    <n v="0.20669999999999999"/>
    <m/>
    <m/>
    <m/>
    <m/>
    <m/>
    <s v="AUD"/>
    <s v="13641212Waste - General [t] - Scope 3"/>
    <n v="13641212"/>
  </r>
  <r>
    <d v="2019-07-01T00:00:00"/>
    <d v="2021-06-30T00:00:00"/>
    <s v="Telstra"/>
    <s v="NETWORK"/>
    <s v="Network - InfraCo"/>
    <s v="VIC"/>
    <s v="Australia"/>
    <s v="Finley"/>
    <s v="COBRAM EXCHANGE"/>
    <n v="423030571800"/>
    <s v="Waste"/>
    <x v="1"/>
    <x v="2"/>
    <s v="Account"/>
    <s v="CLEANAWAY General"/>
    <m/>
    <s v="25519_Landfill_General"/>
    <s v="General"/>
    <s v="Cleanaway"/>
    <m/>
    <d v="2021-03-22T00:00:00"/>
    <m/>
    <d v="2021-04-01T00:00:00"/>
    <s v="FY21"/>
    <s v="t"/>
    <n v="0"/>
    <n v="0"/>
    <n v="0.159"/>
    <n v="0.159"/>
    <n v="0"/>
    <n v="0"/>
    <n v="30"/>
    <n v="30"/>
    <n v="0"/>
    <n v="0"/>
    <n v="100"/>
    <s v="Consolidation"/>
    <s v="CO2e and Base Measure"/>
    <n v="100"/>
    <n v="100"/>
    <n v="0.16"/>
    <m/>
    <m/>
    <m/>
    <m/>
    <m/>
    <n v="0.20669999999999999"/>
    <m/>
    <n v="0.20669999999999999"/>
    <m/>
    <m/>
    <m/>
    <m/>
    <m/>
    <s v="AUD"/>
    <s v="13641212Waste - General [t] - Scope 3"/>
    <n v="13641212"/>
  </r>
  <r>
    <d v="2019-07-01T00:00:00"/>
    <d v="2021-06-30T00:00:00"/>
    <s v="Telstra"/>
    <s v="NETWORK"/>
    <s v="Network - InfraCo"/>
    <s v="VIC"/>
    <s v="Australia"/>
    <s v="Finley"/>
    <s v="COBRAM EXCHANGE"/>
    <n v="423030571800"/>
    <s v="Waste"/>
    <x v="1"/>
    <x v="2"/>
    <s v="Account"/>
    <s v="CLEANAWAY General"/>
    <m/>
    <s v="25519_Landfill_General"/>
    <s v="General"/>
    <s v="Cleanaway"/>
    <m/>
    <d v="2021-03-22T00:00:00"/>
    <m/>
    <d v="2021-05-01T00:00:00"/>
    <s v="FY21"/>
    <s v="t"/>
    <n v="0"/>
    <n v="0"/>
    <n v="0.1643"/>
    <n v="0.1643"/>
    <n v="0"/>
    <n v="0"/>
    <n v="31"/>
    <n v="31"/>
    <n v="0"/>
    <n v="0"/>
    <n v="100"/>
    <s v="Consolidation"/>
    <s v="CO2e and Base Measure"/>
    <n v="100"/>
    <n v="100"/>
    <n v="0.16"/>
    <m/>
    <m/>
    <m/>
    <m/>
    <m/>
    <n v="0.21360000000000001"/>
    <m/>
    <n v="0.21360000000000001"/>
    <m/>
    <m/>
    <m/>
    <m/>
    <m/>
    <s v="AUD"/>
    <s v="13641212Waste - General [t] - Scope 3"/>
    <n v="13641212"/>
  </r>
  <r>
    <d v="2019-07-01T00:00:00"/>
    <d v="2021-06-30T00:00:00"/>
    <s v="Telstra"/>
    <s v="NETWORK"/>
    <s v="Network - InfraCo"/>
    <s v="VIC"/>
    <s v="Australia"/>
    <s v="Coburg"/>
    <s v="COBURG EXCHANGE"/>
    <n v="423030571900"/>
    <s v="Waste"/>
    <x v="1"/>
    <x v="2"/>
    <s v="Account"/>
    <s v="Remondis General Waste"/>
    <m/>
    <s v="423030571900_WGENERALW"/>
    <s v="GENERAL WASTE"/>
    <s v="Remondis"/>
    <m/>
    <m/>
    <d v="2021-01-01T00:00:00"/>
    <d v="2020-08-01T00:00:00"/>
    <s v="FY21"/>
    <s v="t"/>
    <n v="0.66"/>
    <n v="0"/>
    <n v="0"/>
    <n v="0.66"/>
    <n v="1"/>
    <n v="0"/>
    <n v="0"/>
    <n v="1"/>
    <n v="100"/>
    <n v="0"/>
    <n v="0"/>
    <s v="Consolidation"/>
    <s v="CO2e and Base Measure"/>
    <n v="100"/>
    <n v="100"/>
    <n v="0.66"/>
    <m/>
    <m/>
    <m/>
    <m/>
    <m/>
    <n v="0.85799999999999998"/>
    <m/>
    <n v="0.85799999999999998"/>
    <m/>
    <m/>
    <m/>
    <m/>
    <m/>
    <s v="AUD"/>
    <s v="13564863Waste - General [t] - Scope 3"/>
    <n v="13564863"/>
  </r>
  <r>
    <d v="2019-07-01T00:00:00"/>
    <d v="2021-06-30T00:00:00"/>
    <s v="Telstra"/>
    <s v="NETWORK"/>
    <s v="Network - InfraCo"/>
    <s v="VIC"/>
    <s v="Australia"/>
    <s v="Coburg"/>
    <s v="COBURG EXCHANGE"/>
    <n v="423030571900"/>
    <s v="Waste"/>
    <x v="1"/>
    <x v="2"/>
    <s v="Account"/>
    <s v="Remondis General Waste"/>
    <m/>
    <s v="423030571900_WGENERALW"/>
    <s v="GENERAL WASTE"/>
    <s v="Remondis"/>
    <m/>
    <m/>
    <d v="2021-01-01T00:00:00"/>
    <d v="2020-12-01T00:00:00"/>
    <s v="FY21"/>
    <s v="t"/>
    <n v="0.24"/>
    <n v="0"/>
    <n v="0"/>
    <n v="0.24"/>
    <n v="1"/>
    <n v="0"/>
    <n v="0"/>
    <n v="1"/>
    <n v="100"/>
    <n v="0"/>
    <n v="0"/>
    <s v="Consolidation"/>
    <s v="CO2e and Base Measure"/>
    <n v="100"/>
    <n v="100"/>
    <n v="0.24"/>
    <m/>
    <m/>
    <m/>
    <m/>
    <m/>
    <n v="0.312"/>
    <m/>
    <n v="0.312"/>
    <m/>
    <m/>
    <m/>
    <m/>
    <m/>
    <s v="AUD"/>
    <s v="13564863Waste - General [t] - Scope 3"/>
    <n v="13564863"/>
  </r>
  <r>
    <d v="2019-07-01T00:00:00"/>
    <d v="2021-06-30T00:00:00"/>
    <s v="Telstra"/>
    <s v="NETWORK"/>
    <s v="Network - InfraCo"/>
    <s v="VIC"/>
    <s v="Australia"/>
    <s v="Coburg"/>
    <s v="COBURG EXCHANGE"/>
    <n v="423030571900"/>
    <s v="Waste"/>
    <x v="1"/>
    <x v="2"/>
    <s v="Account"/>
    <s v="Remondis General Waste"/>
    <m/>
    <s v="423030571900_WGENERALW"/>
    <s v="GENERAL WASTE"/>
    <s v="Remondis"/>
    <m/>
    <m/>
    <d v="2021-01-01T00:00:00"/>
    <d v="2021-01-01T00:00:00"/>
    <s v="FY21"/>
    <s v="t"/>
    <n v="0"/>
    <n v="0"/>
    <n v="5.4000000000000003E-3"/>
    <n v="5.4000000000000003E-3"/>
    <n v="0"/>
    <n v="0"/>
    <n v="1"/>
    <n v="1"/>
    <n v="0"/>
    <n v="0"/>
    <n v="100"/>
    <s v="Consolidation"/>
    <s v="CO2e and Base Measure"/>
    <n v="100"/>
    <n v="100"/>
    <n v="0.01"/>
    <m/>
    <m/>
    <m/>
    <m/>
    <m/>
    <n v="7.0000000000000001E-3"/>
    <m/>
    <n v="7.0000000000000001E-3"/>
    <m/>
    <m/>
    <m/>
    <m/>
    <m/>
    <s v="AUD"/>
    <s v="13564863Waste - General [t] - Scope 3"/>
    <n v="13564863"/>
  </r>
  <r>
    <d v="2019-07-01T00:00:00"/>
    <d v="2021-06-30T00:00:00"/>
    <s v="Telstra"/>
    <s v="NETWORK"/>
    <s v="Network - InfraCo"/>
    <s v="VIC"/>
    <s v="Australia"/>
    <s v="Coburg"/>
    <s v="COBURG EXCHANGE"/>
    <n v="423030571900"/>
    <s v="Waste"/>
    <x v="1"/>
    <x v="2"/>
    <s v="Account"/>
    <s v="CLEANAWAY General"/>
    <m/>
    <s v="25520_Landfill_General"/>
    <s v="General"/>
    <s v="Cleanaway"/>
    <m/>
    <d v="2021-02-02T00:00:00"/>
    <m/>
    <d v="2021-02-01T00:00:00"/>
    <s v="FY21"/>
    <s v="t"/>
    <n v="0.309"/>
    <n v="0"/>
    <n v="0"/>
    <n v="0.309"/>
    <n v="2"/>
    <n v="0"/>
    <n v="0"/>
    <n v="2"/>
    <n v="100"/>
    <n v="0"/>
    <n v="0"/>
    <s v="Consolidation"/>
    <s v="CO2e and Base Measure"/>
    <n v="100"/>
    <n v="100"/>
    <n v="0.31"/>
    <m/>
    <m/>
    <m/>
    <m/>
    <m/>
    <n v="0.4017"/>
    <m/>
    <n v="0.4017"/>
    <m/>
    <m/>
    <m/>
    <m/>
    <m/>
    <s v="AUD"/>
    <s v="13639891Waste - General [t] - Scope 3"/>
    <n v="13639891"/>
  </r>
  <r>
    <d v="2019-07-01T00:00:00"/>
    <d v="2021-06-30T00:00:00"/>
    <s v="Telstra"/>
    <s v="NETWORK"/>
    <s v="Network - InfraCo"/>
    <s v="VIC"/>
    <s v="Australia"/>
    <s v="Coburg"/>
    <s v="COBURG EXCHANGE"/>
    <n v="423030571900"/>
    <s v="Waste"/>
    <x v="1"/>
    <x v="2"/>
    <s v="Account"/>
    <s v="CLEANAWAY General"/>
    <m/>
    <s v="25520_Landfill_General"/>
    <s v="General"/>
    <s v="Cleanaway"/>
    <m/>
    <d v="2021-02-02T00:00:00"/>
    <m/>
    <d v="2021-03-01T00:00:00"/>
    <s v="FY21"/>
    <s v="t"/>
    <n v="0.04"/>
    <n v="0.13500000000000001"/>
    <n v="0"/>
    <n v="0.17499999999999999"/>
    <n v="1"/>
    <n v="1"/>
    <n v="0"/>
    <n v="2"/>
    <n v="22.85"/>
    <n v="77.14"/>
    <n v="0"/>
    <s v="Consolidation"/>
    <s v="CO2e and Base Measure"/>
    <n v="100"/>
    <n v="100"/>
    <n v="0.18"/>
    <m/>
    <m/>
    <m/>
    <m/>
    <m/>
    <n v="0.22750000000000001"/>
    <m/>
    <n v="0.22750000000000001"/>
    <m/>
    <m/>
    <m/>
    <m/>
    <m/>
    <s v="AUD"/>
    <s v="13639891Waste - General [t] - Scope 3"/>
    <n v="13639891"/>
  </r>
  <r>
    <d v="2019-07-01T00:00:00"/>
    <d v="2021-06-30T00:00:00"/>
    <s v="Telstra"/>
    <s v="NETWORK"/>
    <s v="Network - InfraCo"/>
    <s v="VIC"/>
    <s v="Australia"/>
    <s v="Coburg"/>
    <s v="COBURG EXCHANGE"/>
    <n v="423030571900"/>
    <s v="Waste"/>
    <x v="1"/>
    <x v="2"/>
    <s v="Account"/>
    <s v="CLEANAWAY General"/>
    <m/>
    <s v="25520_Landfill_General"/>
    <s v="General"/>
    <s v="Cleanaway"/>
    <m/>
    <d v="2021-02-02T00:00:00"/>
    <m/>
    <d v="2021-04-01T00:00:00"/>
    <s v="FY21"/>
    <s v="t"/>
    <n v="0"/>
    <n v="0"/>
    <n v="0.249"/>
    <n v="0.249"/>
    <n v="0"/>
    <n v="0"/>
    <n v="30"/>
    <n v="30"/>
    <n v="0"/>
    <n v="0"/>
    <n v="100"/>
    <s v="Consolidation"/>
    <s v="CO2e and Base Measure"/>
    <n v="100"/>
    <n v="100"/>
    <n v="0.25"/>
    <m/>
    <m/>
    <m/>
    <m/>
    <m/>
    <n v="0.32369999999999999"/>
    <m/>
    <n v="0.32369999999999999"/>
    <m/>
    <m/>
    <m/>
    <m/>
    <m/>
    <s v="AUD"/>
    <s v="13639891Waste - General [t] - Scope 3"/>
    <n v="13639891"/>
  </r>
  <r>
    <d v="2019-07-01T00:00:00"/>
    <d v="2021-06-30T00:00:00"/>
    <s v="Telstra"/>
    <s v="NETWORK"/>
    <s v="Network - InfraCo"/>
    <s v="VIC"/>
    <s v="Australia"/>
    <s v="Coburg"/>
    <s v="COBURG EXCHANGE"/>
    <n v="423030571900"/>
    <s v="Waste"/>
    <x v="1"/>
    <x v="2"/>
    <s v="Account"/>
    <s v="CLEANAWAY General"/>
    <m/>
    <s v="25520_Landfill_General"/>
    <s v="General"/>
    <s v="Cleanaway"/>
    <m/>
    <d v="2021-02-02T00:00:00"/>
    <m/>
    <d v="2021-05-01T00:00:00"/>
    <s v="FY21"/>
    <s v="t"/>
    <n v="0"/>
    <n v="0"/>
    <n v="0.25729999999999997"/>
    <n v="0.25729999999999997"/>
    <n v="0"/>
    <n v="0"/>
    <n v="31"/>
    <n v="31"/>
    <n v="0"/>
    <n v="0"/>
    <n v="100"/>
    <s v="Consolidation"/>
    <s v="CO2e and Base Measure"/>
    <n v="100"/>
    <n v="100"/>
    <n v="0.26"/>
    <m/>
    <m/>
    <m/>
    <m/>
    <m/>
    <n v="0.33450000000000002"/>
    <m/>
    <n v="0.33450000000000002"/>
    <m/>
    <m/>
    <m/>
    <m/>
    <m/>
    <s v="AUD"/>
    <s v="13639891Waste - General [t] - Scope 3"/>
    <n v="1363989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07-01T00:00:00"/>
    <s v="FY21"/>
    <s v="t"/>
    <n v="0"/>
    <n v="0.48749999999999999"/>
    <n v="0"/>
    <n v="0.48749999999999999"/>
    <n v="0"/>
    <n v="5"/>
    <n v="0"/>
    <n v="5"/>
    <n v="0"/>
    <n v="100"/>
    <n v="0"/>
    <s v="Consolidation"/>
    <s v="CO2e and Base Measure"/>
    <n v="100"/>
    <n v="100"/>
    <n v="0.49"/>
    <m/>
    <m/>
    <m/>
    <m/>
    <m/>
    <n v="0.63380000000000003"/>
    <m/>
    <n v="0.63380000000000003"/>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08-01T00:00:00"/>
    <s v="FY21"/>
    <s v="t"/>
    <n v="0"/>
    <n v="0.39"/>
    <n v="0"/>
    <n v="0.39"/>
    <n v="0"/>
    <n v="4"/>
    <n v="0"/>
    <n v="4"/>
    <n v="0"/>
    <n v="100"/>
    <n v="0"/>
    <s v="Consolidation"/>
    <s v="CO2e and Base Measure"/>
    <n v="100"/>
    <n v="100"/>
    <n v="0.39"/>
    <m/>
    <m/>
    <m/>
    <m/>
    <m/>
    <n v="0.50700000000000001"/>
    <m/>
    <n v="0.50700000000000001"/>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10-01T00:00:00"/>
    <s v="FY21"/>
    <s v="t"/>
    <n v="0"/>
    <n v="0.39"/>
    <n v="0"/>
    <n v="0.39"/>
    <n v="0"/>
    <n v="4"/>
    <n v="0"/>
    <n v="4"/>
    <n v="0"/>
    <n v="100"/>
    <n v="0"/>
    <s v="Consolidation"/>
    <s v="CO2e and Base Measure"/>
    <n v="100"/>
    <n v="100"/>
    <n v="0.39"/>
    <m/>
    <m/>
    <m/>
    <m/>
    <m/>
    <n v="0.50700000000000001"/>
    <m/>
    <n v="0.50700000000000001"/>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11-01T00:00:00"/>
    <s v="FY21"/>
    <s v="t"/>
    <n v="0"/>
    <n v="0.39"/>
    <n v="0"/>
    <n v="0.39"/>
    <n v="0"/>
    <n v="4"/>
    <n v="0"/>
    <n v="4"/>
    <n v="0"/>
    <n v="100"/>
    <n v="0"/>
    <s v="Consolidation"/>
    <s v="CO2e and Base Measure"/>
    <n v="100"/>
    <n v="100"/>
    <n v="0.39"/>
    <m/>
    <m/>
    <m/>
    <m/>
    <m/>
    <n v="0.50700000000000001"/>
    <m/>
    <n v="0.50700000000000001"/>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1-01-01T00:00:00"/>
    <s v="FY21"/>
    <s v="t"/>
    <n v="0"/>
    <n v="0"/>
    <n v="1.0999999999999999E-2"/>
    <n v="1.0999999999999999E-2"/>
    <n v="0"/>
    <n v="0"/>
    <n v="1"/>
    <n v="1"/>
    <n v="0"/>
    <n v="0"/>
    <n v="100"/>
    <s v="Consolidation"/>
    <s v="CO2e and Base Measure"/>
    <n v="100"/>
    <n v="100"/>
    <n v="0.01"/>
    <m/>
    <m/>
    <m/>
    <m/>
    <m/>
    <n v="1.43E-2"/>
    <m/>
    <n v="1.43E-2"/>
    <m/>
    <m/>
    <m/>
    <m/>
    <m/>
    <s v="AUD"/>
    <s v="13564611Waste - General [t] - Scope 3"/>
    <n v="13564611"/>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0-12-01T00:00:00"/>
    <s v="FY21"/>
    <s v="t"/>
    <n v="4.3999999999999997E-2"/>
    <n v="0.13500000000000001"/>
    <n v="0"/>
    <n v="0.17899999999999999"/>
    <n v="1"/>
    <n v="2"/>
    <n v="0"/>
    <n v="3"/>
    <n v="24.58"/>
    <n v="75.41"/>
    <n v="0"/>
    <s v="Consolidation"/>
    <s v="CO2e and Base Measure"/>
    <n v="100"/>
    <n v="100"/>
    <n v="0.18"/>
    <m/>
    <m/>
    <m/>
    <m/>
    <m/>
    <n v="0.23269999999999999"/>
    <m/>
    <n v="0.23269999999999999"/>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1-01T00:00:00"/>
    <s v="FY21"/>
    <s v="t"/>
    <n v="8.5000000000000006E-2"/>
    <n v="0.13500000000000001"/>
    <n v="0"/>
    <n v="0.22"/>
    <n v="1"/>
    <n v="2"/>
    <n v="0"/>
    <n v="3"/>
    <n v="38.630000000000003"/>
    <n v="61.36"/>
    <n v="0"/>
    <s v="Consolidation"/>
    <s v="CO2e and Base Measure"/>
    <n v="100"/>
    <n v="100"/>
    <n v="0.22"/>
    <m/>
    <m/>
    <m/>
    <m/>
    <m/>
    <n v="0.28599999999999998"/>
    <m/>
    <n v="0.28599999999999998"/>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2-01T00:00:00"/>
    <s v="FY21"/>
    <s v="t"/>
    <n v="0"/>
    <n v="0.20250000000000001"/>
    <n v="0"/>
    <n v="0.20250000000000001"/>
    <n v="0"/>
    <n v="3"/>
    <n v="0"/>
    <n v="3"/>
    <n v="0"/>
    <n v="100"/>
    <n v="0"/>
    <s v="Consolidation"/>
    <s v="CO2e and Base Measure"/>
    <n v="100"/>
    <n v="100"/>
    <n v="0.2"/>
    <m/>
    <m/>
    <m/>
    <m/>
    <m/>
    <n v="0.26329999999999998"/>
    <m/>
    <n v="0.26329999999999998"/>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3-01T00:00:00"/>
    <s v="FY21"/>
    <s v="t"/>
    <n v="6.4000000000000001E-2"/>
    <n v="0"/>
    <n v="0"/>
    <n v="6.4000000000000001E-2"/>
    <n v="1"/>
    <n v="0"/>
    <n v="0"/>
    <n v="1"/>
    <n v="100"/>
    <n v="0"/>
    <n v="0"/>
    <s v="Consolidation"/>
    <s v="CO2e and Base Measure"/>
    <n v="100"/>
    <n v="100"/>
    <n v="0.06"/>
    <m/>
    <m/>
    <m/>
    <m/>
    <m/>
    <n v="8.3199999999999996E-2"/>
    <m/>
    <n v="8.3199999999999996E-2"/>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4-01T00:00:00"/>
    <s v="FY21"/>
    <s v="t"/>
    <n v="0"/>
    <n v="0"/>
    <n v="0.16500000000000001"/>
    <n v="0.16500000000000001"/>
    <n v="0"/>
    <n v="0"/>
    <n v="30"/>
    <n v="30"/>
    <n v="0"/>
    <n v="0"/>
    <n v="100"/>
    <s v="Consolidation"/>
    <s v="CO2e and Base Measure"/>
    <n v="100"/>
    <n v="100"/>
    <n v="0.17"/>
    <m/>
    <m/>
    <m/>
    <m/>
    <m/>
    <n v="0.2145"/>
    <m/>
    <n v="0.2145"/>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5-01T00:00:00"/>
    <s v="FY21"/>
    <s v="t"/>
    <n v="0"/>
    <n v="0"/>
    <n v="0.17050000000000001"/>
    <n v="0.17050000000000001"/>
    <n v="0"/>
    <n v="0"/>
    <n v="31"/>
    <n v="31"/>
    <n v="0"/>
    <n v="0"/>
    <n v="100"/>
    <s v="Consolidation"/>
    <s v="CO2e and Base Measure"/>
    <n v="100"/>
    <n v="100"/>
    <n v="0.17"/>
    <m/>
    <m/>
    <m/>
    <m/>
    <m/>
    <n v="0.22170000000000001"/>
    <m/>
    <n v="0.22170000000000001"/>
    <m/>
    <m/>
    <m/>
    <m/>
    <m/>
    <s v="AUD"/>
    <s v="13634078Waste - General [t] - Scope 3"/>
    <n v="13634078"/>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0-11-01T00:00:00"/>
    <s v="FY21"/>
    <s v="t"/>
    <n v="0"/>
    <n v="2.8799999999999999E-2"/>
    <n v="0"/>
    <n v="2.8799999999999999E-2"/>
    <n v="0"/>
    <n v="1"/>
    <n v="0"/>
    <n v="1"/>
    <n v="0"/>
    <n v="100"/>
    <n v="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0-12-01T00:00:00"/>
    <s v="FY21"/>
    <s v="t"/>
    <n v="0"/>
    <n v="0"/>
    <n v="3.1E-2"/>
    <n v="3.1E-2"/>
    <n v="0"/>
    <n v="0"/>
    <n v="31"/>
    <n v="31"/>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1-01T00:00:00"/>
    <s v="FY21"/>
    <s v="t"/>
    <n v="0"/>
    <n v="0"/>
    <n v="3.1E-2"/>
    <n v="3.1E-2"/>
    <n v="0"/>
    <n v="0"/>
    <n v="31"/>
    <n v="31"/>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2-01T00:00:00"/>
    <s v="FY21"/>
    <s v="t"/>
    <n v="0"/>
    <n v="0"/>
    <n v="2.8000000000000001E-2"/>
    <n v="2.8000000000000001E-2"/>
    <n v="0"/>
    <n v="0"/>
    <n v="28"/>
    <n v="28"/>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3-01T00:00:00"/>
    <s v="FY21"/>
    <s v="t"/>
    <n v="0"/>
    <n v="0"/>
    <n v="3.1E-2"/>
    <n v="3.1E-2"/>
    <n v="0"/>
    <n v="0"/>
    <n v="31"/>
    <n v="31"/>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4-01T00:00:00"/>
    <s v="FY21"/>
    <s v="t"/>
    <n v="0"/>
    <n v="0"/>
    <n v="0.03"/>
    <n v="0.03"/>
    <n v="0"/>
    <n v="0"/>
    <n v="30"/>
    <n v="30"/>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5-01T00:00:00"/>
    <s v="FY21"/>
    <s v="t"/>
    <n v="0"/>
    <n v="0"/>
    <n v="3.1E-2"/>
    <n v="3.1E-2"/>
    <n v="0"/>
    <n v="0"/>
    <n v="31"/>
    <n v="31"/>
    <n v="0"/>
    <n v="0"/>
    <n v="100"/>
    <s v="Consolidation"/>
    <s v="CO2e and Base Measure"/>
    <n v="100"/>
    <n v="100"/>
    <n v="0.03"/>
    <m/>
    <m/>
    <m/>
    <m/>
    <m/>
    <m/>
    <n v="0"/>
    <m/>
    <m/>
    <m/>
    <m/>
    <m/>
    <m/>
    <s v="AUD"/>
    <s v="13632349Waste Recycled - Cardboard [t]"/>
    <n v="13632349"/>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07-01T00:00:00"/>
    <s v="FY21"/>
    <s v="t"/>
    <n v="0.25"/>
    <n v="9.7500000000000003E-2"/>
    <n v="0"/>
    <n v="0.34749999999999998"/>
    <n v="2"/>
    <n v="1"/>
    <n v="0"/>
    <n v="3"/>
    <n v="71.94"/>
    <n v="28.05"/>
    <n v="0"/>
    <s v="Consolidation"/>
    <s v="CO2e and Base Measure"/>
    <n v="100"/>
    <n v="100"/>
    <n v="0.35"/>
    <m/>
    <m/>
    <m/>
    <m/>
    <m/>
    <n v="0.45179999999999998"/>
    <m/>
    <n v="0.45179999999999998"/>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08-01T00:00:00"/>
    <s v="FY21"/>
    <s v="t"/>
    <n v="0.17499999999999999"/>
    <n v="0"/>
    <n v="0"/>
    <n v="0.17499999999999999"/>
    <n v="2"/>
    <n v="0"/>
    <n v="0"/>
    <n v="2"/>
    <n v="100"/>
    <n v="0"/>
    <n v="0"/>
    <s v="Consolidation"/>
    <s v="CO2e and Base Measure"/>
    <n v="100"/>
    <n v="100"/>
    <n v="0.18"/>
    <m/>
    <m/>
    <m/>
    <m/>
    <m/>
    <n v="0.22750000000000001"/>
    <m/>
    <n v="0.22750000000000001"/>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09-01T00:00:00"/>
    <s v="FY21"/>
    <s v="t"/>
    <n v="0.23499999999999999"/>
    <n v="0"/>
    <n v="0"/>
    <n v="0.23499999999999999"/>
    <n v="2"/>
    <n v="0"/>
    <n v="0"/>
    <n v="2"/>
    <n v="100"/>
    <n v="0"/>
    <n v="0"/>
    <s v="Consolidation"/>
    <s v="CO2e and Base Measure"/>
    <n v="100"/>
    <n v="100"/>
    <n v="0.24"/>
    <m/>
    <m/>
    <m/>
    <m/>
    <m/>
    <n v="0.30549999999999999"/>
    <m/>
    <n v="0.30549999999999999"/>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10-01T00:00:00"/>
    <s v="FY21"/>
    <s v="t"/>
    <n v="0.23"/>
    <n v="0"/>
    <n v="0"/>
    <n v="0.23"/>
    <n v="2"/>
    <n v="0"/>
    <n v="0"/>
    <n v="2"/>
    <n v="100"/>
    <n v="0"/>
    <n v="0"/>
    <s v="Consolidation"/>
    <s v="CO2e and Base Measure"/>
    <n v="100"/>
    <n v="100"/>
    <n v="0.23"/>
    <m/>
    <m/>
    <m/>
    <m/>
    <m/>
    <n v="0.29899999999999999"/>
    <m/>
    <n v="0.29899999999999999"/>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11-01T00:00:00"/>
    <s v="FY21"/>
    <s v="t"/>
    <n v="0.215"/>
    <n v="0"/>
    <n v="0"/>
    <n v="0.215"/>
    <n v="2"/>
    <n v="0"/>
    <n v="0"/>
    <n v="2"/>
    <n v="100"/>
    <n v="0"/>
    <n v="0"/>
    <s v="Consolidation"/>
    <s v="CO2e and Base Measure"/>
    <n v="100"/>
    <n v="100"/>
    <n v="0.22"/>
    <m/>
    <m/>
    <m/>
    <m/>
    <m/>
    <n v="0.27950000000000003"/>
    <m/>
    <n v="0.27950000000000003"/>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12-01T00:00:00"/>
    <s v="FY21"/>
    <s v="t"/>
    <n v="0.185"/>
    <n v="9.7500000000000003E-2"/>
    <n v="0"/>
    <n v="0.28249999999999997"/>
    <n v="1"/>
    <n v="1"/>
    <n v="0"/>
    <n v="2"/>
    <n v="65.48"/>
    <n v="34.51"/>
    <n v="0"/>
    <s v="Consolidation"/>
    <s v="CO2e and Base Measure"/>
    <n v="100"/>
    <n v="100"/>
    <n v="0.28000000000000003"/>
    <m/>
    <m/>
    <m/>
    <m/>
    <m/>
    <n v="0.36730000000000002"/>
    <m/>
    <n v="0.36730000000000002"/>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1-01-01T00:00:00"/>
    <s v="FY21"/>
    <s v="t"/>
    <n v="0"/>
    <n v="0"/>
    <n v="9.1000000000000004E-3"/>
    <n v="9.1000000000000004E-3"/>
    <n v="0"/>
    <n v="0"/>
    <n v="1"/>
    <n v="1"/>
    <n v="0"/>
    <n v="0"/>
    <n v="100"/>
    <s v="Consolidation"/>
    <s v="CO2e and Base Measure"/>
    <n v="100"/>
    <n v="100"/>
    <n v="0.01"/>
    <m/>
    <m/>
    <m/>
    <m/>
    <m/>
    <n v="1.18E-2"/>
    <m/>
    <n v="1.18E-2"/>
    <m/>
    <m/>
    <m/>
    <m/>
    <m/>
    <s v="AUD"/>
    <s v="13565976Waste - General [t] - Scope 3"/>
    <n v="1356597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07-01T00:00:00"/>
    <s v="FY21"/>
    <s v="t"/>
    <n v="0.9"/>
    <n v="0"/>
    <n v="0"/>
    <n v="0.9"/>
    <n v="3"/>
    <n v="0"/>
    <n v="0"/>
    <n v="3"/>
    <n v="100"/>
    <n v="0"/>
    <n v="0"/>
    <s v="Consolidation"/>
    <s v="CO2e and Base Measure"/>
    <n v="100"/>
    <n v="100"/>
    <n v="0.9"/>
    <m/>
    <m/>
    <m/>
    <m/>
    <m/>
    <n v="1.17"/>
    <m/>
    <n v="1.17"/>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08-01T00:00:00"/>
    <s v="FY21"/>
    <s v="t"/>
    <n v="0.6"/>
    <n v="0.13"/>
    <n v="0"/>
    <n v="0.73"/>
    <n v="1"/>
    <n v="1"/>
    <n v="0"/>
    <n v="2"/>
    <n v="82.19"/>
    <n v="17.8"/>
    <n v="0"/>
    <s v="Consolidation"/>
    <s v="CO2e and Base Measure"/>
    <n v="100"/>
    <n v="100"/>
    <n v="0.73"/>
    <m/>
    <m/>
    <m/>
    <m/>
    <m/>
    <n v="0.94899999999999995"/>
    <m/>
    <n v="0.94899999999999995"/>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09-01T00:00:00"/>
    <s v="FY21"/>
    <s v="t"/>
    <n v="0.6"/>
    <n v="0"/>
    <n v="0"/>
    <n v="0.6"/>
    <n v="2"/>
    <n v="0"/>
    <n v="0"/>
    <n v="2"/>
    <n v="100"/>
    <n v="0"/>
    <n v="0"/>
    <s v="Consolidation"/>
    <s v="CO2e and Base Measure"/>
    <n v="100"/>
    <n v="100"/>
    <n v="0.6"/>
    <m/>
    <m/>
    <m/>
    <m/>
    <m/>
    <n v="0.78"/>
    <m/>
    <n v="0.78"/>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10-01T00:00:00"/>
    <s v="FY21"/>
    <s v="t"/>
    <n v="0.6"/>
    <n v="0"/>
    <n v="0"/>
    <n v="0.6"/>
    <n v="2"/>
    <n v="0"/>
    <n v="0"/>
    <n v="2"/>
    <n v="100"/>
    <n v="0"/>
    <n v="0"/>
    <s v="Consolidation"/>
    <s v="CO2e and Base Measure"/>
    <n v="100"/>
    <n v="100"/>
    <n v="0.6"/>
    <m/>
    <m/>
    <m/>
    <m/>
    <m/>
    <n v="0.78"/>
    <m/>
    <n v="0.78"/>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11-01T00:00:00"/>
    <s v="FY21"/>
    <s v="t"/>
    <n v="0.6"/>
    <n v="0"/>
    <n v="0"/>
    <n v="0.6"/>
    <n v="2"/>
    <n v="0"/>
    <n v="0"/>
    <n v="2"/>
    <n v="100"/>
    <n v="0"/>
    <n v="0"/>
    <s v="Consolidation"/>
    <s v="CO2e and Base Measure"/>
    <n v="100"/>
    <n v="100"/>
    <n v="0.6"/>
    <m/>
    <m/>
    <m/>
    <m/>
    <m/>
    <n v="0.78"/>
    <m/>
    <n v="0.78"/>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12-01T00:00:00"/>
    <s v="FY21"/>
    <s v="t"/>
    <n v="0"/>
    <n v="0"/>
    <n v="2.2100000000000002E-2"/>
    <n v="2.2100000000000002E-2"/>
    <n v="0"/>
    <n v="0"/>
    <n v="1"/>
    <n v="1"/>
    <n v="0"/>
    <n v="0"/>
    <n v="100"/>
    <s v="Consolidation"/>
    <s v="CO2e and Base Measure"/>
    <n v="100"/>
    <n v="100"/>
    <n v="0.02"/>
    <m/>
    <m/>
    <m/>
    <m/>
    <m/>
    <n v="2.87E-2"/>
    <m/>
    <n v="2.87E-2"/>
    <m/>
    <m/>
    <m/>
    <m/>
    <m/>
    <s v="AUD"/>
    <s v="13564626Waste - General [t] - Scope 3"/>
    <n v="13564626"/>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08-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09-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10-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11-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12-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1-01T00:00:00"/>
    <s v="FY21"/>
    <s v="t"/>
    <n v="0"/>
    <n v="0"/>
    <n v="1.24E-2"/>
    <n v="1.24E-2"/>
    <n v="0"/>
    <n v="0"/>
    <n v="31"/>
    <n v="31"/>
    <n v="0"/>
    <n v="0"/>
    <n v="10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2-01T00:00:00"/>
    <s v="FY21"/>
    <s v="t"/>
    <n v="0"/>
    <n v="0"/>
    <n v="1.12E-2"/>
    <n v="1.12E-2"/>
    <n v="0"/>
    <n v="0"/>
    <n v="28"/>
    <n v="28"/>
    <n v="0"/>
    <n v="0"/>
    <n v="10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3-01T00:00:00"/>
    <s v="FY21"/>
    <s v="t"/>
    <n v="0"/>
    <n v="0"/>
    <n v="1.24E-2"/>
    <n v="1.24E-2"/>
    <n v="0"/>
    <n v="0"/>
    <n v="31"/>
    <n v="31"/>
    <n v="0"/>
    <n v="0"/>
    <n v="10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4-01T00:00:00"/>
    <s v="FY21"/>
    <s v="t"/>
    <n v="0"/>
    <n v="0"/>
    <n v="1.2E-2"/>
    <n v="1.2E-2"/>
    <n v="0"/>
    <n v="0"/>
    <n v="30"/>
    <n v="30"/>
    <n v="0"/>
    <n v="0"/>
    <n v="10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5-01T00:00:00"/>
    <s v="FY21"/>
    <s v="t"/>
    <n v="0"/>
    <n v="0"/>
    <n v="1.24E-2"/>
    <n v="1.24E-2"/>
    <n v="0"/>
    <n v="0"/>
    <n v="31"/>
    <n v="31"/>
    <n v="0"/>
    <n v="0"/>
    <n v="100"/>
    <s v="Consolidation"/>
    <s v="CO2e and Base Measure"/>
    <n v="100"/>
    <n v="100"/>
    <n v="0.01"/>
    <m/>
    <m/>
    <m/>
    <m/>
    <m/>
    <m/>
    <m/>
    <m/>
    <m/>
    <m/>
    <m/>
    <m/>
    <m/>
    <s v="AUD"/>
    <s v="13566618Waste Recycled - Paper and Cardboard [t]"/>
    <n v="13566618"/>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64635Waste - General [t] - Scope 3"/>
    <n v="13564635"/>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3-01T00:00:00"/>
    <s v="FY21"/>
    <s v="t"/>
    <n v="0"/>
    <n v="0"/>
    <n v="0.1426"/>
    <n v="0.1426"/>
    <n v="0"/>
    <n v="0"/>
    <n v="31"/>
    <n v="31"/>
    <n v="0"/>
    <n v="0"/>
    <n v="100"/>
    <s v="Consolidation"/>
    <s v="CO2e and Base Measure"/>
    <n v="100"/>
    <n v="100"/>
    <n v="0.14000000000000001"/>
    <m/>
    <m/>
    <m/>
    <m/>
    <m/>
    <n v="0.18540000000000001"/>
    <m/>
    <n v="0.18540000000000001"/>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4-01T00:00:00"/>
    <s v="FY21"/>
    <s v="t"/>
    <n v="0"/>
    <n v="0"/>
    <n v="0.13800000000000001"/>
    <n v="0.13800000000000001"/>
    <n v="0"/>
    <n v="0"/>
    <n v="30"/>
    <n v="30"/>
    <n v="0"/>
    <n v="0"/>
    <n v="100"/>
    <s v="Consolidation"/>
    <s v="CO2e and Base Measure"/>
    <n v="100"/>
    <n v="100"/>
    <n v="0.14000000000000001"/>
    <m/>
    <m/>
    <m/>
    <m/>
    <m/>
    <n v="0.1794"/>
    <m/>
    <n v="0.1794"/>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5-01T00:00:00"/>
    <s v="FY21"/>
    <s v="t"/>
    <n v="0"/>
    <n v="0"/>
    <n v="0.1426"/>
    <n v="0.1426"/>
    <n v="0"/>
    <n v="0"/>
    <n v="31"/>
    <n v="31"/>
    <n v="0"/>
    <n v="0"/>
    <n v="100"/>
    <s v="Consolidation"/>
    <s v="CO2e and Base Measure"/>
    <n v="100"/>
    <n v="100"/>
    <n v="0.14000000000000001"/>
    <m/>
    <m/>
    <m/>
    <m/>
    <m/>
    <n v="0.18540000000000001"/>
    <m/>
    <n v="0.18540000000000001"/>
    <m/>
    <m/>
    <m/>
    <m/>
    <m/>
    <s v="AUD"/>
    <s v="13634079Waste - General [t] - Scope 3"/>
    <n v="13634079"/>
  </r>
  <r>
    <d v="2019-07-01T00:00:00"/>
    <d v="2021-06-30T00:00:00"/>
    <s v="Telstra"/>
    <s v="NETWORK"/>
    <s v="Network - InfraCo"/>
    <s v="QLD"/>
    <s v="Australia"/>
    <s v="Woolloongabba"/>
    <s v="COORPAROO EXCHANGE"/>
    <n v="423030051700"/>
    <s v="Waste"/>
    <x v="1"/>
    <x v="2"/>
    <s v="Account"/>
    <s v="Remondis General Waste"/>
    <m/>
    <s v="423030051700_WGENERALW"/>
    <s v="GENERAL WASTE"/>
    <s v="Remondis"/>
    <m/>
    <m/>
    <d v="2021-01-01T00:00:00"/>
    <d v="2020-12-01T00:00:00"/>
    <s v="FY21"/>
    <s v="t"/>
    <n v="0"/>
    <n v="0.26"/>
    <n v="0"/>
    <n v="0.26"/>
    <n v="0"/>
    <n v="1"/>
    <n v="0"/>
    <n v="1"/>
    <n v="0"/>
    <n v="100"/>
    <n v="0"/>
    <s v="Consolidation"/>
    <s v="CO2e and Base Measure"/>
    <n v="100"/>
    <n v="100"/>
    <n v="0.26"/>
    <m/>
    <m/>
    <m/>
    <m/>
    <m/>
    <n v="0.33800000000000002"/>
    <m/>
    <n v="0.33800000000000002"/>
    <m/>
    <m/>
    <m/>
    <m/>
    <m/>
    <s v="AUD"/>
    <s v="13564134Waste - General [t] - Scope 3"/>
    <n v="13564134"/>
  </r>
  <r>
    <d v="2019-07-01T00:00:00"/>
    <d v="2021-06-30T00:00:00"/>
    <s v="Telstra"/>
    <s v="NETWORK"/>
    <s v="Network - InfraCo"/>
    <s v="QLD"/>
    <s v="Australia"/>
    <s v="Woolloongabba"/>
    <s v="COORPAROO EXCHANGE"/>
    <n v="423030051700"/>
    <s v="Waste"/>
    <x v="1"/>
    <x v="2"/>
    <s v="Account"/>
    <s v="Remondis General Waste"/>
    <m/>
    <s v="423030051700_WGENERALW"/>
    <s v="GENERAL WASTE"/>
    <s v="Remondis"/>
    <m/>
    <m/>
    <d v="2021-01-01T00:00:00"/>
    <d v="2021-01-01T00:00:00"/>
    <s v="FY21"/>
    <s v="t"/>
    <n v="0"/>
    <n v="0"/>
    <n v="1.6000000000000001E-3"/>
    <n v="1.6000000000000001E-3"/>
    <n v="0"/>
    <n v="0"/>
    <n v="1"/>
    <n v="1"/>
    <n v="0"/>
    <n v="0"/>
    <n v="100"/>
    <s v="Consolidation"/>
    <s v="CO2e and Base Measure"/>
    <n v="100"/>
    <n v="100"/>
    <n v="0"/>
    <m/>
    <m/>
    <m/>
    <m/>
    <m/>
    <n v="2.0999999999999999E-3"/>
    <m/>
    <n v="2.0999999999999999E-3"/>
    <m/>
    <m/>
    <m/>
    <m/>
    <m/>
    <s v="AUD"/>
    <s v="13564134Waste - General [t] - Scope 3"/>
    <n v="13564134"/>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0-12-01T00:00:00"/>
    <s v="FY21"/>
    <s v="t"/>
    <n v="0"/>
    <n v="9.7199999999999995E-2"/>
    <n v="0"/>
    <n v="9.7199999999999995E-2"/>
    <n v="0"/>
    <n v="2"/>
    <n v="0"/>
    <n v="2"/>
    <n v="0"/>
    <n v="100"/>
    <n v="0"/>
    <s v="Consolidation"/>
    <s v="CO2e and Base Measure"/>
    <n v="100"/>
    <n v="100"/>
    <n v="0.1"/>
    <m/>
    <m/>
    <m/>
    <m/>
    <m/>
    <n v="0.12640000000000001"/>
    <m/>
    <n v="0.12640000000000001"/>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1-01T00:00:00"/>
    <s v="FY21"/>
    <s v="t"/>
    <n v="0"/>
    <n v="6.4799999999999996E-2"/>
    <n v="0"/>
    <n v="6.4799999999999996E-2"/>
    <n v="0"/>
    <n v="2"/>
    <n v="0"/>
    <n v="2"/>
    <n v="0"/>
    <n v="100"/>
    <n v="0"/>
    <s v="Consolidation"/>
    <s v="CO2e and Base Measure"/>
    <n v="100"/>
    <n v="100"/>
    <n v="0.06"/>
    <m/>
    <m/>
    <m/>
    <m/>
    <m/>
    <n v="8.4199999999999997E-2"/>
    <m/>
    <n v="8.4199999999999997E-2"/>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2-01T00:00:00"/>
    <s v="FY21"/>
    <s v="t"/>
    <n v="0"/>
    <n v="6.4799999999999996E-2"/>
    <n v="0"/>
    <n v="6.4799999999999996E-2"/>
    <n v="0"/>
    <n v="2"/>
    <n v="0"/>
    <n v="2"/>
    <n v="0"/>
    <n v="100"/>
    <n v="0"/>
    <s v="Consolidation"/>
    <s v="CO2e and Base Measure"/>
    <n v="100"/>
    <n v="100"/>
    <n v="0.06"/>
    <m/>
    <m/>
    <m/>
    <m/>
    <m/>
    <n v="8.4199999999999997E-2"/>
    <m/>
    <n v="8.4199999999999997E-2"/>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3-01T00:00:00"/>
    <s v="FY21"/>
    <s v="t"/>
    <n v="0"/>
    <n v="6.4799999999999996E-2"/>
    <n v="0"/>
    <n v="6.4799999999999996E-2"/>
    <n v="0"/>
    <n v="2"/>
    <n v="0"/>
    <n v="2"/>
    <n v="0"/>
    <n v="100"/>
    <n v="0"/>
    <s v="Consolidation"/>
    <s v="CO2e and Base Measure"/>
    <n v="100"/>
    <n v="100"/>
    <n v="0.06"/>
    <m/>
    <m/>
    <m/>
    <m/>
    <m/>
    <n v="8.4199999999999997E-2"/>
    <m/>
    <n v="8.4199999999999997E-2"/>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4-01T00:00:00"/>
    <s v="FY21"/>
    <s v="t"/>
    <n v="0"/>
    <n v="0"/>
    <n v="7.1999999999999995E-2"/>
    <n v="7.1999999999999995E-2"/>
    <n v="0"/>
    <n v="0"/>
    <n v="30"/>
    <n v="30"/>
    <n v="0"/>
    <n v="0"/>
    <n v="100"/>
    <s v="Consolidation"/>
    <s v="CO2e and Base Measure"/>
    <n v="100"/>
    <n v="100"/>
    <n v="7.0000000000000007E-2"/>
    <m/>
    <m/>
    <m/>
    <m/>
    <m/>
    <n v="9.3600000000000003E-2"/>
    <m/>
    <n v="9.3600000000000003E-2"/>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5-01T00:00:00"/>
    <s v="FY21"/>
    <s v="t"/>
    <n v="0"/>
    <n v="0"/>
    <n v="7.4399999999999994E-2"/>
    <n v="7.4399999999999994E-2"/>
    <n v="0"/>
    <n v="0"/>
    <n v="31"/>
    <n v="31"/>
    <n v="0"/>
    <n v="0"/>
    <n v="100"/>
    <s v="Consolidation"/>
    <s v="CO2e and Base Measure"/>
    <n v="100"/>
    <n v="100"/>
    <n v="7.0000000000000007E-2"/>
    <m/>
    <m/>
    <m/>
    <m/>
    <m/>
    <n v="9.6699999999999994E-2"/>
    <m/>
    <n v="9.6699999999999994E-2"/>
    <m/>
    <m/>
    <m/>
    <m/>
    <m/>
    <s v="AUD"/>
    <s v="13634080Waste - General [t] - Scope 3"/>
    <n v="13634080"/>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12-01T00:00:00"/>
    <s v="FY21"/>
    <s v="t"/>
    <n v="0"/>
    <n v="0"/>
    <n v="8.6E-3"/>
    <n v="8.6E-3"/>
    <n v="0"/>
    <n v="0"/>
    <n v="1"/>
    <n v="1"/>
    <n v="0"/>
    <n v="0"/>
    <n v="100"/>
    <s v="Consolidation"/>
    <s v="CO2e and Base Measure"/>
    <n v="100"/>
    <n v="100"/>
    <n v="0.01"/>
    <m/>
    <m/>
    <m/>
    <m/>
    <m/>
    <n v="1.12E-2"/>
    <m/>
    <n v="1.12E-2"/>
    <m/>
    <m/>
    <m/>
    <m/>
    <m/>
    <s v="AUD"/>
    <s v="13564627Waste - General [t] - Scope 3"/>
    <n v="13564627"/>
  </r>
  <r>
    <d v="2019-07-01T00:00:00"/>
    <d v="2021-06-30T00:00:00"/>
    <s v="Telstra"/>
    <s v="NETWORK"/>
    <s v="Network - InfraCo"/>
    <s v="NSW"/>
    <s v="Australia"/>
    <s v="Cootamundra"/>
    <s v="COOTAMUNDRA EXCHANGE"/>
    <n v="423030339100"/>
    <s v="Waste"/>
    <x v="1"/>
    <x v="4"/>
    <s v="Account"/>
    <s v="Remondis Asbestos"/>
    <m/>
    <s v="423030339100_WASBESTOS"/>
    <s v="ASBESTOS"/>
    <s v="Remondis"/>
    <m/>
    <m/>
    <d v="2021-01-01T00:00:00"/>
    <d v="2020-12-01T00:00:00"/>
    <s v="FY21"/>
    <s v="t"/>
    <n v="0"/>
    <n v="0.36"/>
    <n v="0"/>
    <n v="0.36"/>
    <n v="0"/>
    <n v="1"/>
    <n v="0"/>
    <n v="1"/>
    <n v="0"/>
    <n v="100"/>
    <n v="0"/>
    <s v="Consolidation"/>
    <s v="CO2e and Base Measure"/>
    <n v="100"/>
    <n v="100"/>
    <n v="0.36"/>
    <m/>
    <m/>
    <m/>
    <m/>
    <m/>
    <n v="0.432"/>
    <m/>
    <n v="0.432"/>
    <m/>
    <m/>
    <m/>
    <m/>
    <m/>
    <s v="AUD"/>
    <s v="13566077Waste - Construction and Demolition [t]"/>
    <n v="13566077"/>
  </r>
  <r>
    <d v="2019-07-01T00:00:00"/>
    <d v="2021-06-30T00:00:00"/>
    <s v="Telstra"/>
    <s v="NETWORK"/>
    <s v="Network - InfraCo"/>
    <s v="NSW"/>
    <s v="Australia"/>
    <s v="Cootamundra"/>
    <s v="COOTAMUNDRA EXCHANGE"/>
    <n v="423030339100"/>
    <s v="Waste"/>
    <x v="1"/>
    <x v="4"/>
    <s v="Account"/>
    <s v="Remondis Asbestos"/>
    <m/>
    <s v="423030339100_WASBESTOS"/>
    <s v="ASBESTOS"/>
    <s v="Remondis"/>
    <m/>
    <m/>
    <d v="2021-01-01T00:00:00"/>
    <d v="2021-01-01T00:00:00"/>
    <s v="FY21"/>
    <s v="t"/>
    <n v="0"/>
    <n v="0"/>
    <n v="1.2E-2"/>
    <n v="1.2E-2"/>
    <n v="0"/>
    <n v="0"/>
    <n v="1"/>
    <n v="1"/>
    <n v="0"/>
    <n v="0"/>
    <n v="100"/>
    <s v="Consolidation"/>
    <s v="CO2e and Base Measure"/>
    <n v="100"/>
    <n v="100"/>
    <n v="0.01"/>
    <m/>
    <m/>
    <m/>
    <m/>
    <m/>
    <n v="1.44E-2"/>
    <m/>
    <n v="1.44E-2"/>
    <m/>
    <m/>
    <m/>
    <m/>
    <m/>
    <s v="AUD"/>
    <s v="13566077Waste - Construction and Demolition [t]"/>
    <n v="13566077"/>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0-12-01T00:00:00"/>
    <s v="FY21"/>
    <s v="t"/>
    <n v="0"/>
    <n v="0.27"/>
    <n v="0"/>
    <n v="0.27"/>
    <n v="0"/>
    <n v="2"/>
    <n v="0"/>
    <n v="2"/>
    <n v="0"/>
    <n v="100"/>
    <n v="0"/>
    <s v="Consolidation"/>
    <s v="CO2e and Base Measure"/>
    <n v="100"/>
    <n v="100"/>
    <n v="0.27"/>
    <m/>
    <m/>
    <m/>
    <m/>
    <m/>
    <n v="0.35099999999999998"/>
    <m/>
    <n v="0.35099999999999998"/>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1-01T00:00:00"/>
    <s v="FY21"/>
    <s v="t"/>
    <n v="0"/>
    <n v="0.27"/>
    <n v="0"/>
    <n v="0.27"/>
    <n v="0"/>
    <n v="2"/>
    <n v="0"/>
    <n v="2"/>
    <n v="0"/>
    <n v="100"/>
    <n v="0"/>
    <s v="Consolidation"/>
    <s v="CO2e and Base Measure"/>
    <n v="100"/>
    <n v="100"/>
    <n v="0.27"/>
    <m/>
    <m/>
    <m/>
    <m/>
    <m/>
    <n v="0.35099999999999998"/>
    <m/>
    <n v="0.35099999999999998"/>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2-01T00:00:00"/>
    <s v="FY21"/>
    <s v="t"/>
    <n v="0"/>
    <n v="0.27"/>
    <n v="0"/>
    <n v="0.27"/>
    <n v="0"/>
    <n v="2"/>
    <n v="0"/>
    <n v="2"/>
    <n v="0"/>
    <n v="100"/>
    <n v="0"/>
    <s v="Consolidation"/>
    <s v="CO2e and Base Measure"/>
    <n v="100"/>
    <n v="100"/>
    <n v="0.27"/>
    <m/>
    <m/>
    <m/>
    <m/>
    <m/>
    <n v="0.35099999999999998"/>
    <m/>
    <n v="0.35099999999999998"/>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3-01T00:00:00"/>
    <s v="FY21"/>
    <s v="t"/>
    <n v="0"/>
    <n v="0.40500000000000003"/>
    <n v="0"/>
    <n v="0.40500000000000003"/>
    <n v="0"/>
    <n v="3"/>
    <n v="0"/>
    <n v="3"/>
    <n v="0"/>
    <n v="100"/>
    <n v="0"/>
    <s v="Consolidation"/>
    <s v="CO2e and Base Measure"/>
    <n v="100"/>
    <n v="100"/>
    <n v="0.41"/>
    <m/>
    <m/>
    <m/>
    <m/>
    <m/>
    <n v="0.52649999999999997"/>
    <m/>
    <n v="0.52649999999999997"/>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4-01T00:00:00"/>
    <s v="FY21"/>
    <s v="t"/>
    <n v="0"/>
    <n v="0"/>
    <n v="0.30299999999999999"/>
    <n v="0.30299999999999999"/>
    <n v="0"/>
    <n v="0"/>
    <n v="30"/>
    <n v="30"/>
    <n v="0"/>
    <n v="0"/>
    <n v="100"/>
    <s v="Consolidation"/>
    <s v="CO2e and Base Measure"/>
    <n v="100"/>
    <n v="100"/>
    <n v="0.3"/>
    <m/>
    <m/>
    <m/>
    <m/>
    <m/>
    <n v="0.39389999999999997"/>
    <m/>
    <n v="0.39389999999999997"/>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5-01T00:00:00"/>
    <s v="FY21"/>
    <s v="t"/>
    <n v="0"/>
    <n v="0"/>
    <n v="0.31309999999999999"/>
    <n v="0.31309999999999999"/>
    <n v="0"/>
    <n v="0"/>
    <n v="31"/>
    <n v="31"/>
    <n v="0"/>
    <n v="0"/>
    <n v="100"/>
    <s v="Consolidation"/>
    <s v="CO2e and Base Measure"/>
    <n v="100"/>
    <n v="100"/>
    <n v="0.31"/>
    <m/>
    <m/>
    <m/>
    <m/>
    <m/>
    <n v="0.40699999999999997"/>
    <m/>
    <n v="0.40699999999999997"/>
    <m/>
    <m/>
    <m/>
    <m/>
    <m/>
    <s v="AUD"/>
    <s v="13634081Waste - General [t] - Scope 3"/>
    <n v="13634081"/>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07-01T00:00:00"/>
    <s v="FY21"/>
    <s v="t"/>
    <n v="0.35"/>
    <n v="0"/>
    <n v="0"/>
    <n v="0.35"/>
    <n v="2"/>
    <n v="0"/>
    <n v="0"/>
    <n v="2"/>
    <n v="100"/>
    <n v="0"/>
    <n v="0"/>
    <s v="Consolidation"/>
    <s v="CO2e and Base Measure"/>
    <n v="100"/>
    <n v="100"/>
    <n v="0.35"/>
    <m/>
    <m/>
    <m/>
    <m/>
    <m/>
    <n v="0.45500000000000002"/>
    <m/>
    <n v="0.45500000000000002"/>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08-01T00:00:00"/>
    <s v="FY21"/>
    <s v="t"/>
    <n v="0.29499999999999998"/>
    <n v="0"/>
    <n v="0"/>
    <n v="0.29499999999999998"/>
    <n v="2"/>
    <n v="0"/>
    <n v="0"/>
    <n v="2"/>
    <n v="100"/>
    <n v="0"/>
    <n v="0"/>
    <s v="Consolidation"/>
    <s v="CO2e and Base Measure"/>
    <n v="100"/>
    <n v="100"/>
    <n v="0.3"/>
    <m/>
    <m/>
    <m/>
    <m/>
    <m/>
    <n v="0.38350000000000001"/>
    <m/>
    <n v="0.38350000000000001"/>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09-01T00:00:00"/>
    <s v="FY21"/>
    <s v="t"/>
    <n v="0.3"/>
    <n v="0"/>
    <n v="0"/>
    <n v="0.3"/>
    <n v="3"/>
    <n v="0"/>
    <n v="0"/>
    <n v="3"/>
    <n v="100"/>
    <n v="0"/>
    <n v="0"/>
    <s v="Consolidation"/>
    <s v="CO2e and Base Measure"/>
    <n v="100"/>
    <n v="100"/>
    <n v="0.3"/>
    <m/>
    <m/>
    <m/>
    <m/>
    <m/>
    <n v="0.39"/>
    <m/>
    <n v="0.39"/>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10-01T00:00:00"/>
    <s v="FY21"/>
    <s v="t"/>
    <n v="0.12"/>
    <n v="0"/>
    <n v="0"/>
    <n v="0.12"/>
    <n v="2"/>
    <n v="0"/>
    <n v="0"/>
    <n v="2"/>
    <n v="100"/>
    <n v="0"/>
    <n v="0"/>
    <s v="Consolidation"/>
    <s v="CO2e and Base Measure"/>
    <n v="100"/>
    <n v="100"/>
    <n v="0.12"/>
    <m/>
    <m/>
    <m/>
    <m/>
    <m/>
    <n v="0.156"/>
    <m/>
    <n v="0.156"/>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11-01T00:00:00"/>
    <s v="FY21"/>
    <s v="t"/>
    <n v="0.2"/>
    <n v="0"/>
    <n v="0"/>
    <n v="0.2"/>
    <n v="2"/>
    <n v="0"/>
    <n v="0"/>
    <n v="2"/>
    <n v="100"/>
    <n v="0"/>
    <n v="0"/>
    <s v="Consolidation"/>
    <s v="CO2e and Base Measure"/>
    <n v="100"/>
    <n v="100"/>
    <n v="0.2"/>
    <m/>
    <m/>
    <m/>
    <m/>
    <m/>
    <n v="0.26"/>
    <m/>
    <n v="0.26"/>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1-01-01T00:00:00"/>
    <s v="FY21"/>
    <s v="t"/>
    <n v="0"/>
    <n v="0"/>
    <n v="7.4999999999999997E-3"/>
    <n v="7.4999999999999997E-3"/>
    <n v="0"/>
    <n v="0"/>
    <n v="1"/>
    <n v="1"/>
    <n v="0"/>
    <n v="0"/>
    <n v="100"/>
    <s v="Consolidation"/>
    <s v="CO2e and Base Measure"/>
    <n v="100"/>
    <n v="100"/>
    <n v="0.01"/>
    <m/>
    <m/>
    <m/>
    <m/>
    <m/>
    <n v="9.7999999999999997E-3"/>
    <m/>
    <n v="9.7999999999999997E-3"/>
    <m/>
    <m/>
    <m/>
    <m/>
    <m/>
    <s v="AUD"/>
    <s v="13564628Waste - General [t] - Scope 3"/>
    <n v="13564628"/>
  </r>
  <r>
    <d v="2019-07-01T00:00:00"/>
    <d v="2021-06-30T00:00:00"/>
    <s v="Telstra"/>
    <s v="NETWORK"/>
    <s v="Network - InfraCo"/>
    <s v="VIC"/>
    <s v="Australia"/>
    <s v="Jindabyne"/>
    <s v="CORRYONG EXCHANGE"/>
    <n v="423030340300"/>
    <s v="Waste"/>
    <x v="1"/>
    <x v="2"/>
    <s v="Account"/>
    <s v="Remondis General Waste"/>
    <m/>
    <s v="423030340300_WGENERALW"/>
    <s v="GENERAL WASTE"/>
    <s v="Remondis"/>
    <m/>
    <m/>
    <d v="2020-08-01T00:00:00"/>
    <d v="2020-07-01T00:00:00"/>
    <s v="FY21"/>
    <s v="t"/>
    <n v="1.96"/>
    <n v="0"/>
    <n v="0"/>
    <n v="1.96"/>
    <n v="1"/>
    <n v="0"/>
    <n v="0"/>
    <n v="1"/>
    <n v="100"/>
    <n v="0"/>
    <n v="0"/>
    <s v="Consolidation"/>
    <s v="CO2e and Base Measure"/>
    <n v="100"/>
    <n v="100"/>
    <n v="1.96"/>
    <m/>
    <m/>
    <m/>
    <m/>
    <m/>
    <n v="2.548"/>
    <m/>
    <n v="2.548"/>
    <m/>
    <m/>
    <m/>
    <m/>
    <m/>
    <s v="AUD"/>
    <s v="13576204Waste - General [t] - Scope 3"/>
    <n v="13576204"/>
  </r>
  <r>
    <d v="2019-07-01T00:00:00"/>
    <d v="2021-06-30T00:00:00"/>
    <s v="Telstra"/>
    <s v="NETWORK"/>
    <s v="Network - InfraCo"/>
    <s v="VIC"/>
    <s v="Australia"/>
    <s v="Jindabyne"/>
    <s v="CORRYONG EXCHANGE"/>
    <n v="423030340300"/>
    <s v="Waste"/>
    <x v="1"/>
    <x v="2"/>
    <s v="Account"/>
    <s v="Remondis General Waste"/>
    <m/>
    <s v="423030340300_WGENERALW"/>
    <s v="GENERAL WASTE"/>
    <s v="Remondis"/>
    <m/>
    <m/>
    <d v="2020-08-01T00:00:00"/>
    <d v="2020-08-01T00:00:00"/>
    <s v="FY21"/>
    <s v="t"/>
    <n v="0"/>
    <n v="0"/>
    <n v="6.5299999999999997E-2"/>
    <n v="6.5299999999999997E-2"/>
    <n v="0"/>
    <n v="0"/>
    <n v="1"/>
    <n v="1"/>
    <n v="0"/>
    <n v="0"/>
    <n v="100"/>
    <s v="Consolidation"/>
    <s v="CO2e and Base Measure"/>
    <n v="100"/>
    <n v="100"/>
    <n v="7.0000000000000007E-2"/>
    <m/>
    <m/>
    <m/>
    <m/>
    <m/>
    <n v="8.4900000000000003E-2"/>
    <m/>
    <n v="8.4900000000000003E-2"/>
    <m/>
    <m/>
    <m/>
    <m/>
    <m/>
    <s v="AUD"/>
    <s v="13576204Waste - General [t] - Scope 3"/>
    <n v="13576204"/>
  </r>
  <r>
    <d v="2019-07-01T00:00:00"/>
    <d v="2021-06-30T00:00:00"/>
    <s v="Telstra"/>
    <s v="NETWORK"/>
    <s v="Network - InfraCo"/>
    <s v="VIC"/>
    <s v="Australia"/>
    <s v="Jindabyne"/>
    <s v="CORRYONG EXCHANGE"/>
    <n v="423030340300"/>
    <s v="Waste"/>
    <x v="1"/>
    <x v="4"/>
    <s v="Account"/>
    <s v="Remondis Asbestos"/>
    <m/>
    <s v="423030340300_WASBESTOS"/>
    <s v="ASBESTOS"/>
    <s v="Remondis"/>
    <m/>
    <m/>
    <d v="2020-12-01T00:00:00"/>
    <d v="2020-11-01T00:00:00"/>
    <s v="FY21"/>
    <s v="t"/>
    <n v="6.5"/>
    <n v="0"/>
    <n v="0"/>
    <n v="6.5"/>
    <n v="1"/>
    <n v="0"/>
    <n v="0"/>
    <n v="1"/>
    <n v="100"/>
    <n v="0"/>
    <n v="0"/>
    <s v="Consolidation"/>
    <s v="CO2e and Base Measure"/>
    <n v="100"/>
    <n v="100"/>
    <n v="6.5"/>
    <m/>
    <m/>
    <m/>
    <m/>
    <m/>
    <n v="7.8"/>
    <m/>
    <n v="7.8"/>
    <m/>
    <m/>
    <m/>
    <m/>
    <m/>
    <s v="AUD"/>
    <s v="13633410Waste - Construction and Demolition [t]"/>
    <n v="13633410"/>
  </r>
  <r>
    <d v="2019-07-01T00:00:00"/>
    <d v="2021-06-30T00:00:00"/>
    <s v="Telstra"/>
    <s v="NETWORK"/>
    <s v="Network - InfraCo"/>
    <s v="VIC"/>
    <s v="Australia"/>
    <s v="Jindabyne"/>
    <s v="CORRYONG EXCHANGE"/>
    <n v="423030340300"/>
    <s v="Waste"/>
    <x v="1"/>
    <x v="4"/>
    <s v="Account"/>
    <s v="Remondis Asbestos"/>
    <m/>
    <s v="423030340300_WASBESTOS"/>
    <s v="ASBESTOS"/>
    <s v="Remondis"/>
    <m/>
    <m/>
    <d v="2020-12-01T00:00:00"/>
    <d v="2020-12-01T00:00:00"/>
    <s v="FY21"/>
    <s v="t"/>
    <n v="0"/>
    <n v="0"/>
    <n v="0.22409999999999999"/>
    <n v="0.22409999999999999"/>
    <n v="0"/>
    <n v="0"/>
    <n v="1"/>
    <n v="1"/>
    <n v="0"/>
    <n v="0"/>
    <n v="100"/>
    <s v="Consolidation"/>
    <s v="CO2e and Base Measure"/>
    <n v="100"/>
    <n v="100"/>
    <n v="0.22"/>
    <m/>
    <m/>
    <m/>
    <m/>
    <m/>
    <n v="0.26889999999999997"/>
    <m/>
    <n v="0.26889999999999997"/>
    <m/>
    <m/>
    <m/>
    <m/>
    <m/>
    <s v="AUD"/>
    <s v="13633410Waste - Construction and Demolition [t]"/>
    <n v="13633410"/>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5151Waste - General [t] - Scope 3"/>
    <n v="13565151"/>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0-12-01T00:00:00"/>
    <s v="FY21"/>
    <s v="t"/>
    <n v="0"/>
    <n v="0.20250000000000001"/>
    <n v="0"/>
    <n v="0.20250000000000001"/>
    <n v="0"/>
    <n v="3"/>
    <n v="0"/>
    <n v="3"/>
    <n v="0"/>
    <n v="100"/>
    <n v="0"/>
    <s v="Consolidation"/>
    <s v="CO2e and Base Measure"/>
    <n v="100"/>
    <n v="100"/>
    <n v="0.2"/>
    <m/>
    <m/>
    <m/>
    <m/>
    <m/>
    <n v="0.26329999999999998"/>
    <m/>
    <n v="0.26329999999999998"/>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3-01T00:00:00"/>
    <s v="FY21"/>
    <s v="t"/>
    <n v="0"/>
    <n v="0.20250000000000001"/>
    <n v="0"/>
    <n v="0.20250000000000001"/>
    <n v="0"/>
    <n v="3"/>
    <n v="0"/>
    <n v="3"/>
    <n v="0"/>
    <n v="100"/>
    <n v="0"/>
    <s v="Consolidation"/>
    <s v="CO2e and Base Measure"/>
    <n v="100"/>
    <n v="100"/>
    <n v="0.2"/>
    <m/>
    <m/>
    <m/>
    <m/>
    <m/>
    <n v="0.26329999999999998"/>
    <m/>
    <n v="0.26329999999999998"/>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4-01T00:00:00"/>
    <s v="FY21"/>
    <s v="t"/>
    <n v="0"/>
    <n v="0"/>
    <n v="0.16800000000000001"/>
    <n v="0.16800000000000001"/>
    <n v="0"/>
    <n v="0"/>
    <n v="30"/>
    <n v="30"/>
    <n v="0"/>
    <n v="0"/>
    <n v="100"/>
    <s v="Consolidation"/>
    <s v="CO2e and Base Measure"/>
    <n v="100"/>
    <n v="100"/>
    <n v="0.17"/>
    <m/>
    <m/>
    <m/>
    <m/>
    <m/>
    <n v="0.21840000000000001"/>
    <m/>
    <n v="0.21840000000000001"/>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5-01T00:00:00"/>
    <s v="FY21"/>
    <s v="t"/>
    <n v="0"/>
    <n v="0"/>
    <n v="0.1736"/>
    <n v="0.1736"/>
    <n v="0"/>
    <n v="0"/>
    <n v="31"/>
    <n v="31"/>
    <n v="0"/>
    <n v="0"/>
    <n v="100"/>
    <s v="Consolidation"/>
    <s v="CO2e and Base Measure"/>
    <n v="100"/>
    <n v="100"/>
    <n v="0.17"/>
    <m/>
    <m/>
    <m/>
    <m/>
    <m/>
    <n v="0.22570000000000001"/>
    <m/>
    <n v="0.22570000000000001"/>
    <m/>
    <m/>
    <m/>
    <m/>
    <m/>
    <s v="AUD"/>
    <s v="13634084Waste - General [t] - Scope 3"/>
    <n v="13634084"/>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636Waste - General [t] - Scope 3"/>
    <n v="13564636"/>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636Waste - General [t] - Scope 3"/>
    <n v="13564636"/>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636Waste - General [t] - Scope 3"/>
    <n v="13564636"/>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636Waste - General [t] - Scope 3"/>
    <n v="13564636"/>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636Waste - General [t] - Scope 3"/>
    <n v="13564636"/>
  </r>
  <r>
    <d v="2019-07-01T00:00:00"/>
    <d v="2021-06-30T00:00:00"/>
    <s v="Telstra"/>
    <s v="NETWORK"/>
    <s v="Network - InfraCo"/>
    <s v="VIC"/>
    <s v="Australia"/>
    <s v="Craigieburn"/>
    <s v="CRAIGIEBURN EXCHANGE"/>
    <n v="423030572200"/>
    <s v="Waste"/>
    <x v="1"/>
    <x v="2"/>
    <s v="Account"/>
    <s v="Remondis Cardboard - Loose - Landfill"/>
    <m/>
    <s v="423030572200_WCARDBOAR"/>
    <s v="CARDBOARD - LOOSE - LANDFILL"/>
    <s v="Remondis"/>
    <m/>
    <m/>
    <d v="2020-12-01T00:00:00"/>
    <d v="2020-11-01T00:00:00"/>
    <s v="FY21"/>
    <s v="t"/>
    <n v="0"/>
    <n v="3.15E-2"/>
    <n v="0"/>
    <n v="3.15E-2"/>
    <n v="0"/>
    <n v="1"/>
    <n v="0"/>
    <n v="1"/>
    <n v="0"/>
    <n v="100"/>
    <n v="0"/>
    <s v="Consolidation"/>
    <s v="CO2e and Base Measure"/>
    <n v="100"/>
    <n v="100"/>
    <n v="0.03"/>
    <m/>
    <m/>
    <m/>
    <m/>
    <m/>
    <n v="4.1000000000000002E-2"/>
    <m/>
    <n v="4.1000000000000002E-2"/>
    <m/>
    <m/>
    <m/>
    <m/>
    <m/>
    <s v="AUD"/>
    <s v="13564865Waste - General [t] - Scope 3"/>
    <n v="13564865"/>
  </r>
  <r>
    <d v="2019-07-01T00:00:00"/>
    <d v="2021-06-30T00:00:00"/>
    <s v="Telstra"/>
    <s v="NETWORK"/>
    <s v="Network - InfraCo"/>
    <s v="VIC"/>
    <s v="Australia"/>
    <s v="Craigieburn"/>
    <s v="CRAIGIEBURN EXCHANGE"/>
    <n v="423030572200"/>
    <s v="Waste"/>
    <x v="1"/>
    <x v="2"/>
    <s v="Account"/>
    <s v="Remondis Cardboard - Loose - Landfill"/>
    <m/>
    <s v="423030572200_WCARDBOAR"/>
    <s v="CARDBOARD - LOOSE - LANDFILL"/>
    <s v="Remondis"/>
    <m/>
    <m/>
    <d v="2020-12-01T00:00:00"/>
    <d v="2020-12-01T00:00:00"/>
    <s v="FY21"/>
    <s v="t"/>
    <n v="0"/>
    <n v="0"/>
    <n v="1.1000000000000001E-3"/>
    <n v="1.1000000000000001E-3"/>
    <n v="0"/>
    <n v="0"/>
    <n v="1"/>
    <n v="1"/>
    <n v="0"/>
    <n v="0"/>
    <n v="100"/>
    <s v="Consolidation"/>
    <s v="CO2e and Base Measure"/>
    <n v="100"/>
    <n v="100"/>
    <n v="0"/>
    <m/>
    <m/>
    <m/>
    <m/>
    <m/>
    <n v="1.4E-3"/>
    <m/>
    <n v="1.4E-3"/>
    <m/>
    <m/>
    <m/>
    <m/>
    <m/>
    <s v="AUD"/>
    <s v="13564865Waste - General [t] - Scope 3"/>
    <n v="13564865"/>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09-01T00:00:00"/>
    <s v="FY21"/>
    <s v="t"/>
    <n v="0"/>
    <n v="9.4500000000000001E-2"/>
    <n v="0"/>
    <n v="9.4500000000000001E-2"/>
    <n v="0"/>
    <n v="3"/>
    <n v="0"/>
    <n v="3"/>
    <n v="0"/>
    <n v="100"/>
    <n v="0"/>
    <s v="Consolidation"/>
    <s v="CO2e and Base Measure"/>
    <n v="100"/>
    <n v="100"/>
    <n v="0.09"/>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10-01T00:00:00"/>
    <s v="FY21"/>
    <s v="t"/>
    <n v="0"/>
    <n v="3.15E-2"/>
    <n v="0"/>
    <n v="3.15E-2"/>
    <n v="0"/>
    <n v="1"/>
    <n v="0"/>
    <n v="1"/>
    <n v="0"/>
    <n v="100"/>
    <n v="0"/>
    <s v="Consolidation"/>
    <s v="CO2e and Base Measure"/>
    <n v="100"/>
    <n v="100"/>
    <n v="0.03"/>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11-01T00:00:00"/>
    <s v="FY21"/>
    <s v="t"/>
    <n v="0"/>
    <n v="6.3E-2"/>
    <n v="0"/>
    <n v="6.3E-2"/>
    <n v="0"/>
    <n v="2"/>
    <n v="0"/>
    <n v="2"/>
    <n v="0"/>
    <n v="100"/>
    <n v="0"/>
    <s v="Consolidation"/>
    <s v="CO2e and Base Measure"/>
    <n v="100"/>
    <n v="100"/>
    <n v="0.06"/>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12-01T00:00:00"/>
    <s v="FY21"/>
    <s v="t"/>
    <n v="0"/>
    <n v="0"/>
    <n v="2.0999999999999999E-3"/>
    <n v="2.0999999999999999E-3"/>
    <n v="0"/>
    <n v="0"/>
    <n v="1"/>
    <n v="1"/>
    <n v="0"/>
    <n v="0"/>
    <n v="100"/>
    <s v="Consolidation"/>
    <s v="CO2e and Base Measure"/>
    <n v="100"/>
    <n v="100"/>
    <n v="0"/>
    <m/>
    <m/>
    <m/>
    <m/>
    <m/>
    <m/>
    <n v="0"/>
    <m/>
    <m/>
    <m/>
    <m/>
    <m/>
    <m/>
    <s v="AUD"/>
    <s v="13564866Waste Recycled - Cardboard [t]"/>
    <n v="13564866"/>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07-01T00:00:00"/>
    <s v="FY21"/>
    <s v="t"/>
    <n v="0.48"/>
    <n v="0"/>
    <n v="0"/>
    <n v="0.48"/>
    <n v="3"/>
    <n v="0"/>
    <n v="0"/>
    <n v="3"/>
    <n v="100"/>
    <n v="0"/>
    <n v="0"/>
    <s v="Consolidation"/>
    <s v="CO2e and Base Measure"/>
    <n v="100"/>
    <n v="100"/>
    <n v="0.48"/>
    <m/>
    <m/>
    <m/>
    <m/>
    <m/>
    <n v="0.624"/>
    <m/>
    <n v="0.624"/>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08-01T00:00:00"/>
    <s v="FY21"/>
    <s v="t"/>
    <n v="0.7"/>
    <n v="0"/>
    <n v="0"/>
    <n v="0.7"/>
    <n v="2"/>
    <n v="0"/>
    <n v="0"/>
    <n v="2"/>
    <n v="100"/>
    <n v="0"/>
    <n v="0"/>
    <s v="Consolidation"/>
    <s v="CO2e and Base Measure"/>
    <n v="100"/>
    <n v="100"/>
    <n v="0.7"/>
    <m/>
    <m/>
    <m/>
    <m/>
    <m/>
    <n v="0.91"/>
    <m/>
    <n v="0.91"/>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09-01T00:00:00"/>
    <s v="FY21"/>
    <s v="t"/>
    <n v="0.26"/>
    <n v="0"/>
    <n v="0"/>
    <n v="0.26"/>
    <n v="2"/>
    <n v="0"/>
    <n v="0"/>
    <n v="2"/>
    <n v="100"/>
    <n v="0"/>
    <n v="0"/>
    <s v="Consolidation"/>
    <s v="CO2e and Base Measure"/>
    <n v="100"/>
    <n v="100"/>
    <n v="0.26"/>
    <m/>
    <m/>
    <m/>
    <m/>
    <m/>
    <n v="0.33800000000000002"/>
    <m/>
    <n v="0.33800000000000002"/>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10-01T00:00:00"/>
    <s v="FY21"/>
    <s v="t"/>
    <n v="0.16"/>
    <n v="0"/>
    <n v="0"/>
    <n v="0.16"/>
    <n v="1"/>
    <n v="0"/>
    <n v="0"/>
    <n v="1"/>
    <n v="100"/>
    <n v="0"/>
    <n v="0"/>
    <s v="Consolidation"/>
    <s v="CO2e and Base Measure"/>
    <n v="100"/>
    <n v="100"/>
    <n v="0.16"/>
    <m/>
    <m/>
    <m/>
    <m/>
    <m/>
    <n v="0.20799999999999999"/>
    <m/>
    <n v="0.20799999999999999"/>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11-01T00:00:00"/>
    <s v="FY21"/>
    <s v="t"/>
    <n v="0.36"/>
    <n v="0"/>
    <n v="0"/>
    <n v="0.36"/>
    <n v="3"/>
    <n v="0"/>
    <n v="0"/>
    <n v="3"/>
    <n v="100"/>
    <n v="0"/>
    <n v="0"/>
    <s v="Consolidation"/>
    <s v="CO2e and Base Measure"/>
    <n v="100"/>
    <n v="100"/>
    <n v="0.36"/>
    <m/>
    <m/>
    <m/>
    <m/>
    <m/>
    <n v="0.46800000000000003"/>
    <m/>
    <n v="0.46800000000000003"/>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12-01T00:00:00"/>
    <s v="FY21"/>
    <s v="t"/>
    <n v="0.12"/>
    <n v="0"/>
    <n v="0"/>
    <n v="0.12"/>
    <n v="1"/>
    <n v="0"/>
    <n v="0"/>
    <n v="1"/>
    <n v="100"/>
    <n v="0"/>
    <n v="0"/>
    <s v="Consolidation"/>
    <s v="CO2e and Base Measure"/>
    <n v="100"/>
    <n v="100"/>
    <n v="0.12"/>
    <m/>
    <m/>
    <m/>
    <m/>
    <m/>
    <n v="0.156"/>
    <m/>
    <n v="0.156"/>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1-01-01T00:00:00"/>
    <s v="FY21"/>
    <s v="t"/>
    <n v="0"/>
    <n v="0"/>
    <n v="1.06E-2"/>
    <n v="1.06E-2"/>
    <n v="0"/>
    <n v="0"/>
    <n v="1"/>
    <n v="1"/>
    <n v="0"/>
    <n v="0"/>
    <n v="100"/>
    <s v="Consolidation"/>
    <s v="CO2e and Base Measure"/>
    <n v="100"/>
    <n v="100"/>
    <n v="0.01"/>
    <m/>
    <m/>
    <m/>
    <m/>
    <m/>
    <n v="1.38E-2"/>
    <m/>
    <n v="1.38E-2"/>
    <m/>
    <m/>
    <m/>
    <m/>
    <m/>
    <s v="AUD"/>
    <s v="13564867Waste - General [t] - Scope 3"/>
    <n v="13564867"/>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1-01T00:00:00"/>
    <s v="FY21"/>
    <s v="t"/>
    <n v="0.39"/>
    <n v="6.7500000000000004E-2"/>
    <n v="0"/>
    <n v="0.45750000000000002"/>
    <n v="2"/>
    <n v="1"/>
    <n v="0"/>
    <n v="3"/>
    <n v="85.24"/>
    <n v="14.75"/>
    <n v="0"/>
    <s v="Consolidation"/>
    <s v="CO2e and Base Measure"/>
    <n v="100"/>
    <n v="100"/>
    <n v="0.46"/>
    <m/>
    <m/>
    <m/>
    <m/>
    <m/>
    <n v="0.5948"/>
    <m/>
    <n v="0.5948"/>
    <m/>
    <m/>
    <m/>
    <m/>
    <m/>
    <s v="AUD"/>
    <s v="13634422Waste - General [t] - Scope 3"/>
    <n v="13634422"/>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2-01T00:00:00"/>
    <s v="FY21"/>
    <s v="t"/>
    <n v="0.38"/>
    <n v="0"/>
    <n v="0"/>
    <n v="0.38"/>
    <n v="2"/>
    <n v="0"/>
    <n v="0"/>
    <n v="2"/>
    <n v="100"/>
    <n v="0"/>
    <n v="0"/>
    <s v="Consolidation"/>
    <s v="CO2e and Base Measure"/>
    <n v="100"/>
    <n v="100"/>
    <n v="0.38"/>
    <m/>
    <m/>
    <m/>
    <m/>
    <m/>
    <n v="0.49399999999999999"/>
    <m/>
    <n v="0.49399999999999999"/>
    <m/>
    <m/>
    <m/>
    <m/>
    <m/>
    <s v="AUD"/>
    <s v="13634422Waste - General [t] - Scope 3"/>
    <n v="13634422"/>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3-01T00:00:00"/>
    <s v="FY21"/>
    <s v="t"/>
    <n v="0.88"/>
    <n v="0"/>
    <n v="0"/>
    <n v="0.88"/>
    <n v="3"/>
    <n v="0"/>
    <n v="0"/>
    <n v="3"/>
    <n v="100"/>
    <n v="0"/>
    <n v="0"/>
    <s v="Consolidation"/>
    <s v="CO2e and Base Measure"/>
    <n v="100"/>
    <n v="100"/>
    <n v="0.88"/>
    <m/>
    <m/>
    <m/>
    <m/>
    <m/>
    <n v="1.1439999999999999"/>
    <m/>
    <n v="1.1439999999999999"/>
    <m/>
    <m/>
    <m/>
    <m/>
    <m/>
    <s v="AUD"/>
    <s v="13634422Waste - General [t] - Scope 3"/>
    <n v="13634422"/>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4-01T00:00:00"/>
    <s v="FY21"/>
    <s v="t"/>
    <n v="0"/>
    <n v="0"/>
    <n v="0.57899999999999996"/>
    <n v="0.57899999999999996"/>
    <n v="0"/>
    <n v="0"/>
    <n v="30"/>
    <n v="30"/>
    <n v="0"/>
    <n v="0"/>
    <n v="100"/>
    <s v="Consolidation"/>
    <s v="CO2e and Base Measure"/>
    <n v="100"/>
    <n v="100"/>
    <n v="0.57999999999999996"/>
    <m/>
    <m/>
    <m/>
    <m/>
    <m/>
    <n v="0.75270000000000004"/>
    <m/>
    <n v="0.75270000000000004"/>
    <m/>
    <m/>
    <m/>
    <m/>
    <m/>
    <s v="AUD"/>
    <s v="13634422Waste - General [t] - Scope 3"/>
    <n v="13634422"/>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5-01T00:00:00"/>
    <s v="FY21"/>
    <s v="t"/>
    <n v="0"/>
    <n v="0"/>
    <n v="0.59830000000000005"/>
    <n v="0.59830000000000005"/>
    <n v="0"/>
    <n v="0"/>
    <n v="31"/>
    <n v="31"/>
    <n v="0"/>
    <n v="0"/>
    <n v="100"/>
    <s v="Consolidation"/>
    <s v="CO2e and Base Measure"/>
    <n v="100"/>
    <n v="100"/>
    <n v="0.6"/>
    <m/>
    <m/>
    <m/>
    <m/>
    <m/>
    <n v="0.77780000000000005"/>
    <m/>
    <n v="0.77780000000000005"/>
    <m/>
    <m/>
    <m/>
    <m/>
    <m/>
    <s v="AUD"/>
    <s v="13634422Waste - General [t] - Scope 3"/>
    <n v="13634422"/>
  </r>
  <r>
    <d v="2019-07-01T00:00:00"/>
    <d v="2021-06-30T00:00:00"/>
    <s v="Telstra"/>
    <s v="NETWORK"/>
    <s v="Network - InfraCo"/>
    <s v="VIC"/>
    <s v="Australia"/>
    <s v="Craigieburn"/>
    <s v="CRAIGIEBURN EXCHANGE"/>
    <n v="423030572200"/>
    <s v="Recycled Waste"/>
    <x v="0"/>
    <x v="0"/>
    <s v="Account"/>
    <s v="CLEANAWAY Cardboard"/>
    <m/>
    <s v="25523_Diversion_Cardboard"/>
    <s v="Cardboard"/>
    <s v="Cleanaway"/>
    <m/>
    <d v="2021-02-17T00:00:00"/>
    <m/>
    <d v="2021-02-01T00:00:00"/>
    <s v="FY21"/>
    <s v="t"/>
    <n v="0"/>
    <n v="3.7499999999999999E-2"/>
    <n v="0"/>
    <n v="3.7499999999999999E-2"/>
    <n v="0"/>
    <n v="1"/>
    <n v="0"/>
    <n v="1"/>
    <n v="0"/>
    <n v="100"/>
    <n v="0"/>
    <s v="Consolidation"/>
    <s v="CO2e and Base Measure"/>
    <n v="100"/>
    <n v="100"/>
    <n v="0.04"/>
    <m/>
    <m/>
    <m/>
    <m/>
    <m/>
    <m/>
    <m/>
    <m/>
    <m/>
    <m/>
    <m/>
    <m/>
    <m/>
    <s v="AUD"/>
    <s v="13639892Waste Recycled - Paper and Cardboard [t]"/>
    <n v="13639892"/>
  </r>
  <r>
    <d v="2019-07-01T00:00:00"/>
    <d v="2021-06-30T00:00:00"/>
    <s v="Telstra"/>
    <s v="NETWORK"/>
    <s v="Network - InfraCo"/>
    <s v="VIC"/>
    <s v="Australia"/>
    <s v="Craigieburn"/>
    <s v="CRAIGIEBURN EXCHANGE"/>
    <n v="423030572200"/>
    <s v="Recycled Waste"/>
    <x v="0"/>
    <x v="0"/>
    <s v="Account"/>
    <s v="CLEANAWAY Cardboard"/>
    <m/>
    <s v="25523_Diversion_Cardboard"/>
    <s v="Cardboard"/>
    <s v="Cleanaway"/>
    <m/>
    <d v="2021-02-17T00:00:00"/>
    <m/>
    <d v="2021-03-01T00:00:00"/>
    <s v="FY21"/>
    <s v="t"/>
    <n v="0"/>
    <n v="0"/>
    <n v="4.3400000000000001E-2"/>
    <n v="4.3400000000000001E-2"/>
    <n v="0"/>
    <n v="0"/>
    <n v="31"/>
    <n v="31"/>
    <n v="0"/>
    <n v="0"/>
    <n v="100"/>
    <s v="Consolidation"/>
    <s v="CO2e and Base Measure"/>
    <n v="100"/>
    <n v="100"/>
    <n v="0.04"/>
    <m/>
    <m/>
    <m/>
    <m/>
    <m/>
    <m/>
    <m/>
    <m/>
    <m/>
    <m/>
    <m/>
    <m/>
    <m/>
    <s v="AUD"/>
    <s v="13639892Waste Recycled - Paper and Cardboard [t]"/>
    <n v="13639892"/>
  </r>
  <r>
    <d v="2019-07-01T00:00:00"/>
    <d v="2021-06-30T00:00:00"/>
    <s v="Telstra"/>
    <s v="NETWORK"/>
    <s v="Network - InfraCo"/>
    <s v="VIC"/>
    <s v="Australia"/>
    <s v="Craigieburn"/>
    <s v="CRAIGIEBURN EXCHANGE"/>
    <n v="423030572200"/>
    <s v="Recycled Waste"/>
    <x v="0"/>
    <x v="0"/>
    <s v="Account"/>
    <s v="CLEANAWAY Cardboard"/>
    <m/>
    <s v="25523_Diversion_Cardboard"/>
    <s v="Cardboard"/>
    <s v="Cleanaway"/>
    <m/>
    <d v="2021-02-17T00:00:00"/>
    <m/>
    <d v="2021-04-01T00:00:00"/>
    <s v="FY21"/>
    <s v="t"/>
    <n v="0"/>
    <n v="0"/>
    <n v="4.2000000000000003E-2"/>
    <n v="4.2000000000000003E-2"/>
    <n v="0"/>
    <n v="0"/>
    <n v="30"/>
    <n v="30"/>
    <n v="0"/>
    <n v="0"/>
    <n v="100"/>
    <s v="Consolidation"/>
    <s v="CO2e and Base Measure"/>
    <n v="100"/>
    <n v="100"/>
    <n v="0.04"/>
    <m/>
    <m/>
    <m/>
    <m/>
    <m/>
    <m/>
    <m/>
    <m/>
    <m/>
    <m/>
    <m/>
    <m/>
    <m/>
    <s v="AUD"/>
    <s v="13639892Waste Recycled - Paper and Cardboard [t]"/>
    <n v="13639892"/>
  </r>
  <r>
    <d v="2019-07-01T00:00:00"/>
    <d v="2021-06-30T00:00:00"/>
    <s v="Telstra"/>
    <s v="NETWORK"/>
    <s v="Network - InfraCo"/>
    <s v="VIC"/>
    <s v="Australia"/>
    <s v="Craigieburn"/>
    <s v="CRAIGIEBURN EXCHANGE"/>
    <n v="423030572200"/>
    <s v="Recycled Waste"/>
    <x v="0"/>
    <x v="0"/>
    <s v="Account"/>
    <s v="CLEANAWAY Cardboard"/>
    <m/>
    <s v="25523_Diversion_Cardboard"/>
    <s v="Cardboard"/>
    <s v="Cleanaway"/>
    <m/>
    <d v="2021-02-17T00:00:00"/>
    <m/>
    <d v="2021-05-01T00:00:00"/>
    <s v="FY21"/>
    <s v="t"/>
    <n v="0"/>
    <n v="0"/>
    <n v="4.3400000000000001E-2"/>
    <n v="4.3400000000000001E-2"/>
    <n v="0"/>
    <n v="0"/>
    <n v="31"/>
    <n v="31"/>
    <n v="0"/>
    <n v="0"/>
    <n v="100"/>
    <s v="Consolidation"/>
    <s v="CO2e and Base Measure"/>
    <n v="100"/>
    <n v="100"/>
    <n v="0.04"/>
    <m/>
    <m/>
    <m/>
    <m/>
    <m/>
    <m/>
    <m/>
    <m/>
    <m/>
    <m/>
    <m/>
    <m/>
    <m/>
    <s v="AUD"/>
    <s v="13639892Waste Recycled - Paper and Cardboard [t]"/>
    <n v="13639892"/>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07-01T00:00:00"/>
    <s v="FY21"/>
    <s v="t"/>
    <n v="0.58499999999999996"/>
    <n v="0"/>
    <n v="0"/>
    <n v="0.58499999999999996"/>
    <n v="2"/>
    <n v="0"/>
    <n v="0"/>
    <n v="2"/>
    <n v="100"/>
    <n v="0"/>
    <n v="0"/>
    <s v="Consolidation"/>
    <s v="CO2e and Base Measure"/>
    <n v="100"/>
    <n v="100"/>
    <n v="0.59"/>
    <m/>
    <m/>
    <m/>
    <m/>
    <m/>
    <n v="0.76049999999999995"/>
    <m/>
    <n v="0.76049999999999995"/>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08-01T00:00:00"/>
    <s v="FY21"/>
    <s v="t"/>
    <n v="0.70499999999999996"/>
    <n v="0"/>
    <n v="0"/>
    <n v="0.70499999999999996"/>
    <n v="2"/>
    <n v="0"/>
    <n v="0"/>
    <n v="2"/>
    <n v="100"/>
    <n v="0"/>
    <n v="0"/>
    <s v="Consolidation"/>
    <s v="CO2e and Base Measure"/>
    <n v="100"/>
    <n v="100"/>
    <n v="0.71"/>
    <m/>
    <m/>
    <m/>
    <m/>
    <m/>
    <n v="0.91649999999999998"/>
    <m/>
    <n v="0.91649999999999998"/>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09-01T00:00:00"/>
    <s v="FY21"/>
    <s v="t"/>
    <n v="0.6"/>
    <n v="0"/>
    <n v="0"/>
    <n v="0.6"/>
    <n v="2"/>
    <n v="0"/>
    <n v="0"/>
    <n v="2"/>
    <n v="100"/>
    <n v="0"/>
    <n v="0"/>
    <s v="Consolidation"/>
    <s v="CO2e and Base Measure"/>
    <n v="100"/>
    <n v="100"/>
    <n v="0.6"/>
    <m/>
    <m/>
    <m/>
    <m/>
    <m/>
    <n v="0.78"/>
    <m/>
    <n v="0.78"/>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10-01T00:00:00"/>
    <s v="FY21"/>
    <s v="t"/>
    <n v="0.66"/>
    <n v="0"/>
    <n v="0"/>
    <n v="0.66"/>
    <n v="2"/>
    <n v="0"/>
    <n v="0"/>
    <n v="2"/>
    <n v="100"/>
    <n v="0"/>
    <n v="0"/>
    <s v="Consolidation"/>
    <s v="CO2e and Base Measure"/>
    <n v="100"/>
    <n v="100"/>
    <n v="0.66"/>
    <m/>
    <m/>
    <m/>
    <m/>
    <m/>
    <n v="0.85799999999999998"/>
    <m/>
    <n v="0.85799999999999998"/>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11-01T00:00:00"/>
    <s v="FY21"/>
    <s v="t"/>
    <n v="0.39500000000000002"/>
    <n v="0"/>
    <n v="0"/>
    <n v="0.39500000000000002"/>
    <n v="2"/>
    <n v="0"/>
    <n v="0"/>
    <n v="2"/>
    <n v="100"/>
    <n v="0"/>
    <n v="0"/>
    <s v="Consolidation"/>
    <s v="CO2e and Base Measure"/>
    <n v="100"/>
    <n v="100"/>
    <n v="0.4"/>
    <m/>
    <m/>
    <m/>
    <m/>
    <m/>
    <n v="0.51349999999999996"/>
    <m/>
    <n v="0.51349999999999996"/>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12-01T00:00:00"/>
    <s v="FY21"/>
    <s v="t"/>
    <n v="0.36"/>
    <n v="0"/>
    <n v="0"/>
    <n v="0.36"/>
    <n v="1"/>
    <n v="0"/>
    <n v="0"/>
    <n v="1"/>
    <n v="100"/>
    <n v="0"/>
    <n v="0"/>
    <s v="Consolidation"/>
    <s v="CO2e and Base Measure"/>
    <n v="100"/>
    <n v="100"/>
    <n v="0.36"/>
    <m/>
    <m/>
    <m/>
    <m/>
    <m/>
    <n v="0.46800000000000003"/>
    <m/>
    <n v="0.46800000000000003"/>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1-01-01T00:00:00"/>
    <s v="FY21"/>
    <s v="t"/>
    <n v="0"/>
    <n v="0"/>
    <n v="3.5299999999999998E-2"/>
    <n v="3.5299999999999998E-2"/>
    <n v="0"/>
    <n v="0"/>
    <n v="1"/>
    <n v="1"/>
    <n v="0"/>
    <n v="0"/>
    <n v="100"/>
    <s v="Consolidation"/>
    <s v="CO2e and Base Measure"/>
    <n v="100"/>
    <n v="100"/>
    <n v="0.04"/>
    <m/>
    <m/>
    <m/>
    <m/>
    <m/>
    <n v="4.5900000000000003E-2"/>
    <m/>
    <n v="4.5900000000000003E-2"/>
    <m/>
    <m/>
    <m/>
    <m/>
    <m/>
    <s v="AUD"/>
    <s v="13565169Waste - General [t] - Scope 3"/>
    <n v="13565169"/>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0-12-01T00:00:00"/>
    <s v="FY21"/>
    <s v="t"/>
    <n v="0.32"/>
    <n v="0"/>
    <n v="0"/>
    <n v="0.32"/>
    <n v="2"/>
    <n v="0"/>
    <n v="0"/>
    <n v="2"/>
    <n v="100"/>
    <n v="0"/>
    <n v="0"/>
    <s v="Consolidation"/>
    <s v="CO2e and Base Measure"/>
    <n v="100"/>
    <n v="100"/>
    <n v="0.32"/>
    <m/>
    <m/>
    <m/>
    <m/>
    <m/>
    <n v="0.41599999999999998"/>
    <m/>
    <n v="0.41599999999999998"/>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1-01T00:00:00"/>
    <s v="FY21"/>
    <s v="t"/>
    <n v="0.36"/>
    <n v="0"/>
    <n v="0"/>
    <n v="0.36"/>
    <n v="2"/>
    <n v="0"/>
    <n v="0"/>
    <n v="2"/>
    <n v="100"/>
    <n v="0"/>
    <n v="0"/>
    <s v="Consolidation"/>
    <s v="CO2e and Base Measure"/>
    <n v="100"/>
    <n v="100"/>
    <n v="0.36"/>
    <m/>
    <m/>
    <m/>
    <m/>
    <m/>
    <n v="0.46800000000000003"/>
    <m/>
    <n v="0.46800000000000003"/>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2-01T00:00:00"/>
    <s v="FY21"/>
    <s v="t"/>
    <n v="0.2"/>
    <n v="0"/>
    <n v="0"/>
    <n v="0.2"/>
    <n v="1"/>
    <n v="0"/>
    <n v="0"/>
    <n v="1"/>
    <n v="100"/>
    <n v="0"/>
    <n v="0"/>
    <s v="Consolidation"/>
    <s v="CO2e and Base Measure"/>
    <n v="100"/>
    <n v="100"/>
    <n v="0.2"/>
    <m/>
    <m/>
    <m/>
    <m/>
    <m/>
    <n v="0.26"/>
    <m/>
    <n v="0.26"/>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3-01T00:00:00"/>
    <s v="FY21"/>
    <s v="t"/>
    <n v="0.57999999999999996"/>
    <n v="0"/>
    <n v="0"/>
    <n v="0.57999999999999996"/>
    <n v="2"/>
    <n v="0"/>
    <n v="0"/>
    <n v="2"/>
    <n v="100"/>
    <n v="0"/>
    <n v="0"/>
    <s v="Consolidation"/>
    <s v="CO2e and Base Measure"/>
    <n v="100"/>
    <n v="100"/>
    <n v="0.57999999999999996"/>
    <m/>
    <m/>
    <m/>
    <m/>
    <m/>
    <n v="0.754"/>
    <m/>
    <n v="0.754"/>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4-01T00:00:00"/>
    <s v="FY21"/>
    <s v="t"/>
    <n v="0"/>
    <n v="0"/>
    <n v="0.36599999999999999"/>
    <n v="0.36599999999999999"/>
    <n v="0"/>
    <n v="0"/>
    <n v="30"/>
    <n v="30"/>
    <n v="0"/>
    <n v="0"/>
    <n v="100"/>
    <s v="Consolidation"/>
    <s v="CO2e and Base Measure"/>
    <n v="100"/>
    <n v="100"/>
    <n v="0.37"/>
    <m/>
    <m/>
    <m/>
    <m/>
    <m/>
    <n v="0.4758"/>
    <m/>
    <n v="0.4758"/>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5-01T00:00:00"/>
    <s v="FY21"/>
    <s v="t"/>
    <n v="0"/>
    <n v="0"/>
    <n v="0.37819999999999998"/>
    <n v="0.37819999999999998"/>
    <n v="0"/>
    <n v="0"/>
    <n v="31"/>
    <n v="31"/>
    <n v="0"/>
    <n v="0"/>
    <n v="100"/>
    <s v="Consolidation"/>
    <s v="CO2e and Base Measure"/>
    <n v="100"/>
    <n v="100"/>
    <n v="0.38"/>
    <m/>
    <m/>
    <m/>
    <m/>
    <m/>
    <n v="0.49170000000000003"/>
    <m/>
    <n v="0.49170000000000003"/>
    <m/>
    <m/>
    <m/>
    <m/>
    <m/>
    <s v="AUD"/>
    <s v="13634085Waste - General [t] - Scope 3"/>
    <n v="13634085"/>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0-11-01T00:00:00"/>
    <s v="FY21"/>
    <s v="t"/>
    <n v="1"/>
    <n v="0"/>
    <n v="0"/>
    <n v="1"/>
    <n v="1"/>
    <n v="0"/>
    <n v="0"/>
    <n v="1"/>
    <n v="100"/>
    <n v="0"/>
    <n v="0"/>
    <s v="Consolidation"/>
    <s v="CO2e and Base Measure"/>
    <n v="100"/>
    <n v="100"/>
    <n v="1"/>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0-12-01T00:00:00"/>
    <s v="FY21"/>
    <s v="t"/>
    <n v="0"/>
    <n v="0"/>
    <n v="1.0694999999999999"/>
    <n v="1.0694999999999999"/>
    <n v="0"/>
    <n v="0"/>
    <n v="31"/>
    <n v="31"/>
    <n v="0"/>
    <n v="0"/>
    <n v="100"/>
    <s v="Consolidation"/>
    <s v="CO2e and Base Measure"/>
    <n v="100"/>
    <n v="100"/>
    <n v="1.07"/>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1-01T00:00:00"/>
    <s v="FY21"/>
    <s v="t"/>
    <n v="0"/>
    <n v="0"/>
    <n v="1.0694999999999999"/>
    <n v="1.0694999999999999"/>
    <n v="0"/>
    <n v="0"/>
    <n v="31"/>
    <n v="31"/>
    <n v="0"/>
    <n v="0"/>
    <n v="100"/>
    <s v="Consolidation"/>
    <s v="CO2e and Base Measure"/>
    <n v="100"/>
    <n v="100"/>
    <n v="1.07"/>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2-01T00:00:00"/>
    <s v="FY21"/>
    <s v="t"/>
    <n v="0"/>
    <n v="0"/>
    <n v="0.96599999999999997"/>
    <n v="0.96599999999999997"/>
    <n v="0"/>
    <n v="0"/>
    <n v="28"/>
    <n v="28"/>
    <n v="0"/>
    <n v="0"/>
    <n v="100"/>
    <s v="Consolidation"/>
    <s v="CO2e and Base Measure"/>
    <n v="100"/>
    <n v="100"/>
    <n v="0.97"/>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3-01T00:00:00"/>
    <s v="FY21"/>
    <s v="t"/>
    <n v="0"/>
    <n v="0"/>
    <n v="1.0694999999999999"/>
    <n v="1.0694999999999999"/>
    <n v="0"/>
    <n v="0"/>
    <n v="31"/>
    <n v="31"/>
    <n v="0"/>
    <n v="0"/>
    <n v="100"/>
    <s v="Consolidation"/>
    <s v="CO2e and Base Measure"/>
    <n v="100"/>
    <n v="100"/>
    <n v="1.07"/>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4-01T00:00:00"/>
    <s v="FY21"/>
    <s v="t"/>
    <n v="0"/>
    <n v="0"/>
    <n v="1.0349999999999999"/>
    <n v="1.0349999999999999"/>
    <n v="0"/>
    <n v="0"/>
    <n v="30"/>
    <n v="30"/>
    <n v="0"/>
    <n v="0"/>
    <n v="100"/>
    <s v="Consolidation"/>
    <s v="CO2e and Base Measure"/>
    <n v="100"/>
    <n v="100"/>
    <n v="1.04"/>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5-01T00:00:00"/>
    <s v="FY21"/>
    <s v="t"/>
    <n v="0"/>
    <n v="0"/>
    <n v="1.0694999999999999"/>
    <n v="1.0694999999999999"/>
    <n v="0"/>
    <n v="0"/>
    <n v="31"/>
    <n v="31"/>
    <n v="0"/>
    <n v="0"/>
    <n v="100"/>
    <s v="Consolidation"/>
    <s v="CO2e and Base Measure"/>
    <n v="100"/>
    <n v="100"/>
    <n v="1.07"/>
    <m/>
    <m/>
    <m/>
    <m/>
    <m/>
    <m/>
    <m/>
    <m/>
    <m/>
    <m/>
    <m/>
    <m/>
    <m/>
    <s v="AUD"/>
    <s v="13632353Waste Recycled - Construction and Demolition [t]"/>
    <n v="13632353"/>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0-12-01T00:00:00"/>
    <s v="FY21"/>
    <s v="t"/>
    <n v="0"/>
    <n v="9.9000000000000005E-2"/>
    <n v="0"/>
    <n v="9.9000000000000005E-2"/>
    <n v="0"/>
    <n v="2"/>
    <n v="0"/>
    <n v="2"/>
    <n v="0"/>
    <n v="100"/>
    <n v="0"/>
    <s v="Consolidation"/>
    <s v="CO2e and Base Measure"/>
    <n v="100"/>
    <n v="100"/>
    <n v="0.1"/>
    <m/>
    <m/>
    <m/>
    <m/>
    <m/>
    <n v="0.12870000000000001"/>
    <m/>
    <n v="0.12870000000000001"/>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1-01T00:00:00"/>
    <s v="FY21"/>
    <s v="t"/>
    <n v="0.16500000000000001"/>
    <n v="0"/>
    <n v="0"/>
    <n v="0.16500000000000001"/>
    <n v="2"/>
    <n v="0"/>
    <n v="0"/>
    <n v="2"/>
    <n v="100"/>
    <n v="0"/>
    <n v="0"/>
    <s v="Consolidation"/>
    <s v="CO2e and Base Measure"/>
    <n v="100"/>
    <n v="100"/>
    <n v="0.17"/>
    <m/>
    <m/>
    <m/>
    <m/>
    <m/>
    <n v="0.2145"/>
    <m/>
    <n v="0.2145"/>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2-01T00:00:00"/>
    <s v="FY21"/>
    <s v="t"/>
    <n v="4.4999999999999998E-2"/>
    <n v="0"/>
    <n v="0"/>
    <n v="4.4999999999999998E-2"/>
    <n v="2"/>
    <n v="0"/>
    <n v="0"/>
    <n v="2"/>
    <n v="100"/>
    <n v="0"/>
    <n v="0"/>
    <s v="Consolidation"/>
    <s v="CO2e and Base Measure"/>
    <n v="100"/>
    <n v="100"/>
    <n v="0.05"/>
    <m/>
    <m/>
    <m/>
    <m/>
    <m/>
    <n v="5.8500000000000003E-2"/>
    <m/>
    <n v="5.8500000000000003E-2"/>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3-01T00:00:00"/>
    <s v="FY21"/>
    <s v="t"/>
    <n v="0.16900000000000001"/>
    <n v="0"/>
    <n v="0"/>
    <n v="0.16900000000000001"/>
    <n v="2"/>
    <n v="0"/>
    <n v="0"/>
    <n v="2"/>
    <n v="100"/>
    <n v="0"/>
    <n v="0"/>
    <s v="Consolidation"/>
    <s v="CO2e and Base Measure"/>
    <n v="100"/>
    <n v="100"/>
    <n v="0.17"/>
    <m/>
    <m/>
    <m/>
    <m/>
    <m/>
    <n v="0.21970000000000001"/>
    <m/>
    <n v="0.21970000000000001"/>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4-01T00:00:00"/>
    <s v="FY21"/>
    <s v="t"/>
    <n v="0"/>
    <n v="0"/>
    <n v="0.12"/>
    <n v="0.12"/>
    <n v="0"/>
    <n v="0"/>
    <n v="30"/>
    <n v="30"/>
    <n v="0"/>
    <n v="0"/>
    <n v="100"/>
    <s v="Consolidation"/>
    <s v="CO2e and Base Measure"/>
    <n v="100"/>
    <n v="100"/>
    <n v="0.12"/>
    <m/>
    <m/>
    <m/>
    <m/>
    <m/>
    <n v="0.156"/>
    <m/>
    <n v="0.156"/>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5-01T00:00:00"/>
    <s v="FY21"/>
    <s v="t"/>
    <n v="0"/>
    <n v="0"/>
    <n v="0.124"/>
    <n v="0.124"/>
    <n v="0"/>
    <n v="0"/>
    <n v="31"/>
    <n v="31"/>
    <n v="0"/>
    <n v="0"/>
    <n v="100"/>
    <s v="Consolidation"/>
    <s v="CO2e and Base Measure"/>
    <n v="100"/>
    <n v="100"/>
    <n v="0.12"/>
    <m/>
    <m/>
    <m/>
    <m/>
    <m/>
    <n v="0.16120000000000001"/>
    <m/>
    <n v="0.16120000000000001"/>
    <m/>
    <m/>
    <m/>
    <m/>
    <m/>
    <s v="AUD"/>
    <s v="13634086Waste - General [t] - Scope 3"/>
    <n v="13634086"/>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0-12-01T00:00:00"/>
    <s v="FY21"/>
    <s v="t"/>
    <n v="0"/>
    <n v="5.5E-2"/>
    <n v="0"/>
    <n v="5.5E-2"/>
    <n v="0"/>
    <n v="2"/>
    <n v="0"/>
    <n v="2"/>
    <n v="0"/>
    <n v="100"/>
    <n v="0"/>
    <s v="Consolidation"/>
    <s v="CO2e and Base Measure"/>
    <n v="100"/>
    <n v="100"/>
    <n v="0.06"/>
    <m/>
    <m/>
    <m/>
    <m/>
    <m/>
    <m/>
    <m/>
    <m/>
    <m/>
    <m/>
    <m/>
    <m/>
    <m/>
    <s v="AUD"/>
    <s v="13634087Waste Recycled - Paper and Cardboard [t]"/>
    <n v="13634087"/>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1-01-01T00:00:00"/>
    <s v="FY21"/>
    <s v="t"/>
    <n v="0"/>
    <n v="5.5E-2"/>
    <n v="0"/>
    <n v="5.5E-2"/>
    <n v="0"/>
    <n v="2"/>
    <n v="0"/>
    <n v="2"/>
    <n v="0"/>
    <n v="100"/>
    <n v="0"/>
    <s v="Consolidation"/>
    <s v="CO2e and Base Measure"/>
    <n v="100"/>
    <n v="100"/>
    <n v="0.06"/>
    <m/>
    <m/>
    <m/>
    <m/>
    <m/>
    <m/>
    <m/>
    <m/>
    <m/>
    <m/>
    <m/>
    <m/>
    <m/>
    <s v="AUD"/>
    <s v="13634087Waste Recycled - Paper and Cardboard [t]"/>
    <n v="13634087"/>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1-03-01T00:00:00"/>
    <s v="FY21"/>
    <s v="t"/>
    <n v="0"/>
    <n v="2.75E-2"/>
    <n v="0"/>
    <n v="2.75E-2"/>
    <n v="0"/>
    <n v="1"/>
    <n v="0"/>
    <n v="1"/>
    <n v="0"/>
    <n v="100"/>
    <n v="0"/>
    <s v="Consolidation"/>
    <s v="CO2e and Base Measure"/>
    <n v="100"/>
    <n v="100"/>
    <n v="0.03"/>
    <m/>
    <m/>
    <m/>
    <m/>
    <m/>
    <m/>
    <m/>
    <m/>
    <m/>
    <m/>
    <m/>
    <m/>
    <m/>
    <s v="AUD"/>
    <s v="13634087Waste Recycled - Paper and Cardboard [t]"/>
    <n v="13634087"/>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1-04-01T00:00:00"/>
    <s v="FY21"/>
    <s v="t"/>
    <n v="0"/>
    <n v="0"/>
    <n v="3.3000000000000002E-2"/>
    <n v="3.3000000000000002E-2"/>
    <n v="0"/>
    <n v="0"/>
    <n v="30"/>
    <n v="30"/>
    <n v="0"/>
    <n v="0"/>
    <n v="100"/>
    <s v="Consolidation"/>
    <s v="CO2e and Base Measure"/>
    <n v="100"/>
    <n v="100"/>
    <n v="0.03"/>
    <m/>
    <m/>
    <m/>
    <m/>
    <m/>
    <m/>
    <m/>
    <m/>
    <m/>
    <m/>
    <m/>
    <m/>
    <m/>
    <s v="AUD"/>
    <s v="13634087Waste Recycled - Paper and Cardboard [t]"/>
    <n v="13634087"/>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1-05-01T00:00:00"/>
    <s v="FY21"/>
    <s v="t"/>
    <n v="0"/>
    <n v="0"/>
    <n v="3.4099999999999998E-2"/>
    <n v="3.4099999999999998E-2"/>
    <n v="0"/>
    <n v="0"/>
    <n v="31"/>
    <n v="31"/>
    <n v="0"/>
    <n v="0"/>
    <n v="100"/>
    <s v="Consolidation"/>
    <s v="CO2e and Base Measure"/>
    <n v="100"/>
    <n v="100"/>
    <n v="0.03"/>
    <m/>
    <m/>
    <m/>
    <m/>
    <m/>
    <m/>
    <m/>
    <m/>
    <m/>
    <m/>
    <m/>
    <m/>
    <m/>
    <s v="AUD"/>
    <s v="13634087Waste Recycled - Paper and Cardboard [t]"/>
    <n v="1363408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147Waste Recycled - Cardboard [t]"/>
    <n v="13565147"/>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07-01T00:00:00"/>
    <s v="FY21"/>
    <s v="t"/>
    <n v="1.72"/>
    <n v="0"/>
    <n v="0"/>
    <n v="1.72"/>
    <n v="2"/>
    <n v="0"/>
    <n v="0"/>
    <n v="2"/>
    <n v="100"/>
    <n v="0"/>
    <n v="0"/>
    <s v="Consolidation"/>
    <s v="CO2e and Base Measure"/>
    <n v="100"/>
    <n v="100"/>
    <n v="1.72"/>
    <m/>
    <m/>
    <m/>
    <m/>
    <m/>
    <n v="2.2360000000000002"/>
    <m/>
    <n v="2.2360000000000002"/>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08-01T00:00:00"/>
    <s v="FY21"/>
    <s v="t"/>
    <n v="0.24"/>
    <n v="0"/>
    <n v="0"/>
    <n v="0.24"/>
    <n v="1"/>
    <n v="0"/>
    <n v="0"/>
    <n v="1"/>
    <n v="100"/>
    <n v="0"/>
    <n v="0"/>
    <s v="Consolidation"/>
    <s v="CO2e and Base Measure"/>
    <n v="100"/>
    <n v="100"/>
    <n v="0.24"/>
    <m/>
    <m/>
    <m/>
    <m/>
    <m/>
    <n v="0.312"/>
    <m/>
    <n v="0.312"/>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09-01T00:00:00"/>
    <s v="FY21"/>
    <s v="t"/>
    <n v="1.19"/>
    <n v="0"/>
    <n v="0"/>
    <n v="1.19"/>
    <n v="2"/>
    <n v="0"/>
    <n v="0"/>
    <n v="2"/>
    <n v="100"/>
    <n v="0"/>
    <n v="0"/>
    <s v="Consolidation"/>
    <s v="CO2e and Base Measure"/>
    <n v="100"/>
    <n v="100"/>
    <n v="1.19"/>
    <m/>
    <m/>
    <m/>
    <m/>
    <m/>
    <n v="1.5469999999999999"/>
    <m/>
    <n v="1.5469999999999999"/>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10-01T00:00:00"/>
    <s v="FY21"/>
    <s v="t"/>
    <n v="1.43"/>
    <n v="0"/>
    <n v="0"/>
    <n v="1.43"/>
    <n v="2"/>
    <n v="0"/>
    <n v="0"/>
    <n v="2"/>
    <n v="100"/>
    <n v="0"/>
    <n v="0"/>
    <s v="Consolidation"/>
    <s v="CO2e and Base Measure"/>
    <n v="100"/>
    <n v="100"/>
    <n v="1.43"/>
    <m/>
    <m/>
    <m/>
    <m/>
    <m/>
    <n v="1.859"/>
    <m/>
    <n v="1.859"/>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11-01T00:00:00"/>
    <s v="FY21"/>
    <s v="t"/>
    <n v="1.47"/>
    <n v="0"/>
    <n v="0"/>
    <n v="1.47"/>
    <n v="2"/>
    <n v="0"/>
    <n v="0"/>
    <n v="2"/>
    <n v="100"/>
    <n v="0"/>
    <n v="0"/>
    <s v="Consolidation"/>
    <s v="CO2e and Base Measure"/>
    <n v="100"/>
    <n v="100"/>
    <n v="1.47"/>
    <m/>
    <m/>
    <m/>
    <m/>
    <m/>
    <n v="1.911"/>
    <m/>
    <n v="1.911"/>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12-01T00:00:00"/>
    <s v="FY21"/>
    <s v="t"/>
    <n v="0"/>
    <n v="0"/>
    <n v="4.9599999999999998E-2"/>
    <n v="4.9599999999999998E-2"/>
    <n v="0"/>
    <n v="0"/>
    <n v="1"/>
    <n v="1"/>
    <n v="0"/>
    <n v="0"/>
    <n v="100"/>
    <s v="Consolidation"/>
    <s v="CO2e and Base Measure"/>
    <n v="100"/>
    <n v="100"/>
    <n v="0.05"/>
    <m/>
    <m/>
    <m/>
    <m/>
    <m/>
    <n v="6.4500000000000002E-2"/>
    <m/>
    <n v="6.4500000000000002E-2"/>
    <m/>
    <m/>
    <m/>
    <m/>
    <m/>
    <s v="AUD"/>
    <s v="13565149Waste - General [t] - Scope 3"/>
    <n v="13565149"/>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1-01T00:00:00"/>
    <s v="FY21"/>
    <s v="t"/>
    <n v="0.73899999999999999"/>
    <n v="0"/>
    <n v="0"/>
    <n v="0.73899999999999999"/>
    <n v="2"/>
    <n v="0"/>
    <n v="0"/>
    <n v="2"/>
    <n v="100"/>
    <n v="0"/>
    <n v="0"/>
    <s v="Consolidation"/>
    <s v="CO2e and Base Measure"/>
    <n v="100"/>
    <n v="100"/>
    <n v="0.74"/>
    <m/>
    <m/>
    <m/>
    <m/>
    <m/>
    <n v="0.9607"/>
    <m/>
    <n v="0.9607"/>
    <m/>
    <m/>
    <m/>
    <m/>
    <m/>
    <s v="AUD"/>
    <s v="13634423Waste - General [t] - Scope 3"/>
    <n v="13634423"/>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2-01T00:00:00"/>
    <s v="FY21"/>
    <s v="t"/>
    <n v="0.81499999999999995"/>
    <n v="0"/>
    <n v="0"/>
    <n v="0.81499999999999995"/>
    <n v="2"/>
    <n v="0"/>
    <n v="0"/>
    <n v="2"/>
    <n v="100"/>
    <n v="0"/>
    <n v="0"/>
    <s v="Consolidation"/>
    <s v="CO2e and Base Measure"/>
    <n v="100"/>
    <n v="100"/>
    <n v="0.82"/>
    <m/>
    <m/>
    <m/>
    <m/>
    <m/>
    <n v="1.0595000000000001"/>
    <m/>
    <n v="1.0595000000000001"/>
    <m/>
    <m/>
    <m/>
    <m/>
    <m/>
    <s v="AUD"/>
    <s v="13634423Waste - General [t] - Scope 3"/>
    <n v="13634423"/>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3-01T00:00:00"/>
    <s v="FY21"/>
    <s v="t"/>
    <n v="1.2090000000000001"/>
    <n v="0"/>
    <n v="0"/>
    <n v="1.2090000000000001"/>
    <n v="2"/>
    <n v="0"/>
    <n v="0"/>
    <n v="2"/>
    <n v="100"/>
    <n v="0"/>
    <n v="0"/>
    <s v="Consolidation"/>
    <s v="CO2e and Base Measure"/>
    <n v="100"/>
    <n v="100"/>
    <n v="1.21"/>
    <m/>
    <m/>
    <m/>
    <m/>
    <m/>
    <n v="1.5717000000000001"/>
    <m/>
    <n v="1.5717000000000001"/>
    <m/>
    <m/>
    <m/>
    <m/>
    <m/>
    <s v="AUD"/>
    <s v="13634423Waste - General [t] - Scope 3"/>
    <n v="13634423"/>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4-01T00:00:00"/>
    <s v="FY21"/>
    <s v="t"/>
    <n v="0"/>
    <n v="0"/>
    <n v="0.93"/>
    <n v="0.93"/>
    <n v="0"/>
    <n v="0"/>
    <n v="30"/>
    <n v="30"/>
    <n v="0"/>
    <n v="0"/>
    <n v="100"/>
    <s v="Consolidation"/>
    <s v="CO2e and Base Measure"/>
    <n v="100"/>
    <n v="100"/>
    <n v="0.93"/>
    <m/>
    <m/>
    <m/>
    <m/>
    <m/>
    <n v="1.2090000000000001"/>
    <m/>
    <n v="1.2090000000000001"/>
    <m/>
    <m/>
    <m/>
    <m/>
    <m/>
    <s v="AUD"/>
    <s v="13634423Waste - General [t] - Scope 3"/>
    <n v="13634423"/>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5-01T00:00:00"/>
    <s v="FY21"/>
    <s v="t"/>
    <n v="0"/>
    <n v="0"/>
    <n v="0.96099999999999997"/>
    <n v="0.96099999999999997"/>
    <n v="0"/>
    <n v="0"/>
    <n v="31"/>
    <n v="31"/>
    <n v="0"/>
    <n v="0"/>
    <n v="100"/>
    <s v="Consolidation"/>
    <s v="CO2e and Base Measure"/>
    <n v="100"/>
    <n v="100"/>
    <n v="0.96"/>
    <m/>
    <m/>
    <m/>
    <m/>
    <m/>
    <n v="1.2493000000000001"/>
    <m/>
    <n v="1.2493000000000001"/>
    <m/>
    <m/>
    <m/>
    <m/>
    <m/>
    <s v="AUD"/>
    <s v="13634423Waste - General [t] - Scope 3"/>
    <n v="1363442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253Waste - General [t] - Scope 3"/>
    <n v="13564253"/>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0-12-01T00:00:00"/>
    <s v="FY21"/>
    <s v="t"/>
    <n v="0.24299999999999999"/>
    <n v="0"/>
    <n v="0"/>
    <n v="0.24299999999999999"/>
    <n v="2"/>
    <n v="0"/>
    <n v="0"/>
    <n v="2"/>
    <n v="100"/>
    <n v="0"/>
    <n v="0"/>
    <s v="Consolidation"/>
    <s v="CO2e and Base Measure"/>
    <n v="100"/>
    <n v="100"/>
    <n v="0.24"/>
    <m/>
    <m/>
    <m/>
    <m/>
    <m/>
    <n v="0.31590000000000001"/>
    <m/>
    <n v="0.31590000000000001"/>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1-01T00:00:00"/>
    <s v="FY21"/>
    <s v="t"/>
    <n v="0.255"/>
    <n v="0"/>
    <n v="0"/>
    <n v="0.255"/>
    <n v="2"/>
    <n v="0"/>
    <n v="0"/>
    <n v="2"/>
    <n v="100"/>
    <n v="0"/>
    <n v="0"/>
    <s v="Consolidation"/>
    <s v="CO2e and Base Measure"/>
    <n v="100"/>
    <n v="100"/>
    <n v="0.26"/>
    <m/>
    <m/>
    <m/>
    <m/>
    <m/>
    <n v="0.33150000000000002"/>
    <m/>
    <n v="0.33150000000000002"/>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2-01T00:00:00"/>
    <s v="FY21"/>
    <s v="t"/>
    <n v="0.26800000000000002"/>
    <n v="0"/>
    <n v="0"/>
    <n v="0.26800000000000002"/>
    <n v="2"/>
    <n v="0"/>
    <n v="0"/>
    <n v="2"/>
    <n v="100"/>
    <n v="0"/>
    <n v="0"/>
    <s v="Consolidation"/>
    <s v="CO2e and Base Measure"/>
    <n v="100"/>
    <n v="100"/>
    <n v="0.27"/>
    <m/>
    <m/>
    <m/>
    <m/>
    <m/>
    <n v="0.34839999999999999"/>
    <m/>
    <n v="0.34839999999999999"/>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3-01T00:00:00"/>
    <s v="FY21"/>
    <s v="t"/>
    <n v="0.58199999999999996"/>
    <n v="0"/>
    <n v="0"/>
    <n v="0.58199999999999996"/>
    <n v="3"/>
    <n v="0"/>
    <n v="0"/>
    <n v="3"/>
    <n v="100"/>
    <n v="0"/>
    <n v="0"/>
    <s v="Consolidation"/>
    <s v="CO2e and Base Measure"/>
    <n v="100"/>
    <n v="100"/>
    <n v="0.57999999999999996"/>
    <m/>
    <m/>
    <m/>
    <m/>
    <m/>
    <n v="0.75660000000000005"/>
    <m/>
    <n v="0.75660000000000005"/>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4-01T00:00:00"/>
    <s v="FY21"/>
    <s v="t"/>
    <n v="0"/>
    <n v="0"/>
    <n v="0.33600000000000002"/>
    <n v="0.33600000000000002"/>
    <n v="0"/>
    <n v="0"/>
    <n v="30"/>
    <n v="30"/>
    <n v="0"/>
    <n v="0"/>
    <n v="100"/>
    <s v="Consolidation"/>
    <s v="CO2e and Base Measure"/>
    <n v="100"/>
    <n v="100"/>
    <n v="0.34"/>
    <m/>
    <m/>
    <m/>
    <m/>
    <m/>
    <n v="0.43680000000000002"/>
    <m/>
    <n v="0.43680000000000002"/>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5-01T00:00:00"/>
    <s v="FY21"/>
    <s v="t"/>
    <n v="0"/>
    <n v="0"/>
    <n v="0.34720000000000001"/>
    <n v="0.34720000000000001"/>
    <n v="0"/>
    <n v="0"/>
    <n v="31"/>
    <n v="31"/>
    <n v="0"/>
    <n v="0"/>
    <n v="100"/>
    <s v="Consolidation"/>
    <s v="CO2e and Base Measure"/>
    <n v="100"/>
    <n v="100"/>
    <n v="0.35"/>
    <m/>
    <m/>
    <m/>
    <m/>
    <m/>
    <n v="0.45140000000000002"/>
    <m/>
    <n v="0.45140000000000002"/>
    <m/>
    <m/>
    <m/>
    <m/>
    <m/>
    <s v="AUD"/>
    <s v="13634088Waste - General [t] - Scope 3"/>
    <n v="13634088"/>
  </r>
  <r>
    <d v="2019-07-01T00:00:00"/>
    <d v="2021-06-30T00:00:00"/>
    <s v="Telstra"/>
    <s v="NETWORK"/>
    <s v="Network - InfraCo"/>
    <s v="QLD"/>
    <s v="Australia"/>
    <s v="Tallebudgera"/>
    <s v="CURRUMBIN WATERS EXCHANGE"/>
    <n v="423030062400"/>
    <s v="Waste"/>
    <x v="1"/>
    <x v="2"/>
    <s v="Account"/>
    <s v="Remondis General Waste"/>
    <m/>
    <s v="4230300624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4144Waste - General [t] - Scope 3"/>
    <n v="13564144"/>
  </r>
  <r>
    <d v="2019-07-01T00:00:00"/>
    <d v="2021-06-30T00:00:00"/>
    <s v="Telstra"/>
    <s v="NETWORK"/>
    <s v="Network - InfraCo"/>
    <s v="QLD"/>
    <s v="Australia"/>
    <s v="Tallebudgera"/>
    <s v="CURRUMBIN WATERS EXCHANGE"/>
    <n v="423030062400"/>
    <s v="Waste"/>
    <x v="1"/>
    <x v="2"/>
    <s v="Account"/>
    <s v="Remondis General Waste"/>
    <m/>
    <s v="423030062400_WGENERALW"/>
    <s v="GENERAL WASTE"/>
    <s v="Remondis"/>
    <m/>
    <m/>
    <d v="2021-01-01T00:00:00"/>
    <d v="2021-01-01T00:00:00"/>
    <s v="FY21"/>
    <s v="t"/>
    <n v="0"/>
    <n v="0"/>
    <n v="5.0000000000000001E-4"/>
    <n v="5.0000000000000001E-4"/>
    <n v="0"/>
    <n v="0"/>
    <n v="1"/>
    <n v="1"/>
    <n v="0"/>
    <n v="0"/>
    <n v="100"/>
    <s v="Consolidation"/>
    <s v="CO2e and Base Measure"/>
    <n v="100"/>
    <n v="100"/>
    <n v="0"/>
    <m/>
    <m/>
    <m/>
    <m/>
    <m/>
    <n v="6.9999999999999999E-4"/>
    <m/>
    <n v="6.9999999999999999E-4"/>
    <m/>
    <m/>
    <m/>
    <m/>
    <m/>
    <s v="AUD"/>
    <s v="13564144Waste - General [t] - Scope 3"/>
    <n v="13564144"/>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0-12-01T00:00:00"/>
    <s v="FY21"/>
    <s v="t"/>
    <n v="0"/>
    <n v="2.1600000000000001E-2"/>
    <n v="0"/>
    <n v="2.1600000000000001E-2"/>
    <n v="0"/>
    <n v="2"/>
    <n v="0"/>
    <n v="2"/>
    <n v="0"/>
    <n v="100"/>
    <n v="0"/>
    <s v="Consolidation"/>
    <s v="CO2e and Base Measure"/>
    <n v="100"/>
    <n v="100"/>
    <n v="0.02"/>
    <m/>
    <m/>
    <m/>
    <m/>
    <m/>
    <n v="2.81E-2"/>
    <m/>
    <n v="2.81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1-01T00:00:00"/>
    <s v="FY21"/>
    <s v="t"/>
    <n v="0"/>
    <n v="1.0800000000000001E-2"/>
    <n v="0"/>
    <n v="1.0800000000000001E-2"/>
    <n v="0"/>
    <n v="1"/>
    <n v="0"/>
    <n v="1"/>
    <n v="0"/>
    <n v="100"/>
    <n v="0"/>
    <s v="Consolidation"/>
    <s v="CO2e and Base Measure"/>
    <n v="100"/>
    <n v="100"/>
    <n v="0.01"/>
    <m/>
    <m/>
    <m/>
    <m/>
    <m/>
    <n v="1.4E-2"/>
    <m/>
    <n v="1.4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2-01T00:00:00"/>
    <s v="FY21"/>
    <s v="t"/>
    <n v="0"/>
    <n v="1.0800000000000001E-2"/>
    <n v="0"/>
    <n v="1.0800000000000001E-2"/>
    <n v="0"/>
    <n v="1"/>
    <n v="0"/>
    <n v="1"/>
    <n v="0"/>
    <n v="100"/>
    <n v="0"/>
    <s v="Consolidation"/>
    <s v="CO2e and Base Measure"/>
    <n v="100"/>
    <n v="100"/>
    <n v="0.01"/>
    <m/>
    <m/>
    <m/>
    <m/>
    <m/>
    <n v="1.4E-2"/>
    <m/>
    <n v="1.4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3-01T00:00:00"/>
    <s v="FY21"/>
    <s v="t"/>
    <n v="0"/>
    <n v="0"/>
    <n v="1.55E-2"/>
    <n v="1.55E-2"/>
    <n v="0"/>
    <n v="0"/>
    <n v="31"/>
    <n v="31"/>
    <n v="0"/>
    <n v="0"/>
    <n v="100"/>
    <s v="Consolidation"/>
    <s v="CO2e and Base Measure"/>
    <n v="100"/>
    <n v="100"/>
    <n v="0.02"/>
    <m/>
    <m/>
    <m/>
    <m/>
    <m/>
    <n v="2.0199999999999999E-2"/>
    <m/>
    <n v="2.0199999999999999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4-01T00:00:00"/>
    <s v="FY21"/>
    <s v="t"/>
    <n v="0"/>
    <n v="0"/>
    <n v="1.4999999999999999E-2"/>
    <n v="1.4999999999999999E-2"/>
    <n v="0"/>
    <n v="0"/>
    <n v="30"/>
    <n v="30"/>
    <n v="0"/>
    <n v="0"/>
    <n v="100"/>
    <s v="Consolidation"/>
    <s v="CO2e and Base Measure"/>
    <n v="100"/>
    <n v="100"/>
    <n v="0.02"/>
    <m/>
    <m/>
    <m/>
    <m/>
    <m/>
    <n v="1.95E-2"/>
    <m/>
    <n v="1.95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5-01T00:00:00"/>
    <s v="FY21"/>
    <s v="t"/>
    <n v="0"/>
    <n v="0"/>
    <n v="1.55E-2"/>
    <n v="1.55E-2"/>
    <n v="0"/>
    <n v="0"/>
    <n v="31"/>
    <n v="31"/>
    <n v="0"/>
    <n v="0"/>
    <n v="100"/>
    <s v="Consolidation"/>
    <s v="CO2e and Base Measure"/>
    <n v="100"/>
    <n v="100"/>
    <n v="0.02"/>
    <m/>
    <m/>
    <m/>
    <m/>
    <m/>
    <n v="2.0199999999999999E-2"/>
    <m/>
    <n v="2.0199999999999999E-2"/>
    <m/>
    <m/>
    <m/>
    <m/>
    <m/>
    <s v="AUD"/>
    <s v="13634089Waste - General [t] - Scope 3"/>
    <n v="13634089"/>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136Waste - General [t] - Scope 3"/>
    <n v="13564136"/>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0-12-01T00:00:00"/>
    <s v="FY21"/>
    <s v="t"/>
    <n v="0"/>
    <n v="0.27"/>
    <n v="0"/>
    <n v="0.27"/>
    <n v="0"/>
    <n v="2"/>
    <n v="0"/>
    <n v="2"/>
    <n v="0"/>
    <n v="100"/>
    <n v="0"/>
    <s v="Consolidation"/>
    <s v="CO2e and Base Measure"/>
    <n v="100"/>
    <n v="100"/>
    <n v="0.27"/>
    <m/>
    <m/>
    <m/>
    <m/>
    <m/>
    <n v="0.35099999999999998"/>
    <m/>
    <n v="0.35099999999999998"/>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1-01T00:00:00"/>
    <s v="FY21"/>
    <s v="t"/>
    <n v="0.21199999999999999"/>
    <n v="0"/>
    <n v="0"/>
    <n v="0.21199999999999999"/>
    <n v="2"/>
    <n v="0"/>
    <n v="0"/>
    <n v="2"/>
    <n v="100"/>
    <n v="0"/>
    <n v="0"/>
    <s v="Consolidation"/>
    <s v="CO2e and Base Measure"/>
    <n v="100"/>
    <n v="100"/>
    <n v="0.21"/>
    <m/>
    <m/>
    <m/>
    <m/>
    <m/>
    <n v="0.27560000000000001"/>
    <m/>
    <n v="0.27560000000000001"/>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2-01T00:00:00"/>
    <s v="FY21"/>
    <s v="t"/>
    <n v="0.183"/>
    <n v="0"/>
    <n v="0"/>
    <n v="0.183"/>
    <n v="2"/>
    <n v="0"/>
    <n v="0"/>
    <n v="2"/>
    <n v="100"/>
    <n v="0"/>
    <n v="0"/>
    <s v="Consolidation"/>
    <s v="CO2e and Base Measure"/>
    <n v="100"/>
    <n v="100"/>
    <n v="0.18"/>
    <m/>
    <m/>
    <m/>
    <m/>
    <m/>
    <n v="0.2379"/>
    <m/>
    <n v="0.2379"/>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3-01T00:00:00"/>
    <s v="FY21"/>
    <s v="t"/>
    <n v="0.25600000000000001"/>
    <n v="0"/>
    <n v="0"/>
    <n v="0.25600000000000001"/>
    <n v="2"/>
    <n v="0"/>
    <n v="0"/>
    <n v="2"/>
    <n v="100"/>
    <n v="0"/>
    <n v="0"/>
    <s v="Consolidation"/>
    <s v="CO2e and Base Measure"/>
    <n v="100"/>
    <n v="100"/>
    <n v="0.26"/>
    <m/>
    <m/>
    <m/>
    <m/>
    <m/>
    <n v="0.33279999999999998"/>
    <m/>
    <n v="0.33279999999999998"/>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4-01T00:00:00"/>
    <s v="FY21"/>
    <s v="t"/>
    <n v="0"/>
    <n v="0"/>
    <n v="0.23100000000000001"/>
    <n v="0.23100000000000001"/>
    <n v="0"/>
    <n v="0"/>
    <n v="30"/>
    <n v="30"/>
    <n v="0"/>
    <n v="0"/>
    <n v="100"/>
    <s v="Consolidation"/>
    <s v="CO2e and Base Measure"/>
    <n v="100"/>
    <n v="100"/>
    <n v="0.23"/>
    <m/>
    <m/>
    <m/>
    <m/>
    <m/>
    <n v="0.30030000000000001"/>
    <m/>
    <n v="0.30030000000000001"/>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5-01T00:00:00"/>
    <s v="FY21"/>
    <s v="t"/>
    <n v="0"/>
    <n v="0"/>
    <n v="0.2387"/>
    <n v="0.2387"/>
    <n v="0"/>
    <n v="0"/>
    <n v="31"/>
    <n v="31"/>
    <n v="0"/>
    <n v="0"/>
    <n v="100"/>
    <s v="Consolidation"/>
    <s v="CO2e and Base Measure"/>
    <n v="100"/>
    <n v="100"/>
    <n v="0.24"/>
    <m/>
    <m/>
    <m/>
    <m/>
    <m/>
    <n v="0.31030000000000002"/>
    <m/>
    <n v="0.31030000000000002"/>
    <m/>
    <m/>
    <m/>
    <m/>
    <m/>
    <s v="AUD"/>
    <s v="13634409Waste - General [t] - Scope 3"/>
    <n v="13634409"/>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07-01T00:00:00"/>
    <s v="FY21"/>
    <s v="t"/>
    <n v="0.25"/>
    <n v="0"/>
    <n v="0"/>
    <n v="0.25"/>
    <n v="1"/>
    <n v="0"/>
    <n v="0"/>
    <n v="1"/>
    <n v="100"/>
    <n v="0"/>
    <n v="0"/>
    <s v="Consolidation"/>
    <s v="CO2e and Base Measure"/>
    <n v="100"/>
    <n v="100"/>
    <n v="0.25"/>
    <m/>
    <m/>
    <m/>
    <m/>
    <m/>
    <n v="0.32500000000000001"/>
    <m/>
    <n v="0.32500000000000001"/>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08-01T00:00:00"/>
    <s v="FY21"/>
    <s v="t"/>
    <n v="0.11799999999999999"/>
    <n v="0"/>
    <n v="0"/>
    <n v="0.11799999999999999"/>
    <n v="1"/>
    <n v="0"/>
    <n v="0"/>
    <n v="1"/>
    <n v="100"/>
    <n v="0"/>
    <n v="0"/>
    <s v="Consolidation"/>
    <s v="CO2e and Base Measure"/>
    <n v="100"/>
    <n v="100"/>
    <n v="0.12"/>
    <m/>
    <m/>
    <m/>
    <m/>
    <m/>
    <n v="0.15340000000000001"/>
    <m/>
    <n v="0.15340000000000001"/>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09-01T00:00:00"/>
    <s v="FY21"/>
    <s v="t"/>
    <n v="4.3999999999999997E-2"/>
    <n v="7.22E-2"/>
    <n v="0"/>
    <n v="0.1162"/>
    <n v="4"/>
    <n v="1"/>
    <n v="0"/>
    <n v="5"/>
    <n v="37.86"/>
    <n v="62.13"/>
    <n v="0"/>
    <s v="Consolidation"/>
    <s v="CO2e and Base Measure"/>
    <n v="100"/>
    <n v="100"/>
    <n v="0.12"/>
    <m/>
    <m/>
    <m/>
    <m/>
    <m/>
    <n v="0.15110000000000001"/>
    <m/>
    <n v="0.15110000000000001"/>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10-01T00:00:00"/>
    <s v="FY21"/>
    <s v="t"/>
    <n v="3.2000000000000001E-2"/>
    <n v="0"/>
    <n v="0"/>
    <n v="3.2000000000000001E-2"/>
    <n v="4"/>
    <n v="0"/>
    <n v="0"/>
    <n v="4"/>
    <n v="100"/>
    <n v="0"/>
    <n v="0"/>
    <s v="Consolidation"/>
    <s v="CO2e and Base Measure"/>
    <n v="100"/>
    <n v="100"/>
    <n v="0.03"/>
    <m/>
    <m/>
    <m/>
    <m/>
    <m/>
    <n v="4.1599999999999998E-2"/>
    <m/>
    <n v="4.1599999999999998E-2"/>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11-01T00:00:00"/>
    <s v="FY21"/>
    <s v="t"/>
    <n v="8.4000000000000005E-2"/>
    <n v="7.22E-2"/>
    <n v="0"/>
    <n v="0.15620000000000001"/>
    <n v="4"/>
    <n v="1"/>
    <n v="0"/>
    <n v="5"/>
    <n v="53.77"/>
    <n v="46.22"/>
    <n v="0"/>
    <s v="Consolidation"/>
    <s v="CO2e and Base Measure"/>
    <n v="100"/>
    <n v="100"/>
    <n v="0.16"/>
    <m/>
    <m/>
    <m/>
    <m/>
    <m/>
    <n v="0.2031"/>
    <m/>
    <n v="0.2031"/>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12-01T00:00:00"/>
    <s v="FY21"/>
    <s v="t"/>
    <n v="0"/>
    <n v="0.28860000000000002"/>
    <n v="0"/>
    <n v="0.28860000000000002"/>
    <n v="0"/>
    <n v="1"/>
    <n v="0"/>
    <n v="1"/>
    <n v="0"/>
    <n v="100"/>
    <n v="0"/>
    <s v="Consolidation"/>
    <s v="CO2e and Base Measure"/>
    <n v="100"/>
    <n v="100"/>
    <n v="0.28999999999999998"/>
    <m/>
    <m/>
    <m/>
    <m/>
    <m/>
    <n v="0.37519999999999998"/>
    <m/>
    <n v="0.37519999999999998"/>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1-01-01T00:00:00"/>
    <s v="FY21"/>
    <s v="t"/>
    <n v="0"/>
    <n v="0"/>
    <n v="5.3E-3"/>
    <n v="5.3E-3"/>
    <n v="0"/>
    <n v="0"/>
    <n v="1"/>
    <n v="1"/>
    <n v="0"/>
    <n v="0"/>
    <n v="100"/>
    <s v="Consolidation"/>
    <s v="CO2e and Base Measure"/>
    <n v="100"/>
    <n v="100"/>
    <n v="0.01"/>
    <m/>
    <m/>
    <m/>
    <m/>
    <m/>
    <n v="6.8999999999999999E-3"/>
    <m/>
    <n v="6.8999999999999999E-3"/>
    <m/>
    <m/>
    <m/>
    <m/>
    <m/>
    <s v="AUD"/>
    <s v="13564460Waste - General [t] - Scope 3"/>
    <n v="13564460"/>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1-01T00:00:00"/>
    <s v="FY21"/>
    <s v="t"/>
    <n v="0"/>
    <n v="9.9000000000000005E-2"/>
    <n v="0"/>
    <n v="9.9000000000000005E-2"/>
    <n v="0"/>
    <n v="1"/>
    <n v="0"/>
    <n v="1"/>
    <n v="0"/>
    <n v="100"/>
    <n v="0"/>
    <s v="Consolidation"/>
    <s v="CO2e and Base Measure"/>
    <n v="100"/>
    <n v="100"/>
    <n v="0.1"/>
    <m/>
    <m/>
    <m/>
    <m/>
    <m/>
    <n v="0.12870000000000001"/>
    <m/>
    <n v="0.12870000000000001"/>
    <m/>
    <m/>
    <m/>
    <m/>
    <m/>
    <s v="AUD"/>
    <s v="13634424Waste - General [t] - Scope 3"/>
    <n v="13634424"/>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2-01T00:00:00"/>
    <s v="FY21"/>
    <s v="t"/>
    <n v="0"/>
    <n v="9.9000000000000005E-2"/>
    <n v="0"/>
    <n v="9.9000000000000005E-2"/>
    <n v="0"/>
    <n v="2"/>
    <n v="0"/>
    <n v="2"/>
    <n v="0"/>
    <n v="100"/>
    <n v="0"/>
    <s v="Consolidation"/>
    <s v="CO2e and Base Measure"/>
    <n v="100"/>
    <n v="100"/>
    <n v="0.1"/>
    <m/>
    <m/>
    <m/>
    <m/>
    <m/>
    <n v="0.12870000000000001"/>
    <m/>
    <n v="0.12870000000000001"/>
    <m/>
    <m/>
    <m/>
    <m/>
    <m/>
    <s v="AUD"/>
    <s v="13634424Waste - General [t] - Scope 3"/>
    <n v="13634424"/>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3-01T00:00:00"/>
    <s v="FY21"/>
    <s v="t"/>
    <n v="0"/>
    <n v="9.9000000000000005E-2"/>
    <n v="0"/>
    <n v="9.9000000000000005E-2"/>
    <n v="0"/>
    <n v="2"/>
    <n v="0"/>
    <n v="2"/>
    <n v="0"/>
    <n v="100"/>
    <n v="0"/>
    <s v="Consolidation"/>
    <s v="CO2e and Base Measure"/>
    <n v="100"/>
    <n v="100"/>
    <n v="0.1"/>
    <m/>
    <m/>
    <m/>
    <m/>
    <m/>
    <n v="0.12870000000000001"/>
    <m/>
    <n v="0.12870000000000001"/>
    <m/>
    <m/>
    <m/>
    <m/>
    <m/>
    <s v="AUD"/>
    <s v="13634424Waste - General [t] - Scope 3"/>
    <n v="13634424"/>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4-01T00:00:00"/>
    <s v="FY21"/>
    <s v="t"/>
    <n v="0"/>
    <n v="0"/>
    <n v="9.9000000000000005E-2"/>
    <n v="9.9000000000000005E-2"/>
    <n v="0"/>
    <n v="0"/>
    <n v="30"/>
    <n v="30"/>
    <n v="0"/>
    <n v="0"/>
    <n v="100"/>
    <s v="Consolidation"/>
    <s v="CO2e and Base Measure"/>
    <n v="100"/>
    <n v="100"/>
    <n v="0.1"/>
    <m/>
    <m/>
    <m/>
    <m/>
    <m/>
    <n v="0.12870000000000001"/>
    <m/>
    <n v="0.12870000000000001"/>
    <m/>
    <m/>
    <m/>
    <m/>
    <m/>
    <s v="AUD"/>
    <s v="13634424Waste - General [t] - Scope 3"/>
    <n v="13634424"/>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5-01T00:00:00"/>
    <s v="FY21"/>
    <s v="t"/>
    <n v="0"/>
    <n v="0"/>
    <n v="0.1023"/>
    <n v="0.1023"/>
    <n v="0"/>
    <n v="0"/>
    <n v="31"/>
    <n v="31"/>
    <n v="0"/>
    <n v="0"/>
    <n v="100"/>
    <s v="Consolidation"/>
    <s v="CO2e and Base Measure"/>
    <n v="100"/>
    <n v="100"/>
    <n v="0.1"/>
    <m/>
    <m/>
    <m/>
    <m/>
    <m/>
    <n v="0.13300000000000001"/>
    <m/>
    <n v="0.13300000000000001"/>
    <m/>
    <m/>
    <m/>
    <m/>
    <m/>
    <s v="AUD"/>
    <s v="13634424Waste - General [t] - Scope 3"/>
    <n v="13634424"/>
  </r>
  <r>
    <d v="2019-07-01T00:00:00"/>
    <d v="2021-06-30T00:00:00"/>
    <s v="Telstra"/>
    <s v="NETWORK"/>
    <s v="Network - InfraCo"/>
    <s v="NSW"/>
    <s v="Australia"/>
    <s v="Narooma"/>
    <s v="DALMENY EXCHANGE"/>
    <n v="423030177400"/>
    <s v="Waste"/>
    <x v="1"/>
    <x v="2"/>
    <s v="Account"/>
    <s v="Remondis General Waste"/>
    <m/>
    <s v="423030177400_WGENERALW"/>
    <s v="GENERAL WASTE"/>
    <s v="Remondis"/>
    <m/>
    <m/>
    <d v="2020-10-01T00:00:00"/>
    <d v="2020-07-01T00:00:00"/>
    <s v="FY21"/>
    <s v="t"/>
    <n v="0"/>
    <n v="1.5599999999999999E-2"/>
    <n v="0"/>
    <n v="1.5599999999999999E-2"/>
    <n v="0"/>
    <n v="1"/>
    <n v="0"/>
    <n v="1"/>
    <n v="0"/>
    <n v="100"/>
    <n v="0"/>
    <s v="Consolidation"/>
    <s v="CO2e and Base Measure"/>
    <n v="100"/>
    <n v="100"/>
    <n v="0.02"/>
    <m/>
    <m/>
    <m/>
    <m/>
    <m/>
    <n v="2.0299999999999999E-2"/>
    <m/>
    <n v="2.0299999999999999E-2"/>
    <m/>
    <m/>
    <m/>
    <m/>
    <m/>
    <s v="AUD"/>
    <s v="13564256Waste - General [t] - Scope 3"/>
    <n v="13564256"/>
  </r>
  <r>
    <d v="2019-07-01T00:00:00"/>
    <d v="2021-06-30T00:00:00"/>
    <s v="Telstra"/>
    <s v="NETWORK"/>
    <s v="Network - InfraCo"/>
    <s v="NSW"/>
    <s v="Australia"/>
    <s v="Narooma"/>
    <s v="DALMENY EXCHANGE"/>
    <n v="423030177400"/>
    <s v="Waste"/>
    <x v="1"/>
    <x v="2"/>
    <s v="Account"/>
    <s v="Remondis General Waste"/>
    <m/>
    <s v="423030177400_WGENERALW"/>
    <s v="GENERAL WASTE"/>
    <s v="Remondis"/>
    <m/>
    <m/>
    <d v="2020-10-01T00:00:00"/>
    <d v="2020-08-01T00:00:00"/>
    <s v="FY21"/>
    <s v="t"/>
    <n v="0"/>
    <n v="1.5599999999999999E-2"/>
    <n v="0"/>
    <n v="1.5599999999999999E-2"/>
    <n v="0"/>
    <n v="1"/>
    <n v="0"/>
    <n v="1"/>
    <n v="0"/>
    <n v="100"/>
    <n v="0"/>
    <s v="Consolidation"/>
    <s v="CO2e and Base Measure"/>
    <n v="100"/>
    <n v="100"/>
    <n v="0.02"/>
    <m/>
    <m/>
    <m/>
    <m/>
    <m/>
    <n v="2.0299999999999999E-2"/>
    <m/>
    <n v="2.0299999999999999E-2"/>
    <m/>
    <m/>
    <m/>
    <m/>
    <m/>
    <s v="AUD"/>
    <s v="13564256Waste - General [t] - Scope 3"/>
    <n v="13564256"/>
  </r>
  <r>
    <d v="2019-07-01T00:00:00"/>
    <d v="2021-06-30T00:00:00"/>
    <s v="Telstra"/>
    <s v="NETWORK"/>
    <s v="Network - InfraCo"/>
    <s v="NSW"/>
    <s v="Australia"/>
    <s v="Narooma"/>
    <s v="DALMENY EXCHANGE"/>
    <n v="423030177400"/>
    <s v="Waste"/>
    <x v="1"/>
    <x v="2"/>
    <s v="Account"/>
    <s v="Remondis General Waste"/>
    <m/>
    <s v="423030177400_WGENERALW"/>
    <s v="GENERAL WASTE"/>
    <s v="Remondis"/>
    <m/>
    <m/>
    <d v="2020-10-01T00:00:00"/>
    <d v="2020-09-01T00:00:00"/>
    <s v="FY21"/>
    <s v="t"/>
    <n v="0"/>
    <n v="3.1199999999999999E-2"/>
    <n v="0"/>
    <n v="3.1199999999999999E-2"/>
    <n v="0"/>
    <n v="2"/>
    <n v="0"/>
    <n v="2"/>
    <n v="0"/>
    <n v="100"/>
    <n v="0"/>
    <s v="Consolidation"/>
    <s v="CO2e and Base Measure"/>
    <n v="100"/>
    <n v="100"/>
    <n v="0.03"/>
    <m/>
    <m/>
    <m/>
    <m/>
    <m/>
    <n v="4.0599999999999997E-2"/>
    <m/>
    <n v="4.0599999999999997E-2"/>
    <m/>
    <m/>
    <m/>
    <m/>
    <m/>
    <s v="AUD"/>
    <s v="13564256Waste - General [t] - Scope 3"/>
    <n v="13564256"/>
  </r>
  <r>
    <d v="2019-07-01T00:00:00"/>
    <d v="2021-06-30T00:00:00"/>
    <s v="Telstra"/>
    <s v="NETWORK"/>
    <s v="Network - InfraCo"/>
    <s v="NSW"/>
    <s v="Australia"/>
    <s v="Narooma"/>
    <s v="DALMENY EXCHANGE"/>
    <n v="423030177400"/>
    <s v="Waste"/>
    <x v="1"/>
    <x v="2"/>
    <s v="Account"/>
    <s v="Remondis General Waste"/>
    <m/>
    <s v="423030177400_WGENERALW"/>
    <s v="GENERAL WASTE"/>
    <s v="Remondis"/>
    <m/>
    <m/>
    <d v="2020-10-01T00:00:00"/>
    <d v="2020-10-01T00:00:00"/>
    <s v="FY21"/>
    <s v="t"/>
    <n v="0"/>
    <n v="0"/>
    <n v="6.9999999999999999E-4"/>
    <n v="6.9999999999999999E-4"/>
    <n v="0"/>
    <n v="0"/>
    <n v="1"/>
    <n v="1"/>
    <n v="0"/>
    <n v="0"/>
    <n v="100"/>
    <s v="Consolidation"/>
    <s v="CO2e and Base Measure"/>
    <n v="100"/>
    <n v="100"/>
    <n v="0"/>
    <m/>
    <m/>
    <m/>
    <m/>
    <m/>
    <n v="8.9999999999999998E-4"/>
    <m/>
    <n v="8.9999999999999998E-4"/>
    <m/>
    <m/>
    <m/>
    <m/>
    <m/>
    <s v="AUD"/>
    <s v="13564256Waste - General [t] - Scope 3"/>
    <n v="13564256"/>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0-11-01T00:00:00"/>
    <s v="FY21"/>
    <s v="t"/>
    <n v="0"/>
    <n v="1.0800000000000001E-2"/>
    <n v="0"/>
    <n v="1.0800000000000001E-2"/>
    <n v="0"/>
    <n v="1"/>
    <n v="0"/>
    <n v="1"/>
    <n v="0"/>
    <n v="100"/>
    <n v="0"/>
    <s v="Consolidation"/>
    <s v="CO2e and Base Measure"/>
    <n v="100"/>
    <n v="100"/>
    <n v="0.01"/>
    <m/>
    <m/>
    <m/>
    <m/>
    <m/>
    <n v="1.4E-2"/>
    <m/>
    <n v="1.4E-2"/>
    <m/>
    <m/>
    <m/>
    <m/>
    <m/>
    <s v="AUD"/>
    <s v="13633973Waste - General [t] - Scope 3"/>
    <n v="13633973"/>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0-12-01T00:00:00"/>
    <s v="FY21"/>
    <s v="t"/>
    <n v="0"/>
    <n v="1.0800000000000001E-2"/>
    <n v="0"/>
    <n v="1.0800000000000001E-2"/>
    <n v="0"/>
    <n v="1"/>
    <n v="0"/>
    <n v="1"/>
    <n v="0"/>
    <n v="100"/>
    <n v="0"/>
    <s v="Consolidation"/>
    <s v="CO2e and Base Measure"/>
    <n v="100"/>
    <n v="100"/>
    <n v="0.01"/>
    <m/>
    <m/>
    <m/>
    <m/>
    <m/>
    <n v="1.4E-2"/>
    <m/>
    <n v="1.4E-2"/>
    <m/>
    <m/>
    <m/>
    <m/>
    <m/>
    <s v="AUD"/>
    <s v="13633973Waste - General [t] - Scope 3"/>
    <n v="13633973"/>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1-03-01T00:00:00"/>
    <s v="FY21"/>
    <s v="t"/>
    <n v="0"/>
    <n v="1.0800000000000001E-2"/>
    <n v="0"/>
    <n v="1.0800000000000001E-2"/>
    <n v="0"/>
    <n v="1"/>
    <n v="0"/>
    <n v="1"/>
    <n v="0"/>
    <n v="100"/>
    <n v="0"/>
    <s v="Consolidation"/>
    <s v="CO2e and Base Measure"/>
    <n v="100"/>
    <n v="100"/>
    <n v="0.01"/>
    <m/>
    <m/>
    <m/>
    <m/>
    <m/>
    <n v="1.4E-2"/>
    <m/>
    <n v="1.4E-2"/>
    <m/>
    <m/>
    <m/>
    <m/>
    <m/>
    <s v="AUD"/>
    <s v="13633973Waste - General [t] - Scope 3"/>
    <n v="13633973"/>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1-04-01T00:00:00"/>
    <s v="FY21"/>
    <s v="t"/>
    <n v="0"/>
    <n v="0"/>
    <n v="6.0000000000000001E-3"/>
    <n v="6.0000000000000001E-3"/>
    <n v="0"/>
    <n v="0"/>
    <n v="30"/>
    <n v="30"/>
    <n v="0"/>
    <n v="0"/>
    <n v="100"/>
    <s v="Consolidation"/>
    <s v="CO2e and Base Measure"/>
    <n v="100"/>
    <n v="100"/>
    <n v="0.01"/>
    <m/>
    <m/>
    <m/>
    <m/>
    <m/>
    <n v="7.7999999999999996E-3"/>
    <m/>
    <n v="7.7999999999999996E-3"/>
    <m/>
    <m/>
    <m/>
    <m/>
    <m/>
    <s v="AUD"/>
    <s v="13633973Waste - General [t] - Scope 3"/>
    <n v="13633973"/>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1-05-01T00:00:00"/>
    <s v="FY21"/>
    <s v="t"/>
    <n v="0"/>
    <n v="0"/>
    <n v="6.1999999999999998E-3"/>
    <n v="6.1999999999999998E-3"/>
    <n v="0"/>
    <n v="0"/>
    <n v="31"/>
    <n v="31"/>
    <n v="0"/>
    <n v="0"/>
    <n v="100"/>
    <s v="Consolidation"/>
    <s v="CO2e and Base Measure"/>
    <n v="100"/>
    <n v="100"/>
    <n v="0.01"/>
    <m/>
    <m/>
    <m/>
    <m/>
    <m/>
    <n v="8.0999999999999996E-3"/>
    <m/>
    <n v="8.0999999999999996E-3"/>
    <m/>
    <m/>
    <m/>
    <m/>
    <m/>
    <s v="AUD"/>
    <s v="13633973Waste - General [t] - Scope 3"/>
    <n v="13633973"/>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07-01T00:00:00"/>
    <s v="FY21"/>
    <s v="t"/>
    <n v="0.40500000000000003"/>
    <n v="0"/>
    <n v="0"/>
    <n v="0.40500000000000003"/>
    <n v="1"/>
    <n v="0"/>
    <n v="0"/>
    <n v="1"/>
    <n v="100"/>
    <n v="0"/>
    <n v="0"/>
    <s v="Consolidation"/>
    <s v="CO2e and Base Measure"/>
    <n v="100"/>
    <n v="100"/>
    <n v="0.41"/>
    <m/>
    <m/>
    <m/>
    <m/>
    <m/>
    <n v="0.52649999999999997"/>
    <m/>
    <n v="0.52649999999999997"/>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08-01T00:00:00"/>
    <s v="FY21"/>
    <s v="t"/>
    <n v="0"/>
    <n v="0.36"/>
    <n v="0"/>
    <n v="0.36"/>
    <n v="0"/>
    <n v="1"/>
    <n v="0"/>
    <n v="1"/>
    <n v="0"/>
    <n v="100"/>
    <n v="0"/>
    <s v="Consolidation"/>
    <s v="CO2e and Base Measure"/>
    <n v="100"/>
    <n v="100"/>
    <n v="0.36"/>
    <m/>
    <m/>
    <m/>
    <m/>
    <m/>
    <n v="0.46800000000000003"/>
    <m/>
    <n v="0.46800000000000003"/>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09-01T00:00:00"/>
    <s v="FY21"/>
    <s v="t"/>
    <n v="0"/>
    <n v="0.29249999999999998"/>
    <n v="0"/>
    <n v="0.29249999999999998"/>
    <n v="0"/>
    <n v="1"/>
    <n v="0"/>
    <n v="1"/>
    <n v="0"/>
    <n v="100"/>
    <n v="0"/>
    <s v="Consolidation"/>
    <s v="CO2e and Base Measure"/>
    <n v="100"/>
    <n v="100"/>
    <n v="0.28999999999999998"/>
    <m/>
    <m/>
    <m/>
    <m/>
    <m/>
    <n v="0.38030000000000003"/>
    <m/>
    <n v="0.38030000000000003"/>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10-01T00:00:00"/>
    <s v="FY21"/>
    <s v="t"/>
    <n v="0.38"/>
    <n v="0"/>
    <n v="0"/>
    <n v="0.38"/>
    <n v="1"/>
    <n v="0"/>
    <n v="0"/>
    <n v="1"/>
    <n v="100"/>
    <n v="0"/>
    <n v="0"/>
    <s v="Consolidation"/>
    <s v="CO2e and Base Measure"/>
    <n v="100"/>
    <n v="100"/>
    <n v="0.38"/>
    <m/>
    <m/>
    <m/>
    <m/>
    <m/>
    <n v="0.49399999999999999"/>
    <m/>
    <n v="0.49399999999999999"/>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11-01T00:00:00"/>
    <s v="FY21"/>
    <s v="t"/>
    <n v="0.38"/>
    <n v="0.29249999999999998"/>
    <n v="0"/>
    <n v="0.67249999999999999"/>
    <n v="1"/>
    <n v="1"/>
    <n v="0"/>
    <n v="2"/>
    <n v="56.5"/>
    <n v="43.49"/>
    <n v="0"/>
    <s v="Consolidation"/>
    <s v="CO2e and Base Measure"/>
    <n v="100"/>
    <n v="100"/>
    <n v="0.67"/>
    <m/>
    <m/>
    <m/>
    <m/>
    <m/>
    <n v="0.87429999999999997"/>
    <m/>
    <n v="0.87429999999999997"/>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900Waste - General [t] - Scope 3"/>
    <n v="13564900"/>
  </r>
  <r>
    <d v="2019-07-01T00:00:00"/>
    <d v="2021-06-30T00:00:00"/>
    <s v="Telstra"/>
    <s v="NETWORK"/>
    <s v="Network - InfraCo"/>
    <s v="VIC"/>
    <s v="Australia"/>
    <s v="Mulgrave"/>
    <s v="DANDENONG NORTH EXCHANGE"/>
    <n v="423030579100"/>
    <s v="Waste"/>
    <x v="1"/>
    <x v="2"/>
    <s v="Account"/>
    <s v="CLEANAWAY General"/>
    <m/>
    <s v="25551_Landfill_General"/>
    <m/>
    <s v="Cleanaway"/>
    <m/>
    <d v="2021-02-23T00:00:00"/>
    <m/>
    <d v="2021-02-01T00:00:00"/>
    <s v="FY21"/>
    <s v="t"/>
    <n v="0.05"/>
    <n v="0"/>
    <n v="0"/>
    <n v="0.05"/>
    <n v="1"/>
    <n v="0"/>
    <n v="0"/>
    <n v="1"/>
    <n v="100"/>
    <n v="0"/>
    <n v="0"/>
    <s v="Consolidation"/>
    <s v="CO2e and Base Measure"/>
    <n v="100"/>
    <n v="100"/>
    <n v="0.05"/>
    <m/>
    <m/>
    <m/>
    <m/>
    <m/>
    <n v="6.5000000000000002E-2"/>
    <m/>
    <n v="6.5000000000000002E-2"/>
    <m/>
    <m/>
    <m/>
    <m/>
    <m/>
    <s v="AUD"/>
    <s v="13639961Waste - General [t] - Scope 3"/>
    <n v="13639961"/>
  </r>
  <r>
    <d v="2019-07-01T00:00:00"/>
    <d v="2021-06-30T00:00:00"/>
    <s v="Telstra"/>
    <s v="NETWORK"/>
    <s v="Network - InfraCo"/>
    <s v="VIC"/>
    <s v="Australia"/>
    <s v="Mulgrave"/>
    <s v="DANDENONG NORTH EXCHANGE"/>
    <n v="423030579100"/>
    <s v="Waste"/>
    <x v="1"/>
    <x v="2"/>
    <s v="Account"/>
    <s v="CLEANAWAY General"/>
    <m/>
    <s v="25551_Landfill_General"/>
    <m/>
    <s v="Cleanaway"/>
    <m/>
    <d v="2021-02-23T00:00:00"/>
    <m/>
    <d v="2021-03-01T00:00:00"/>
    <s v="FY21"/>
    <s v="t"/>
    <n v="0.40100000000000002"/>
    <n v="0.13500000000000001"/>
    <n v="0"/>
    <n v="0.53600000000000003"/>
    <n v="3"/>
    <n v="1"/>
    <n v="0"/>
    <n v="4"/>
    <n v="74.81"/>
    <n v="25.18"/>
    <n v="0"/>
    <s v="Consolidation"/>
    <s v="CO2e and Base Measure"/>
    <n v="100"/>
    <n v="100"/>
    <n v="0.54"/>
    <m/>
    <m/>
    <m/>
    <m/>
    <m/>
    <n v="0.69679999999999997"/>
    <m/>
    <n v="0.69679999999999997"/>
    <m/>
    <m/>
    <m/>
    <m/>
    <m/>
    <s v="AUD"/>
    <s v="13639961Waste - General [t] - Scope 3"/>
    <n v="13639961"/>
  </r>
  <r>
    <d v="2019-07-01T00:00:00"/>
    <d v="2021-06-30T00:00:00"/>
    <s v="Telstra"/>
    <s v="NETWORK"/>
    <s v="Network - InfraCo"/>
    <s v="VIC"/>
    <s v="Australia"/>
    <s v="Mulgrave"/>
    <s v="DANDENONG NORTH EXCHANGE"/>
    <n v="423030579100"/>
    <s v="Waste"/>
    <x v="1"/>
    <x v="2"/>
    <s v="Account"/>
    <s v="CLEANAWAY General"/>
    <m/>
    <s v="25551_Landfill_General"/>
    <m/>
    <s v="Cleanaway"/>
    <m/>
    <d v="2021-02-23T00:00:00"/>
    <m/>
    <d v="2021-04-01T00:00:00"/>
    <s v="FY21"/>
    <s v="t"/>
    <n v="0"/>
    <n v="0"/>
    <n v="0.30299999999999999"/>
    <n v="0.30299999999999999"/>
    <n v="0"/>
    <n v="0"/>
    <n v="30"/>
    <n v="30"/>
    <n v="0"/>
    <n v="0"/>
    <n v="100"/>
    <s v="Consolidation"/>
    <s v="CO2e and Base Measure"/>
    <n v="100"/>
    <n v="100"/>
    <n v="0.3"/>
    <m/>
    <m/>
    <m/>
    <m/>
    <m/>
    <n v="0.39389999999999997"/>
    <m/>
    <n v="0.39389999999999997"/>
    <m/>
    <m/>
    <m/>
    <m/>
    <m/>
    <s v="AUD"/>
    <s v="13639961Waste - General [t] - Scope 3"/>
    <n v="13639961"/>
  </r>
  <r>
    <d v="2019-07-01T00:00:00"/>
    <d v="2021-06-30T00:00:00"/>
    <s v="Telstra"/>
    <s v="NETWORK"/>
    <s v="Network - InfraCo"/>
    <s v="VIC"/>
    <s v="Australia"/>
    <s v="Mulgrave"/>
    <s v="DANDENONG NORTH EXCHANGE"/>
    <n v="423030579100"/>
    <s v="Waste"/>
    <x v="1"/>
    <x v="2"/>
    <s v="Account"/>
    <s v="CLEANAWAY General"/>
    <m/>
    <s v="25551_Landfill_General"/>
    <m/>
    <s v="Cleanaway"/>
    <m/>
    <d v="2021-02-23T00:00:00"/>
    <m/>
    <d v="2021-05-01T00:00:00"/>
    <s v="FY21"/>
    <s v="t"/>
    <n v="0"/>
    <n v="0"/>
    <n v="0.31309999999999999"/>
    <n v="0.31309999999999999"/>
    <n v="0"/>
    <n v="0"/>
    <n v="31"/>
    <n v="31"/>
    <n v="0"/>
    <n v="0"/>
    <n v="100"/>
    <s v="Consolidation"/>
    <s v="CO2e and Base Measure"/>
    <n v="100"/>
    <n v="100"/>
    <n v="0.31"/>
    <m/>
    <m/>
    <m/>
    <m/>
    <m/>
    <n v="0.40699999999999997"/>
    <m/>
    <n v="0.40699999999999997"/>
    <m/>
    <m/>
    <m/>
    <m/>
    <m/>
    <s v="AUD"/>
    <s v="13639961Waste - General [t] - Scope 3"/>
    <n v="13639961"/>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07-01T00:00:00"/>
    <s v="FY21"/>
    <s v="t"/>
    <n v="8.5000000000000006E-2"/>
    <n v="0"/>
    <n v="0"/>
    <n v="8.5000000000000006E-2"/>
    <n v="2"/>
    <n v="0"/>
    <n v="0"/>
    <n v="2"/>
    <n v="100"/>
    <n v="0"/>
    <n v="0"/>
    <s v="Consolidation"/>
    <s v="CO2e and Base Measure"/>
    <n v="100"/>
    <n v="100"/>
    <n v="0.09"/>
    <m/>
    <m/>
    <m/>
    <m/>
    <m/>
    <n v="0.1105"/>
    <m/>
    <n v="0.1105"/>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09-01T00:00:00"/>
    <s v="FY21"/>
    <s v="t"/>
    <n v="0.22500000000000001"/>
    <n v="0"/>
    <n v="0"/>
    <n v="0.22500000000000001"/>
    <n v="1"/>
    <n v="0"/>
    <n v="0"/>
    <n v="1"/>
    <n v="100"/>
    <n v="0"/>
    <n v="0"/>
    <s v="Consolidation"/>
    <s v="CO2e and Base Measure"/>
    <n v="100"/>
    <n v="100"/>
    <n v="0.23"/>
    <m/>
    <m/>
    <m/>
    <m/>
    <m/>
    <n v="0.29249999999999998"/>
    <m/>
    <n v="0.29249999999999998"/>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10-01T00:00:00"/>
    <s v="FY21"/>
    <s v="t"/>
    <n v="0.1"/>
    <n v="0"/>
    <n v="0"/>
    <n v="0.1"/>
    <n v="2"/>
    <n v="0"/>
    <n v="0"/>
    <n v="2"/>
    <n v="100"/>
    <n v="0"/>
    <n v="0"/>
    <s v="Consolidation"/>
    <s v="CO2e and Base Measure"/>
    <n v="100"/>
    <n v="100"/>
    <n v="0.1"/>
    <m/>
    <m/>
    <m/>
    <m/>
    <m/>
    <n v="0.13"/>
    <m/>
    <n v="0.13"/>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11-01T00:00:00"/>
    <s v="FY21"/>
    <s v="t"/>
    <n v="9.5000000000000001E-2"/>
    <n v="0"/>
    <n v="0"/>
    <n v="9.5000000000000001E-2"/>
    <n v="2"/>
    <n v="0"/>
    <n v="0"/>
    <n v="2"/>
    <n v="100"/>
    <n v="0"/>
    <n v="0"/>
    <s v="Consolidation"/>
    <s v="CO2e and Base Measure"/>
    <n v="100"/>
    <n v="100"/>
    <n v="0.1"/>
    <m/>
    <m/>
    <m/>
    <m/>
    <m/>
    <n v="0.1235"/>
    <m/>
    <n v="0.1235"/>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1-01-01T00:00:00"/>
    <s v="FY21"/>
    <s v="t"/>
    <n v="0"/>
    <n v="0"/>
    <n v="3.3E-3"/>
    <n v="3.3E-3"/>
    <n v="0"/>
    <n v="0"/>
    <n v="1"/>
    <n v="1"/>
    <n v="0"/>
    <n v="0"/>
    <n v="100"/>
    <s v="Consolidation"/>
    <s v="CO2e and Base Measure"/>
    <n v="100"/>
    <n v="100"/>
    <n v="0"/>
    <m/>
    <m/>
    <m/>
    <m/>
    <m/>
    <n v="4.3E-3"/>
    <m/>
    <n v="4.3E-3"/>
    <m/>
    <m/>
    <m/>
    <m/>
    <m/>
    <s v="AUD"/>
    <s v="13564637Waste - General [t] - Scope 3"/>
    <n v="1356463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1-01T00:00:00"/>
    <s v="FY21"/>
    <s v="t"/>
    <n v="9.2999999999999999E-2"/>
    <n v="6.7500000000000004E-2"/>
    <n v="0"/>
    <n v="0.1605"/>
    <n v="1"/>
    <n v="1"/>
    <n v="0"/>
    <n v="2"/>
    <n v="57.94"/>
    <n v="42.05"/>
    <n v="0"/>
    <s v="Consolidation"/>
    <s v="CO2e and Base Measure"/>
    <n v="100"/>
    <n v="100"/>
    <n v="0.16"/>
    <m/>
    <m/>
    <m/>
    <m/>
    <m/>
    <n v="0.2087"/>
    <m/>
    <n v="0.2087"/>
    <m/>
    <m/>
    <m/>
    <m/>
    <m/>
    <s v="AUD"/>
    <s v="13634487Waste - General [t] - Scope 3"/>
    <n v="1363448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2-01T00:00:00"/>
    <s v="FY21"/>
    <s v="t"/>
    <n v="0.19500000000000001"/>
    <n v="0"/>
    <n v="0"/>
    <n v="0.19500000000000001"/>
    <n v="2"/>
    <n v="0"/>
    <n v="0"/>
    <n v="2"/>
    <n v="100"/>
    <n v="0"/>
    <n v="0"/>
    <s v="Consolidation"/>
    <s v="CO2e and Base Measure"/>
    <n v="100"/>
    <n v="100"/>
    <n v="0.2"/>
    <m/>
    <m/>
    <m/>
    <m/>
    <m/>
    <n v="0.2535"/>
    <m/>
    <n v="0.2535"/>
    <m/>
    <m/>
    <m/>
    <m/>
    <m/>
    <s v="AUD"/>
    <s v="13634487Waste - General [t] - Scope 3"/>
    <n v="1363448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3-01T00:00:00"/>
    <s v="FY21"/>
    <s v="t"/>
    <n v="0.28999999999999998"/>
    <n v="0"/>
    <n v="0"/>
    <n v="0.28999999999999998"/>
    <n v="3"/>
    <n v="0"/>
    <n v="0"/>
    <n v="3"/>
    <n v="100"/>
    <n v="0"/>
    <n v="0"/>
    <s v="Consolidation"/>
    <s v="CO2e and Base Measure"/>
    <n v="100"/>
    <n v="100"/>
    <n v="0.28999999999999998"/>
    <m/>
    <m/>
    <m/>
    <m/>
    <m/>
    <n v="0.377"/>
    <m/>
    <n v="0.377"/>
    <m/>
    <m/>
    <m/>
    <m/>
    <m/>
    <s v="AUD"/>
    <s v="13634487Waste - General [t] - Scope 3"/>
    <n v="1363448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4-01T00:00:00"/>
    <s v="FY21"/>
    <s v="t"/>
    <n v="0"/>
    <n v="0"/>
    <n v="0.219"/>
    <n v="0.219"/>
    <n v="0"/>
    <n v="0"/>
    <n v="30"/>
    <n v="30"/>
    <n v="0"/>
    <n v="0"/>
    <n v="100"/>
    <s v="Consolidation"/>
    <s v="CO2e and Base Measure"/>
    <n v="100"/>
    <n v="100"/>
    <n v="0.22"/>
    <m/>
    <m/>
    <m/>
    <m/>
    <m/>
    <n v="0.28470000000000001"/>
    <m/>
    <n v="0.28470000000000001"/>
    <m/>
    <m/>
    <m/>
    <m/>
    <m/>
    <s v="AUD"/>
    <s v="13634487Waste - General [t] - Scope 3"/>
    <n v="1363448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5-01T00:00:00"/>
    <s v="FY21"/>
    <s v="t"/>
    <n v="0"/>
    <n v="0"/>
    <n v="0.2263"/>
    <n v="0.2263"/>
    <n v="0"/>
    <n v="0"/>
    <n v="31"/>
    <n v="31"/>
    <n v="0"/>
    <n v="0"/>
    <n v="100"/>
    <s v="Consolidation"/>
    <s v="CO2e and Base Measure"/>
    <n v="100"/>
    <n v="100"/>
    <n v="0.23"/>
    <m/>
    <m/>
    <m/>
    <m/>
    <m/>
    <n v="0.29420000000000002"/>
    <m/>
    <n v="0.29420000000000002"/>
    <m/>
    <m/>
    <m/>
    <m/>
    <m/>
    <s v="AUD"/>
    <s v="13634487Waste - General [t] - Scope 3"/>
    <n v="1363448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07-01T00:00:00"/>
    <s v="FY21"/>
    <s v="t"/>
    <n v="0.09"/>
    <n v="0"/>
    <n v="0"/>
    <n v="0.09"/>
    <n v="2"/>
    <n v="0"/>
    <n v="0"/>
    <n v="2"/>
    <n v="100"/>
    <n v="0"/>
    <n v="0"/>
    <s v="Consolidation"/>
    <s v="CO2e and Base Measure"/>
    <n v="100"/>
    <n v="100"/>
    <n v="0.09"/>
    <m/>
    <m/>
    <m/>
    <m/>
    <m/>
    <n v="0.11700000000000001"/>
    <m/>
    <n v="0.11700000000000001"/>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08-01T00:00:00"/>
    <s v="FY21"/>
    <s v="t"/>
    <n v="0.04"/>
    <n v="0"/>
    <n v="0"/>
    <n v="0.04"/>
    <n v="1"/>
    <n v="0"/>
    <n v="0"/>
    <n v="1"/>
    <n v="100"/>
    <n v="0"/>
    <n v="0"/>
    <s v="Consolidation"/>
    <s v="CO2e and Base Measure"/>
    <n v="100"/>
    <n v="100"/>
    <n v="0.04"/>
    <m/>
    <m/>
    <m/>
    <m/>
    <m/>
    <n v="5.1999999999999998E-2"/>
    <m/>
    <n v="5.1999999999999998E-2"/>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09-01T00:00:00"/>
    <s v="FY21"/>
    <s v="t"/>
    <n v="0.03"/>
    <n v="0"/>
    <n v="0"/>
    <n v="0.03"/>
    <n v="1"/>
    <n v="0"/>
    <n v="0"/>
    <n v="1"/>
    <n v="100"/>
    <n v="0"/>
    <n v="0"/>
    <s v="Consolidation"/>
    <s v="CO2e and Base Measure"/>
    <n v="100"/>
    <n v="100"/>
    <n v="0.03"/>
    <m/>
    <m/>
    <m/>
    <m/>
    <m/>
    <n v="3.9E-2"/>
    <m/>
    <n v="3.9E-2"/>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10-01T00:00:00"/>
    <s v="FY21"/>
    <s v="t"/>
    <n v="0.04"/>
    <n v="0"/>
    <n v="0"/>
    <n v="0.04"/>
    <n v="2"/>
    <n v="0"/>
    <n v="0"/>
    <n v="2"/>
    <n v="100"/>
    <n v="0"/>
    <n v="0"/>
    <s v="Consolidation"/>
    <s v="CO2e and Base Measure"/>
    <n v="100"/>
    <n v="100"/>
    <n v="0.04"/>
    <m/>
    <m/>
    <m/>
    <m/>
    <m/>
    <n v="5.1999999999999998E-2"/>
    <m/>
    <n v="5.1999999999999998E-2"/>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11-01T00:00:00"/>
    <s v="FY21"/>
    <s v="t"/>
    <n v="0.03"/>
    <n v="0"/>
    <n v="0"/>
    <n v="0.03"/>
    <n v="1"/>
    <n v="0"/>
    <n v="0"/>
    <n v="1"/>
    <n v="100"/>
    <n v="0"/>
    <n v="0"/>
    <s v="Consolidation"/>
    <s v="CO2e and Base Measure"/>
    <n v="100"/>
    <n v="100"/>
    <n v="0.03"/>
    <m/>
    <m/>
    <m/>
    <m/>
    <m/>
    <n v="3.9E-2"/>
    <m/>
    <n v="3.9E-2"/>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12-01T00:00:00"/>
    <s v="FY21"/>
    <s v="t"/>
    <n v="0.06"/>
    <n v="9.7500000000000003E-2"/>
    <n v="0"/>
    <n v="0.1575"/>
    <n v="1"/>
    <n v="1"/>
    <n v="0"/>
    <n v="2"/>
    <n v="38.090000000000003"/>
    <n v="61.9"/>
    <n v="0"/>
    <s v="Consolidation"/>
    <s v="CO2e and Base Measure"/>
    <n v="100"/>
    <n v="100"/>
    <n v="0.16"/>
    <m/>
    <m/>
    <m/>
    <m/>
    <m/>
    <n v="0.20480000000000001"/>
    <m/>
    <n v="0.20480000000000001"/>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137Waste - General [t] - Scope 3"/>
    <n v="13564137"/>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0-12-01T00:00:00"/>
    <s v="FY21"/>
    <s v="t"/>
    <n v="3.6999999999999998E-2"/>
    <n v="0"/>
    <n v="0"/>
    <n v="3.6999999999999998E-2"/>
    <n v="1"/>
    <n v="0"/>
    <n v="0"/>
    <n v="1"/>
    <n v="100"/>
    <n v="0"/>
    <n v="0"/>
    <s v="Consolidation"/>
    <s v="CO2e and Base Measure"/>
    <n v="100"/>
    <n v="100"/>
    <n v="0.04"/>
    <m/>
    <m/>
    <m/>
    <m/>
    <m/>
    <n v="4.8099999999999997E-2"/>
    <m/>
    <n v="4.8099999999999997E-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1-01T00:00:00"/>
    <s v="FY21"/>
    <s v="t"/>
    <n v="3.6999999999999998E-2"/>
    <n v="0"/>
    <n v="0"/>
    <n v="3.6999999999999998E-2"/>
    <n v="1"/>
    <n v="0"/>
    <n v="0"/>
    <n v="1"/>
    <n v="100"/>
    <n v="0"/>
    <n v="0"/>
    <s v="Consolidation"/>
    <s v="CO2e and Base Measure"/>
    <n v="100"/>
    <n v="100"/>
    <n v="0.04"/>
    <m/>
    <m/>
    <m/>
    <m/>
    <m/>
    <n v="4.8099999999999997E-2"/>
    <m/>
    <n v="4.8099999999999997E-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2-01T00:00:00"/>
    <s v="FY21"/>
    <s v="t"/>
    <n v="0.14000000000000001"/>
    <n v="0"/>
    <n v="0"/>
    <n v="0.14000000000000001"/>
    <n v="1"/>
    <n v="0"/>
    <n v="0"/>
    <n v="1"/>
    <n v="100"/>
    <n v="0"/>
    <n v="0"/>
    <s v="Consolidation"/>
    <s v="CO2e and Base Measure"/>
    <n v="100"/>
    <n v="100"/>
    <n v="0.14000000000000001"/>
    <m/>
    <m/>
    <m/>
    <m/>
    <m/>
    <n v="0.182"/>
    <m/>
    <n v="0.18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00Waste - General [t] - Scope 3"/>
    <n v="13634400"/>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07-01T00:00:00"/>
    <s v="FY21"/>
    <s v="t"/>
    <n v="0"/>
    <n v="0.1444"/>
    <n v="0"/>
    <n v="0.1444"/>
    <n v="0"/>
    <n v="2"/>
    <n v="0"/>
    <n v="2"/>
    <n v="0"/>
    <n v="100"/>
    <n v="0"/>
    <s v="Consolidation"/>
    <s v="CO2e and Base Measure"/>
    <n v="100"/>
    <n v="100"/>
    <n v="0.14000000000000001"/>
    <m/>
    <m/>
    <m/>
    <m/>
    <m/>
    <n v="0.18770000000000001"/>
    <m/>
    <n v="0.18770000000000001"/>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08-01T00:00:00"/>
    <s v="FY21"/>
    <s v="t"/>
    <n v="0"/>
    <n v="0.1444"/>
    <n v="0"/>
    <n v="0.1444"/>
    <n v="0"/>
    <n v="2"/>
    <n v="0"/>
    <n v="2"/>
    <n v="0"/>
    <n v="100"/>
    <n v="0"/>
    <s v="Consolidation"/>
    <s v="CO2e and Base Measure"/>
    <n v="100"/>
    <n v="100"/>
    <n v="0.14000000000000001"/>
    <m/>
    <m/>
    <m/>
    <m/>
    <m/>
    <n v="0.18770000000000001"/>
    <m/>
    <n v="0.18770000000000001"/>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09-01T00:00:00"/>
    <s v="FY21"/>
    <s v="t"/>
    <n v="0"/>
    <n v="0.1444"/>
    <n v="0"/>
    <n v="0.1444"/>
    <n v="0"/>
    <n v="2"/>
    <n v="0"/>
    <n v="2"/>
    <n v="0"/>
    <n v="100"/>
    <n v="0"/>
    <s v="Consolidation"/>
    <s v="CO2e and Base Measure"/>
    <n v="100"/>
    <n v="100"/>
    <n v="0.14000000000000001"/>
    <m/>
    <m/>
    <m/>
    <m/>
    <m/>
    <n v="0.18770000000000001"/>
    <m/>
    <n v="0.18770000000000001"/>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10-01T00:00:00"/>
    <s v="FY21"/>
    <s v="t"/>
    <n v="0"/>
    <n v="7.22E-2"/>
    <n v="0"/>
    <n v="7.22E-2"/>
    <n v="0"/>
    <n v="1"/>
    <n v="0"/>
    <n v="1"/>
    <n v="0"/>
    <n v="100"/>
    <n v="0"/>
    <s v="Consolidation"/>
    <s v="CO2e and Base Measure"/>
    <n v="100"/>
    <n v="100"/>
    <n v="7.0000000000000007E-2"/>
    <m/>
    <m/>
    <m/>
    <m/>
    <m/>
    <n v="9.3899999999999997E-2"/>
    <m/>
    <n v="9.3899999999999997E-2"/>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11-01T00:00:00"/>
    <s v="FY21"/>
    <s v="t"/>
    <n v="0"/>
    <n v="0.1444"/>
    <n v="0"/>
    <n v="0.1444"/>
    <n v="0"/>
    <n v="2"/>
    <n v="0"/>
    <n v="2"/>
    <n v="0"/>
    <n v="100"/>
    <n v="0"/>
    <s v="Consolidation"/>
    <s v="CO2e and Base Measure"/>
    <n v="100"/>
    <n v="100"/>
    <n v="0.14000000000000001"/>
    <m/>
    <m/>
    <m/>
    <m/>
    <m/>
    <n v="0.18770000000000001"/>
    <m/>
    <n v="0.18770000000000001"/>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12-01T00:00:00"/>
    <s v="FY21"/>
    <s v="t"/>
    <n v="0"/>
    <n v="0"/>
    <n v="4.7999999999999996E-3"/>
    <n v="4.7999999999999996E-3"/>
    <n v="0"/>
    <n v="0"/>
    <n v="1"/>
    <n v="1"/>
    <n v="0"/>
    <n v="0"/>
    <n v="100"/>
    <s v="Consolidation"/>
    <s v="CO2e and Base Measure"/>
    <n v="100"/>
    <n v="100"/>
    <n v="0"/>
    <m/>
    <m/>
    <m/>
    <m/>
    <m/>
    <n v="6.1999999999999998E-3"/>
    <m/>
    <n v="6.1999999999999998E-3"/>
    <m/>
    <m/>
    <m/>
    <m/>
    <m/>
    <s v="AUD"/>
    <s v="13564786Waste - General [t] - Scope 3"/>
    <n v="135647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0-11-01T00:00:00"/>
    <s v="FY21"/>
    <s v="t"/>
    <n v="0"/>
    <n v="4.9500000000000002E-2"/>
    <n v="0"/>
    <n v="4.9500000000000002E-2"/>
    <n v="0"/>
    <n v="1"/>
    <n v="0"/>
    <n v="1"/>
    <n v="0"/>
    <n v="100"/>
    <n v="0"/>
    <s v="Consolidation"/>
    <s v="CO2e and Base Measure"/>
    <n v="100"/>
    <n v="100"/>
    <n v="0.05"/>
    <m/>
    <m/>
    <m/>
    <m/>
    <m/>
    <n v="6.4399999999999999E-2"/>
    <m/>
    <n v="6.4399999999999999E-2"/>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0-12-01T00:00:00"/>
    <s v="FY21"/>
    <s v="t"/>
    <n v="0"/>
    <n v="9.9000000000000005E-2"/>
    <n v="0"/>
    <n v="9.9000000000000005E-2"/>
    <n v="0"/>
    <n v="2"/>
    <n v="0"/>
    <n v="2"/>
    <n v="0"/>
    <n v="100"/>
    <n v="0"/>
    <s v="Consolidation"/>
    <s v="CO2e and Base Measure"/>
    <n v="100"/>
    <n v="100"/>
    <n v="0.1"/>
    <m/>
    <m/>
    <m/>
    <m/>
    <m/>
    <n v="0.12870000000000001"/>
    <m/>
    <n v="0.1287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1-01T00:00:00"/>
    <s v="FY21"/>
    <s v="t"/>
    <n v="0"/>
    <n v="9.9000000000000005E-2"/>
    <n v="0"/>
    <n v="9.9000000000000005E-2"/>
    <n v="0"/>
    <n v="2"/>
    <n v="0"/>
    <n v="2"/>
    <n v="0"/>
    <n v="100"/>
    <n v="0"/>
    <s v="Consolidation"/>
    <s v="CO2e and Base Measure"/>
    <n v="100"/>
    <n v="100"/>
    <n v="0.1"/>
    <m/>
    <m/>
    <m/>
    <m/>
    <m/>
    <n v="0.12870000000000001"/>
    <m/>
    <n v="0.1287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2-01T00:00:00"/>
    <s v="FY21"/>
    <s v="t"/>
    <n v="0"/>
    <n v="9.9000000000000005E-2"/>
    <n v="0"/>
    <n v="9.9000000000000005E-2"/>
    <n v="0"/>
    <n v="2"/>
    <n v="0"/>
    <n v="2"/>
    <n v="0"/>
    <n v="100"/>
    <n v="0"/>
    <s v="Consolidation"/>
    <s v="CO2e and Base Measure"/>
    <n v="100"/>
    <n v="100"/>
    <n v="0.1"/>
    <m/>
    <m/>
    <m/>
    <m/>
    <m/>
    <n v="0.12870000000000001"/>
    <m/>
    <n v="0.1287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3-01T00:00:00"/>
    <s v="FY21"/>
    <s v="t"/>
    <n v="0"/>
    <n v="9.9000000000000005E-2"/>
    <n v="0"/>
    <n v="9.9000000000000005E-2"/>
    <n v="0"/>
    <n v="2"/>
    <n v="0"/>
    <n v="2"/>
    <n v="0"/>
    <n v="100"/>
    <n v="0"/>
    <s v="Consolidation"/>
    <s v="CO2e and Base Measure"/>
    <n v="100"/>
    <n v="100"/>
    <n v="0.1"/>
    <m/>
    <m/>
    <m/>
    <m/>
    <m/>
    <n v="0.12870000000000001"/>
    <m/>
    <n v="0.1287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4-01T00:00:00"/>
    <s v="FY21"/>
    <s v="t"/>
    <n v="0"/>
    <n v="0"/>
    <n v="0.09"/>
    <n v="0.09"/>
    <n v="0"/>
    <n v="0"/>
    <n v="30"/>
    <n v="30"/>
    <n v="0"/>
    <n v="0"/>
    <n v="100"/>
    <s v="Consolidation"/>
    <s v="CO2e and Base Measure"/>
    <n v="100"/>
    <n v="100"/>
    <n v="0.09"/>
    <m/>
    <m/>
    <m/>
    <m/>
    <m/>
    <n v="0.11700000000000001"/>
    <m/>
    <n v="0.1170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3986Waste - General [t] - Scope 3"/>
    <n v="13633986"/>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07-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08-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09-01T00:00:00"/>
    <s v="FY21"/>
    <s v="t"/>
    <n v="0"/>
    <n v="5.8999999999999999E-3"/>
    <n v="0"/>
    <n v="5.8999999999999999E-3"/>
    <n v="0"/>
    <n v="30"/>
    <n v="0"/>
    <n v="30"/>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10-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11-01T00:00:00"/>
    <s v="FY21"/>
    <s v="t"/>
    <n v="0"/>
    <n v="5.8999999999999999E-3"/>
    <n v="0"/>
    <n v="5.8999999999999999E-3"/>
    <n v="0"/>
    <n v="30"/>
    <n v="0"/>
    <n v="30"/>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12-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1-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2-01T00:00:00"/>
    <s v="FY21"/>
    <s v="t"/>
    <n v="0"/>
    <n v="5.4999999999999997E-3"/>
    <n v="0"/>
    <n v="5.4999999999999997E-3"/>
    <n v="0"/>
    <n v="28"/>
    <n v="0"/>
    <n v="28"/>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3-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4-01T00:00:00"/>
    <s v="FY21"/>
    <s v="t"/>
    <n v="0"/>
    <n v="5.8999999999999999E-3"/>
    <n v="0"/>
    <n v="5.8999999999999999E-3"/>
    <n v="0"/>
    <n v="30"/>
    <n v="0"/>
    <n v="30"/>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5-01T00:00:00"/>
    <s v="FY21"/>
    <s v="t"/>
    <n v="0"/>
    <n v="0"/>
    <n v="6.1999999999999998E-3"/>
    <n v="6.1999999999999998E-3"/>
    <n v="0"/>
    <n v="0"/>
    <n v="31"/>
    <n v="31"/>
    <n v="0"/>
    <n v="0"/>
    <n v="100"/>
    <s v="Consolidation"/>
    <s v="CO2e and Base Measure"/>
    <n v="100"/>
    <n v="100"/>
    <n v="0.01"/>
    <m/>
    <m/>
    <m/>
    <m/>
    <m/>
    <m/>
    <m/>
    <m/>
    <m/>
    <m/>
    <m/>
    <m/>
    <m/>
    <s v="AUD"/>
    <s v="13644551Waste Recycled - E-waste [t]"/>
    <n v="13644551"/>
  </r>
  <r>
    <d v="2019-07-01T00:00:00"/>
    <d v="2021-06-30T00:00:00"/>
    <s v="Telstra"/>
    <s v="NETWORK"/>
    <s v="Network - InfraCo"/>
    <s v="TAS"/>
    <s v="Australia"/>
    <s v="Hobart"/>
    <s v="DAVEY EXCHANGE"/>
    <n v="423030912700"/>
    <s v="Recycled Waste"/>
    <x v="0"/>
    <x v="1"/>
    <s v="Account"/>
    <s v="Remondis Batteries - Mixed Recycled"/>
    <m/>
    <s v="423030912700_RBATTERY."/>
    <s v="BATTERIES - MIXED RECYCLED"/>
    <s v="Remondis"/>
    <m/>
    <m/>
    <d v="2021-01-01T00:00:00"/>
    <d v="2020-12-01T00:00:00"/>
    <s v="FY21"/>
    <s v="t"/>
    <n v="0"/>
    <n v="6.4999999999999997E-3"/>
    <n v="0"/>
    <n v="6.4999999999999997E-3"/>
    <n v="0"/>
    <n v="1"/>
    <n v="0"/>
    <n v="1"/>
    <n v="0"/>
    <n v="100"/>
    <n v="0"/>
    <s v="Consolidation"/>
    <s v="CO2e and Base Measure"/>
    <n v="100"/>
    <n v="100"/>
    <n v="0.01"/>
    <m/>
    <m/>
    <m/>
    <m/>
    <m/>
    <m/>
    <m/>
    <m/>
    <m/>
    <m/>
    <m/>
    <m/>
    <m/>
    <s v="AUD"/>
    <s v="13565447Waste Recycled - E-waste [t]"/>
    <n v="13565447"/>
  </r>
  <r>
    <d v="2019-07-01T00:00:00"/>
    <d v="2021-06-30T00:00:00"/>
    <s v="Telstra"/>
    <s v="NETWORK"/>
    <s v="Network - InfraCo"/>
    <s v="TAS"/>
    <s v="Australia"/>
    <s v="Hobart"/>
    <s v="DAVEY EXCHANGE"/>
    <n v="423030912700"/>
    <s v="Recycled Waste"/>
    <x v="0"/>
    <x v="1"/>
    <s v="Account"/>
    <s v="Remondis Batteries - Mixed Recycled"/>
    <m/>
    <s v="423030912700_RBATTERY."/>
    <s v="BATTERIES - MIXED RECYCLED"/>
    <s v="Remondis"/>
    <m/>
    <m/>
    <d v="2021-01-01T00:00:00"/>
    <d v="2021-01-01T00:00:00"/>
    <s v="FY21"/>
    <s v="t"/>
    <n v="0"/>
    <n v="0"/>
    <n v="2.0000000000000001E-4"/>
    <n v="2.0000000000000001E-4"/>
    <n v="0"/>
    <n v="0"/>
    <n v="1"/>
    <n v="1"/>
    <n v="0"/>
    <n v="0"/>
    <n v="100"/>
    <s v="Consolidation"/>
    <s v="CO2e and Base Measure"/>
    <n v="100"/>
    <n v="100"/>
    <n v="0"/>
    <m/>
    <m/>
    <m/>
    <m/>
    <m/>
    <m/>
    <m/>
    <m/>
    <m/>
    <m/>
    <m/>
    <m/>
    <m/>
    <s v="AUD"/>
    <s v="13565447Waste Recycled - E-waste [t]"/>
    <n v="13565447"/>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07-01T00:00:00"/>
    <s v="FY21"/>
    <s v="t"/>
    <n v="0"/>
    <n v="5.5599999999999997E-2"/>
    <n v="0"/>
    <n v="5.5599999999999997E-2"/>
    <n v="0"/>
    <n v="4"/>
    <n v="0"/>
    <n v="4"/>
    <n v="0"/>
    <n v="100"/>
    <n v="0"/>
    <s v="Consolidation"/>
    <s v="CO2e and Base Measure"/>
    <n v="100"/>
    <n v="100"/>
    <n v="0.06"/>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08-01T00:00:00"/>
    <s v="FY21"/>
    <s v="t"/>
    <n v="0"/>
    <n v="1.3899999999999999E-2"/>
    <n v="0"/>
    <n v="1.3899999999999999E-2"/>
    <n v="0"/>
    <n v="1"/>
    <n v="0"/>
    <n v="1"/>
    <n v="0"/>
    <n v="100"/>
    <n v="0"/>
    <s v="Consolidation"/>
    <s v="CO2e and Base Measure"/>
    <n v="100"/>
    <n v="100"/>
    <n v="0.01"/>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09-01T00:00:00"/>
    <s v="FY21"/>
    <s v="t"/>
    <n v="0"/>
    <n v="2.7799999999999998E-2"/>
    <n v="0"/>
    <n v="2.7799999999999998E-2"/>
    <n v="0"/>
    <n v="2"/>
    <n v="0"/>
    <n v="2"/>
    <n v="0"/>
    <n v="100"/>
    <n v="0"/>
    <s v="Consolidation"/>
    <s v="CO2e and Base Measure"/>
    <n v="100"/>
    <n v="100"/>
    <n v="0.03"/>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10-01T00:00:00"/>
    <s v="FY21"/>
    <s v="t"/>
    <n v="0"/>
    <n v="1.3899999999999999E-2"/>
    <n v="0"/>
    <n v="1.3899999999999999E-2"/>
    <n v="0"/>
    <n v="1"/>
    <n v="0"/>
    <n v="1"/>
    <n v="0"/>
    <n v="100"/>
    <n v="0"/>
    <s v="Consolidation"/>
    <s v="CO2e and Base Measure"/>
    <n v="100"/>
    <n v="100"/>
    <n v="0.01"/>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11-01T00:00:00"/>
    <s v="FY21"/>
    <s v="t"/>
    <n v="0"/>
    <n v="4.1599999999999998E-2"/>
    <n v="0"/>
    <n v="4.1599999999999998E-2"/>
    <n v="0"/>
    <n v="2"/>
    <n v="0"/>
    <n v="2"/>
    <n v="0"/>
    <n v="100"/>
    <n v="0"/>
    <s v="Consolidation"/>
    <s v="CO2e and Base Measure"/>
    <n v="100"/>
    <n v="100"/>
    <n v="0.04"/>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12-01T00:00:00"/>
    <s v="FY21"/>
    <s v="t"/>
    <n v="0"/>
    <n v="0"/>
    <n v="1.1000000000000001E-3"/>
    <n v="1.1000000000000001E-3"/>
    <n v="0"/>
    <n v="0"/>
    <n v="1"/>
    <n v="1"/>
    <n v="0"/>
    <n v="0"/>
    <n v="100"/>
    <s v="Consolidation"/>
    <s v="CO2e and Base Measure"/>
    <n v="100"/>
    <n v="100"/>
    <n v="0"/>
    <m/>
    <m/>
    <m/>
    <m/>
    <m/>
    <m/>
    <n v="0"/>
    <m/>
    <m/>
    <m/>
    <m/>
    <m/>
    <m/>
    <s v="AUD"/>
    <s v="13565448Waste Recycled - Cardboard [t]"/>
    <n v="13565448"/>
  </r>
  <r>
    <d v="2019-07-01T00:00:00"/>
    <d v="2021-06-30T00:00:00"/>
    <s v="Telstra"/>
    <s v="NETWORK"/>
    <s v="Network - InfraCo"/>
    <s v="TAS"/>
    <s v="Australia"/>
    <s v="Hobart"/>
    <s v="DAVEY EXCHANGE"/>
    <n v="423030912700"/>
    <s v="Recycled Waste"/>
    <x v="0"/>
    <x v="1"/>
    <s v="Account"/>
    <s v="Remondis Electrical Comp. (E-Waste)"/>
    <m/>
    <s v="423030912700_RELECTRIC"/>
    <s v="ELECTRICAL COMP. E-WASTE"/>
    <s v="Remondis"/>
    <m/>
    <m/>
    <d v="2020-10-01T00:00:00"/>
    <d v="2020-07-01T00:00:00"/>
    <s v="FY21"/>
    <s v="t"/>
    <n v="0.156"/>
    <n v="0"/>
    <n v="0"/>
    <n v="0.156"/>
    <n v="1"/>
    <n v="0"/>
    <n v="0"/>
    <n v="1"/>
    <n v="100"/>
    <n v="0"/>
    <n v="0"/>
    <s v="Consolidation"/>
    <s v="CO2e and Base Measure"/>
    <n v="100"/>
    <n v="100"/>
    <n v="0.16"/>
    <m/>
    <m/>
    <m/>
    <m/>
    <m/>
    <m/>
    <m/>
    <m/>
    <m/>
    <m/>
    <m/>
    <m/>
    <m/>
    <s v="AUD"/>
    <s v="13565449Waste Recycled - E-waste [t]"/>
    <n v="13565449"/>
  </r>
  <r>
    <d v="2019-07-01T00:00:00"/>
    <d v="2021-06-30T00:00:00"/>
    <s v="Telstra"/>
    <s v="NETWORK"/>
    <s v="Network - InfraCo"/>
    <s v="TAS"/>
    <s v="Australia"/>
    <s v="Hobart"/>
    <s v="DAVEY EXCHANGE"/>
    <n v="423030912700"/>
    <s v="Recycled Waste"/>
    <x v="0"/>
    <x v="1"/>
    <s v="Account"/>
    <s v="Remondis Electrical Comp. (E-Waste)"/>
    <m/>
    <s v="423030912700_RELECTRIC"/>
    <s v="ELECTRICAL COMP. E-WASTE"/>
    <s v="Remondis"/>
    <m/>
    <m/>
    <d v="2020-10-01T00:00:00"/>
    <d v="2020-08-01T00:00:00"/>
    <s v="FY21"/>
    <s v="t"/>
    <n v="0.22600000000000001"/>
    <n v="0"/>
    <n v="0"/>
    <n v="0.22600000000000001"/>
    <n v="2"/>
    <n v="0"/>
    <n v="0"/>
    <n v="2"/>
    <n v="100"/>
    <n v="0"/>
    <n v="0"/>
    <s v="Consolidation"/>
    <s v="CO2e and Base Measure"/>
    <n v="100"/>
    <n v="100"/>
    <n v="0.23"/>
    <m/>
    <m/>
    <m/>
    <m/>
    <m/>
    <m/>
    <m/>
    <m/>
    <m/>
    <m/>
    <m/>
    <m/>
    <m/>
    <s v="AUD"/>
    <s v="13565449Waste Recycled - E-waste [t]"/>
    <n v="13565449"/>
  </r>
  <r>
    <d v="2019-07-01T00:00:00"/>
    <d v="2021-06-30T00:00:00"/>
    <s v="Telstra"/>
    <s v="NETWORK"/>
    <s v="Network - InfraCo"/>
    <s v="TAS"/>
    <s v="Australia"/>
    <s v="Hobart"/>
    <s v="DAVEY EXCHANGE"/>
    <n v="423030912700"/>
    <s v="Recycled Waste"/>
    <x v="0"/>
    <x v="1"/>
    <s v="Account"/>
    <s v="Remondis Electrical Comp. (E-Waste)"/>
    <m/>
    <s v="423030912700_RELECTRIC"/>
    <s v="ELECTRICAL COMP. E-WASTE"/>
    <s v="Remondis"/>
    <m/>
    <m/>
    <d v="2020-10-01T00:00:00"/>
    <d v="2020-09-01T00:00:00"/>
    <s v="FY21"/>
    <s v="t"/>
    <n v="1.7000000000000001E-2"/>
    <n v="0"/>
    <n v="0"/>
    <n v="1.7000000000000001E-2"/>
    <n v="1"/>
    <n v="0"/>
    <n v="0"/>
    <n v="1"/>
    <n v="100"/>
    <n v="0"/>
    <n v="0"/>
    <s v="Consolidation"/>
    <s v="CO2e and Base Measure"/>
    <n v="100"/>
    <n v="100"/>
    <n v="0.02"/>
    <m/>
    <m/>
    <m/>
    <m/>
    <m/>
    <m/>
    <m/>
    <m/>
    <m/>
    <m/>
    <m/>
    <m/>
    <m/>
    <s v="AUD"/>
    <s v="13565449Waste Recycled - E-waste [t]"/>
    <n v="13565449"/>
  </r>
  <r>
    <d v="2019-07-01T00:00:00"/>
    <d v="2021-06-30T00:00:00"/>
    <s v="Telstra"/>
    <s v="NETWORK"/>
    <s v="Network - InfraCo"/>
    <s v="TAS"/>
    <s v="Australia"/>
    <s v="Hobart"/>
    <s v="DAVEY EXCHANGE"/>
    <n v="423030912700"/>
    <s v="Recycled Waste"/>
    <x v="0"/>
    <x v="1"/>
    <s v="Account"/>
    <s v="Remondis Electrical Comp. (E-Waste)"/>
    <m/>
    <s v="423030912700_RELECTRIC"/>
    <s v="ELECTRICAL COMP. E-WASTE"/>
    <s v="Remondis"/>
    <m/>
    <m/>
    <d v="2020-10-01T00:00:00"/>
    <d v="2020-10-01T00:00:00"/>
    <s v="FY21"/>
    <s v="t"/>
    <n v="0"/>
    <n v="0"/>
    <n v="4.4000000000000003E-3"/>
    <n v="4.4000000000000003E-3"/>
    <n v="0"/>
    <n v="0"/>
    <n v="1"/>
    <n v="1"/>
    <n v="0"/>
    <n v="0"/>
    <n v="100"/>
    <s v="Consolidation"/>
    <s v="CO2e and Base Measure"/>
    <n v="100"/>
    <n v="100"/>
    <n v="0"/>
    <m/>
    <m/>
    <m/>
    <m/>
    <m/>
    <m/>
    <m/>
    <m/>
    <m/>
    <m/>
    <m/>
    <m/>
    <m/>
    <s v="AUD"/>
    <s v="13565449Waste Recycled - E-waste [t]"/>
    <n v="13565449"/>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07-01T00:00:00"/>
    <s v="FY21"/>
    <s v="t"/>
    <n v="0"/>
    <n v="0.34320000000000001"/>
    <n v="0"/>
    <n v="0.34320000000000001"/>
    <n v="0"/>
    <n v="4"/>
    <n v="0"/>
    <n v="4"/>
    <n v="0"/>
    <n v="100"/>
    <n v="0"/>
    <s v="Consolidation"/>
    <s v="CO2e and Base Measure"/>
    <n v="100"/>
    <n v="100"/>
    <n v="0.34"/>
    <m/>
    <m/>
    <m/>
    <m/>
    <m/>
    <n v="0.44619999999999999"/>
    <m/>
    <n v="0.44619999999999999"/>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08-01T00:00:00"/>
    <s v="FY21"/>
    <s v="t"/>
    <n v="0"/>
    <n v="0.51480000000000004"/>
    <n v="0"/>
    <n v="0.51480000000000004"/>
    <n v="0"/>
    <n v="3"/>
    <n v="0"/>
    <n v="3"/>
    <n v="0"/>
    <n v="100"/>
    <n v="0"/>
    <s v="Consolidation"/>
    <s v="CO2e and Base Measure"/>
    <n v="100"/>
    <n v="100"/>
    <n v="0.51"/>
    <m/>
    <m/>
    <m/>
    <m/>
    <m/>
    <n v="0.66920000000000002"/>
    <m/>
    <n v="0.66920000000000002"/>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09-01T00:00:00"/>
    <s v="FY21"/>
    <s v="t"/>
    <n v="0"/>
    <n v="0.30030000000000001"/>
    <n v="0"/>
    <n v="0.30030000000000001"/>
    <n v="0"/>
    <n v="3"/>
    <n v="0"/>
    <n v="3"/>
    <n v="0"/>
    <n v="100"/>
    <n v="0"/>
    <s v="Consolidation"/>
    <s v="CO2e and Base Measure"/>
    <n v="100"/>
    <n v="100"/>
    <n v="0.3"/>
    <m/>
    <m/>
    <m/>
    <m/>
    <m/>
    <n v="0.39040000000000002"/>
    <m/>
    <n v="0.39040000000000002"/>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10-01T00:00:00"/>
    <s v="FY21"/>
    <s v="t"/>
    <n v="0"/>
    <n v="0.25740000000000002"/>
    <n v="0"/>
    <n v="0.25740000000000002"/>
    <n v="0"/>
    <n v="2"/>
    <n v="0"/>
    <n v="2"/>
    <n v="0"/>
    <n v="100"/>
    <n v="0"/>
    <s v="Consolidation"/>
    <s v="CO2e and Base Measure"/>
    <n v="100"/>
    <n v="100"/>
    <n v="0.26"/>
    <m/>
    <m/>
    <m/>
    <m/>
    <m/>
    <n v="0.33460000000000001"/>
    <m/>
    <n v="0.33460000000000001"/>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11-01T00:00:00"/>
    <s v="FY21"/>
    <s v="t"/>
    <n v="0"/>
    <n v="0.72929999999999995"/>
    <n v="0"/>
    <n v="0.72929999999999995"/>
    <n v="0"/>
    <n v="3"/>
    <n v="0"/>
    <n v="3"/>
    <n v="0"/>
    <n v="100"/>
    <n v="0"/>
    <s v="Consolidation"/>
    <s v="CO2e and Base Measure"/>
    <n v="100"/>
    <n v="100"/>
    <n v="0.73"/>
    <m/>
    <m/>
    <m/>
    <m/>
    <m/>
    <n v="0.94810000000000005"/>
    <m/>
    <n v="0.94810000000000005"/>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12-01T00:00:00"/>
    <s v="FY21"/>
    <s v="t"/>
    <n v="0"/>
    <n v="0"/>
    <n v="1.44E-2"/>
    <n v="1.44E-2"/>
    <n v="0"/>
    <n v="0"/>
    <n v="1"/>
    <n v="1"/>
    <n v="0"/>
    <n v="0"/>
    <n v="100"/>
    <s v="Consolidation"/>
    <s v="CO2e and Base Measure"/>
    <n v="100"/>
    <n v="100"/>
    <n v="0.01"/>
    <m/>
    <m/>
    <m/>
    <m/>
    <m/>
    <n v="1.8700000000000001E-2"/>
    <m/>
    <n v="1.8700000000000001E-2"/>
    <m/>
    <m/>
    <m/>
    <m/>
    <m/>
    <s v="AUD"/>
    <s v="13565450Waste - General [t] - Scope 3"/>
    <n v="13565450"/>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0-12-01T00:00:00"/>
    <s v="FY21"/>
    <s v="t"/>
    <n v="7.1999999999999995E-2"/>
    <n v="0"/>
    <n v="0"/>
    <n v="7.1999999999999995E-2"/>
    <n v="1"/>
    <n v="0"/>
    <n v="0"/>
    <n v="1"/>
    <n v="100"/>
    <n v="0"/>
    <n v="0"/>
    <s v="Consolidation"/>
    <s v="CO2e and Base Measure"/>
    <n v="100"/>
    <n v="100"/>
    <n v="7.0000000000000007E-2"/>
    <m/>
    <m/>
    <m/>
    <m/>
    <m/>
    <n v="9.3600000000000003E-2"/>
    <m/>
    <n v="9.3600000000000003E-2"/>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1-01T00:00:00"/>
    <s v="FY21"/>
    <s v="t"/>
    <n v="0.115"/>
    <n v="0"/>
    <n v="0"/>
    <n v="0.115"/>
    <n v="2"/>
    <n v="0"/>
    <n v="0"/>
    <n v="2"/>
    <n v="100"/>
    <n v="0"/>
    <n v="0"/>
    <s v="Consolidation"/>
    <s v="CO2e and Base Measure"/>
    <n v="100"/>
    <n v="100"/>
    <n v="0.12"/>
    <m/>
    <m/>
    <m/>
    <m/>
    <m/>
    <n v="0.14949999999999999"/>
    <m/>
    <n v="0.14949999999999999"/>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2-01T00:00:00"/>
    <s v="FY21"/>
    <s v="t"/>
    <n v="1.181"/>
    <n v="0.2646"/>
    <n v="0"/>
    <n v="1.4456"/>
    <n v="2"/>
    <n v="3"/>
    <n v="0"/>
    <n v="5"/>
    <n v="81.69"/>
    <n v="18.3"/>
    <n v="0"/>
    <s v="Consolidation"/>
    <s v="CO2e and Base Measure"/>
    <n v="100"/>
    <n v="100"/>
    <n v="1.45"/>
    <m/>
    <m/>
    <m/>
    <m/>
    <m/>
    <n v="1.8793"/>
    <m/>
    <n v="1.8793"/>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3-01T00:00:00"/>
    <s v="FY21"/>
    <s v="t"/>
    <n v="0"/>
    <n v="0.12959999999999999"/>
    <n v="0"/>
    <n v="0.12959999999999999"/>
    <n v="0"/>
    <n v="3"/>
    <n v="0"/>
    <n v="3"/>
    <n v="0"/>
    <n v="100"/>
    <n v="0"/>
    <s v="Consolidation"/>
    <s v="CO2e and Base Measure"/>
    <n v="100"/>
    <n v="100"/>
    <n v="0.13"/>
    <m/>
    <m/>
    <m/>
    <m/>
    <m/>
    <n v="0.16850000000000001"/>
    <m/>
    <n v="0.16850000000000001"/>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4-01T00:00:00"/>
    <s v="FY21"/>
    <s v="t"/>
    <n v="0"/>
    <n v="0"/>
    <n v="0.441"/>
    <n v="0.441"/>
    <n v="0"/>
    <n v="0"/>
    <n v="30"/>
    <n v="30"/>
    <n v="0"/>
    <n v="0"/>
    <n v="100"/>
    <s v="Consolidation"/>
    <s v="CO2e and Base Measure"/>
    <n v="100"/>
    <n v="100"/>
    <n v="0.44"/>
    <m/>
    <m/>
    <m/>
    <m/>
    <m/>
    <n v="0.57330000000000003"/>
    <m/>
    <n v="0.57330000000000003"/>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5-01T00:00:00"/>
    <s v="FY21"/>
    <s v="t"/>
    <n v="0"/>
    <n v="0"/>
    <n v="0.45569999999999999"/>
    <n v="0.45569999999999999"/>
    <n v="0"/>
    <n v="0"/>
    <n v="31"/>
    <n v="31"/>
    <n v="0"/>
    <n v="0"/>
    <n v="100"/>
    <s v="Consolidation"/>
    <s v="CO2e and Base Measure"/>
    <n v="100"/>
    <n v="100"/>
    <n v="0.46"/>
    <m/>
    <m/>
    <m/>
    <m/>
    <m/>
    <n v="0.59240000000000004"/>
    <m/>
    <n v="0.59240000000000004"/>
    <m/>
    <m/>
    <m/>
    <m/>
    <m/>
    <s v="AUD"/>
    <s v="13634056Waste - General [t] - Scope 3"/>
    <n v="13634056"/>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0-12-01T00:00:00"/>
    <s v="FY21"/>
    <s v="t"/>
    <n v="0"/>
    <n v="1.6500000000000001E-2"/>
    <n v="0"/>
    <n v="1.6500000000000001E-2"/>
    <n v="0"/>
    <n v="1"/>
    <n v="0"/>
    <n v="1"/>
    <n v="0"/>
    <n v="100"/>
    <n v="0"/>
    <s v="Consolidation"/>
    <s v="CO2e and Base Measure"/>
    <n v="100"/>
    <n v="100"/>
    <n v="0.02"/>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1-01T00:00:00"/>
    <s v="FY21"/>
    <s v="t"/>
    <n v="0"/>
    <n v="3.3000000000000002E-2"/>
    <n v="0"/>
    <n v="3.3000000000000002E-2"/>
    <n v="0"/>
    <n v="2"/>
    <n v="0"/>
    <n v="2"/>
    <n v="0"/>
    <n v="100"/>
    <n v="0"/>
    <s v="Consolidation"/>
    <s v="CO2e and Base Measure"/>
    <n v="100"/>
    <n v="100"/>
    <n v="0.03"/>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2-01T00:00:00"/>
    <s v="FY21"/>
    <s v="t"/>
    <n v="0"/>
    <n v="3.3000000000000002E-2"/>
    <n v="0"/>
    <n v="3.3000000000000002E-2"/>
    <n v="0"/>
    <n v="2"/>
    <n v="0"/>
    <n v="2"/>
    <n v="0"/>
    <n v="100"/>
    <n v="0"/>
    <s v="Consolidation"/>
    <s v="CO2e and Base Measure"/>
    <n v="100"/>
    <n v="100"/>
    <n v="0.03"/>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3-01T00:00:00"/>
    <s v="FY21"/>
    <s v="t"/>
    <n v="0"/>
    <n v="4.9500000000000002E-2"/>
    <n v="0"/>
    <n v="4.9500000000000002E-2"/>
    <n v="0"/>
    <n v="3"/>
    <n v="0"/>
    <n v="3"/>
    <n v="0"/>
    <n v="100"/>
    <n v="0"/>
    <s v="Consolidation"/>
    <s v="CO2e and Base Measure"/>
    <n v="100"/>
    <n v="100"/>
    <n v="0.05"/>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4-01T00:00:00"/>
    <s v="FY21"/>
    <s v="t"/>
    <n v="0"/>
    <n v="0"/>
    <n v="3.3000000000000002E-2"/>
    <n v="3.3000000000000002E-2"/>
    <n v="0"/>
    <n v="0"/>
    <n v="30"/>
    <n v="30"/>
    <n v="0"/>
    <n v="0"/>
    <n v="100"/>
    <s v="Consolidation"/>
    <s v="CO2e and Base Measure"/>
    <n v="100"/>
    <n v="100"/>
    <n v="0.03"/>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5-01T00:00:00"/>
    <s v="FY21"/>
    <s v="t"/>
    <n v="0"/>
    <n v="0"/>
    <n v="3.4099999999999998E-2"/>
    <n v="3.4099999999999998E-2"/>
    <n v="0"/>
    <n v="0"/>
    <n v="31"/>
    <n v="31"/>
    <n v="0"/>
    <n v="0"/>
    <n v="100"/>
    <s v="Consolidation"/>
    <s v="CO2e and Base Measure"/>
    <n v="100"/>
    <n v="100"/>
    <n v="0.03"/>
    <m/>
    <m/>
    <m/>
    <m/>
    <m/>
    <m/>
    <m/>
    <m/>
    <m/>
    <m/>
    <m/>
    <m/>
    <m/>
    <s v="AUD"/>
    <s v="13634057Waste Recycled - Paper and Cardboard [t]"/>
    <n v="13634057"/>
  </r>
  <r>
    <d v="2019-07-01T00:00:00"/>
    <d v="2021-06-30T00:00:00"/>
    <s v="Telstra"/>
    <s v="NETWORK"/>
    <s v="Network - InfraCo"/>
    <s v="TAS"/>
    <s v="Australia"/>
    <s v="Hobart"/>
    <s v="DAVEY EXCHANGE"/>
    <n v="423030912700"/>
    <s v="Recycled Waste"/>
    <x v="0"/>
    <x v="1"/>
    <s v="Account"/>
    <s v="CLEANAWAY eWaste"/>
    <m/>
    <s v="26939_Diversion_eWaste"/>
    <s v="eWaste"/>
    <s v="Cleanaway"/>
    <m/>
    <d v="2021-02-09T00:00:00"/>
    <m/>
    <d v="2021-02-01T00:00:00"/>
    <s v="FY21"/>
    <s v="t"/>
    <n v="0.2"/>
    <n v="0"/>
    <n v="0"/>
    <n v="0.2"/>
    <n v="1"/>
    <n v="0"/>
    <n v="0"/>
    <n v="1"/>
    <n v="100"/>
    <n v="0"/>
    <n v="0"/>
    <s v="Consolidation"/>
    <s v="CO2e and Base Measure"/>
    <n v="100"/>
    <n v="100"/>
    <n v="0.2"/>
    <m/>
    <m/>
    <m/>
    <m/>
    <m/>
    <m/>
    <m/>
    <m/>
    <m/>
    <m/>
    <m/>
    <m/>
    <m/>
    <s v="AUD"/>
    <s v="13639889Waste Recycled - E-waste [t]"/>
    <n v="13639889"/>
  </r>
  <r>
    <d v="2019-07-01T00:00:00"/>
    <d v="2021-06-30T00:00:00"/>
    <s v="Telstra"/>
    <s v="NETWORK"/>
    <s v="Network - InfraCo"/>
    <s v="TAS"/>
    <s v="Australia"/>
    <s v="Hobart"/>
    <s v="DAVEY EXCHANGE"/>
    <n v="423030912700"/>
    <s v="Recycled Waste"/>
    <x v="0"/>
    <x v="1"/>
    <s v="Account"/>
    <s v="CLEANAWAY eWaste"/>
    <m/>
    <s v="26939_Diversion_eWaste"/>
    <s v="eWaste"/>
    <s v="Cleanaway"/>
    <m/>
    <d v="2021-02-09T00:00:00"/>
    <m/>
    <d v="2021-03-01T00:00:00"/>
    <s v="FY21"/>
    <s v="t"/>
    <n v="0"/>
    <n v="0"/>
    <n v="0.22939999999999999"/>
    <n v="0.22939999999999999"/>
    <n v="0"/>
    <n v="0"/>
    <n v="31"/>
    <n v="31"/>
    <n v="0"/>
    <n v="0"/>
    <n v="100"/>
    <s v="Consolidation"/>
    <s v="CO2e and Base Measure"/>
    <n v="100"/>
    <n v="100"/>
    <n v="0.23"/>
    <m/>
    <m/>
    <m/>
    <m/>
    <m/>
    <m/>
    <m/>
    <m/>
    <m/>
    <m/>
    <m/>
    <m/>
    <m/>
    <s v="AUD"/>
    <s v="13639889Waste Recycled - E-waste [t]"/>
    <n v="13639889"/>
  </r>
  <r>
    <d v="2019-07-01T00:00:00"/>
    <d v="2021-06-30T00:00:00"/>
    <s v="Telstra"/>
    <s v="NETWORK"/>
    <s v="Network - InfraCo"/>
    <s v="TAS"/>
    <s v="Australia"/>
    <s v="Hobart"/>
    <s v="DAVEY EXCHANGE"/>
    <n v="423030912700"/>
    <s v="Recycled Waste"/>
    <x v="0"/>
    <x v="1"/>
    <s v="Account"/>
    <s v="CLEANAWAY eWaste"/>
    <m/>
    <s v="26939_Diversion_eWaste"/>
    <s v="eWaste"/>
    <s v="Cleanaway"/>
    <m/>
    <d v="2021-02-09T00:00:00"/>
    <m/>
    <d v="2021-04-01T00:00:00"/>
    <s v="FY21"/>
    <s v="t"/>
    <n v="0"/>
    <n v="0"/>
    <n v="0.222"/>
    <n v="0.222"/>
    <n v="0"/>
    <n v="0"/>
    <n v="30"/>
    <n v="30"/>
    <n v="0"/>
    <n v="0"/>
    <n v="100"/>
    <s v="Consolidation"/>
    <s v="CO2e and Base Measure"/>
    <n v="100"/>
    <n v="100"/>
    <n v="0.22"/>
    <m/>
    <m/>
    <m/>
    <m/>
    <m/>
    <m/>
    <m/>
    <m/>
    <m/>
    <m/>
    <m/>
    <m/>
    <m/>
    <s v="AUD"/>
    <s v="13639889Waste Recycled - E-waste [t]"/>
    <n v="13639889"/>
  </r>
  <r>
    <d v="2019-07-01T00:00:00"/>
    <d v="2021-06-30T00:00:00"/>
    <s v="Telstra"/>
    <s v="NETWORK"/>
    <s v="Network - InfraCo"/>
    <s v="TAS"/>
    <s v="Australia"/>
    <s v="Hobart"/>
    <s v="DAVEY EXCHANGE"/>
    <n v="423030912700"/>
    <s v="Recycled Waste"/>
    <x v="0"/>
    <x v="1"/>
    <s v="Account"/>
    <s v="CLEANAWAY eWaste"/>
    <m/>
    <s v="26939_Diversion_eWaste"/>
    <s v="eWaste"/>
    <s v="Cleanaway"/>
    <m/>
    <d v="2021-02-09T00:00:00"/>
    <m/>
    <d v="2021-05-01T00:00:00"/>
    <s v="FY21"/>
    <s v="t"/>
    <n v="0"/>
    <n v="0"/>
    <n v="0.22939999999999999"/>
    <n v="0.22939999999999999"/>
    <n v="0"/>
    <n v="0"/>
    <n v="31"/>
    <n v="31"/>
    <n v="0"/>
    <n v="0"/>
    <n v="100"/>
    <s v="Consolidation"/>
    <s v="CO2e and Base Measure"/>
    <n v="100"/>
    <n v="100"/>
    <n v="0.23"/>
    <m/>
    <m/>
    <m/>
    <m/>
    <m/>
    <m/>
    <m/>
    <m/>
    <m/>
    <m/>
    <m/>
    <m/>
    <m/>
    <s v="AUD"/>
    <s v="13639889Waste Recycled - E-waste [t]"/>
    <n v="13639889"/>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0-12-01T00:00:00"/>
    <s v="FY21"/>
    <s v="t"/>
    <n v="0"/>
    <n v="0.22500000000000001"/>
    <n v="0"/>
    <n v="0.22500000000000001"/>
    <n v="0"/>
    <n v="1"/>
    <n v="0"/>
    <n v="1"/>
    <n v="0"/>
    <n v="100"/>
    <n v="0"/>
    <s v="Consolidation"/>
    <s v="CO2e and Base Measure"/>
    <n v="100"/>
    <n v="100"/>
    <n v="0.23"/>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1-01T00:00:00"/>
    <s v="FY21"/>
    <s v="t"/>
    <n v="0"/>
    <n v="0"/>
    <n v="0.23250000000000001"/>
    <n v="0.23250000000000001"/>
    <n v="0"/>
    <n v="0"/>
    <n v="31"/>
    <n v="31"/>
    <n v="0"/>
    <n v="0"/>
    <n v="100"/>
    <s v="Consolidation"/>
    <s v="CO2e and Base Measure"/>
    <n v="100"/>
    <n v="100"/>
    <n v="0.23"/>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2-01T00:00:00"/>
    <s v="FY21"/>
    <s v="t"/>
    <n v="0"/>
    <n v="0"/>
    <n v="0.21"/>
    <n v="0.21"/>
    <n v="0"/>
    <n v="0"/>
    <n v="28"/>
    <n v="28"/>
    <n v="0"/>
    <n v="0"/>
    <n v="100"/>
    <s v="Consolidation"/>
    <s v="CO2e and Base Measure"/>
    <n v="100"/>
    <n v="100"/>
    <n v="0.21"/>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3-01T00:00:00"/>
    <s v="FY21"/>
    <s v="t"/>
    <n v="0"/>
    <n v="0"/>
    <n v="0.23250000000000001"/>
    <n v="0.23250000000000001"/>
    <n v="0"/>
    <n v="0"/>
    <n v="31"/>
    <n v="31"/>
    <n v="0"/>
    <n v="0"/>
    <n v="100"/>
    <s v="Consolidation"/>
    <s v="CO2e and Base Measure"/>
    <n v="100"/>
    <n v="100"/>
    <n v="0.23"/>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4-01T00:00:00"/>
    <s v="FY21"/>
    <s v="t"/>
    <n v="0"/>
    <n v="0"/>
    <n v="0.22500000000000001"/>
    <n v="0.22500000000000001"/>
    <n v="0"/>
    <n v="0"/>
    <n v="30"/>
    <n v="30"/>
    <n v="0"/>
    <n v="0"/>
    <n v="100"/>
    <s v="Consolidation"/>
    <s v="CO2e and Base Measure"/>
    <n v="100"/>
    <n v="100"/>
    <n v="0.23"/>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5-01T00:00:00"/>
    <s v="FY21"/>
    <s v="t"/>
    <n v="0"/>
    <n v="0"/>
    <n v="0.23250000000000001"/>
    <n v="0.23250000000000001"/>
    <n v="0"/>
    <n v="0"/>
    <n v="31"/>
    <n v="31"/>
    <n v="0"/>
    <n v="0"/>
    <n v="100"/>
    <s v="Consolidation"/>
    <s v="CO2e and Base Measure"/>
    <n v="100"/>
    <n v="100"/>
    <n v="0.23"/>
    <m/>
    <m/>
    <m/>
    <m/>
    <m/>
    <m/>
    <m/>
    <m/>
    <m/>
    <m/>
    <m/>
    <m/>
    <m/>
    <s v="AUD"/>
    <s v="13633432Waste Recycled - Construction and Demolition [t]"/>
    <n v="13633432"/>
  </r>
  <r>
    <d v="2019-07-01T00:00:00"/>
    <d v="2021-06-30T00:00:00"/>
    <s v="Telstra"/>
    <s v="NETWORK"/>
    <s v="Network - InfraCo"/>
    <s v="ACT"/>
    <s v="Australia"/>
    <s v="Canberra Capital Hill"/>
    <s v="DEAKIN COMMUNICATIONS FACILITY"/>
    <n v="423031542500"/>
    <s v="Recycled Waste"/>
    <x v="0"/>
    <x v="3"/>
    <s v="Account"/>
    <s v="Remondis Commingled - Recycled"/>
    <m/>
    <s v="423031542500_RCOMINGLE"/>
    <s v="COMMINGLED - RECYCLED"/>
    <s v="Remondis"/>
    <m/>
    <m/>
    <d v="2020-10-01T00:00:00"/>
    <d v="2020-07-01T00:00:00"/>
    <s v="FY21"/>
    <s v="t"/>
    <n v="0"/>
    <n v="0.36"/>
    <n v="0"/>
    <n v="0.36"/>
    <n v="0"/>
    <n v="5"/>
    <n v="0"/>
    <n v="5"/>
    <n v="0"/>
    <n v="100"/>
    <n v="0"/>
    <s v="Consolidation"/>
    <s v="CO2e and Base Measure"/>
    <n v="100"/>
    <n v="100"/>
    <n v="0.36"/>
    <m/>
    <m/>
    <m/>
    <m/>
    <m/>
    <m/>
    <n v="0"/>
    <m/>
    <m/>
    <m/>
    <m/>
    <m/>
    <m/>
    <s v="AUD"/>
    <s v="13565666Waste Recycled - Commingled [t]"/>
    <n v="13565666"/>
  </r>
  <r>
    <d v="2019-07-01T00:00:00"/>
    <d v="2021-06-30T00:00:00"/>
    <s v="Telstra"/>
    <s v="NETWORK"/>
    <s v="Network - InfraCo"/>
    <s v="ACT"/>
    <s v="Australia"/>
    <s v="Canberra Capital Hill"/>
    <s v="DEAKIN COMMUNICATIONS FACILITY"/>
    <n v="423031542500"/>
    <s v="Recycled Waste"/>
    <x v="0"/>
    <x v="3"/>
    <s v="Account"/>
    <s v="Remondis Commingled - Recycled"/>
    <m/>
    <s v="423031542500_RCOMINGLE"/>
    <s v="COMMINGLED - RECYCLED"/>
    <s v="Remondis"/>
    <m/>
    <m/>
    <d v="2020-10-01T00:00:00"/>
    <d v="2020-08-01T00:00:00"/>
    <s v="FY21"/>
    <s v="t"/>
    <n v="0"/>
    <n v="0.28799999999999998"/>
    <n v="0"/>
    <n v="0.28799999999999998"/>
    <n v="0"/>
    <n v="4"/>
    <n v="0"/>
    <n v="4"/>
    <n v="0"/>
    <n v="100"/>
    <n v="0"/>
    <s v="Consolidation"/>
    <s v="CO2e and Base Measure"/>
    <n v="100"/>
    <n v="100"/>
    <n v="0.28999999999999998"/>
    <m/>
    <m/>
    <m/>
    <m/>
    <m/>
    <m/>
    <n v="0"/>
    <m/>
    <m/>
    <m/>
    <m/>
    <m/>
    <m/>
    <s v="AUD"/>
    <s v="13565666Waste Recycled - Commingled [t]"/>
    <n v="13565666"/>
  </r>
  <r>
    <d v="2019-07-01T00:00:00"/>
    <d v="2021-06-30T00:00:00"/>
    <s v="Telstra"/>
    <s v="NETWORK"/>
    <s v="Network - InfraCo"/>
    <s v="ACT"/>
    <s v="Australia"/>
    <s v="Canberra Capital Hill"/>
    <s v="DEAKIN COMMUNICATIONS FACILITY"/>
    <n v="423031542500"/>
    <s v="Recycled Waste"/>
    <x v="0"/>
    <x v="3"/>
    <s v="Account"/>
    <s v="Remondis Commingled - Recycled"/>
    <m/>
    <s v="423031542500_RCOMINGLE"/>
    <s v="COMMINGLED - RECYCLED"/>
    <s v="Remondis"/>
    <m/>
    <m/>
    <d v="2020-10-01T00:00:00"/>
    <d v="2020-09-01T00:00:00"/>
    <s v="FY21"/>
    <s v="t"/>
    <n v="0"/>
    <n v="0.216"/>
    <n v="0"/>
    <n v="0.216"/>
    <n v="0"/>
    <n v="3"/>
    <n v="0"/>
    <n v="3"/>
    <n v="0"/>
    <n v="100"/>
    <n v="0"/>
    <s v="Consolidation"/>
    <s v="CO2e and Base Measure"/>
    <n v="100"/>
    <n v="100"/>
    <n v="0.22"/>
    <m/>
    <m/>
    <m/>
    <m/>
    <m/>
    <m/>
    <n v="0"/>
    <m/>
    <m/>
    <m/>
    <m/>
    <m/>
    <m/>
    <s v="AUD"/>
    <s v="13565666Waste Recycled - Commingled [t]"/>
    <n v="13565666"/>
  </r>
  <r>
    <d v="2019-07-01T00:00:00"/>
    <d v="2021-06-30T00:00:00"/>
    <s v="Telstra"/>
    <s v="NETWORK"/>
    <s v="Network - InfraCo"/>
    <s v="ACT"/>
    <s v="Australia"/>
    <s v="Canberra Capital Hill"/>
    <s v="DEAKIN COMMUNICATIONS FACILITY"/>
    <n v="423031542500"/>
    <s v="Recycled Waste"/>
    <x v="0"/>
    <x v="3"/>
    <s v="Account"/>
    <s v="Remondis Commingled - Recycled"/>
    <m/>
    <s v="423031542500_RCOMINGLE"/>
    <s v="COMMINGLED - RECYCLED"/>
    <s v="Remondis"/>
    <m/>
    <m/>
    <d v="2020-10-01T00:00:00"/>
    <d v="2020-10-01T00:00:00"/>
    <s v="FY21"/>
    <s v="t"/>
    <n v="0"/>
    <n v="0"/>
    <n v="9.4999999999999998E-3"/>
    <n v="9.4999999999999998E-3"/>
    <n v="0"/>
    <n v="0"/>
    <n v="1"/>
    <n v="1"/>
    <n v="0"/>
    <n v="0"/>
    <n v="100"/>
    <s v="Consolidation"/>
    <s v="CO2e and Base Measure"/>
    <n v="100"/>
    <n v="100"/>
    <n v="0.01"/>
    <m/>
    <m/>
    <m/>
    <m/>
    <m/>
    <m/>
    <n v="0"/>
    <m/>
    <m/>
    <m/>
    <m/>
    <m/>
    <m/>
    <s v="AUD"/>
    <s v="13565666Waste Recycled - Commingled [t]"/>
    <n v="13565666"/>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07-01T00:00:00"/>
    <s v="FY21"/>
    <s v="t"/>
    <n v="0.185"/>
    <n v="0.312"/>
    <n v="0"/>
    <n v="0.497"/>
    <n v="5"/>
    <n v="5"/>
    <n v="0"/>
    <n v="10"/>
    <n v="37.22"/>
    <n v="62.77"/>
    <n v="0"/>
    <s v="Consolidation"/>
    <s v="CO2e and Base Measure"/>
    <n v="100"/>
    <n v="100"/>
    <n v="0.5"/>
    <m/>
    <m/>
    <m/>
    <m/>
    <m/>
    <n v="0.64610000000000001"/>
    <m/>
    <n v="0.64610000000000001"/>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08-01T00:00:00"/>
    <s v="FY21"/>
    <s v="t"/>
    <n v="0.215"/>
    <n v="0.48959999999999998"/>
    <n v="0"/>
    <n v="0.7046"/>
    <n v="3"/>
    <n v="5"/>
    <n v="0"/>
    <n v="8"/>
    <n v="30.51"/>
    <n v="69.48"/>
    <n v="0"/>
    <s v="Consolidation"/>
    <s v="CO2e and Base Measure"/>
    <n v="100"/>
    <n v="100"/>
    <n v="0.7"/>
    <m/>
    <m/>
    <m/>
    <m/>
    <m/>
    <n v="0.91600000000000004"/>
    <m/>
    <n v="0.91600000000000004"/>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09-01T00:00:00"/>
    <s v="FY21"/>
    <s v="t"/>
    <n v="0.16500000000000001"/>
    <n v="0.39779999999999999"/>
    <n v="0"/>
    <n v="0.56279999999999997"/>
    <n v="3"/>
    <n v="5"/>
    <n v="0"/>
    <n v="8"/>
    <n v="29.31"/>
    <n v="70.680000000000007"/>
    <n v="0"/>
    <s v="Consolidation"/>
    <s v="CO2e and Base Measure"/>
    <n v="100"/>
    <n v="100"/>
    <n v="0.56000000000000005"/>
    <m/>
    <m/>
    <m/>
    <m/>
    <m/>
    <n v="0.73160000000000003"/>
    <m/>
    <n v="0.73160000000000003"/>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10-01T00:00:00"/>
    <s v="FY21"/>
    <s v="t"/>
    <n v="0"/>
    <n v="0.24"/>
    <n v="0"/>
    <n v="0.24"/>
    <n v="0"/>
    <n v="1"/>
    <n v="0"/>
    <n v="1"/>
    <n v="0"/>
    <n v="100"/>
    <n v="0"/>
    <s v="Consolidation"/>
    <s v="CO2e and Base Measure"/>
    <n v="100"/>
    <n v="100"/>
    <n v="0.24"/>
    <m/>
    <m/>
    <m/>
    <m/>
    <m/>
    <n v="0.312"/>
    <m/>
    <n v="0.312"/>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11-01T00:00:00"/>
    <s v="FY21"/>
    <s v="t"/>
    <n v="0"/>
    <n v="0.96719999999999995"/>
    <n v="0"/>
    <n v="0.96719999999999995"/>
    <n v="0"/>
    <n v="8"/>
    <n v="0"/>
    <n v="8"/>
    <n v="0"/>
    <n v="100"/>
    <n v="0"/>
    <s v="Consolidation"/>
    <s v="CO2e and Base Measure"/>
    <n v="100"/>
    <n v="100"/>
    <n v="0.97"/>
    <m/>
    <m/>
    <m/>
    <m/>
    <m/>
    <n v="1.2574000000000001"/>
    <m/>
    <n v="1.2574000000000001"/>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12-01T00:00:00"/>
    <s v="FY21"/>
    <s v="t"/>
    <n v="0.48"/>
    <n v="9.3600000000000003E-2"/>
    <n v="0"/>
    <n v="0.5736"/>
    <n v="1"/>
    <n v="2"/>
    <n v="0"/>
    <n v="3"/>
    <n v="83.68"/>
    <n v="16.309999999999999"/>
    <n v="0"/>
    <s v="Consolidation"/>
    <s v="CO2e and Base Measure"/>
    <n v="100"/>
    <n v="100"/>
    <n v="0.56999999999999995"/>
    <m/>
    <m/>
    <m/>
    <m/>
    <m/>
    <n v="0.74570000000000003"/>
    <m/>
    <n v="0.74570000000000003"/>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1-01-01T00:00:00"/>
    <s v="FY21"/>
    <s v="t"/>
    <n v="0"/>
    <n v="0"/>
    <n v="1.89E-2"/>
    <n v="1.89E-2"/>
    <n v="0"/>
    <n v="0"/>
    <n v="1"/>
    <n v="1"/>
    <n v="0"/>
    <n v="0"/>
    <n v="100"/>
    <s v="Consolidation"/>
    <s v="CO2e and Base Measure"/>
    <n v="100"/>
    <n v="100"/>
    <n v="0.02"/>
    <m/>
    <m/>
    <m/>
    <m/>
    <m/>
    <n v="2.46E-2"/>
    <m/>
    <n v="2.46E-2"/>
    <m/>
    <m/>
    <m/>
    <m/>
    <m/>
    <s v="AUD"/>
    <s v="13565667Waste - General [t] - Scope 3"/>
    <n v="13565667"/>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07-01T00:00:00"/>
    <s v="FY21"/>
    <s v="t"/>
    <n v="0"/>
    <n v="0.1575"/>
    <n v="0"/>
    <n v="0.1575"/>
    <n v="0"/>
    <n v="5"/>
    <n v="0"/>
    <n v="5"/>
    <n v="0"/>
    <n v="100"/>
    <n v="0"/>
    <s v="Consolidation"/>
    <s v="CO2e and Base Measure"/>
    <n v="100"/>
    <n v="100"/>
    <n v="0.16"/>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08-01T00:00:00"/>
    <s v="FY21"/>
    <s v="t"/>
    <n v="0"/>
    <n v="0.126"/>
    <n v="0"/>
    <n v="0.126"/>
    <n v="0"/>
    <n v="4"/>
    <n v="0"/>
    <n v="4"/>
    <n v="0"/>
    <n v="100"/>
    <n v="0"/>
    <s v="Consolidation"/>
    <s v="CO2e and Base Measure"/>
    <n v="100"/>
    <n v="100"/>
    <n v="0.13"/>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09-01T00:00:00"/>
    <s v="FY21"/>
    <s v="t"/>
    <n v="0"/>
    <n v="0.1575"/>
    <n v="0"/>
    <n v="0.1575"/>
    <n v="0"/>
    <n v="5"/>
    <n v="0"/>
    <n v="5"/>
    <n v="0"/>
    <n v="100"/>
    <n v="0"/>
    <s v="Consolidation"/>
    <s v="CO2e and Base Measure"/>
    <n v="100"/>
    <n v="100"/>
    <n v="0.16"/>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10-01T00:00:00"/>
    <s v="FY21"/>
    <s v="t"/>
    <n v="0"/>
    <n v="0.126"/>
    <n v="0"/>
    <n v="0.126"/>
    <n v="0"/>
    <n v="4"/>
    <n v="0"/>
    <n v="4"/>
    <n v="0"/>
    <n v="100"/>
    <n v="0"/>
    <s v="Consolidation"/>
    <s v="CO2e and Base Measure"/>
    <n v="100"/>
    <n v="100"/>
    <n v="0.13"/>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11-01T00:00:00"/>
    <s v="FY21"/>
    <s v="t"/>
    <n v="0"/>
    <n v="0.126"/>
    <n v="0"/>
    <n v="0.126"/>
    <n v="0"/>
    <n v="4"/>
    <n v="0"/>
    <n v="4"/>
    <n v="0"/>
    <n v="100"/>
    <n v="0"/>
    <s v="Consolidation"/>
    <s v="CO2e and Base Measure"/>
    <n v="100"/>
    <n v="100"/>
    <n v="0.13"/>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12-01T00:00:00"/>
    <s v="FY21"/>
    <s v="t"/>
    <n v="0"/>
    <n v="6.3E-2"/>
    <n v="0"/>
    <n v="6.3E-2"/>
    <n v="0"/>
    <n v="2"/>
    <n v="0"/>
    <n v="2"/>
    <n v="0"/>
    <n v="100"/>
    <n v="0"/>
    <s v="Consolidation"/>
    <s v="CO2e and Base Measure"/>
    <n v="100"/>
    <n v="100"/>
    <n v="0.06"/>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96894Waste Recycled - Cardboard [t]"/>
    <n v="13596894"/>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0-12-01T00:00:00"/>
    <s v="FY21"/>
    <s v="t"/>
    <n v="0.307"/>
    <n v="0"/>
    <n v="0"/>
    <n v="0.307"/>
    <n v="4"/>
    <n v="0"/>
    <n v="0"/>
    <n v="4"/>
    <n v="100"/>
    <n v="0"/>
    <n v="0"/>
    <s v="Consolidation"/>
    <s v="CO2e and Base Measure"/>
    <n v="100"/>
    <n v="100"/>
    <n v="0.31"/>
    <m/>
    <m/>
    <m/>
    <m/>
    <m/>
    <n v="0.39910000000000001"/>
    <m/>
    <n v="0.39910000000000001"/>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1-01T00:00:00"/>
    <s v="FY21"/>
    <s v="t"/>
    <n v="0.156"/>
    <n v="0.13500000000000001"/>
    <n v="0"/>
    <n v="0.29099999999999998"/>
    <n v="3"/>
    <n v="1"/>
    <n v="0"/>
    <n v="4"/>
    <n v="53.6"/>
    <n v="46.39"/>
    <n v="0"/>
    <s v="Consolidation"/>
    <s v="CO2e and Base Measure"/>
    <n v="100"/>
    <n v="100"/>
    <n v="0.28999999999999998"/>
    <m/>
    <m/>
    <m/>
    <m/>
    <m/>
    <n v="0.37830000000000003"/>
    <m/>
    <n v="0.37830000000000003"/>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2-01T00:00:00"/>
    <s v="FY21"/>
    <s v="t"/>
    <n v="0.34499999999999997"/>
    <n v="0"/>
    <n v="0"/>
    <n v="0.34499999999999997"/>
    <n v="4"/>
    <n v="0"/>
    <n v="0"/>
    <n v="4"/>
    <n v="100"/>
    <n v="0"/>
    <n v="0"/>
    <s v="Consolidation"/>
    <s v="CO2e and Base Measure"/>
    <n v="100"/>
    <n v="100"/>
    <n v="0.35"/>
    <m/>
    <m/>
    <m/>
    <m/>
    <m/>
    <n v="0.44850000000000001"/>
    <m/>
    <n v="0.44850000000000001"/>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3-01T00:00:00"/>
    <s v="FY21"/>
    <s v="t"/>
    <n v="0.23799999999999999"/>
    <n v="0.13500000000000001"/>
    <n v="0"/>
    <n v="0.373"/>
    <n v="3"/>
    <n v="1"/>
    <n v="0"/>
    <n v="4"/>
    <n v="63.8"/>
    <n v="36.19"/>
    <n v="0"/>
    <s v="Consolidation"/>
    <s v="CO2e and Base Measure"/>
    <n v="100"/>
    <n v="100"/>
    <n v="0.37"/>
    <m/>
    <m/>
    <m/>
    <m/>
    <m/>
    <n v="0.4849"/>
    <m/>
    <n v="0.4849"/>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4-01T00:00:00"/>
    <s v="FY21"/>
    <s v="t"/>
    <n v="0"/>
    <n v="0"/>
    <n v="0.33"/>
    <n v="0.33"/>
    <n v="0"/>
    <n v="0"/>
    <n v="30"/>
    <n v="30"/>
    <n v="0"/>
    <n v="0"/>
    <n v="100"/>
    <s v="Consolidation"/>
    <s v="CO2e and Base Measure"/>
    <n v="100"/>
    <n v="100"/>
    <n v="0.33"/>
    <m/>
    <m/>
    <m/>
    <m/>
    <m/>
    <n v="0.42899999999999999"/>
    <m/>
    <n v="0.42899999999999999"/>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5-01T00:00:00"/>
    <s v="FY21"/>
    <s v="t"/>
    <n v="0"/>
    <n v="0"/>
    <n v="0.34100000000000003"/>
    <n v="0.34100000000000003"/>
    <n v="0"/>
    <n v="0"/>
    <n v="31"/>
    <n v="31"/>
    <n v="0"/>
    <n v="0"/>
    <n v="100"/>
    <s v="Consolidation"/>
    <s v="CO2e and Base Measure"/>
    <n v="100"/>
    <n v="100"/>
    <n v="0.34"/>
    <m/>
    <m/>
    <m/>
    <m/>
    <m/>
    <n v="0.44330000000000003"/>
    <m/>
    <n v="0.44330000000000003"/>
    <m/>
    <m/>
    <m/>
    <m/>
    <m/>
    <s v="AUD"/>
    <s v="13634058Waste - General [t] - Scope 3"/>
    <n v="13634058"/>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0-12-01T00:00:00"/>
    <s v="FY21"/>
    <s v="t"/>
    <n v="0.09"/>
    <n v="0.3"/>
    <n v="0"/>
    <n v="0.39"/>
    <n v="1"/>
    <n v="4"/>
    <n v="0"/>
    <n v="5"/>
    <n v="23.07"/>
    <n v="76.92"/>
    <n v="0"/>
    <s v="Consolidation"/>
    <s v="CO2e and Base Measure"/>
    <n v="100"/>
    <n v="100"/>
    <n v="0.39"/>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1-01T00:00:00"/>
    <s v="FY21"/>
    <s v="t"/>
    <n v="0.08"/>
    <n v="0.15"/>
    <n v="0"/>
    <n v="0.23"/>
    <n v="1"/>
    <n v="2"/>
    <n v="0"/>
    <n v="3"/>
    <n v="34.78"/>
    <n v="65.209999999999994"/>
    <n v="0"/>
    <s v="Consolidation"/>
    <s v="CO2e and Base Measure"/>
    <n v="100"/>
    <n v="100"/>
    <n v="0.23"/>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2-01T00:00:00"/>
    <s v="FY21"/>
    <s v="t"/>
    <n v="0"/>
    <n v="0.3"/>
    <n v="0"/>
    <n v="0.3"/>
    <n v="0"/>
    <n v="4"/>
    <n v="0"/>
    <n v="4"/>
    <n v="0"/>
    <n v="100"/>
    <n v="0"/>
    <s v="Consolidation"/>
    <s v="CO2e and Base Measure"/>
    <n v="100"/>
    <n v="100"/>
    <n v="0.3"/>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3-01T00:00:00"/>
    <s v="FY21"/>
    <s v="t"/>
    <n v="7.0000000000000007E-2"/>
    <n v="0.22500000000000001"/>
    <n v="0"/>
    <n v="0.29499999999999998"/>
    <n v="1"/>
    <n v="3"/>
    <n v="0"/>
    <n v="4"/>
    <n v="23.72"/>
    <n v="76.27"/>
    <n v="0"/>
    <s v="Consolidation"/>
    <s v="CO2e and Base Measure"/>
    <n v="100"/>
    <n v="100"/>
    <n v="0.3"/>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4-01T00:00:00"/>
    <s v="FY21"/>
    <s v="t"/>
    <n v="0"/>
    <n v="0"/>
    <n v="0.30299999999999999"/>
    <n v="0.30299999999999999"/>
    <n v="0"/>
    <n v="0"/>
    <n v="30"/>
    <n v="30"/>
    <n v="0"/>
    <n v="0"/>
    <n v="100"/>
    <s v="Consolidation"/>
    <s v="CO2e and Base Measure"/>
    <n v="100"/>
    <n v="100"/>
    <n v="0.3"/>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5-01T00:00:00"/>
    <s v="FY21"/>
    <s v="t"/>
    <n v="0"/>
    <n v="0"/>
    <n v="0.31309999999999999"/>
    <n v="0.31309999999999999"/>
    <n v="0"/>
    <n v="0"/>
    <n v="31"/>
    <n v="31"/>
    <n v="0"/>
    <n v="0"/>
    <n v="100"/>
    <s v="Consolidation"/>
    <s v="CO2e and Base Measure"/>
    <n v="100"/>
    <n v="100"/>
    <n v="0.31"/>
    <m/>
    <m/>
    <m/>
    <m/>
    <m/>
    <m/>
    <m/>
    <m/>
    <m/>
    <m/>
    <m/>
    <m/>
    <m/>
    <s v="AUD"/>
    <s v="13634059Waste Recycled - Paper and Cardboard [t]"/>
    <n v="13634059"/>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0-12-01T00:00:00"/>
    <s v="FY21"/>
    <s v="t"/>
    <n v="0"/>
    <n v="6.0000000000000001E-3"/>
    <n v="0"/>
    <n v="6.0000000000000001E-3"/>
    <n v="0"/>
    <n v="1"/>
    <n v="0"/>
    <n v="1"/>
    <n v="0"/>
    <n v="100"/>
    <n v="0"/>
    <s v="Consolidation"/>
    <s v="CO2e and Base Measure"/>
    <n v="100"/>
    <n v="100"/>
    <n v="0.01"/>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1-01T00:00:00"/>
    <s v="FY21"/>
    <s v="t"/>
    <n v="0"/>
    <n v="1.7999999999999999E-2"/>
    <n v="0"/>
    <n v="1.7999999999999999E-2"/>
    <n v="0"/>
    <n v="3"/>
    <n v="0"/>
    <n v="3"/>
    <n v="0"/>
    <n v="100"/>
    <n v="0"/>
    <s v="Consolidation"/>
    <s v="CO2e and Base Measure"/>
    <n v="100"/>
    <n v="100"/>
    <n v="0.02"/>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2-01T00:00:00"/>
    <s v="FY21"/>
    <s v="t"/>
    <n v="0"/>
    <n v="1.2E-2"/>
    <n v="0"/>
    <n v="1.2E-2"/>
    <n v="0"/>
    <n v="2"/>
    <n v="0"/>
    <n v="2"/>
    <n v="0"/>
    <n v="100"/>
    <n v="0"/>
    <s v="Consolidation"/>
    <s v="CO2e and Base Measure"/>
    <n v="100"/>
    <n v="100"/>
    <n v="0.01"/>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3-01T00:00:00"/>
    <s v="FY21"/>
    <s v="t"/>
    <n v="0"/>
    <n v="5.3999999999999999E-2"/>
    <n v="0"/>
    <n v="5.3999999999999999E-2"/>
    <n v="0"/>
    <n v="5"/>
    <n v="0"/>
    <n v="5"/>
    <n v="0"/>
    <n v="100"/>
    <n v="0"/>
    <s v="Consolidation"/>
    <s v="CO2e and Base Measure"/>
    <n v="100"/>
    <n v="100"/>
    <n v="0.05"/>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4-01T00:00:00"/>
    <s v="FY21"/>
    <s v="t"/>
    <n v="0"/>
    <n v="0"/>
    <n v="2.4E-2"/>
    <n v="2.4E-2"/>
    <n v="0"/>
    <n v="0"/>
    <n v="30"/>
    <n v="30"/>
    <n v="0"/>
    <n v="0"/>
    <n v="100"/>
    <s v="Consolidation"/>
    <s v="CO2e and Base Measure"/>
    <n v="100"/>
    <n v="100"/>
    <n v="0.02"/>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5-01T00:00:00"/>
    <s v="FY21"/>
    <s v="t"/>
    <n v="0"/>
    <n v="0"/>
    <n v="2.4799999999999999E-2"/>
    <n v="2.4799999999999999E-2"/>
    <n v="0"/>
    <n v="0"/>
    <n v="31"/>
    <n v="31"/>
    <n v="0"/>
    <n v="0"/>
    <n v="100"/>
    <s v="Consolidation"/>
    <s v="CO2e and Base Measure"/>
    <n v="100"/>
    <n v="100"/>
    <n v="0.02"/>
    <m/>
    <m/>
    <m/>
    <m/>
    <m/>
    <m/>
    <m/>
    <m/>
    <m/>
    <m/>
    <m/>
    <m/>
    <m/>
    <s v="AUD"/>
    <s v="13634090Waste Recycled - Paper and Cardboard [t]"/>
    <n v="13634090"/>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1-01T00:00:00"/>
    <s v="FY21"/>
    <s v="t"/>
    <n v="0"/>
    <n v="8.6400000000000005E-2"/>
    <n v="0"/>
    <n v="8.6400000000000005E-2"/>
    <n v="0"/>
    <n v="4"/>
    <n v="0"/>
    <n v="4"/>
    <n v="0"/>
    <n v="100"/>
    <n v="0"/>
    <s v="Consolidation"/>
    <s v="CO2e and Base Measure"/>
    <n v="100"/>
    <n v="100"/>
    <n v="0.09"/>
    <m/>
    <m/>
    <m/>
    <m/>
    <m/>
    <n v="0.1123"/>
    <m/>
    <n v="0.1123"/>
    <m/>
    <m/>
    <m/>
    <m/>
    <m/>
    <s v="AUD"/>
    <s v="13634425Waste - General [t] - Scope 3"/>
    <n v="13634425"/>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2-01T00:00:00"/>
    <s v="FY21"/>
    <s v="t"/>
    <n v="0"/>
    <n v="7.5600000000000001E-2"/>
    <n v="0"/>
    <n v="7.5600000000000001E-2"/>
    <n v="0"/>
    <n v="4"/>
    <n v="0"/>
    <n v="4"/>
    <n v="0"/>
    <n v="100"/>
    <n v="0"/>
    <s v="Consolidation"/>
    <s v="CO2e and Base Measure"/>
    <n v="100"/>
    <n v="100"/>
    <n v="0.08"/>
    <m/>
    <m/>
    <m/>
    <m/>
    <m/>
    <n v="9.8299999999999998E-2"/>
    <m/>
    <n v="9.8299999999999998E-2"/>
    <m/>
    <m/>
    <m/>
    <m/>
    <m/>
    <s v="AUD"/>
    <s v="13634425Waste - General [t] - Scope 3"/>
    <n v="13634425"/>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3-01T00:00:00"/>
    <s v="FY21"/>
    <s v="t"/>
    <n v="0"/>
    <n v="6.4799999999999996E-2"/>
    <n v="0"/>
    <n v="6.4799999999999996E-2"/>
    <n v="0"/>
    <n v="5"/>
    <n v="0"/>
    <n v="5"/>
    <n v="0"/>
    <n v="100"/>
    <n v="0"/>
    <s v="Consolidation"/>
    <s v="CO2e and Base Measure"/>
    <n v="100"/>
    <n v="100"/>
    <n v="0.06"/>
    <m/>
    <m/>
    <m/>
    <m/>
    <m/>
    <n v="8.4199999999999997E-2"/>
    <m/>
    <n v="8.4199999999999997E-2"/>
    <m/>
    <m/>
    <m/>
    <m/>
    <m/>
    <s v="AUD"/>
    <s v="13634425Waste - General [t] - Scope 3"/>
    <n v="13634425"/>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4-01T00:00:00"/>
    <s v="FY21"/>
    <s v="t"/>
    <n v="0"/>
    <n v="0"/>
    <n v="7.4999999999999997E-2"/>
    <n v="7.4999999999999997E-2"/>
    <n v="0"/>
    <n v="0"/>
    <n v="30"/>
    <n v="30"/>
    <n v="0"/>
    <n v="0"/>
    <n v="100"/>
    <s v="Consolidation"/>
    <s v="CO2e and Base Measure"/>
    <n v="100"/>
    <n v="100"/>
    <n v="0.08"/>
    <m/>
    <m/>
    <m/>
    <m/>
    <m/>
    <n v="9.7500000000000003E-2"/>
    <m/>
    <n v="9.7500000000000003E-2"/>
    <m/>
    <m/>
    <m/>
    <m/>
    <m/>
    <s v="AUD"/>
    <s v="13634425Waste - General [t] - Scope 3"/>
    <n v="13634425"/>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5-01T00:00:00"/>
    <s v="FY21"/>
    <s v="t"/>
    <n v="0"/>
    <n v="0"/>
    <n v="7.7499999999999999E-2"/>
    <n v="7.7499999999999999E-2"/>
    <n v="0"/>
    <n v="0"/>
    <n v="31"/>
    <n v="31"/>
    <n v="0"/>
    <n v="0"/>
    <n v="100"/>
    <s v="Consolidation"/>
    <s v="CO2e and Base Measure"/>
    <n v="100"/>
    <n v="100"/>
    <n v="0.08"/>
    <m/>
    <m/>
    <m/>
    <m/>
    <m/>
    <n v="0.1008"/>
    <m/>
    <n v="0.1008"/>
    <m/>
    <m/>
    <m/>
    <m/>
    <m/>
    <s v="AUD"/>
    <s v="13634425Waste - General [t] - Scope 3"/>
    <n v="13634425"/>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07-01T00:00:00"/>
    <s v="FY21"/>
    <s v="t"/>
    <n v="6.0000000000000001E-3"/>
    <n v="0"/>
    <n v="0"/>
    <n v="6.0000000000000001E-3"/>
    <n v="2"/>
    <n v="0"/>
    <n v="0"/>
    <n v="2"/>
    <n v="100"/>
    <n v="0"/>
    <n v="0"/>
    <s v="Consolidation"/>
    <s v="CO2e and Base Measure"/>
    <n v="100"/>
    <n v="100"/>
    <n v="0.01"/>
    <m/>
    <m/>
    <m/>
    <m/>
    <m/>
    <m/>
    <n v="0"/>
    <m/>
    <m/>
    <m/>
    <m/>
    <m/>
    <m/>
    <s v="AUD"/>
    <s v="13564640Waste Recycled - Cardboard [t]"/>
    <n v="13564640"/>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08-01T00:00:00"/>
    <s v="FY21"/>
    <s v="t"/>
    <n v="1.6E-2"/>
    <n v="0"/>
    <n v="0"/>
    <n v="1.6E-2"/>
    <n v="2"/>
    <n v="0"/>
    <n v="0"/>
    <n v="2"/>
    <n v="100"/>
    <n v="0"/>
    <n v="0"/>
    <s v="Consolidation"/>
    <s v="CO2e and Base Measure"/>
    <n v="100"/>
    <n v="100"/>
    <n v="0.02"/>
    <m/>
    <m/>
    <m/>
    <m/>
    <m/>
    <m/>
    <n v="0"/>
    <m/>
    <m/>
    <m/>
    <m/>
    <m/>
    <m/>
    <s v="AUD"/>
    <s v="13564640Waste Recycled - Cardboard [t]"/>
    <n v="13564640"/>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09-01T00:00:00"/>
    <s v="FY21"/>
    <s v="t"/>
    <n v="1.7000000000000001E-2"/>
    <n v="0"/>
    <n v="0"/>
    <n v="1.7000000000000001E-2"/>
    <n v="2"/>
    <n v="0"/>
    <n v="0"/>
    <n v="2"/>
    <n v="100"/>
    <n v="0"/>
    <n v="0"/>
    <s v="Consolidation"/>
    <s v="CO2e and Base Measure"/>
    <n v="100"/>
    <n v="100"/>
    <n v="0.02"/>
    <m/>
    <m/>
    <m/>
    <m/>
    <m/>
    <m/>
    <n v="0"/>
    <m/>
    <m/>
    <m/>
    <m/>
    <m/>
    <m/>
    <s v="AUD"/>
    <s v="13564640Waste Recycled - Cardboard [t]"/>
    <n v="13564640"/>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10-01T00:00:00"/>
    <s v="FY21"/>
    <s v="t"/>
    <n v="2.1999999999999999E-2"/>
    <n v="0"/>
    <n v="0"/>
    <n v="2.1999999999999999E-2"/>
    <n v="1"/>
    <n v="0"/>
    <n v="0"/>
    <n v="1"/>
    <n v="100"/>
    <n v="0"/>
    <n v="0"/>
    <s v="Consolidation"/>
    <s v="CO2e and Base Measure"/>
    <n v="100"/>
    <n v="100"/>
    <n v="0.02"/>
    <m/>
    <m/>
    <m/>
    <m/>
    <m/>
    <m/>
    <n v="0"/>
    <m/>
    <m/>
    <m/>
    <m/>
    <m/>
    <m/>
    <s v="AUD"/>
    <s v="13564640Waste Recycled - Cardboard [t]"/>
    <n v="13564640"/>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11-01T00:00:00"/>
    <s v="FY21"/>
    <s v="t"/>
    <n v="0"/>
    <n v="0"/>
    <n v="5.9999999999999995E-4"/>
    <n v="5.9999999999999995E-4"/>
    <n v="0"/>
    <n v="0"/>
    <n v="1"/>
    <n v="1"/>
    <n v="0"/>
    <n v="0"/>
    <n v="100"/>
    <s v="Consolidation"/>
    <s v="CO2e and Base Measure"/>
    <n v="100"/>
    <n v="100"/>
    <n v="0"/>
    <m/>
    <m/>
    <m/>
    <m/>
    <m/>
    <m/>
    <n v="0"/>
    <m/>
    <m/>
    <m/>
    <m/>
    <m/>
    <m/>
    <s v="AUD"/>
    <s v="13564640Waste Recycled - Cardboard [t]"/>
    <n v="13564640"/>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07-01T00:00:00"/>
    <s v="FY21"/>
    <s v="t"/>
    <n v="0.222"/>
    <n v="0"/>
    <n v="0"/>
    <n v="0.222"/>
    <n v="5"/>
    <n v="0"/>
    <n v="0"/>
    <n v="5"/>
    <n v="100"/>
    <n v="0"/>
    <n v="0"/>
    <s v="Consolidation"/>
    <s v="CO2e and Base Measure"/>
    <n v="100"/>
    <n v="100"/>
    <n v="0.22"/>
    <m/>
    <m/>
    <m/>
    <m/>
    <m/>
    <n v="0.28860000000000002"/>
    <m/>
    <n v="0.28860000000000002"/>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08-01T00:00:00"/>
    <s v="FY21"/>
    <s v="t"/>
    <n v="8.5999999999999993E-2"/>
    <n v="0"/>
    <n v="0"/>
    <n v="8.5999999999999993E-2"/>
    <n v="4"/>
    <n v="0"/>
    <n v="0"/>
    <n v="4"/>
    <n v="100"/>
    <n v="0"/>
    <n v="0"/>
    <s v="Consolidation"/>
    <s v="CO2e and Base Measure"/>
    <n v="100"/>
    <n v="100"/>
    <n v="0.09"/>
    <m/>
    <m/>
    <m/>
    <m/>
    <m/>
    <n v="0.1118"/>
    <m/>
    <n v="0.1118"/>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09-01T00:00:00"/>
    <s v="FY21"/>
    <s v="t"/>
    <n v="0.314"/>
    <n v="7.22E-2"/>
    <n v="0"/>
    <n v="0.38619999999999999"/>
    <n v="4"/>
    <n v="1"/>
    <n v="0"/>
    <n v="5"/>
    <n v="81.3"/>
    <n v="18.690000000000001"/>
    <n v="0"/>
    <s v="Consolidation"/>
    <s v="CO2e and Base Measure"/>
    <n v="100"/>
    <n v="100"/>
    <n v="0.39"/>
    <m/>
    <m/>
    <m/>
    <m/>
    <m/>
    <n v="0.50209999999999999"/>
    <m/>
    <n v="0.50209999999999999"/>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10-01T00:00:00"/>
    <s v="FY21"/>
    <s v="t"/>
    <n v="0.14599999999999999"/>
    <n v="0"/>
    <n v="0"/>
    <n v="0.14599999999999999"/>
    <n v="4"/>
    <n v="0"/>
    <n v="0"/>
    <n v="4"/>
    <n v="100"/>
    <n v="0"/>
    <n v="0"/>
    <s v="Consolidation"/>
    <s v="CO2e and Base Measure"/>
    <n v="100"/>
    <n v="100"/>
    <n v="0.15"/>
    <m/>
    <m/>
    <m/>
    <m/>
    <m/>
    <n v="0.1898"/>
    <m/>
    <n v="0.1898"/>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11-01T00:00:00"/>
    <s v="FY21"/>
    <s v="t"/>
    <n v="0.113"/>
    <n v="0"/>
    <n v="0"/>
    <n v="0.113"/>
    <n v="4"/>
    <n v="0"/>
    <n v="0"/>
    <n v="4"/>
    <n v="100"/>
    <n v="0"/>
    <n v="0"/>
    <s v="Consolidation"/>
    <s v="CO2e and Base Measure"/>
    <n v="100"/>
    <n v="100"/>
    <n v="0.11"/>
    <m/>
    <m/>
    <m/>
    <m/>
    <m/>
    <n v="0.1469"/>
    <m/>
    <n v="0.1469"/>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12-01T00:00:00"/>
    <s v="FY21"/>
    <s v="t"/>
    <n v="1.6E-2"/>
    <n v="0"/>
    <n v="0"/>
    <n v="1.6E-2"/>
    <n v="1"/>
    <n v="0"/>
    <n v="0"/>
    <n v="1"/>
    <n v="100"/>
    <n v="0"/>
    <n v="0"/>
    <s v="Consolidation"/>
    <s v="CO2e and Base Measure"/>
    <n v="100"/>
    <n v="100"/>
    <n v="0.02"/>
    <m/>
    <m/>
    <m/>
    <m/>
    <m/>
    <n v="2.0799999999999999E-2"/>
    <m/>
    <n v="2.0799999999999999E-2"/>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1-01-01T00:00:00"/>
    <s v="FY21"/>
    <s v="t"/>
    <n v="0"/>
    <n v="0"/>
    <n v="5.1000000000000004E-3"/>
    <n v="5.1000000000000004E-3"/>
    <n v="0"/>
    <n v="0"/>
    <n v="1"/>
    <n v="1"/>
    <n v="0"/>
    <n v="0"/>
    <n v="100"/>
    <s v="Consolidation"/>
    <s v="CO2e and Base Measure"/>
    <n v="100"/>
    <n v="100"/>
    <n v="0.01"/>
    <m/>
    <m/>
    <m/>
    <m/>
    <m/>
    <n v="6.6E-3"/>
    <m/>
    <n v="6.6E-3"/>
    <m/>
    <m/>
    <m/>
    <m/>
    <m/>
    <s v="AUD"/>
    <s v="13564641Waste - General [t] - Scope 3"/>
    <n v="1356464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0-12-01T00:00:00"/>
    <s v="FY21"/>
    <s v="t"/>
    <n v="0"/>
    <n v="9.9000000000000005E-2"/>
    <n v="0"/>
    <n v="9.9000000000000005E-2"/>
    <n v="0"/>
    <n v="2"/>
    <n v="0"/>
    <n v="2"/>
    <n v="0"/>
    <n v="100"/>
    <n v="0"/>
    <s v="Consolidation"/>
    <s v="CO2e and Base Measure"/>
    <n v="100"/>
    <n v="100"/>
    <n v="0.1"/>
    <m/>
    <m/>
    <m/>
    <m/>
    <m/>
    <n v="0.12870000000000001"/>
    <m/>
    <n v="0.12870000000000001"/>
    <m/>
    <m/>
    <m/>
    <m/>
    <m/>
    <s v="AUD"/>
    <s v="13634091Waste - General [t] - Scope 3"/>
    <n v="1363409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091Waste - General [t] - Scope 3"/>
    <n v="1363409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1-03-01T00:00:00"/>
    <s v="FY21"/>
    <s v="t"/>
    <n v="0"/>
    <n v="0.14849999999999999"/>
    <n v="0"/>
    <n v="0.14849999999999999"/>
    <n v="0"/>
    <n v="3"/>
    <n v="0"/>
    <n v="3"/>
    <n v="0"/>
    <n v="100"/>
    <n v="0"/>
    <s v="Consolidation"/>
    <s v="CO2e and Base Measure"/>
    <n v="100"/>
    <n v="100"/>
    <n v="0.15"/>
    <m/>
    <m/>
    <m/>
    <m/>
    <m/>
    <n v="0.19309999999999999"/>
    <m/>
    <n v="0.19309999999999999"/>
    <m/>
    <m/>
    <m/>
    <m/>
    <m/>
    <s v="AUD"/>
    <s v="13634091Waste - General [t] - Scope 3"/>
    <n v="1363409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1-04-01T00:00:00"/>
    <s v="FY21"/>
    <s v="t"/>
    <n v="0"/>
    <n v="0"/>
    <n v="7.4999999999999997E-2"/>
    <n v="7.4999999999999997E-2"/>
    <n v="0"/>
    <n v="0"/>
    <n v="30"/>
    <n v="30"/>
    <n v="0"/>
    <n v="0"/>
    <n v="100"/>
    <s v="Consolidation"/>
    <s v="CO2e and Base Measure"/>
    <n v="100"/>
    <n v="100"/>
    <n v="0.08"/>
    <m/>
    <m/>
    <m/>
    <m/>
    <m/>
    <n v="9.7500000000000003E-2"/>
    <m/>
    <n v="9.7500000000000003E-2"/>
    <m/>
    <m/>
    <m/>
    <m/>
    <m/>
    <s v="AUD"/>
    <s v="13634091Waste - General [t] - Scope 3"/>
    <n v="1363409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1-05-01T00:00:00"/>
    <s v="FY21"/>
    <s v="t"/>
    <n v="0"/>
    <n v="0"/>
    <n v="7.7499999999999999E-2"/>
    <n v="7.7499999999999999E-2"/>
    <n v="0"/>
    <n v="0"/>
    <n v="31"/>
    <n v="31"/>
    <n v="0"/>
    <n v="0"/>
    <n v="100"/>
    <s v="Consolidation"/>
    <s v="CO2e and Base Measure"/>
    <n v="100"/>
    <n v="100"/>
    <n v="0.08"/>
    <m/>
    <m/>
    <m/>
    <m/>
    <m/>
    <n v="0.1008"/>
    <m/>
    <n v="0.1008"/>
    <m/>
    <m/>
    <m/>
    <m/>
    <m/>
    <s v="AUD"/>
    <s v="13634091Waste - General [t] - Scope 3"/>
    <n v="13634091"/>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0-12-01T00:00:00"/>
    <s v="FY21"/>
    <s v="t"/>
    <n v="0"/>
    <n v="3.3000000000000002E-2"/>
    <n v="0"/>
    <n v="3.3000000000000002E-2"/>
    <n v="0"/>
    <n v="2"/>
    <n v="0"/>
    <n v="2"/>
    <n v="0"/>
    <n v="100"/>
    <n v="0"/>
    <s v="Consolidation"/>
    <s v="CO2e and Base Measure"/>
    <n v="100"/>
    <n v="100"/>
    <n v="0.03"/>
    <m/>
    <m/>
    <m/>
    <m/>
    <m/>
    <m/>
    <m/>
    <m/>
    <m/>
    <m/>
    <m/>
    <m/>
    <m/>
    <s v="AUD"/>
    <s v="13634092Waste Recycled - Paper and Cardboard [t]"/>
    <n v="13634092"/>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1-02-01T00:00:00"/>
    <s v="FY21"/>
    <s v="t"/>
    <n v="1.4999999999999999E-2"/>
    <n v="1.6500000000000001E-2"/>
    <n v="0"/>
    <n v="3.15E-2"/>
    <n v="1"/>
    <n v="1"/>
    <n v="0"/>
    <n v="2"/>
    <n v="47.61"/>
    <n v="52.38"/>
    <n v="0"/>
    <s v="Consolidation"/>
    <s v="CO2e and Base Measure"/>
    <n v="100"/>
    <n v="100"/>
    <n v="0.03"/>
    <m/>
    <m/>
    <m/>
    <m/>
    <m/>
    <m/>
    <m/>
    <m/>
    <m/>
    <m/>
    <m/>
    <m/>
    <m/>
    <s v="AUD"/>
    <s v="13634092Waste Recycled - Paper and Cardboard [t]"/>
    <n v="13634092"/>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1-03-01T00:00:00"/>
    <s v="FY21"/>
    <s v="t"/>
    <n v="0"/>
    <n v="4.9500000000000002E-2"/>
    <n v="0"/>
    <n v="4.9500000000000002E-2"/>
    <n v="0"/>
    <n v="3"/>
    <n v="0"/>
    <n v="3"/>
    <n v="0"/>
    <n v="100"/>
    <n v="0"/>
    <s v="Consolidation"/>
    <s v="CO2e and Base Measure"/>
    <n v="100"/>
    <n v="100"/>
    <n v="0.05"/>
    <m/>
    <m/>
    <m/>
    <m/>
    <m/>
    <m/>
    <m/>
    <m/>
    <m/>
    <m/>
    <m/>
    <m/>
    <m/>
    <s v="AUD"/>
    <s v="13634092Waste Recycled - Paper and Cardboard [t]"/>
    <n v="13634092"/>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1-04-01T00:00:00"/>
    <s v="FY21"/>
    <s v="t"/>
    <n v="0"/>
    <n v="0"/>
    <n v="2.7E-2"/>
    <n v="2.7E-2"/>
    <n v="0"/>
    <n v="0"/>
    <n v="30"/>
    <n v="30"/>
    <n v="0"/>
    <n v="0"/>
    <n v="100"/>
    <s v="Consolidation"/>
    <s v="CO2e and Base Measure"/>
    <n v="100"/>
    <n v="100"/>
    <n v="0.03"/>
    <m/>
    <m/>
    <m/>
    <m/>
    <m/>
    <m/>
    <m/>
    <m/>
    <m/>
    <m/>
    <m/>
    <m/>
    <m/>
    <s v="AUD"/>
    <s v="13634092Waste Recycled - Paper and Cardboard [t]"/>
    <n v="13634092"/>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1-05-01T00:00:00"/>
    <s v="FY21"/>
    <s v="t"/>
    <n v="0"/>
    <n v="0"/>
    <n v="2.7900000000000001E-2"/>
    <n v="2.7900000000000001E-2"/>
    <n v="0"/>
    <n v="0"/>
    <n v="31"/>
    <n v="31"/>
    <n v="0"/>
    <n v="0"/>
    <n v="100"/>
    <s v="Consolidation"/>
    <s v="CO2e and Base Measure"/>
    <n v="100"/>
    <n v="100"/>
    <n v="0.03"/>
    <m/>
    <m/>
    <m/>
    <m/>
    <m/>
    <m/>
    <m/>
    <m/>
    <m/>
    <m/>
    <m/>
    <m/>
    <m/>
    <s v="AUD"/>
    <s v="13634092Waste Recycled - Paper and Cardboard [t]"/>
    <n v="13634092"/>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07-01T00:00:00"/>
    <s v="FY21"/>
    <s v="t"/>
    <n v="9.1999999999999998E-2"/>
    <n v="0"/>
    <n v="0"/>
    <n v="9.1999999999999998E-2"/>
    <n v="1"/>
    <n v="0"/>
    <n v="0"/>
    <n v="1"/>
    <n v="100"/>
    <n v="0"/>
    <n v="0"/>
    <s v="Consolidation"/>
    <s v="CO2e and Base Measure"/>
    <n v="100"/>
    <n v="100"/>
    <n v="0.09"/>
    <m/>
    <m/>
    <m/>
    <m/>
    <m/>
    <n v="0.1196"/>
    <m/>
    <n v="0.1196"/>
    <m/>
    <m/>
    <m/>
    <m/>
    <m/>
    <s v="AUD"/>
    <s v="13564906Waste - General [t] - Scope 3"/>
    <n v="13564906"/>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08-01T00:00:00"/>
    <s v="FY21"/>
    <s v="t"/>
    <n v="0"/>
    <n v="0.433"/>
    <n v="0"/>
    <n v="0.433"/>
    <n v="0"/>
    <n v="2"/>
    <n v="0"/>
    <n v="2"/>
    <n v="0"/>
    <n v="100"/>
    <n v="0"/>
    <s v="Consolidation"/>
    <s v="CO2e and Base Measure"/>
    <n v="100"/>
    <n v="100"/>
    <n v="0.43"/>
    <m/>
    <m/>
    <m/>
    <m/>
    <m/>
    <n v="0.56289999999999996"/>
    <m/>
    <n v="0.56289999999999996"/>
    <m/>
    <m/>
    <m/>
    <m/>
    <m/>
    <s v="AUD"/>
    <s v="13564906Waste - General [t] - Scope 3"/>
    <n v="13564906"/>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10-01T00:00:00"/>
    <s v="FY21"/>
    <s v="t"/>
    <n v="0"/>
    <n v="0.433"/>
    <n v="0"/>
    <n v="0.433"/>
    <n v="0"/>
    <n v="2"/>
    <n v="0"/>
    <n v="2"/>
    <n v="0"/>
    <n v="100"/>
    <n v="0"/>
    <s v="Consolidation"/>
    <s v="CO2e and Base Measure"/>
    <n v="100"/>
    <n v="100"/>
    <n v="0.43"/>
    <m/>
    <m/>
    <m/>
    <m/>
    <m/>
    <n v="0.56289999999999996"/>
    <m/>
    <n v="0.56289999999999996"/>
    <m/>
    <m/>
    <m/>
    <m/>
    <m/>
    <s v="AUD"/>
    <s v="13564906Waste - General [t] - Scope 3"/>
    <n v="13564906"/>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11-01T00:00:00"/>
    <s v="FY21"/>
    <s v="t"/>
    <n v="0.28799999999999998"/>
    <n v="0.2165"/>
    <n v="0"/>
    <n v="0.50449999999999995"/>
    <n v="1"/>
    <n v="1"/>
    <n v="0"/>
    <n v="2"/>
    <n v="57.08"/>
    <n v="42.91"/>
    <n v="0"/>
    <s v="Consolidation"/>
    <s v="CO2e and Base Measure"/>
    <n v="100"/>
    <n v="100"/>
    <n v="0.5"/>
    <m/>
    <m/>
    <m/>
    <m/>
    <m/>
    <n v="0.65590000000000004"/>
    <m/>
    <n v="0.65590000000000004"/>
    <m/>
    <m/>
    <m/>
    <m/>
    <m/>
    <s v="AUD"/>
    <s v="13564906Waste - General [t] - Scope 3"/>
    <n v="13564906"/>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12-01T00:00:00"/>
    <s v="FY21"/>
    <s v="t"/>
    <n v="0"/>
    <n v="0"/>
    <n v="1.04E-2"/>
    <n v="1.04E-2"/>
    <n v="0"/>
    <n v="0"/>
    <n v="1"/>
    <n v="1"/>
    <n v="0"/>
    <n v="0"/>
    <n v="100"/>
    <s v="Consolidation"/>
    <s v="CO2e and Base Measure"/>
    <n v="100"/>
    <n v="100"/>
    <n v="0.01"/>
    <m/>
    <m/>
    <m/>
    <m/>
    <m/>
    <n v="1.35E-2"/>
    <m/>
    <n v="1.35E-2"/>
    <m/>
    <m/>
    <m/>
    <m/>
    <m/>
    <s v="AUD"/>
    <s v="13564906Waste - General [t] - Scope 3"/>
    <n v="13564906"/>
  </r>
  <r>
    <d v="2019-07-01T00:00:00"/>
    <d v="2021-06-30T00:00:00"/>
    <s v="Telstra"/>
    <s v="NETWORK"/>
    <s v="Network - InfraCo"/>
    <s v="VIC"/>
    <s v="Australia"/>
    <s v="St Albans"/>
    <s v="DEER PARK EXCHANGE"/>
    <n v="423030580700"/>
    <s v="Waste"/>
    <x v="1"/>
    <x v="2"/>
    <s v="Account"/>
    <s v="CLEANAWAY General"/>
    <m/>
    <s v="25558_Landfill_General"/>
    <s v="General"/>
    <s v="Cleanaway"/>
    <m/>
    <d v="2021-03-04T00:00:00"/>
    <m/>
    <d v="2021-03-01T00:00:00"/>
    <s v="FY21"/>
    <s v="t"/>
    <n v="0"/>
    <n v="0.19800000000000001"/>
    <n v="0"/>
    <n v="0.19800000000000001"/>
    <n v="0"/>
    <n v="1"/>
    <n v="0"/>
    <n v="1"/>
    <n v="0"/>
    <n v="100"/>
    <n v="0"/>
    <s v="Consolidation"/>
    <s v="CO2e and Base Measure"/>
    <n v="100"/>
    <n v="100"/>
    <n v="0.2"/>
    <m/>
    <m/>
    <m/>
    <m/>
    <m/>
    <n v="0.25740000000000002"/>
    <m/>
    <n v="0.25740000000000002"/>
    <m/>
    <m/>
    <m/>
    <m/>
    <m/>
    <s v="AUD"/>
    <s v="13641220Waste - General [t] - Scope 3"/>
    <n v="13641220"/>
  </r>
  <r>
    <d v="2019-07-01T00:00:00"/>
    <d v="2021-06-30T00:00:00"/>
    <s v="Telstra"/>
    <s v="NETWORK"/>
    <s v="Network - InfraCo"/>
    <s v="VIC"/>
    <s v="Australia"/>
    <s v="St Albans"/>
    <s v="DEER PARK EXCHANGE"/>
    <n v="423030580700"/>
    <s v="Waste"/>
    <x v="1"/>
    <x v="2"/>
    <s v="Account"/>
    <s v="CLEANAWAY General"/>
    <m/>
    <s v="25558_Landfill_General"/>
    <s v="General"/>
    <s v="Cleanaway"/>
    <m/>
    <d v="2021-03-04T00:00:00"/>
    <m/>
    <d v="2021-04-01T00:00:00"/>
    <s v="FY21"/>
    <s v="t"/>
    <n v="0"/>
    <n v="0"/>
    <n v="0.19800000000000001"/>
    <n v="0.19800000000000001"/>
    <n v="0"/>
    <n v="0"/>
    <n v="30"/>
    <n v="30"/>
    <n v="0"/>
    <n v="0"/>
    <n v="100"/>
    <s v="Consolidation"/>
    <s v="CO2e and Base Measure"/>
    <n v="100"/>
    <n v="100"/>
    <n v="0.2"/>
    <m/>
    <m/>
    <m/>
    <m/>
    <m/>
    <n v="0.25740000000000002"/>
    <m/>
    <n v="0.25740000000000002"/>
    <m/>
    <m/>
    <m/>
    <m/>
    <m/>
    <s v="AUD"/>
    <s v="13641220Waste - General [t] - Scope 3"/>
    <n v="13641220"/>
  </r>
  <r>
    <d v="2019-07-01T00:00:00"/>
    <d v="2021-06-30T00:00:00"/>
    <s v="Telstra"/>
    <s v="NETWORK"/>
    <s v="Network - InfraCo"/>
    <s v="VIC"/>
    <s v="Australia"/>
    <s v="St Albans"/>
    <s v="DEER PARK EXCHANGE"/>
    <n v="423030580700"/>
    <s v="Waste"/>
    <x v="1"/>
    <x v="2"/>
    <s v="Account"/>
    <s v="CLEANAWAY General"/>
    <m/>
    <s v="25558_Landfill_General"/>
    <s v="General"/>
    <s v="Cleanaway"/>
    <m/>
    <d v="2021-03-04T00:00:00"/>
    <m/>
    <d v="2021-05-01T00:00:00"/>
    <s v="FY21"/>
    <s v="t"/>
    <n v="0"/>
    <n v="0"/>
    <n v="0.2046"/>
    <n v="0.2046"/>
    <n v="0"/>
    <n v="0"/>
    <n v="31"/>
    <n v="31"/>
    <n v="0"/>
    <n v="0"/>
    <n v="100"/>
    <s v="Consolidation"/>
    <s v="CO2e and Base Measure"/>
    <n v="100"/>
    <n v="100"/>
    <n v="0.2"/>
    <m/>
    <m/>
    <m/>
    <m/>
    <m/>
    <n v="0.26600000000000001"/>
    <m/>
    <n v="0.26600000000000001"/>
    <m/>
    <m/>
    <m/>
    <m/>
    <m/>
    <s v="AUD"/>
    <s v="13641220Waste - General [t] - Scope 3"/>
    <n v="13641220"/>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07-01T00:00:00"/>
    <s v="FY21"/>
    <s v="t"/>
    <n v="1.03"/>
    <n v="0.56699999999999995"/>
    <n v="0"/>
    <n v="1.597"/>
    <n v="7"/>
    <n v="3"/>
    <n v="0"/>
    <n v="10"/>
    <n v="64.489999999999995"/>
    <n v="35.5"/>
    <n v="0"/>
    <s v="Consolidation"/>
    <s v="CO2e and Base Measure"/>
    <n v="100"/>
    <n v="100"/>
    <n v="1.6"/>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08-01T00:00:00"/>
    <s v="FY21"/>
    <s v="t"/>
    <n v="0.215"/>
    <n v="0"/>
    <n v="0"/>
    <n v="0.215"/>
    <n v="8"/>
    <n v="0"/>
    <n v="0"/>
    <n v="8"/>
    <n v="100"/>
    <n v="0"/>
    <n v="0"/>
    <s v="Consolidation"/>
    <s v="CO2e and Base Measure"/>
    <n v="100"/>
    <n v="100"/>
    <n v="0.22"/>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09-01T00:00:00"/>
    <s v="FY21"/>
    <s v="t"/>
    <n v="0.28999999999999998"/>
    <n v="0.126"/>
    <n v="0"/>
    <n v="0.41599999999999998"/>
    <n v="8"/>
    <n v="1"/>
    <n v="0"/>
    <n v="9"/>
    <n v="69.709999999999994"/>
    <n v="30.28"/>
    <n v="0"/>
    <s v="Consolidation"/>
    <s v="CO2e and Base Measure"/>
    <n v="100"/>
    <n v="100"/>
    <n v="0.42"/>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10-01T00:00:00"/>
    <s v="FY21"/>
    <s v="t"/>
    <n v="0.115"/>
    <n v="0.189"/>
    <n v="0"/>
    <n v="0.30399999999999999"/>
    <n v="8"/>
    <n v="1"/>
    <n v="0"/>
    <n v="9"/>
    <n v="37.82"/>
    <n v="62.17"/>
    <n v="0"/>
    <s v="Consolidation"/>
    <s v="CO2e and Base Measure"/>
    <n v="100"/>
    <n v="100"/>
    <n v="0.3"/>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11-01T00:00:00"/>
    <s v="FY21"/>
    <s v="t"/>
    <n v="0.41499999999999998"/>
    <n v="0"/>
    <n v="0"/>
    <n v="0.41499999999999998"/>
    <n v="8"/>
    <n v="0"/>
    <n v="0"/>
    <n v="8"/>
    <n v="100"/>
    <n v="0"/>
    <n v="0"/>
    <s v="Consolidation"/>
    <s v="CO2e and Base Measure"/>
    <n v="100"/>
    <n v="100"/>
    <n v="0.42"/>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12-01T00:00:00"/>
    <s v="FY21"/>
    <s v="t"/>
    <n v="0.08"/>
    <n v="0"/>
    <n v="0"/>
    <n v="0.08"/>
    <n v="2"/>
    <n v="0"/>
    <n v="0"/>
    <n v="2"/>
    <n v="100"/>
    <n v="0"/>
    <n v="0"/>
    <s v="Consolidation"/>
    <s v="CO2e and Base Measure"/>
    <n v="100"/>
    <n v="100"/>
    <n v="0.08"/>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1-01-01T00:00:00"/>
    <s v="FY21"/>
    <s v="t"/>
    <n v="0"/>
    <n v="0"/>
    <n v="1.83E-2"/>
    <n v="1.83E-2"/>
    <n v="0"/>
    <n v="0"/>
    <n v="1"/>
    <n v="1"/>
    <n v="0"/>
    <n v="0"/>
    <n v="100"/>
    <s v="Consolidation"/>
    <s v="CO2e and Base Measure"/>
    <n v="100"/>
    <n v="100"/>
    <n v="0.02"/>
    <m/>
    <m/>
    <m/>
    <m/>
    <m/>
    <m/>
    <n v="0"/>
    <m/>
    <m/>
    <m/>
    <m/>
    <m/>
    <m/>
    <s v="AUD"/>
    <s v="13565518Waste Recycled - Cardboard [t]"/>
    <n v="13565518"/>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07-01T00:00:00"/>
    <s v="FY21"/>
    <s v="t"/>
    <n v="2.4700000000000002"/>
    <n v="0"/>
    <n v="0"/>
    <n v="2.4700000000000002"/>
    <n v="14"/>
    <n v="0"/>
    <n v="0"/>
    <n v="14"/>
    <n v="100"/>
    <n v="0"/>
    <n v="0"/>
    <s v="Consolidation"/>
    <s v="CO2e and Base Measure"/>
    <n v="100"/>
    <n v="100"/>
    <n v="2.4700000000000002"/>
    <m/>
    <m/>
    <m/>
    <m/>
    <m/>
    <n v="3.2109999999999999"/>
    <m/>
    <n v="3.2109999999999999"/>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08-01T00:00:00"/>
    <s v="FY21"/>
    <s v="t"/>
    <n v="2.09"/>
    <n v="0"/>
    <n v="0"/>
    <n v="2.09"/>
    <n v="13"/>
    <n v="0"/>
    <n v="0"/>
    <n v="13"/>
    <n v="100"/>
    <n v="0"/>
    <n v="0"/>
    <s v="Consolidation"/>
    <s v="CO2e and Base Measure"/>
    <n v="100"/>
    <n v="100"/>
    <n v="2.09"/>
    <m/>
    <m/>
    <m/>
    <m/>
    <m/>
    <n v="2.7170000000000001"/>
    <m/>
    <n v="2.7170000000000001"/>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09-01T00:00:00"/>
    <s v="FY21"/>
    <s v="t"/>
    <n v="1.83"/>
    <n v="0"/>
    <n v="0"/>
    <n v="1.83"/>
    <n v="13"/>
    <n v="0"/>
    <n v="0"/>
    <n v="13"/>
    <n v="100"/>
    <n v="0"/>
    <n v="0"/>
    <s v="Consolidation"/>
    <s v="CO2e and Base Measure"/>
    <n v="100"/>
    <n v="100"/>
    <n v="1.83"/>
    <m/>
    <m/>
    <m/>
    <m/>
    <m/>
    <n v="2.379"/>
    <m/>
    <n v="2.379"/>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10-01T00:00:00"/>
    <s v="FY21"/>
    <s v="t"/>
    <n v="1.5"/>
    <n v="0"/>
    <n v="0"/>
    <n v="1.5"/>
    <n v="13"/>
    <n v="0"/>
    <n v="0"/>
    <n v="13"/>
    <n v="100"/>
    <n v="0"/>
    <n v="0"/>
    <s v="Consolidation"/>
    <s v="CO2e and Base Measure"/>
    <n v="100"/>
    <n v="100"/>
    <n v="1.5"/>
    <m/>
    <m/>
    <m/>
    <m/>
    <m/>
    <n v="1.95"/>
    <m/>
    <n v="1.95"/>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11-01T00:00:00"/>
    <s v="FY21"/>
    <s v="t"/>
    <n v="1.97"/>
    <n v="0"/>
    <n v="0"/>
    <n v="1.97"/>
    <n v="13"/>
    <n v="0"/>
    <n v="0"/>
    <n v="13"/>
    <n v="100"/>
    <n v="0"/>
    <n v="0"/>
    <s v="Consolidation"/>
    <s v="CO2e and Base Measure"/>
    <n v="100"/>
    <n v="100"/>
    <n v="1.97"/>
    <m/>
    <m/>
    <m/>
    <m/>
    <m/>
    <n v="2.5609999999999999"/>
    <m/>
    <n v="2.5609999999999999"/>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12-01T00:00:00"/>
    <s v="FY21"/>
    <s v="t"/>
    <n v="0.57999999999999996"/>
    <n v="1.17"/>
    <n v="0"/>
    <n v="1.75"/>
    <n v="3"/>
    <n v="2"/>
    <n v="0"/>
    <n v="5"/>
    <n v="33.14"/>
    <n v="66.849999999999994"/>
    <n v="0"/>
    <s v="Consolidation"/>
    <s v="CO2e and Base Measure"/>
    <n v="100"/>
    <n v="100"/>
    <n v="1.75"/>
    <m/>
    <m/>
    <m/>
    <m/>
    <m/>
    <n v="2.2749999999999999"/>
    <m/>
    <n v="2.2749999999999999"/>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1-01-01T00:00:00"/>
    <s v="FY21"/>
    <s v="t"/>
    <n v="0"/>
    <n v="0"/>
    <n v="6.4399999999999999E-2"/>
    <n v="6.4399999999999999E-2"/>
    <n v="0"/>
    <n v="0"/>
    <n v="1"/>
    <n v="1"/>
    <n v="0"/>
    <n v="0"/>
    <n v="100"/>
    <s v="Consolidation"/>
    <s v="CO2e and Base Measure"/>
    <n v="100"/>
    <n v="100"/>
    <n v="0.06"/>
    <m/>
    <m/>
    <m/>
    <m/>
    <m/>
    <n v="8.3699999999999997E-2"/>
    <m/>
    <n v="8.3699999999999997E-2"/>
    <m/>
    <m/>
    <m/>
    <m/>
    <m/>
    <s v="AUD"/>
    <s v="13565519Waste - General [t] - Scope 3"/>
    <n v="13565519"/>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0-11-01T00:00:00"/>
    <s v="FY21"/>
    <s v="t"/>
    <n v="0"/>
    <n v="0.27"/>
    <n v="0"/>
    <n v="0.27"/>
    <n v="0"/>
    <n v="1"/>
    <n v="0"/>
    <n v="1"/>
    <n v="0"/>
    <n v="100"/>
    <n v="0"/>
    <s v="Consolidation"/>
    <s v="CO2e and Base Measure"/>
    <n v="100"/>
    <n v="100"/>
    <n v="0.27"/>
    <m/>
    <m/>
    <m/>
    <m/>
    <m/>
    <n v="0.35099999999999998"/>
    <m/>
    <n v="0.35099999999999998"/>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0-12-01T00:00:00"/>
    <s v="FY21"/>
    <s v="t"/>
    <n v="0.94899999999999995"/>
    <n v="1.08"/>
    <n v="0"/>
    <n v="2.0289999999999999"/>
    <n v="7"/>
    <n v="4"/>
    <n v="0"/>
    <n v="11"/>
    <n v="46.77"/>
    <n v="53.22"/>
    <n v="0"/>
    <s v="Consolidation"/>
    <s v="CO2e and Base Measure"/>
    <n v="100"/>
    <n v="100"/>
    <n v="2.0299999999999998"/>
    <m/>
    <m/>
    <m/>
    <m/>
    <m/>
    <n v="2.6377000000000002"/>
    <m/>
    <n v="2.6377000000000002"/>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1-01T00:00:00"/>
    <s v="FY21"/>
    <s v="t"/>
    <n v="1.1240000000000001"/>
    <n v="1.08"/>
    <n v="0"/>
    <n v="2.2040000000000002"/>
    <n v="9"/>
    <n v="4"/>
    <n v="0"/>
    <n v="13"/>
    <n v="50.99"/>
    <n v="49"/>
    <n v="0"/>
    <s v="Consolidation"/>
    <s v="CO2e and Base Measure"/>
    <n v="100"/>
    <n v="100"/>
    <n v="2.2000000000000002"/>
    <m/>
    <m/>
    <m/>
    <m/>
    <m/>
    <n v="2.8652000000000002"/>
    <m/>
    <n v="2.8652000000000002"/>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2-01T00:00:00"/>
    <s v="FY21"/>
    <s v="t"/>
    <n v="1.8540000000000001"/>
    <n v="0"/>
    <n v="0"/>
    <n v="1.8540000000000001"/>
    <n v="12"/>
    <n v="0"/>
    <n v="0"/>
    <n v="12"/>
    <n v="100"/>
    <n v="0"/>
    <n v="0"/>
    <s v="Consolidation"/>
    <s v="CO2e and Base Measure"/>
    <n v="100"/>
    <n v="100"/>
    <n v="1.85"/>
    <m/>
    <m/>
    <m/>
    <m/>
    <m/>
    <n v="2.4102000000000001"/>
    <m/>
    <n v="2.4102000000000001"/>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3-01T00:00:00"/>
    <s v="FY21"/>
    <s v="t"/>
    <n v="2.6480000000000001"/>
    <n v="0.27"/>
    <n v="0"/>
    <n v="2.9180000000000001"/>
    <n v="13"/>
    <n v="1"/>
    <n v="0"/>
    <n v="14"/>
    <n v="90.74"/>
    <n v="9.25"/>
    <n v="0"/>
    <s v="Consolidation"/>
    <s v="CO2e and Base Measure"/>
    <n v="100"/>
    <n v="100"/>
    <n v="2.92"/>
    <m/>
    <m/>
    <m/>
    <m/>
    <m/>
    <n v="3.7934000000000001"/>
    <m/>
    <n v="3.7934000000000001"/>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4-01T00:00:00"/>
    <s v="FY21"/>
    <s v="t"/>
    <n v="0"/>
    <n v="0"/>
    <n v="1.8540000000000001"/>
    <n v="1.8540000000000001"/>
    <n v="0"/>
    <n v="0"/>
    <n v="30"/>
    <n v="30"/>
    <n v="0"/>
    <n v="0"/>
    <n v="100"/>
    <s v="Consolidation"/>
    <s v="CO2e and Base Measure"/>
    <n v="100"/>
    <n v="100"/>
    <n v="1.85"/>
    <m/>
    <m/>
    <m/>
    <m/>
    <m/>
    <n v="2.4102000000000001"/>
    <m/>
    <n v="2.4102000000000001"/>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5-01T00:00:00"/>
    <s v="FY21"/>
    <s v="t"/>
    <n v="0"/>
    <n v="0"/>
    <n v="1.9157999999999999"/>
    <n v="1.9157999999999999"/>
    <n v="0"/>
    <n v="0"/>
    <n v="31"/>
    <n v="31"/>
    <n v="0"/>
    <n v="0"/>
    <n v="100"/>
    <s v="Consolidation"/>
    <s v="CO2e and Base Measure"/>
    <n v="100"/>
    <n v="100"/>
    <n v="1.92"/>
    <m/>
    <m/>
    <m/>
    <m/>
    <m/>
    <n v="2.4904999999999999"/>
    <m/>
    <n v="2.4904999999999999"/>
    <m/>
    <m/>
    <m/>
    <m/>
    <m/>
    <s v="AUD"/>
    <s v="13634003Waste - General [t] - Scope 3"/>
    <n v="13634003"/>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0-12-01T00:00:00"/>
    <s v="FY21"/>
    <s v="t"/>
    <n v="0.315"/>
    <n v="0.375"/>
    <n v="0"/>
    <n v="0.69"/>
    <n v="7"/>
    <n v="3"/>
    <n v="0"/>
    <n v="10"/>
    <n v="45.65"/>
    <n v="54.34"/>
    <n v="0"/>
    <s v="Consolidation"/>
    <s v="CO2e and Base Measure"/>
    <n v="100"/>
    <n v="100"/>
    <n v="0.69"/>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1-01T00:00:00"/>
    <s v="FY21"/>
    <s v="t"/>
    <n v="0.35699999999999998"/>
    <n v="1.05"/>
    <n v="0"/>
    <n v="1.407"/>
    <n v="6"/>
    <n v="6"/>
    <n v="0"/>
    <n v="12"/>
    <n v="25.37"/>
    <n v="74.62"/>
    <n v="0"/>
    <s v="Consolidation"/>
    <s v="CO2e and Base Measure"/>
    <n v="100"/>
    <n v="100"/>
    <n v="1.41"/>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2-01T00:00:00"/>
    <s v="FY21"/>
    <s v="t"/>
    <n v="0.254"/>
    <n v="0.97499999999999998"/>
    <n v="0"/>
    <n v="1.2290000000000001"/>
    <n v="5"/>
    <n v="6"/>
    <n v="0"/>
    <n v="11"/>
    <n v="20.66"/>
    <n v="79.33"/>
    <n v="0"/>
    <s v="Consolidation"/>
    <s v="CO2e and Base Measure"/>
    <n v="100"/>
    <n v="100"/>
    <n v="1.23"/>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3-01T00:00:00"/>
    <s v="FY21"/>
    <s v="t"/>
    <n v="0"/>
    <n v="1.2"/>
    <n v="0"/>
    <n v="1.2"/>
    <n v="0"/>
    <n v="10"/>
    <n v="0"/>
    <n v="10"/>
    <n v="0"/>
    <n v="100"/>
    <n v="0"/>
    <s v="Consolidation"/>
    <s v="CO2e and Base Measure"/>
    <n v="100"/>
    <n v="100"/>
    <n v="1.2"/>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4-01T00:00:00"/>
    <s v="FY21"/>
    <s v="t"/>
    <n v="0"/>
    <n v="0"/>
    <n v="1.131"/>
    <n v="1.131"/>
    <n v="0"/>
    <n v="0"/>
    <n v="30"/>
    <n v="30"/>
    <n v="0"/>
    <n v="0"/>
    <n v="100"/>
    <s v="Consolidation"/>
    <s v="CO2e and Base Measure"/>
    <n v="100"/>
    <n v="100"/>
    <n v="1.1299999999999999"/>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5-01T00:00:00"/>
    <s v="FY21"/>
    <s v="t"/>
    <n v="0"/>
    <n v="0"/>
    <n v="1.1687000000000001"/>
    <n v="1.1687000000000001"/>
    <n v="0"/>
    <n v="0"/>
    <n v="31"/>
    <n v="31"/>
    <n v="0"/>
    <n v="0"/>
    <n v="100"/>
    <s v="Consolidation"/>
    <s v="CO2e and Base Measure"/>
    <n v="100"/>
    <n v="100"/>
    <n v="1.17"/>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07-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08-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09-01T00:00:00"/>
    <s v="FY21"/>
    <s v="t"/>
    <n v="0"/>
    <n v="4.8999999999999998E-3"/>
    <n v="0"/>
    <n v="4.8999999999999998E-3"/>
    <n v="0"/>
    <n v="30"/>
    <n v="0"/>
    <n v="30"/>
    <n v="0"/>
    <n v="100"/>
    <n v="0"/>
    <s v="Consolidation"/>
    <s v="CO2e and Base Measure"/>
    <n v="100"/>
    <n v="100"/>
    <n v="0"/>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10-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11-01T00:00:00"/>
    <s v="FY21"/>
    <s v="t"/>
    <n v="0"/>
    <n v="4.8999999999999998E-3"/>
    <n v="0"/>
    <n v="4.8999999999999998E-3"/>
    <n v="0"/>
    <n v="30"/>
    <n v="0"/>
    <n v="30"/>
    <n v="0"/>
    <n v="100"/>
    <n v="0"/>
    <s v="Consolidation"/>
    <s v="CO2e and Base Measure"/>
    <n v="100"/>
    <n v="100"/>
    <n v="0"/>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12-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1-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2-01T00:00:00"/>
    <s v="FY21"/>
    <s v="t"/>
    <n v="0"/>
    <n v="4.5999999999999999E-3"/>
    <n v="0"/>
    <n v="4.5999999999999999E-3"/>
    <n v="0"/>
    <n v="28"/>
    <n v="0"/>
    <n v="28"/>
    <n v="0"/>
    <n v="100"/>
    <n v="0"/>
    <s v="Consolidation"/>
    <s v="CO2e and Base Measure"/>
    <n v="100"/>
    <n v="100"/>
    <n v="0"/>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3-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4-01T00:00:00"/>
    <s v="FY21"/>
    <s v="t"/>
    <n v="0"/>
    <n v="4.8999999999999998E-3"/>
    <n v="0"/>
    <n v="4.8999999999999998E-3"/>
    <n v="0"/>
    <n v="30"/>
    <n v="0"/>
    <n v="30"/>
    <n v="0"/>
    <n v="100"/>
    <n v="0"/>
    <s v="Consolidation"/>
    <s v="CO2e and Base Measure"/>
    <n v="100"/>
    <n v="100"/>
    <n v="0"/>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5-01T00:00:00"/>
    <s v="FY21"/>
    <s v="t"/>
    <n v="0"/>
    <n v="0"/>
    <n v="6.1999999999999998E-3"/>
    <n v="6.1999999999999998E-3"/>
    <n v="0"/>
    <n v="0"/>
    <n v="31"/>
    <n v="31"/>
    <n v="0"/>
    <n v="0"/>
    <n v="100"/>
    <s v="Consolidation"/>
    <s v="CO2e and Base Measure"/>
    <n v="100"/>
    <n v="100"/>
    <n v="0.01"/>
    <m/>
    <m/>
    <m/>
    <m/>
    <m/>
    <m/>
    <m/>
    <m/>
    <m/>
    <m/>
    <m/>
    <m/>
    <m/>
    <s v="AUD"/>
    <s v="13644545Waste Recycled - E-waste [t]"/>
    <n v="13644545"/>
  </r>
  <r>
    <d v="2019-07-01T00:00:00"/>
    <d v="2021-06-30T00:00:00"/>
    <s v="Telstra"/>
    <s v="NON-NETWORK"/>
    <s v="NON-NETWORK"/>
    <s v="NSW"/>
    <s v="Australia"/>
    <s v="Deniliquin"/>
    <s v="Deniliquin 161-165 Kelly St"/>
    <n v="423030345700"/>
    <s v="Recycled Waste"/>
    <x v="0"/>
    <x v="1"/>
    <s v="Account"/>
    <s v="Remondis Electrical Comp. (E-Waste)"/>
    <m/>
    <s v="423030345700_RELECTRIC"/>
    <s v="ELECTRICAL COMP. E-WASTE"/>
    <s v="Remondis"/>
    <m/>
    <m/>
    <d v="2021-01-01T00:00:00"/>
    <d v="2020-12-01T00:00:00"/>
    <s v="FY21"/>
    <s v="t"/>
    <n v="0"/>
    <n v="0.38"/>
    <n v="0"/>
    <n v="0.38"/>
    <n v="0"/>
    <n v="1"/>
    <n v="0"/>
    <n v="1"/>
    <n v="0"/>
    <n v="100"/>
    <n v="0"/>
    <s v="Consolidation"/>
    <s v="CO2e and Base Measure"/>
    <n v="100"/>
    <n v="100"/>
    <n v="0.38"/>
    <m/>
    <m/>
    <m/>
    <m/>
    <m/>
    <m/>
    <m/>
    <m/>
    <m/>
    <m/>
    <m/>
    <m/>
    <m/>
    <s v="AUD"/>
    <s v="13564650Waste Recycled - E-waste [t]"/>
    <n v="13564650"/>
  </r>
  <r>
    <d v="2019-07-01T00:00:00"/>
    <d v="2021-06-30T00:00:00"/>
    <s v="Telstra"/>
    <s v="NON-NETWORK"/>
    <s v="NON-NETWORK"/>
    <s v="NSW"/>
    <s v="Australia"/>
    <s v="Deniliquin"/>
    <s v="Deniliquin 161-165 Kelly St"/>
    <n v="423030345700"/>
    <s v="Recycled Waste"/>
    <x v="0"/>
    <x v="1"/>
    <s v="Account"/>
    <s v="Remondis Electrical Comp. (E-Waste)"/>
    <m/>
    <s v="423030345700_RELECTRIC"/>
    <s v="ELECTRICAL COMP. E-WASTE"/>
    <s v="Remondis"/>
    <m/>
    <m/>
    <d v="2021-01-01T00:00:00"/>
    <d v="2021-01-01T00:00:00"/>
    <s v="FY21"/>
    <s v="t"/>
    <n v="0"/>
    <n v="0"/>
    <n v="1.2699999999999999E-2"/>
    <n v="1.2699999999999999E-2"/>
    <n v="0"/>
    <n v="0"/>
    <n v="1"/>
    <n v="1"/>
    <n v="0"/>
    <n v="0"/>
    <n v="100"/>
    <s v="Consolidation"/>
    <s v="CO2e and Base Measure"/>
    <n v="100"/>
    <n v="100"/>
    <n v="0.01"/>
    <m/>
    <m/>
    <m/>
    <m/>
    <m/>
    <m/>
    <m/>
    <m/>
    <m/>
    <m/>
    <m/>
    <m/>
    <m/>
    <s v="AUD"/>
    <s v="13564650Waste Recycled - E-waste [t]"/>
    <n v="13564650"/>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1-01T00:00:00"/>
    <s v="FY21"/>
    <s v="t"/>
    <n v="0"/>
    <n v="0"/>
    <n v="0.13950000000000001"/>
    <n v="0.13950000000000001"/>
    <n v="0"/>
    <n v="0"/>
    <n v="31"/>
    <n v="31"/>
    <n v="0"/>
    <n v="0"/>
    <n v="100"/>
    <s v="Consolidation"/>
    <s v="CO2e and Base Measure"/>
    <n v="100"/>
    <n v="100"/>
    <n v="0.14000000000000001"/>
    <m/>
    <m/>
    <m/>
    <m/>
    <m/>
    <n v="0.18140000000000001"/>
    <m/>
    <n v="0.18140000000000001"/>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2-01T00:00:00"/>
    <s v="FY21"/>
    <s v="t"/>
    <n v="0"/>
    <n v="0"/>
    <n v="0.126"/>
    <n v="0.126"/>
    <n v="0"/>
    <n v="0"/>
    <n v="28"/>
    <n v="28"/>
    <n v="0"/>
    <n v="0"/>
    <n v="100"/>
    <s v="Consolidation"/>
    <s v="CO2e and Base Measure"/>
    <n v="100"/>
    <n v="100"/>
    <n v="0.13"/>
    <m/>
    <m/>
    <m/>
    <m/>
    <m/>
    <n v="0.1638"/>
    <m/>
    <n v="0.1638"/>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411Waste - General [t] - Scope 3"/>
    <n v="13634411"/>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0-12-01T00:00:00"/>
    <s v="FY21"/>
    <s v="t"/>
    <n v="0.16500000000000001"/>
    <n v="0"/>
    <n v="0"/>
    <n v="0.16500000000000001"/>
    <n v="1"/>
    <n v="0"/>
    <n v="0"/>
    <n v="1"/>
    <n v="100"/>
    <n v="0"/>
    <n v="0"/>
    <s v="Consolidation"/>
    <s v="CO2e and Base Measure"/>
    <n v="100"/>
    <n v="100"/>
    <n v="0.17"/>
    <m/>
    <m/>
    <m/>
    <m/>
    <m/>
    <n v="0.2145"/>
    <m/>
    <n v="0.2145"/>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1-01T00:00:00"/>
    <s v="FY21"/>
    <s v="t"/>
    <n v="0.06"/>
    <n v="0"/>
    <n v="0"/>
    <n v="0.06"/>
    <n v="1"/>
    <n v="0"/>
    <n v="0"/>
    <n v="1"/>
    <n v="100"/>
    <n v="0"/>
    <n v="0"/>
    <s v="Consolidation"/>
    <s v="CO2e and Base Measure"/>
    <n v="100"/>
    <n v="100"/>
    <n v="0.06"/>
    <m/>
    <m/>
    <m/>
    <m/>
    <m/>
    <n v="7.8E-2"/>
    <m/>
    <n v="7.8E-2"/>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2-01T00:00:00"/>
    <s v="FY21"/>
    <s v="t"/>
    <n v="0.73399999999999999"/>
    <n v="0"/>
    <n v="0"/>
    <n v="0.73399999999999999"/>
    <n v="3"/>
    <n v="0"/>
    <n v="0"/>
    <n v="3"/>
    <n v="100"/>
    <n v="0"/>
    <n v="0"/>
    <s v="Consolidation"/>
    <s v="CO2e and Base Measure"/>
    <n v="100"/>
    <n v="100"/>
    <n v="0.73"/>
    <m/>
    <m/>
    <m/>
    <m/>
    <m/>
    <n v="0.95420000000000005"/>
    <m/>
    <n v="0.95420000000000005"/>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3-01T00:00:00"/>
    <s v="FY21"/>
    <s v="t"/>
    <n v="0"/>
    <n v="0"/>
    <n v="0.33479999999999999"/>
    <n v="0.33479999999999999"/>
    <n v="0"/>
    <n v="0"/>
    <n v="31"/>
    <n v="31"/>
    <n v="0"/>
    <n v="0"/>
    <n v="100"/>
    <s v="Consolidation"/>
    <s v="CO2e and Base Measure"/>
    <n v="100"/>
    <n v="100"/>
    <n v="0.33"/>
    <m/>
    <m/>
    <m/>
    <m/>
    <m/>
    <n v="0.43519999999999998"/>
    <m/>
    <n v="0.43519999999999998"/>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4-01T00:00:00"/>
    <s v="FY21"/>
    <s v="t"/>
    <n v="0"/>
    <n v="0"/>
    <n v="0.32400000000000001"/>
    <n v="0.32400000000000001"/>
    <n v="0"/>
    <n v="0"/>
    <n v="30"/>
    <n v="30"/>
    <n v="0"/>
    <n v="0"/>
    <n v="100"/>
    <s v="Consolidation"/>
    <s v="CO2e and Base Measure"/>
    <n v="100"/>
    <n v="100"/>
    <n v="0.32"/>
    <m/>
    <m/>
    <m/>
    <m/>
    <m/>
    <n v="0.42120000000000002"/>
    <m/>
    <n v="0.42120000000000002"/>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5-01T00:00:00"/>
    <s v="FY21"/>
    <s v="t"/>
    <n v="0"/>
    <n v="0"/>
    <n v="0.33479999999999999"/>
    <n v="0.33479999999999999"/>
    <n v="0"/>
    <n v="0"/>
    <n v="31"/>
    <n v="31"/>
    <n v="0"/>
    <n v="0"/>
    <n v="100"/>
    <s v="Consolidation"/>
    <s v="CO2e and Base Measure"/>
    <n v="100"/>
    <n v="100"/>
    <n v="0.33"/>
    <m/>
    <m/>
    <m/>
    <m/>
    <m/>
    <n v="0.43519999999999998"/>
    <m/>
    <n v="0.43519999999999998"/>
    <m/>
    <m/>
    <m/>
    <m/>
    <m/>
    <s v="AUD"/>
    <s v="13634352Waste - General [t] - Scope 3"/>
    <n v="13634352"/>
  </r>
  <r>
    <d v="2019-07-01T00:00:00"/>
    <d v="2021-06-30T00:00:00"/>
    <s v="Telstra"/>
    <s v="NON-NETWORK"/>
    <s v="NON-NETWORK"/>
    <s v="NSW"/>
    <s v="Australia"/>
    <s v="Toormina"/>
    <s v="DEPOT TOORMINA COFFS HARBOUR"/>
    <n v="423030337000"/>
    <s v="Waste"/>
    <x v="1"/>
    <x v="4"/>
    <s v="Account"/>
    <s v="Remondis Asbestos"/>
    <m/>
    <s v="423030337000_WASBESTOS"/>
    <s v="ASBESTOS"/>
    <s v="Remondis"/>
    <m/>
    <m/>
    <d v="2021-01-01T00:00:00"/>
    <d v="2020-07-01T00:00:00"/>
    <s v="FY21"/>
    <s v="t"/>
    <n v="0.68"/>
    <n v="0"/>
    <n v="0"/>
    <n v="0.68"/>
    <n v="1"/>
    <n v="0"/>
    <n v="0"/>
    <n v="1"/>
    <n v="100"/>
    <n v="0"/>
    <n v="0"/>
    <s v="Consolidation"/>
    <s v="CO2e and Base Measure"/>
    <n v="100"/>
    <n v="100"/>
    <n v="0.68"/>
    <m/>
    <m/>
    <m/>
    <m/>
    <m/>
    <n v="0.81599999999999995"/>
    <m/>
    <n v="0.81599999999999995"/>
    <m/>
    <m/>
    <m/>
    <m/>
    <m/>
    <s v="AUD"/>
    <s v="13564615Waste - Construction and Demolition [t]"/>
    <n v="13564615"/>
  </r>
  <r>
    <d v="2019-07-01T00:00:00"/>
    <d v="2021-06-30T00:00:00"/>
    <s v="Telstra"/>
    <s v="NON-NETWORK"/>
    <s v="NON-NETWORK"/>
    <s v="NSW"/>
    <s v="Australia"/>
    <s v="Toormina"/>
    <s v="DEPOT TOORMINA COFFS HARBOUR"/>
    <n v="423030337000"/>
    <s v="Waste"/>
    <x v="1"/>
    <x v="4"/>
    <s v="Account"/>
    <s v="Remondis Asbestos"/>
    <m/>
    <s v="423030337000_WASBESTOS"/>
    <s v="ASBESTOS"/>
    <s v="Remondis"/>
    <m/>
    <m/>
    <d v="2021-01-01T00:00:00"/>
    <d v="2020-08-01T00:00:00"/>
    <s v="FY21"/>
    <s v="t"/>
    <n v="0.66"/>
    <n v="0"/>
    <n v="0"/>
    <n v="0.66"/>
    <n v="1"/>
    <n v="0"/>
    <n v="0"/>
    <n v="1"/>
    <n v="100"/>
    <n v="0"/>
    <n v="0"/>
    <s v="Consolidation"/>
    <s v="CO2e and Base Measure"/>
    <n v="100"/>
    <n v="100"/>
    <n v="0.66"/>
    <m/>
    <m/>
    <m/>
    <m/>
    <m/>
    <n v="0.79200000000000004"/>
    <m/>
    <n v="0.79200000000000004"/>
    <m/>
    <m/>
    <m/>
    <m/>
    <m/>
    <s v="AUD"/>
    <s v="13564615Waste - Construction and Demolition [t]"/>
    <n v="13564615"/>
  </r>
  <r>
    <d v="2019-07-01T00:00:00"/>
    <d v="2021-06-30T00:00:00"/>
    <s v="Telstra"/>
    <s v="NON-NETWORK"/>
    <s v="NON-NETWORK"/>
    <s v="NSW"/>
    <s v="Australia"/>
    <s v="Toormina"/>
    <s v="DEPOT TOORMINA COFFS HARBOUR"/>
    <n v="423030337000"/>
    <s v="Waste"/>
    <x v="1"/>
    <x v="4"/>
    <s v="Account"/>
    <s v="Remondis Asbestos"/>
    <m/>
    <s v="423030337000_WASBESTOS"/>
    <s v="ASBESTOS"/>
    <s v="Remondis"/>
    <m/>
    <m/>
    <d v="2021-01-01T00:00:00"/>
    <d v="2020-12-01T00:00:00"/>
    <s v="FY21"/>
    <s v="t"/>
    <n v="0.16"/>
    <n v="0"/>
    <n v="0"/>
    <n v="0.16"/>
    <n v="1"/>
    <n v="0"/>
    <n v="0"/>
    <n v="1"/>
    <n v="100"/>
    <n v="0"/>
    <n v="0"/>
    <s v="Consolidation"/>
    <s v="CO2e and Base Measure"/>
    <n v="100"/>
    <n v="100"/>
    <n v="0.16"/>
    <m/>
    <m/>
    <m/>
    <m/>
    <m/>
    <n v="0.192"/>
    <m/>
    <n v="0.192"/>
    <m/>
    <m/>
    <m/>
    <m/>
    <m/>
    <s v="AUD"/>
    <s v="13564615Waste - Construction and Demolition [t]"/>
    <n v="13564615"/>
  </r>
  <r>
    <d v="2019-07-01T00:00:00"/>
    <d v="2021-06-30T00:00:00"/>
    <s v="Telstra"/>
    <s v="NON-NETWORK"/>
    <s v="NON-NETWORK"/>
    <s v="NSW"/>
    <s v="Australia"/>
    <s v="Toormina"/>
    <s v="DEPOT TOORMINA COFFS HARBOUR"/>
    <n v="423030337000"/>
    <s v="Waste"/>
    <x v="1"/>
    <x v="4"/>
    <s v="Account"/>
    <s v="Remondis Asbestos"/>
    <m/>
    <s v="423030337000_WASBESTOS"/>
    <s v="ASBESTOS"/>
    <s v="Remondis"/>
    <m/>
    <m/>
    <d v="2021-01-01T00:00:00"/>
    <d v="2021-01-01T00:00:00"/>
    <s v="FY21"/>
    <s v="t"/>
    <n v="0"/>
    <n v="0"/>
    <n v="8.2000000000000007E-3"/>
    <n v="8.2000000000000007E-3"/>
    <n v="0"/>
    <n v="0"/>
    <n v="1"/>
    <n v="1"/>
    <n v="0"/>
    <n v="0"/>
    <n v="100"/>
    <s v="Consolidation"/>
    <s v="CO2e and Base Measure"/>
    <n v="100"/>
    <n v="100"/>
    <n v="0.01"/>
    <m/>
    <m/>
    <m/>
    <m/>
    <m/>
    <n v="9.7999999999999997E-3"/>
    <m/>
    <n v="9.7999999999999997E-3"/>
    <m/>
    <m/>
    <m/>
    <m/>
    <m/>
    <s v="AUD"/>
    <s v="13564615Waste - Construction and Demolition [t]"/>
    <n v="13564615"/>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08-01T00:00:00"/>
    <s v="FY21"/>
    <s v="t"/>
    <n v="0"/>
    <n v="0.252"/>
    <n v="0"/>
    <n v="0.252"/>
    <n v="0"/>
    <n v="4"/>
    <n v="0"/>
    <n v="4"/>
    <n v="0"/>
    <n v="100"/>
    <n v="0"/>
    <s v="Consolidation"/>
    <s v="CO2e and Base Measure"/>
    <n v="100"/>
    <n v="100"/>
    <n v="0.25"/>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09-01T00:00:00"/>
    <s v="FY21"/>
    <s v="t"/>
    <n v="0"/>
    <n v="0.252"/>
    <n v="0"/>
    <n v="0.252"/>
    <n v="0"/>
    <n v="4"/>
    <n v="0"/>
    <n v="4"/>
    <n v="0"/>
    <n v="100"/>
    <n v="0"/>
    <s v="Consolidation"/>
    <s v="CO2e and Base Measure"/>
    <n v="100"/>
    <n v="100"/>
    <n v="0.25"/>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1-01-01T00:00:00"/>
    <s v="FY21"/>
    <s v="t"/>
    <n v="0"/>
    <n v="0"/>
    <n v="3.8E-3"/>
    <n v="3.8E-3"/>
    <n v="0"/>
    <n v="0"/>
    <n v="1"/>
    <n v="1"/>
    <n v="0"/>
    <n v="0"/>
    <n v="100"/>
    <s v="Consolidation"/>
    <s v="CO2e and Base Measure"/>
    <n v="100"/>
    <n v="100"/>
    <n v="0"/>
    <m/>
    <m/>
    <m/>
    <m/>
    <m/>
    <m/>
    <n v="0"/>
    <m/>
    <m/>
    <m/>
    <m/>
    <m/>
    <m/>
    <s v="AUD"/>
    <s v="13564616Waste Recycled - Cardboard [t]"/>
    <n v="13564616"/>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07-01T00:00:00"/>
    <s v="FY21"/>
    <s v="t"/>
    <n v="0"/>
    <n v="0.78"/>
    <n v="0"/>
    <n v="0.78"/>
    <n v="0"/>
    <n v="4"/>
    <n v="0"/>
    <n v="4"/>
    <n v="0"/>
    <n v="100"/>
    <n v="0"/>
    <s v="Consolidation"/>
    <s v="CO2e and Base Measure"/>
    <n v="100"/>
    <n v="100"/>
    <n v="0.78"/>
    <m/>
    <m/>
    <m/>
    <m/>
    <m/>
    <n v="1.014"/>
    <m/>
    <n v="1.014"/>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08-01T00:00:00"/>
    <s v="FY21"/>
    <s v="t"/>
    <n v="0"/>
    <n v="0.78"/>
    <n v="0"/>
    <n v="0.78"/>
    <n v="0"/>
    <n v="4"/>
    <n v="0"/>
    <n v="4"/>
    <n v="0"/>
    <n v="100"/>
    <n v="0"/>
    <s v="Consolidation"/>
    <s v="CO2e and Base Measure"/>
    <n v="100"/>
    <n v="100"/>
    <n v="0.78"/>
    <m/>
    <m/>
    <m/>
    <m/>
    <m/>
    <n v="1.014"/>
    <m/>
    <n v="1.014"/>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10-01T00:00:00"/>
    <s v="FY21"/>
    <s v="t"/>
    <n v="0"/>
    <n v="0.78"/>
    <n v="0"/>
    <n v="0.78"/>
    <n v="0"/>
    <n v="4"/>
    <n v="0"/>
    <n v="4"/>
    <n v="0"/>
    <n v="100"/>
    <n v="0"/>
    <s v="Consolidation"/>
    <s v="CO2e and Base Measure"/>
    <n v="100"/>
    <n v="100"/>
    <n v="0.78"/>
    <m/>
    <m/>
    <m/>
    <m/>
    <m/>
    <n v="1.014"/>
    <m/>
    <n v="1.014"/>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11-01T00:00:00"/>
    <s v="FY21"/>
    <s v="t"/>
    <n v="0"/>
    <n v="0.97499999999999998"/>
    <n v="0"/>
    <n v="0.97499999999999998"/>
    <n v="0"/>
    <n v="5"/>
    <n v="0"/>
    <n v="5"/>
    <n v="0"/>
    <n v="100"/>
    <n v="0"/>
    <s v="Consolidation"/>
    <s v="CO2e and Base Measure"/>
    <n v="100"/>
    <n v="100"/>
    <n v="0.98"/>
    <m/>
    <m/>
    <m/>
    <m/>
    <m/>
    <n v="1.2675000000000001"/>
    <m/>
    <n v="1.2675000000000001"/>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1-01-01T00:00:00"/>
    <s v="FY21"/>
    <s v="t"/>
    <n v="0"/>
    <n v="0"/>
    <n v="2.3800000000000002E-2"/>
    <n v="2.3800000000000002E-2"/>
    <n v="0"/>
    <n v="0"/>
    <n v="1"/>
    <n v="1"/>
    <n v="0"/>
    <n v="0"/>
    <n v="100"/>
    <s v="Consolidation"/>
    <s v="CO2e and Base Measure"/>
    <n v="100"/>
    <n v="100"/>
    <n v="0.02"/>
    <m/>
    <m/>
    <m/>
    <m/>
    <m/>
    <n v="3.09E-2"/>
    <m/>
    <n v="3.09E-2"/>
    <m/>
    <m/>
    <m/>
    <m/>
    <m/>
    <s v="AUD"/>
    <s v="13564617Waste - General [t] - Scope 3"/>
    <n v="13564617"/>
  </r>
  <r>
    <d v="2019-07-01T00:00:00"/>
    <d v="2021-06-30T00:00:00"/>
    <s v="Telstra"/>
    <s v="NETWORK"/>
    <s v="Network - Telstra/InfraCo Split"/>
    <s v="WA"/>
    <s v="Australia"/>
    <s v="Bendigo"/>
    <s v="DERBY - OLD"/>
    <n v="423030867700"/>
    <s v="Waste"/>
    <x v="1"/>
    <x v="2"/>
    <s v="Account"/>
    <s v="CLEANAWAY General"/>
    <m/>
    <s v="13091_Landfill_General"/>
    <s v="General"/>
    <s v="Cleanaway"/>
    <m/>
    <d v="2021-03-23T00:00:00"/>
    <m/>
    <d v="2021-03-01T00:00:00"/>
    <s v="FY21"/>
    <s v="t"/>
    <n v="0"/>
    <n v="0.09"/>
    <n v="0"/>
    <n v="0.09"/>
    <n v="0"/>
    <n v="1"/>
    <n v="0"/>
    <n v="1"/>
    <n v="0"/>
    <n v="100"/>
    <n v="0"/>
    <s v="Consolidation"/>
    <s v="CO2e and Base Measure"/>
    <n v="100"/>
    <n v="100"/>
    <n v="0.09"/>
    <m/>
    <m/>
    <m/>
    <m/>
    <m/>
    <n v="0.11700000000000001"/>
    <m/>
    <n v="0.11700000000000001"/>
    <m/>
    <m/>
    <m/>
    <m/>
    <m/>
    <s v="AUD"/>
    <s v="13641229Waste - General [t] - Scope 3"/>
    <n v="13641229"/>
  </r>
  <r>
    <d v="2019-07-01T00:00:00"/>
    <d v="2021-06-30T00:00:00"/>
    <s v="Telstra"/>
    <s v="NETWORK"/>
    <s v="Network - Telstra/InfraCo Split"/>
    <s v="WA"/>
    <s v="Australia"/>
    <s v="Bendigo"/>
    <s v="DERBY - OLD"/>
    <n v="423030867700"/>
    <s v="Waste"/>
    <x v="1"/>
    <x v="2"/>
    <s v="Account"/>
    <s v="CLEANAWAY General"/>
    <m/>
    <s v="13091_Landfill_General"/>
    <s v="General"/>
    <s v="Cleanaway"/>
    <m/>
    <d v="2021-03-23T00:00:00"/>
    <m/>
    <d v="2021-04-01T00:00:00"/>
    <s v="FY21"/>
    <s v="t"/>
    <n v="0"/>
    <n v="0"/>
    <n v="0.09"/>
    <n v="0.09"/>
    <n v="0"/>
    <n v="0"/>
    <n v="30"/>
    <n v="30"/>
    <n v="0"/>
    <n v="0"/>
    <n v="100"/>
    <s v="Consolidation"/>
    <s v="CO2e and Base Measure"/>
    <n v="100"/>
    <n v="100"/>
    <n v="0.09"/>
    <m/>
    <m/>
    <m/>
    <m/>
    <m/>
    <n v="0.11700000000000001"/>
    <m/>
    <n v="0.11700000000000001"/>
    <m/>
    <m/>
    <m/>
    <m/>
    <m/>
    <s v="AUD"/>
    <s v="13641229Waste - General [t] - Scope 3"/>
    <n v="13641229"/>
  </r>
  <r>
    <d v="2019-07-01T00:00:00"/>
    <d v="2021-06-30T00:00:00"/>
    <s v="Telstra"/>
    <s v="NETWORK"/>
    <s v="Network - Telstra/InfraCo Split"/>
    <s v="WA"/>
    <s v="Australia"/>
    <s v="Bendigo"/>
    <s v="DERBY - OLD"/>
    <n v="423030867700"/>
    <s v="Waste"/>
    <x v="1"/>
    <x v="2"/>
    <s v="Account"/>
    <s v="CLEANAWAY General"/>
    <m/>
    <s v="13091_Landfill_General"/>
    <s v="General"/>
    <s v="Cleanaway"/>
    <m/>
    <d v="2021-03-23T00:00:00"/>
    <m/>
    <d v="2021-05-01T00:00:00"/>
    <s v="FY21"/>
    <s v="t"/>
    <n v="0"/>
    <n v="0"/>
    <n v="9.2999999999999999E-2"/>
    <n v="9.2999999999999999E-2"/>
    <n v="0"/>
    <n v="0"/>
    <n v="31"/>
    <n v="31"/>
    <n v="0"/>
    <n v="0"/>
    <n v="100"/>
    <s v="Consolidation"/>
    <s v="CO2e and Base Measure"/>
    <n v="100"/>
    <n v="100"/>
    <n v="0.09"/>
    <m/>
    <m/>
    <m/>
    <m/>
    <m/>
    <n v="0.12089999999999999"/>
    <m/>
    <n v="0.12089999999999999"/>
    <m/>
    <m/>
    <m/>
    <m/>
    <m/>
    <s v="AUD"/>
    <s v="13641229Waste - General [t] - Scope 3"/>
    <n v="13641229"/>
  </r>
  <r>
    <d v="2019-07-01T00:00:00"/>
    <d v="2021-06-30T00:00:00"/>
    <s v="Telstra"/>
    <s v="NETWORK"/>
    <s v="Network - InfraCo"/>
    <s v="WA"/>
    <s v="Australia"/>
    <s v="Bendigo"/>
    <s v="DERBY OLD"/>
    <n v="423030867700"/>
    <s v="Waste"/>
    <x v="1"/>
    <x v="2"/>
    <s v="Account"/>
    <s v="Remondis General Waste"/>
    <m/>
    <s v="423030867700_WGENERALW"/>
    <s v="GENERAL WASTE"/>
    <s v="Remondis"/>
    <m/>
    <m/>
    <d v="2021-01-01T00:00:00"/>
    <d v="2020-07-01T00:00:00"/>
    <s v="FY21"/>
    <s v="t"/>
    <n v="0"/>
    <n v="0.13"/>
    <n v="0"/>
    <n v="0.13"/>
    <n v="0"/>
    <n v="1"/>
    <n v="0"/>
    <n v="1"/>
    <n v="0"/>
    <n v="100"/>
    <n v="0"/>
    <s v="Consolidation"/>
    <s v="CO2e and Base Measure"/>
    <n v="100"/>
    <n v="100"/>
    <n v="0.13"/>
    <m/>
    <m/>
    <m/>
    <m/>
    <m/>
    <n v="0.16900000000000001"/>
    <m/>
    <n v="0.16900000000000001"/>
    <m/>
    <m/>
    <m/>
    <m/>
    <m/>
    <s v="AUD"/>
    <s v="13565392Waste - General [t] - Scope 3"/>
    <n v="13565392"/>
  </r>
  <r>
    <d v="2019-07-01T00:00:00"/>
    <d v="2021-06-30T00:00:00"/>
    <s v="Telstra"/>
    <s v="NETWORK"/>
    <s v="Network - InfraCo"/>
    <s v="WA"/>
    <s v="Australia"/>
    <s v="Bendigo"/>
    <s v="DERBY OLD"/>
    <n v="423030867700"/>
    <s v="Waste"/>
    <x v="1"/>
    <x v="2"/>
    <s v="Account"/>
    <s v="Remondis General Waste"/>
    <m/>
    <s v="423030867700_WGENERALW"/>
    <s v="GENERAL WASTE"/>
    <s v="Remondis"/>
    <m/>
    <m/>
    <d v="2021-01-01T00:00:00"/>
    <d v="2020-08-01T00:00:00"/>
    <s v="FY21"/>
    <s v="t"/>
    <n v="0"/>
    <n v="0.13"/>
    <n v="0"/>
    <n v="0.13"/>
    <n v="0"/>
    <n v="1"/>
    <n v="0"/>
    <n v="1"/>
    <n v="0"/>
    <n v="100"/>
    <n v="0"/>
    <s v="Consolidation"/>
    <s v="CO2e and Base Measure"/>
    <n v="100"/>
    <n v="100"/>
    <n v="0.13"/>
    <m/>
    <m/>
    <m/>
    <m/>
    <m/>
    <n v="0.16900000000000001"/>
    <m/>
    <n v="0.16900000000000001"/>
    <m/>
    <m/>
    <m/>
    <m/>
    <m/>
    <s v="AUD"/>
    <s v="13565392Waste - General [t] - Scope 3"/>
    <n v="13565392"/>
  </r>
  <r>
    <d v="2019-07-01T00:00:00"/>
    <d v="2021-06-30T00:00:00"/>
    <s v="Telstra"/>
    <s v="NETWORK"/>
    <s v="Network - InfraCo"/>
    <s v="WA"/>
    <s v="Australia"/>
    <s v="Bendigo"/>
    <s v="DERBY OLD"/>
    <n v="423030867700"/>
    <s v="Waste"/>
    <x v="1"/>
    <x v="2"/>
    <s v="Account"/>
    <s v="Remondis General Waste"/>
    <m/>
    <s v="423030867700_WGENERALW"/>
    <s v="GENERAL WASTE"/>
    <s v="Remondis"/>
    <m/>
    <m/>
    <d v="2021-01-01T00:00:00"/>
    <d v="2020-12-01T00:00:00"/>
    <s v="FY21"/>
    <s v="t"/>
    <n v="0"/>
    <n v="0.13"/>
    <n v="0"/>
    <n v="0.13"/>
    <n v="0"/>
    <n v="1"/>
    <n v="0"/>
    <n v="1"/>
    <n v="0"/>
    <n v="100"/>
    <n v="0"/>
    <s v="Consolidation"/>
    <s v="CO2e and Base Measure"/>
    <n v="100"/>
    <n v="100"/>
    <n v="0.13"/>
    <m/>
    <m/>
    <m/>
    <m/>
    <m/>
    <n v="0.16900000000000001"/>
    <m/>
    <n v="0.16900000000000001"/>
    <m/>
    <m/>
    <m/>
    <m/>
    <m/>
    <s v="AUD"/>
    <s v="13565392Waste - General [t] - Scope 3"/>
    <n v="13565392"/>
  </r>
  <r>
    <d v="2019-07-01T00:00:00"/>
    <d v="2021-06-30T00:00:00"/>
    <s v="Telstra"/>
    <s v="NETWORK"/>
    <s v="Network - InfraCo"/>
    <s v="WA"/>
    <s v="Australia"/>
    <s v="Bendigo"/>
    <s v="DERBY OLD"/>
    <n v="423030867700"/>
    <s v="Waste"/>
    <x v="1"/>
    <x v="2"/>
    <s v="Account"/>
    <s v="Remondis General Waste"/>
    <m/>
    <s v="423030867700_WGENERALW"/>
    <s v="GENERAL WASTE"/>
    <s v="Remondis"/>
    <m/>
    <m/>
    <d v="2021-01-01T00:00:00"/>
    <d v="2021-01-01T00:00:00"/>
    <s v="FY21"/>
    <s v="t"/>
    <n v="0"/>
    <n v="0"/>
    <n v="3.0999999999999999E-3"/>
    <n v="3.0999999999999999E-3"/>
    <n v="0"/>
    <n v="0"/>
    <n v="1"/>
    <n v="1"/>
    <n v="0"/>
    <n v="0"/>
    <n v="100"/>
    <s v="Consolidation"/>
    <s v="CO2e and Base Measure"/>
    <n v="100"/>
    <n v="100"/>
    <n v="0"/>
    <m/>
    <m/>
    <m/>
    <m/>
    <m/>
    <n v="4.0000000000000001E-3"/>
    <m/>
    <n v="4.0000000000000001E-3"/>
    <m/>
    <m/>
    <m/>
    <m/>
    <m/>
    <s v="AUD"/>
    <s v="13565392Waste - General [t] - Scope 3"/>
    <n v="13565392"/>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07-01T00:00:00"/>
    <s v="FY21"/>
    <s v="t"/>
    <n v="0"/>
    <n v="0.315"/>
    <n v="0"/>
    <n v="0.315"/>
    <n v="0"/>
    <n v="5"/>
    <n v="0"/>
    <n v="5"/>
    <n v="0"/>
    <n v="100"/>
    <n v="0"/>
    <s v="Consolidation"/>
    <s v="CO2e and Base Measure"/>
    <n v="100"/>
    <n v="100"/>
    <n v="0.32"/>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08-01T00:00:00"/>
    <s v="FY21"/>
    <s v="t"/>
    <n v="0"/>
    <n v="0.252"/>
    <n v="0"/>
    <n v="0.252"/>
    <n v="0"/>
    <n v="4"/>
    <n v="0"/>
    <n v="4"/>
    <n v="0"/>
    <n v="100"/>
    <n v="0"/>
    <s v="Consolidation"/>
    <s v="CO2e and Base Measure"/>
    <n v="100"/>
    <n v="100"/>
    <n v="0.25"/>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09-01T00:00:00"/>
    <s v="FY21"/>
    <s v="t"/>
    <n v="0"/>
    <n v="0.315"/>
    <n v="0"/>
    <n v="0.315"/>
    <n v="0"/>
    <n v="5"/>
    <n v="0"/>
    <n v="5"/>
    <n v="0"/>
    <n v="100"/>
    <n v="0"/>
    <s v="Consolidation"/>
    <s v="CO2e and Base Measure"/>
    <n v="100"/>
    <n v="100"/>
    <n v="0.32"/>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10-01T00:00:00"/>
    <s v="FY21"/>
    <s v="t"/>
    <n v="0"/>
    <n v="0.252"/>
    <n v="0"/>
    <n v="0.252"/>
    <n v="0"/>
    <n v="4"/>
    <n v="0"/>
    <n v="4"/>
    <n v="0"/>
    <n v="100"/>
    <n v="0"/>
    <s v="Consolidation"/>
    <s v="CO2e and Base Measure"/>
    <n v="100"/>
    <n v="100"/>
    <n v="0.25"/>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11-01T00:00:00"/>
    <s v="FY21"/>
    <s v="t"/>
    <n v="0"/>
    <n v="0.252"/>
    <n v="0"/>
    <n v="0.252"/>
    <n v="0"/>
    <n v="4"/>
    <n v="0"/>
    <n v="4"/>
    <n v="0"/>
    <n v="100"/>
    <n v="0"/>
    <s v="Consolidation"/>
    <s v="CO2e and Base Measure"/>
    <n v="100"/>
    <n v="100"/>
    <n v="0.25"/>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12-01T00:00:00"/>
    <s v="FY21"/>
    <s v="t"/>
    <n v="0"/>
    <n v="0"/>
    <n v="8.9999999999999993E-3"/>
    <n v="8.9999999999999993E-3"/>
    <n v="0"/>
    <n v="0"/>
    <n v="1"/>
    <n v="1"/>
    <n v="0"/>
    <n v="0"/>
    <n v="100"/>
    <s v="Consolidation"/>
    <s v="CO2e and Base Measure"/>
    <n v="100"/>
    <n v="100"/>
    <n v="0.01"/>
    <m/>
    <m/>
    <m/>
    <m/>
    <m/>
    <m/>
    <n v="0"/>
    <m/>
    <m/>
    <m/>
    <m/>
    <m/>
    <m/>
    <s v="AUD"/>
    <s v="13565590Waste Recycled - Cardboard [t]"/>
    <n v="13565590"/>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07-01T00:00:00"/>
    <s v="FY21"/>
    <s v="t"/>
    <n v="0"/>
    <n v="1.17"/>
    <n v="0"/>
    <n v="1.17"/>
    <n v="0"/>
    <n v="4"/>
    <n v="0"/>
    <n v="4"/>
    <n v="0"/>
    <n v="100"/>
    <n v="0"/>
    <s v="Consolidation"/>
    <s v="CO2e and Base Measure"/>
    <n v="100"/>
    <n v="100"/>
    <n v="1.17"/>
    <m/>
    <m/>
    <m/>
    <m/>
    <m/>
    <n v="1.5209999999999999"/>
    <m/>
    <n v="1.5209999999999999"/>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08-01T00:00:00"/>
    <s v="FY21"/>
    <s v="t"/>
    <n v="0"/>
    <n v="1.17"/>
    <n v="0"/>
    <n v="1.17"/>
    <n v="0"/>
    <n v="4"/>
    <n v="0"/>
    <n v="4"/>
    <n v="0"/>
    <n v="100"/>
    <n v="0"/>
    <s v="Consolidation"/>
    <s v="CO2e and Base Measure"/>
    <n v="100"/>
    <n v="100"/>
    <n v="1.17"/>
    <m/>
    <m/>
    <m/>
    <m/>
    <m/>
    <n v="1.5209999999999999"/>
    <m/>
    <n v="1.5209999999999999"/>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09-01T00:00:00"/>
    <s v="FY21"/>
    <s v="t"/>
    <n v="0"/>
    <n v="1.4624999999999999"/>
    <n v="0"/>
    <n v="1.4624999999999999"/>
    <n v="0"/>
    <n v="5"/>
    <n v="0"/>
    <n v="5"/>
    <n v="0"/>
    <n v="100"/>
    <n v="0"/>
    <s v="Consolidation"/>
    <s v="CO2e and Base Measure"/>
    <n v="100"/>
    <n v="100"/>
    <n v="1.46"/>
    <m/>
    <m/>
    <m/>
    <m/>
    <m/>
    <n v="1.9013"/>
    <m/>
    <n v="1.9013"/>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10-01T00:00:00"/>
    <s v="FY21"/>
    <s v="t"/>
    <n v="0"/>
    <n v="1.17"/>
    <n v="0"/>
    <n v="1.17"/>
    <n v="0"/>
    <n v="4"/>
    <n v="0"/>
    <n v="4"/>
    <n v="0"/>
    <n v="100"/>
    <n v="0"/>
    <s v="Consolidation"/>
    <s v="CO2e and Base Measure"/>
    <n v="100"/>
    <n v="100"/>
    <n v="1.17"/>
    <m/>
    <m/>
    <m/>
    <m/>
    <m/>
    <n v="1.5209999999999999"/>
    <m/>
    <n v="1.5209999999999999"/>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11-01T00:00:00"/>
    <s v="FY21"/>
    <s v="t"/>
    <n v="0"/>
    <n v="1.17"/>
    <n v="0"/>
    <n v="1.17"/>
    <n v="0"/>
    <n v="3"/>
    <n v="0"/>
    <n v="3"/>
    <n v="0"/>
    <n v="100"/>
    <n v="0"/>
    <s v="Consolidation"/>
    <s v="CO2e and Base Measure"/>
    <n v="100"/>
    <n v="100"/>
    <n v="1.17"/>
    <m/>
    <m/>
    <m/>
    <m/>
    <m/>
    <n v="1.5209999999999999"/>
    <m/>
    <n v="1.5209999999999999"/>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12-01T00:00:00"/>
    <s v="FY21"/>
    <s v="t"/>
    <n v="0"/>
    <n v="0"/>
    <n v="4.02E-2"/>
    <n v="4.02E-2"/>
    <n v="0"/>
    <n v="0"/>
    <n v="1"/>
    <n v="1"/>
    <n v="0"/>
    <n v="0"/>
    <n v="100"/>
    <s v="Consolidation"/>
    <s v="CO2e and Base Measure"/>
    <n v="100"/>
    <n v="100"/>
    <n v="0.04"/>
    <m/>
    <m/>
    <m/>
    <m/>
    <m/>
    <n v="5.2299999999999999E-2"/>
    <m/>
    <n v="5.2299999999999999E-2"/>
    <m/>
    <m/>
    <m/>
    <m/>
    <m/>
    <s v="AUD"/>
    <s v="13565591Waste - General [t] - Scope 3"/>
    <n v="13565591"/>
  </r>
  <r>
    <d v="2019-07-01T00:00:00"/>
    <d v="2021-06-30T00:00:00"/>
    <s v="Telstra"/>
    <s v="NETWORK"/>
    <s v="Network - InfraCo"/>
    <s v="TAS"/>
    <s v="Australia"/>
    <s v="Goodwood"/>
    <s v="Derwent Park 264 Main Rd"/>
    <n v="423031219300"/>
    <s v="Recycled Waste"/>
    <x v="0"/>
    <x v="5"/>
    <s v="Account"/>
    <s v="Remondis Metal - Mixed All"/>
    <m/>
    <s v="423031219300_RMETMIXED"/>
    <s v="METAL - MIXED ALL"/>
    <s v="Remondis"/>
    <m/>
    <m/>
    <d v="2020-12-01T00:00:00"/>
    <d v="2020-08-01T00:00:00"/>
    <s v="FY21"/>
    <s v="t"/>
    <n v="0.109"/>
    <n v="0"/>
    <n v="0"/>
    <n v="0.109"/>
    <n v="1"/>
    <n v="0"/>
    <n v="0"/>
    <n v="1"/>
    <n v="100"/>
    <n v="0"/>
    <n v="0"/>
    <s v="Consolidation"/>
    <s v="CO2e and Base Measure"/>
    <n v="100"/>
    <n v="100"/>
    <n v="0.11"/>
    <m/>
    <m/>
    <m/>
    <m/>
    <m/>
    <m/>
    <m/>
    <m/>
    <m/>
    <m/>
    <m/>
    <m/>
    <m/>
    <s v="AUD"/>
    <s v="13565592Waste Recycled - Construction and Demolition [t]"/>
    <n v="13565592"/>
  </r>
  <r>
    <d v="2019-07-01T00:00:00"/>
    <d v="2021-06-30T00:00:00"/>
    <s v="Telstra"/>
    <s v="NETWORK"/>
    <s v="Network - InfraCo"/>
    <s v="TAS"/>
    <s v="Australia"/>
    <s v="Goodwood"/>
    <s v="Derwent Park 264 Main Rd"/>
    <n v="423031219300"/>
    <s v="Recycled Waste"/>
    <x v="0"/>
    <x v="5"/>
    <s v="Account"/>
    <s v="Remondis Metal - Mixed All"/>
    <m/>
    <s v="423031219300_RMETMIXED"/>
    <s v="METAL - MIXED ALL"/>
    <s v="Remondis"/>
    <m/>
    <m/>
    <d v="2020-12-01T00:00:00"/>
    <d v="2020-11-01T00:00:00"/>
    <s v="FY21"/>
    <s v="t"/>
    <n v="0.434"/>
    <n v="0"/>
    <n v="0"/>
    <n v="0.434"/>
    <n v="1"/>
    <n v="0"/>
    <n v="0"/>
    <n v="1"/>
    <n v="100"/>
    <n v="0"/>
    <n v="0"/>
    <s v="Consolidation"/>
    <s v="CO2e and Base Measure"/>
    <n v="100"/>
    <n v="100"/>
    <n v="0.43"/>
    <m/>
    <m/>
    <m/>
    <m/>
    <m/>
    <m/>
    <m/>
    <m/>
    <m/>
    <m/>
    <m/>
    <m/>
    <m/>
    <s v="AUD"/>
    <s v="13565592Waste Recycled - Construction and Demolition [t]"/>
    <n v="13565592"/>
  </r>
  <r>
    <d v="2019-07-01T00:00:00"/>
    <d v="2021-06-30T00:00:00"/>
    <s v="Telstra"/>
    <s v="NETWORK"/>
    <s v="Network - InfraCo"/>
    <s v="TAS"/>
    <s v="Australia"/>
    <s v="Goodwood"/>
    <s v="Derwent Park 264 Main Rd"/>
    <n v="423031219300"/>
    <s v="Recycled Waste"/>
    <x v="0"/>
    <x v="5"/>
    <s v="Account"/>
    <s v="Remondis Metal - Mixed All"/>
    <m/>
    <s v="423031219300_RMETMIXED"/>
    <s v="METAL - MIXED ALL"/>
    <s v="Remondis"/>
    <m/>
    <m/>
    <d v="2020-12-01T00:00:00"/>
    <d v="2020-12-01T00:00:00"/>
    <s v="FY21"/>
    <s v="t"/>
    <n v="0"/>
    <n v="0"/>
    <n v="4.4999999999999997E-3"/>
    <n v="4.4999999999999997E-3"/>
    <n v="0"/>
    <n v="0"/>
    <n v="1"/>
    <n v="1"/>
    <n v="0"/>
    <n v="0"/>
    <n v="100"/>
    <s v="Consolidation"/>
    <s v="CO2e and Base Measure"/>
    <n v="100"/>
    <n v="100"/>
    <n v="0"/>
    <m/>
    <m/>
    <m/>
    <m/>
    <m/>
    <m/>
    <m/>
    <m/>
    <m/>
    <m/>
    <m/>
    <m/>
    <m/>
    <s v="AUD"/>
    <s v="13565592Waste Recycled - Construction and Demolition [t]"/>
    <n v="13565592"/>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07-01T00:00:00"/>
    <s v="FY21"/>
    <s v="t"/>
    <n v="0.108"/>
    <n v="0"/>
    <n v="0"/>
    <n v="0.108"/>
    <n v="1"/>
    <n v="0"/>
    <n v="0"/>
    <n v="1"/>
    <n v="100"/>
    <n v="0"/>
    <n v="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08-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09-01T00:00:00"/>
    <s v="FY21"/>
    <s v="t"/>
    <n v="0"/>
    <n v="0"/>
    <n v="0.108"/>
    <n v="0.108"/>
    <n v="0"/>
    <n v="0"/>
    <n v="30"/>
    <n v="30"/>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10-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11-01T00:00:00"/>
    <s v="FY21"/>
    <s v="t"/>
    <n v="0"/>
    <n v="0"/>
    <n v="0.108"/>
    <n v="0.108"/>
    <n v="0"/>
    <n v="0"/>
    <n v="30"/>
    <n v="30"/>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12-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1-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2-01T00:00:00"/>
    <s v="FY21"/>
    <s v="t"/>
    <n v="0"/>
    <n v="0"/>
    <n v="0.1008"/>
    <n v="0.1008"/>
    <n v="0"/>
    <n v="0"/>
    <n v="28"/>
    <n v="28"/>
    <n v="0"/>
    <n v="0"/>
    <n v="100"/>
    <s v="Consolidation"/>
    <s v="CO2e and Base Measure"/>
    <n v="100"/>
    <n v="100"/>
    <n v="0.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3-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4-01T00:00:00"/>
    <s v="FY21"/>
    <s v="t"/>
    <n v="0"/>
    <n v="0"/>
    <n v="0.108"/>
    <n v="0.108"/>
    <n v="0"/>
    <n v="0"/>
    <n v="30"/>
    <n v="30"/>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5-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3"/>
    <s v="Account"/>
    <s v="Remondis Commingled - Recycled"/>
    <m/>
    <s v="423031219300_RCOMINGLE"/>
    <s v="COMMINGLED - RECYCLED"/>
    <s v="Remondis"/>
    <m/>
    <d v="2019-11-01T00:00:00"/>
    <d v="2020-12-01T00:00:00"/>
    <d v="2020-11-01T00:00:00"/>
    <s v="FY21"/>
    <s v="t"/>
    <n v="0"/>
    <n v="2.4E-2"/>
    <n v="0"/>
    <n v="2.4E-2"/>
    <n v="0"/>
    <n v="1"/>
    <n v="0"/>
    <n v="1"/>
    <n v="0"/>
    <n v="100"/>
    <n v="0"/>
    <s v="Consolidation"/>
    <s v="CO2e and Base Measure"/>
    <n v="100"/>
    <n v="100"/>
    <n v="0.02"/>
    <m/>
    <m/>
    <m/>
    <m/>
    <m/>
    <m/>
    <n v="0"/>
    <m/>
    <m/>
    <m/>
    <m/>
    <m/>
    <m/>
    <s v="AUD"/>
    <s v="13578190Waste Recycled - Commingled [t]"/>
    <n v="13578190"/>
  </r>
  <r>
    <d v="2019-07-01T00:00:00"/>
    <d v="2021-06-30T00:00:00"/>
    <s v="Telstra"/>
    <s v="NETWORK"/>
    <s v="Network - InfraCo"/>
    <s v="TAS"/>
    <s v="Australia"/>
    <s v="Goodwood"/>
    <s v="Derwent Park 264 Main Rd"/>
    <n v="423031219300"/>
    <s v="Recycled Waste"/>
    <x v="0"/>
    <x v="3"/>
    <s v="Account"/>
    <s v="Remondis Commingled - Recycled"/>
    <m/>
    <s v="423031219300_RCOMINGLE"/>
    <s v="COMMINGLED - RECYCLED"/>
    <s v="Remondis"/>
    <m/>
    <d v="2019-11-01T00:00:00"/>
    <d v="2020-12-01T00:00:00"/>
    <d v="2020-12-01T00:00:00"/>
    <s v="FY21"/>
    <s v="t"/>
    <n v="0"/>
    <n v="0"/>
    <n v="8.0000000000000004E-4"/>
    <n v="8.0000000000000004E-4"/>
    <n v="0"/>
    <n v="0"/>
    <n v="1"/>
    <n v="1"/>
    <n v="0"/>
    <n v="0"/>
    <n v="100"/>
    <s v="Consolidation"/>
    <s v="CO2e and Base Measure"/>
    <n v="100"/>
    <n v="100"/>
    <n v="0"/>
    <m/>
    <m/>
    <m/>
    <m/>
    <m/>
    <m/>
    <n v="0"/>
    <m/>
    <m/>
    <m/>
    <m/>
    <m/>
    <m/>
    <s v="AUD"/>
    <s v="13578190Waste Recycled - Commingled [t]"/>
    <n v="13578190"/>
  </r>
  <r>
    <d v="2019-07-01T00:00:00"/>
    <d v="2021-06-30T00:00:00"/>
    <s v="Telstra"/>
    <s v="NETWORK"/>
    <s v="Network - InfraCo"/>
    <s v="TAS"/>
    <s v="Australia"/>
    <s v="Goodwood"/>
    <s v="Derwent Park 264 Main Rd"/>
    <n v="423031219300"/>
    <s v="Recycled Waste"/>
    <x v="0"/>
    <x v="1"/>
    <s v="Account"/>
    <s v="Remondis Electrical Comp. (E-Waste)"/>
    <m/>
    <s v="423031219300_RELECTRIC"/>
    <s v="ELECTRICAL COMP. E-WASTE"/>
    <s v="Remondis"/>
    <m/>
    <m/>
    <d v="2020-12-01T00:00:00"/>
    <d v="2020-11-01T00:00:00"/>
    <s v="FY21"/>
    <s v="t"/>
    <n v="0.21"/>
    <n v="0"/>
    <n v="0"/>
    <n v="0.21"/>
    <n v="2"/>
    <n v="0"/>
    <n v="0"/>
    <n v="2"/>
    <n v="100"/>
    <n v="0"/>
    <n v="0"/>
    <s v="Consolidation"/>
    <s v="CO2e and Base Measure"/>
    <n v="100"/>
    <n v="100"/>
    <n v="0.21"/>
    <m/>
    <m/>
    <m/>
    <m/>
    <m/>
    <m/>
    <m/>
    <m/>
    <m/>
    <m/>
    <m/>
    <m/>
    <m/>
    <s v="AUD"/>
    <s v="13586297Waste Recycled - E-waste [t]"/>
    <n v="13586297"/>
  </r>
  <r>
    <d v="2019-07-01T00:00:00"/>
    <d v="2021-06-30T00:00:00"/>
    <s v="Telstra"/>
    <s v="NETWORK"/>
    <s v="Network - InfraCo"/>
    <s v="TAS"/>
    <s v="Australia"/>
    <s v="Goodwood"/>
    <s v="Derwent Park 264 Main Rd"/>
    <n v="423031219300"/>
    <s v="Recycled Waste"/>
    <x v="0"/>
    <x v="1"/>
    <s v="Account"/>
    <s v="Remondis Electrical Comp. (E-Waste)"/>
    <m/>
    <s v="423031219300_RELECTRIC"/>
    <s v="ELECTRICAL COMP. E-WASTE"/>
    <s v="Remondis"/>
    <m/>
    <m/>
    <d v="2020-12-01T00:00:00"/>
    <d v="2020-12-01T00:00:00"/>
    <s v="FY21"/>
    <s v="t"/>
    <n v="0"/>
    <n v="0"/>
    <n v="7.1999999999999998E-3"/>
    <n v="7.1999999999999998E-3"/>
    <n v="0"/>
    <n v="0"/>
    <n v="1"/>
    <n v="1"/>
    <n v="0"/>
    <n v="0"/>
    <n v="100"/>
    <s v="Consolidation"/>
    <s v="CO2e and Base Measure"/>
    <n v="100"/>
    <n v="100"/>
    <n v="0.01"/>
    <m/>
    <m/>
    <m/>
    <m/>
    <m/>
    <m/>
    <m/>
    <m/>
    <m/>
    <m/>
    <m/>
    <m/>
    <m/>
    <s v="AUD"/>
    <s v="13586297Waste Recycled - E-waste [t]"/>
    <n v="13586297"/>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0-11-01T00:00:00"/>
    <s v="FY21"/>
    <s v="t"/>
    <n v="0.47199999999999998"/>
    <n v="0"/>
    <n v="0"/>
    <n v="0.47199999999999998"/>
    <n v="2"/>
    <n v="0"/>
    <n v="0"/>
    <n v="2"/>
    <n v="100"/>
    <n v="0"/>
    <n v="0"/>
    <s v="Consolidation"/>
    <s v="CO2e and Base Measure"/>
    <n v="100"/>
    <n v="100"/>
    <n v="0.47"/>
    <m/>
    <m/>
    <m/>
    <m/>
    <m/>
    <n v="0.61360000000000003"/>
    <m/>
    <n v="0.61360000000000003"/>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0-12-01T00:00:00"/>
    <s v="FY21"/>
    <s v="t"/>
    <n v="1.1679999999999999"/>
    <n v="0.20250000000000001"/>
    <n v="0"/>
    <n v="1.3705000000000001"/>
    <n v="6"/>
    <n v="1"/>
    <n v="0"/>
    <n v="7"/>
    <n v="85.22"/>
    <n v="14.77"/>
    <n v="0"/>
    <s v="Consolidation"/>
    <s v="CO2e and Base Measure"/>
    <n v="100"/>
    <n v="100"/>
    <n v="1.37"/>
    <m/>
    <m/>
    <m/>
    <m/>
    <m/>
    <n v="1.7817000000000001"/>
    <m/>
    <n v="1.7817000000000001"/>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1-01T00:00:00"/>
    <s v="FY21"/>
    <s v="t"/>
    <n v="0.40699999999999997"/>
    <n v="1.0125"/>
    <n v="0"/>
    <n v="1.4195"/>
    <n v="3"/>
    <n v="5"/>
    <n v="0"/>
    <n v="8"/>
    <n v="28.67"/>
    <n v="71.319999999999993"/>
    <n v="0"/>
    <s v="Consolidation"/>
    <s v="CO2e and Base Measure"/>
    <n v="100"/>
    <n v="100"/>
    <n v="1.42"/>
    <m/>
    <m/>
    <m/>
    <m/>
    <m/>
    <n v="1.8453999999999999"/>
    <m/>
    <n v="1.8453999999999999"/>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2-01T00:00:00"/>
    <s v="FY21"/>
    <s v="t"/>
    <n v="0.98"/>
    <n v="0.20250000000000001"/>
    <n v="0"/>
    <n v="1.1825000000000001"/>
    <n v="6"/>
    <n v="1"/>
    <n v="0"/>
    <n v="7"/>
    <n v="82.87"/>
    <n v="17.12"/>
    <n v="0"/>
    <s v="Consolidation"/>
    <s v="CO2e and Base Measure"/>
    <n v="100"/>
    <n v="100"/>
    <n v="1.18"/>
    <m/>
    <m/>
    <m/>
    <m/>
    <m/>
    <n v="1.5373000000000001"/>
    <m/>
    <n v="1.5373000000000001"/>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3-01T00:00:00"/>
    <s v="FY21"/>
    <s v="t"/>
    <n v="2.5099999999999998"/>
    <n v="0.9"/>
    <n v="0"/>
    <n v="3.41"/>
    <n v="6"/>
    <n v="5"/>
    <n v="0"/>
    <n v="11"/>
    <n v="73.599999999999994"/>
    <n v="26.39"/>
    <n v="0"/>
    <s v="Consolidation"/>
    <s v="CO2e and Base Measure"/>
    <n v="100"/>
    <n v="100"/>
    <n v="3.41"/>
    <m/>
    <m/>
    <m/>
    <m/>
    <m/>
    <n v="4.4329999999999998"/>
    <m/>
    <n v="4.4329999999999998"/>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4-01T00:00:00"/>
    <s v="FY21"/>
    <s v="t"/>
    <n v="0"/>
    <n v="0"/>
    <n v="1.5720000000000001"/>
    <n v="1.5720000000000001"/>
    <n v="0"/>
    <n v="0"/>
    <n v="30"/>
    <n v="30"/>
    <n v="0"/>
    <n v="0"/>
    <n v="100"/>
    <s v="Consolidation"/>
    <s v="CO2e and Base Measure"/>
    <n v="100"/>
    <n v="100"/>
    <n v="1.57"/>
    <m/>
    <m/>
    <m/>
    <m/>
    <m/>
    <n v="2.0436000000000001"/>
    <m/>
    <n v="2.0436000000000001"/>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5-01T00:00:00"/>
    <s v="FY21"/>
    <s v="t"/>
    <n v="0"/>
    <n v="0"/>
    <n v="1.6244000000000001"/>
    <n v="1.6244000000000001"/>
    <n v="0"/>
    <n v="0"/>
    <n v="31"/>
    <n v="31"/>
    <n v="0"/>
    <n v="0"/>
    <n v="100"/>
    <s v="Consolidation"/>
    <s v="CO2e and Base Measure"/>
    <n v="100"/>
    <n v="100"/>
    <n v="1.62"/>
    <m/>
    <m/>
    <m/>
    <m/>
    <m/>
    <n v="2.1116999999999999"/>
    <m/>
    <n v="2.1116999999999999"/>
    <m/>
    <m/>
    <m/>
    <m/>
    <m/>
    <s v="AUD"/>
    <s v="13633996Waste - General [t] - Scope 3"/>
    <n v="13633996"/>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0-11-01T00:00:00"/>
    <s v="FY21"/>
    <s v="t"/>
    <n v="0"/>
    <n v="0.15"/>
    <n v="0"/>
    <n v="0.15"/>
    <n v="0"/>
    <n v="2"/>
    <n v="0"/>
    <n v="2"/>
    <n v="0"/>
    <n v="100"/>
    <n v="0"/>
    <s v="Consolidation"/>
    <s v="CO2e and Base Measure"/>
    <n v="100"/>
    <n v="100"/>
    <n v="0.15"/>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0-12-01T00:00:00"/>
    <s v="FY21"/>
    <s v="t"/>
    <n v="0.32400000000000001"/>
    <n v="0"/>
    <n v="0"/>
    <n v="0.32400000000000001"/>
    <n v="4"/>
    <n v="0"/>
    <n v="0"/>
    <n v="4"/>
    <n v="100"/>
    <n v="0"/>
    <n v="0"/>
    <s v="Consolidation"/>
    <s v="CO2e and Base Measure"/>
    <n v="100"/>
    <n v="100"/>
    <n v="0.32"/>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1-01T00:00:00"/>
    <s v="FY21"/>
    <s v="t"/>
    <n v="0.28000000000000003"/>
    <n v="0"/>
    <n v="0"/>
    <n v="0.28000000000000003"/>
    <n v="3"/>
    <n v="0"/>
    <n v="0"/>
    <n v="3"/>
    <n v="100"/>
    <n v="0"/>
    <n v="0"/>
    <s v="Consolidation"/>
    <s v="CO2e and Base Measure"/>
    <n v="100"/>
    <n v="100"/>
    <n v="0.28000000000000003"/>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2-01T00:00:00"/>
    <s v="FY21"/>
    <s v="t"/>
    <n v="0.32600000000000001"/>
    <n v="7.4999999999999997E-2"/>
    <n v="0"/>
    <n v="0.40100000000000002"/>
    <n v="3"/>
    <n v="1"/>
    <n v="0"/>
    <n v="4"/>
    <n v="81.290000000000006"/>
    <n v="18.7"/>
    <n v="0"/>
    <s v="Consolidation"/>
    <s v="CO2e and Base Measure"/>
    <n v="100"/>
    <n v="100"/>
    <n v="0.4"/>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3-01T00:00:00"/>
    <s v="FY21"/>
    <s v="t"/>
    <n v="0.55000000000000004"/>
    <n v="0"/>
    <n v="0"/>
    <n v="0.55000000000000004"/>
    <n v="5"/>
    <n v="0"/>
    <n v="0"/>
    <n v="5"/>
    <n v="100"/>
    <n v="0"/>
    <n v="0"/>
    <s v="Consolidation"/>
    <s v="CO2e and Base Measure"/>
    <n v="100"/>
    <n v="100"/>
    <n v="0.55000000000000004"/>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4-01T00:00:00"/>
    <s v="FY21"/>
    <s v="t"/>
    <n v="0"/>
    <n v="0"/>
    <n v="0.34200000000000003"/>
    <n v="0.34200000000000003"/>
    <n v="0"/>
    <n v="0"/>
    <n v="30"/>
    <n v="30"/>
    <n v="0"/>
    <n v="0"/>
    <n v="100"/>
    <s v="Consolidation"/>
    <s v="CO2e and Base Measure"/>
    <n v="100"/>
    <n v="100"/>
    <n v="0.34"/>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5-01T00:00:00"/>
    <s v="FY21"/>
    <s v="t"/>
    <n v="0"/>
    <n v="0"/>
    <n v="0.35339999999999999"/>
    <n v="0.35339999999999999"/>
    <n v="0"/>
    <n v="0"/>
    <n v="31"/>
    <n v="31"/>
    <n v="0"/>
    <n v="0"/>
    <n v="100"/>
    <s v="Consolidation"/>
    <s v="CO2e and Base Measure"/>
    <n v="100"/>
    <n v="100"/>
    <n v="0.35"/>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0-12-01T00:00:00"/>
    <s v="FY21"/>
    <s v="t"/>
    <n v="1.6E-2"/>
    <n v="0"/>
    <n v="0"/>
    <n v="1.6E-2"/>
    <n v="1"/>
    <n v="0"/>
    <n v="0"/>
    <n v="1"/>
    <n v="100"/>
    <n v="0"/>
    <n v="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1-01T00:00:00"/>
    <s v="FY21"/>
    <s v="t"/>
    <n v="0"/>
    <n v="0"/>
    <n v="1.55E-2"/>
    <n v="1.55E-2"/>
    <n v="0"/>
    <n v="0"/>
    <n v="31"/>
    <n v="31"/>
    <n v="0"/>
    <n v="0"/>
    <n v="10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2-01T00:00:00"/>
    <s v="FY21"/>
    <s v="t"/>
    <n v="0"/>
    <n v="0"/>
    <n v="1.4E-2"/>
    <n v="1.4E-2"/>
    <n v="0"/>
    <n v="0"/>
    <n v="28"/>
    <n v="28"/>
    <n v="0"/>
    <n v="0"/>
    <n v="100"/>
    <s v="Consolidation"/>
    <s v="CO2e and Base Measure"/>
    <n v="100"/>
    <n v="100"/>
    <n v="0.01"/>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3-01T00:00:00"/>
    <s v="FY21"/>
    <s v="t"/>
    <n v="0"/>
    <n v="0"/>
    <n v="1.55E-2"/>
    <n v="1.55E-2"/>
    <n v="0"/>
    <n v="0"/>
    <n v="31"/>
    <n v="31"/>
    <n v="0"/>
    <n v="0"/>
    <n v="10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4-01T00:00:00"/>
    <s v="FY21"/>
    <s v="t"/>
    <n v="0"/>
    <n v="0"/>
    <n v="1.4999999999999999E-2"/>
    <n v="1.4999999999999999E-2"/>
    <n v="0"/>
    <n v="0"/>
    <n v="30"/>
    <n v="30"/>
    <n v="0"/>
    <n v="0"/>
    <n v="10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5-01T00:00:00"/>
    <s v="FY21"/>
    <s v="t"/>
    <n v="0"/>
    <n v="0"/>
    <n v="1.55E-2"/>
    <n v="1.55E-2"/>
    <n v="0"/>
    <n v="0"/>
    <n v="31"/>
    <n v="31"/>
    <n v="0"/>
    <n v="0"/>
    <n v="10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1-01T00:00:00"/>
    <s v="FY21"/>
    <s v="t"/>
    <n v="0.04"/>
    <n v="0"/>
    <n v="0"/>
    <n v="0.04"/>
    <n v="1"/>
    <n v="0"/>
    <n v="0"/>
    <n v="1"/>
    <n v="100"/>
    <n v="0"/>
    <n v="0"/>
    <s v="Consolidation"/>
    <s v="CO2e and Base Measure"/>
    <n v="100"/>
    <n v="100"/>
    <n v="0.04"/>
    <m/>
    <m/>
    <m/>
    <m/>
    <m/>
    <m/>
    <m/>
    <m/>
    <m/>
    <m/>
    <m/>
    <m/>
    <m/>
    <s v="AUD"/>
    <s v="13634514Waste Recycled - Construction and Demolition [t]"/>
    <n v="13634514"/>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2-01T00:00:00"/>
    <s v="FY21"/>
    <s v="t"/>
    <n v="0"/>
    <n v="0"/>
    <n v="3.6400000000000002E-2"/>
    <n v="3.6400000000000002E-2"/>
    <n v="0"/>
    <n v="0"/>
    <n v="28"/>
    <n v="28"/>
    <n v="0"/>
    <n v="0"/>
    <n v="100"/>
    <s v="Consolidation"/>
    <s v="CO2e and Base Measure"/>
    <n v="100"/>
    <n v="100"/>
    <n v="0.04"/>
    <m/>
    <m/>
    <m/>
    <m/>
    <m/>
    <m/>
    <m/>
    <m/>
    <m/>
    <m/>
    <m/>
    <m/>
    <m/>
    <s v="AUD"/>
    <s v="13634514Waste Recycled - Construction and Demolition [t]"/>
    <n v="13634514"/>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3-01T00:00:00"/>
    <s v="FY21"/>
    <s v="t"/>
    <n v="0"/>
    <n v="0"/>
    <n v="4.0300000000000002E-2"/>
    <n v="4.0300000000000002E-2"/>
    <n v="0"/>
    <n v="0"/>
    <n v="31"/>
    <n v="31"/>
    <n v="0"/>
    <n v="0"/>
    <n v="100"/>
    <s v="Consolidation"/>
    <s v="CO2e and Base Measure"/>
    <n v="100"/>
    <n v="100"/>
    <n v="0.04"/>
    <m/>
    <m/>
    <m/>
    <m/>
    <m/>
    <m/>
    <m/>
    <m/>
    <m/>
    <m/>
    <m/>
    <m/>
    <m/>
    <s v="AUD"/>
    <s v="13634514Waste Recycled - Construction and Demolition [t]"/>
    <n v="13634514"/>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4-01T00:00:00"/>
    <s v="FY21"/>
    <s v="t"/>
    <n v="0"/>
    <n v="0"/>
    <n v="3.9E-2"/>
    <n v="3.9E-2"/>
    <n v="0"/>
    <n v="0"/>
    <n v="30"/>
    <n v="30"/>
    <n v="0"/>
    <n v="0"/>
    <n v="100"/>
    <s v="Consolidation"/>
    <s v="CO2e and Base Measure"/>
    <n v="100"/>
    <n v="100"/>
    <n v="0.04"/>
    <m/>
    <m/>
    <m/>
    <m/>
    <m/>
    <m/>
    <m/>
    <m/>
    <m/>
    <m/>
    <m/>
    <m/>
    <m/>
    <s v="AUD"/>
    <s v="13634514Waste Recycled - Construction and Demolition [t]"/>
    <n v="13634514"/>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5-01T00:00:00"/>
    <s v="FY21"/>
    <s v="t"/>
    <n v="0"/>
    <n v="0"/>
    <n v="4.0300000000000002E-2"/>
    <n v="4.0300000000000002E-2"/>
    <n v="0"/>
    <n v="0"/>
    <n v="31"/>
    <n v="31"/>
    <n v="0"/>
    <n v="0"/>
    <n v="100"/>
    <s v="Consolidation"/>
    <s v="CO2e and Base Measure"/>
    <n v="100"/>
    <n v="100"/>
    <n v="0.04"/>
    <m/>
    <m/>
    <m/>
    <m/>
    <m/>
    <m/>
    <m/>
    <m/>
    <m/>
    <m/>
    <m/>
    <m/>
    <m/>
    <s v="AUD"/>
    <s v="13634514Waste Recycled - Construction and Demolition [t]"/>
    <n v="13634514"/>
  </r>
  <r>
    <d v="2019-07-01T00:00:00"/>
    <d v="2021-06-30T00:00:00"/>
    <s v="Telstra"/>
    <s v="NETWORK"/>
    <s v="Network - InfraCo"/>
    <s v="TAS"/>
    <s v="Australia"/>
    <s v="Devonport"/>
    <s v="DEVONPORT EXCHANGE"/>
    <n v="423030909300"/>
    <s v="Waste"/>
    <x v="1"/>
    <x v="4"/>
    <s v="Account"/>
    <s v="Remondis Asbestos"/>
    <m/>
    <s v="423030909300_WASBESTOS"/>
    <s v="ASBESTOS"/>
    <s v="Remondis"/>
    <m/>
    <m/>
    <d v="2020-12-01T00:00:00"/>
    <d v="2020-11-01T00:00:00"/>
    <s v="FY21"/>
    <s v="t"/>
    <n v="0.18"/>
    <n v="0"/>
    <n v="0"/>
    <n v="0.18"/>
    <n v="1"/>
    <n v="0"/>
    <n v="0"/>
    <n v="1"/>
    <n v="100"/>
    <n v="0"/>
    <n v="0"/>
    <s v="Consolidation"/>
    <s v="CO2e and Base Measure"/>
    <n v="100"/>
    <n v="100"/>
    <n v="0.18"/>
    <m/>
    <m/>
    <m/>
    <m/>
    <m/>
    <n v="0.216"/>
    <m/>
    <n v="0.216"/>
    <m/>
    <m/>
    <m/>
    <m/>
    <m/>
    <s v="AUD"/>
    <s v="13565441Waste - Construction and Demolition [t]"/>
    <n v="13565441"/>
  </r>
  <r>
    <d v="2019-07-01T00:00:00"/>
    <d v="2021-06-30T00:00:00"/>
    <s v="Telstra"/>
    <s v="NETWORK"/>
    <s v="Network - InfraCo"/>
    <s v="TAS"/>
    <s v="Australia"/>
    <s v="Devonport"/>
    <s v="DEVONPORT EXCHANGE"/>
    <n v="423030909300"/>
    <s v="Waste"/>
    <x v="1"/>
    <x v="4"/>
    <s v="Account"/>
    <s v="Remondis Asbestos"/>
    <m/>
    <s v="423030909300_WASBESTOS"/>
    <s v="ASBESTOS"/>
    <s v="Remondis"/>
    <m/>
    <m/>
    <d v="2020-12-01T00:00:00"/>
    <d v="2020-12-01T00:00:00"/>
    <s v="FY21"/>
    <s v="t"/>
    <n v="0"/>
    <n v="0"/>
    <n v="6.1999999999999998E-3"/>
    <n v="6.1999999999999998E-3"/>
    <n v="0"/>
    <n v="0"/>
    <n v="1"/>
    <n v="1"/>
    <n v="0"/>
    <n v="0"/>
    <n v="100"/>
    <s v="Consolidation"/>
    <s v="CO2e and Base Measure"/>
    <n v="100"/>
    <n v="100"/>
    <n v="0.01"/>
    <m/>
    <m/>
    <m/>
    <m/>
    <m/>
    <n v="7.4000000000000003E-3"/>
    <m/>
    <n v="7.4000000000000003E-3"/>
    <m/>
    <m/>
    <m/>
    <m/>
    <m/>
    <s v="AUD"/>
    <s v="13565441Waste - Construction and Demolition [t]"/>
    <n v="13565441"/>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07-01T00:00:00"/>
    <s v="FY21"/>
    <s v="t"/>
    <n v="0"/>
    <n v="0.126"/>
    <n v="0"/>
    <n v="0.126"/>
    <n v="0"/>
    <n v="4"/>
    <n v="0"/>
    <n v="4"/>
    <n v="0"/>
    <n v="100"/>
    <n v="0"/>
    <s v="Consolidation"/>
    <s v="CO2e and Base Measure"/>
    <n v="100"/>
    <n v="100"/>
    <n v="0.13"/>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08-01T00:00:00"/>
    <s v="FY21"/>
    <s v="t"/>
    <n v="0"/>
    <n v="0.126"/>
    <n v="0"/>
    <n v="0.126"/>
    <n v="0"/>
    <n v="4"/>
    <n v="0"/>
    <n v="4"/>
    <n v="0"/>
    <n v="100"/>
    <n v="0"/>
    <s v="Consolidation"/>
    <s v="CO2e and Base Measure"/>
    <n v="100"/>
    <n v="100"/>
    <n v="0.13"/>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09-01T00:00:00"/>
    <s v="FY21"/>
    <s v="t"/>
    <n v="0"/>
    <n v="0.126"/>
    <n v="0"/>
    <n v="0.126"/>
    <n v="0"/>
    <n v="4"/>
    <n v="0"/>
    <n v="4"/>
    <n v="0"/>
    <n v="100"/>
    <n v="0"/>
    <s v="Consolidation"/>
    <s v="CO2e and Base Measure"/>
    <n v="100"/>
    <n v="100"/>
    <n v="0.13"/>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10-01T00:00:00"/>
    <s v="FY21"/>
    <s v="t"/>
    <n v="0"/>
    <n v="0.126"/>
    <n v="0"/>
    <n v="0.126"/>
    <n v="0"/>
    <n v="4"/>
    <n v="0"/>
    <n v="4"/>
    <n v="0"/>
    <n v="100"/>
    <n v="0"/>
    <s v="Consolidation"/>
    <s v="CO2e and Base Measure"/>
    <n v="100"/>
    <n v="100"/>
    <n v="0.13"/>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11-01T00:00:00"/>
    <s v="FY21"/>
    <s v="t"/>
    <n v="0"/>
    <n v="0.1575"/>
    <n v="0"/>
    <n v="0.1575"/>
    <n v="0"/>
    <n v="5"/>
    <n v="0"/>
    <n v="5"/>
    <n v="0"/>
    <n v="100"/>
    <n v="0"/>
    <s v="Consolidation"/>
    <s v="CO2e and Base Measure"/>
    <n v="100"/>
    <n v="100"/>
    <n v="0.16"/>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65442Waste Recycled - Cardboard [t]"/>
    <n v="13565442"/>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443Waste - General [t] - Scope 3"/>
    <n v="13565443"/>
  </r>
  <r>
    <d v="2019-07-01T00:00:00"/>
    <d v="2021-06-30T00:00:00"/>
    <s v="Telstra"/>
    <s v="NETWORK"/>
    <s v="Network - InfraCo"/>
    <s v="TAS"/>
    <s v="Australia"/>
    <s v="Devonport"/>
    <s v="DEVONPORT EXCHANGE"/>
    <n v="423030909300"/>
    <s v="Recycled Waste"/>
    <x v="0"/>
    <x v="5"/>
    <s v="Account"/>
    <s v="Remondis Metal - Mixed All"/>
    <m/>
    <s v="423030909300_RMETMIXED"/>
    <s v="METAL - MIXED ALL"/>
    <s v="Remondis"/>
    <m/>
    <m/>
    <d v="2020-09-01T00:00:00"/>
    <d v="2020-08-01T00:00:00"/>
    <s v="FY21"/>
    <s v="t"/>
    <n v="0"/>
    <n v="0.52500000000000002"/>
    <n v="0"/>
    <n v="0.52500000000000002"/>
    <n v="0"/>
    <n v="1"/>
    <n v="0"/>
    <n v="1"/>
    <n v="0"/>
    <n v="100"/>
    <n v="0"/>
    <s v="Consolidation"/>
    <s v="CO2e and Base Measure"/>
    <n v="100"/>
    <n v="100"/>
    <n v="0.53"/>
    <m/>
    <m/>
    <m/>
    <m/>
    <m/>
    <m/>
    <m/>
    <m/>
    <m/>
    <m/>
    <m/>
    <m/>
    <m/>
    <s v="AUD"/>
    <s v="13565444Waste Recycled - Construction and Demolition [t]"/>
    <n v="13565444"/>
  </r>
  <r>
    <d v="2019-07-01T00:00:00"/>
    <d v="2021-06-30T00:00:00"/>
    <s v="Telstra"/>
    <s v="NETWORK"/>
    <s v="Network - InfraCo"/>
    <s v="TAS"/>
    <s v="Australia"/>
    <s v="Devonport"/>
    <s v="DEVONPORT EXCHANGE"/>
    <n v="423030909300"/>
    <s v="Recycled Waste"/>
    <x v="0"/>
    <x v="5"/>
    <s v="Account"/>
    <s v="Remondis Metal - Mixed All"/>
    <m/>
    <s v="423030909300_RMETMIXED"/>
    <s v="METAL - MIXED ALL"/>
    <s v="Remondis"/>
    <m/>
    <m/>
    <d v="2020-09-01T00:00:00"/>
    <d v="2020-09-01T00:00:00"/>
    <s v="FY21"/>
    <s v="t"/>
    <n v="0"/>
    <n v="0"/>
    <n v="1.7500000000000002E-2"/>
    <n v="1.7500000000000002E-2"/>
    <n v="0"/>
    <n v="0"/>
    <n v="1"/>
    <n v="1"/>
    <n v="0"/>
    <n v="0"/>
    <n v="100"/>
    <s v="Consolidation"/>
    <s v="CO2e and Base Measure"/>
    <n v="100"/>
    <n v="100"/>
    <n v="0.02"/>
    <m/>
    <m/>
    <m/>
    <m/>
    <m/>
    <m/>
    <m/>
    <m/>
    <m/>
    <m/>
    <m/>
    <m/>
    <m/>
    <s v="AUD"/>
    <s v="13565444Waste Recycled - Construction and Demolition [t]"/>
    <n v="1356544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0-11-01T00:00:00"/>
    <s v="FY21"/>
    <s v="t"/>
    <n v="3.1E-2"/>
    <n v="0"/>
    <n v="0"/>
    <n v="3.1E-2"/>
    <n v="1"/>
    <n v="0"/>
    <n v="0"/>
    <n v="1"/>
    <n v="100"/>
    <n v="0"/>
    <n v="0"/>
    <s v="Consolidation"/>
    <s v="CO2e and Base Measure"/>
    <n v="100"/>
    <n v="100"/>
    <n v="0.03"/>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0-12-01T00:00:00"/>
    <s v="FY21"/>
    <s v="t"/>
    <n v="0.03"/>
    <n v="3.7499999999999999E-2"/>
    <n v="0"/>
    <n v="6.7500000000000004E-2"/>
    <n v="1"/>
    <n v="1"/>
    <n v="0"/>
    <n v="2"/>
    <n v="44.44"/>
    <n v="55.55"/>
    <n v="0"/>
    <s v="Consolidation"/>
    <s v="CO2e and Base Measure"/>
    <n v="100"/>
    <n v="100"/>
    <n v="7.0000000000000007E-2"/>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1-01T00:00:00"/>
    <s v="FY21"/>
    <s v="t"/>
    <n v="0"/>
    <n v="7.4999999999999997E-2"/>
    <n v="0"/>
    <n v="7.4999999999999997E-2"/>
    <n v="0"/>
    <n v="2"/>
    <n v="0"/>
    <n v="2"/>
    <n v="0"/>
    <n v="100"/>
    <n v="0"/>
    <s v="Consolidation"/>
    <s v="CO2e and Base Measure"/>
    <n v="100"/>
    <n v="100"/>
    <n v="0.08"/>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2-01T00:00:00"/>
    <s v="FY21"/>
    <s v="t"/>
    <n v="0.02"/>
    <n v="3.7499999999999999E-2"/>
    <n v="0"/>
    <n v="5.7500000000000002E-2"/>
    <n v="1"/>
    <n v="1"/>
    <n v="0"/>
    <n v="2"/>
    <n v="34.78"/>
    <n v="65.209999999999994"/>
    <n v="0"/>
    <s v="Consolidation"/>
    <s v="CO2e and Base Measure"/>
    <n v="100"/>
    <n v="100"/>
    <n v="0.06"/>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3-01T00:00:00"/>
    <s v="FY21"/>
    <s v="t"/>
    <n v="0.02"/>
    <n v="3.7499999999999999E-2"/>
    <n v="0"/>
    <n v="5.7500000000000002E-2"/>
    <n v="1"/>
    <n v="1"/>
    <n v="0"/>
    <n v="2"/>
    <n v="34.78"/>
    <n v="65.209999999999994"/>
    <n v="0"/>
    <s v="Consolidation"/>
    <s v="CO2e and Base Measure"/>
    <n v="100"/>
    <n v="100"/>
    <n v="0.06"/>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4-01T00:00:00"/>
    <s v="FY21"/>
    <s v="t"/>
    <n v="0"/>
    <n v="0"/>
    <n v="5.7000000000000002E-2"/>
    <n v="5.7000000000000002E-2"/>
    <n v="0"/>
    <n v="0"/>
    <n v="30"/>
    <n v="30"/>
    <n v="0"/>
    <n v="0"/>
    <n v="100"/>
    <s v="Consolidation"/>
    <s v="CO2e and Base Measure"/>
    <n v="100"/>
    <n v="100"/>
    <n v="0.06"/>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5-01T00:00:00"/>
    <s v="FY21"/>
    <s v="t"/>
    <n v="0"/>
    <n v="0"/>
    <n v="5.8900000000000001E-2"/>
    <n v="5.8900000000000001E-2"/>
    <n v="0"/>
    <n v="0"/>
    <n v="31"/>
    <n v="31"/>
    <n v="0"/>
    <n v="0"/>
    <n v="100"/>
    <s v="Consolidation"/>
    <s v="CO2e and Base Measure"/>
    <n v="100"/>
    <n v="100"/>
    <n v="0.06"/>
    <m/>
    <m/>
    <m/>
    <m/>
    <m/>
    <m/>
    <m/>
    <m/>
    <m/>
    <m/>
    <m/>
    <m/>
    <m/>
    <s v="AUD"/>
    <s v="13633974Waste Recycled - Paper and Cardboard [t]"/>
    <n v="13633974"/>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0-12-01T00:00:00"/>
    <s v="FY21"/>
    <s v="t"/>
    <n v="0.26200000000000001"/>
    <n v="0"/>
    <n v="0"/>
    <n v="0.26200000000000001"/>
    <n v="2"/>
    <n v="0"/>
    <n v="0"/>
    <n v="2"/>
    <n v="100"/>
    <n v="0"/>
    <n v="0"/>
    <s v="Consolidation"/>
    <s v="CO2e and Base Measure"/>
    <n v="100"/>
    <n v="100"/>
    <n v="0.26"/>
    <m/>
    <m/>
    <m/>
    <m/>
    <m/>
    <n v="0.34060000000000001"/>
    <m/>
    <n v="0.34060000000000001"/>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1-01T00:00:00"/>
    <s v="FY21"/>
    <s v="t"/>
    <n v="0.13"/>
    <n v="0"/>
    <n v="0"/>
    <n v="0.13"/>
    <n v="2"/>
    <n v="0"/>
    <n v="0"/>
    <n v="2"/>
    <n v="100"/>
    <n v="0"/>
    <n v="0"/>
    <s v="Consolidation"/>
    <s v="CO2e and Base Measure"/>
    <n v="100"/>
    <n v="100"/>
    <n v="0.13"/>
    <m/>
    <m/>
    <m/>
    <m/>
    <m/>
    <n v="0.16900000000000001"/>
    <m/>
    <n v="0.16900000000000001"/>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2-01T00:00:00"/>
    <s v="FY21"/>
    <s v="t"/>
    <n v="0.13700000000000001"/>
    <n v="0"/>
    <n v="0"/>
    <n v="0.13700000000000001"/>
    <n v="2"/>
    <n v="0"/>
    <n v="0"/>
    <n v="2"/>
    <n v="100"/>
    <n v="0"/>
    <n v="0"/>
    <s v="Consolidation"/>
    <s v="CO2e and Base Measure"/>
    <n v="100"/>
    <n v="100"/>
    <n v="0.14000000000000001"/>
    <m/>
    <m/>
    <m/>
    <m/>
    <m/>
    <n v="0.17810000000000001"/>
    <m/>
    <n v="0.17810000000000001"/>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3-01T00:00:00"/>
    <s v="FY21"/>
    <s v="t"/>
    <n v="0.45400000000000001"/>
    <n v="0"/>
    <n v="0"/>
    <n v="0.45400000000000001"/>
    <n v="3"/>
    <n v="0"/>
    <n v="0"/>
    <n v="3"/>
    <n v="100"/>
    <n v="0"/>
    <n v="0"/>
    <s v="Consolidation"/>
    <s v="CO2e and Base Measure"/>
    <n v="100"/>
    <n v="100"/>
    <n v="0.45"/>
    <m/>
    <m/>
    <m/>
    <m/>
    <m/>
    <n v="0.59019999999999995"/>
    <m/>
    <n v="0.59019999999999995"/>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4-01T00:00:00"/>
    <s v="FY21"/>
    <s v="t"/>
    <n v="0"/>
    <n v="0"/>
    <n v="0.246"/>
    <n v="0.246"/>
    <n v="0"/>
    <n v="0"/>
    <n v="30"/>
    <n v="30"/>
    <n v="0"/>
    <n v="0"/>
    <n v="100"/>
    <s v="Consolidation"/>
    <s v="CO2e and Base Measure"/>
    <n v="100"/>
    <n v="100"/>
    <n v="0.25"/>
    <m/>
    <m/>
    <m/>
    <m/>
    <m/>
    <n v="0.31979999999999997"/>
    <m/>
    <n v="0.31979999999999997"/>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5-01T00:00:00"/>
    <s v="FY21"/>
    <s v="t"/>
    <n v="0"/>
    <n v="0"/>
    <n v="0.25419999999999998"/>
    <n v="0.25419999999999998"/>
    <n v="0"/>
    <n v="0"/>
    <n v="31"/>
    <n v="31"/>
    <n v="0"/>
    <n v="0"/>
    <n v="100"/>
    <s v="Consolidation"/>
    <s v="CO2e and Base Measure"/>
    <n v="100"/>
    <n v="100"/>
    <n v="0.25"/>
    <m/>
    <m/>
    <m/>
    <m/>
    <m/>
    <n v="0.33050000000000002"/>
    <m/>
    <n v="0.33050000000000002"/>
    <m/>
    <m/>
    <m/>
    <m/>
    <m/>
    <s v="AUD"/>
    <s v="13634093Waste - General [t] - Scope 3"/>
    <n v="13634093"/>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07-01T00:00:00"/>
    <s v="FY21"/>
    <s v="t"/>
    <n v="0"/>
    <n v="0.1444"/>
    <n v="0"/>
    <n v="0.1444"/>
    <n v="0"/>
    <n v="2"/>
    <n v="0"/>
    <n v="2"/>
    <n v="0"/>
    <n v="100"/>
    <n v="0"/>
    <s v="Consolidation"/>
    <s v="CO2e and Base Measure"/>
    <n v="100"/>
    <n v="100"/>
    <n v="0.14000000000000001"/>
    <m/>
    <m/>
    <m/>
    <m/>
    <m/>
    <n v="0.18770000000000001"/>
    <m/>
    <n v="0.18770000000000001"/>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08-01T00:00:00"/>
    <s v="FY21"/>
    <s v="t"/>
    <n v="0"/>
    <n v="0.1444"/>
    <n v="0"/>
    <n v="0.1444"/>
    <n v="0"/>
    <n v="2"/>
    <n v="0"/>
    <n v="2"/>
    <n v="0"/>
    <n v="100"/>
    <n v="0"/>
    <s v="Consolidation"/>
    <s v="CO2e and Base Measure"/>
    <n v="100"/>
    <n v="100"/>
    <n v="0.14000000000000001"/>
    <m/>
    <m/>
    <m/>
    <m/>
    <m/>
    <n v="0.18770000000000001"/>
    <m/>
    <n v="0.18770000000000001"/>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1-01-01T00:00:00"/>
    <s v="FY21"/>
    <s v="t"/>
    <n v="0"/>
    <n v="0"/>
    <n v="4.7000000000000002E-3"/>
    <n v="4.7000000000000002E-3"/>
    <n v="0"/>
    <n v="0"/>
    <n v="1"/>
    <n v="1"/>
    <n v="0"/>
    <n v="0"/>
    <n v="100"/>
    <s v="Consolidation"/>
    <s v="CO2e and Base Measure"/>
    <n v="100"/>
    <n v="100"/>
    <n v="0"/>
    <m/>
    <m/>
    <m/>
    <m/>
    <m/>
    <n v="6.1000000000000004E-3"/>
    <m/>
    <n v="6.1000000000000004E-3"/>
    <m/>
    <m/>
    <m/>
    <m/>
    <m/>
    <s v="AUD"/>
    <s v="13564260Waste - General [t] - Scope 3"/>
    <n v="13564260"/>
  </r>
  <r>
    <d v="2019-07-01T00:00:00"/>
    <d v="2021-06-30T00:00:00"/>
    <s v="Telstra"/>
    <s v="NETWORK"/>
    <s v="Network - InfraCo"/>
    <s v="WA"/>
    <s v="Australia"/>
    <s v="Scarborough"/>
    <s v="DOUBLEVIEW EXCHANGE"/>
    <n v="423030806900"/>
    <s v="Recycled Waste"/>
    <x v="0"/>
    <x v="3"/>
    <s v="Account"/>
    <s v="Remondis Commingled - Recycled"/>
    <m/>
    <s v="423030806900_RCOMINGLE"/>
    <s v="COMMINGLED - RECYCLED"/>
    <s v="Remondis"/>
    <m/>
    <m/>
    <d v="2020-09-01T00:00:00"/>
    <d v="2020-08-01T00:00:00"/>
    <s v="FY21"/>
    <s v="t"/>
    <n v="0"/>
    <n v="0.111"/>
    <n v="0"/>
    <n v="0.111"/>
    <n v="0"/>
    <n v="1"/>
    <n v="0"/>
    <n v="1"/>
    <n v="0"/>
    <n v="100"/>
    <n v="0"/>
    <s v="Consolidation"/>
    <s v="CO2e and Base Measure"/>
    <n v="100"/>
    <n v="100"/>
    <n v="0.11"/>
    <m/>
    <m/>
    <m/>
    <m/>
    <m/>
    <m/>
    <n v="0"/>
    <m/>
    <m/>
    <m/>
    <m/>
    <m/>
    <m/>
    <s v="AUD"/>
    <s v="13565320Waste Recycled - Commingled [t]"/>
    <n v="13565320"/>
  </r>
  <r>
    <d v="2019-07-01T00:00:00"/>
    <d v="2021-06-30T00:00:00"/>
    <s v="Telstra"/>
    <s v="NETWORK"/>
    <s v="Network - InfraCo"/>
    <s v="WA"/>
    <s v="Australia"/>
    <s v="Scarborough"/>
    <s v="DOUBLEVIEW EXCHANGE"/>
    <n v="423030806900"/>
    <s v="Recycled Waste"/>
    <x v="0"/>
    <x v="3"/>
    <s v="Account"/>
    <s v="Remondis Commingled - Recycled"/>
    <m/>
    <s v="423030806900_RCOMINGLE"/>
    <s v="COMMINGLED - RECYCLED"/>
    <s v="Remondis"/>
    <m/>
    <m/>
    <d v="2020-09-01T00:00:00"/>
    <d v="2020-09-01T00:00:00"/>
    <s v="FY21"/>
    <s v="t"/>
    <n v="0"/>
    <n v="0"/>
    <n v="3.7000000000000002E-3"/>
    <n v="3.7000000000000002E-3"/>
    <n v="0"/>
    <n v="0"/>
    <n v="1"/>
    <n v="1"/>
    <n v="0"/>
    <n v="0"/>
    <n v="100"/>
    <s v="Consolidation"/>
    <s v="CO2e and Base Measure"/>
    <n v="100"/>
    <n v="100"/>
    <n v="0"/>
    <m/>
    <m/>
    <m/>
    <m/>
    <m/>
    <m/>
    <n v="0"/>
    <m/>
    <m/>
    <m/>
    <m/>
    <m/>
    <m/>
    <s v="AUD"/>
    <s v="13565320Waste Recycled - Commingled [t]"/>
    <n v="13565320"/>
  </r>
  <r>
    <d v="2019-07-01T00:00:00"/>
    <d v="2021-06-30T00:00:00"/>
    <s v="Telstra"/>
    <s v="NETWORK"/>
    <s v="Network - InfraCo"/>
    <s v="WA"/>
    <s v="Australia"/>
    <s v="Scarborough"/>
    <s v="DOUBLEVIEW EXCHANGE"/>
    <n v="423030806900"/>
    <s v="Waste"/>
    <x v="1"/>
    <x v="2"/>
    <s v="Account"/>
    <s v="Remondis Commingled - Landfill"/>
    <m/>
    <s v="423030806900_WCOMINGLE"/>
    <s v="COMMINGLED - LANDFILL"/>
    <s v="Remondis"/>
    <m/>
    <d v="2019-11-01T00:00:00"/>
    <d v="2020-08-01T00:00:00"/>
    <d v="2020-07-01T00:00:00"/>
    <s v="FY21"/>
    <s v="t"/>
    <n v="1.6E-2"/>
    <n v="0"/>
    <n v="0"/>
    <n v="1.6E-2"/>
    <n v="1"/>
    <n v="0"/>
    <n v="0"/>
    <n v="1"/>
    <n v="100"/>
    <n v="0"/>
    <n v="0"/>
    <s v="Consolidation"/>
    <s v="CO2e and Base Measure"/>
    <n v="100"/>
    <n v="100"/>
    <n v="0.02"/>
    <m/>
    <m/>
    <m/>
    <m/>
    <m/>
    <n v="2.0799999999999999E-2"/>
    <m/>
    <n v="2.0799999999999999E-2"/>
    <m/>
    <m/>
    <m/>
    <m/>
    <m/>
    <s v="AUD"/>
    <s v="13578186Waste - General [t] - Scope 3"/>
    <n v="13578186"/>
  </r>
  <r>
    <d v="2019-07-01T00:00:00"/>
    <d v="2021-06-30T00:00:00"/>
    <s v="Telstra"/>
    <s v="NETWORK"/>
    <s v="Network - InfraCo"/>
    <s v="WA"/>
    <s v="Australia"/>
    <s v="Scarborough"/>
    <s v="DOUBLEVIEW EXCHANGE"/>
    <n v="423030806900"/>
    <s v="Waste"/>
    <x v="1"/>
    <x v="2"/>
    <s v="Account"/>
    <s v="Remondis Commingled - Landfill"/>
    <m/>
    <s v="423030806900_WCOMINGLE"/>
    <s v="COMMINGLED - LANDFILL"/>
    <s v="Remondis"/>
    <m/>
    <d v="2019-11-01T00:00:00"/>
    <d v="2020-08-01T00:00:00"/>
    <d v="2020-08-01T00:00:00"/>
    <s v="FY21"/>
    <s v="t"/>
    <n v="0"/>
    <n v="0"/>
    <n v="5.0000000000000001E-4"/>
    <n v="5.0000000000000001E-4"/>
    <n v="0"/>
    <n v="0"/>
    <n v="1"/>
    <n v="1"/>
    <n v="0"/>
    <n v="0"/>
    <n v="100"/>
    <s v="Consolidation"/>
    <s v="CO2e and Base Measure"/>
    <n v="100"/>
    <n v="100"/>
    <n v="0"/>
    <m/>
    <m/>
    <m/>
    <m/>
    <m/>
    <n v="6.9999999999999999E-4"/>
    <m/>
    <n v="6.9999999999999999E-4"/>
    <m/>
    <m/>
    <m/>
    <m/>
    <m/>
    <s v="AUD"/>
    <s v="13578186Waste - General [t] - Scope 3"/>
    <n v="13578186"/>
  </r>
  <r>
    <d v="2019-07-01T00:00:00"/>
    <d v="2021-06-30T00:00:00"/>
    <s v="Telstra"/>
    <s v="NETWORK"/>
    <s v="Network - InfraCo"/>
    <s v="WA"/>
    <s v="Australia"/>
    <s v="Scarborough"/>
    <s v="DOUBLEVIEW EXCHANGE"/>
    <n v="423030806900"/>
    <s v="Waste"/>
    <x v="1"/>
    <x v="2"/>
    <s v="Account"/>
    <s v="Remondis General Waste"/>
    <m/>
    <s v="423030806900_WGENERALW"/>
    <s v="GENERAL WASTE"/>
    <s v="Remondis"/>
    <m/>
    <d v="2020-09-24T00:00:00"/>
    <d v="2020-10-01T00:00:00"/>
    <d v="2020-09-01T00:00:00"/>
    <s v="FY21"/>
    <s v="t"/>
    <n v="0"/>
    <n v="8.8800000000000004E-2"/>
    <n v="0"/>
    <n v="8.8800000000000004E-2"/>
    <n v="0"/>
    <n v="1"/>
    <n v="0"/>
    <n v="1"/>
    <n v="0"/>
    <n v="100"/>
    <n v="0"/>
    <s v="Consolidation"/>
    <s v="CO2e and Base Measure"/>
    <n v="100"/>
    <n v="100"/>
    <n v="0.09"/>
    <m/>
    <m/>
    <m/>
    <m/>
    <m/>
    <n v="0.1154"/>
    <m/>
    <n v="0.1154"/>
    <m/>
    <m/>
    <m/>
    <m/>
    <m/>
    <s v="AUD"/>
    <s v="13629327Waste - General [t] - Scope 3"/>
    <n v="13629327"/>
  </r>
  <r>
    <d v="2019-07-01T00:00:00"/>
    <d v="2021-06-30T00:00:00"/>
    <s v="Telstra"/>
    <s v="NETWORK"/>
    <s v="Network - InfraCo"/>
    <s v="WA"/>
    <s v="Australia"/>
    <s v="Scarborough"/>
    <s v="DOUBLEVIEW EXCHANGE"/>
    <n v="423030806900"/>
    <s v="Waste"/>
    <x v="1"/>
    <x v="2"/>
    <s v="Account"/>
    <s v="Remondis General Waste"/>
    <m/>
    <s v="423030806900_WGENERALW"/>
    <s v="GENERAL WASTE"/>
    <s v="Remondis"/>
    <m/>
    <d v="2020-09-24T00:00:00"/>
    <d v="2020-10-01T00:00:00"/>
    <d v="2020-10-01T00:00:00"/>
    <s v="FY21"/>
    <s v="t"/>
    <n v="0"/>
    <n v="0"/>
    <n v="3.0999999999999999E-3"/>
    <n v="3.0999999999999999E-3"/>
    <n v="0"/>
    <n v="0"/>
    <n v="1"/>
    <n v="1"/>
    <n v="0"/>
    <n v="0"/>
    <n v="100"/>
    <s v="Consolidation"/>
    <s v="CO2e and Base Measure"/>
    <n v="100"/>
    <n v="100"/>
    <n v="0"/>
    <m/>
    <m/>
    <m/>
    <m/>
    <m/>
    <n v="4.0000000000000001E-3"/>
    <m/>
    <n v="4.0000000000000001E-3"/>
    <m/>
    <m/>
    <m/>
    <m/>
    <m/>
    <s v="AUD"/>
    <s v="13629327Waste - General [t] - Scope 3"/>
    <n v="13629327"/>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0-12-01T00:00:00"/>
    <s v="FY21"/>
    <s v="t"/>
    <n v="0"/>
    <n v="2.1999999999999999E-2"/>
    <n v="0"/>
    <n v="2.1999999999999999E-2"/>
    <n v="0"/>
    <n v="1"/>
    <n v="0"/>
    <n v="1"/>
    <n v="0"/>
    <n v="100"/>
    <n v="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1-01T00:00:00"/>
    <s v="FY21"/>
    <s v="t"/>
    <n v="0"/>
    <n v="2.1999999999999999E-2"/>
    <n v="0"/>
    <n v="2.1999999999999999E-2"/>
    <n v="0"/>
    <n v="1"/>
    <n v="0"/>
    <n v="1"/>
    <n v="0"/>
    <n v="100"/>
    <n v="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2-01T00:00:00"/>
    <s v="FY21"/>
    <s v="t"/>
    <n v="0"/>
    <n v="2.1999999999999999E-2"/>
    <n v="0"/>
    <n v="2.1999999999999999E-2"/>
    <n v="0"/>
    <n v="1"/>
    <n v="0"/>
    <n v="1"/>
    <n v="0"/>
    <n v="100"/>
    <n v="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3-01T00:00:00"/>
    <s v="FY21"/>
    <s v="t"/>
    <n v="0"/>
    <n v="2.1999999999999999E-2"/>
    <n v="0"/>
    <n v="2.1999999999999999E-2"/>
    <n v="0"/>
    <n v="1"/>
    <n v="0"/>
    <n v="1"/>
    <n v="0"/>
    <n v="100"/>
    <n v="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4-01T00:00:00"/>
    <s v="FY21"/>
    <s v="t"/>
    <n v="0"/>
    <n v="0"/>
    <n v="2.1000000000000001E-2"/>
    <n v="2.1000000000000001E-2"/>
    <n v="0"/>
    <n v="0"/>
    <n v="30"/>
    <n v="30"/>
    <n v="0"/>
    <n v="0"/>
    <n v="10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5-01T00:00:00"/>
    <s v="FY21"/>
    <s v="t"/>
    <n v="0"/>
    <n v="0"/>
    <n v="2.1700000000000001E-2"/>
    <n v="2.1700000000000001E-2"/>
    <n v="0"/>
    <n v="0"/>
    <n v="31"/>
    <n v="31"/>
    <n v="0"/>
    <n v="0"/>
    <n v="100"/>
    <s v="Consolidation"/>
    <s v="CO2e and Base Measure"/>
    <n v="100"/>
    <n v="100"/>
    <n v="0.02"/>
    <m/>
    <m/>
    <m/>
    <m/>
    <m/>
    <m/>
    <n v="0"/>
    <m/>
    <m/>
    <m/>
    <m/>
    <m/>
    <m/>
    <s v="AUD"/>
    <s v="13634094Waste Recycled - Commingled [t]"/>
    <n v="13634094"/>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876Waste - General [t] - Scope 3"/>
    <n v="13564876"/>
  </r>
  <r>
    <d v="2019-07-01T00:00:00"/>
    <d v="2021-06-30T00:00:00"/>
    <s v="Telstra"/>
    <s v="NETWORK"/>
    <s v="Network - InfraCo"/>
    <s v="VIC"/>
    <s v="Australia"/>
    <s v="Warragul"/>
    <s v="DROUIN EXCHANGE"/>
    <n v="423030573200"/>
    <s v="Waste"/>
    <x v="1"/>
    <x v="4"/>
    <s v="Account"/>
    <s v="Remondis Asbestos"/>
    <m/>
    <s v="423030573200_WASBESTOS"/>
    <s v="ASBESTOS"/>
    <s v="Remondis"/>
    <m/>
    <d v="2020-08-14T00:00:00"/>
    <d v="2020-12-01T00:00:00"/>
    <d v="2020-08-01T00:00:00"/>
    <s v="FY21"/>
    <s v="t"/>
    <n v="0"/>
    <n v="1.5"/>
    <n v="0"/>
    <n v="1.5"/>
    <n v="0"/>
    <n v="1"/>
    <n v="0"/>
    <n v="1"/>
    <n v="0"/>
    <n v="100"/>
    <n v="0"/>
    <s v="Consolidation"/>
    <s v="CO2e and Base Measure"/>
    <n v="100"/>
    <n v="100"/>
    <n v="1.5"/>
    <m/>
    <m/>
    <m/>
    <m/>
    <m/>
    <n v="1.8"/>
    <m/>
    <n v="1.8"/>
    <m/>
    <m/>
    <m/>
    <m/>
    <m/>
    <s v="AUD"/>
    <s v="13625666Waste - Construction and Demolition [t]"/>
    <n v="13625666"/>
  </r>
  <r>
    <d v="2019-07-01T00:00:00"/>
    <d v="2021-06-30T00:00:00"/>
    <s v="Telstra"/>
    <s v="NETWORK"/>
    <s v="Network - InfraCo"/>
    <s v="VIC"/>
    <s v="Australia"/>
    <s v="Warragul"/>
    <s v="DROUIN EXCHANGE"/>
    <n v="423030573200"/>
    <s v="Waste"/>
    <x v="1"/>
    <x v="4"/>
    <s v="Account"/>
    <s v="Remondis Asbestos"/>
    <m/>
    <s v="423030573200_WASBESTOS"/>
    <s v="ASBESTOS"/>
    <s v="Remondis"/>
    <m/>
    <d v="2020-08-14T00:00:00"/>
    <d v="2020-12-01T00:00:00"/>
    <d v="2020-11-01T00:00:00"/>
    <s v="FY21"/>
    <s v="t"/>
    <n v="0"/>
    <n v="1.5"/>
    <n v="0"/>
    <n v="1.5"/>
    <n v="0"/>
    <n v="1"/>
    <n v="0"/>
    <n v="1"/>
    <n v="0"/>
    <n v="100"/>
    <n v="0"/>
    <s v="Consolidation"/>
    <s v="CO2e and Base Measure"/>
    <n v="100"/>
    <n v="100"/>
    <n v="1.5"/>
    <m/>
    <m/>
    <m/>
    <m/>
    <m/>
    <n v="1.8"/>
    <m/>
    <n v="1.8"/>
    <m/>
    <m/>
    <m/>
    <m/>
    <m/>
    <s v="AUD"/>
    <s v="13625666Waste - Construction and Demolition [t]"/>
    <n v="13625666"/>
  </r>
  <r>
    <d v="2019-07-01T00:00:00"/>
    <d v="2021-06-30T00:00:00"/>
    <s v="Telstra"/>
    <s v="NETWORK"/>
    <s v="Network - InfraCo"/>
    <s v="VIC"/>
    <s v="Australia"/>
    <s v="Warragul"/>
    <s v="DROUIN EXCHANGE"/>
    <n v="423030573200"/>
    <s v="Waste"/>
    <x v="1"/>
    <x v="4"/>
    <s v="Account"/>
    <s v="Remondis Asbestos"/>
    <m/>
    <s v="423030573200_WASBESTOS"/>
    <s v="ASBESTOS"/>
    <s v="Remondis"/>
    <m/>
    <d v="2020-08-14T00:00:00"/>
    <d v="2020-12-01T00:00:00"/>
    <d v="2020-12-01T00:00:00"/>
    <s v="FY21"/>
    <s v="t"/>
    <n v="0"/>
    <n v="0"/>
    <n v="2.4799999999999999E-2"/>
    <n v="2.4799999999999999E-2"/>
    <n v="0"/>
    <n v="0"/>
    <n v="1"/>
    <n v="1"/>
    <n v="0"/>
    <n v="0"/>
    <n v="100"/>
    <s v="Consolidation"/>
    <s v="CO2e and Base Measure"/>
    <n v="100"/>
    <n v="100"/>
    <n v="0.02"/>
    <m/>
    <m/>
    <m/>
    <m/>
    <m/>
    <n v="2.98E-2"/>
    <m/>
    <n v="2.98E-2"/>
    <m/>
    <m/>
    <m/>
    <m/>
    <m/>
    <s v="AUD"/>
    <s v="13625666Waste - Construction and Demolition [t]"/>
    <n v="13625666"/>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0-12-01T00:00:00"/>
    <s v="FY21"/>
    <s v="t"/>
    <n v="0.57499999999999996"/>
    <n v="0"/>
    <n v="0"/>
    <n v="0.57499999999999996"/>
    <n v="2"/>
    <n v="0"/>
    <n v="0"/>
    <n v="2"/>
    <n v="100"/>
    <n v="0"/>
    <n v="0"/>
    <s v="Consolidation"/>
    <s v="CO2e and Base Measure"/>
    <n v="100"/>
    <n v="100"/>
    <n v="0.57999999999999996"/>
    <m/>
    <m/>
    <m/>
    <m/>
    <m/>
    <n v="0.74750000000000005"/>
    <m/>
    <n v="0.74750000000000005"/>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1-01T00:00:00"/>
    <s v="FY21"/>
    <s v="t"/>
    <n v="0.17899999999999999"/>
    <n v="0.13500000000000001"/>
    <n v="0"/>
    <n v="0.314"/>
    <n v="1"/>
    <n v="1"/>
    <n v="0"/>
    <n v="2"/>
    <n v="57"/>
    <n v="42.99"/>
    <n v="0"/>
    <s v="Consolidation"/>
    <s v="CO2e and Base Measure"/>
    <n v="100"/>
    <n v="100"/>
    <n v="0.31"/>
    <m/>
    <m/>
    <m/>
    <m/>
    <m/>
    <n v="0.40820000000000001"/>
    <m/>
    <n v="0.40820000000000001"/>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2-01T00:00:00"/>
    <s v="FY21"/>
    <s v="t"/>
    <n v="0.28299999999999997"/>
    <n v="0"/>
    <n v="0"/>
    <n v="0.28299999999999997"/>
    <n v="1"/>
    <n v="0"/>
    <n v="0"/>
    <n v="1"/>
    <n v="100"/>
    <n v="0"/>
    <n v="0"/>
    <s v="Consolidation"/>
    <s v="CO2e and Base Measure"/>
    <n v="100"/>
    <n v="100"/>
    <n v="0.28000000000000003"/>
    <m/>
    <m/>
    <m/>
    <m/>
    <m/>
    <n v="0.3679"/>
    <m/>
    <n v="0.3679"/>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3-01T00:00:00"/>
    <s v="FY21"/>
    <s v="t"/>
    <n v="0.314"/>
    <n v="0"/>
    <n v="0"/>
    <n v="0.314"/>
    <n v="2"/>
    <n v="0"/>
    <n v="0"/>
    <n v="2"/>
    <n v="100"/>
    <n v="0"/>
    <n v="0"/>
    <s v="Consolidation"/>
    <s v="CO2e and Base Measure"/>
    <n v="100"/>
    <n v="100"/>
    <n v="0.31"/>
    <m/>
    <m/>
    <m/>
    <m/>
    <m/>
    <n v="0.40820000000000001"/>
    <m/>
    <n v="0.40820000000000001"/>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4-01T00:00:00"/>
    <s v="FY21"/>
    <s v="t"/>
    <n v="0"/>
    <n v="0"/>
    <n v="0.372"/>
    <n v="0.372"/>
    <n v="0"/>
    <n v="0"/>
    <n v="30"/>
    <n v="30"/>
    <n v="0"/>
    <n v="0"/>
    <n v="100"/>
    <s v="Consolidation"/>
    <s v="CO2e and Base Measure"/>
    <n v="100"/>
    <n v="100"/>
    <n v="0.37"/>
    <m/>
    <m/>
    <m/>
    <m/>
    <m/>
    <n v="0.48359999999999997"/>
    <m/>
    <n v="0.48359999999999997"/>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5-01T00:00:00"/>
    <s v="FY21"/>
    <s v="t"/>
    <n v="0"/>
    <n v="0"/>
    <n v="0.38440000000000002"/>
    <n v="0.38440000000000002"/>
    <n v="0"/>
    <n v="0"/>
    <n v="31"/>
    <n v="31"/>
    <n v="0"/>
    <n v="0"/>
    <n v="100"/>
    <s v="Consolidation"/>
    <s v="CO2e and Base Measure"/>
    <n v="100"/>
    <n v="100"/>
    <n v="0.38"/>
    <m/>
    <m/>
    <m/>
    <m/>
    <m/>
    <n v="0.49969999999999998"/>
    <m/>
    <n v="0.49969999999999998"/>
    <m/>
    <m/>
    <m/>
    <m/>
    <m/>
    <s v="AUD"/>
    <s v="13634095Waste - General [t] - Scope 3"/>
    <n v="13634095"/>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642Waste - General [t] - Scope 3"/>
    <n v="13564642"/>
  </r>
  <r>
    <d v="2019-07-01T00:00:00"/>
    <d v="2021-06-30T00:00:00"/>
    <s v="Telstra"/>
    <s v="NETWORK"/>
    <s v="Network - InfraCo"/>
    <s v="VIC"/>
    <s v="Australia"/>
    <s v="Ferntree Gully"/>
    <s v="DUNNS HILL RT"/>
    <n v="423030719000"/>
    <s v="Waste"/>
    <x v="1"/>
    <x v="2"/>
    <s v="Account"/>
    <s v="Remondis General Waste"/>
    <m/>
    <s v="423030719000_WGENERALW"/>
    <s v="GENERAL WASTE"/>
    <s v="Remondis"/>
    <m/>
    <d v="2020-06-17T00:00:00"/>
    <d v="2020-07-01T00:00:00"/>
    <d v="2020-07-01T00:00:00"/>
    <s v="FY21"/>
    <s v="t"/>
    <n v="0"/>
    <n v="0"/>
    <n v="0.08"/>
    <n v="0.08"/>
    <n v="0"/>
    <n v="0"/>
    <n v="1"/>
    <n v="1"/>
    <n v="0"/>
    <n v="0"/>
    <n v="100"/>
    <s v="Consolidation"/>
    <s v="CO2e and Base Measure"/>
    <n v="100"/>
    <n v="100"/>
    <n v="0.08"/>
    <m/>
    <m/>
    <m/>
    <m/>
    <m/>
    <n v="0.104"/>
    <m/>
    <n v="0.104"/>
    <m/>
    <m/>
    <m/>
    <m/>
    <m/>
    <s v="AUD"/>
    <s v="13612593Waste - General [t] - Scope 3"/>
    <n v="13612593"/>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07-01T00:00:00"/>
    <s v="FY21"/>
    <s v="t"/>
    <n v="0.185"/>
    <n v="0"/>
    <n v="0"/>
    <n v="0.185"/>
    <n v="1"/>
    <n v="0"/>
    <n v="0"/>
    <n v="1"/>
    <n v="100"/>
    <n v="0"/>
    <n v="0"/>
    <s v="Consolidation"/>
    <s v="CO2e and Base Measure"/>
    <n v="100"/>
    <n v="100"/>
    <n v="0.19"/>
    <m/>
    <m/>
    <m/>
    <m/>
    <m/>
    <n v="0.24049999999999999"/>
    <m/>
    <n v="0.24049999999999999"/>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08-01T00:00:00"/>
    <s v="FY21"/>
    <s v="t"/>
    <n v="9.5000000000000001E-2"/>
    <n v="0"/>
    <n v="0"/>
    <n v="9.5000000000000001E-2"/>
    <n v="1"/>
    <n v="0"/>
    <n v="0"/>
    <n v="1"/>
    <n v="100"/>
    <n v="0"/>
    <n v="0"/>
    <s v="Consolidation"/>
    <s v="CO2e and Base Measure"/>
    <n v="100"/>
    <n v="100"/>
    <n v="0.1"/>
    <m/>
    <m/>
    <m/>
    <m/>
    <m/>
    <n v="0.1235"/>
    <m/>
    <n v="0.1235"/>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09-01T00:00:00"/>
    <s v="FY21"/>
    <s v="t"/>
    <n v="0.97"/>
    <n v="0"/>
    <n v="0"/>
    <n v="0.97"/>
    <n v="1"/>
    <n v="0"/>
    <n v="0"/>
    <n v="1"/>
    <n v="100"/>
    <n v="0"/>
    <n v="0"/>
    <s v="Consolidation"/>
    <s v="CO2e and Base Measure"/>
    <n v="100"/>
    <n v="100"/>
    <n v="0.97"/>
    <m/>
    <m/>
    <m/>
    <m/>
    <m/>
    <n v="1.2609999999999999"/>
    <m/>
    <n v="1.2609999999999999"/>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10-01T00:00:00"/>
    <s v="FY21"/>
    <s v="t"/>
    <n v="0.42499999999999999"/>
    <n v="0"/>
    <n v="0"/>
    <n v="0.42499999999999999"/>
    <n v="1"/>
    <n v="0"/>
    <n v="0"/>
    <n v="1"/>
    <n v="100"/>
    <n v="0"/>
    <n v="0"/>
    <s v="Consolidation"/>
    <s v="CO2e and Base Measure"/>
    <n v="100"/>
    <n v="100"/>
    <n v="0.43"/>
    <m/>
    <m/>
    <m/>
    <m/>
    <m/>
    <n v="0.55249999999999999"/>
    <m/>
    <n v="0.55249999999999999"/>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11-01T00:00:00"/>
    <s v="FY21"/>
    <s v="t"/>
    <n v="1"/>
    <n v="0"/>
    <n v="0"/>
    <n v="1"/>
    <n v="1"/>
    <n v="0"/>
    <n v="0"/>
    <n v="1"/>
    <n v="100"/>
    <n v="0"/>
    <n v="0"/>
    <s v="Consolidation"/>
    <s v="CO2e and Base Measure"/>
    <n v="100"/>
    <n v="100"/>
    <n v="1"/>
    <m/>
    <m/>
    <m/>
    <m/>
    <m/>
    <n v="1.3"/>
    <m/>
    <n v="1.3"/>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1-01-01T00:00:00"/>
    <s v="FY21"/>
    <s v="t"/>
    <n v="0"/>
    <n v="0"/>
    <n v="1.7000000000000001E-2"/>
    <n v="1.7000000000000001E-2"/>
    <n v="0"/>
    <n v="0"/>
    <n v="1"/>
    <n v="1"/>
    <n v="0"/>
    <n v="0"/>
    <n v="100"/>
    <s v="Consolidation"/>
    <s v="CO2e and Base Measure"/>
    <n v="100"/>
    <n v="100"/>
    <n v="0.02"/>
    <m/>
    <m/>
    <m/>
    <m/>
    <m/>
    <n v="2.2100000000000002E-2"/>
    <m/>
    <n v="2.2100000000000002E-2"/>
    <m/>
    <m/>
    <m/>
    <m/>
    <m/>
    <s v="AUD"/>
    <s v="13564647Waste - General [t] - Scope 3"/>
    <n v="13564647"/>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1-01T00:00:00"/>
    <s v="FY21"/>
    <s v="t"/>
    <n v="0.18"/>
    <n v="0"/>
    <n v="0"/>
    <n v="0.18"/>
    <n v="1"/>
    <n v="0"/>
    <n v="0"/>
    <n v="1"/>
    <n v="100"/>
    <n v="0"/>
    <n v="0"/>
    <s v="Consolidation"/>
    <s v="CO2e and Base Measure"/>
    <n v="100"/>
    <n v="100"/>
    <n v="0.18"/>
    <m/>
    <m/>
    <m/>
    <m/>
    <m/>
    <n v="0.23400000000000001"/>
    <m/>
    <n v="0.23400000000000001"/>
    <m/>
    <m/>
    <m/>
    <m/>
    <m/>
    <s v="AUD"/>
    <s v="13634426Waste - General [t] - Scope 3"/>
    <n v="13634426"/>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2-01T00:00:00"/>
    <s v="FY21"/>
    <s v="t"/>
    <n v="0.12"/>
    <n v="0"/>
    <n v="0"/>
    <n v="0.12"/>
    <n v="1"/>
    <n v="0"/>
    <n v="0"/>
    <n v="1"/>
    <n v="100"/>
    <n v="0"/>
    <n v="0"/>
    <s v="Consolidation"/>
    <s v="CO2e and Base Measure"/>
    <n v="100"/>
    <n v="100"/>
    <n v="0.12"/>
    <m/>
    <m/>
    <m/>
    <m/>
    <m/>
    <n v="0.156"/>
    <m/>
    <n v="0.156"/>
    <m/>
    <m/>
    <m/>
    <m/>
    <m/>
    <s v="AUD"/>
    <s v="13634426Waste - General [t] - Scope 3"/>
    <n v="13634426"/>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3-01T00:00:00"/>
    <s v="FY21"/>
    <s v="t"/>
    <n v="0.16"/>
    <n v="0"/>
    <n v="0"/>
    <n v="0.16"/>
    <n v="1"/>
    <n v="0"/>
    <n v="0"/>
    <n v="1"/>
    <n v="100"/>
    <n v="0"/>
    <n v="0"/>
    <s v="Consolidation"/>
    <s v="CO2e and Base Measure"/>
    <n v="100"/>
    <n v="100"/>
    <n v="0.16"/>
    <m/>
    <m/>
    <m/>
    <m/>
    <m/>
    <n v="0.20799999999999999"/>
    <m/>
    <n v="0.20799999999999999"/>
    <m/>
    <m/>
    <m/>
    <m/>
    <m/>
    <s v="AUD"/>
    <s v="13634426Waste - General [t] - Scope 3"/>
    <n v="13634426"/>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4-01T00:00:00"/>
    <s v="FY21"/>
    <s v="t"/>
    <n v="0"/>
    <n v="0"/>
    <n v="0.156"/>
    <n v="0.156"/>
    <n v="0"/>
    <n v="0"/>
    <n v="30"/>
    <n v="30"/>
    <n v="0"/>
    <n v="0"/>
    <n v="100"/>
    <s v="Consolidation"/>
    <s v="CO2e and Base Measure"/>
    <n v="100"/>
    <n v="100"/>
    <n v="0.16"/>
    <m/>
    <m/>
    <m/>
    <m/>
    <m/>
    <n v="0.20280000000000001"/>
    <m/>
    <n v="0.20280000000000001"/>
    <m/>
    <m/>
    <m/>
    <m/>
    <m/>
    <s v="AUD"/>
    <s v="13634426Waste - General [t] - Scope 3"/>
    <n v="13634426"/>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5-01T00:00:00"/>
    <s v="FY21"/>
    <s v="t"/>
    <n v="0"/>
    <n v="0"/>
    <n v="0.16120000000000001"/>
    <n v="0.16120000000000001"/>
    <n v="0"/>
    <n v="0"/>
    <n v="31"/>
    <n v="31"/>
    <n v="0"/>
    <n v="0"/>
    <n v="100"/>
    <s v="Consolidation"/>
    <s v="CO2e and Base Measure"/>
    <n v="100"/>
    <n v="100"/>
    <n v="0.16"/>
    <m/>
    <m/>
    <m/>
    <m/>
    <m/>
    <n v="0.20960000000000001"/>
    <m/>
    <n v="0.20960000000000001"/>
    <m/>
    <m/>
    <m/>
    <m/>
    <m/>
    <s v="AUD"/>
    <s v="13634426Waste - General [t] - Scope 3"/>
    <n v="13634426"/>
  </r>
  <r>
    <d v="2019-07-01T00:00:00"/>
    <d v="2021-06-30T00:00:00"/>
    <s v="Telstra"/>
    <s v="NETWORK"/>
    <s v="Network - InfraCo"/>
    <s v="NSW"/>
    <s v="Australia"/>
    <s v="East Maitland"/>
    <s v="EAST MAITLAND EXCHANGE BG 1"/>
    <n v="423030344700"/>
    <s v="Waste"/>
    <x v="1"/>
    <x v="4"/>
    <s v="Account"/>
    <s v="Remondis Asbestos"/>
    <m/>
    <s v="423030344700_WASBESTOS"/>
    <s v="ASBESTOS"/>
    <s v="Remondis"/>
    <m/>
    <m/>
    <d v="2021-02-01T00:00:00"/>
    <d v="2020-08-01T00:00:00"/>
    <s v="FY21"/>
    <s v="t"/>
    <n v="0.8"/>
    <n v="0"/>
    <n v="0"/>
    <n v="0.8"/>
    <n v="1"/>
    <n v="0"/>
    <n v="0"/>
    <n v="1"/>
    <n v="100"/>
    <n v="0"/>
    <n v="0"/>
    <s v="Consolidation"/>
    <s v="CO2e and Base Measure"/>
    <n v="100"/>
    <n v="100"/>
    <n v="0.8"/>
    <m/>
    <m/>
    <m/>
    <m/>
    <m/>
    <n v="0.96"/>
    <m/>
    <n v="0.96"/>
    <m/>
    <m/>
    <m/>
    <m/>
    <m/>
    <s v="AUD"/>
    <s v="13564643Waste - Construction and Demolition [t]"/>
    <n v="13564643"/>
  </r>
  <r>
    <d v="2019-07-01T00:00:00"/>
    <d v="2021-06-30T00:00:00"/>
    <s v="Telstra"/>
    <s v="NETWORK"/>
    <s v="Network - InfraCo"/>
    <s v="NSW"/>
    <s v="Australia"/>
    <s v="East Maitland"/>
    <s v="EAST MAITLAND EXCHANGE BG 1"/>
    <n v="423030344700"/>
    <s v="Waste"/>
    <x v="1"/>
    <x v="4"/>
    <s v="Account"/>
    <s v="Remondis Asbestos"/>
    <m/>
    <s v="423030344700_WASBESTOS"/>
    <s v="ASBESTOS"/>
    <s v="Remondis"/>
    <m/>
    <m/>
    <d v="2021-02-01T00:00:00"/>
    <d v="2021-01-01T00:00:00"/>
    <s v="FY21"/>
    <s v="t"/>
    <n v="0.7"/>
    <n v="0"/>
    <n v="0"/>
    <n v="0.7"/>
    <n v="1"/>
    <n v="0"/>
    <n v="0"/>
    <n v="1"/>
    <n v="100"/>
    <n v="0"/>
    <n v="0"/>
    <s v="Consolidation"/>
    <s v="CO2e and Base Measure"/>
    <n v="100"/>
    <n v="100"/>
    <n v="0.7"/>
    <m/>
    <m/>
    <m/>
    <m/>
    <m/>
    <n v="0.84"/>
    <m/>
    <n v="0.84"/>
    <m/>
    <m/>
    <m/>
    <m/>
    <m/>
    <s v="AUD"/>
    <s v="13564643Waste - Construction and Demolition [t]"/>
    <n v="13564643"/>
  </r>
  <r>
    <d v="2019-07-01T00:00:00"/>
    <d v="2021-06-30T00:00:00"/>
    <s v="Telstra"/>
    <s v="NETWORK"/>
    <s v="Network - InfraCo"/>
    <s v="NSW"/>
    <s v="Australia"/>
    <s v="East Maitland"/>
    <s v="EAST MAITLAND EXCHANGE BG 1"/>
    <n v="423030344700"/>
    <s v="Waste"/>
    <x v="1"/>
    <x v="4"/>
    <s v="Account"/>
    <s v="Remondis Asbestos"/>
    <m/>
    <s v="423030344700_WASBESTOS"/>
    <s v="ASBESTOS"/>
    <s v="Remondis"/>
    <m/>
    <m/>
    <d v="2021-02-01T00:00:00"/>
    <d v="2021-02-01T00:00:00"/>
    <s v="FY21"/>
    <s v="t"/>
    <n v="0"/>
    <n v="0"/>
    <n v="9.2999999999999992E-3"/>
    <n v="9.2999999999999992E-3"/>
    <n v="0"/>
    <n v="0"/>
    <n v="1"/>
    <n v="1"/>
    <n v="0"/>
    <n v="0"/>
    <n v="100"/>
    <s v="Consolidation"/>
    <s v="CO2e and Base Measure"/>
    <n v="100"/>
    <n v="100"/>
    <n v="0.01"/>
    <m/>
    <m/>
    <m/>
    <m/>
    <m/>
    <n v="1.12E-2"/>
    <m/>
    <n v="1.12E-2"/>
    <m/>
    <m/>
    <m/>
    <m/>
    <m/>
    <s v="AUD"/>
    <s v="13564643Waste - Construction and Demolition [t]"/>
    <n v="13564643"/>
  </r>
  <r>
    <d v="2019-07-01T00:00:00"/>
    <d v="2021-06-30T00:00:00"/>
    <s v="Telstra"/>
    <s v="NETWORK"/>
    <s v="Network - InfraCo"/>
    <s v="NSW"/>
    <s v="Australia"/>
    <s v="East Maitland"/>
    <s v="EAST MAITLAND EXCHANGE BG 1"/>
    <n v="423030344700"/>
    <s v="Recycled Waste"/>
    <x v="0"/>
    <x v="0"/>
    <s v="Account"/>
    <s v="Remondis Cardboard - Loose - Recycled"/>
    <m/>
    <s v="4230303447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644Waste Recycled - Cardboard [t]"/>
    <n v="13564644"/>
  </r>
  <r>
    <d v="2019-07-01T00:00:00"/>
    <d v="2021-06-30T00:00:00"/>
    <s v="Telstra"/>
    <s v="NETWORK"/>
    <s v="Network - InfraCo"/>
    <s v="NSW"/>
    <s v="Australia"/>
    <s v="East Maitland"/>
    <s v="EAST MAITLAND EXCHANGE BG 1"/>
    <n v="423030344700"/>
    <s v="Recycled Waste"/>
    <x v="0"/>
    <x v="0"/>
    <s v="Account"/>
    <s v="Remondis Cardboard - Loose - Recycled"/>
    <m/>
    <s v="423030344700_RCARDBOAR"/>
    <s v="CARDBOARD - LOOSE - RECYCLED"/>
    <s v="Remondis"/>
    <m/>
    <m/>
    <d v="2021-01-01T00:00:00"/>
    <d v="2021-01-01T00:00:00"/>
    <s v="FY21"/>
    <s v="t"/>
    <n v="0"/>
    <n v="0"/>
    <n v="8.9999999999999998E-4"/>
    <n v="8.9999999999999998E-4"/>
    <n v="0"/>
    <n v="0"/>
    <n v="1"/>
    <n v="1"/>
    <n v="0"/>
    <n v="0"/>
    <n v="100"/>
    <s v="Consolidation"/>
    <s v="CO2e and Base Measure"/>
    <n v="100"/>
    <n v="100"/>
    <n v="0"/>
    <m/>
    <m/>
    <m/>
    <m/>
    <m/>
    <m/>
    <n v="0"/>
    <m/>
    <m/>
    <m/>
    <m/>
    <m/>
    <m/>
    <s v="AUD"/>
    <s v="13564644Waste Recycled - Cardboard [t]"/>
    <n v="13564644"/>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07-01T00:00:00"/>
    <s v="FY21"/>
    <s v="t"/>
    <n v="0.13500000000000001"/>
    <n v="0"/>
    <n v="0"/>
    <n v="0.13500000000000001"/>
    <n v="1"/>
    <n v="0"/>
    <n v="0"/>
    <n v="1"/>
    <n v="100"/>
    <n v="0"/>
    <n v="0"/>
    <s v="Consolidation"/>
    <s v="CO2e and Base Measure"/>
    <n v="100"/>
    <n v="100"/>
    <n v="0.14000000000000001"/>
    <m/>
    <m/>
    <m/>
    <m/>
    <m/>
    <n v="0.17549999999999999"/>
    <m/>
    <n v="0.17549999999999999"/>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08-01T00:00:00"/>
    <s v="FY21"/>
    <s v="t"/>
    <n v="0.37"/>
    <n v="0"/>
    <n v="0"/>
    <n v="0.37"/>
    <n v="1"/>
    <n v="0"/>
    <n v="0"/>
    <n v="1"/>
    <n v="100"/>
    <n v="0"/>
    <n v="0"/>
    <s v="Consolidation"/>
    <s v="CO2e and Base Measure"/>
    <n v="100"/>
    <n v="100"/>
    <n v="0.37"/>
    <m/>
    <m/>
    <m/>
    <m/>
    <m/>
    <n v="0.48099999999999998"/>
    <m/>
    <n v="0.48099999999999998"/>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09-01T00:00:00"/>
    <s v="FY21"/>
    <s v="t"/>
    <n v="0.435"/>
    <n v="0"/>
    <n v="0"/>
    <n v="0.435"/>
    <n v="1"/>
    <n v="0"/>
    <n v="0"/>
    <n v="1"/>
    <n v="100"/>
    <n v="0"/>
    <n v="0"/>
    <s v="Consolidation"/>
    <s v="CO2e and Base Measure"/>
    <n v="100"/>
    <n v="100"/>
    <n v="0.44"/>
    <m/>
    <m/>
    <m/>
    <m/>
    <m/>
    <n v="0.5655"/>
    <m/>
    <n v="0.5655"/>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10-01T00:00:00"/>
    <s v="FY21"/>
    <s v="t"/>
    <n v="0.41"/>
    <n v="0"/>
    <n v="0"/>
    <n v="0.41"/>
    <n v="2"/>
    <n v="0"/>
    <n v="0"/>
    <n v="2"/>
    <n v="100"/>
    <n v="0"/>
    <n v="0"/>
    <s v="Consolidation"/>
    <s v="CO2e and Base Measure"/>
    <n v="100"/>
    <n v="100"/>
    <n v="0.41"/>
    <m/>
    <m/>
    <m/>
    <m/>
    <m/>
    <n v="0.53300000000000003"/>
    <m/>
    <n v="0.53300000000000003"/>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11-01T00:00:00"/>
    <s v="FY21"/>
    <s v="t"/>
    <n v="3.17"/>
    <n v="0"/>
    <n v="0"/>
    <n v="3.17"/>
    <n v="2"/>
    <n v="0"/>
    <n v="0"/>
    <n v="2"/>
    <n v="100"/>
    <n v="0"/>
    <n v="0"/>
    <s v="Consolidation"/>
    <s v="CO2e and Base Measure"/>
    <n v="100"/>
    <n v="100"/>
    <n v="3.17"/>
    <m/>
    <m/>
    <m/>
    <m/>
    <m/>
    <n v="4.1210000000000004"/>
    <m/>
    <n v="4.1210000000000004"/>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1-01-01T00:00:00"/>
    <s v="FY21"/>
    <s v="t"/>
    <n v="0"/>
    <n v="0"/>
    <n v="2.4E-2"/>
    <n v="2.4E-2"/>
    <n v="0"/>
    <n v="0"/>
    <n v="1"/>
    <n v="1"/>
    <n v="0"/>
    <n v="0"/>
    <n v="100"/>
    <s v="Consolidation"/>
    <s v="CO2e and Base Measure"/>
    <n v="100"/>
    <n v="100"/>
    <n v="0.02"/>
    <m/>
    <m/>
    <m/>
    <m/>
    <m/>
    <n v="3.1199999999999999E-2"/>
    <m/>
    <n v="3.1199999999999999E-2"/>
    <m/>
    <m/>
    <m/>
    <m/>
    <m/>
    <s v="AUD"/>
    <s v="13564645Waste - General [t] - Scope 3"/>
    <n v="13564645"/>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0-12-01T00:00:00"/>
    <s v="FY21"/>
    <s v="t"/>
    <n v="1.4E-2"/>
    <n v="0"/>
    <n v="0"/>
    <n v="1.4E-2"/>
    <n v="1"/>
    <n v="0"/>
    <n v="0"/>
    <n v="1"/>
    <n v="100"/>
    <n v="0"/>
    <n v="0"/>
    <s v="Consolidation"/>
    <s v="CO2e and Base Measure"/>
    <n v="100"/>
    <n v="100"/>
    <n v="0.01"/>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1-01T00:00:00"/>
    <s v="FY21"/>
    <s v="t"/>
    <n v="4.9000000000000002E-2"/>
    <n v="0"/>
    <n v="0"/>
    <n v="4.9000000000000002E-2"/>
    <n v="1"/>
    <n v="0"/>
    <n v="0"/>
    <n v="1"/>
    <n v="100"/>
    <n v="0"/>
    <n v="0"/>
    <s v="Consolidation"/>
    <s v="CO2e and Base Measure"/>
    <n v="100"/>
    <n v="100"/>
    <n v="0.05"/>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2-01T00:00:00"/>
    <s v="FY21"/>
    <s v="t"/>
    <n v="0"/>
    <n v="0"/>
    <n v="2.8000000000000001E-2"/>
    <n v="2.8000000000000001E-2"/>
    <n v="0"/>
    <n v="0"/>
    <n v="28"/>
    <n v="28"/>
    <n v="0"/>
    <n v="0"/>
    <n v="100"/>
    <s v="Consolidation"/>
    <s v="CO2e and Base Measure"/>
    <n v="100"/>
    <n v="100"/>
    <n v="0.03"/>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3-01T00:00:00"/>
    <s v="FY21"/>
    <s v="t"/>
    <n v="0"/>
    <n v="0"/>
    <n v="3.1E-2"/>
    <n v="3.1E-2"/>
    <n v="0"/>
    <n v="0"/>
    <n v="31"/>
    <n v="31"/>
    <n v="0"/>
    <n v="0"/>
    <n v="100"/>
    <s v="Consolidation"/>
    <s v="CO2e and Base Measure"/>
    <n v="100"/>
    <n v="100"/>
    <n v="0.03"/>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4-01T00:00:00"/>
    <s v="FY21"/>
    <s v="t"/>
    <n v="0"/>
    <n v="0"/>
    <n v="0.03"/>
    <n v="0.03"/>
    <n v="0"/>
    <n v="0"/>
    <n v="30"/>
    <n v="30"/>
    <n v="0"/>
    <n v="0"/>
    <n v="100"/>
    <s v="Consolidation"/>
    <s v="CO2e and Base Measure"/>
    <n v="100"/>
    <n v="100"/>
    <n v="0.03"/>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5-01T00:00:00"/>
    <s v="FY21"/>
    <s v="t"/>
    <n v="0"/>
    <n v="0"/>
    <n v="3.1E-2"/>
    <n v="3.1E-2"/>
    <n v="0"/>
    <n v="0"/>
    <n v="31"/>
    <n v="31"/>
    <n v="0"/>
    <n v="0"/>
    <n v="100"/>
    <s v="Consolidation"/>
    <s v="CO2e and Base Measure"/>
    <n v="100"/>
    <n v="100"/>
    <n v="0.03"/>
    <m/>
    <m/>
    <m/>
    <m/>
    <m/>
    <m/>
    <m/>
    <m/>
    <m/>
    <m/>
    <m/>
    <m/>
    <m/>
    <s v="AUD"/>
    <s v="13634096Waste Recycled - Paper and Cardboard [t]"/>
    <n v="13634096"/>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1-01T00:00:00"/>
    <s v="FY21"/>
    <s v="t"/>
    <n v="0.29699999999999999"/>
    <n v="2.1600000000000001E-2"/>
    <n v="0"/>
    <n v="0.31859999999999999"/>
    <n v="1"/>
    <n v="1"/>
    <n v="0"/>
    <n v="2"/>
    <n v="93.22"/>
    <n v="6.77"/>
    <n v="0"/>
    <s v="Consolidation"/>
    <s v="CO2e and Base Measure"/>
    <n v="100"/>
    <n v="100"/>
    <n v="0.32"/>
    <m/>
    <m/>
    <m/>
    <m/>
    <m/>
    <n v="0.41420000000000001"/>
    <m/>
    <n v="0.41420000000000001"/>
    <m/>
    <m/>
    <m/>
    <m/>
    <m/>
    <s v="AUD"/>
    <s v="13634427Waste - General [t] - Scope 3"/>
    <n v="13634427"/>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2-01T00:00:00"/>
    <s v="FY21"/>
    <s v="t"/>
    <n v="0.19"/>
    <n v="0"/>
    <n v="0"/>
    <n v="0.19"/>
    <n v="1"/>
    <n v="0"/>
    <n v="0"/>
    <n v="1"/>
    <n v="100"/>
    <n v="0"/>
    <n v="0"/>
    <s v="Consolidation"/>
    <s v="CO2e and Base Measure"/>
    <n v="100"/>
    <n v="100"/>
    <n v="0.19"/>
    <m/>
    <m/>
    <m/>
    <m/>
    <m/>
    <n v="0.247"/>
    <m/>
    <n v="0.247"/>
    <m/>
    <m/>
    <m/>
    <m/>
    <m/>
    <s v="AUD"/>
    <s v="13634427Waste - General [t] - Scope 3"/>
    <n v="13634427"/>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3-01T00:00:00"/>
    <s v="FY21"/>
    <s v="t"/>
    <n v="0.17799999999999999"/>
    <n v="2.1600000000000001E-2"/>
    <n v="0"/>
    <n v="0.1996"/>
    <n v="1"/>
    <n v="1"/>
    <n v="0"/>
    <n v="2"/>
    <n v="89.17"/>
    <n v="10.82"/>
    <n v="0"/>
    <s v="Consolidation"/>
    <s v="CO2e and Base Measure"/>
    <n v="100"/>
    <n v="100"/>
    <n v="0.2"/>
    <m/>
    <m/>
    <m/>
    <m/>
    <m/>
    <n v="0.25950000000000001"/>
    <m/>
    <n v="0.25950000000000001"/>
    <m/>
    <m/>
    <m/>
    <m/>
    <m/>
    <s v="AUD"/>
    <s v="13634427Waste - General [t] - Scope 3"/>
    <n v="13634427"/>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4-01T00:00:00"/>
    <s v="FY21"/>
    <s v="t"/>
    <n v="0"/>
    <n v="0"/>
    <n v="0.24"/>
    <n v="0.24"/>
    <n v="0"/>
    <n v="0"/>
    <n v="30"/>
    <n v="30"/>
    <n v="0"/>
    <n v="0"/>
    <n v="100"/>
    <s v="Consolidation"/>
    <s v="CO2e and Base Measure"/>
    <n v="100"/>
    <n v="100"/>
    <n v="0.24"/>
    <m/>
    <m/>
    <m/>
    <m/>
    <m/>
    <n v="0.312"/>
    <m/>
    <n v="0.312"/>
    <m/>
    <m/>
    <m/>
    <m/>
    <m/>
    <s v="AUD"/>
    <s v="13634427Waste - General [t] - Scope 3"/>
    <n v="13634427"/>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5-01T00:00:00"/>
    <s v="FY21"/>
    <s v="t"/>
    <n v="0"/>
    <n v="0"/>
    <n v="0.248"/>
    <n v="0.248"/>
    <n v="0"/>
    <n v="0"/>
    <n v="31"/>
    <n v="31"/>
    <n v="0"/>
    <n v="0"/>
    <n v="100"/>
    <s v="Consolidation"/>
    <s v="CO2e and Base Measure"/>
    <n v="100"/>
    <n v="100"/>
    <n v="0.25"/>
    <m/>
    <m/>
    <m/>
    <m/>
    <m/>
    <n v="0.32240000000000002"/>
    <m/>
    <n v="0.32240000000000002"/>
    <m/>
    <m/>
    <m/>
    <m/>
    <m/>
    <s v="AUD"/>
    <s v="13634427Waste - General [t] - Scope 3"/>
    <n v="136344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0-07-01T00:00:00"/>
    <s v="FY21"/>
    <s v="t"/>
    <n v="2.7E-2"/>
    <n v="0"/>
    <n v="0"/>
    <n v="2.7E-2"/>
    <n v="1"/>
    <n v="0"/>
    <n v="0"/>
    <n v="1"/>
    <n v="100"/>
    <n v="0"/>
    <n v="0"/>
    <s v="Consolidation"/>
    <s v="CO2e and Base Measure"/>
    <n v="100"/>
    <n v="100"/>
    <n v="0.03"/>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0-08-01T00:00:00"/>
    <s v="FY21"/>
    <s v="t"/>
    <n v="2.7E-2"/>
    <n v="0"/>
    <n v="0"/>
    <n v="2.7E-2"/>
    <n v="1"/>
    <n v="0"/>
    <n v="0"/>
    <n v="1"/>
    <n v="100"/>
    <n v="0"/>
    <n v="0"/>
    <s v="Consolidation"/>
    <s v="CO2e and Base Measure"/>
    <n v="100"/>
    <n v="100"/>
    <n v="0.03"/>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0-10-01T00:00:00"/>
    <s v="FY21"/>
    <s v="t"/>
    <n v="2.7E-2"/>
    <n v="0"/>
    <n v="0"/>
    <n v="2.7E-2"/>
    <n v="1"/>
    <n v="0"/>
    <n v="0"/>
    <n v="1"/>
    <n v="100"/>
    <n v="0"/>
    <n v="0"/>
    <s v="Consolidation"/>
    <s v="CO2e and Base Measure"/>
    <n v="100"/>
    <n v="100"/>
    <n v="0.03"/>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0-12-01T00:00:00"/>
    <s v="FY21"/>
    <s v="t"/>
    <n v="2.7E-2"/>
    <n v="0"/>
    <n v="0"/>
    <n v="2.7E-2"/>
    <n v="1"/>
    <n v="0"/>
    <n v="0"/>
    <n v="1"/>
    <n v="100"/>
    <n v="0"/>
    <n v="0"/>
    <s v="Consolidation"/>
    <s v="CO2e and Base Measure"/>
    <n v="100"/>
    <n v="100"/>
    <n v="0.03"/>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527Waste Recycled - Paper and Cardboard [t]"/>
    <n v="13566527"/>
  </r>
  <r>
    <d v="2019-07-01T00:00:00"/>
    <d v="2021-06-30T00:00:00"/>
    <s v="Telstra"/>
    <s v="NETWORK"/>
    <s v="Network - Telstra/InfraCo Split"/>
    <s v="NSW"/>
    <s v="Australia"/>
    <s v="Matraville"/>
    <s v="Eastgardens Westfield"/>
    <n v="423039900102"/>
    <s v="Waste"/>
    <x v="1"/>
    <x v="2"/>
    <s v="Account"/>
    <s v="Remondis General Waste"/>
    <m/>
    <s v="423031631100_WGENERALW"/>
    <s v="GENERAL WASTE"/>
    <s v="Remondis"/>
    <m/>
    <m/>
    <d v="2021-01-01T00:00:00"/>
    <d v="2020-12-01T00:00:00"/>
    <s v="FY21"/>
    <s v="t"/>
    <n v="0"/>
    <n v="4.2900000000000001E-2"/>
    <n v="0"/>
    <n v="4.2900000000000001E-2"/>
    <n v="0"/>
    <n v="1"/>
    <n v="0"/>
    <n v="1"/>
    <n v="0"/>
    <n v="100"/>
    <n v="0"/>
    <s v="Consolidation"/>
    <s v="CO2e and Base Measure"/>
    <n v="100"/>
    <n v="100"/>
    <n v="0.04"/>
    <m/>
    <m/>
    <m/>
    <m/>
    <m/>
    <n v="5.5800000000000002E-2"/>
    <m/>
    <n v="5.5800000000000002E-2"/>
    <m/>
    <m/>
    <m/>
    <m/>
    <m/>
    <s v="AUD"/>
    <s v="13565994Waste - General [t] - Scope 3"/>
    <n v="13565994"/>
  </r>
  <r>
    <d v="2019-07-01T00:00:00"/>
    <d v="2021-06-30T00:00:00"/>
    <s v="Telstra"/>
    <s v="NETWORK"/>
    <s v="Network - Telstra/InfraCo Split"/>
    <s v="NSW"/>
    <s v="Australia"/>
    <s v="Matraville"/>
    <s v="Eastgardens Westfield"/>
    <n v="423039900102"/>
    <s v="Waste"/>
    <x v="1"/>
    <x v="2"/>
    <s v="Account"/>
    <s v="Remondis General Waste"/>
    <m/>
    <s v="423031631100_WGENERALW"/>
    <s v="GENERAL WASTE"/>
    <s v="Remondis"/>
    <m/>
    <m/>
    <d v="2021-01-01T00:00:00"/>
    <d v="2021-01-01T00:00:00"/>
    <s v="FY21"/>
    <s v="t"/>
    <n v="0"/>
    <n v="0"/>
    <n v="1.4E-3"/>
    <n v="1.4E-3"/>
    <n v="0"/>
    <n v="0"/>
    <n v="1"/>
    <n v="1"/>
    <n v="0"/>
    <n v="0"/>
    <n v="100"/>
    <s v="Consolidation"/>
    <s v="CO2e and Base Measure"/>
    <n v="100"/>
    <n v="100"/>
    <n v="0"/>
    <m/>
    <m/>
    <m/>
    <m/>
    <m/>
    <n v="1.8E-3"/>
    <m/>
    <n v="1.8E-3"/>
    <m/>
    <m/>
    <m/>
    <m/>
    <m/>
    <s v="AUD"/>
    <s v="13565994Waste - General [t] - Scope 3"/>
    <n v="13565994"/>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07-01T00:00:00"/>
    <s v="FY21"/>
    <s v="t"/>
    <n v="2.7E-2"/>
    <n v="0"/>
    <n v="0"/>
    <n v="2.7E-2"/>
    <n v="2"/>
    <n v="0"/>
    <n v="0"/>
    <n v="2"/>
    <n v="100"/>
    <n v="0"/>
    <n v="0"/>
    <s v="Consolidation"/>
    <s v="CO2e and Base Measure"/>
    <n v="100"/>
    <n v="100"/>
    <n v="0.03"/>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08-01T00:00:00"/>
    <s v="FY21"/>
    <s v="t"/>
    <n v="1.35E-2"/>
    <n v="0"/>
    <n v="0"/>
    <n v="1.35E-2"/>
    <n v="1"/>
    <n v="0"/>
    <n v="0"/>
    <n v="1"/>
    <n v="100"/>
    <n v="0"/>
    <n v="0"/>
    <s v="Consolidation"/>
    <s v="CO2e and Base Measure"/>
    <n v="100"/>
    <n v="100"/>
    <n v="0.01"/>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09-01T00:00:00"/>
    <s v="FY21"/>
    <s v="t"/>
    <n v="2E-3"/>
    <n v="0"/>
    <n v="0"/>
    <n v="2E-3"/>
    <n v="1"/>
    <n v="0"/>
    <n v="0"/>
    <n v="1"/>
    <n v="100"/>
    <n v="0"/>
    <n v="0"/>
    <s v="Consolidation"/>
    <s v="CO2e and Base Measure"/>
    <n v="100"/>
    <n v="100"/>
    <n v="0"/>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10-01T00:00:00"/>
    <s v="FY21"/>
    <s v="t"/>
    <n v="2.7E-2"/>
    <n v="0"/>
    <n v="0"/>
    <n v="2.7E-2"/>
    <n v="1"/>
    <n v="0"/>
    <n v="0"/>
    <n v="1"/>
    <n v="100"/>
    <n v="0"/>
    <n v="0"/>
    <s v="Consolidation"/>
    <s v="CO2e and Base Measure"/>
    <n v="100"/>
    <n v="100"/>
    <n v="0.03"/>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11-01T00:00:00"/>
    <s v="FY21"/>
    <s v="t"/>
    <n v="2.7E-2"/>
    <n v="0"/>
    <n v="0"/>
    <n v="2.7E-2"/>
    <n v="1"/>
    <n v="0"/>
    <n v="0"/>
    <n v="1"/>
    <n v="100"/>
    <n v="0"/>
    <n v="0"/>
    <s v="Consolidation"/>
    <s v="CO2e and Base Measure"/>
    <n v="100"/>
    <n v="100"/>
    <n v="0.03"/>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12-01T00:00:00"/>
    <s v="FY21"/>
    <s v="t"/>
    <n v="2.7E-2"/>
    <n v="0"/>
    <n v="0"/>
    <n v="2.7E-2"/>
    <n v="1"/>
    <n v="0"/>
    <n v="0"/>
    <n v="1"/>
    <n v="100"/>
    <n v="0"/>
    <n v="0"/>
    <s v="Consolidation"/>
    <s v="CO2e and Base Measure"/>
    <n v="100"/>
    <n v="100"/>
    <n v="0.03"/>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52Waste Recycled - Paper and Cardboard [t]"/>
    <n v="13566452"/>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07-01T00:00:00"/>
    <s v="FY21"/>
    <s v="t"/>
    <n v="6.4000000000000001E-2"/>
    <n v="0"/>
    <n v="0"/>
    <n v="6.4000000000000001E-2"/>
    <n v="2"/>
    <n v="0"/>
    <n v="0"/>
    <n v="2"/>
    <n v="100"/>
    <n v="0"/>
    <n v="0"/>
    <s v="Consolidation"/>
    <s v="CO2e and Base Measure"/>
    <n v="100"/>
    <n v="100"/>
    <n v="0.06"/>
    <m/>
    <m/>
    <m/>
    <m/>
    <m/>
    <n v="8.3199999999999996E-2"/>
    <m/>
    <n v="8.3199999999999996E-2"/>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08-01T00:00:00"/>
    <s v="FY21"/>
    <s v="t"/>
    <n v="4.0000000000000001E-3"/>
    <n v="4.2900000000000001E-2"/>
    <n v="0"/>
    <n v="4.6899999999999997E-2"/>
    <n v="1"/>
    <n v="1"/>
    <n v="0"/>
    <n v="2"/>
    <n v="8.52"/>
    <n v="91.47"/>
    <n v="0"/>
    <s v="Consolidation"/>
    <s v="CO2e and Base Measure"/>
    <n v="100"/>
    <n v="100"/>
    <n v="0.05"/>
    <m/>
    <m/>
    <m/>
    <m/>
    <m/>
    <n v="6.0999999999999999E-2"/>
    <m/>
    <n v="6.0999999999999999E-2"/>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09-01T00:00:00"/>
    <s v="FY21"/>
    <s v="t"/>
    <n v="0.10199999999999999"/>
    <n v="0"/>
    <n v="0"/>
    <n v="0.10199999999999999"/>
    <n v="3"/>
    <n v="0"/>
    <n v="0"/>
    <n v="3"/>
    <n v="100"/>
    <n v="0"/>
    <n v="0"/>
    <s v="Consolidation"/>
    <s v="CO2e and Base Measure"/>
    <n v="100"/>
    <n v="100"/>
    <n v="0.1"/>
    <m/>
    <m/>
    <m/>
    <m/>
    <m/>
    <n v="0.1326"/>
    <m/>
    <n v="0.1326"/>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10-01T00:00:00"/>
    <s v="FY21"/>
    <s v="t"/>
    <n v="3.3000000000000002E-2"/>
    <n v="0"/>
    <n v="0"/>
    <n v="3.3000000000000002E-2"/>
    <n v="2"/>
    <n v="0"/>
    <n v="0"/>
    <n v="2"/>
    <n v="100"/>
    <n v="0"/>
    <n v="0"/>
    <s v="Consolidation"/>
    <s v="CO2e and Base Measure"/>
    <n v="100"/>
    <n v="100"/>
    <n v="0.03"/>
    <m/>
    <m/>
    <m/>
    <m/>
    <m/>
    <n v="4.2900000000000001E-2"/>
    <m/>
    <n v="4.2900000000000001E-2"/>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11-01T00:00:00"/>
    <s v="FY21"/>
    <s v="t"/>
    <n v="1.2E-2"/>
    <n v="4.2900000000000001E-2"/>
    <n v="0"/>
    <n v="5.4899999999999997E-2"/>
    <n v="1"/>
    <n v="1"/>
    <n v="0"/>
    <n v="2"/>
    <n v="21.85"/>
    <n v="78.14"/>
    <n v="0"/>
    <s v="Consolidation"/>
    <s v="CO2e and Base Measure"/>
    <n v="100"/>
    <n v="100"/>
    <n v="0.05"/>
    <m/>
    <m/>
    <m/>
    <m/>
    <m/>
    <n v="7.1400000000000005E-2"/>
    <m/>
    <n v="7.1400000000000005E-2"/>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12-01T00:00:00"/>
    <s v="FY21"/>
    <s v="t"/>
    <n v="0"/>
    <n v="0"/>
    <n v="1.9E-3"/>
    <n v="1.9E-3"/>
    <n v="0"/>
    <n v="0"/>
    <n v="1"/>
    <n v="1"/>
    <n v="0"/>
    <n v="0"/>
    <n v="100"/>
    <s v="Consolidation"/>
    <s v="CO2e and Base Measure"/>
    <n v="100"/>
    <n v="100"/>
    <n v="0"/>
    <m/>
    <m/>
    <m/>
    <m/>
    <m/>
    <n v="2.5000000000000001E-3"/>
    <m/>
    <n v="2.5000000000000001E-3"/>
    <m/>
    <m/>
    <m/>
    <m/>
    <m/>
    <s v="AUD"/>
    <s v="13564646Waste - General [t] - Scope 3"/>
    <n v="13564646"/>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428Waste - General [t] - Scope 3"/>
    <n v="13634428"/>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428Waste - General [t] - Scope 3"/>
    <n v="13634428"/>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428Waste - General [t] - Scope 3"/>
    <n v="13634428"/>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428Waste - General [t] - Scope 3"/>
    <n v="13634428"/>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428Waste - General [t] - Scope 3"/>
    <n v="13634428"/>
  </r>
  <r>
    <d v="2019-07-01T00:00:00"/>
    <d v="2021-06-30T00:00:00"/>
    <s v="Telstra"/>
    <s v="NETWORK"/>
    <s v="Network - InfraCo"/>
    <s v="NSW"/>
    <s v="Australia"/>
    <s v="Epping"/>
    <s v="EASTWOOD EXCHANGE"/>
    <n v="423030344900"/>
    <s v="Recycled Waste"/>
    <x v="0"/>
    <x v="0"/>
    <s v="Account"/>
    <s v="CLEANAWAY Cardboard"/>
    <m/>
    <s v="44451_Diversion_Cardboard"/>
    <s v="Cardboard"/>
    <s v="Cleanaway"/>
    <m/>
    <d v="2021-02-16T00:00:00"/>
    <m/>
    <d v="2021-02-01T00:00:00"/>
    <s v="FY21"/>
    <s v="t"/>
    <n v="2.5000000000000001E-2"/>
    <n v="0"/>
    <n v="0"/>
    <n v="2.5000000000000001E-2"/>
    <n v="1"/>
    <n v="0"/>
    <n v="0"/>
    <n v="1"/>
    <n v="100"/>
    <n v="0"/>
    <n v="0"/>
    <s v="Consolidation"/>
    <s v="CO2e and Base Measure"/>
    <n v="100"/>
    <n v="100"/>
    <n v="0.03"/>
    <m/>
    <m/>
    <m/>
    <m/>
    <m/>
    <m/>
    <m/>
    <m/>
    <m/>
    <m/>
    <m/>
    <m/>
    <m/>
    <s v="AUD"/>
    <s v="13639893Waste Recycled - Paper and Cardboard [t]"/>
    <n v="13639893"/>
  </r>
  <r>
    <d v="2019-07-01T00:00:00"/>
    <d v="2021-06-30T00:00:00"/>
    <s v="Telstra"/>
    <s v="NETWORK"/>
    <s v="Network - InfraCo"/>
    <s v="NSW"/>
    <s v="Australia"/>
    <s v="Epping"/>
    <s v="EASTWOOD EXCHANGE"/>
    <n v="423030344900"/>
    <s v="Recycled Waste"/>
    <x v="0"/>
    <x v="0"/>
    <s v="Account"/>
    <s v="CLEANAWAY Cardboard"/>
    <m/>
    <s v="44451_Diversion_Cardboard"/>
    <s v="Cardboard"/>
    <s v="Cleanaway"/>
    <m/>
    <d v="2021-02-16T00:00:00"/>
    <m/>
    <d v="2021-03-01T00:00:00"/>
    <s v="FY21"/>
    <s v="t"/>
    <n v="0"/>
    <n v="2.75E-2"/>
    <n v="0"/>
    <n v="2.75E-2"/>
    <n v="0"/>
    <n v="1"/>
    <n v="0"/>
    <n v="1"/>
    <n v="0"/>
    <n v="100"/>
    <n v="0"/>
    <s v="Consolidation"/>
    <s v="CO2e and Base Measure"/>
    <n v="100"/>
    <n v="100"/>
    <n v="0.03"/>
    <m/>
    <m/>
    <m/>
    <m/>
    <m/>
    <m/>
    <m/>
    <m/>
    <m/>
    <m/>
    <m/>
    <m/>
    <m/>
    <s v="AUD"/>
    <s v="13639893Waste Recycled - Paper and Cardboard [t]"/>
    <n v="13639893"/>
  </r>
  <r>
    <d v="2019-07-01T00:00:00"/>
    <d v="2021-06-30T00:00:00"/>
    <s v="Telstra"/>
    <s v="NETWORK"/>
    <s v="Network - InfraCo"/>
    <s v="NSW"/>
    <s v="Australia"/>
    <s v="Epping"/>
    <s v="EASTWOOD EXCHANGE"/>
    <n v="423030344900"/>
    <s v="Recycled Waste"/>
    <x v="0"/>
    <x v="0"/>
    <s v="Account"/>
    <s v="CLEANAWAY Cardboard"/>
    <m/>
    <s v="44451_Diversion_Cardboard"/>
    <s v="Cardboard"/>
    <s v="Cleanaway"/>
    <m/>
    <d v="2021-02-16T00:00:00"/>
    <m/>
    <d v="2021-04-01T00:00:00"/>
    <s v="FY21"/>
    <s v="t"/>
    <n v="0"/>
    <n v="0"/>
    <n v="2.7E-2"/>
    <n v="2.7E-2"/>
    <n v="0"/>
    <n v="0"/>
    <n v="30"/>
    <n v="30"/>
    <n v="0"/>
    <n v="0"/>
    <n v="100"/>
    <s v="Consolidation"/>
    <s v="CO2e and Base Measure"/>
    <n v="100"/>
    <n v="100"/>
    <n v="0.03"/>
    <m/>
    <m/>
    <m/>
    <m/>
    <m/>
    <m/>
    <m/>
    <m/>
    <m/>
    <m/>
    <m/>
    <m/>
    <m/>
    <s v="AUD"/>
    <s v="13639893Waste Recycled - Paper and Cardboard [t]"/>
    <n v="13639893"/>
  </r>
  <r>
    <d v="2019-07-01T00:00:00"/>
    <d v="2021-06-30T00:00:00"/>
    <s v="Telstra"/>
    <s v="NETWORK"/>
    <s v="Network - InfraCo"/>
    <s v="NSW"/>
    <s v="Australia"/>
    <s v="Epping"/>
    <s v="EASTWOOD EXCHANGE"/>
    <n v="423030344900"/>
    <s v="Recycled Waste"/>
    <x v="0"/>
    <x v="0"/>
    <s v="Account"/>
    <s v="CLEANAWAY Cardboard"/>
    <m/>
    <s v="44451_Diversion_Cardboard"/>
    <s v="Cardboard"/>
    <s v="Cleanaway"/>
    <m/>
    <d v="2021-02-16T00:00:00"/>
    <m/>
    <d v="2021-05-01T00:00:00"/>
    <s v="FY21"/>
    <s v="t"/>
    <n v="0"/>
    <n v="0"/>
    <n v="2.7900000000000001E-2"/>
    <n v="2.7900000000000001E-2"/>
    <n v="0"/>
    <n v="0"/>
    <n v="31"/>
    <n v="31"/>
    <n v="0"/>
    <n v="0"/>
    <n v="100"/>
    <s v="Consolidation"/>
    <s v="CO2e and Base Measure"/>
    <n v="100"/>
    <n v="100"/>
    <n v="0.03"/>
    <m/>
    <m/>
    <m/>
    <m/>
    <m/>
    <m/>
    <m/>
    <m/>
    <m/>
    <m/>
    <m/>
    <m/>
    <m/>
    <s v="AUD"/>
    <s v="13639893Waste Recycled - Paper and Cardboard [t]"/>
    <n v="13639893"/>
  </r>
  <r>
    <d v="2019-07-01T00:00:00"/>
    <d v="2021-06-30T00:00:00"/>
    <s v="Telstra"/>
    <s v="NETWORK"/>
    <s v="Network - Telstra"/>
    <s v="VIC"/>
    <s v="Australia"/>
    <s v="Moama"/>
    <s v="ECHUCA CA001"/>
    <n v="423030574700"/>
    <s v="Waste"/>
    <x v="1"/>
    <x v="2"/>
    <s v="Account"/>
    <s v="CLEANAWAY General"/>
    <m/>
    <s v="25535_Landfill_General"/>
    <s v="General"/>
    <s v="Cleanaway"/>
    <m/>
    <d v="2020-12-10T00:00:00"/>
    <m/>
    <d v="2020-12-01T00:00:00"/>
    <s v="FY21"/>
    <s v="t"/>
    <n v="0.27800000000000002"/>
    <n v="0"/>
    <n v="0"/>
    <n v="0.27800000000000002"/>
    <n v="2"/>
    <n v="0"/>
    <n v="0"/>
    <n v="2"/>
    <n v="100"/>
    <n v="0"/>
    <n v="0"/>
    <s v="Consolidation"/>
    <s v="CO2e and Base Measure"/>
    <n v="100"/>
    <n v="100"/>
    <n v="0.28000000000000003"/>
    <m/>
    <m/>
    <m/>
    <m/>
    <m/>
    <n v="0.3614"/>
    <m/>
    <n v="0.3614"/>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1-01T00:00:00"/>
    <s v="FY21"/>
    <s v="t"/>
    <n v="0.20799999999999999"/>
    <n v="0"/>
    <n v="0"/>
    <n v="0.20799999999999999"/>
    <n v="2"/>
    <n v="0"/>
    <n v="0"/>
    <n v="2"/>
    <n v="100"/>
    <n v="0"/>
    <n v="0"/>
    <s v="Consolidation"/>
    <s v="CO2e and Base Measure"/>
    <n v="100"/>
    <n v="100"/>
    <n v="0.21"/>
    <m/>
    <m/>
    <m/>
    <m/>
    <m/>
    <n v="0.27039999999999997"/>
    <m/>
    <n v="0.27039999999999997"/>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2-01T00:00:00"/>
    <s v="FY21"/>
    <s v="t"/>
    <n v="0.215"/>
    <n v="0"/>
    <n v="0"/>
    <n v="0.215"/>
    <n v="2"/>
    <n v="0"/>
    <n v="0"/>
    <n v="2"/>
    <n v="100"/>
    <n v="0"/>
    <n v="0"/>
    <s v="Consolidation"/>
    <s v="CO2e and Base Measure"/>
    <n v="100"/>
    <n v="100"/>
    <n v="0.22"/>
    <m/>
    <m/>
    <m/>
    <m/>
    <m/>
    <n v="0.27950000000000003"/>
    <m/>
    <n v="0.27950000000000003"/>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3-01T00:00:00"/>
    <s v="FY21"/>
    <s v="t"/>
    <n v="0.192"/>
    <n v="0"/>
    <n v="0"/>
    <n v="0.192"/>
    <n v="2"/>
    <n v="0"/>
    <n v="0"/>
    <n v="2"/>
    <n v="100"/>
    <n v="0"/>
    <n v="0"/>
    <s v="Consolidation"/>
    <s v="CO2e and Base Measure"/>
    <n v="100"/>
    <n v="100"/>
    <n v="0.19"/>
    <m/>
    <m/>
    <m/>
    <m/>
    <m/>
    <n v="0.24959999999999999"/>
    <m/>
    <n v="0.24959999999999999"/>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4-01T00:00:00"/>
    <s v="FY21"/>
    <s v="t"/>
    <n v="0"/>
    <n v="0"/>
    <n v="0.222"/>
    <n v="0.222"/>
    <n v="0"/>
    <n v="0"/>
    <n v="30"/>
    <n v="30"/>
    <n v="0"/>
    <n v="0"/>
    <n v="100"/>
    <s v="Consolidation"/>
    <s v="CO2e and Base Measure"/>
    <n v="100"/>
    <n v="100"/>
    <n v="0.22"/>
    <m/>
    <m/>
    <m/>
    <m/>
    <m/>
    <n v="0.28860000000000002"/>
    <m/>
    <n v="0.28860000000000002"/>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5-01T00:00:00"/>
    <s v="FY21"/>
    <s v="t"/>
    <n v="0"/>
    <n v="0"/>
    <n v="0.22939999999999999"/>
    <n v="0.22939999999999999"/>
    <n v="0"/>
    <n v="0"/>
    <n v="31"/>
    <n v="31"/>
    <n v="0"/>
    <n v="0"/>
    <n v="100"/>
    <s v="Consolidation"/>
    <s v="CO2e and Base Measure"/>
    <n v="100"/>
    <n v="100"/>
    <n v="0.23"/>
    <m/>
    <m/>
    <m/>
    <m/>
    <m/>
    <n v="0.29820000000000002"/>
    <m/>
    <n v="0.29820000000000002"/>
    <m/>
    <m/>
    <m/>
    <m/>
    <m/>
    <s v="AUD"/>
    <s v="13634097Waste - General [t] - Scope 3"/>
    <n v="13634097"/>
  </r>
  <r>
    <d v="2019-07-01T00:00:00"/>
    <d v="2021-06-30T00:00:00"/>
    <s v="Telstra"/>
    <s v="NETWORK"/>
    <s v="Network - InfraCo"/>
    <s v="VIC"/>
    <s v="Australia"/>
    <s v="Echuca"/>
    <s v="ECHUCA EXCHANGE"/>
    <n v="423030574700"/>
    <s v="Waste"/>
    <x v="1"/>
    <x v="4"/>
    <s v="Account"/>
    <s v="Remondis Asbestos"/>
    <m/>
    <s v="4230305747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882Waste - Construction and Demolition [t]"/>
    <n v="13564882"/>
  </r>
  <r>
    <d v="2019-07-01T00:00:00"/>
    <d v="2021-06-30T00:00:00"/>
    <s v="Telstra"/>
    <s v="NETWORK"/>
    <s v="Network - InfraCo"/>
    <s v="VIC"/>
    <s v="Australia"/>
    <s v="Echuca"/>
    <s v="ECHUCA EXCHANGE"/>
    <n v="423030574700"/>
    <s v="Waste"/>
    <x v="1"/>
    <x v="4"/>
    <s v="Account"/>
    <s v="Remondis Asbestos"/>
    <m/>
    <s v="4230305747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882Waste - Construction and Demolition [t]"/>
    <n v="13564882"/>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883Waste - General [t] - Scope 3"/>
    <n v="13564883"/>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19Hazardous Waste [t]"/>
    <n v="13633419"/>
  </r>
  <r>
    <d v="2019-07-01T00:00:00"/>
    <d v="2021-06-30T00:00:00"/>
    <s v="Telstra"/>
    <s v="NETWORK"/>
    <s v="Network - InfraCo"/>
    <s v="NSW"/>
    <s v="Australia"/>
    <s v="Liverpool"/>
    <s v="EDENSOR PARK EXCHANGE"/>
    <n v="423030327500"/>
    <s v="Waste"/>
    <x v="1"/>
    <x v="2"/>
    <s v="Account"/>
    <s v="Remondis General Waste"/>
    <m/>
    <s v="423030327500_WGENERALW"/>
    <s v="GENERAL WASTE"/>
    <s v="Remondis"/>
    <m/>
    <m/>
    <d v="2020-09-01T00:00:00"/>
    <d v="2020-08-01T00:00:00"/>
    <s v="FY21"/>
    <s v="t"/>
    <n v="6.06"/>
    <n v="0.26"/>
    <n v="0"/>
    <n v="6.32"/>
    <n v="1"/>
    <n v="1"/>
    <n v="0"/>
    <n v="2"/>
    <n v="95.88"/>
    <n v="4.1100000000000003"/>
    <n v="0"/>
    <s v="Consolidation"/>
    <s v="CO2e and Base Measure"/>
    <n v="100"/>
    <n v="100"/>
    <n v="6.32"/>
    <m/>
    <m/>
    <m/>
    <m/>
    <m/>
    <n v="8.2159999999999993"/>
    <m/>
    <n v="8.2159999999999993"/>
    <m/>
    <m/>
    <m/>
    <m/>
    <m/>
    <s v="AUD"/>
    <s v="13566096Waste - General [t] - Scope 3"/>
    <n v="13566096"/>
  </r>
  <r>
    <d v="2019-07-01T00:00:00"/>
    <d v="2021-06-30T00:00:00"/>
    <s v="Telstra"/>
    <s v="NETWORK"/>
    <s v="Network - InfraCo"/>
    <s v="NSW"/>
    <s v="Australia"/>
    <s v="Liverpool"/>
    <s v="EDENSOR PARK EXCHANGE"/>
    <n v="423030327500"/>
    <s v="Waste"/>
    <x v="1"/>
    <x v="2"/>
    <s v="Account"/>
    <s v="Remondis General Waste"/>
    <m/>
    <s v="423030327500_WGENERALW"/>
    <s v="GENERAL WASTE"/>
    <s v="Remondis"/>
    <m/>
    <m/>
    <d v="2020-09-01T00:00:00"/>
    <d v="2020-09-01T00:00:00"/>
    <s v="FY21"/>
    <s v="t"/>
    <n v="0"/>
    <n v="0"/>
    <n v="0.2107"/>
    <n v="0.2107"/>
    <n v="0"/>
    <n v="0"/>
    <n v="1"/>
    <n v="1"/>
    <n v="0"/>
    <n v="0"/>
    <n v="100"/>
    <s v="Consolidation"/>
    <s v="CO2e and Base Measure"/>
    <n v="100"/>
    <n v="100"/>
    <n v="0.21"/>
    <m/>
    <m/>
    <m/>
    <m/>
    <m/>
    <n v="0.27389999999999998"/>
    <m/>
    <n v="0.27389999999999998"/>
    <m/>
    <m/>
    <m/>
    <m/>
    <m/>
    <s v="AUD"/>
    <s v="13566096Waste - General [t] - Scope 3"/>
    <n v="13566096"/>
  </r>
  <r>
    <d v="2019-07-01T00:00:00"/>
    <d v="2021-06-30T00:00:00"/>
    <s v="Telstra"/>
    <s v="NETWORK"/>
    <s v="Network - InfraCo"/>
    <s v="QLD"/>
    <s v="Australia"/>
    <s v="Queensland"/>
    <s v="EDGE HILL EXCHANGE"/>
    <n v="423030059600"/>
    <s v="Waste"/>
    <x v="1"/>
    <x v="2"/>
    <s v="Account"/>
    <s v="Remondis General Waste"/>
    <m/>
    <s v="423030059600_WGENERALW"/>
    <s v="GENERAL WASTE"/>
    <s v="Remondis"/>
    <m/>
    <m/>
    <d v="2020-10-01T00:00:00"/>
    <d v="2020-07-01T00:00:00"/>
    <s v="FY21"/>
    <s v="t"/>
    <n v="0"/>
    <n v="0.1444"/>
    <n v="0"/>
    <n v="0.1444"/>
    <n v="0"/>
    <n v="2"/>
    <n v="0"/>
    <n v="2"/>
    <n v="0"/>
    <n v="100"/>
    <n v="0"/>
    <s v="Consolidation"/>
    <s v="CO2e and Base Measure"/>
    <n v="100"/>
    <n v="100"/>
    <n v="0.14000000000000001"/>
    <m/>
    <m/>
    <m/>
    <m/>
    <m/>
    <n v="0.18770000000000001"/>
    <m/>
    <n v="0.18770000000000001"/>
    <m/>
    <m/>
    <m/>
    <m/>
    <m/>
    <s v="AUD"/>
    <s v="13564138Waste - General [t] - Scope 3"/>
    <n v="13564138"/>
  </r>
  <r>
    <d v="2019-07-01T00:00:00"/>
    <d v="2021-06-30T00:00:00"/>
    <s v="Telstra"/>
    <s v="NETWORK"/>
    <s v="Network - InfraCo"/>
    <s v="QLD"/>
    <s v="Australia"/>
    <s v="Queensland"/>
    <s v="EDGE HILL EXCHANGE"/>
    <n v="423030059600"/>
    <s v="Waste"/>
    <x v="1"/>
    <x v="2"/>
    <s v="Account"/>
    <s v="Remondis General Waste"/>
    <m/>
    <s v="423030059600_WGENERALW"/>
    <s v="GENERAL WASTE"/>
    <s v="Remondis"/>
    <m/>
    <m/>
    <d v="2020-10-01T00:00:00"/>
    <d v="2020-08-01T00:00:00"/>
    <s v="FY21"/>
    <s v="t"/>
    <n v="0"/>
    <n v="0.1444"/>
    <n v="0"/>
    <n v="0.1444"/>
    <n v="0"/>
    <n v="2"/>
    <n v="0"/>
    <n v="2"/>
    <n v="0"/>
    <n v="100"/>
    <n v="0"/>
    <s v="Consolidation"/>
    <s v="CO2e and Base Measure"/>
    <n v="100"/>
    <n v="100"/>
    <n v="0.14000000000000001"/>
    <m/>
    <m/>
    <m/>
    <m/>
    <m/>
    <n v="0.18770000000000001"/>
    <m/>
    <n v="0.18770000000000001"/>
    <m/>
    <m/>
    <m/>
    <m/>
    <m/>
    <s v="AUD"/>
    <s v="13564138Waste - General [t] - Scope 3"/>
    <n v="13564138"/>
  </r>
  <r>
    <d v="2019-07-01T00:00:00"/>
    <d v="2021-06-30T00:00:00"/>
    <s v="Telstra"/>
    <s v="NETWORK"/>
    <s v="Network - InfraCo"/>
    <s v="QLD"/>
    <s v="Australia"/>
    <s v="Queensland"/>
    <s v="EDGE HILL EXCHANGE"/>
    <n v="423030059600"/>
    <s v="Waste"/>
    <x v="1"/>
    <x v="2"/>
    <s v="Account"/>
    <s v="Remondis General Waste"/>
    <m/>
    <s v="423030059600_WGENERALW"/>
    <s v="GENERAL WASTE"/>
    <s v="Remondis"/>
    <m/>
    <m/>
    <d v="2020-10-01T00:00:00"/>
    <d v="2020-09-01T00:00:00"/>
    <s v="FY21"/>
    <s v="t"/>
    <n v="0"/>
    <n v="0.1444"/>
    <n v="0"/>
    <n v="0.1444"/>
    <n v="0"/>
    <n v="2"/>
    <n v="0"/>
    <n v="2"/>
    <n v="0"/>
    <n v="100"/>
    <n v="0"/>
    <s v="Consolidation"/>
    <s v="CO2e and Base Measure"/>
    <n v="100"/>
    <n v="100"/>
    <n v="0.14000000000000001"/>
    <m/>
    <m/>
    <m/>
    <m/>
    <m/>
    <n v="0.18770000000000001"/>
    <m/>
    <n v="0.18770000000000001"/>
    <m/>
    <m/>
    <m/>
    <m/>
    <m/>
    <s v="AUD"/>
    <s v="13564138Waste - General [t] - Scope 3"/>
    <n v="13564138"/>
  </r>
  <r>
    <d v="2019-07-01T00:00:00"/>
    <d v="2021-06-30T00:00:00"/>
    <s v="Telstra"/>
    <s v="NETWORK"/>
    <s v="Network - InfraCo"/>
    <s v="QLD"/>
    <s v="Australia"/>
    <s v="Queensland"/>
    <s v="EDGE HILL EXCHANGE"/>
    <n v="423030059600"/>
    <s v="Waste"/>
    <x v="1"/>
    <x v="2"/>
    <s v="Account"/>
    <s v="Remondis General Waste"/>
    <m/>
    <s v="423030059600_WGENERALW"/>
    <s v="GENERAL WASTE"/>
    <s v="Remondis"/>
    <m/>
    <m/>
    <d v="2020-10-01T00:00:00"/>
    <d v="2020-10-01T00:00:00"/>
    <s v="FY21"/>
    <s v="t"/>
    <n v="0"/>
    <n v="0"/>
    <n v="5.4000000000000003E-3"/>
    <n v="5.4000000000000003E-3"/>
    <n v="0"/>
    <n v="0"/>
    <n v="1"/>
    <n v="1"/>
    <n v="0"/>
    <n v="0"/>
    <n v="100"/>
    <s v="Consolidation"/>
    <s v="CO2e and Base Measure"/>
    <n v="100"/>
    <n v="100"/>
    <n v="0.01"/>
    <m/>
    <m/>
    <m/>
    <m/>
    <m/>
    <n v="7.0000000000000001E-3"/>
    <m/>
    <n v="7.0000000000000001E-3"/>
    <m/>
    <m/>
    <m/>
    <m/>
    <m/>
    <s v="AUD"/>
    <s v="13564138Waste - General [t] - Scope 3"/>
    <n v="1356413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0-12-01T00:00:00"/>
    <s v="FY21"/>
    <s v="t"/>
    <n v="0"/>
    <n v="0.27"/>
    <n v="0"/>
    <n v="0.27"/>
    <n v="0"/>
    <n v="4"/>
    <n v="0"/>
    <n v="4"/>
    <n v="0"/>
    <n v="100"/>
    <n v="0"/>
    <s v="Consolidation"/>
    <s v="CO2e and Base Measure"/>
    <n v="100"/>
    <n v="100"/>
    <n v="0.27"/>
    <m/>
    <m/>
    <m/>
    <m/>
    <m/>
    <n v="0.35099999999999998"/>
    <m/>
    <n v="0.35099999999999998"/>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1-01T00:00:00"/>
    <s v="FY21"/>
    <s v="t"/>
    <n v="1.7999999999999999E-2"/>
    <n v="0.27"/>
    <n v="0"/>
    <n v="0.28799999999999998"/>
    <n v="1"/>
    <n v="4"/>
    <n v="0"/>
    <n v="5"/>
    <n v="6.25"/>
    <n v="93.75"/>
    <n v="0"/>
    <s v="Consolidation"/>
    <s v="CO2e and Base Measure"/>
    <n v="100"/>
    <n v="100"/>
    <n v="0.28999999999999998"/>
    <m/>
    <m/>
    <m/>
    <m/>
    <m/>
    <n v="0.37440000000000001"/>
    <m/>
    <n v="0.37440000000000001"/>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2-01T00:00:00"/>
    <s v="FY21"/>
    <s v="t"/>
    <n v="1.9E-2"/>
    <n v="0.20250000000000001"/>
    <n v="0"/>
    <n v="0.2215"/>
    <n v="1"/>
    <n v="3"/>
    <n v="0"/>
    <n v="4"/>
    <n v="8.57"/>
    <n v="91.42"/>
    <n v="0"/>
    <s v="Consolidation"/>
    <s v="CO2e and Base Measure"/>
    <n v="100"/>
    <n v="100"/>
    <n v="0.22"/>
    <m/>
    <m/>
    <m/>
    <m/>
    <m/>
    <n v="0.28799999999999998"/>
    <m/>
    <n v="0.28799999999999998"/>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3-01T00:00:00"/>
    <s v="FY21"/>
    <s v="t"/>
    <n v="0"/>
    <n v="0.27"/>
    <n v="0"/>
    <n v="0.27"/>
    <n v="0"/>
    <n v="4"/>
    <n v="0"/>
    <n v="4"/>
    <n v="0"/>
    <n v="100"/>
    <n v="0"/>
    <s v="Consolidation"/>
    <s v="CO2e and Base Measure"/>
    <n v="100"/>
    <n v="100"/>
    <n v="0.27"/>
    <m/>
    <m/>
    <m/>
    <m/>
    <m/>
    <n v="0.35099999999999998"/>
    <m/>
    <n v="0.35099999999999998"/>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4-01T00:00:00"/>
    <s v="FY21"/>
    <s v="t"/>
    <n v="0"/>
    <n v="0"/>
    <n v="0.26100000000000001"/>
    <n v="0.26100000000000001"/>
    <n v="0"/>
    <n v="0"/>
    <n v="30"/>
    <n v="30"/>
    <n v="0"/>
    <n v="0"/>
    <n v="100"/>
    <s v="Consolidation"/>
    <s v="CO2e and Base Measure"/>
    <n v="100"/>
    <n v="100"/>
    <n v="0.26"/>
    <m/>
    <m/>
    <m/>
    <m/>
    <m/>
    <n v="0.33929999999999999"/>
    <m/>
    <n v="0.33929999999999999"/>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5-01T00:00:00"/>
    <s v="FY21"/>
    <s v="t"/>
    <n v="0"/>
    <n v="0"/>
    <n v="0.2697"/>
    <n v="0.2697"/>
    <n v="0"/>
    <n v="0"/>
    <n v="31"/>
    <n v="31"/>
    <n v="0"/>
    <n v="0"/>
    <n v="100"/>
    <s v="Consolidation"/>
    <s v="CO2e and Base Measure"/>
    <n v="100"/>
    <n v="100"/>
    <n v="0.27"/>
    <m/>
    <m/>
    <m/>
    <m/>
    <m/>
    <n v="0.35060000000000002"/>
    <m/>
    <n v="0.35060000000000002"/>
    <m/>
    <m/>
    <m/>
    <m/>
    <m/>
    <s v="AUD"/>
    <s v="13634098Waste - General [t] - Scope 3"/>
    <n v="1363409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07-01T00:00:00"/>
    <s v="FY21"/>
    <s v="t"/>
    <n v="3.3000000000000002E-2"/>
    <n v="0"/>
    <n v="0"/>
    <n v="3.3000000000000002E-2"/>
    <n v="2"/>
    <n v="0"/>
    <n v="0"/>
    <n v="2"/>
    <n v="100"/>
    <n v="0"/>
    <n v="0"/>
    <s v="Consolidation"/>
    <s v="CO2e and Base Measure"/>
    <n v="100"/>
    <n v="100"/>
    <n v="0.03"/>
    <m/>
    <m/>
    <m/>
    <m/>
    <m/>
    <n v="4.2900000000000001E-2"/>
    <m/>
    <n v="4.2900000000000001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08-01T00:00:00"/>
    <s v="FY21"/>
    <s v="t"/>
    <n v="3.5000000000000003E-2"/>
    <n v="0"/>
    <n v="0"/>
    <n v="3.5000000000000003E-2"/>
    <n v="5"/>
    <n v="0"/>
    <n v="0"/>
    <n v="5"/>
    <n v="100"/>
    <n v="0"/>
    <n v="0"/>
    <s v="Consolidation"/>
    <s v="CO2e and Base Measure"/>
    <n v="100"/>
    <n v="100"/>
    <n v="0.04"/>
    <m/>
    <m/>
    <m/>
    <m/>
    <m/>
    <n v="4.5499999999999999E-2"/>
    <m/>
    <n v="4.5499999999999999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09-01T00:00:00"/>
    <s v="FY21"/>
    <s v="t"/>
    <n v="2.8000000000000001E-2"/>
    <n v="0"/>
    <n v="0"/>
    <n v="2.8000000000000001E-2"/>
    <n v="4"/>
    <n v="0"/>
    <n v="0"/>
    <n v="4"/>
    <n v="100"/>
    <n v="0"/>
    <n v="0"/>
    <s v="Consolidation"/>
    <s v="CO2e and Base Measure"/>
    <n v="100"/>
    <n v="100"/>
    <n v="0.03"/>
    <m/>
    <m/>
    <m/>
    <m/>
    <m/>
    <n v="3.6400000000000002E-2"/>
    <m/>
    <n v="3.6400000000000002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10-01T00:00:00"/>
    <s v="FY21"/>
    <s v="t"/>
    <n v="7.0000000000000007E-2"/>
    <n v="0"/>
    <n v="0"/>
    <n v="7.0000000000000007E-2"/>
    <n v="5"/>
    <n v="0"/>
    <n v="0"/>
    <n v="5"/>
    <n v="100"/>
    <n v="0"/>
    <n v="0"/>
    <s v="Consolidation"/>
    <s v="CO2e and Base Measure"/>
    <n v="100"/>
    <n v="100"/>
    <n v="7.0000000000000007E-2"/>
    <m/>
    <m/>
    <m/>
    <m/>
    <m/>
    <n v="9.0999999999999998E-2"/>
    <m/>
    <n v="9.0999999999999998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11-01T00:00:00"/>
    <s v="FY21"/>
    <s v="t"/>
    <n v="5.7000000000000002E-2"/>
    <n v="0"/>
    <n v="0"/>
    <n v="5.7000000000000002E-2"/>
    <n v="3"/>
    <n v="0"/>
    <n v="0"/>
    <n v="3"/>
    <n v="100"/>
    <n v="0"/>
    <n v="0"/>
    <s v="Consolidation"/>
    <s v="CO2e and Base Measure"/>
    <n v="100"/>
    <n v="100"/>
    <n v="0.06"/>
    <m/>
    <m/>
    <m/>
    <m/>
    <m/>
    <n v="7.4099999999999999E-2"/>
    <m/>
    <n v="7.4099999999999999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12-01T00:00:00"/>
    <s v="FY21"/>
    <s v="t"/>
    <n v="0"/>
    <n v="0.1444"/>
    <n v="0"/>
    <n v="0.1444"/>
    <n v="0"/>
    <n v="2"/>
    <n v="0"/>
    <n v="2"/>
    <n v="0"/>
    <n v="100"/>
    <n v="0"/>
    <s v="Consolidation"/>
    <s v="CO2e and Base Measure"/>
    <n v="100"/>
    <n v="100"/>
    <n v="0.14000000000000001"/>
    <m/>
    <m/>
    <m/>
    <m/>
    <m/>
    <n v="0.18770000000000001"/>
    <m/>
    <n v="0.18770000000000001"/>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648Waste - General [t] - Scope 3"/>
    <n v="13564648"/>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07-01T00:00:00"/>
    <s v="FY21"/>
    <s v="t"/>
    <n v="0.253"/>
    <n v="0"/>
    <n v="0"/>
    <n v="0.253"/>
    <n v="6"/>
    <n v="0"/>
    <n v="0"/>
    <n v="6"/>
    <n v="100"/>
    <n v="0"/>
    <n v="0"/>
    <s v="Consolidation"/>
    <s v="CO2e and Base Measure"/>
    <n v="100"/>
    <n v="100"/>
    <n v="0.25"/>
    <m/>
    <m/>
    <m/>
    <m/>
    <m/>
    <n v="0.32890000000000003"/>
    <m/>
    <n v="0.32890000000000003"/>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08-01T00:00:00"/>
    <s v="FY21"/>
    <s v="t"/>
    <n v="1.9E-2"/>
    <n v="7.8E-2"/>
    <n v="0"/>
    <n v="9.7000000000000003E-2"/>
    <n v="3"/>
    <n v="1"/>
    <n v="0"/>
    <n v="4"/>
    <n v="19.579999999999998"/>
    <n v="80.41"/>
    <n v="0"/>
    <s v="Consolidation"/>
    <s v="CO2e and Base Measure"/>
    <n v="100"/>
    <n v="100"/>
    <n v="0.1"/>
    <m/>
    <m/>
    <m/>
    <m/>
    <m/>
    <n v="0.12609999999999999"/>
    <m/>
    <n v="0.12609999999999999"/>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09-01T00:00:00"/>
    <s v="FY21"/>
    <s v="t"/>
    <n v="1.4E-2"/>
    <n v="0"/>
    <n v="0"/>
    <n v="1.4E-2"/>
    <n v="4"/>
    <n v="0"/>
    <n v="0"/>
    <n v="4"/>
    <n v="100"/>
    <n v="0"/>
    <n v="0"/>
    <s v="Consolidation"/>
    <s v="CO2e and Base Measure"/>
    <n v="100"/>
    <n v="100"/>
    <n v="0.01"/>
    <m/>
    <m/>
    <m/>
    <m/>
    <m/>
    <n v="1.8200000000000001E-2"/>
    <m/>
    <n v="1.8200000000000001E-2"/>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10-01T00:00:00"/>
    <s v="FY21"/>
    <s v="t"/>
    <n v="0.182"/>
    <n v="0"/>
    <n v="0"/>
    <n v="0.182"/>
    <n v="5"/>
    <n v="0"/>
    <n v="0"/>
    <n v="5"/>
    <n v="100"/>
    <n v="0"/>
    <n v="0"/>
    <s v="Consolidation"/>
    <s v="CO2e and Base Measure"/>
    <n v="100"/>
    <n v="100"/>
    <n v="0.18"/>
    <m/>
    <m/>
    <m/>
    <m/>
    <m/>
    <n v="0.2366"/>
    <m/>
    <n v="0.2366"/>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11-01T00:00:00"/>
    <s v="FY21"/>
    <s v="t"/>
    <n v="8.5000000000000006E-2"/>
    <n v="0"/>
    <n v="0"/>
    <n v="8.5000000000000006E-2"/>
    <n v="3"/>
    <n v="0"/>
    <n v="0"/>
    <n v="3"/>
    <n v="100"/>
    <n v="0"/>
    <n v="0"/>
    <s v="Consolidation"/>
    <s v="CO2e and Base Measure"/>
    <n v="100"/>
    <n v="100"/>
    <n v="0.09"/>
    <m/>
    <m/>
    <m/>
    <m/>
    <m/>
    <n v="0.1105"/>
    <m/>
    <n v="0.1105"/>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64335Waste - General [t] - Scope 3"/>
    <n v="13564335"/>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0-12-01T00:00:00"/>
    <s v="FY21"/>
    <s v="t"/>
    <n v="0"/>
    <n v="8.6400000000000005E-2"/>
    <n v="0"/>
    <n v="8.6400000000000005E-2"/>
    <n v="0"/>
    <n v="2"/>
    <n v="0"/>
    <n v="2"/>
    <n v="0"/>
    <n v="100"/>
    <n v="0"/>
    <s v="Consolidation"/>
    <s v="CO2e and Base Measure"/>
    <n v="100"/>
    <n v="100"/>
    <n v="0.09"/>
    <m/>
    <m/>
    <m/>
    <m/>
    <m/>
    <n v="0.1123"/>
    <m/>
    <n v="0.1123"/>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1-01T00:00:00"/>
    <s v="FY21"/>
    <s v="t"/>
    <n v="0"/>
    <n v="0.16200000000000001"/>
    <n v="0"/>
    <n v="0.16200000000000001"/>
    <n v="0"/>
    <n v="4"/>
    <n v="0"/>
    <n v="4"/>
    <n v="0"/>
    <n v="100"/>
    <n v="0"/>
    <s v="Consolidation"/>
    <s v="CO2e and Base Measure"/>
    <n v="100"/>
    <n v="100"/>
    <n v="0.16"/>
    <m/>
    <m/>
    <m/>
    <m/>
    <m/>
    <n v="0.21060000000000001"/>
    <m/>
    <n v="0.21060000000000001"/>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2-01T00:00:00"/>
    <s v="FY21"/>
    <s v="t"/>
    <n v="0"/>
    <n v="0.17280000000000001"/>
    <n v="0"/>
    <n v="0.17280000000000001"/>
    <n v="0"/>
    <n v="4"/>
    <n v="0"/>
    <n v="4"/>
    <n v="0"/>
    <n v="100"/>
    <n v="0"/>
    <s v="Consolidation"/>
    <s v="CO2e and Base Measure"/>
    <n v="100"/>
    <n v="100"/>
    <n v="0.17"/>
    <m/>
    <m/>
    <m/>
    <m/>
    <m/>
    <n v="0.22459999999999999"/>
    <m/>
    <n v="0.22459999999999999"/>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3-01T00:00:00"/>
    <s v="FY21"/>
    <s v="t"/>
    <n v="0"/>
    <n v="0.1512"/>
    <n v="0"/>
    <n v="0.1512"/>
    <n v="0"/>
    <n v="4"/>
    <n v="0"/>
    <n v="4"/>
    <n v="0"/>
    <n v="100"/>
    <n v="0"/>
    <s v="Consolidation"/>
    <s v="CO2e and Base Measure"/>
    <n v="100"/>
    <n v="100"/>
    <n v="0.15"/>
    <m/>
    <m/>
    <m/>
    <m/>
    <m/>
    <n v="0.1966"/>
    <m/>
    <n v="0.1966"/>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4-01T00:00:00"/>
    <s v="FY21"/>
    <s v="t"/>
    <n v="0"/>
    <n v="0"/>
    <n v="0.14399999999999999"/>
    <n v="0.14399999999999999"/>
    <n v="0"/>
    <n v="0"/>
    <n v="30"/>
    <n v="30"/>
    <n v="0"/>
    <n v="0"/>
    <n v="100"/>
    <s v="Consolidation"/>
    <s v="CO2e and Base Measure"/>
    <n v="100"/>
    <n v="100"/>
    <n v="0.14000000000000001"/>
    <m/>
    <m/>
    <m/>
    <m/>
    <m/>
    <n v="0.18720000000000001"/>
    <m/>
    <n v="0.18720000000000001"/>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5-01T00:00:00"/>
    <s v="FY21"/>
    <s v="t"/>
    <n v="0"/>
    <n v="0"/>
    <n v="0.14879999999999999"/>
    <n v="0.14879999999999999"/>
    <n v="0"/>
    <n v="0"/>
    <n v="31"/>
    <n v="31"/>
    <n v="0"/>
    <n v="0"/>
    <n v="100"/>
    <s v="Consolidation"/>
    <s v="CO2e and Base Measure"/>
    <n v="100"/>
    <n v="100"/>
    <n v="0.15"/>
    <m/>
    <m/>
    <m/>
    <m/>
    <m/>
    <n v="0.19339999999999999"/>
    <m/>
    <n v="0.19339999999999999"/>
    <m/>
    <m/>
    <m/>
    <m/>
    <m/>
    <s v="AUD"/>
    <s v="13634099Waste - General [t] - Scope 3"/>
    <n v="1363409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39Waste - General [t] - Scope 3"/>
    <n v="13564139"/>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07-01T00:00:00"/>
    <s v="FY21"/>
    <s v="t"/>
    <n v="1E-3"/>
    <n v="0"/>
    <n v="0"/>
    <n v="1E-3"/>
    <n v="1"/>
    <n v="0"/>
    <n v="0"/>
    <n v="1"/>
    <n v="100"/>
    <n v="0"/>
    <n v="0"/>
    <s v="Consolidation"/>
    <s v="CO2e and Base Measure"/>
    <n v="100"/>
    <n v="100"/>
    <n v="0"/>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08-01T00:00:00"/>
    <s v="FY21"/>
    <s v="t"/>
    <n v="1E-3"/>
    <n v="0"/>
    <n v="0"/>
    <n v="1E-3"/>
    <n v="1"/>
    <n v="0"/>
    <n v="0"/>
    <n v="1"/>
    <n v="100"/>
    <n v="0"/>
    <n v="0"/>
    <s v="Consolidation"/>
    <s v="CO2e and Base Measure"/>
    <n v="100"/>
    <n v="100"/>
    <n v="0"/>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09-01T00:00:00"/>
    <s v="FY21"/>
    <s v="t"/>
    <n v="1E-3"/>
    <n v="2.3300000000000001E-2"/>
    <n v="0"/>
    <n v="2.4299999999999999E-2"/>
    <n v="1"/>
    <n v="1"/>
    <n v="0"/>
    <n v="2"/>
    <n v="4.1100000000000003"/>
    <n v="95.88"/>
    <n v="0"/>
    <s v="Consolidation"/>
    <s v="CO2e and Base Measure"/>
    <n v="100"/>
    <n v="100"/>
    <n v="0.02"/>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10-01T00:00:00"/>
    <s v="FY21"/>
    <s v="t"/>
    <n v="0.03"/>
    <n v="0"/>
    <n v="0"/>
    <n v="0.03"/>
    <n v="3"/>
    <n v="0"/>
    <n v="0"/>
    <n v="3"/>
    <n v="100"/>
    <n v="0"/>
    <n v="0"/>
    <s v="Consolidation"/>
    <s v="CO2e and Base Measure"/>
    <n v="100"/>
    <n v="100"/>
    <n v="0.03"/>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11-01T00:00:00"/>
    <s v="FY21"/>
    <s v="t"/>
    <n v="1E-3"/>
    <n v="0"/>
    <n v="0"/>
    <n v="1E-3"/>
    <n v="1"/>
    <n v="0"/>
    <n v="0"/>
    <n v="1"/>
    <n v="100"/>
    <n v="0"/>
    <n v="0"/>
    <s v="Consolidation"/>
    <s v="CO2e and Base Measure"/>
    <n v="100"/>
    <n v="100"/>
    <n v="0"/>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12-01T00:00:00"/>
    <s v="FY21"/>
    <s v="t"/>
    <n v="0"/>
    <n v="0"/>
    <n v="5.9999999999999995E-4"/>
    <n v="5.9999999999999995E-4"/>
    <n v="0"/>
    <n v="0"/>
    <n v="1"/>
    <n v="1"/>
    <n v="0"/>
    <n v="0"/>
    <n v="100"/>
    <s v="Consolidation"/>
    <s v="CO2e and Base Measure"/>
    <n v="100"/>
    <n v="100"/>
    <n v="0"/>
    <m/>
    <m/>
    <m/>
    <m/>
    <m/>
    <m/>
    <n v="0"/>
    <m/>
    <m/>
    <m/>
    <m/>
    <m/>
    <m/>
    <s v="AUD"/>
    <s v="13564140Waste Recycled - Cardboard [t]"/>
    <n v="13564140"/>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07-01T00:00:00"/>
    <s v="FY21"/>
    <s v="t"/>
    <n v="0.19"/>
    <n v="0"/>
    <n v="0"/>
    <n v="0.19"/>
    <n v="2"/>
    <n v="0"/>
    <n v="0"/>
    <n v="2"/>
    <n v="100"/>
    <n v="0"/>
    <n v="0"/>
    <s v="Consolidation"/>
    <s v="CO2e and Base Measure"/>
    <n v="100"/>
    <n v="100"/>
    <n v="0.19"/>
    <m/>
    <m/>
    <m/>
    <m/>
    <m/>
    <n v="0.247"/>
    <m/>
    <n v="0.247"/>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08-01T00:00:00"/>
    <s v="FY21"/>
    <s v="t"/>
    <n v="0.11"/>
    <n v="0"/>
    <n v="0"/>
    <n v="0.11"/>
    <n v="2"/>
    <n v="0"/>
    <n v="0"/>
    <n v="2"/>
    <n v="100"/>
    <n v="0"/>
    <n v="0"/>
    <s v="Consolidation"/>
    <s v="CO2e and Base Measure"/>
    <n v="100"/>
    <n v="100"/>
    <n v="0.11"/>
    <m/>
    <m/>
    <m/>
    <m/>
    <m/>
    <n v="0.14299999999999999"/>
    <m/>
    <n v="0.14299999999999999"/>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09-01T00:00:00"/>
    <s v="FY21"/>
    <s v="t"/>
    <n v="0.23"/>
    <n v="0"/>
    <n v="0"/>
    <n v="0.23"/>
    <n v="3"/>
    <n v="0"/>
    <n v="0"/>
    <n v="3"/>
    <n v="100"/>
    <n v="0"/>
    <n v="0"/>
    <s v="Consolidation"/>
    <s v="CO2e and Base Measure"/>
    <n v="100"/>
    <n v="100"/>
    <n v="0.23"/>
    <m/>
    <m/>
    <m/>
    <m/>
    <m/>
    <n v="0.29899999999999999"/>
    <m/>
    <n v="0.29899999999999999"/>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10-01T00:00:00"/>
    <s v="FY21"/>
    <s v="t"/>
    <n v="0.61"/>
    <n v="0"/>
    <n v="0"/>
    <n v="0.61"/>
    <n v="2"/>
    <n v="0"/>
    <n v="0"/>
    <n v="2"/>
    <n v="100"/>
    <n v="0"/>
    <n v="0"/>
    <s v="Consolidation"/>
    <s v="CO2e and Base Measure"/>
    <n v="100"/>
    <n v="100"/>
    <n v="0.61"/>
    <m/>
    <m/>
    <m/>
    <m/>
    <m/>
    <n v="0.79300000000000004"/>
    <m/>
    <n v="0.79300000000000004"/>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11-01T00:00:00"/>
    <s v="FY21"/>
    <s v="t"/>
    <n v="0.4"/>
    <n v="0"/>
    <n v="0"/>
    <n v="0.4"/>
    <n v="2"/>
    <n v="0"/>
    <n v="0"/>
    <n v="2"/>
    <n v="100"/>
    <n v="0"/>
    <n v="0"/>
    <s v="Consolidation"/>
    <s v="CO2e and Base Measure"/>
    <n v="100"/>
    <n v="100"/>
    <n v="0.4"/>
    <m/>
    <m/>
    <m/>
    <m/>
    <m/>
    <n v="0.52"/>
    <m/>
    <n v="0.52"/>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1-01-01T00:00:00"/>
    <s v="FY21"/>
    <s v="t"/>
    <n v="0"/>
    <n v="0"/>
    <n v="9.5999999999999992E-3"/>
    <n v="9.5999999999999992E-3"/>
    <n v="0"/>
    <n v="0"/>
    <n v="1"/>
    <n v="1"/>
    <n v="0"/>
    <n v="0"/>
    <n v="100"/>
    <s v="Consolidation"/>
    <s v="CO2e and Base Measure"/>
    <n v="100"/>
    <n v="100"/>
    <n v="0.01"/>
    <m/>
    <m/>
    <m/>
    <m/>
    <m/>
    <n v="1.2500000000000001E-2"/>
    <m/>
    <n v="1.2500000000000001E-2"/>
    <m/>
    <m/>
    <m/>
    <m/>
    <m/>
    <s v="AUD"/>
    <s v="13564141Waste - General [t] - Scope 3"/>
    <n v="13564141"/>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0-12-01T00:00:00"/>
    <s v="FY21"/>
    <s v="t"/>
    <n v="0.03"/>
    <n v="0.13500000000000001"/>
    <n v="0"/>
    <n v="0.16500000000000001"/>
    <n v="1"/>
    <n v="1"/>
    <n v="0"/>
    <n v="2"/>
    <n v="18.18"/>
    <n v="81.81"/>
    <n v="0"/>
    <s v="Consolidation"/>
    <s v="CO2e and Base Measure"/>
    <n v="100"/>
    <n v="100"/>
    <n v="0.17"/>
    <m/>
    <m/>
    <m/>
    <m/>
    <m/>
    <n v="0.2145"/>
    <m/>
    <n v="0.2145"/>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1-01T00:00:00"/>
    <s v="FY21"/>
    <s v="t"/>
    <n v="0"/>
    <n v="0.27"/>
    <n v="0"/>
    <n v="0.27"/>
    <n v="0"/>
    <n v="2"/>
    <n v="0"/>
    <n v="2"/>
    <n v="0"/>
    <n v="100"/>
    <n v="0"/>
    <s v="Consolidation"/>
    <s v="CO2e and Base Measure"/>
    <n v="100"/>
    <n v="100"/>
    <n v="0.27"/>
    <m/>
    <m/>
    <m/>
    <m/>
    <m/>
    <n v="0.35099999999999998"/>
    <m/>
    <n v="0.35099999999999998"/>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2-01T00:00:00"/>
    <s v="FY21"/>
    <s v="t"/>
    <n v="0.28000000000000003"/>
    <n v="0.27"/>
    <n v="0"/>
    <n v="0.55000000000000004"/>
    <n v="1"/>
    <n v="2"/>
    <n v="0"/>
    <n v="3"/>
    <n v="50.9"/>
    <n v="49.09"/>
    <n v="0"/>
    <s v="Consolidation"/>
    <s v="CO2e and Base Measure"/>
    <n v="100"/>
    <n v="100"/>
    <n v="0.55000000000000004"/>
    <m/>
    <m/>
    <m/>
    <m/>
    <m/>
    <n v="0.71499999999999997"/>
    <m/>
    <n v="0.71499999999999997"/>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3-01T00:00:00"/>
    <s v="FY21"/>
    <s v="t"/>
    <n v="0"/>
    <n v="0"/>
    <n v="0.34410000000000002"/>
    <n v="0.34410000000000002"/>
    <n v="0"/>
    <n v="0"/>
    <n v="31"/>
    <n v="31"/>
    <n v="0"/>
    <n v="0"/>
    <n v="100"/>
    <s v="Consolidation"/>
    <s v="CO2e and Base Measure"/>
    <n v="100"/>
    <n v="100"/>
    <n v="0.34"/>
    <m/>
    <m/>
    <m/>
    <m/>
    <m/>
    <n v="0.44729999999999998"/>
    <m/>
    <n v="0.44729999999999998"/>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4-01T00:00:00"/>
    <s v="FY21"/>
    <s v="t"/>
    <n v="0"/>
    <n v="0"/>
    <n v="0.33300000000000002"/>
    <n v="0.33300000000000002"/>
    <n v="0"/>
    <n v="0"/>
    <n v="30"/>
    <n v="30"/>
    <n v="0"/>
    <n v="0"/>
    <n v="100"/>
    <s v="Consolidation"/>
    <s v="CO2e and Base Measure"/>
    <n v="100"/>
    <n v="100"/>
    <n v="0.33"/>
    <m/>
    <m/>
    <m/>
    <m/>
    <m/>
    <n v="0.43290000000000001"/>
    <m/>
    <n v="0.43290000000000001"/>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5-01T00:00:00"/>
    <s v="FY21"/>
    <s v="t"/>
    <n v="0"/>
    <n v="0"/>
    <n v="0.34410000000000002"/>
    <n v="0.34410000000000002"/>
    <n v="0"/>
    <n v="0"/>
    <n v="31"/>
    <n v="31"/>
    <n v="0"/>
    <n v="0"/>
    <n v="100"/>
    <s v="Consolidation"/>
    <s v="CO2e and Base Measure"/>
    <n v="100"/>
    <n v="100"/>
    <n v="0.34"/>
    <m/>
    <m/>
    <m/>
    <m/>
    <m/>
    <n v="0.44729999999999998"/>
    <m/>
    <n v="0.44729999999999998"/>
    <m/>
    <m/>
    <m/>
    <m/>
    <m/>
    <s v="AUD"/>
    <s v="13634100Waste - General [t] - Scope 3"/>
    <n v="13634100"/>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0-12-01T00:00:00"/>
    <s v="FY21"/>
    <s v="t"/>
    <n v="0"/>
    <n v="2.75E-2"/>
    <n v="0"/>
    <n v="2.75E-2"/>
    <n v="0"/>
    <n v="1"/>
    <n v="0"/>
    <n v="1"/>
    <n v="0"/>
    <n v="100"/>
    <n v="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1-01T00:00:00"/>
    <s v="FY21"/>
    <s v="t"/>
    <n v="0"/>
    <n v="2.75E-2"/>
    <n v="0"/>
    <n v="2.75E-2"/>
    <n v="0"/>
    <n v="1"/>
    <n v="0"/>
    <n v="1"/>
    <n v="0"/>
    <n v="100"/>
    <n v="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2-01T00:00:00"/>
    <s v="FY21"/>
    <s v="t"/>
    <n v="0"/>
    <n v="2.75E-2"/>
    <n v="0"/>
    <n v="2.75E-2"/>
    <n v="0"/>
    <n v="1"/>
    <n v="0"/>
    <n v="1"/>
    <n v="0"/>
    <n v="100"/>
    <n v="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3-01T00:00:00"/>
    <s v="FY21"/>
    <s v="t"/>
    <n v="0"/>
    <n v="2.75E-2"/>
    <n v="0"/>
    <n v="2.75E-2"/>
    <n v="0"/>
    <n v="1"/>
    <n v="0"/>
    <n v="1"/>
    <n v="0"/>
    <n v="100"/>
    <n v="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4-01T00:00:00"/>
    <s v="FY21"/>
    <s v="t"/>
    <n v="0"/>
    <n v="0"/>
    <n v="2.7E-2"/>
    <n v="2.7E-2"/>
    <n v="0"/>
    <n v="0"/>
    <n v="30"/>
    <n v="30"/>
    <n v="0"/>
    <n v="0"/>
    <n v="10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5-01T00:00:00"/>
    <s v="FY21"/>
    <s v="t"/>
    <n v="0"/>
    <n v="0"/>
    <n v="2.7900000000000001E-2"/>
    <n v="2.7900000000000001E-2"/>
    <n v="0"/>
    <n v="0"/>
    <n v="31"/>
    <n v="31"/>
    <n v="0"/>
    <n v="0"/>
    <n v="100"/>
    <s v="Consolidation"/>
    <s v="CO2e and Base Measure"/>
    <n v="100"/>
    <n v="100"/>
    <n v="0.03"/>
    <m/>
    <m/>
    <m/>
    <m/>
    <m/>
    <m/>
    <m/>
    <m/>
    <m/>
    <m/>
    <m/>
    <m/>
    <m/>
    <s v="AUD"/>
    <s v="13634401Waste Recycled - Paper and Cardboard [t]"/>
    <n v="13634401"/>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07-01T00:00:00"/>
    <s v="FY21"/>
    <s v="t"/>
    <n v="1.1399999999999999"/>
    <n v="0"/>
    <n v="0"/>
    <n v="1.1399999999999999"/>
    <n v="4"/>
    <n v="0"/>
    <n v="0"/>
    <n v="4"/>
    <n v="100"/>
    <n v="0"/>
    <n v="0"/>
    <s v="Consolidation"/>
    <s v="CO2e and Base Measure"/>
    <n v="100"/>
    <n v="100"/>
    <n v="1.1399999999999999"/>
    <m/>
    <m/>
    <m/>
    <m/>
    <m/>
    <n v="1.482"/>
    <m/>
    <n v="1.482"/>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08-01T00:00:00"/>
    <s v="FY21"/>
    <s v="t"/>
    <n v="1"/>
    <n v="0"/>
    <n v="0"/>
    <n v="1"/>
    <n v="5"/>
    <n v="0"/>
    <n v="0"/>
    <n v="5"/>
    <n v="100"/>
    <n v="0"/>
    <n v="0"/>
    <s v="Consolidation"/>
    <s v="CO2e and Base Measure"/>
    <n v="100"/>
    <n v="100"/>
    <n v="1"/>
    <m/>
    <m/>
    <m/>
    <m/>
    <m/>
    <n v="1.3"/>
    <m/>
    <n v="1.3"/>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09-01T00:00:00"/>
    <s v="FY21"/>
    <s v="t"/>
    <n v="1.08"/>
    <n v="0"/>
    <n v="0"/>
    <n v="1.08"/>
    <n v="4"/>
    <n v="0"/>
    <n v="0"/>
    <n v="4"/>
    <n v="100"/>
    <n v="0"/>
    <n v="0"/>
    <s v="Consolidation"/>
    <s v="CO2e and Base Measure"/>
    <n v="100"/>
    <n v="100"/>
    <n v="1.08"/>
    <m/>
    <m/>
    <m/>
    <m/>
    <m/>
    <n v="1.4039999999999999"/>
    <m/>
    <n v="1.4039999999999999"/>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10-01T00:00:00"/>
    <s v="FY21"/>
    <s v="t"/>
    <n v="0.96"/>
    <n v="0"/>
    <n v="0"/>
    <n v="0.96"/>
    <n v="4"/>
    <n v="0"/>
    <n v="0"/>
    <n v="4"/>
    <n v="100"/>
    <n v="0"/>
    <n v="0"/>
    <s v="Consolidation"/>
    <s v="CO2e and Base Measure"/>
    <n v="100"/>
    <n v="100"/>
    <n v="0.96"/>
    <m/>
    <m/>
    <m/>
    <m/>
    <m/>
    <n v="1.248"/>
    <m/>
    <n v="1.248"/>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11-01T00:00:00"/>
    <s v="FY21"/>
    <s v="t"/>
    <n v="1.2"/>
    <n v="0"/>
    <n v="0"/>
    <n v="1.2"/>
    <n v="5"/>
    <n v="0"/>
    <n v="0"/>
    <n v="5"/>
    <n v="100"/>
    <n v="0"/>
    <n v="0"/>
    <s v="Consolidation"/>
    <s v="CO2e and Base Measure"/>
    <n v="100"/>
    <n v="100"/>
    <n v="1.2"/>
    <m/>
    <m/>
    <m/>
    <m/>
    <m/>
    <n v="1.56"/>
    <m/>
    <n v="1.56"/>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12-01T00:00:00"/>
    <s v="FY21"/>
    <s v="t"/>
    <n v="0.24"/>
    <n v="0"/>
    <n v="0"/>
    <n v="0.24"/>
    <n v="1"/>
    <n v="0"/>
    <n v="0"/>
    <n v="1"/>
    <n v="100"/>
    <n v="0"/>
    <n v="0"/>
    <s v="Consolidation"/>
    <s v="CO2e and Base Measure"/>
    <n v="100"/>
    <n v="100"/>
    <n v="0.24"/>
    <m/>
    <m/>
    <m/>
    <m/>
    <m/>
    <n v="0.312"/>
    <m/>
    <n v="0.312"/>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1-01-01T00:00:00"/>
    <s v="FY21"/>
    <s v="t"/>
    <n v="0"/>
    <n v="0"/>
    <n v="2.9499999999999998E-2"/>
    <n v="2.9499999999999998E-2"/>
    <n v="0"/>
    <n v="0"/>
    <n v="1"/>
    <n v="1"/>
    <n v="0"/>
    <n v="0"/>
    <n v="100"/>
    <s v="Consolidation"/>
    <s v="CO2e and Base Measure"/>
    <n v="100"/>
    <n v="100"/>
    <n v="0.03"/>
    <m/>
    <m/>
    <m/>
    <m/>
    <m/>
    <n v="3.8399999999999997E-2"/>
    <m/>
    <n v="3.8399999999999997E-2"/>
    <m/>
    <m/>
    <m/>
    <m/>
    <m/>
    <s v="AUD"/>
    <s v="13564892Waste - General [t] - Scope 3"/>
    <n v="13564892"/>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0-12-01T00:00:00"/>
    <s v="FY21"/>
    <s v="t"/>
    <n v="0.42799999999999999"/>
    <n v="0"/>
    <n v="0"/>
    <n v="0.42799999999999999"/>
    <n v="3"/>
    <n v="0"/>
    <n v="0"/>
    <n v="3"/>
    <n v="100"/>
    <n v="0"/>
    <n v="0"/>
    <s v="Consolidation"/>
    <s v="CO2e and Base Measure"/>
    <n v="100"/>
    <n v="100"/>
    <n v="0.43"/>
    <m/>
    <m/>
    <m/>
    <m/>
    <m/>
    <n v="0.55640000000000001"/>
    <m/>
    <n v="0.55640000000000001"/>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1-01T00:00:00"/>
    <s v="FY21"/>
    <s v="t"/>
    <n v="0.34899999999999998"/>
    <n v="0"/>
    <n v="0"/>
    <n v="0.34899999999999998"/>
    <n v="3"/>
    <n v="0"/>
    <n v="0"/>
    <n v="3"/>
    <n v="100"/>
    <n v="0"/>
    <n v="0"/>
    <s v="Consolidation"/>
    <s v="CO2e and Base Measure"/>
    <n v="100"/>
    <n v="100"/>
    <n v="0.35"/>
    <m/>
    <m/>
    <m/>
    <m/>
    <m/>
    <n v="0.45369999999999999"/>
    <m/>
    <n v="0.45369999999999999"/>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2-01T00:00:00"/>
    <s v="FY21"/>
    <s v="t"/>
    <n v="0.438"/>
    <n v="0"/>
    <n v="0"/>
    <n v="0.438"/>
    <n v="2"/>
    <n v="0"/>
    <n v="0"/>
    <n v="2"/>
    <n v="100"/>
    <n v="0"/>
    <n v="0"/>
    <s v="Consolidation"/>
    <s v="CO2e and Base Measure"/>
    <n v="100"/>
    <n v="100"/>
    <n v="0.44"/>
    <m/>
    <m/>
    <m/>
    <m/>
    <m/>
    <n v="0.56940000000000002"/>
    <m/>
    <n v="0.56940000000000002"/>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3-01T00:00:00"/>
    <s v="FY21"/>
    <s v="t"/>
    <n v="0.63500000000000001"/>
    <n v="0"/>
    <n v="0"/>
    <n v="0.63500000000000001"/>
    <n v="4"/>
    <n v="0"/>
    <n v="0"/>
    <n v="4"/>
    <n v="100"/>
    <n v="0"/>
    <n v="0"/>
    <s v="Consolidation"/>
    <s v="CO2e and Base Measure"/>
    <n v="100"/>
    <n v="100"/>
    <n v="0.64"/>
    <m/>
    <m/>
    <m/>
    <m/>
    <m/>
    <n v="0.82550000000000001"/>
    <m/>
    <n v="0.82550000000000001"/>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4-01T00:00:00"/>
    <s v="FY21"/>
    <s v="t"/>
    <n v="0"/>
    <n v="0"/>
    <n v="0.46200000000000002"/>
    <n v="0.46200000000000002"/>
    <n v="0"/>
    <n v="0"/>
    <n v="30"/>
    <n v="30"/>
    <n v="0"/>
    <n v="0"/>
    <n v="100"/>
    <s v="Consolidation"/>
    <s v="CO2e and Base Measure"/>
    <n v="100"/>
    <n v="100"/>
    <n v="0.46"/>
    <m/>
    <m/>
    <m/>
    <m/>
    <m/>
    <n v="0.60060000000000002"/>
    <m/>
    <n v="0.60060000000000002"/>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5-01T00:00:00"/>
    <s v="FY21"/>
    <s v="t"/>
    <n v="0"/>
    <n v="0"/>
    <n v="0.47739999999999999"/>
    <n v="0.47739999999999999"/>
    <n v="0"/>
    <n v="0"/>
    <n v="31"/>
    <n v="31"/>
    <n v="0"/>
    <n v="0"/>
    <n v="100"/>
    <s v="Consolidation"/>
    <s v="CO2e and Base Measure"/>
    <n v="100"/>
    <n v="100"/>
    <n v="0.48"/>
    <m/>
    <m/>
    <m/>
    <m/>
    <m/>
    <n v="0.62060000000000004"/>
    <m/>
    <n v="0.62060000000000004"/>
    <m/>
    <m/>
    <m/>
    <m/>
    <m/>
    <s v="AUD"/>
    <s v="13634101Waste - General [t] - Scope 3"/>
    <n v="13634101"/>
  </r>
  <r>
    <d v="2019-07-01T00:00:00"/>
    <d v="2021-06-30T00:00:00"/>
    <s v="Telstra"/>
    <s v="NETWORK"/>
    <s v="Network - InfraCo"/>
    <s v="QLD"/>
    <s v="Australia"/>
    <s v="Emerald"/>
    <s v="EMERALD EXCHANGE"/>
    <n v="423030065300"/>
    <s v="Recycled Waste"/>
    <x v="0"/>
    <x v="1"/>
    <s v="Account"/>
    <s v="Remondis Electrical Comp. (E-Waste)"/>
    <m/>
    <s v="423030065300_RELECTRIC"/>
    <s v="ELECTRICAL COMP. E-WASTE"/>
    <s v="Remondis"/>
    <m/>
    <m/>
    <d v="2020-08-01T00:00:00"/>
    <d v="2020-07-01T00:00:00"/>
    <s v="FY21"/>
    <s v="t"/>
    <n v="0"/>
    <n v="4.5600000000000002E-2"/>
    <n v="0"/>
    <n v="4.5600000000000002E-2"/>
    <n v="0"/>
    <n v="1"/>
    <n v="0"/>
    <n v="1"/>
    <n v="0"/>
    <n v="100"/>
    <n v="0"/>
    <s v="Consolidation"/>
    <s v="CO2e and Base Measure"/>
    <n v="100"/>
    <n v="100"/>
    <n v="0.05"/>
    <m/>
    <m/>
    <m/>
    <m/>
    <m/>
    <m/>
    <m/>
    <m/>
    <m/>
    <m/>
    <m/>
    <m/>
    <m/>
    <s v="AUD"/>
    <s v="13564148Waste Recycled - E-waste [t]"/>
    <n v="13564148"/>
  </r>
  <r>
    <d v="2019-07-01T00:00:00"/>
    <d v="2021-06-30T00:00:00"/>
    <s v="Telstra"/>
    <s v="NETWORK"/>
    <s v="Network - InfraCo"/>
    <s v="QLD"/>
    <s v="Australia"/>
    <s v="Emerald"/>
    <s v="EMERALD EXCHANGE"/>
    <n v="423030065300"/>
    <s v="Recycled Waste"/>
    <x v="0"/>
    <x v="1"/>
    <s v="Account"/>
    <s v="Remondis Electrical Comp. (E-Waste)"/>
    <m/>
    <s v="423030065300_RELECTRIC"/>
    <s v="ELECTRICAL COMP. E-WASTE"/>
    <s v="Remondis"/>
    <m/>
    <m/>
    <d v="2020-08-01T00:00:00"/>
    <d v="2020-08-01T00:00:00"/>
    <s v="FY21"/>
    <s v="t"/>
    <n v="0"/>
    <n v="0"/>
    <n v="1.5E-3"/>
    <n v="1.5E-3"/>
    <n v="0"/>
    <n v="0"/>
    <n v="1"/>
    <n v="1"/>
    <n v="0"/>
    <n v="0"/>
    <n v="100"/>
    <s v="Consolidation"/>
    <s v="CO2e and Base Measure"/>
    <n v="100"/>
    <n v="100"/>
    <n v="0"/>
    <m/>
    <m/>
    <m/>
    <m/>
    <m/>
    <m/>
    <m/>
    <m/>
    <m/>
    <m/>
    <m/>
    <m/>
    <m/>
    <s v="AUD"/>
    <s v="13564148Waste Recycled - E-waste [t]"/>
    <n v="13564148"/>
  </r>
  <r>
    <d v="2019-07-01T00:00:00"/>
    <d v="2021-06-30T00:00:00"/>
    <s v="Telstra"/>
    <s v="NETWORK"/>
    <s v="Network - InfraCo"/>
    <s v="QLD"/>
    <s v="Australia"/>
    <s v="Emerald"/>
    <s v="EMERALD EXCHANGE"/>
    <n v="423030065300"/>
    <s v="Waste"/>
    <x v="1"/>
    <x v="2"/>
    <s v="Account"/>
    <s v="Remondis General Waste"/>
    <m/>
    <s v="423030065300_WGENERALW"/>
    <s v="GENERAL WASTE"/>
    <s v="Remondis"/>
    <m/>
    <m/>
    <d v="2020-09-01T00:00:00"/>
    <d v="2020-07-01T00:00:00"/>
    <s v="FY21"/>
    <s v="t"/>
    <n v="0"/>
    <n v="0.19500000000000001"/>
    <n v="0"/>
    <n v="0.19500000000000001"/>
    <n v="0"/>
    <n v="1"/>
    <n v="0"/>
    <n v="1"/>
    <n v="0"/>
    <n v="100"/>
    <n v="0"/>
    <s v="Consolidation"/>
    <s v="CO2e and Base Measure"/>
    <n v="100"/>
    <n v="100"/>
    <n v="0.2"/>
    <m/>
    <m/>
    <m/>
    <m/>
    <m/>
    <n v="0.2535"/>
    <m/>
    <n v="0.2535"/>
    <m/>
    <m/>
    <m/>
    <m/>
    <m/>
    <s v="AUD"/>
    <s v="13564149Waste - General [t] - Scope 3"/>
    <n v="13564149"/>
  </r>
  <r>
    <d v="2019-07-01T00:00:00"/>
    <d v="2021-06-30T00:00:00"/>
    <s v="Telstra"/>
    <s v="NETWORK"/>
    <s v="Network - InfraCo"/>
    <s v="QLD"/>
    <s v="Australia"/>
    <s v="Emerald"/>
    <s v="EMERALD EXCHANGE"/>
    <n v="423030065300"/>
    <s v="Waste"/>
    <x v="1"/>
    <x v="2"/>
    <s v="Account"/>
    <s v="Remondis General Waste"/>
    <m/>
    <s v="4230300653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4149Waste - General [t] - Scope 3"/>
    <n v="13564149"/>
  </r>
  <r>
    <d v="2019-07-01T00:00:00"/>
    <d v="2021-06-30T00:00:00"/>
    <s v="Telstra"/>
    <s v="NETWORK"/>
    <s v="Network - InfraCo"/>
    <s v="QLD"/>
    <s v="Australia"/>
    <s v="Emerald"/>
    <s v="EMERALD EXCHANGE"/>
    <n v="423030065300"/>
    <s v="Waste"/>
    <x v="1"/>
    <x v="2"/>
    <s v="Account"/>
    <s v="Remondis General Waste"/>
    <m/>
    <s v="423030065300_WGENERALW"/>
    <s v="GENERAL WASTE"/>
    <s v="Remondis"/>
    <m/>
    <m/>
    <d v="2020-09-01T00:00:00"/>
    <d v="2020-09-01T00:00:00"/>
    <s v="FY21"/>
    <s v="t"/>
    <n v="0"/>
    <n v="0"/>
    <n v="6.4000000000000003E-3"/>
    <n v="6.4000000000000003E-3"/>
    <n v="0"/>
    <n v="0"/>
    <n v="1"/>
    <n v="1"/>
    <n v="0"/>
    <n v="0"/>
    <n v="100"/>
    <s v="Consolidation"/>
    <s v="CO2e and Base Measure"/>
    <n v="100"/>
    <n v="100"/>
    <n v="0.01"/>
    <m/>
    <m/>
    <m/>
    <m/>
    <m/>
    <n v="8.3000000000000001E-3"/>
    <m/>
    <n v="8.3000000000000001E-3"/>
    <m/>
    <m/>
    <m/>
    <m/>
    <m/>
    <s v="AUD"/>
    <s v="13564149Waste - General [t] - Scope 3"/>
    <n v="13564149"/>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88Waste - General [t] - Scope 3"/>
    <n v="13634488"/>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88Waste - General [t] - Scope 3"/>
    <n v="13634488"/>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488Waste - General [t] - Scope 3"/>
    <n v="13634488"/>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4-01T00:00:00"/>
    <s v="FY21"/>
    <s v="t"/>
    <n v="0"/>
    <n v="0"/>
    <n v="0.13800000000000001"/>
    <n v="0.13800000000000001"/>
    <n v="0"/>
    <n v="0"/>
    <n v="30"/>
    <n v="30"/>
    <n v="0"/>
    <n v="0"/>
    <n v="100"/>
    <s v="Consolidation"/>
    <s v="CO2e and Base Measure"/>
    <n v="100"/>
    <n v="100"/>
    <n v="0.14000000000000001"/>
    <m/>
    <m/>
    <m/>
    <m/>
    <m/>
    <n v="0.1794"/>
    <m/>
    <n v="0.1794"/>
    <m/>
    <m/>
    <m/>
    <m/>
    <m/>
    <s v="AUD"/>
    <s v="13634488Waste - General [t] - Scope 3"/>
    <n v="13634488"/>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5-01T00:00:00"/>
    <s v="FY21"/>
    <s v="t"/>
    <n v="0"/>
    <n v="0"/>
    <n v="0.1426"/>
    <n v="0.1426"/>
    <n v="0"/>
    <n v="0"/>
    <n v="31"/>
    <n v="31"/>
    <n v="0"/>
    <n v="0"/>
    <n v="100"/>
    <s v="Consolidation"/>
    <s v="CO2e and Base Measure"/>
    <n v="100"/>
    <n v="100"/>
    <n v="0.14000000000000001"/>
    <m/>
    <m/>
    <m/>
    <m/>
    <m/>
    <n v="0.18540000000000001"/>
    <m/>
    <n v="0.18540000000000001"/>
    <m/>
    <m/>
    <m/>
    <m/>
    <m/>
    <s v="AUD"/>
    <s v="13634488Waste - General [t] - Scope 3"/>
    <n v="13634488"/>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07-01T00:00:00"/>
    <s v="FY21"/>
    <s v="t"/>
    <n v="0.19"/>
    <n v="0"/>
    <n v="0"/>
    <n v="0.19"/>
    <n v="1"/>
    <n v="0"/>
    <n v="0"/>
    <n v="1"/>
    <n v="100"/>
    <n v="0"/>
    <n v="0"/>
    <s v="Consolidation"/>
    <s v="CO2e and Base Measure"/>
    <n v="100"/>
    <n v="100"/>
    <n v="0.19"/>
    <m/>
    <m/>
    <m/>
    <m/>
    <m/>
    <n v="0.247"/>
    <m/>
    <n v="0.247"/>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08-01T00:00:00"/>
    <s v="FY21"/>
    <s v="t"/>
    <n v="0.35499999999999998"/>
    <n v="0"/>
    <n v="0"/>
    <n v="0.35499999999999998"/>
    <n v="1"/>
    <n v="0"/>
    <n v="0"/>
    <n v="1"/>
    <n v="100"/>
    <n v="0"/>
    <n v="0"/>
    <s v="Consolidation"/>
    <s v="CO2e and Base Measure"/>
    <n v="100"/>
    <n v="100"/>
    <n v="0.36"/>
    <m/>
    <m/>
    <m/>
    <m/>
    <m/>
    <n v="0.46150000000000002"/>
    <m/>
    <n v="0.46150000000000002"/>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09-01T00:00:00"/>
    <s v="FY21"/>
    <s v="t"/>
    <n v="0.26500000000000001"/>
    <n v="0"/>
    <n v="0"/>
    <n v="0.26500000000000001"/>
    <n v="1"/>
    <n v="0"/>
    <n v="0"/>
    <n v="1"/>
    <n v="100"/>
    <n v="0"/>
    <n v="0"/>
    <s v="Consolidation"/>
    <s v="CO2e and Base Measure"/>
    <n v="100"/>
    <n v="100"/>
    <n v="0.27"/>
    <m/>
    <m/>
    <m/>
    <m/>
    <m/>
    <n v="0.34449999999999997"/>
    <m/>
    <n v="0.34449999999999997"/>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10-01T00:00:00"/>
    <s v="FY21"/>
    <s v="t"/>
    <n v="0.2"/>
    <n v="0"/>
    <n v="0"/>
    <n v="0.2"/>
    <n v="1"/>
    <n v="0"/>
    <n v="0"/>
    <n v="1"/>
    <n v="100"/>
    <n v="0"/>
    <n v="0"/>
    <s v="Consolidation"/>
    <s v="CO2e and Base Measure"/>
    <n v="100"/>
    <n v="100"/>
    <n v="0.2"/>
    <m/>
    <m/>
    <m/>
    <m/>
    <m/>
    <n v="0.26"/>
    <m/>
    <n v="0.26"/>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11-01T00:00:00"/>
    <s v="FY21"/>
    <s v="t"/>
    <n v="0.185"/>
    <n v="0"/>
    <n v="0"/>
    <n v="0.185"/>
    <n v="1"/>
    <n v="0"/>
    <n v="0"/>
    <n v="1"/>
    <n v="100"/>
    <n v="0"/>
    <n v="0"/>
    <s v="Consolidation"/>
    <s v="CO2e and Base Measure"/>
    <n v="100"/>
    <n v="100"/>
    <n v="0.19"/>
    <m/>
    <m/>
    <m/>
    <m/>
    <m/>
    <n v="0.24049999999999999"/>
    <m/>
    <n v="0.24049999999999999"/>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12-01T00:00:00"/>
    <s v="FY21"/>
    <s v="t"/>
    <n v="0"/>
    <n v="0"/>
    <n v="8.3000000000000001E-3"/>
    <n v="8.3000000000000001E-3"/>
    <n v="0"/>
    <n v="0"/>
    <n v="1"/>
    <n v="1"/>
    <n v="0"/>
    <n v="0"/>
    <n v="100"/>
    <s v="Consolidation"/>
    <s v="CO2e and Base Measure"/>
    <n v="100"/>
    <n v="100"/>
    <n v="0.01"/>
    <m/>
    <m/>
    <m/>
    <m/>
    <m/>
    <n v="1.0800000000000001E-2"/>
    <m/>
    <n v="1.0800000000000001E-2"/>
    <m/>
    <m/>
    <m/>
    <m/>
    <m/>
    <s v="AUD"/>
    <s v="13564896Waste - General [t] - Scope 3"/>
    <n v="13564896"/>
  </r>
  <r>
    <d v="2019-07-01T00:00:00"/>
    <d v="2021-06-30T00:00:00"/>
    <s v="Telstra"/>
    <s v="NETWORK"/>
    <s v="Network - InfraCo"/>
    <s v="VIC"/>
    <s v="Australia"/>
    <s v="Beaconsfield Upper"/>
    <s v="EMERALD EXCHANGE1"/>
    <n v="423030577600"/>
    <s v="Recycled Waste"/>
    <x v="0"/>
    <x v="1"/>
    <s v="Account"/>
    <s v="Remondis Metal - Copper"/>
    <m/>
    <s v="423030577600_RMETCOPPR"/>
    <s v="METAL - COPPER"/>
    <s v="Remondis"/>
    <m/>
    <m/>
    <d v="2021-01-01T00:00:00"/>
    <d v="2020-11-01T00:00:00"/>
    <s v="FY21"/>
    <s v="t"/>
    <n v="0.20200000000000001"/>
    <n v="0"/>
    <n v="0"/>
    <n v="0.20200000000000001"/>
    <n v="1"/>
    <n v="0"/>
    <n v="0"/>
    <n v="1"/>
    <n v="100"/>
    <n v="0"/>
    <n v="0"/>
    <s v="Consolidation"/>
    <s v="CO2e and Base Measure"/>
    <n v="100"/>
    <n v="100"/>
    <n v="0.2"/>
    <m/>
    <m/>
    <m/>
    <m/>
    <m/>
    <m/>
    <m/>
    <m/>
    <m/>
    <m/>
    <m/>
    <m/>
    <m/>
    <s v="AUD"/>
    <s v="13633442Waste Recycled - E-waste [t]"/>
    <n v="13633442"/>
  </r>
  <r>
    <d v="2019-07-01T00:00:00"/>
    <d v="2021-06-30T00:00:00"/>
    <s v="Telstra"/>
    <s v="NETWORK"/>
    <s v="Network - InfraCo"/>
    <s v="VIC"/>
    <s v="Australia"/>
    <s v="Beaconsfield Upper"/>
    <s v="EMERALD EXCHANGE1"/>
    <n v="423030577600"/>
    <s v="Recycled Waste"/>
    <x v="0"/>
    <x v="1"/>
    <s v="Account"/>
    <s v="Remondis Metal - Copper"/>
    <m/>
    <s v="423030577600_RMETCOPPR"/>
    <s v="METAL - COPPER"/>
    <s v="Remondis"/>
    <m/>
    <m/>
    <d v="2021-01-01T00:00:00"/>
    <d v="2020-12-01T00:00:00"/>
    <s v="FY21"/>
    <s v="t"/>
    <n v="0"/>
    <n v="0.15"/>
    <n v="0"/>
    <n v="0.15"/>
    <n v="0"/>
    <n v="1"/>
    <n v="0"/>
    <n v="1"/>
    <n v="0"/>
    <n v="100"/>
    <n v="0"/>
    <s v="Consolidation"/>
    <s v="CO2e and Base Measure"/>
    <n v="100"/>
    <n v="100"/>
    <n v="0.15"/>
    <m/>
    <m/>
    <m/>
    <m/>
    <m/>
    <m/>
    <m/>
    <m/>
    <m/>
    <m/>
    <m/>
    <m/>
    <m/>
    <s v="AUD"/>
    <s v="13633442Waste Recycled - E-waste [t]"/>
    <n v="13633442"/>
  </r>
  <r>
    <d v="2019-07-01T00:00:00"/>
    <d v="2021-06-30T00:00:00"/>
    <s v="Telstra"/>
    <s v="NETWORK"/>
    <s v="Network - InfraCo"/>
    <s v="VIC"/>
    <s v="Australia"/>
    <s v="Beaconsfield Upper"/>
    <s v="EMERALD EXCHANGE1"/>
    <n v="423030577600"/>
    <s v="Recycled Waste"/>
    <x v="0"/>
    <x v="1"/>
    <s v="Account"/>
    <s v="Remondis Metal - Copper"/>
    <m/>
    <s v="423030577600_RMETCOPPR"/>
    <s v="METAL - COPPER"/>
    <s v="Remondis"/>
    <m/>
    <m/>
    <d v="2021-01-01T00:00:00"/>
    <d v="2021-01-01T00:00:00"/>
    <s v="FY21"/>
    <s v="t"/>
    <n v="0"/>
    <n v="0"/>
    <n v="5.8999999999999999E-3"/>
    <n v="5.8999999999999999E-3"/>
    <n v="0"/>
    <n v="0"/>
    <n v="1"/>
    <n v="1"/>
    <n v="0"/>
    <n v="0"/>
    <n v="100"/>
    <s v="Consolidation"/>
    <s v="CO2e and Base Measure"/>
    <n v="100"/>
    <n v="100"/>
    <n v="0.01"/>
    <m/>
    <m/>
    <m/>
    <m/>
    <m/>
    <m/>
    <m/>
    <m/>
    <m/>
    <m/>
    <m/>
    <m/>
    <m/>
    <s v="AUD"/>
    <s v="13633442Waste Recycled - E-waste [t]"/>
    <n v="1363344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0-12-01T00:00:00"/>
    <s v="FY21"/>
    <s v="t"/>
    <n v="0.06"/>
    <n v="0"/>
    <n v="0"/>
    <n v="0.06"/>
    <n v="1"/>
    <n v="0"/>
    <n v="0"/>
    <n v="1"/>
    <n v="100"/>
    <n v="0"/>
    <n v="0"/>
    <s v="Consolidation"/>
    <s v="CO2e and Base Measure"/>
    <n v="100"/>
    <n v="100"/>
    <n v="0.06"/>
    <m/>
    <m/>
    <m/>
    <m/>
    <m/>
    <n v="7.8E-2"/>
    <m/>
    <n v="7.8E-2"/>
    <m/>
    <m/>
    <m/>
    <m/>
    <m/>
    <s v="AUD"/>
    <s v="13634102Waste - General [t] - Scope 3"/>
    <n v="1363410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1-02-01T00:00:00"/>
    <s v="FY21"/>
    <s v="t"/>
    <n v="0.37"/>
    <n v="0"/>
    <n v="0"/>
    <n v="0.37"/>
    <n v="1"/>
    <n v="0"/>
    <n v="0"/>
    <n v="1"/>
    <n v="100"/>
    <n v="0"/>
    <n v="0"/>
    <s v="Consolidation"/>
    <s v="CO2e and Base Measure"/>
    <n v="100"/>
    <n v="100"/>
    <n v="0.37"/>
    <m/>
    <m/>
    <m/>
    <m/>
    <m/>
    <n v="0.48099999999999998"/>
    <m/>
    <n v="0.48099999999999998"/>
    <m/>
    <m/>
    <m/>
    <m/>
    <m/>
    <s v="AUD"/>
    <s v="13634102Waste - General [t] - Scope 3"/>
    <n v="1363410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1-03-01T00:00:00"/>
    <s v="FY21"/>
    <s v="t"/>
    <n v="0.02"/>
    <n v="0"/>
    <n v="0"/>
    <n v="0.02"/>
    <n v="1"/>
    <n v="0"/>
    <n v="0"/>
    <n v="1"/>
    <n v="100"/>
    <n v="0"/>
    <n v="0"/>
    <s v="Consolidation"/>
    <s v="CO2e and Base Measure"/>
    <n v="100"/>
    <n v="100"/>
    <n v="0.02"/>
    <m/>
    <m/>
    <m/>
    <m/>
    <m/>
    <n v="2.5999999999999999E-2"/>
    <m/>
    <n v="2.5999999999999999E-2"/>
    <m/>
    <m/>
    <m/>
    <m/>
    <m/>
    <s v="AUD"/>
    <s v="13634102Waste - General [t] - Scope 3"/>
    <n v="1363410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1-04-01T00:00:00"/>
    <s v="FY21"/>
    <s v="t"/>
    <n v="0"/>
    <n v="0"/>
    <n v="0.114"/>
    <n v="0.114"/>
    <n v="0"/>
    <n v="0"/>
    <n v="30"/>
    <n v="30"/>
    <n v="0"/>
    <n v="0"/>
    <n v="100"/>
    <s v="Consolidation"/>
    <s v="CO2e and Base Measure"/>
    <n v="100"/>
    <n v="100"/>
    <n v="0.11"/>
    <m/>
    <m/>
    <m/>
    <m/>
    <m/>
    <n v="0.1482"/>
    <m/>
    <n v="0.1482"/>
    <m/>
    <m/>
    <m/>
    <m/>
    <m/>
    <s v="AUD"/>
    <s v="13634102Waste - General [t] - Scope 3"/>
    <n v="1363410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1-05-01T00:00:00"/>
    <s v="FY21"/>
    <s v="t"/>
    <n v="0"/>
    <n v="0"/>
    <n v="0.1178"/>
    <n v="0.1178"/>
    <n v="0"/>
    <n v="0"/>
    <n v="31"/>
    <n v="31"/>
    <n v="0"/>
    <n v="0"/>
    <n v="100"/>
    <s v="Consolidation"/>
    <s v="CO2e and Base Measure"/>
    <n v="100"/>
    <n v="100"/>
    <n v="0.12"/>
    <m/>
    <m/>
    <m/>
    <m/>
    <m/>
    <n v="0.15310000000000001"/>
    <m/>
    <n v="0.15310000000000001"/>
    <m/>
    <m/>
    <m/>
    <m/>
    <m/>
    <s v="AUD"/>
    <s v="13634102Waste - General [t] - Scope 3"/>
    <n v="13634102"/>
  </r>
  <r>
    <d v="2019-07-01T00:00:00"/>
    <d v="2021-06-30T00:00:00"/>
    <s v="Telstra"/>
    <s v="NETWORK"/>
    <s v="Network - InfraCo"/>
    <s v="QLD"/>
    <s v="Australia"/>
    <s v="Emerald"/>
    <s v="EMERALD RT"/>
    <n v="423030064900"/>
    <s v="Waste"/>
    <x v="1"/>
    <x v="2"/>
    <s v="Account"/>
    <s v="Remondis General Waste"/>
    <m/>
    <s v="423030064900_WGENERALW"/>
    <s v="GENERAL WASTE"/>
    <s v="Remondis"/>
    <m/>
    <m/>
    <d v="2020-09-01T00:00:00"/>
    <d v="2020-08-01T00:00:00"/>
    <s v="FY21"/>
    <s v="t"/>
    <n v="0"/>
    <n v="0.39"/>
    <n v="0"/>
    <n v="0.39"/>
    <n v="0"/>
    <n v="2"/>
    <n v="0"/>
    <n v="2"/>
    <n v="0"/>
    <n v="100"/>
    <n v="0"/>
    <s v="Consolidation"/>
    <s v="CO2e and Base Measure"/>
    <n v="100"/>
    <n v="100"/>
    <n v="0.39"/>
    <m/>
    <m/>
    <m/>
    <m/>
    <m/>
    <n v="0.50700000000000001"/>
    <m/>
    <n v="0.50700000000000001"/>
    <m/>
    <m/>
    <m/>
    <m/>
    <m/>
    <s v="AUD"/>
    <s v="13564146Waste - General [t] - Scope 3"/>
    <n v="13564146"/>
  </r>
  <r>
    <d v="2019-07-01T00:00:00"/>
    <d v="2021-06-30T00:00:00"/>
    <s v="Telstra"/>
    <s v="NETWORK"/>
    <s v="Network - InfraCo"/>
    <s v="QLD"/>
    <s v="Australia"/>
    <s v="Emerald"/>
    <s v="EMERALD RT"/>
    <n v="423030064900"/>
    <s v="Waste"/>
    <x v="1"/>
    <x v="2"/>
    <s v="Account"/>
    <s v="Remondis General Waste"/>
    <m/>
    <s v="423030064900_WGENERALW"/>
    <s v="GENERAL WASTE"/>
    <s v="Remondis"/>
    <m/>
    <m/>
    <d v="2020-09-01T00:00:00"/>
    <d v="2020-09-01T00:00:00"/>
    <s v="FY21"/>
    <s v="t"/>
    <n v="0"/>
    <n v="0"/>
    <n v="1.2999999999999999E-2"/>
    <n v="1.2999999999999999E-2"/>
    <n v="0"/>
    <n v="0"/>
    <n v="1"/>
    <n v="1"/>
    <n v="0"/>
    <n v="0"/>
    <n v="100"/>
    <s v="Consolidation"/>
    <s v="CO2e and Base Measure"/>
    <n v="100"/>
    <n v="100"/>
    <n v="0.01"/>
    <m/>
    <m/>
    <m/>
    <m/>
    <m/>
    <n v="1.6899999999999998E-2"/>
    <m/>
    <n v="1.6899999999999998E-2"/>
    <m/>
    <m/>
    <m/>
    <m/>
    <m/>
    <s v="AUD"/>
    <s v="13564146Waste - General [t] - Scope 3"/>
    <n v="13564146"/>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07-01T00:00:00"/>
    <s v="FY21"/>
    <s v="t"/>
    <n v="0.14499999999999999"/>
    <n v="0"/>
    <n v="0"/>
    <n v="0.14499999999999999"/>
    <n v="2"/>
    <n v="0"/>
    <n v="0"/>
    <n v="2"/>
    <n v="100"/>
    <n v="0"/>
    <n v="0"/>
    <s v="Consolidation"/>
    <s v="CO2e and Base Measure"/>
    <n v="100"/>
    <n v="100"/>
    <n v="0.15"/>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08-01T00:00:00"/>
    <s v="FY21"/>
    <s v="t"/>
    <n v="0.13"/>
    <n v="0"/>
    <n v="0"/>
    <n v="0.13"/>
    <n v="2"/>
    <n v="0"/>
    <n v="0"/>
    <n v="2"/>
    <n v="100"/>
    <n v="0"/>
    <n v="0"/>
    <s v="Consolidation"/>
    <s v="CO2e and Base Measure"/>
    <n v="100"/>
    <n v="100"/>
    <n v="0.13"/>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09-01T00:00:00"/>
    <s v="FY21"/>
    <s v="t"/>
    <n v="0.39500000000000002"/>
    <n v="0"/>
    <n v="0"/>
    <n v="0.39500000000000002"/>
    <n v="3"/>
    <n v="0"/>
    <n v="0"/>
    <n v="3"/>
    <n v="100"/>
    <n v="0"/>
    <n v="0"/>
    <s v="Consolidation"/>
    <s v="CO2e and Base Measure"/>
    <n v="100"/>
    <n v="100"/>
    <n v="0.4"/>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10-01T00:00:00"/>
    <s v="FY21"/>
    <s v="t"/>
    <n v="0.29499999999999998"/>
    <n v="0"/>
    <n v="0"/>
    <n v="0.29499999999999998"/>
    <n v="2"/>
    <n v="0"/>
    <n v="0"/>
    <n v="2"/>
    <n v="100"/>
    <n v="0"/>
    <n v="0"/>
    <s v="Consolidation"/>
    <s v="CO2e and Base Measure"/>
    <n v="100"/>
    <n v="100"/>
    <n v="0.3"/>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11-01T00:00:00"/>
    <s v="FY21"/>
    <s v="t"/>
    <n v="7.0000000000000007E-2"/>
    <n v="0"/>
    <n v="0"/>
    <n v="7.0000000000000007E-2"/>
    <n v="1"/>
    <n v="0"/>
    <n v="0"/>
    <n v="1"/>
    <n v="100"/>
    <n v="0"/>
    <n v="0"/>
    <s v="Consolidation"/>
    <s v="CO2e and Base Measure"/>
    <n v="100"/>
    <n v="100"/>
    <n v="7.0000000000000007E-2"/>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12-01T00:00:00"/>
    <s v="FY21"/>
    <s v="t"/>
    <n v="0"/>
    <n v="0"/>
    <n v="6.3E-3"/>
    <n v="6.3E-3"/>
    <n v="0"/>
    <n v="0"/>
    <n v="1"/>
    <n v="1"/>
    <n v="0"/>
    <n v="0"/>
    <n v="100"/>
    <s v="Consolidation"/>
    <s v="CO2e and Base Measure"/>
    <n v="100"/>
    <n v="100"/>
    <n v="0.01"/>
    <m/>
    <m/>
    <m/>
    <m/>
    <m/>
    <m/>
    <n v="0"/>
    <m/>
    <m/>
    <m/>
    <m/>
    <m/>
    <m/>
    <s v="AUD"/>
    <s v="13565218Waste Recycled - Cardboard [t]"/>
    <n v="13565218"/>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07-01T00:00:00"/>
    <s v="FY21"/>
    <s v="t"/>
    <n v="0.55500000000000005"/>
    <n v="0"/>
    <n v="0"/>
    <n v="0.55500000000000005"/>
    <n v="2"/>
    <n v="0"/>
    <n v="0"/>
    <n v="2"/>
    <n v="100"/>
    <n v="0"/>
    <n v="0"/>
    <s v="Consolidation"/>
    <s v="CO2e and Base Measure"/>
    <n v="100"/>
    <n v="100"/>
    <n v="0.56000000000000005"/>
    <m/>
    <m/>
    <m/>
    <m/>
    <m/>
    <n v="0.72150000000000003"/>
    <m/>
    <n v="0.72150000000000003"/>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08-01T00:00:00"/>
    <s v="FY21"/>
    <s v="t"/>
    <n v="0.51"/>
    <n v="0"/>
    <n v="0"/>
    <n v="0.51"/>
    <n v="2"/>
    <n v="0"/>
    <n v="0"/>
    <n v="2"/>
    <n v="100"/>
    <n v="0"/>
    <n v="0"/>
    <s v="Consolidation"/>
    <s v="CO2e and Base Measure"/>
    <n v="100"/>
    <n v="100"/>
    <n v="0.51"/>
    <m/>
    <m/>
    <m/>
    <m/>
    <m/>
    <n v="0.66300000000000003"/>
    <m/>
    <n v="0.66300000000000003"/>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09-01T00:00:00"/>
    <s v="FY21"/>
    <s v="t"/>
    <n v="0.73499999999999999"/>
    <n v="0"/>
    <n v="0"/>
    <n v="0.73499999999999999"/>
    <n v="2"/>
    <n v="0"/>
    <n v="0"/>
    <n v="2"/>
    <n v="100"/>
    <n v="0"/>
    <n v="0"/>
    <s v="Consolidation"/>
    <s v="CO2e and Base Measure"/>
    <n v="100"/>
    <n v="100"/>
    <n v="0.74"/>
    <m/>
    <m/>
    <m/>
    <m/>
    <m/>
    <n v="0.95550000000000002"/>
    <m/>
    <n v="0.95550000000000002"/>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10-01T00:00:00"/>
    <s v="FY21"/>
    <s v="t"/>
    <n v="0.75"/>
    <n v="0"/>
    <n v="0"/>
    <n v="0.75"/>
    <n v="2"/>
    <n v="0"/>
    <n v="0"/>
    <n v="2"/>
    <n v="100"/>
    <n v="0"/>
    <n v="0"/>
    <s v="Consolidation"/>
    <s v="CO2e and Base Measure"/>
    <n v="100"/>
    <n v="100"/>
    <n v="0.75"/>
    <m/>
    <m/>
    <m/>
    <m/>
    <m/>
    <n v="0.97499999999999998"/>
    <m/>
    <n v="0.97499999999999998"/>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11-01T00:00:00"/>
    <s v="FY21"/>
    <s v="t"/>
    <n v="0.33"/>
    <n v="0"/>
    <n v="0"/>
    <n v="0.33"/>
    <n v="2"/>
    <n v="0"/>
    <n v="0"/>
    <n v="2"/>
    <n v="100"/>
    <n v="0"/>
    <n v="0"/>
    <s v="Consolidation"/>
    <s v="CO2e and Base Measure"/>
    <n v="100"/>
    <n v="100"/>
    <n v="0.33"/>
    <m/>
    <m/>
    <m/>
    <m/>
    <m/>
    <n v="0.42899999999999999"/>
    <m/>
    <n v="0.42899999999999999"/>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12-01T00:00:00"/>
    <s v="FY21"/>
    <s v="t"/>
    <n v="0.11"/>
    <n v="0.19500000000000001"/>
    <n v="0"/>
    <n v="0.30499999999999999"/>
    <n v="1"/>
    <n v="1"/>
    <n v="0"/>
    <n v="2"/>
    <n v="36.06"/>
    <n v="63.93"/>
    <n v="0"/>
    <s v="Consolidation"/>
    <s v="CO2e and Base Measure"/>
    <n v="100"/>
    <n v="100"/>
    <n v="0.31"/>
    <m/>
    <m/>
    <m/>
    <m/>
    <m/>
    <n v="0.39650000000000002"/>
    <m/>
    <n v="0.39650000000000002"/>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1-01-01T00:00:00"/>
    <s v="FY21"/>
    <s v="t"/>
    <n v="0"/>
    <n v="0"/>
    <n v="1.89E-2"/>
    <n v="1.89E-2"/>
    <n v="0"/>
    <n v="0"/>
    <n v="1"/>
    <n v="1"/>
    <n v="0"/>
    <n v="0"/>
    <n v="100"/>
    <s v="Consolidation"/>
    <s v="CO2e and Base Measure"/>
    <n v="100"/>
    <n v="100"/>
    <n v="0.02"/>
    <m/>
    <m/>
    <m/>
    <m/>
    <m/>
    <n v="2.46E-2"/>
    <m/>
    <n v="2.46E-2"/>
    <m/>
    <m/>
    <m/>
    <m/>
    <m/>
    <s v="AUD"/>
    <s v="13565219Waste - General [t] - Scope 3"/>
    <n v="13565219"/>
  </r>
  <r>
    <d v="2019-07-01T00:00:00"/>
    <d v="2021-06-30T00:00:00"/>
    <s v="Telstra"/>
    <s v="NETWORK"/>
    <s v="Network - InfraCo"/>
    <s v="VIC"/>
    <s v="Australia"/>
    <s v="Endeavour Hills"/>
    <s v="ENDEAVOUR HILLS EXCHANGE"/>
    <n v="423030771400"/>
    <s v="Recycled Waste"/>
    <x v="0"/>
    <x v="5"/>
    <s v="Account"/>
    <s v="Remondis Metal - Steel Mixed"/>
    <m/>
    <s v="423030771400_RMETSTMXD"/>
    <s v="METAL - STEEL MIXED"/>
    <s v="Remondis"/>
    <m/>
    <m/>
    <d v="2021-01-01T00:00:00"/>
    <d v="2020-12-01T00:00:00"/>
    <s v="FY21"/>
    <s v="t"/>
    <n v="0"/>
    <n v="0.52500000000000002"/>
    <n v="0"/>
    <n v="0.52500000000000002"/>
    <n v="0"/>
    <n v="1"/>
    <n v="0"/>
    <n v="1"/>
    <n v="0"/>
    <n v="100"/>
    <n v="0"/>
    <s v="Consolidation"/>
    <s v="CO2e and Base Measure"/>
    <n v="100"/>
    <n v="100"/>
    <n v="0.53"/>
    <m/>
    <m/>
    <m/>
    <m/>
    <m/>
    <m/>
    <m/>
    <m/>
    <m/>
    <m/>
    <m/>
    <m/>
    <m/>
    <s v="AUD"/>
    <s v="13565220Waste Recycled - Construction and Demolition [t]"/>
    <n v="13565220"/>
  </r>
  <r>
    <d v="2019-07-01T00:00:00"/>
    <d v="2021-06-30T00:00:00"/>
    <s v="Telstra"/>
    <s v="NETWORK"/>
    <s v="Network - InfraCo"/>
    <s v="VIC"/>
    <s v="Australia"/>
    <s v="Endeavour Hills"/>
    <s v="ENDEAVOUR HILLS EXCHANGE"/>
    <n v="423030771400"/>
    <s v="Recycled Waste"/>
    <x v="0"/>
    <x v="5"/>
    <s v="Account"/>
    <s v="Remondis Metal - Steel Mixed"/>
    <m/>
    <s v="423030771400_RMETSTMXD"/>
    <s v="METAL - STEEL MIXED"/>
    <s v="Remondis"/>
    <m/>
    <m/>
    <d v="2021-01-01T00:00:00"/>
    <d v="2021-01-01T00:00:00"/>
    <s v="FY21"/>
    <s v="t"/>
    <n v="0"/>
    <n v="0"/>
    <n v="3.8E-3"/>
    <n v="3.8E-3"/>
    <n v="0"/>
    <n v="0"/>
    <n v="1"/>
    <n v="1"/>
    <n v="0"/>
    <n v="0"/>
    <n v="100"/>
    <s v="Consolidation"/>
    <s v="CO2e and Base Measure"/>
    <n v="100"/>
    <n v="100"/>
    <n v="0"/>
    <m/>
    <m/>
    <m/>
    <m/>
    <m/>
    <m/>
    <m/>
    <m/>
    <m/>
    <m/>
    <m/>
    <m/>
    <m/>
    <s v="AUD"/>
    <s v="13565220Waste Recycled - Construction and Demolition [t]"/>
    <n v="13565220"/>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0-11-01T00:00:00"/>
    <s v="FY21"/>
    <s v="t"/>
    <n v="0.27"/>
    <n v="0"/>
    <n v="0"/>
    <n v="0.27"/>
    <n v="1"/>
    <n v="0"/>
    <n v="0"/>
    <n v="1"/>
    <n v="100"/>
    <n v="0"/>
    <n v="0"/>
    <s v="Consolidation"/>
    <s v="CO2e and Base Measure"/>
    <n v="100"/>
    <n v="100"/>
    <n v="0.27"/>
    <m/>
    <m/>
    <m/>
    <m/>
    <m/>
    <n v="0.35099999999999998"/>
    <m/>
    <n v="0.35099999999999998"/>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0-12-01T00:00:00"/>
    <s v="FY21"/>
    <s v="t"/>
    <n v="0.56999999999999995"/>
    <n v="0"/>
    <n v="0"/>
    <n v="0.56999999999999995"/>
    <n v="3"/>
    <n v="0"/>
    <n v="0"/>
    <n v="3"/>
    <n v="100"/>
    <n v="0"/>
    <n v="0"/>
    <s v="Consolidation"/>
    <s v="CO2e and Base Measure"/>
    <n v="100"/>
    <n v="100"/>
    <n v="0.56999999999999995"/>
    <m/>
    <m/>
    <m/>
    <m/>
    <m/>
    <n v="0.74099999999999999"/>
    <m/>
    <n v="0.74099999999999999"/>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1-01T00:00:00"/>
    <s v="FY21"/>
    <s v="t"/>
    <n v="0.5"/>
    <n v="0"/>
    <n v="0"/>
    <n v="0.5"/>
    <n v="3"/>
    <n v="0"/>
    <n v="0"/>
    <n v="3"/>
    <n v="100"/>
    <n v="0"/>
    <n v="0"/>
    <s v="Consolidation"/>
    <s v="CO2e and Base Measure"/>
    <n v="100"/>
    <n v="100"/>
    <n v="0.5"/>
    <m/>
    <m/>
    <m/>
    <m/>
    <m/>
    <n v="0.65"/>
    <m/>
    <n v="0.65"/>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2-01T00:00:00"/>
    <s v="FY21"/>
    <s v="t"/>
    <n v="0.51"/>
    <n v="0.13500000000000001"/>
    <n v="0"/>
    <n v="0.64500000000000002"/>
    <n v="3"/>
    <n v="1"/>
    <n v="0"/>
    <n v="4"/>
    <n v="79.06"/>
    <n v="20.93"/>
    <n v="0"/>
    <s v="Consolidation"/>
    <s v="CO2e and Base Measure"/>
    <n v="100"/>
    <n v="100"/>
    <n v="0.65"/>
    <m/>
    <m/>
    <m/>
    <m/>
    <m/>
    <n v="0.83850000000000002"/>
    <m/>
    <n v="0.83850000000000002"/>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3-01T00:00:00"/>
    <s v="FY21"/>
    <s v="t"/>
    <n v="0.44"/>
    <n v="0"/>
    <n v="0"/>
    <n v="0.44"/>
    <n v="3"/>
    <n v="0"/>
    <n v="0"/>
    <n v="3"/>
    <n v="100"/>
    <n v="0"/>
    <n v="0"/>
    <s v="Consolidation"/>
    <s v="CO2e and Base Measure"/>
    <n v="100"/>
    <n v="100"/>
    <n v="0.44"/>
    <m/>
    <m/>
    <m/>
    <m/>
    <m/>
    <n v="0.57199999999999995"/>
    <m/>
    <n v="0.57199999999999995"/>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4-01T00:00:00"/>
    <s v="FY21"/>
    <s v="t"/>
    <n v="0"/>
    <n v="0"/>
    <n v="0.48599999999999999"/>
    <n v="0.48599999999999999"/>
    <n v="0"/>
    <n v="0"/>
    <n v="30"/>
    <n v="30"/>
    <n v="0"/>
    <n v="0"/>
    <n v="100"/>
    <s v="Consolidation"/>
    <s v="CO2e and Base Measure"/>
    <n v="100"/>
    <n v="100"/>
    <n v="0.49"/>
    <m/>
    <m/>
    <m/>
    <m/>
    <m/>
    <n v="0.63180000000000003"/>
    <m/>
    <n v="0.63180000000000003"/>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5-01T00:00:00"/>
    <s v="FY21"/>
    <s v="t"/>
    <n v="0"/>
    <n v="0"/>
    <n v="0.50219999999999998"/>
    <n v="0.50219999999999998"/>
    <n v="0"/>
    <n v="0"/>
    <n v="31"/>
    <n v="31"/>
    <n v="0"/>
    <n v="0"/>
    <n v="100"/>
    <s v="Consolidation"/>
    <s v="CO2e and Base Measure"/>
    <n v="100"/>
    <n v="100"/>
    <n v="0.5"/>
    <m/>
    <m/>
    <m/>
    <m/>
    <m/>
    <n v="0.65290000000000004"/>
    <m/>
    <n v="0.65290000000000004"/>
    <m/>
    <m/>
    <m/>
    <m/>
    <m/>
    <s v="AUD"/>
    <s v="13633975Waste - General [t] - Scope 3"/>
    <n v="13633975"/>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0-11-01T00:00:00"/>
    <s v="FY21"/>
    <s v="t"/>
    <n v="0.11"/>
    <n v="0"/>
    <n v="0"/>
    <n v="0.11"/>
    <n v="1"/>
    <n v="0"/>
    <n v="0"/>
    <n v="1"/>
    <n v="100"/>
    <n v="0"/>
    <n v="0"/>
    <s v="Consolidation"/>
    <s v="CO2e and Base Measure"/>
    <n v="100"/>
    <n v="100"/>
    <n v="0.11"/>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0-12-01T00:00:00"/>
    <s v="FY21"/>
    <s v="t"/>
    <n v="0.05"/>
    <n v="0"/>
    <n v="0"/>
    <n v="0.05"/>
    <n v="2"/>
    <n v="0"/>
    <n v="0"/>
    <n v="2"/>
    <n v="100"/>
    <n v="0"/>
    <n v="0"/>
    <s v="Consolidation"/>
    <s v="CO2e and Base Measure"/>
    <n v="100"/>
    <n v="100"/>
    <n v="0.05"/>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1-01T00:00:00"/>
    <s v="FY21"/>
    <s v="t"/>
    <n v="0.14000000000000001"/>
    <n v="0"/>
    <n v="0"/>
    <n v="0.14000000000000001"/>
    <n v="2"/>
    <n v="0"/>
    <n v="0"/>
    <n v="2"/>
    <n v="100"/>
    <n v="0"/>
    <n v="0"/>
    <s v="Consolidation"/>
    <s v="CO2e and Base Measure"/>
    <n v="100"/>
    <n v="100"/>
    <n v="0.14000000000000001"/>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2-01T00:00:00"/>
    <s v="FY21"/>
    <s v="t"/>
    <n v="0.05"/>
    <n v="3.7499999999999999E-2"/>
    <n v="0"/>
    <n v="8.7499999999999994E-2"/>
    <n v="1"/>
    <n v="1"/>
    <n v="0"/>
    <n v="2"/>
    <n v="57.14"/>
    <n v="42.85"/>
    <n v="0"/>
    <s v="Consolidation"/>
    <s v="CO2e and Base Measure"/>
    <n v="100"/>
    <n v="100"/>
    <n v="0.09"/>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3-01T00:00:00"/>
    <s v="FY21"/>
    <s v="t"/>
    <n v="0.11"/>
    <n v="3.7499999999999999E-2"/>
    <n v="0"/>
    <n v="0.14749999999999999"/>
    <n v="2"/>
    <n v="1"/>
    <n v="0"/>
    <n v="3"/>
    <n v="74.569999999999993"/>
    <n v="25.42"/>
    <n v="0"/>
    <s v="Consolidation"/>
    <s v="CO2e and Base Measure"/>
    <n v="100"/>
    <n v="100"/>
    <n v="0.15"/>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4-01T00:00:00"/>
    <s v="FY21"/>
    <s v="t"/>
    <n v="0"/>
    <n v="0"/>
    <n v="0.108"/>
    <n v="0.108"/>
    <n v="0"/>
    <n v="0"/>
    <n v="30"/>
    <n v="30"/>
    <n v="0"/>
    <n v="0"/>
    <n v="100"/>
    <s v="Consolidation"/>
    <s v="CO2e and Base Measure"/>
    <n v="100"/>
    <n v="100"/>
    <n v="0.11"/>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5-01T00:00:00"/>
    <s v="FY21"/>
    <s v="t"/>
    <n v="0"/>
    <n v="0"/>
    <n v="0.1116"/>
    <n v="0.1116"/>
    <n v="0"/>
    <n v="0"/>
    <n v="31"/>
    <n v="31"/>
    <n v="0"/>
    <n v="0"/>
    <n v="100"/>
    <s v="Consolidation"/>
    <s v="CO2e and Base Measure"/>
    <n v="100"/>
    <n v="100"/>
    <n v="0.11"/>
    <m/>
    <m/>
    <m/>
    <m/>
    <m/>
    <m/>
    <m/>
    <m/>
    <m/>
    <m/>
    <m/>
    <m/>
    <m/>
    <s v="AUD"/>
    <s v="13633976Waste Recycled - Paper and Cardboard [t]"/>
    <n v="13633976"/>
  </r>
  <r>
    <d v="2019-07-01T00:00:00"/>
    <d v="2021-06-30T00:00:00"/>
    <s v="Telstra"/>
    <s v="NETWORK"/>
    <s v="Network - InfraCo"/>
    <s v="VIC"/>
    <s v="Australia"/>
    <s v="Epping"/>
    <s v="EPPING CMTS"/>
    <n v="423031121500"/>
    <s v="Waste"/>
    <x v="1"/>
    <x v="4"/>
    <s v="Account"/>
    <s v="Remondis Asbestos"/>
    <m/>
    <s v="423031121500_WASBESTOS"/>
    <s v="ASBESTOS"/>
    <s v="Remondis"/>
    <m/>
    <m/>
    <d v="2020-12-01T00:00:00"/>
    <d v="2020-11-01T00:00:00"/>
    <s v="FY21"/>
    <s v="t"/>
    <n v="1"/>
    <n v="0"/>
    <n v="0"/>
    <n v="1"/>
    <n v="1"/>
    <n v="0"/>
    <n v="0"/>
    <n v="1"/>
    <n v="100"/>
    <n v="0"/>
    <n v="0"/>
    <s v="Consolidation"/>
    <s v="CO2e and Base Measure"/>
    <n v="100"/>
    <n v="100"/>
    <n v="1"/>
    <m/>
    <m/>
    <m/>
    <m/>
    <m/>
    <n v="1.2"/>
    <m/>
    <n v="1.2"/>
    <m/>
    <m/>
    <m/>
    <m/>
    <m/>
    <s v="AUD"/>
    <s v="13565545Waste - Construction and Demolition [t]"/>
    <n v="13565545"/>
  </r>
  <r>
    <d v="2019-07-01T00:00:00"/>
    <d v="2021-06-30T00:00:00"/>
    <s v="Telstra"/>
    <s v="NETWORK"/>
    <s v="Network - InfraCo"/>
    <s v="VIC"/>
    <s v="Australia"/>
    <s v="Epping"/>
    <s v="EPPING CMTS"/>
    <n v="423031121500"/>
    <s v="Waste"/>
    <x v="1"/>
    <x v="4"/>
    <s v="Account"/>
    <s v="Remondis Asbestos"/>
    <m/>
    <s v="423031121500_WASBESTOS"/>
    <s v="ASBESTOS"/>
    <s v="Remondis"/>
    <m/>
    <m/>
    <d v="2020-12-01T00:00:00"/>
    <d v="2020-12-01T00:00:00"/>
    <s v="FY21"/>
    <s v="t"/>
    <n v="0"/>
    <n v="0"/>
    <n v="2.4199999999999999E-2"/>
    <n v="2.4199999999999999E-2"/>
    <n v="0"/>
    <n v="0"/>
    <n v="1"/>
    <n v="1"/>
    <n v="0"/>
    <n v="0"/>
    <n v="100"/>
    <s v="Consolidation"/>
    <s v="CO2e and Base Measure"/>
    <n v="100"/>
    <n v="100"/>
    <n v="0.02"/>
    <m/>
    <m/>
    <m/>
    <m/>
    <m/>
    <n v="2.9000000000000001E-2"/>
    <m/>
    <n v="2.9000000000000001E-2"/>
    <m/>
    <m/>
    <m/>
    <m/>
    <m/>
    <s v="AUD"/>
    <s v="13565545Waste - Construction and Demolition [t]"/>
    <n v="13565545"/>
  </r>
  <r>
    <d v="2019-07-01T00:00:00"/>
    <d v="2021-06-30T00:00:00"/>
    <s v="Telstra"/>
    <s v="NETWORK"/>
    <s v="Network - InfraCo"/>
    <s v="VIC"/>
    <s v="Australia"/>
    <s v="Epping"/>
    <s v="EPPING CMTS"/>
    <n v="423031121500"/>
    <s v="Recycled Waste"/>
    <x v="0"/>
    <x v="0"/>
    <s v="Account"/>
    <s v="Remondis Cardboard - Loose - Recycled"/>
    <m/>
    <s v="423031121500_RCARDBOAR"/>
    <s v="CARDBOARD - LOOSE - RECYCLED"/>
    <s v="Remondis"/>
    <m/>
    <m/>
    <d v="2020-11-01T00:00:00"/>
    <d v="2020-09-01T00:00:00"/>
    <s v="FY21"/>
    <s v="t"/>
    <n v="0"/>
    <n v="6.3E-2"/>
    <n v="0"/>
    <n v="6.3E-2"/>
    <n v="0"/>
    <n v="1"/>
    <n v="0"/>
    <n v="1"/>
    <n v="0"/>
    <n v="100"/>
    <n v="0"/>
    <s v="Consolidation"/>
    <s v="CO2e and Base Measure"/>
    <n v="100"/>
    <n v="100"/>
    <n v="0.06"/>
    <m/>
    <m/>
    <m/>
    <m/>
    <m/>
    <m/>
    <n v="0"/>
    <m/>
    <m/>
    <m/>
    <m/>
    <m/>
    <m/>
    <s v="AUD"/>
    <s v="13565546Waste Recycled - Cardboard [t]"/>
    <n v="13565546"/>
  </r>
  <r>
    <d v="2019-07-01T00:00:00"/>
    <d v="2021-06-30T00:00:00"/>
    <s v="Telstra"/>
    <s v="NETWORK"/>
    <s v="Network - InfraCo"/>
    <s v="VIC"/>
    <s v="Australia"/>
    <s v="Epping"/>
    <s v="EPPING CMTS"/>
    <n v="423031121500"/>
    <s v="Recycled Waste"/>
    <x v="0"/>
    <x v="0"/>
    <s v="Account"/>
    <s v="Remondis Cardboard - Loose - Recycled"/>
    <m/>
    <s v="423031121500_RCARDBOAR"/>
    <s v="CARDBOARD - LOOSE - RECYCLED"/>
    <s v="Remondis"/>
    <m/>
    <m/>
    <d v="2020-11-01T00:00:00"/>
    <d v="2020-10-01T00:00:00"/>
    <s v="FY21"/>
    <s v="t"/>
    <n v="0"/>
    <n v="6.3E-2"/>
    <n v="0"/>
    <n v="6.3E-2"/>
    <n v="0"/>
    <n v="1"/>
    <n v="0"/>
    <n v="1"/>
    <n v="0"/>
    <n v="100"/>
    <n v="0"/>
    <s v="Consolidation"/>
    <s v="CO2e and Base Measure"/>
    <n v="100"/>
    <n v="100"/>
    <n v="0.06"/>
    <m/>
    <m/>
    <m/>
    <m/>
    <m/>
    <m/>
    <n v="0"/>
    <m/>
    <m/>
    <m/>
    <m/>
    <m/>
    <m/>
    <s v="AUD"/>
    <s v="13565546Waste Recycled - Cardboard [t]"/>
    <n v="13565546"/>
  </r>
  <r>
    <d v="2019-07-01T00:00:00"/>
    <d v="2021-06-30T00:00:00"/>
    <s v="Telstra"/>
    <s v="NETWORK"/>
    <s v="Network - InfraCo"/>
    <s v="VIC"/>
    <s v="Australia"/>
    <s v="Epping"/>
    <s v="EPPING CMTS"/>
    <n v="423031121500"/>
    <s v="Recycled Waste"/>
    <x v="0"/>
    <x v="0"/>
    <s v="Account"/>
    <s v="Remondis Cardboard - Loose - Recycled"/>
    <m/>
    <s v="423031121500_RCARDBOAR"/>
    <s v="CARDBOARD - LOOSE - RECYCLED"/>
    <s v="Remondis"/>
    <m/>
    <m/>
    <d v="2020-11-01T00:00:00"/>
    <d v="2020-11-01T00:00:00"/>
    <s v="FY21"/>
    <s v="t"/>
    <n v="0"/>
    <n v="0"/>
    <n v="1.1999999999999999E-3"/>
    <n v="1.1999999999999999E-3"/>
    <n v="0"/>
    <n v="0"/>
    <n v="1"/>
    <n v="1"/>
    <n v="0"/>
    <n v="0"/>
    <n v="100"/>
    <s v="Consolidation"/>
    <s v="CO2e and Base Measure"/>
    <n v="100"/>
    <n v="100"/>
    <n v="0"/>
    <m/>
    <m/>
    <m/>
    <m/>
    <m/>
    <m/>
    <n v="0"/>
    <m/>
    <m/>
    <m/>
    <m/>
    <m/>
    <m/>
    <s v="AUD"/>
    <s v="13565546Waste Recycled - Cardboard [t]"/>
    <n v="13565546"/>
  </r>
  <r>
    <d v="2019-07-01T00:00:00"/>
    <d v="2021-06-30T00:00:00"/>
    <s v="Telstra"/>
    <s v="NETWORK"/>
    <s v="Network - InfraCo"/>
    <s v="VIC"/>
    <s v="Australia"/>
    <s v="Epping"/>
    <s v="EPPING CMTS"/>
    <n v="423031121500"/>
    <s v="Waste"/>
    <x v="1"/>
    <x v="2"/>
    <s v="Account"/>
    <s v="Remondis General Waste"/>
    <m/>
    <s v="423031121500_WGENERALW"/>
    <s v="GENERAL WASTE"/>
    <s v="Remondis"/>
    <m/>
    <m/>
    <d v="2020-12-01T00:00:00"/>
    <d v="2020-08-01T00:00:00"/>
    <s v="FY21"/>
    <s v="t"/>
    <n v="0.41"/>
    <n v="0.24"/>
    <n v="0"/>
    <n v="0.65"/>
    <n v="1"/>
    <n v="1"/>
    <n v="0"/>
    <n v="2"/>
    <n v="63.07"/>
    <n v="36.92"/>
    <n v="0"/>
    <s v="Consolidation"/>
    <s v="CO2e and Base Measure"/>
    <n v="100"/>
    <n v="100"/>
    <n v="0.65"/>
    <m/>
    <m/>
    <m/>
    <m/>
    <m/>
    <n v="0.84499999999999997"/>
    <m/>
    <n v="0.84499999999999997"/>
    <m/>
    <m/>
    <m/>
    <m/>
    <m/>
    <s v="AUD"/>
    <s v="13565549Waste - General [t] - Scope 3"/>
    <n v="13565549"/>
  </r>
  <r>
    <d v="2019-07-01T00:00:00"/>
    <d v="2021-06-30T00:00:00"/>
    <s v="Telstra"/>
    <s v="NETWORK"/>
    <s v="Network - InfraCo"/>
    <s v="VIC"/>
    <s v="Australia"/>
    <s v="Epping"/>
    <s v="EPPING CMTS"/>
    <n v="423031121500"/>
    <s v="Waste"/>
    <x v="1"/>
    <x v="2"/>
    <s v="Account"/>
    <s v="Remondis General Waste"/>
    <m/>
    <s v="423031121500_WGENERALW"/>
    <s v="GENERAL WASTE"/>
    <s v="Remondis"/>
    <m/>
    <m/>
    <d v="2020-12-01T00:00:00"/>
    <d v="2020-09-01T00:00:00"/>
    <s v="FY21"/>
    <s v="t"/>
    <n v="0.41"/>
    <n v="0"/>
    <n v="0"/>
    <n v="0.41"/>
    <n v="1"/>
    <n v="0"/>
    <n v="0"/>
    <n v="1"/>
    <n v="100"/>
    <n v="0"/>
    <n v="0"/>
    <s v="Consolidation"/>
    <s v="CO2e and Base Measure"/>
    <n v="100"/>
    <n v="100"/>
    <n v="0.41"/>
    <m/>
    <m/>
    <m/>
    <m/>
    <m/>
    <n v="0.53300000000000003"/>
    <m/>
    <n v="0.53300000000000003"/>
    <m/>
    <m/>
    <m/>
    <m/>
    <m/>
    <s v="AUD"/>
    <s v="13565549Waste - General [t] - Scope 3"/>
    <n v="13565549"/>
  </r>
  <r>
    <d v="2019-07-01T00:00:00"/>
    <d v="2021-06-30T00:00:00"/>
    <s v="Telstra"/>
    <s v="NETWORK"/>
    <s v="Network - InfraCo"/>
    <s v="VIC"/>
    <s v="Australia"/>
    <s v="Epping"/>
    <s v="EPPING CMTS"/>
    <n v="423031121500"/>
    <s v="Waste"/>
    <x v="1"/>
    <x v="2"/>
    <s v="Account"/>
    <s v="Remondis General Waste"/>
    <m/>
    <s v="423031121500_WGENERALW"/>
    <s v="GENERAL WASTE"/>
    <s v="Remondis"/>
    <m/>
    <m/>
    <d v="2020-12-01T00:00:00"/>
    <d v="2020-11-01T00:00:00"/>
    <s v="FY21"/>
    <s v="t"/>
    <n v="0.5"/>
    <n v="0.19500000000000001"/>
    <n v="0"/>
    <n v="0.69499999999999995"/>
    <n v="1"/>
    <n v="1"/>
    <n v="0"/>
    <n v="2"/>
    <n v="71.94"/>
    <n v="28.05"/>
    <n v="0"/>
    <s v="Consolidation"/>
    <s v="CO2e and Base Measure"/>
    <n v="100"/>
    <n v="100"/>
    <n v="0.7"/>
    <m/>
    <m/>
    <m/>
    <m/>
    <m/>
    <n v="0.90349999999999997"/>
    <m/>
    <n v="0.90349999999999997"/>
    <m/>
    <m/>
    <m/>
    <m/>
    <m/>
    <s v="AUD"/>
    <s v="13565549Waste - General [t] - Scope 3"/>
    <n v="13565549"/>
  </r>
  <r>
    <d v="2019-07-01T00:00:00"/>
    <d v="2021-06-30T00:00:00"/>
    <s v="Telstra"/>
    <s v="NETWORK"/>
    <s v="Network - InfraCo"/>
    <s v="VIC"/>
    <s v="Australia"/>
    <s v="Epping"/>
    <s v="EPPING CMTS"/>
    <n v="423031121500"/>
    <s v="Waste"/>
    <x v="1"/>
    <x v="2"/>
    <s v="Account"/>
    <s v="Remondis General Waste"/>
    <m/>
    <s v="423031121500_WGENERALW"/>
    <s v="GENERAL WASTE"/>
    <s v="Remondis"/>
    <m/>
    <m/>
    <d v="2020-12-01T00:00:00"/>
    <d v="2020-12-01T00:00:00"/>
    <s v="FY21"/>
    <s v="t"/>
    <n v="0"/>
    <n v="0"/>
    <n v="1.4500000000000001E-2"/>
    <n v="1.4500000000000001E-2"/>
    <n v="0"/>
    <n v="0"/>
    <n v="1"/>
    <n v="1"/>
    <n v="0"/>
    <n v="0"/>
    <n v="100"/>
    <s v="Consolidation"/>
    <s v="CO2e and Base Measure"/>
    <n v="100"/>
    <n v="100"/>
    <n v="0.01"/>
    <m/>
    <m/>
    <m/>
    <m/>
    <m/>
    <n v="1.89E-2"/>
    <m/>
    <n v="1.89E-2"/>
    <m/>
    <m/>
    <m/>
    <m/>
    <m/>
    <s v="AUD"/>
    <s v="13565549Waste - General [t] - Scope 3"/>
    <n v="13565549"/>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07-01T00:00:00"/>
    <s v="FY21"/>
    <s v="t"/>
    <n v="0"/>
    <n v="2.8799999999999999E-2"/>
    <n v="0"/>
    <n v="2.8799999999999999E-2"/>
    <n v="0"/>
    <n v="1"/>
    <n v="0"/>
    <n v="1"/>
    <n v="0"/>
    <n v="100"/>
    <n v="0"/>
    <s v="Consolidation"/>
    <s v="CO2e and Base Measure"/>
    <n v="100"/>
    <n v="100"/>
    <n v="0.03"/>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09-01T00:00:00"/>
    <s v="FY21"/>
    <s v="t"/>
    <n v="0"/>
    <n v="2.8799999999999999E-2"/>
    <n v="0"/>
    <n v="2.8799999999999999E-2"/>
    <n v="0"/>
    <n v="1"/>
    <n v="0"/>
    <n v="1"/>
    <n v="0"/>
    <n v="100"/>
    <n v="0"/>
    <s v="Consolidation"/>
    <s v="CO2e and Base Measure"/>
    <n v="100"/>
    <n v="100"/>
    <n v="0.03"/>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10-01T00:00:00"/>
    <s v="FY21"/>
    <s v="t"/>
    <n v="0"/>
    <n v="2.8799999999999999E-2"/>
    <n v="0"/>
    <n v="2.8799999999999999E-2"/>
    <n v="0"/>
    <n v="1"/>
    <n v="0"/>
    <n v="1"/>
    <n v="0"/>
    <n v="100"/>
    <n v="0"/>
    <s v="Consolidation"/>
    <s v="CO2e and Base Measure"/>
    <n v="100"/>
    <n v="100"/>
    <n v="0.03"/>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11-01T00:00:00"/>
    <s v="FY21"/>
    <s v="t"/>
    <n v="0"/>
    <n v="5.7599999999999998E-2"/>
    <n v="0"/>
    <n v="5.7599999999999998E-2"/>
    <n v="0"/>
    <n v="2"/>
    <n v="0"/>
    <n v="2"/>
    <n v="0"/>
    <n v="100"/>
    <n v="0"/>
    <s v="Consolidation"/>
    <s v="CO2e and Base Measure"/>
    <n v="100"/>
    <n v="100"/>
    <n v="0.06"/>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12-01T00:00:00"/>
    <s v="FY21"/>
    <s v="t"/>
    <n v="0"/>
    <n v="2.8799999999999999E-2"/>
    <n v="0"/>
    <n v="2.8799999999999999E-2"/>
    <n v="0"/>
    <n v="1"/>
    <n v="0"/>
    <n v="1"/>
    <n v="0"/>
    <n v="100"/>
    <n v="0"/>
    <s v="Consolidation"/>
    <s v="CO2e and Base Measure"/>
    <n v="100"/>
    <n v="100"/>
    <n v="0.03"/>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1-01-01T00:00:00"/>
    <s v="FY21"/>
    <s v="t"/>
    <n v="0"/>
    <n v="0"/>
    <n v="8.9999999999999998E-4"/>
    <n v="8.9999999999999998E-4"/>
    <n v="0"/>
    <n v="0"/>
    <n v="1"/>
    <n v="1"/>
    <n v="0"/>
    <n v="0"/>
    <n v="100"/>
    <s v="Consolidation"/>
    <s v="CO2e and Base Measure"/>
    <n v="100"/>
    <n v="100"/>
    <n v="0"/>
    <m/>
    <m/>
    <m/>
    <m/>
    <m/>
    <m/>
    <n v="0"/>
    <m/>
    <m/>
    <m/>
    <m/>
    <m/>
    <m/>
    <s v="AUD"/>
    <s v="13565551Waste Recycled - Cardboard [t]"/>
    <n v="13565551"/>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0-11-01T00:00:00"/>
    <s v="FY21"/>
    <s v="t"/>
    <n v="5.0000000000000001E-3"/>
    <n v="0"/>
    <n v="0"/>
    <n v="5.0000000000000001E-3"/>
    <n v="1"/>
    <n v="0"/>
    <n v="0"/>
    <n v="1"/>
    <n v="100"/>
    <n v="0"/>
    <n v="0"/>
    <s v="Consolidation"/>
    <s v="CO2e and Base Measure"/>
    <n v="100"/>
    <n v="100"/>
    <n v="0.01"/>
    <m/>
    <m/>
    <m/>
    <m/>
    <m/>
    <n v="6.0000000000000001E-3"/>
    <m/>
    <n v="6.0000000000000001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0-12-01T00:00:00"/>
    <s v="FY21"/>
    <s v="t"/>
    <n v="0"/>
    <n v="0"/>
    <n v="6.1999999999999998E-3"/>
    <n v="6.1999999999999998E-3"/>
    <n v="0"/>
    <n v="0"/>
    <n v="31"/>
    <n v="31"/>
    <n v="0"/>
    <n v="0"/>
    <n v="100"/>
    <s v="Consolidation"/>
    <s v="CO2e and Base Measure"/>
    <n v="100"/>
    <n v="100"/>
    <n v="0.01"/>
    <m/>
    <m/>
    <m/>
    <m/>
    <m/>
    <n v="7.4000000000000003E-3"/>
    <m/>
    <n v="7.4000000000000003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1-01T00:00:00"/>
    <s v="FY21"/>
    <s v="t"/>
    <n v="0"/>
    <n v="0"/>
    <n v="6.1999999999999998E-3"/>
    <n v="6.1999999999999998E-3"/>
    <n v="0"/>
    <n v="0"/>
    <n v="31"/>
    <n v="31"/>
    <n v="0"/>
    <n v="0"/>
    <n v="100"/>
    <s v="Consolidation"/>
    <s v="CO2e and Base Measure"/>
    <n v="100"/>
    <n v="100"/>
    <n v="0.01"/>
    <m/>
    <m/>
    <m/>
    <m/>
    <m/>
    <n v="7.4000000000000003E-3"/>
    <m/>
    <n v="7.4000000000000003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2-01T00:00:00"/>
    <s v="FY21"/>
    <s v="t"/>
    <n v="0"/>
    <n v="0"/>
    <n v="5.5999999999999999E-3"/>
    <n v="5.5999999999999999E-3"/>
    <n v="0"/>
    <n v="0"/>
    <n v="28"/>
    <n v="28"/>
    <n v="0"/>
    <n v="0"/>
    <n v="100"/>
    <s v="Consolidation"/>
    <s v="CO2e and Base Measure"/>
    <n v="100"/>
    <n v="100"/>
    <n v="0.01"/>
    <m/>
    <m/>
    <m/>
    <m/>
    <m/>
    <n v="6.7000000000000002E-3"/>
    <m/>
    <n v="6.7000000000000002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3-01T00:00:00"/>
    <s v="FY21"/>
    <s v="t"/>
    <n v="0"/>
    <n v="0"/>
    <n v="6.1999999999999998E-3"/>
    <n v="6.1999999999999998E-3"/>
    <n v="0"/>
    <n v="0"/>
    <n v="31"/>
    <n v="31"/>
    <n v="0"/>
    <n v="0"/>
    <n v="100"/>
    <s v="Consolidation"/>
    <s v="CO2e and Base Measure"/>
    <n v="100"/>
    <n v="100"/>
    <n v="0.01"/>
    <m/>
    <m/>
    <m/>
    <m/>
    <m/>
    <n v="7.4000000000000003E-3"/>
    <m/>
    <n v="7.4000000000000003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4-01T00:00:00"/>
    <s v="FY21"/>
    <s v="t"/>
    <n v="0"/>
    <n v="0"/>
    <n v="6.0000000000000001E-3"/>
    <n v="6.0000000000000001E-3"/>
    <n v="0"/>
    <n v="0"/>
    <n v="30"/>
    <n v="30"/>
    <n v="0"/>
    <n v="0"/>
    <n v="100"/>
    <s v="Consolidation"/>
    <s v="CO2e and Base Measure"/>
    <n v="100"/>
    <n v="100"/>
    <n v="0.01"/>
    <m/>
    <m/>
    <m/>
    <m/>
    <m/>
    <n v="7.1999999999999998E-3"/>
    <m/>
    <n v="7.1999999999999998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5-01T00:00:00"/>
    <s v="FY21"/>
    <s v="t"/>
    <n v="0"/>
    <n v="0"/>
    <n v="6.1999999999999998E-3"/>
    <n v="6.1999999999999998E-3"/>
    <n v="0"/>
    <n v="0"/>
    <n v="31"/>
    <n v="31"/>
    <n v="0"/>
    <n v="0"/>
    <n v="100"/>
    <s v="Consolidation"/>
    <s v="CO2e and Base Measure"/>
    <n v="100"/>
    <n v="100"/>
    <n v="0.01"/>
    <m/>
    <m/>
    <m/>
    <m/>
    <m/>
    <n v="7.4000000000000003E-3"/>
    <m/>
    <n v="7.4000000000000003E-3"/>
    <m/>
    <m/>
    <m/>
    <m/>
    <m/>
    <s v="AUD"/>
    <s v="13632348Hazardous Waste [t]"/>
    <n v="13632348"/>
  </r>
  <r>
    <d v="2019-07-01T00:00:00"/>
    <d v="2021-06-30T00:00:00"/>
    <s v="Telstra"/>
    <s v="NETWORK"/>
    <s v="Network - InfraCo"/>
    <s v="NSW"/>
    <s v="Australia"/>
    <s v="Epping"/>
    <s v="EPPING EXCHANGE"/>
    <n v="423030346800"/>
    <s v="Waste"/>
    <x v="1"/>
    <x v="2"/>
    <s v="Account"/>
    <s v="Remondis General Waste"/>
    <m/>
    <s v="423030346800_WGENERALW"/>
    <s v="GENERAL WASTE"/>
    <s v="Remondis"/>
    <m/>
    <m/>
    <d v="2020-12-01T00:00:00"/>
    <d v="2020-11-01T00:00:00"/>
    <s v="FY21"/>
    <s v="t"/>
    <n v="1"/>
    <n v="0"/>
    <n v="0"/>
    <n v="1"/>
    <n v="1"/>
    <n v="0"/>
    <n v="0"/>
    <n v="1"/>
    <n v="100"/>
    <n v="0"/>
    <n v="0"/>
    <s v="Consolidation"/>
    <s v="CO2e and Base Measure"/>
    <n v="100"/>
    <n v="100"/>
    <n v="1"/>
    <m/>
    <m/>
    <m/>
    <m/>
    <m/>
    <n v="1.3"/>
    <m/>
    <n v="1.3"/>
    <m/>
    <m/>
    <m/>
    <m/>
    <m/>
    <s v="AUD"/>
    <s v="13564654Waste - General [t] - Scope 3"/>
    <n v="13564654"/>
  </r>
  <r>
    <d v="2019-07-01T00:00:00"/>
    <d v="2021-06-30T00:00:00"/>
    <s v="Telstra"/>
    <s v="NETWORK"/>
    <s v="Network - InfraCo"/>
    <s v="NSW"/>
    <s v="Australia"/>
    <s v="Epping"/>
    <s v="EPPING EXCHANGE"/>
    <n v="423030346800"/>
    <s v="Waste"/>
    <x v="1"/>
    <x v="2"/>
    <s v="Account"/>
    <s v="Remondis General Waste"/>
    <m/>
    <s v="423030346800_WGENERALW"/>
    <s v="GENERAL WASTE"/>
    <s v="Remondis"/>
    <m/>
    <m/>
    <d v="2020-12-01T00:00:00"/>
    <d v="2020-12-01T00:00:00"/>
    <s v="FY21"/>
    <s v="t"/>
    <n v="0"/>
    <n v="0"/>
    <n v="3.4500000000000003E-2"/>
    <n v="3.4500000000000003E-2"/>
    <n v="0"/>
    <n v="0"/>
    <n v="1"/>
    <n v="1"/>
    <n v="0"/>
    <n v="0"/>
    <n v="100"/>
    <s v="Consolidation"/>
    <s v="CO2e and Base Measure"/>
    <n v="100"/>
    <n v="100"/>
    <n v="0.03"/>
    <m/>
    <m/>
    <m/>
    <m/>
    <m/>
    <n v="4.4900000000000002E-2"/>
    <m/>
    <n v="4.4900000000000002E-2"/>
    <m/>
    <m/>
    <m/>
    <m/>
    <m/>
    <s v="AUD"/>
    <s v="13564654Waste - General [t] - Scope 3"/>
    <n v="13564654"/>
  </r>
  <r>
    <d v="2019-07-01T00:00:00"/>
    <d v="2021-06-30T00:00:00"/>
    <s v="Telstra"/>
    <s v="NETWORK"/>
    <s v="Network - InfraCo"/>
    <s v="VIC"/>
    <s v="Australia"/>
    <s v="Epping"/>
    <s v="EPPING EXCHANGE1"/>
    <n v="423030776900"/>
    <s v="Waste"/>
    <x v="1"/>
    <x v="2"/>
    <s v="Account"/>
    <s v="Remondis General Waste"/>
    <m/>
    <s v="423030776900_WGENERALW"/>
    <s v="GENERAL WASTE"/>
    <s v="Remondis"/>
    <m/>
    <d v="2020-09-24T00:00:00"/>
    <d v="2020-10-01T00:00:00"/>
    <d v="2020-09-01T00:00:00"/>
    <s v="FY21"/>
    <s v="t"/>
    <n v="3.66"/>
    <n v="0"/>
    <n v="0"/>
    <n v="3.66"/>
    <n v="1"/>
    <n v="0"/>
    <n v="0"/>
    <n v="1"/>
    <n v="100"/>
    <n v="0"/>
    <n v="0"/>
    <s v="Consolidation"/>
    <s v="CO2e and Base Measure"/>
    <n v="100"/>
    <n v="100"/>
    <n v="3.66"/>
    <m/>
    <m/>
    <m/>
    <m/>
    <m/>
    <n v="4.758"/>
    <m/>
    <n v="4.758"/>
    <m/>
    <m/>
    <m/>
    <m/>
    <m/>
    <s v="AUD"/>
    <s v="13629326Waste - General [t] - Scope 3"/>
    <n v="13629326"/>
  </r>
  <r>
    <d v="2019-07-01T00:00:00"/>
    <d v="2021-06-30T00:00:00"/>
    <s v="Telstra"/>
    <s v="NETWORK"/>
    <s v="Network - InfraCo"/>
    <s v="VIC"/>
    <s v="Australia"/>
    <s v="Epping"/>
    <s v="EPPING EXCHANGE1"/>
    <n v="423030776900"/>
    <s v="Waste"/>
    <x v="1"/>
    <x v="2"/>
    <s v="Account"/>
    <s v="Remondis General Waste"/>
    <m/>
    <s v="423030776900_WGENERALW"/>
    <s v="GENERAL WASTE"/>
    <s v="Remondis"/>
    <m/>
    <d v="2020-09-24T00:00:00"/>
    <d v="2020-10-01T00:00:00"/>
    <d v="2020-10-01T00:00:00"/>
    <s v="FY21"/>
    <s v="t"/>
    <n v="0"/>
    <n v="0"/>
    <n v="0.12620000000000001"/>
    <n v="0.12620000000000001"/>
    <n v="0"/>
    <n v="0"/>
    <n v="1"/>
    <n v="1"/>
    <n v="0"/>
    <n v="0"/>
    <n v="100"/>
    <s v="Consolidation"/>
    <s v="CO2e and Base Measure"/>
    <n v="100"/>
    <n v="100"/>
    <n v="0.13"/>
    <m/>
    <m/>
    <m/>
    <m/>
    <m/>
    <n v="0.1641"/>
    <m/>
    <n v="0.1641"/>
    <m/>
    <m/>
    <m/>
    <m/>
    <m/>
    <s v="AUD"/>
    <s v="13629326Waste - General [t] - Scope 3"/>
    <n v="13629326"/>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07-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08-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09-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10-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11-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12-01T00:00:00"/>
    <s v="FY21"/>
    <s v="t"/>
    <n v="0"/>
    <n v="0"/>
    <n v="4.3E-3"/>
    <n v="4.3E-3"/>
    <n v="0"/>
    <n v="0"/>
    <n v="1"/>
    <n v="1"/>
    <n v="0"/>
    <n v="0"/>
    <n v="100"/>
    <s v="Consolidation"/>
    <s v="CO2e and Base Measure"/>
    <n v="100"/>
    <n v="100"/>
    <n v="0"/>
    <m/>
    <m/>
    <m/>
    <m/>
    <m/>
    <n v="5.5999999999999999E-3"/>
    <m/>
    <n v="5.5999999999999999E-3"/>
    <m/>
    <m/>
    <m/>
    <m/>
    <m/>
    <s v="AUD"/>
    <s v="13565353Waste - General [t] - Scope 3"/>
    <n v="13565353"/>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104Waste - General [t] - Scope 3"/>
    <n v="13634104"/>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07-01T00:00:00"/>
    <s v="FY21"/>
    <s v="t"/>
    <n v="0"/>
    <n v="0.57730000000000004"/>
    <n v="0"/>
    <n v="0.57730000000000004"/>
    <n v="0"/>
    <n v="3"/>
    <n v="0"/>
    <n v="3"/>
    <n v="0"/>
    <n v="100"/>
    <n v="0"/>
    <s v="Consolidation"/>
    <s v="CO2e and Base Measure"/>
    <n v="100"/>
    <n v="100"/>
    <n v="0.57999999999999996"/>
    <m/>
    <m/>
    <m/>
    <m/>
    <m/>
    <n v="0.75049999999999994"/>
    <m/>
    <n v="0.75049999999999994"/>
    <m/>
    <m/>
    <m/>
    <m/>
    <m/>
    <s v="AUD"/>
    <s v="13565168Waste - General [t] - Scope 3"/>
    <n v="13565168"/>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08-01T00:00:00"/>
    <s v="FY21"/>
    <s v="t"/>
    <n v="0"/>
    <n v="0.433"/>
    <n v="0"/>
    <n v="0.433"/>
    <n v="0"/>
    <n v="2"/>
    <n v="0"/>
    <n v="2"/>
    <n v="0"/>
    <n v="100"/>
    <n v="0"/>
    <s v="Consolidation"/>
    <s v="CO2e and Base Measure"/>
    <n v="100"/>
    <n v="100"/>
    <n v="0.43"/>
    <m/>
    <m/>
    <m/>
    <m/>
    <m/>
    <n v="0.56289999999999996"/>
    <m/>
    <n v="0.56289999999999996"/>
    <m/>
    <m/>
    <m/>
    <m/>
    <m/>
    <s v="AUD"/>
    <s v="13565168Waste - General [t] - Scope 3"/>
    <n v="13565168"/>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09-01T00:00:00"/>
    <s v="FY21"/>
    <s v="t"/>
    <n v="0"/>
    <n v="0.2165"/>
    <n v="0"/>
    <n v="0.2165"/>
    <n v="0"/>
    <n v="2"/>
    <n v="0"/>
    <n v="2"/>
    <n v="0"/>
    <n v="100"/>
    <n v="0"/>
    <s v="Consolidation"/>
    <s v="CO2e and Base Measure"/>
    <n v="100"/>
    <n v="100"/>
    <n v="0.22"/>
    <m/>
    <m/>
    <m/>
    <m/>
    <m/>
    <n v="0.28149999999999997"/>
    <m/>
    <n v="0.28149999999999997"/>
    <m/>
    <m/>
    <m/>
    <m/>
    <m/>
    <s v="AUD"/>
    <s v="13565168Waste - General [t] - Scope 3"/>
    <n v="13565168"/>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11-01T00:00:00"/>
    <s v="FY21"/>
    <s v="t"/>
    <n v="0"/>
    <n v="0.26"/>
    <n v="0"/>
    <n v="0.26"/>
    <n v="0"/>
    <n v="1"/>
    <n v="0"/>
    <n v="1"/>
    <n v="0"/>
    <n v="100"/>
    <n v="0"/>
    <s v="Consolidation"/>
    <s v="CO2e and Base Measure"/>
    <n v="100"/>
    <n v="100"/>
    <n v="0.26"/>
    <m/>
    <m/>
    <m/>
    <m/>
    <m/>
    <n v="0.33800000000000002"/>
    <m/>
    <n v="0.33800000000000002"/>
    <m/>
    <m/>
    <m/>
    <m/>
    <m/>
    <s v="AUD"/>
    <s v="13565168Waste - General [t] - Scope 3"/>
    <n v="13565168"/>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12-01T00:00:00"/>
    <s v="FY21"/>
    <s v="t"/>
    <n v="0"/>
    <n v="0"/>
    <n v="1.0200000000000001E-2"/>
    <n v="1.0200000000000001E-2"/>
    <n v="0"/>
    <n v="0"/>
    <n v="1"/>
    <n v="1"/>
    <n v="0"/>
    <n v="0"/>
    <n v="100"/>
    <s v="Consolidation"/>
    <s v="CO2e and Base Measure"/>
    <n v="100"/>
    <n v="100"/>
    <n v="0.01"/>
    <m/>
    <m/>
    <m/>
    <m/>
    <m/>
    <n v="1.3299999999999999E-2"/>
    <m/>
    <n v="1.3299999999999999E-2"/>
    <m/>
    <m/>
    <m/>
    <m/>
    <m/>
    <s v="AUD"/>
    <s v="13565168Waste - General [t] - Scope 3"/>
    <n v="13565168"/>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0-12-01T00:00:00"/>
    <s v="FY21"/>
    <s v="t"/>
    <n v="0"/>
    <n v="0.1782"/>
    <n v="0"/>
    <n v="0.1782"/>
    <n v="0"/>
    <n v="2"/>
    <n v="0"/>
    <n v="2"/>
    <n v="0"/>
    <n v="100"/>
    <n v="0"/>
    <s v="Consolidation"/>
    <s v="CO2e and Base Measure"/>
    <n v="100"/>
    <n v="100"/>
    <n v="0.18"/>
    <m/>
    <m/>
    <m/>
    <m/>
    <m/>
    <n v="0.23169999999999999"/>
    <m/>
    <n v="0.23169999999999999"/>
    <m/>
    <m/>
    <m/>
    <m/>
    <m/>
    <s v="AUD"/>
    <s v="13634306Waste - General [t] - Scope 3"/>
    <n v="13634306"/>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1-01-01T00:00:00"/>
    <s v="FY21"/>
    <s v="t"/>
    <n v="0"/>
    <n v="0.1188"/>
    <n v="0"/>
    <n v="0.1188"/>
    <n v="0"/>
    <n v="2"/>
    <n v="0"/>
    <n v="2"/>
    <n v="0"/>
    <n v="100"/>
    <n v="0"/>
    <s v="Consolidation"/>
    <s v="CO2e and Base Measure"/>
    <n v="100"/>
    <n v="100"/>
    <n v="0.12"/>
    <m/>
    <m/>
    <m/>
    <m/>
    <m/>
    <n v="0.15440000000000001"/>
    <m/>
    <n v="0.15440000000000001"/>
    <m/>
    <m/>
    <m/>
    <m/>
    <m/>
    <s v="AUD"/>
    <s v="13634306Waste - General [t] - Scope 3"/>
    <n v="13634306"/>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1-03-01T00:00:00"/>
    <s v="FY21"/>
    <s v="t"/>
    <n v="0.03"/>
    <n v="0.14849999999999999"/>
    <n v="0"/>
    <n v="0.17849999999999999"/>
    <n v="1"/>
    <n v="2"/>
    <n v="0"/>
    <n v="3"/>
    <n v="16.8"/>
    <n v="83.19"/>
    <n v="0"/>
    <s v="Consolidation"/>
    <s v="CO2e and Base Measure"/>
    <n v="100"/>
    <n v="100"/>
    <n v="0.18"/>
    <m/>
    <m/>
    <m/>
    <m/>
    <m/>
    <n v="0.2321"/>
    <m/>
    <n v="0.2321"/>
    <m/>
    <m/>
    <m/>
    <m/>
    <m/>
    <s v="AUD"/>
    <s v="13634306Waste - General [t] - Scope 3"/>
    <n v="13634306"/>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1-04-01T00:00:00"/>
    <s v="FY21"/>
    <s v="t"/>
    <n v="0"/>
    <n v="0"/>
    <n v="0.12"/>
    <n v="0.12"/>
    <n v="0"/>
    <n v="0"/>
    <n v="30"/>
    <n v="30"/>
    <n v="0"/>
    <n v="0"/>
    <n v="100"/>
    <s v="Consolidation"/>
    <s v="CO2e and Base Measure"/>
    <n v="100"/>
    <n v="100"/>
    <n v="0.12"/>
    <m/>
    <m/>
    <m/>
    <m/>
    <m/>
    <n v="0.156"/>
    <m/>
    <n v="0.156"/>
    <m/>
    <m/>
    <m/>
    <m/>
    <m/>
    <s v="AUD"/>
    <s v="13634306Waste - General [t] - Scope 3"/>
    <n v="13634306"/>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1-05-01T00:00:00"/>
    <s v="FY21"/>
    <s v="t"/>
    <n v="0"/>
    <n v="0"/>
    <n v="0.124"/>
    <n v="0.124"/>
    <n v="0"/>
    <n v="0"/>
    <n v="31"/>
    <n v="31"/>
    <n v="0"/>
    <n v="0"/>
    <n v="100"/>
    <s v="Consolidation"/>
    <s v="CO2e and Base Measure"/>
    <n v="100"/>
    <n v="100"/>
    <n v="0.12"/>
    <m/>
    <m/>
    <m/>
    <m/>
    <m/>
    <n v="0.16120000000000001"/>
    <m/>
    <n v="0.16120000000000001"/>
    <m/>
    <m/>
    <m/>
    <m/>
    <m/>
    <s v="AUD"/>
    <s v="13634306Waste - General [t] - Scope 3"/>
    <n v="13634306"/>
  </r>
  <r>
    <d v="2019-07-01T00:00:00"/>
    <d v="2021-06-30T00:00:00"/>
    <s v="Telstra"/>
    <s v="NETWORK"/>
    <s v="Network - InfraCo"/>
    <s v="QLD"/>
    <s v="Australia"/>
    <s v="Shire of Pine Rivers"/>
    <s v="EVERTON PARK EXCHANGE"/>
    <n v="423031135600"/>
    <s v="Waste"/>
    <x v="1"/>
    <x v="2"/>
    <s v="Account"/>
    <s v="Remondis General Waste"/>
    <m/>
    <s v="423031135600_WGENERALW"/>
    <s v="GENERAL WASTE"/>
    <s v="Remondis"/>
    <m/>
    <m/>
    <d v="2020-10-01T00:00:00"/>
    <d v="2020-07-01T00:00:00"/>
    <s v="FY21"/>
    <s v="t"/>
    <n v="8.9999999999999993E-3"/>
    <n v="0"/>
    <n v="0"/>
    <n v="8.9999999999999993E-3"/>
    <n v="5"/>
    <n v="0"/>
    <n v="0"/>
    <n v="5"/>
    <n v="100"/>
    <n v="0"/>
    <n v="0"/>
    <s v="Consolidation"/>
    <s v="CO2e and Base Measure"/>
    <n v="100"/>
    <n v="100"/>
    <n v="0.01"/>
    <m/>
    <m/>
    <m/>
    <m/>
    <m/>
    <n v="1.17E-2"/>
    <m/>
    <n v="1.17E-2"/>
    <m/>
    <m/>
    <m/>
    <m/>
    <m/>
    <s v="AUD"/>
    <s v="13565554Waste - General [t] - Scope 3"/>
    <n v="13565554"/>
  </r>
  <r>
    <d v="2019-07-01T00:00:00"/>
    <d v="2021-06-30T00:00:00"/>
    <s v="Telstra"/>
    <s v="NETWORK"/>
    <s v="Network - InfraCo"/>
    <s v="QLD"/>
    <s v="Australia"/>
    <s v="Shire of Pine Rivers"/>
    <s v="EVERTON PARK EXCHANGE"/>
    <n v="423031135600"/>
    <s v="Waste"/>
    <x v="1"/>
    <x v="2"/>
    <s v="Account"/>
    <s v="Remondis General Waste"/>
    <m/>
    <s v="423031135600_WGENERALW"/>
    <s v="GENERAL WASTE"/>
    <s v="Remondis"/>
    <m/>
    <m/>
    <d v="2020-10-01T00:00:00"/>
    <d v="2020-08-01T00:00:00"/>
    <s v="FY21"/>
    <s v="t"/>
    <n v="2.1999999999999999E-2"/>
    <n v="0"/>
    <n v="0"/>
    <n v="2.1999999999999999E-2"/>
    <n v="4"/>
    <n v="0"/>
    <n v="0"/>
    <n v="4"/>
    <n v="100"/>
    <n v="0"/>
    <n v="0"/>
    <s v="Consolidation"/>
    <s v="CO2e and Base Measure"/>
    <n v="100"/>
    <n v="100"/>
    <n v="0.02"/>
    <m/>
    <m/>
    <m/>
    <m/>
    <m/>
    <n v="2.86E-2"/>
    <m/>
    <n v="2.86E-2"/>
    <m/>
    <m/>
    <m/>
    <m/>
    <m/>
    <s v="AUD"/>
    <s v="13565554Waste - General [t] - Scope 3"/>
    <n v="13565554"/>
  </r>
  <r>
    <d v="2019-07-01T00:00:00"/>
    <d v="2021-06-30T00:00:00"/>
    <s v="Telstra"/>
    <s v="NETWORK"/>
    <s v="Network - InfraCo"/>
    <s v="QLD"/>
    <s v="Australia"/>
    <s v="Shire of Pine Rivers"/>
    <s v="EVERTON PARK EXCHANGE"/>
    <n v="423031135600"/>
    <s v="Waste"/>
    <x v="1"/>
    <x v="2"/>
    <s v="Account"/>
    <s v="Remondis General Waste"/>
    <m/>
    <s v="423031135600_WGENERALW"/>
    <s v="GENERAL WASTE"/>
    <s v="Remondis"/>
    <m/>
    <m/>
    <d v="2020-10-01T00:00:00"/>
    <d v="2020-09-01T00:00:00"/>
    <s v="FY21"/>
    <s v="t"/>
    <n v="1.6E-2"/>
    <n v="0"/>
    <n v="0"/>
    <n v="1.6E-2"/>
    <n v="3"/>
    <n v="0"/>
    <n v="0"/>
    <n v="3"/>
    <n v="100"/>
    <n v="0"/>
    <n v="0"/>
    <s v="Consolidation"/>
    <s v="CO2e and Base Measure"/>
    <n v="100"/>
    <n v="100"/>
    <n v="0.02"/>
    <m/>
    <m/>
    <m/>
    <m/>
    <m/>
    <n v="2.0799999999999999E-2"/>
    <m/>
    <n v="2.0799999999999999E-2"/>
    <m/>
    <m/>
    <m/>
    <m/>
    <m/>
    <s v="AUD"/>
    <s v="13565554Waste - General [t] - Scope 3"/>
    <n v="13565554"/>
  </r>
  <r>
    <d v="2019-07-01T00:00:00"/>
    <d v="2021-06-30T00:00:00"/>
    <s v="Telstra"/>
    <s v="NETWORK"/>
    <s v="Network - InfraCo"/>
    <s v="QLD"/>
    <s v="Australia"/>
    <s v="Shire of Pine Rivers"/>
    <s v="EVERTON PARK EXCHANGE"/>
    <n v="423031135600"/>
    <s v="Waste"/>
    <x v="1"/>
    <x v="2"/>
    <s v="Account"/>
    <s v="Remondis General Waste"/>
    <m/>
    <s v="423031135600_WGENERALW"/>
    <s v="GENERAL WASTE"/>
    <s v="Remondis"/>
    <m/>
    <m/>
    <d v="2020-10-01T00:00:00"/>
    <d v="2020-10-01T00:00:00"/>
    <s v="FY21"/>
    <s v="t"/>
    <n v="0"/>
    <n v="0"/>
    <n v="5.0000000000000001E-4"/>
    <n v="5.0000000000000001E-4"/>
    <n v="0"/>
    <n v="0"/>
    <n v="1"/>
    <n v="1"/>
    <n v="0"/>
    <n v="0"/>
    <n v="100"/>
    <s v="Consolidation"/>
    <s v="CO2e and Base Measure"/>
    <n v="100"/>
    <n v="100"/>
    <n v="0"/>
    <m/>
    <m/>
    <m/>
    <m/>
    <m/>
    <n v="6.9999999999999999E-4"/>
    <m/>
    <n v="6.9999999999999999E-4"/>
    <m/>
    <m/>
    <m/>
    <m/>
    <m/>
    <s v="AUD"/>
    <s v="13565554Waste - General [t] - Scope 3"/>
    <n v="13565554"/>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0-12-01T00:00:00"/>
    <s v="FY21"/>
    <s v="t"/>
    <n v="0"/>
    <n v="3.2399999999999998E-2"/>
    <n v="0"/>
    <n v="3.2399999999999998E-2"/>
    <n v="0"/>
    <n v="3"/>
    <n v="0"/>
    <n v="3"/>
    <n v="0"/>
    <n v="100"/>
    <n v="0"/>
    <s v="Consolidation"/>
    <s v="CO2e and Base Measure"/>
    <n v="100"/>
    <n v="100"/>
    <n v="0.03"/>
    <m/>
    <m/>
    <m/>
    <m/>
    <m/>
    <n v="4.2099999999999999E-2"/>
    <m/>
    <n v="4.2099999999999999E-2"/>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1-01T00:00:00"/>
    <s v="FY21"/>
    <s v="t"/>
    <n v="0.12"/>
    <n v="3.2399999999999998E-2"/>
    <n v="0"/>
    <n v="0.15240000000000001"/>
    <n v="1"/>
    <n v="3"/>
    <n v="0"/>
    <n v="4"/>
    <n v="78.739999999999995"/>
    <n v="21.25"/>
    <n v="0"/>
    <s v="Consolidation"/>
    <s v="CO2e and Base Measure"/>
    <n v="100"/>
    <n v="100"/>
    <n v="0.15"/>
    <m/>
    <m/>
    <m/>
    <m/>
    <m/>
    <n v="0.1981"/>
    <m/>
    <n v="0.1981"/>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2-01T00:00:00"/>
    <s v="FY21"/>
    <s v="t"/>
    <n v="0"/>
    <n v="4.3200000000000002E-2"/>
    <n v="0"/>
    <n v="4.3200000000000002E-2"/>
    <n v="0"/>
    <n v="4"/>
    <n v="0"/>
    <n v="4"/>
    <n v="0"/>
    <n v="100"/>
    <n v="0"/>
    <s v="Consolidation"/>
    <s v="CO2e and Base Measure"/>
    <n v="100"/>
    <n v="100"/>
    <n v="0.04"/>
    <m/>
    <m/>
    <m/>
    <m/>
    <m/>
    <n v="5.62E-2"/>
    <m/>
    <n v="5.62E-2"/>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3-01T00:00:00"/>
    <s v="FY21"/>
    <s v="t"/>
    <n v="0"/>
    <n v="3.2399999999999998E-2"/>
    <n v="0"/>
    <n v="3.2399999999999998E-2"/>
    <n v="0"/>
    <n v="3"/>
    <n v="0"/>
    <n v="3"/>
    <n v="0"/>
    <n v="100"/>
    <n v="0"/>
    <s v="Consolidation"/>
    <s v="CO2e and Base Measure"/>
    <n v="100"/>
    <n v="100"/>
    <n v="0.03"/>
    <m/>
    <m/>
    <m/>
    <m/>
    <m/>
    <n v="4.2099999999999999E-2"/>
    <m/>
    <n v="4.2099999999999999E-2"/>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4-01T00:00:00"/>
    <s v="FY21"/>
    <s v="t"/>
    <n v="0"/>
    <n v="0"/>
    <n v="6.6000000000000003E-2"/>
    <n v="6.6000000000000003E-2"/>
    <n v="0"/>
    <n v="0"/>
    <n v="30"/>
    <n v="30"/>
    <n v="0"/>
    <n v="0"/>
    <n v="100"/>
    <s v="Consolidation"/>
    <s v="CO2e and Base Measure"/>
    <n v="100"/>
    <n v="100"/>
    <n v="7.0000000000000007E-2"/>
    <m/>
    <m/>
    <m/>
    <m/>
    <m/>
    <n v="8.5800000000000001E-2"/>
    <m/>
    <n v="8.5800000000000001E-2"/>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5-01T00:00:00"/>
    <s v="FY21"/>
    <s v="t"/>
    <n v="0"/>
    <n v="0"/>
    <n v="6.8199999999999997E-2"/>
    <n v="6.8199999999999997E-2"/>
    <n v="0"/>
    <n v="0"/>
    <n v="31"/>
    <n v="31"/>
    <n v="0"/>
    <n v="0"/>
    <n v="100"/>
    <s v="Consolidation"/>
    <s v="CO2e and Base Measure"/>
    <n v="100"/>
    <n v="100"/>
    <n v="7.0000000000000007E-2"/>
    <m/>
    <m/>
    <m/>
    <m/>
    <m/>
    <n v="8.8700000000000001E-2"/>
    <m/>
    <n v="8.8700000000000001E-2"/>
    <m/>
    <m/>
    <m/>
    <m/>
    <m/>
    <s v="AUD"/>
    <s v="13634105Waste - General [t] - Scope 3"/>
    <n v="13634105"/>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07-01T00:00:00"/>
    <s v="FY21"/>
    <s v="t"/>
    <n v="0"/>
    <n v="0.27960000000000002"/>
    <n v="0"/>
    <n v="0.27960000000000002"/>
    <n v="0"/>
    <n v="5"/>
    <n v="0"/>
    <n v="5"/>
    <n v="0"/>
    <n v="100"/>
    <n v="0"/>
    <s v="Consolidation"/>
    <s v="CO2e and Base Measure"/>
    <n v="100"/>
    <n v="100"/>
    <n v="0.28000000000000003"/>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08-01T00:00:00"/>
    <s v="FY21"/>
    <s v="t"/>
    <n v="0"/>
    <n v="0.27960000000000002"/>
    <n v="0"/>
    <n v="0.27960000000000002"/>
    <n v="0"/>
    <n v="4"/>
    <n v="0"/>
    <n v="4"/>
    <n v="0"/>
    <n v="100"/>
    <n v="0"/>
    <s v="Consolidation"/>
    <s v="CO2e and Base Measure"/>
    <n v="100"/>
    <n v="100"/>
    <n v="0.28000000000000003"/>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09-01T00:00:00"/>
    <s v="FY21"/>
    <s v="t"/>
    <n v="0"/>
    <n v="2.3300000000000001E-2"/>
    <n v="0"/>
    <n v="2.3300000000000001E-2"/>
    <n v="0"/>
    <n v="1"/>
    <n v="0"/>
    <n v="1"/>
    <n v="0"/>
    <n v="100"/>
    <n v="0"/>
    <s v="Consolidation"/>
    <s v="CO2e and Base Measure"/>
    <n v="100"/>
    <n v="100"/>
    <n v="0.02"/>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10-01T00:00:00"/>
    <s v="FY21"/>
    <s v="t"/>
    <n v="0"/>
    <n v="0.11650000000000001"/>
    <n v="0"/>
    <n v="0.11650000000000001"/>
    <n v="0"/>
    <n v="5"/>
    <n v="0"/>
    <n v="5"/>
    <n v="0"/>
    <n v="100"/>
    <n v="0"/>
    <s v="Consolidation"/>
    <s v="CO2e and Base Measure"/>
    <n v="100"/>
    <n v="100"/>
    <n v="0.12"/>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11-01T00:00:00"/>
    <s v="FY21"/>
    <s v="t"/>
    <n v="0"/>
    <n v="9.3200000000000005E-2"/>
    <n v="0"/>
    <n v="9.3200000000000005E-2"/>
    <n v="0"/>
    <n v="4"/>
    <n v="0"/>
    <n v="4"/>
    <n v="0"/>
    <n v="100"/>
    <n v="0"/>
    <s v="Consolidation"/>
    <s v="CO2e and Base Measure"/>
    <n v="100"/>
    <n v="100"/>
    <n v="0.09"/>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12-01T00:00:00"/>
    <s v="FY21"/>
    <s v="t"/>
    <n v="0"/>
    <n v="0.11650000000000001"/>
    <n v="0"/>
    <n v="0.11650000000000001"/>
    <n v="0"/>
    <n v="5"/>
    <n v="0"/>
    <n v="5"/>
    <n v="0"/>
    <n v="100"/>
    <n v="0"/>
    <s v="Consolidation"/>
    <s v="CO2e and Base Measure"/>
    <n v="100"/>
    <n v="100"/>
    <n v="0.12"/>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1-01-01T00:00:00"/>
    <s v="FY21"/>
    <s v="t"/>
    <n v="0"/>
    <n v="0"/>
    <n v="6.0000000000000001E-3"/>
    <n v="6.0000000000000001E-3"/>
    <n v="0"/>
    <n v="0"/>
    <n v="1"/>
    <n v="1"/>
    <n v="0"/>
    <n v="0"/>
    <n v="100"/>
    <s v="Consolidation"/>
    <s v="CO2e and Base Measure"/>
    <n v="100"/>
    <n v="100"/>
    <n v="0.01"/>
    <m/>
    <m/>
    <m/>
    <m/>
    <m/>
    <m/>
    <n v="0"/>
    <m/>
    <m/>
    <m/>
    <m/>
    <m/>
    <m/>
    <s v="AUD"/>
    <s v="13565284Waste Recycled - Cardboard [t]"/>
    <n v="13565284"/>
  </r>
  <r>
    <d v="2019-07-01T00:00:00"/>
    <d v="2021-06-30T00:00:00"/>
    <s v="Telstra"/>
    <s v="NETWORK"/>
    <s v="Network - InfraCo"/>
    <s v="VIC"/>
    <s v="Australia"/>
    <s v="Melbourne"/>
    <s v="EXHIBITION EXCHANGE"/>
    <n v="423030787200"/>
    <s v="Recycled Waste"/>
    <x v="0"/>
    <x v="1"/>
    <s v="Account"/>
    <s v="Remondis Electrical Comp. (E-Waste)"/>
    <m/>
    <s v="423030787200_RELECTRIC"/>
    <s v="ELECTRICAL COMP. E-WASTE"/>
    <s v="Remondis"/>
    <m/>
    <m/>
    <d v="2021-01-01T00:00:00"/>
    <d v="2020-08-01T00:00:00"/>
    <s v="FY21"/>
    <s v="t"/>
    <n v="0"/>
    <n v="0.12540000000000001"/>
    <n v="0"/>
    <n v="0.12540000000000001"/>
    <n v="0"/>
    <n v="1"/>
    <n v="0"/>
    <n v="1"/>
    <n v="0"/>
    <n v="100"/>
    <n v="0"/>
    <s v="Consolidation"/>
    <s v="CO2e and Base Measure"/>
    <n v="100"/>
    <n v="100"/>
    <n v="0.13"/>
    <m/>
    <m/>
    <m/>
    <m/>
    <m/>
    <m/>
    <m/>
    <m/>
    <m/>
    <m/>
    <m/>
    <m/>
    <m/>
    <s v="AUD"/>
    <s v="13565287Waste Recycled - E-waste [t]"/>
    <n v="13565287"/>
  </r>
  <r>
    <d v="2019-07-01T00:00:00"/>
    <d v="2021-06-30T00:00:00"/>
    <s v="Telstra"/>
    <s v="NETWORK"/>
    <s v="Network - InfraCo"/>
    <s v="VIC"/>
    <s v="Australia"/>
    <s v="Melbourne"/>
    <s v="EXHIBITION EXCHANGE"/>
    <n v="423030787200"/>
    <s v="Recycled Waste"/>
    <x v="0"/>
    <x v="1"/>
    <s v="Account"/>
    <s v="Remondis Electrical Comp. (E-Waste)"/>
    <m/>
    <s v="423030787200_RELECTRIC"/>
    <s v="ELECTRICAL COMP. E-WASTE"/>
    <s v="Remondis"/>
    <m/>
    <m/>
    <d v="2021-01-01T00:00:00"/>
    <d v="2020-09-01T00:00:00"/>
    <s v="FY21"/>
    <s v="t"/>
    <n v="0"/>
    <n v="0.12540000000000001"/>
    <n v="0"/>
    <n v="0.12540000000000001"/>
    <n v="0"/>
    <n v="1"/>
    <n v="0"/>
    <n v="1"/>
    <n v="0"/>
    <n v="100"/>
    <n v="0"/>
    <s v="Consolidation"/>
    <s v="CO2e and Base Measure"/>
    <n v="100"/>
    <n v="100"/>
    <n v="0.13"/>
    <m/>
    <m/>
    <m/>
    <m/>
    <m/>
    <m/>
    <m/>
    <m/>
    <m/>
    <m/>
    <m/>
    <m/>
    <m/>
    <s v="AUD"/>
    <s v="13565287Waste Recycled - E-waste [t]"/>
    <n v="13565287"/>
  </r>
  <r>
    <d v="2019-07-01T00:00:00"/>
    <d v="2021-06-30T00:00:00"/>
    <s v="Telstra"/>
    <s v="NETWORK"/>
    <s v="Network - InfraCo"/>
    <s v="VIC"/>
    <s v="Australia"/>
    <s v="Melbourne"/>
    <s v="EXHIBITION EXCHANGE"/>
    <n v="423030787200"/>
    <s v="Recycled Waste"/>
    <x v="0"/>
    <x v="1"/>
    <s v="Account"/>
    <s v="Remondis Electrical Comp. (E-Waste)"/>
    <m/>
    <s v="423030787200_RELECTRIC"/>
    <s v="ELECTRICAL COMP. E-WASTE"/>
    <s v="Remondis"/>
    <m/>
    <m/>
    <d v="2021-01-01T00:00:00"/>
    <d v="2020-12-01T00:00:00"/>
    <s v="FY21"/>
    <s v="t"/>
    <n v="0"/>
    <n v="0.25080000000000002"/>
    <n v="0"/>
    <n v="0.25080000000000002"/>
    <n v="0"/>
    <n v="1"/>
    <n v="0"/>
    <n v="1"/>
    <n v="0"/>
    <n v="100"/>
    <n v="0"/>
    <s v="Consolidation"/>
    <s v="CO2e and Base Measure"/>
    <n v="100"/>
    <n v="100"/>
    <n v="0.25"/>
    <m/>
    <m/>
    <m/>
    <m/>
    <m/>
    <m/>
    <m/>
    <m/>
    <m/>
    <m/>
    <m/>
    <m/>
    <m/>
    <s v="AUD"/>
    <s v="13565287Waste Recycled - E-waste [t]"/>
    <n v="13565287"/>
  </r>
  <r>
    <d v="2019-07-01T00:00:00"/>
    <d v="2021-06-30T00:00:00"/>
    <s v="Telstra"/>
    <s v="NETWORK"/>
    <s v="Network - InfraCo"/>
    <s v="VIC"/>
    <s v="Australia"/>
    <s v="Melbourne"/>
    <s v="EXHIBITION EXCHANGE"/>
    <n v="423030787200"/>
    <s v="Recycled Waste"/>
    <x v="0"/>
    <x v="1"/>
    <s v="Account"/>
    <s v="Remondis Electrical Comp. (E-Waste)"/>
    <m/>
    <s v="423030787200_RELECTRIC"/>
    <s v="ELECTRICAL COMP. E-WASTE"/>
    <s v="Remondis"/>
    <m/>
    <m/>
    <d v="2021-01-01T00:00:00"/>
    <d v="2021-01-01T00:00:00"/>
    <s v="FY21"/>
    <s v="t"/>
    <n v="0"/>
    <n v="0"/>
    <n v="3.3E-3"/>
    <n v="3.3E-3"/>
    <n v="0"/>
    <n v="0"/>
    <n v="1"/>
    <n v="1"/>
    <n v="0"/>
    <n v="0"/>
    <n v="100"/>
    <s v="Consolidation"/>
    <s v="CO2e and Base Measure"/>
    <n v="100"/>
    <n v="100"/>
    <n v="0"/>
    <m/>
    <m/>
    <m/>
    <m/>
    <m/>
    <m/>
    <m/>
    <m/>
    <m/>
    <m/>
    <m/>
    <m/>
    <m/>
    <s v="AUD"/>
    <s v="13565287Waste Recycled - E-waste [t]"/>
    <n v="13565287"/>
  </r>
  <r>
    <d v="2019-07-01T00:00:00"/>
    <d v="2021-06-30T00:00:00"/>
    <s v="Telstra"/>
    <s v="NETWORK"/>
    <s v="Network - InfraCo"/>
    <s v="VIC"/>
    <s v="Australia"/>
    <s v="Melbourne"/>
    <s v="EXHIBITION EXCHANGE"/>
    <n v="423030787200"/>
    <s v="Recycled Waste"/>
    <x v="0"/>
    <x v="1"/>
    <s v="Account"/>
    <s v="Remondis Fluoro Tubes - Recycled"/>
    <m/>
    <s v="423030787200_RFLUORO"/>
    <s v="FLUORO TUBES - RECYCLED"/>
    <s v="Remondis"/>
    <m/>
    <m/>
    <d v="2020-10-01T00:00:00"/>
    <d v="2020-09-01T00:00:00"/>
    <s v="FY21"/>
    <s v="t"/>
    <n v="0"/>
    <n v="0.2"/>
    <n v="0"/>
    <n v="0.2"/>
    <n v="0"/>
    <n v="1"/>
    <n v="0"/>
    <n v="1"/>
    <n v="0"/>
    <n v="100"/>
    <n v="0"/>
    <s v="Consolidation"/>
    <s v="CO2e and Base Measure"/>
    <n v="100"/>
    <n v="100"/>
    <n v="0.2"/>
    <m/>
    <m/>
    <m/>
    <m/>
    <m/>
    <m/>
    <m/>
    <m/>
    <m/>
    <m/>
    <m/>
    <m/>
    <m/>
    <s v="AUD"/>
    <s v="13565288Waste Recycled - E-waste [t]"/>
    <n v="13565288"/>
  </r>
  <r>
    <d v="2019-07-01T00:00:00"/>
    <d v="2021-06-30T00:00:00"/>
    <s v="Telstra"/>
    <s v="NETWORK"/>
    <s v="Network - InfraCo"/>
    <s v="VIC"/>
    <s v="Australia"/>
    <s v="Melbourne"/>
    <s v="EXHIBITION EXCHANGE"/>
    <n v="423030787200"/>
    <s v="Recycled Waste"/>
    <x v="0"/>
    <x v="1"/>
    <s v="Account"/>
    <s v="Remondis Fluoro Tubes - Recycled"/>
    <m/>
    <s v="423030787200_RFLUORO"/>
    <s v="FLUORO TUBES - RECYCLED"/>
    <s v="Remondis"/>
    <m/>
    <m/>
    <d v="2020-10-01T00:00:00"/>
    <d v="2020-10-01T00:00:00"/>
    <s v="FY21"/>
    <s v="t"/>
    <n v="0"/>
    <n v="0"/>
    <n v="6.8999999999999999E-3"/>
    <n v="6.8999999999999999E-3"/>
    <n v="0"/>
    <n v="0"/>
    <n v="1"/>
    <n v="1"/>
    <n v="0"/>
    <n v="0"/>
    <n v="100"/>
    <s v="Consolidation"/>
    <s v="CO2e and Base Measure"/>
    <n v="100"/>
    <n v="100"/>
    <n v="0.01"/>
    <m/>
    <m/>
    <m/>
    <m/>
    <m/>
    <m/>
    <m/>
    <m/>
    <m/>
    <m/>
    <m/>
    <m/>
    <m/>
    <s v="AUD"/>
    <s v="13565288Waste Recycled - E-waste [t]"/>
    <n v="13565288"/>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07-01T00:00:00"/>
    <s v="FY21"/>
    <s v="t"/>
    <n v="0"/>
    <n v="3.6078000000000001"/>
    <n v="0"/>
    <n v="3.6078000000000001"/>
    <n v="0"/>
    <n v="22"/>
    <n v="0"/>
    <n v="22"/>
    <n v="0"/>
    <n v="100"/>
    <n v="0"/>
    <s v="Consolidation"/>
    <s v="CO2e and Base Measure"/>
    <n v="100"/>
    <n v="100"/>
    <n v="3.61"/>
    <m/>
    <m/>
    <m/>
    <m/>
    <m/>
    <n v="4.6901000000000002"/>
    <m/>
    <n v="4.6901000000000002"/>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08-01T00:00:00"/>
    <s v="FY21"/>
    <s v="t"/>
    <n v="0"/>
    <n v="2.9584000000000001"/>
    <n v="0"/>
    <n v="2.9584000000000001"/>
    <n v="0"/>
    <n v="19"/>
    <n v="0"/>
    <n v="19"/>
    <n v="0"/>
    <n v="100"/>
    <n v="0"/>
    <s v="Consolidation"/>
    <s v="CO2e and Base Measure"/>
    <n v="100"/>
    <n v="100"/>
    <n v="2.96"/>
    <m/>
    <m/>
    <m/>
    <m/>
    <m/>
    <n v="3.8458999999999999"/>
    <m/>
    <n v="3.8458999999999999"/>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09-01T00:00:00"/>
    <s v="FY21"/>
    <s v="t"/>
    <n v="0"/>
    <n v="3.68"/>
    <n v="0"/>
    <n v="3.68"/>
    <n v="0"/>
    <n v="22"/>
    <n v="0"/>
    <n v="22"/>
    <n v="0"/>
    <n v="100"/>
    <n v="0"/>
    <s v="Consolidation"/>
    <s v="CO2e and Base Measure"/>
    <n v="100"/>
    <n v="100"/>
    <n v="3.68"/>
    <m/>
    <m/>
    <m/>
    <m/>
    <m/>
    <n v="4.7839999999999998"/>
    <m/>
    <n v="4.7839999999999998"/>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10-01T00:00:00"/>
    <s v="FY21"/>
    <s v="t"/>
    <n v="0"/>
    <n v="2.6699000000000002"/>
    <n v="0"/>
    <n v="2.6699000000000002"/>
    <n v="0"/>
    <n v="19"/>
    <n v="0"/>
    <n v="19"/>
    <n v="0"/>
    <n v="100"/>
    <n v="0"/>
    <s v="Consolidation"/>
    <s v="CO2e and Base Measure"/>
    <n v="100"/>
    <n v="100"/>
    <n v="2.67"/>
    <m/>
    <m/>
    <m/>
    <m/>
    <m/>
    <n v="3.4708999999999999"/>
    <m/>
    <n v="3.4708999999999999"/>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11-01T00:00:00"/>
    <s v="FY21"/>
    <s v="t"/>
    <n v="0"/>
    <n v="2.6698"/>
    <n v="0"/>
    <n v="2.6698"/>
    <n v="0"/>
    <n v="18"/>
    <n v="0"/>
    <n v="18"/>
    <n v="0"/>
    <n v="100"/>
    <n v="0"/>
    <s v="Consolidation"/>
    <s v="CO2e and Base Measure"/>
    <n v="100"/>
    <n v="100"/>
    <n v="2.67"/>
    <m/>
    <m/>
    <m/>
    <m/>
    <m/>
    <n v="3.4706999999999999"/>
    <m/>
    <n v="3.4706999999999999"/>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1-01-01T00:00:00"/>
    <s v="FY21"/>
    <s v="t"/>
    <n v="0"/>
    <n v="0"/>
    <n v="8.6400000000000005E-2"/>
    <n v="8.6400000000000005E-2"/>
    <n v="0"/>
    <n v="0"/>
    <n v="1"/>
    <n v="1"/>
    <n v="0"/>
    <n v="0"/>
    <n v="100"/>
    <s v="Consolidation"/>
    <s v="CO2e and Base Measure"/>
    <n v="100"/>
    <n v="100"/>
    <n v="0.09"/>
    <m/>
    <m/>
    <m/>
    <m/>
    <m/>
    <n v="0.1123"/>
    <m/>
    <n v="0.1123"/>
    <m/>
    <m/>
    <m/>
    <m/>
    <m/>
    <s v="AUD"/>
    <s v="13565289Waste - General [t] - Scope 3"/>
    <n v="13565289"/>
  </r>
  <r>
    <d v="2019-07-01T00:00:00"/>
    <d v="2021-06-30T00:00:00"/>
    <s v="Telstra"/>
    <s v="NETWORK"/>
    <s v="Network - InfraCo"/>
    <s v="VIC"/>
    <s v="Australia"/>
    <s v="Melbourne"/>
    <s v="EXHIBITION EXCHANGE"/>
    <n v="423030787200"/>
    <s v="Recycled Waste"/>
    <x v="0"/>
    <x v="5"/>
    <s v="Account"/>
    <s v="Remondis Metal - Mixed All"/>
    <m/>
    <s v="423030787200_RMETMIXED"/>
    <s v="METAL - MIXED ALL"/>
    <s v="Remondis"/>
    <m/>
    <m/>
    <d v="2021-01-01T00:00:00"/>
    <d v="2020-08-01T00:00:00"/>
    <s v="FY21"/>
    <s v="t"/>
    <n v="1.0089999999999999"/>
    <n v="0"/>
    <n v="0"/>
    <n v="1.0089999999999999"/>
    <n v="1"/>
    <n v="0"/>
    <n v="0"/>
    <n v="1"/>
    <n v="100"/>
    <n v="0"/>
    <n v="0"/>
    <s v="Consolidation"/>
    <s v="CO2e and Base Measure"/>
    <n v="100"/>
    <n v="100"/>
    <n v="1.01"/>
    <m/>
    <m/>
    <m/>
    <m/>
    <m/>
    <m/>
    <m/>
    <m/>
    <m/>
    <m/>
    <m/>
    <m/>
    <m/>
    <s v="AUD"/>
    <s v="13565291Waste Recycled - Construction and Demolition [t]"/>
    <n v="13565291"/>
  </r>
  <r>
    <d v="2019-07-01T00:00:00"/>
    <d v="2021-06-30T00:00:00"/>
    <s v="Telstra"/>
    <s v="NETWORK"/>
    <s v="Network - InfraCo"/>
    <s v="VIC"/>
    <s v="Australia"/>
    <s v="Melbourne"/>
    <s v="EXHIBITION EXCHANGE"/>
    <n v="423030787200"/>
    <s v="Recycled Waste"/>
    <x v="0"/>
    <x v="5"/>
    <s v="Account"/>
    <s v="Remondis Metal - Mixed All"/>
    <m/>
    <s v="4230307872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5291Waste Recycled - Construction and Demolition [t]"/>
    <n v="13565291"/>
  </r>
  <r>
    <d v="2019-07-01T00:00:00"/>
    <d v="2021-06-30T00:00:00"/>
    <s v="Telstra"/>
    <s v="NETWORK"/>
    <s v="Network - InfraCo"/>
    <s v="VIC"/>
    <s v="Australia"/>
    <s v="Melbourne"/>
    <s v="EXHIBITION EXCHANGE"/>
    <n v="423030787200"/>
    <s v="Recycled Waste"/>
    <x v="0"/>
    <x v="5"/>
    <s v="Account"/>
    <s v="Remondis Metal - Mixed All"/>
    <m/>
    <s v="423030787200_RMETMIXED"/>
    <s v="METAL - MIXED ALL"/>
    <s v="Remondis"/>
    <m/>
    <m/>
    <d v="2021-01-01T00:00:00"/>
    <d v="2021-01-01T00:00:00"/>
    <s v="FY21"/>
    <s v="t"/>
    <n v="0"/>
    <n v="0"/>
    <n v="1.01E-2"/>
    <n v="1.01E-2"/>
    <n v="0"/>
    <n v="0"/>
    <n v="1"/>
    <n v="1"/>
    <n v="0"/>
    <n v="0"/>
    <n v="100"/>
    <s v="Consolidation"/>
    <s v="CO2e and Base Measure"/>
    <n v="100"/>
    <n v="100"/>
    <n v="0.01"/>
    <m/>
    <m/>
    <m/>
    <m/>
    <m/>
    <m/>
    <m/>
    <m/>
    <m/>
    <m/>
    <m/>
    <m/>
    <m/>
    <s v="AUD"/>
    <s v="13565291Waste Recycled - Construction and Demolition [t]"/>
    <n v="13565291"/>
  </r>
  <r>
    <d v="2019-07-01T00:00:00"/>
    <d v="2021-06-30T00:00:00"/>
    <s v="Telstra"/>
    <s v="NETWORK"/>
    <s v="Network - InfraCo"/>
    <s v="VIC"/>
    <s v="Australia"/>
    <s v="Melbourne"/>
    <s v="EXHIBITION EXCHANGE"/>
    <n v="423030787200"/>
    <s v="Recycled Waste"/>
    <x v="0"/>
    <x v="0"/>
    <s v="Account"/>
    <s v="Remondis Security Destruction"/>
    <m/>
    <s v="423030787200_RPAPSECUR"/>
    <s v="SECURITY DESTRUCTION"/>
    <s v="Remondis"/>
    <m/>
    <m/>
    <d v="2021-01-01T00:00:00"/>
    <d v="2020-12-01T00:00:00"/>
    <s v="FY21"/>
    <s v="t"/>
    <n v="0"/>
    <n v="2.8799999999999999E-2"/>
    <n v="0"/>
    <n v="2.8799999999999999E-2"/>
    <n v="0"/>
    <n v="1"/>
    <n v="0"/>
    <n v="1"/>
    <n v="0"/>
    <n v="100"/>
    <n v="0"/>
    <s v="Consolidation"/>
    <s v="CO2e and Base Measure"/>
    <n v="100"/>
    <n v="100"/>
    <n v="0.03"/>
    <m/>
    <m/>
    <m/>
    <m/>
    <m/>
    <m/>
    <n v="0"/>
    <m/>
    <m/>
    <m/>
    <m/>
    <m/>
    <m/>
    <s v="AUD"/>
    <s v="13565294Waste Recycled - Cardboard [t]"/>
    <n v="13565294"/>
  </r>
  <r>
    <d v="2019-07-01T00:00:00"/>
    <d v="2021-06-30T00:00:00"/>
    <s v="Telstra"/>
    <s v="NETWORK"/>
    <s v="Network - InfraCo"/>
    <s v="VIC"/>
    <s v="Australia"/>
    <s v="Melbourne"/>
    <s v="EXHIBITION EXCHANGE"/>
    <n v="423030787200"/>
    <s v="Recycled Waste"/>
    <x v="0"/>
    <x v="0"/>
    <s v="Account"/>
    <s v="Remondis Security Destruction"/>
    <m/>
    <s v="423030787200_RPAPSECUR"/>
    <s v="SECURITY DESTRUCTION"/>
    <s v="Remondis"/>
    <m/>
    <m/>
    <d v="2021-01-01T00:00:00"/>
    <d v="2021-01-01T00:00:00"/>
    <s v="FY21"/>
    <s v="t"/>
    <n v="0"/>
    <n v="0"/>
    <n v="1E-3"/>
    <n v="1E-3"/>
    <n v="0"/>
    <n v="0"/>
    <n v="1"/>
    <n v="1"/>
    <n v="0"/>
    <n v="0"/>
    <n v="100"/>
    <s v="Consolidation"/>
    <s v="CO2e and Base Measure"/>
    <n v="100"/>
    <n v="100"/>
    <n v="0"/>
    <m/>
    <m/>
    <m/>
    <m/>
    <m/>
    <m/>
    <n v="0"/>
    <m/>
    <m/>
    <m/>
    <m/>
    <m/>
    <m/>
    <s v="AUD"/>
    <s v="13565294Waste Recycled - Cardboard [t]"/>
    <n v="13565294"/>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0-12-01T00:00:00"/>
    <s v="FY21"/>
    <s v="t"/>
    <n v="0.46300000000000002"/>
    <n v="0.81"/>
    <n v="0"/>
    <n v="1.2729999999999999"/>
    <n v="3"/>
    <n v="3"/>
    <n v="0"/>
    <n v="6"/>
    <n v="36.369999999999997"/>
    <n v="63.62"/>
    <n v="0"/>
    <s v="Consolidation"/>
    <s v="CO2e and Base Measure"/>
    <n v="100"/>
    <n v="100"/>
    <n v="1.27"/>
    <m/>
    <m/>
    <m/>
    <m/>
    <m/>
    <n v="1.6549"/>
    <m/>
    <n v="1.6549"/>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1-01T00:00:00"/>
    <s v="FY21"/>
    <s v="t"/>
    <n v="0.06"/>
    <n v="1.8225"/>
    <n v="0"/>
    <n v="1.8825000000000001"/>
    <n v="1"/>
    <n v="8"/>
    <n v="0"/>
    <n v="9"/>
    <n v="3.18"/>
    <n v="96.81"/>
    <n v="0"/>
    <s v="Consolidation"/>
    <s v="CO2e and Base Measure"/>
    <n v="100"/>
    <n v="100"/>
    <n v="1.88"/>
    <m/>
    <m/>
    <m/>
    <m/>
    <m/>
    <n v="2.4472999999999998"/>
    <m/>
    <n v="2.4472999999999998"/>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2-01T00:00:00"/>
    <s v="FY21"/>
    <s v="t"/>
    <n v="9.6000000000000002E-2"/>
    <n v="1.2150000000000001"/>
    <n v="0"/>
    <n v="1.3109999999999999"/>
    <n v="2"/>
    <n v="6"/>
    <n v="0"/>
    <n v="8"/>
    <n v="7.32"/>
    <n v="92.67"/>
    <n v="0"/>
    <s v="Consolidation"/>
    <s v="CO2e and Base Measure"/>
    <n v="100"/>
    <n v="100"/>
    <n v="1.31"/>
    <m/>
    <m/>
    <m/>
    <m/>
    <m/>
    <n v="1.7042999999999999"/>
    <m/>
    <n v="1.7042999999999999"/>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3-01T00:00:00"/>
    <s v="FY21"/>
    <s v="t"/>
    <n v="0.52"/>
    <n v="1.4175"/>
    <n v="0"/>
    <n v="1.9375"/>
    <n v="5"/>
    <n v="4"/>
    <n v="0"/>
    <n v="9"/>
    <n v="26.83"/>
    <n v="73.16"/>
    <n v="0"/>
    <s v="Consolidation"/>
    <s v="CO2e and Base Measure"/>
    <n v="100"/>
    <n v="100"/>
    <n v="1.94"/>
    <m/>
    <m/>
    <m/>
    <m/>
    <m/>
    <n v="2.5188000000000001"/>
    <m/>
    <n v="2.5188000000000001"/>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4-01T00:00:00"/>
    <s v="FY21"/>
    <s v="t"/>
    <n v="0"/>
    <n v="0"/>
    <n v="1.6020000000000001"/>
    <n v="1.6020000000000001"/>
    <n v="0"/>
    <n v="0"/>
    <n v="30"/>
    <n v="30"/>
    <n v="0"/>
    <n v="0"/>
    <n v="100"/>
    <s v="Consolidation"/>
    <s v="CO2e and Base Measure"/>
    <n v="100"/>
    <n v="100"/>
    <n v="1.6"/>
    <m/>
    <m/>
    <m/>
    <m/>
    <m/>
    <n v="2.0825999999999998"/>
    <m/>
    <n v="2.0825999999999998"/>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5-01T00:00:00"/>
    <s v="FY21"/>
    <s v="t"/>
    <n v="0"/>
    <n v="0"/>
    <n v="1.6554"/>
    <n v="1.6554"/>
    <n v="0"/>
    <n v="0"/>
    <n v="31"/>
    <n v="31"/>
    <n v="0"/>
    <n v="0"/>
    <n v="100"/>
    <s v="Consolidation"/>
    <s v="CO2e and Base Measure"/>
    <n v="100"/>
    <n v="100"/>
    <n v="1.66"/>
    <m/>
    <m/>
    <m/>
    <m/>
    <m/>
    <n v="2.1520000000000001"/>
    <m/>
    <n v="2.1520000000000001"/>
    <m/>
    <m/>
    <m/>
    <m/>
    <m/>
    <s v="AUD"/>
    <s v="13634106Waste - General [t] - Scope 3"/>
    <n v="13634106"/>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0-12-01T00:00:00"/>
    <s v="FY21"/>
    <s v="t"/>
    <n v="0.128"/>
    <n v="0"/>
    <n v="0"/>
    <n v="0.128"/>
    <n v="2"/>
    <n v="0"/>
    <n v="0"/>
    <n v="2"/>
    <n v="100"/>
    <n v="0"/>
    <n v="0"/>
    <s v="Consolidation"/>
    <s v="CO2e and Base Measure"/>
    <n v="100"/>
    <n v="100"/>
    <n v="0.13"/>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1-01T00:00:00"/>
    <s v="FY21"/>
    <s v="t"/>
    <n v="0.17199999999999999"/>
    <n v="1.2E-2"/>
    <n v="0"/>
    <n v="0.184"/>
    <n v="2"/>
    <n v="1"/>
    <n v="0"/>
    <n v="3"/>
    <n v="93.47"/>
    <n v="6.52"/>
    <n v="0"/>
    <s v="Consolidation"/>
    <s v="CO2e and Base Measure"/>
    <n v="100"/>
    <n v="100"/>
    <n v="0.18"/>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2-01T00:00:00"/>
    <s v="FY21"/>
    <s v="t"/>
    <n v="0.158"/>
    <n v="6.0000000000000001E-3"/>
    <n v="0"/>
    <n v="0.16400000000000001"/>
    <n v="2"/>
    <n v="1"/>
    <n v="0"/>
    <n v="3"/>
    <n v="96.34"/>
    <n v="3.65"/>
    <n v="0"/>
    <s v="Consolidation"/>
    <s v="CO2e and Base Measure"/>
    <n v="100"/>
    <n v="100"/>
    <n v="0.16"/>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3-01T00:00:00"/>
    <s v="FY21"/>
    <s v="t"/>
    <n v="0.29899999999999999"/>
    <n v="4.2000000000000003E-2"/>
    <n v="0"/>
    <n v="0.34100000000000003"/>
    <n v="3"/>
    <n v="3"/>
    <n v="0"/>
    <n v="6"/>
    <n v="87.68"/>
    <n v="12.31"/>
    <n v="0"/>
    <s v="Consolidation"/>
    <s v="CO2e and Base Measure"/>
    <n v="100"/>
    <n v="100"/>
    <n v="0.34"/>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4-01T00:00:00"/>
    <s v="FY21"/>
    <s v="t"/>
    <n v="0"/>
    <n v="0"/>
    <n v="0.20399999999999999"/>
    <n v="0.20399999999999999"/>
    <n v="0"/>
    <n v="0"/>
    <n v="30"/>
    <n v="30"/>
    <n v="0"/>
    <n v="0"/>
    <n v="100"/>
    <s v="Consolidation"/>
    <s v="CO2e and Base Measure"/>
    <n v="100"/>
    <n v="100"/>
    <n v="0.2"/>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5-01T00:00:00"/>
    <s v="FY21"/>
    <s v="t"/>
    <n v="0"/>
    <n v="0"/>
    <n v="0.21079999999999999"/>
    <n v="0.21079999999999999"/>
    <n v="0"/>
    <n v="0"/>
    <n v="31"/>
    <n v="31"/>
    <n v="0"/>
    <n v="0"/>
    <n v="100"/>
    <s v="Consolidation"/>
    <s v="CO2e and Base Measure"/>
    <n v="100"/>
    <n v="100"/>
    <n v="0.21"/>
    <m/>
    <m/>
    <m/>
    <m/>
    <m/>
    <m/>
    <m/>
    <m/>
    <m/>
    <m/>
    <m/>
    <m/>
    <m/>
    <s v="AUD"/>
    <s v="13634107Waste Recycled - Paper and Cardboard [t]"/>
    <n v="13634107"/>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07-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08-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09-01T00:00:00"/>
    <s v="FY21"/>
    <s v="t"/>
    <n v="0"/>
    <n v="2E-3"/>
    <n v="0"/>
    <n v="2E-3"/>
    <n v="0"/>
    <n v="30"/>
    <n v="0"/>
    <n v="30"/>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10-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11-01T00:00:00"/>
    <s v="FY21"/>
    <s v="t"/>
    <n v="0"/>
    <n v="2E-3"/>
    <n v="0"/>
    <n v="2E-3"/>
    <n v="0"/>
    <n v="30"/>
    <n v="0"/>
    <n v="30"/>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12-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1-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2-01T00:00:00"/>
    <s v="FY21"/>
    <s v="t"/>
    <n v="0"/>
    <n v="1.8E-3"/>
    <n v="0"/>
    <n v="1.8E-3"/>
    <n v="0"/>
    <n v="28"/>
    <n v="0"/>
    <n v="28"/>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3-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4-01T00:00:00"/>
    <s v="FY21"/>
    <s v="t"/>
    <n v="0"/>
    <n v="2E-3"/>
    <n v="0"/>
    <n v="2E-3"/>
    <n v="0"/>
    <n v="30"/>
    <n v="0"/>
    <n v="30"/>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5-01T00:00:00"/>
    <s v="FY21"/>
    <s v="t"/>
    <n v="0"/>
    <n v="0"/>
    <n v="3.0999999999999999E-3"/>
    <n v="3.0999999999999999E-3"/>
    <n v="0"/>
    <n v="0"/>
    <n v="31"/>
    <n v="31"/>
    <n v="0"/>
    <n v="0"/>
    <n v="100"/>
    <s v="Consolidation"/>
    <s v="CO2e and Base Measure"/>
    <n v="100"/>
    <n v="100"/>
    <n v="0"/>
    <m/>
    <m/>
    <m/>
    <m/>
    <m/>
    <m/>
    <m/>
    <m/>
    <m/>
    <m/>
    <m/>
    <m/>
    <m/>
    <s v="AUD"/>
    <s v="13644542Waste Recycled - E-waste [t]"/>
    <n v="13644542"/>
  </r>
  <r>
    <d v="2019-07-01T00:00:00"/>
    <d v="2021-06-30T00:00:00"/>
    <s v="Telstra"/>
    <s v="NETWORK"/>
    <s v="Network - InfraCo"/>
    <s v="WA"/>
    <s v="Australia"/>
    <s v="Dampier"/>
    <s v="EXMOUTH EXCHANGE"/>
    <n v="423030839900"/>
    <s v="Waste"/>
    <x v="1"/>
    <x v="4"/>
    <s v="Account"/>
    <s v="Remondis Building Mat. Landfill"/>
    <m/>
    <s v="423030839900_WBUILDING"/>
    <s v="BUILDING MAT. LANDFILL"/>
    <s v="Remondis"/>
    <m/>
    <m/>
    <d v="2020-12-01T00:00:00"/>
    <d v="2020-07-01T00:00:00"/>
    <s v="FY21"/>
    <s v="t"/>
    <n v="0.3"/>
    <n v="0"/>
    <n v="0"/>
    <n v="0.3"/>
    <n v="1"/>
    <n v="0"/>
    <n v="0"/>
    <n v="1"/>
    <n v="100"/>
    <n v="0"/>
    <n v="0"/>
    <s v="Consolidation"/>
    <s v="CO2e and Base Measure"/>
    <n v="100"/>
    <n v="100"/>
    <n v="0.3"/>
    <m/>
    <m/>
    <m/>
    <m/>
    <m/>
    <n v="0.36"/>
    <m/>
    <n v="0.36"/>
    <m/>
    <m/>
    <m/>
    <m/>
    <m/>
    <s v="AUD"/>
    <s v="13565354Waste - Construction and Demolition [t]"/>
    <n v="13565354"/>
  </r>
  <r>
    <d v="2019-07-01T00:00:00"/>
    <d v="2021-06-30T00:00:00"/>
    <s v="Telstra"/>
    <s v="NETWORK"/>
    <s v="Network - InfraCo"/>
    <s v="WA"/>
    <s v="Australia"/>
    <s v="Dampier"/>
    <s v="EXMOUTH EXCHANGE"/>
    <n v="423030839900"/>
    <s v="Waste"/>
    <x v="1"/>
    <x v="4"/>
    <s v="Account"/>
    <s v="Remondis Building Mat. Landfill"/>
    <m/>
    <s v="423030839900_WBUILDING"/>
    <s v="BUILDING MAT. LANDFILL"/>
    <s v="Remondis"/>
    <m/>
    <m/>
    <d v="2020-12-01T00:00:00"/>
    <d v="2020-09-01T00:00:00"/>
    <s v="FY21"/>
    <s v="t"/>
    <n v="0.3"/>
    <n v="0"/>
    <n v="0"/>
    <n v="0.3"/>
    <n v="1"/>
    <n v="0"/>
    <n v="0"/>
    <n v="1"/>
    <n v="100"/>
    <n v="0"/>
    <n v="0"/>
    <s v="Consolidation"/>
    <s v="CO2e and Base Measure"/>
    <n v="100"/>
    <n v="100"/>
    <n v="0.3"/>
    <m/>
    <m/>
    <m/>
    <m/>
    <m/>
    <n v="0.36"/>
    <m/>
    <n v="0.36"/>
    <m/>
    <m/>
    <m/>
    <m/>
    <m/>
    <s v="AUD"/>
    <s v="13565354Waste - Construction and Demolition [t]"/>
    <n v="13565354"/>
  </r>
  <r>
    <d v="2019-07-01T00:00:00"/>
    <d v="2021-06-30T00:00:00"/>
    <s v="Telstra"/>
    <s v="NETWORK"/>
    <s v="Network - InfraCo"/>
    <s v="WA"/>
    <s v="Australia"/>
    <s v="Dampier"/>
    <s v="EXMOUTH EXCHANGE"/>
    <n v="423030839900"/>
    <s v="Waste"/>
    <x v="1"/>
    <x v="4"/>
    <s v="Account"/>
    <s v="Remondis Building Mat. Landfill"/>
    <m/>
    <s v="423030839900_WBUILDING"/>
    <s v="BUILDING MAT. LANDFILL"/>
    <s v="Remondis"/>
    <m/>
    <m/>
    <d v="2020-12-01T00:00:00"/>
    <d v="2020-11-01T00:00:00"/>
    <s v="FY21"/>
    <s v="t"/>
    <n v="0.3"/>
    <n v="0"/>
    <n v="0"/>
    <n v="0.3"/>
    <n v="1"/>
    <n v="0"/>
    <n v="0"/>
    <n v="1"/>
    <n v="100"/>
    <n v="0"/>
    <n v="0"/>
    <s v="Consolidation"/>
    <s v="CO2e and Base Measure"/>
    <n v="100"/>
    <n v="100"/>
    <n v="0.3"/>
    <m/>
    <m/>
    <m/>
    <m/>
    <m/>
    <n v="0.36"/>
    <m/>
    <n v="0.36"/>
    <m/>
    <m/>
    <m/>
    <m/>
    <m/>
    <s v="AUD"/>
    <s v="13565354Waste - Construction and Demolition [t]"/>
    <n v="13565354"/>
  </r>
  <r>
    <d v="2019-07-01T00:00:00"/>
    <d v="2021-06-30T00:00:00"/>
    <s v="Telstra"/>
    <s v="NETWORK"/>
    <s v="Network - InfraCo"/>
    <s v="WA"/>
    <s v="Australia"/>
    <s v="Dampier"/>
    <s v="EXMOUTH EXCHANGE"/>
    <n v="423030839900"/>
    <s v="Waste"/>
    <x v="1"/>
    <x v="4"/>
    <s v="Account"/>
    <s v="Remondis Building Mat. Landfill"/>
    <m/>
    <s v="423030839900_WBUILDING"/>
    <s v="BUILDING MAT. LANDFILL"/>
    <s v="Remondis"/>
    <m/>
    <m/>
    <d v="2020-12-01T00:00:00"/>
    <d v="2020-12-01T00:00:00"/>
    <s v="FY21"/>
    <s v="t"/>
    <n v="0"/>
    <n v="0"/>
    <n v="5.8999999999999999E-3"/>
    <n v="5.8999999999999999E-3"/>
    <n v="0"/>
    <n v="0"/>
    <n v="1"/>
    <n v="1"/>
    <n v="0"/>
    <n v="0"/>
    <n v="100"/>
    <s v="Consolidation"/>
    <s v="CO2e and Base Measure"/>
    <n v="100"/>
    <n v="100"/>
    <n v="0.01"/>
    <m/>
    <m/>
    <m/>
    <m/>
    <m/>
    <n v="7.1000000000000004E-3"/>
    <m/>
    <n v="7.1000000000000004E-3"/>
    <m/>
    <m/>
    <m/>
    <m/>
    <m/>
    <s v="AUD"/>
    <s v="13565354Waste - Construction and Demolition [t]"/>
    <n v="13565354"/>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07-01T00:00:00"/>
    <s v="FY21"/>
    <s v="t"/>
    <n v="0"/>
    <n v="0.126"/>
    <n v="0"/>
    <n v="0.126"/>
    <n v="0"/>
    <n v="2"/>
    <n v="0"/>
    <n v="2"/>
    <n v="0"/>
    <n v="100"/>
    <n v="0"/>
    <s v="Consolidation"/>
    <s v="CO2e and Base Measure"/>
    <n v="100"/>
    <n v="100"/>
    <n v="0.13"/>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10-01T00:00:00"/>
    <s v="FY21"/>
    <s v="t"/>
    <n v="0"/>
    <n v="0.126"/>
    <n v="0"/>
    <n v="0.126"/>
    <n v="0"/>
    <n v="2"/>
    <n v="0"/>
    <n v="2"/>
    <n v="0"/>
    <n v="100"/>
    <n v="0"/>
    <s v="Consolidation"/>
    <s v="CO2e and Base Measure"/>
    <n v="100"/>
    <n v="100"/>
    <n v="0.13"/>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11-01T00:00:00"/>
    <s v="FY21"/>
    <s v="t"/>
    <n v="0"/>
    <n v="0.189"/>
    <n v="0"/>
    <n v="0.189"/>
    <n v="0"/>
    <n v="3"/>
    <n v="0"/>
    <n v="3"/>
    <n v="0"/>
    <n v="100"/>
    <n v="0"/>
    <s v="Consolidation"/>
    <s v="CO2e and Base Measure"/>
    <n v="100"/>
    <n v="100"/>
    <n v="0.19"/>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5232Waste Recycled - Cardboard [t]"/>
    <n v="13565232"/>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07-01T00:00:00"/>
    <s v="FY21"/>
    <s v="t"/>
    <n v="0.27"/>
    <n v="0"/>
    <n v="0"/>
    <n v="0.27"/>
    <n v="2"/>
    <n v="0"/>
    <n v="0"/>
    <n v="2"/>
    <n v="100"/>
    <n v="0"/>
    <n v="0"/>
    <s v="Consolidation"/>
    <s v="CO2e and Base Measure"/>
    <n v="100"/>
    <n v="100"/>
    <n v="0.27"/>
    <m/>
    <m/>
    <m/>
    <m/>
    <m/>
    <n v="0.35099999999999998"/>
    <m/>
    <n v="0.35099999999999998"/>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08-01T00:00:00"/>
    <s v="FY21"/>
    <s v="t"/>
    <n v="0.28999999999999998"/>
    <n v="0"/>
    <n v="0"/>
    <n v="0.28999999999999998"/>
    <n v="2"/>
    <n v="0"/>
    <n v="0"/>
    <n v="2"/>
    <n v="100"/>
    <n v="0"/>
    <n v="0"/>
    <s v="Consolidation"/>
    <s v="CO2e and Base Measure"/>
    <n v="100"/>
    <n v="100"/>
    <n v="0.28999999999999998"/>
    <m/>
    <m/>
    <m/>
    <m/>
    <m/>
    <n v="0.377"/>
    <m/>
    <n v="0.377"/>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09-01T00:00:00"/>
    <s v="FY21"/>
    <s v="t"/>
    <n v="0.97"/>
    <n v="0"/>
    <n v="0"/>
    <n v="0.97"/>
    <n v="2"/>
    <n v="0"/>
    <n v="0"/>
    <n v="2"/>
    <n v="100"/>
    <n v="0"/>
    <n v="0"/>
    <s v="Consolidation"/>
    <s v="CO2e and Base Measure"/>
    <n v="100"/>
    <n v="100"/>
    <n v="0.97"/>
    <m/>
    <m/>
    <m/>
    <m/>
    <m/>
    <n v="1.2609999999999999"/>
    <m/>
    <n v="1.2609999999999999"/>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10-01T00:00:00"/>
    <s v="FY21"/>
    <s v="t"/>
    <n v="0.26"/>
    <n v="0"/>
    <n v="0"/>
    <n v="0.26"/>
    <n v="2"/>
    <n v="0"/>
    <n v="0"/>
    <n v="2"/>
    <n v="100"/>
    <n v="0"/>
    <n v="0"/>
    <s v="Consolidation"/>
    <s v="CO2e and Base Measure"/>
    <n v="100"/>
    <n v="100"/>
    <n v="0.26"/>
    <m/>
    <m/>
    <m/>
    <m/>
    <m/>
    <n v="0.33800000000000002"/>
    <m/>
    <n v="0.33800000000000002"/>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11-01T00:00:00"/>
    <s v="FY21"/>
    <s v="t"/>
    <n v="0.54"/>
    <n v="0"/>
    <n v="0"/>
    <n v="0.54"/>
    <n v="2"/>
    <n v="0"/>
    <n v="0"/>
    <n v="2"/>
    <n v="100"/>
    <n v="0"/>
    <n v="0"/>
    <s v="Consolidation"/>
    <s v="CO2e and Base Measure"/>
    <n v="100"/>
    <n v="100"/>
    <n v="0.54"/>
    <m/>
    <m/>
    <m/>
    <m/>
    <m/>
    <n v="0.70199999999999996"/>
    <m/>
    <n v="0.70199999999999996"/>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12-01T00:00:00"/>
    <s v="FY21"/>
    <s v="t"/>
    <n v="0.24"/>
    <n v="0"/>
    <n v="0"/>
    <n v="0.24"/>
    <n v="1"/>
    <n v="0"/>
    <n v="0"/>
    <n v="1"/>
    <n v="100"/>
    <n v="0"/>
    <n v="0"/>
    <s v="Consolidation"/>
    <s v="CO2e and Base Measure"/>
    <n v="100"/>
    <n v="100"/>
    <n v="0.24"/>
    <m/>
    <m/>
    <m/>
    <m/>
    <m/>
    <n v="0.312"/>
    <m/>
    <n v="0.312"/>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233Waste - General [t] - Scope 3"/>
    <n v="13565233"/>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0-12-01T00:00:00"/>
    <s v="FY21"/>
    <s v="t"/>
    <n v="4.0000000000000001E-3"/>
    <n v="0"/>
    <n v="0"/>
    <n v="4.0000000000000001E-3"/>
    <n v="1"/>
    <n v="0"/>
    <n v="0"/>
    <n v="1"/>
    <n v="100"/>
    <n v="0"/>
    <n v="0"/>
    <s v="Consolidation"/>
    <s v="CO2e and Base Measure"/>
    <n v="100"/>
    <n v="100"/>
    <n v="0"/>
    <m/>
    <m/>
    <m/>
    <m/>
    <m/>
    <n v="4.7999999999999996E-3"/>
    <m/>
    <n v="4.7999999999999996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1-01T00:00:00"/>
    <s v="FY21"/>
    <s v="t"/>
    <n v="0"/>
    <n v="0"/>
    <n v="3.0999999999999999E-3"/>
    <n v="3.0999999999999999E-3"/>
    <n v="0"/>
    <n v="0"/>
    <n v="31"/>
    <n v="31"/>
    <n v="0"/>
    <n v="0"/>
    <n v="100"/>
    <s v="Consolidation"/>
    <s v="CO2e and Base Measure"/>
    <n v="100"/>
    <n v="100"/>
    <n v="0"/>
    <m/>
    <m/>
    <m/>
    <m/>
    <m/>
    <n v="3.7000000000000002E-3"/>
    <m/>
    <n v="3.7000000000000002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2-01T00:00:00"/>
    <s v="FY21"/>
    <s v="t"/>
    <n v="0"/>
    <n v="0"/>
    <n v="2.8E-3"/>
    <n v="2.8E-3"/>
    <n v="0"/>
    <n v="0"/>
    <n v="28"/>
    <n v="28"/>
    <n v="0"/>
    <n v="0"/>
    <n v="100"/>
    <s v="Consolidation"/>
    <s v="CO2e and Base Measure"/>
    <n v="100"/>
    <n v="100"/>
    <n v="0"/>
    <m/>
    <m/>
    <m/>
    <m/>
    <m/>
    <n v="3.3999999999999998E-3"/>
    <m/>
    <n v="3.3999999999999998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3-01T00:00:00"/>
    <s v="FY21"/>
    <s v="t"/>
    <n v="0"/>
    <n v="0"/>
    <n v="3.0999999999999999E-3"/>
    <n v="3.0999999999999999E-3"/>
    <n v="0"/>
    <n v="0"/>
    <n v="31"/>
    <n v="31"/>
    <n v="0"/>
    <n v="0"/>
    <n v="100"/>
    <s v="Consolidation"/>
    <s v="CO2e and Base Measure"/>
    <n v="100"/>
    <n v="100"/>
    <n v="0"/>
    <m/>
    <m/>
    <m/>
    <m/>
    <m/>
    <n v="3.7000000000000002E-3"/>
    <m/>
    <n v="3.7000000000000002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4-01T00:00:00"/>
    <s v="FY21"/>
    <s v="t"/>
    <n v="0"/>
    <n v="0"/>
    <n v="3.0000000000000001E-3"/>
    <n v="3.0000000000000001E-3"/>
    <n v="0"/>
    <n v="0"/>
    <n v="30"/>
    <n v="30"/>
    <n v="0"/>
    <n v="0"/>
    <n v="100"/>
    <s v="Consolidation"/>
    <s v="CO2e and Base Measure"/>
    <n v="100"/>
    <n v="100"/>
    <n v="0"/>
    <m/>
    <m/>
    <m/>
    <m/>
    <m/>
    <n v="3.5999999999999999E-3"/>
    <m/>
    <n v="3.5999999999999999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5-01T00:00:00"/>
    <s v="FY21"/>
    <s v="t"/>
    <n v="0"/>
    <n v="0"/>
    <n v="3.0999999999999999E-3"/>
    <n v="3.0999999999999999E-3"/>
    <n v="0"/>
    <n v="0"/>
    <n v="31"/>
    <n v="31"/>
    <n v="0"/>
    <n v="0"/>
    <n v="100"/>
    <s v="Consolidation"/>
    <s v="CO2e and Base Measure"/>
    <n v="100"/>
    <n v="100"/>
    <n v="0"/>
    <m/>
    <m/>
    <m/>
    <m/>
    <m/>
    <n v="3.7000000000000002E-3"/>
    <m/>
    <n v="3.7000000000000002E-3"/>
    <m/>
    <m/>
    <m/>
    <m/>
    <m/>
    <s v="AUD"/>
    <s v="13633428Hazardous Waste [t]"/>
    <n v="13633428"/>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0-11-01T00:00:00"/>
    <s v="FY21"/>
    <s v="t"/>
    <n v="0.18"/>
    <n v="0"/>
    <n v="0"/>
    <n v="0.18"/>
    <n v="1"/>
    <n v="0"/>
    <n v="0"/>
    <n v="1"/>
    <n v="100"/>
    <n v="0"/>
    <n v="0"/>
    <s v="Consolidation"/>
    <s v="CO2e and Base Measure"/>
    <n v="100"/>
    <n v="100"/>
    <n v="0.18"/>
    <m/>
    <m/>
    <m/>
    <m/>
    <m/>
    <n v="0.23400000000000001"/>
    <m/>
    <n v="0.23400000000000001"/>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0-12-01T00:00:00"/>
    <s v="FY21"/>
    <s v="t"/>
    <n v="0.11"/>
    <n v="0"/>
    <n v="0"/>
    <n v="0.11"/>
    <n v="1"/>
    <n v="0"/>
    <n v="0"/>
    <n v="1"/>
    <n v="100"/>
    <n v="0"/>
    <n v="0"/>
    <s v="Consolidation"/>
    <s v="CO2e and Base Measure"/>
    <n v="100"/>
    <n v="100"/>
    <n v="0.11"/>
    <m/>
    <m/>
    <m/>
    <m/>
    <m/>
    <n v="0.14299999999999999"/>
    <m/>
    <n v="0.14299999999999999"/>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1-01T00:00:00"/>
    <s v="FY21"/>
    <s v="t"/>
    <n v="0.27"/>
    <n v="0"/>
    <n v="0"/>
    <n v="0.27"/>
    <n v="1"/>
    <n v="0"/>
    <n v="0"/>
    <n v="1"/>
    <n v="100"/>
    <n v="0"/>
    <n v="0"/>
    <s v="Consolidation"/>
    <s v="CO2e and Base Measure"/>
    <n v="100"/>
    <n v="100"/>
    <n v="0.27"/>
    <m/>
    <m/>
    <m/>
    <m/>
    <m/>
    <n v="0.35099999999999998"/>
    <m/>
    <n v="0.35099999999999998"/>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2-01T00:00:00"/>
    <s v="FY21"/>
    <s v="t"/>
    <n v="0.51"/>
    <n v="0"/>
    <n v="0"/>
    <n v="0.51"/>
    <n v="2"/>
    <n v="0"/>
    <n v="0"/>
    <n v="2"/>
    <n v="100"/>
    <n v="0"/>
    <n v="0"/>
    <s v="Consolidation"/>
    <s v="CO2e and Base Measure"/>
    <n v="100"/>
    <n v="100"/>
    <n v="0.51"/>
    <m/>
    <m/>
    <m/>
    <m/>
    <m/>
    <n v="0.66300000000000003"/>
    <m/>
    <n v="0.66300000000000003"/>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3-01T00:00:00"/>
    <s v="FY21"/>
    <s v="t"/>
    <n v="0.63"/>
    <n v="0"/>
    <n v="0"/>
    <n v="0.63"/>
    <n v="3"/>
    <n v="0"/>
    <n v="0"/>
    <n v="3"/>
    <n v="100"/>
    <n v="0"/>
    <n v="0"/>
    <s v="Consolidation"/>
    <s v="CO2e and Base Measure"/>
    <n v="100"/>
    <n v="100"/>
    <n v="0.63"/>
    <m/>
    <m/>
    <m/>
    <m/>
    <m/>
    <n v="0.81899999999999995"/>
    <m/>
    <n v="0.81899999999999995"/>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4-01T00:00:00"/>
    <s v="FY21"/>
    <s v="t"/>
    <n v="0"/>
    <n v="0"/>
    <n v="0.33900000000000002"/>
    <n v="0.33900000000000002"/>
    <n v="0"/>
    <n v="0"/>
    <n v="30"/>
    <n v="30"/>
    <n v="0"/>
    <n v="0"/>
    <n v="100"/>
    <s v="Consolidation"/>
    <s v="CO2e and Base Measure"/>
    <n v="100"/>
    <n v="100"/>
    <n v="0.34"/>
    <m/>
    <m/>
    <m/>
    <m/>
    <m/>
    <n v="0.44069999999999998"/>
    <m/>
    <n v="0.44069999999999998"/>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5-01T00:00:00"/>
    <s v="FY21"/>
    <s v="t"/>
    <n v="0"/>
    <n v="0"/>
    <n v="0.3503"/>
    <n v="0.3503"/>
    <n v="0"/>
    <n v="0"/>
    <n v="31"/>
    <n v="31"/>
    <n v="0"/>
    <n v="0"/>
    <n v="100"/>
    <s v="Consolidation"/>
    <s v="CO2e and Base Measure"/>
    <n v="100"/>
    <n v="100"/>
    <n v="0.35"/>
    <m/>
    <m/>
    <m/>
    <m/>
    <m/>
    <n v="0.45540000000000003"/>
    <m/>
    <n v="0.45540000000000003"/>
    <m/>
    <m/>
    <m/>
    <m/>
    <m/>
    <s v="AUD"/>
    <s v="13633977Waste - General [t] - Scope 3"/>
    <n v="13633977"/>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0-12-01T00:00:00"/>
    <s v="FY21"/>
    <s v="t"/>
    <n v="0"/>
    <n v="7.4999999999999997E-2"/>
    <n v="0"/>
    <n v="7.4999999999999997E-2"/>
    <n v="0"/>
    <n v="1"/>
    <n v="0"/>
    <n v="1"/>
    <n v="0"/>
    <n v="100"/>
    <n v="0"/>
    <s v="Consolidation"/>
    <s v="CO2e and Base Measure"/>
    <n v="100"/>
    <n v="100"/>
    <n v="0.08"/>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1-01T00:00:00"/>
    <s v="FY21"/>
    <s v="t"/>
    <n v="5.2999999999999999E-2"/>
    <n v="0"/>
    <n v="0"/>
    <n v="5.2999999999999999E-2"/>
    <n v="1"/>
    <n v="0"/>
    <n v="0"/>
    <n v="1"/>
    <n v="100"/>
    <n v="0"/>
    <n v="0"/>
    <s v="Consolidation"/>
    <s v="CO2e and Base Measure"/>
    <n v="100"/>
    <n v="100"/>
    <n v="0.05"/>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2-01T00:00:00"/>
    <s v="FY21"/>
    <s v="t"/>
    <n v="0.114"/>
    <n v="0"/>
    <n v="0"/>
    <n v="0.114"/>
    <n v="2"/>
    <n v="0"/>
    <n v="0"/>
    <n v="2"/>
    <n v="100"/>
    <n v="0"/>
    <n v="0"/>
    <s v="Consolidation"/>
    <s v="CO2e and Base Measure"/>
    <n v="100"/>
    <n v="100"/>
    <n v="0.11"/>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3-01T00:00:00"/>
    <s v="FY21"/>
    <s v="t"/>
    <n v="6.3E-2"/>
    <n v="0"/>
    <n v="0"/>
    <n v="6.3E-2"/>
    <n v="2"/>
    <n v="0"/>
    <n v="0"/>
    <n v="2"/>
    <n v="100"/>
    <n v="0"/>
    <n v="0"/>
    <s v="Consolidation"/>
    <s v="CO2e and Base Measure"/>
    <n v="100"/>
    <n v="100"/>
    <n v="0.06"/>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4-01T00:00:00"/>
    <s v="FY21"/>
    <s v="t"/>
    <n v="0"/>
    <n v="0"/>
    <n v="7.4999999999999997E-2"/>
    <n v="7.4999999999999997E-2"/>
    <n v="0"/>
    <n v="0"/>
    <n v="30"/>
    <n v="30"/>
    <n v="0"/>
    <n v="0"/>
    <n v="100"/>
    <s v="Consolidation"/>
    <s v="CO2e and Base Measure"/>
    <n v="100"/>
    <n v="100"/>
    <n v="0.08"/>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5-01T00:00:00"/>
    <s v="FY21"/>
    <s v="t"/>
    <n v="0"/>
    <n v="0"/>
    <n v="7.7499999999999999E-2"/>
    <n v="7.7499999999999999E-2"/>
    <n v="0"/>
    <n v="0"/>
    <n v="31"/>
    <n v="31"/>
    <n v="0"/>
    <n v="0"/>
    <n v="100"/>
    <s v="Consolidation"/>
    <s v="CO2e and Base Measure"/>
    <n v="100"/>
    <n v="100"/>
    <n v="0.08"/>
    <m/>
    <m/>
    <m/>
    <m/>
    <m/>
    <m/>
    <m/>
    <m/>
    <m/>
    <m/>
    <m/>
    <m/>
    <m/>
    <s v="AUD"/>
    <s v="13634108Waste Recycled - Paper and Cardboard [t]"/>
    <n v="13634108"/>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0-07-01T00:00:00"/>
    <s v="FY21"/>
    <s v="t"/>
    <n v="0.15"/>
    <n v="0"/>
    <n v="0"/>
    <n v="0.15"/>
    <n v="2"/>
    <n v="0"/>
    <n v="0"/>
    <n v="2"/>
    <n v="100"/>
    <n v="0"/>
    <n v="0"/>
    <s v="Consolidation"/>
    <s v="CO2e and Base Measure"/>
    <n v="100"/>
    <n v="100"/>
    <n v="0.15"/>
    <m/>
    <m/>
    <m/>
    <m/>
    <m/>
    <n v="0.19500000000000001"/>
    <m/>
    <n v="0.19500000000000001"/>
    <m/>
    <m/>
    <m/>
    <m/>
    <m/>
    <s v="AUD"/>
    <s v="13564143Waste - General [t] - Scope 3"/>
    <n v="13564143"/>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0-08-01T00:00:00"/>
    <s v="FY21"/>
    <s v="t"/>
    <n v="0.14599999999999999"/>
    <n v="0"/>
    <n v="0"/>
    <n v="0.14599999999999999"/>
    <n v="2"/>
    <n v="0"/>
    <n v="0"/>
    <n v="2"/>
    <n v="100"/>
    <n v="0"/>
    <n v="0"/>
    <s v="Consolidation"/>
    <s v="CO2e and Base Measure"/>
    <n v="100"/>
    <n v="100"/>
    <n v="0.15"/>
    <m/>
    <m/>
    <m/>
    <m/>
    <m/>
    <n v="0.1898"/>
    <m/>
    <n v="0.1898"/>
    <m/>
    <m/>
    <m/>
    <m/>
    <m/>
    <s v="AUD"/>
    <s v="13564143Waste - General [t] - Scope 3"/>
    <n v="13564143"/>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0-09-01T00:00:00"/>
    <s v="FY21"/>
    <s v="t"/>
    <n v="5.0000000000000001E-3"/>
    <n v="0"/>
    <n v="0"/>
    <n v="5.0000000000000001E-3"/>
    <n v="1"/>
    <n v="0"/>
    <n v="0"/>
    <n v="1"/>
    <n v="100"/>
    <n v="0"/>
    <n v="0"/>
    <s v="Consolidation"/>
    <s v="CO2e and Base Measure"/>
    <n v="100"/>
    <n v="100"/>
    <n v="0.01"/>
    <m/>
    <m/>
    <m/>
    <m/>
    <m/>
    <n v="6.4999999999999997E-3"/>
    <m/>
    <n v="6.4999999999999997E-3"/>
    <m/>
    <m/>
    <m/>
    <m/>
    <m/>
    <s v="AUD"/>
    <s v="13564143Waste - General [t] - Scope 3"/>
    <n v="13564143"/>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143Waste - General [t] - Scope 3"/>
    <n v="13564143"/>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143Waste - General [t] - Scope 3"/>
    <n v="13564143"/>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652Waste - General [t] - Scope 3"/>
    <n v="13564652"/>
  </r>
  <r>
    <d v="2019-07-01T00:00:00"/>
    <d v="2021-06-30T00:00:00"/>
    <s v="Telstra"/>
    <s v="NETWORK"/>
    <s v="Network - InfraCo"/>
    <s v="NSW"/>
    <s v="Australia"/>
    <s v="Finley"/>
    <s v="FINLEY EXCHANGE"/>
    <n v="423030346000"/>
    <s v="Waste"/>
    <x v="1"/>
    <x v="2"/>
    <s v="Account"/>
    <s v="CLEANAWAY General"/>
    <m/>
    <s v="44463_Landfill_General"/>
    <m/>
    <s v="Cleanaway"/>
    <m/>
    <d v="2021-03-02T00:00:00"/>
    <m/>
    <d v="2021-03-01T00:00:00"/>
    <s v="FY21"/>
    <s v="t"/>
    <n v="0.27500000000000002"/>
    <n v="6.7500000000000004E-2"/>
    <n v="0"/>
    <n v="0.34250000000000003"/>
    <n v="2"/>
    <n v="1"/>
    <n v="0"/>
    <n v="3"/>
    <n v="80.290000000000006"/>
    <n v="19.7"/>
    <n v="0"/>
    <s v="Consolidation"/>
    <s v="CO2e and Base Measure"/>
    <n v="100"/>
    <n v="100"/>
    <n v="0.34"/>
    <m/>
    <m/>
    <m/>
    <m/>
    <m/>
    <n v="0.44529999999999997"/>
    <m/>
    <n v="0.44529999999999997"/>
    <m/>
    <m/>
    <m/>
    <m/>
    <m/>
    <s v="AUD"/>
    <s v="13641254Waste - General [t] - Scope 3"/>
    <n v="13641254"/>
  </r>
  <r>
    <d v="2019-07-01T00:00:00"/>
    <d v="2021-06-30T00:00:00"/>
    <s v="Telstra"/>
    <s v="NETWORK"/>
    <s v="Network - InfraCo"/>
    <s v="NSW"/>
    <s v="Australia"/>
    <s v="Finley"/>
    <s v="FINLEY EXCHANGE"/>
    <n v="423030346000"/>
    <s v="Waste"/>
    <x v="1"/>
    <x v="2"/>
    <s v="Account"/>
    <s v="CLEANAWAY General"/>
    <m/>
    <s v="44463_Landfill_General"/>
    <m/>
    <s v="Cleanaway"/>
    <m/>
    <d v="2021-03-02T00:00:00"/>
    <m/>
    <d v="2021-04-01T00:00:00"/>
    <s v="FY21"/>
    <s v="t"/>
    <n v="0"/>
    <n v="0"/>
    <n v="0.34200000000000003"/>
    <n v="0.34200000000000003"/>
    <n v="0"/>
    <n v="0"/>
    <n v="30"/>
    <n v="30"/>
    <n v="0"/>
    <n v="0"/>
    <n v="100"/>
    <s v="Consolidation"/>
    <s v="CO2e and Base Measure"/>
    <n v="100"/>
    <n v="100"/>
    <n v="0.34"/>
    <m/>
    <m/>
    <m/>
    <m/>
    <m/>
    <n v="0.4446"/>
    <m/>
    <n v="0.4446"/>
    <m/>
    <m/>
    <m/>
    <m/>
    <m/>
    <s v="AUD"/>
    <s v="13641254Waste - General [t] - Scope 3"/>
    <n v="13641254"/>
  </r>
  <r>
    <d v="2019-07-01T00:00:00"/>
    <d v="2021-06-30T00:00:00"/>
    <s v="Telstra"/>
    <s v="NETWORK"/>
    <s v="Network - InfraCo"/>
    <s v="NSW"/>
    <s v="Australia"/>
    <s v="Finley"/>
    <s v="FINLEY EXCHANGE"/>
    <n v="423030346000"/>
    <s v="Waste"/>
    <x v="1"/>
    <x v="2"/>
    <s v="Account"/>
    <s v="CLEANAWAY General"/>
    <m/>
    <s v="44463_Landfill_General"/>
    <m/>
    <s v="Cleanaway"/>
    <m/>
    <d v="2021-03-02T00:00:00"/>
    <m/>
    <d v="2021-05-01T00:00:00"/>
    <s v="FY21"/>
    <s v="t"/>
    <n v="0"/>
    <n v="0"/>
    <n v="0.35339999999999999"/>
    <n v="0.35339999999999999"/>
    <n v="0"/>
    <n v="0"/>
    <n v="31"/>
    <n v="31"/>
    <n v="0"/>
    <n v="0"/>
    <n v="100"/>
    <s v="Consolidation"/>
    <s v="CO2e and Base Measure"/>
    <n v="100"/>
    <n v="100"/>
    <n v="0.35"/>
    <m/>
    <m/>
    <m/>
    <m/>
    <m/>
    <n v="0.45939999999999998"/>
    <m/>
    <n v="0.45939999999999998"/>
    <m/>
    <m/>
    <m/>
    <m/>
    <m/>
    <s v="AUD"/>
    <s v="13641254Waste - General [t] - Scope 3"/>
    <n v="13641254"/>
  </r>
  <r>
    <d v="2019-07-01T00:00:00"/>
    <d v="2021-06-30T00:00:00"/>
    <s v="Telstra"/>
    <s v="NETWORK"/>
    <s v="Network - InfraCo"/>
    <s v="NSW"/>
    <s v="Australia"/>
    <s v="Canada Bay"/>
    <s v="FIVE DOCK EXCHANGE"/>
    <n v="423030346500"/>
    <s v="Waste"/>
    <x v="1"/>
    <x v="2"/>
    <s v="Account"/>
    <s v="Remondis General Waste"/>
    <m/>
    <s v="423030346500_WGENERALW"/>
    <s v="GENERAL WASTE"/>
    <s v="Remondis"/>
    <m/>
    <d v="2020-06-11T00:00:00"/>
    <d v="2020-07-01T00:00:00"/>
    <d v="2020-07-01T00:00:00"/>
    <s v="FY21"/>
    <s v="t"/>
    <n v="0"/>
    <n v="0"/>
    <n v="6.6900000000000001E-2"/>
    <n v="6.6900000000000001E-2"/>
    <n v="0"/>
    <n v="0"/>
    <n v="1"/>
    <n v="1"/>
    <n v="0"/>
    <n v="0"/>
    <n v="100"/>
    <s v="Consolidation"/>
    <s v="CO2e and Base Measure"/>
    <n v="100"/>
    <n v="100"/>
    <n v="7.0000000000000007E-2"/>
    <m/>
    <m/>
    <m/>
    <m/>
    <m/>
    <n v="8.6999999999999994E-2"/>
    <m/>
    <n v="8.6999999999999994E-2"/>
    <m/>
    <m/>
    <m/>
    <m/>
    <m/>
    <s v="AUD"/>
    <s v="13612591Waste - General [t] - Scope 3"/>
    <n v="13612591"/>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0-12-01T00:00:00"/>
    <s v="FY21"/>
    <s v="t"/>
    <n v="2.88"/>
    <n v="0"/>
    <n v="0"/>
    <n v="2.88"/>
    <n v="1"/>
    <n v="0"/>
    <n v="0"/>
    <n v="1"/>
    <n v="100"/>
    <n v="0"/>
    <n v="0"/>
    <s v="Consolidation"/>
    <s v="CO2e and Base Measure"/>
    <n v="100"/>
    <n v="100"/>
    <n v="2.88"/>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1-01T00:00:00"/>
    <s v="FY21"/>
    <s v="t"/>
    <n v="0"/>
    <n v="0"/>
    <n v="2.976"/>
    <n v="2.976"/>
    <n v="0"/>
    <n v="0"/>
    <n v="31"/>
    <n v="31"/>
    <n v="0"/>
    <n v="0"/>
    <n v="100"/>
    <s v="Consolidation"/>
    <s v="CO2e and Base Measure"/>
    <n v="100"/>
    <n v="100"/>
    <n v="2.98"/>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2-01T00:00:00"/>
    <s v="FY21"/>
    <s v="t"/>
    <n v="0"/>
    <n v="0"/>
    <n v="2.6880000000000002"/>
    <n v="2.6880000000000002"/>
    <n v="0"/>
    <n v="0"/>
    <n v="28"/>
    <n v="28"/>
    <n v="0"/>
    <n v="0"/>
    <n v="100"/>
    <s v="Consolidation"/>
    <s v="CO2e and Base Measure"/>
    <n v="100"/>
    <n v="100"/>
    <n v="2.69"/>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3-01T00:00:00"/>
    <s v="FY21"/>
    <s v="t"/>
    <n v="0"/>
    <n v="0"/>
    <n v="2.976"/>
    <n v="2.976"/>
    <n v="0"/>
    <n v="0"/>
    <n v="31"/>
    <n v="31"/>
    <n v="0"/>
    <n v="0"/>
    <n v="100"/>
    <s v="Consolidation"/>
    <s v="CO2e and Base Measure"/>
    <n v="100"/>
    <n v="100"/>
    <n v="2.98"/>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4-01T00:00:00"/>
    <s v="FY21"/>
    <s v="t"/>
    <n v="0"/>
    <n v="0"/>
    <n v="2.88"/>
    <n v="2.88"/>
    <n v="0"/>
    <n v="0"/>
    <n v="30"/>
    <n v="30"/>
    <n v="0"/>
    <n v="0"/>
    <n v="100"/>
    <s v="Consolidation"/>
    <s v="CO2e and Base Measure"/>
    <n v="100"/>
    <n v="100"/>
    <n v="2.88"/>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5-01T00:00:00"/>
    <s v="FY21"/>
    <s v="t"/>
    <n v="0"/>
    <n v="0"/>
    <n v="2.976"/>
    <n v="2.976"/>
    <n v="0"/>
    <n v="0"/>
    <n v="31"/>
    <n v="31"/>
    <n v="0"/>
    <n v="0"/>
    <n v="100"/>
    <s v="Consolidation"/>
    <s v="CO2e and Base Measure"/>
    <n v="100"/>
    <n v="100"/>
    <n v="2.98"/>
    <m/>
    <m/>
    <m/>
    <m/>
    <m/>
    <m/>
    <m/>
    <m/>
    <m/>
    <m/>
    <m/>
    <m/>
    <m/>
    <s v="AUD"/>
    <s v="13633436Waste Recycled - Construction and Demolition [t]"/>
    <n v="13633436"/>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09-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1-01-01T00:00:00"/>
    <s v="FY21"/>
    <s v="t"/>
    <n v="0"/>
    <n v="0"/>
    <n v="1.6999999999999999E-3"/>
    <n v="1.6999999999999999E-3"/>
    <n v="0"/>
    <n v="0"/>
    <n v="1"/>
    <n v="1"/>
    <n v="0"/>
    <n v="0"/>
    <n v="100"/>
    <s v="Consolidation"/>
    <s v="CO2e and Base Measure"/>
    <n v="100"/>
    <n v="100"/>
    <n v="0"/>
    <m/>
    <m/>
    <m/>
    <m/>
    <m/>
    <m/>
    <n v="0"/>
    <m/>
    <m/>
    <m/>
    <m/>
    <m/>
    <m/>
    <s v="AUD"/>
    <s v="13564754Waste Recycled - Cardboard [t]"/>
    <n v="13564754"/>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12-01T00:00:00"/>
    <s v="FY21"/>
    <s v="t"/>
    <n v="1.36"/>
    <n v="0"/>
    <n v="0"/>
    <n v="1.36"/>
    <n v="1"/>
    <n v="0"/>
    <n v="0"/>
    <n v="1"/>
    <n v="100"/>
    <n v="0"/>
    <n v="0"/>
    <s v="Consolidation"/>
    <s v="CO2e and Base Measure"/>
    <n v="100"/>
    <n v="100"/>
    <n v="1.36"/>
    <m/>
    <m/>
    <m/>
    <m/>
    <m/>
    <n v="1.768"/>
    <m/>
    <n v="1.768"/>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755Waste - General [t] - Scope 3"/>
    <n v="13564755"/>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1-01T00:00:00"/>
    <s v="FY21"/>
    <s v="t"/>
    <n v="0.2"/>
    <n v="0.13500000000000001"/>
    <n v="0"/>
    <n v="0.33500000000000002"/>
    <n v="1"/>
    <n v="1"/>
    <n v="0"/>
    <n v="2"/>
    <n v="59.7"/>
    <n v="40.29"/>
    <n v="0"/>
    <s v="Consolidation"/>
    <s v="CO2e and Base Measure"/>
    <n v="100"/>
    <n v="100"/>
    <n v="0.34"/>
    <m/>
    <m/>
    <m/>
    <m/>
    <m/>
    <n v="0.4355"/>
    <m/>
    <n v="0.4355"/>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2-01T00:00:00"/>
    <s v="FY21"/>
    <s v="t"/>
    <n v="2.74"/>
    <n v="0.13500000000000001"/>
    <n v="0"/>
    <n v="2.875"/>
    <n v="2"/>
    <n v="1"/>
    <n v="0"/>
    <n v="3"/>
    <n v="95.3"/>
    <n v="4.6900000000000004"/>
    <n v="0"/>
    <s v="Consolidation"/>
    <s v="CO2e and Base Measure"/>
    <n v="100"/>
    <n v="100"/>
    <n v="2.88"/>
    <m/>
    <m/>
    <m/>
    <m/>
    <m/>
    <n v="3.7374999999999998"/>
    <m/>
    <n v="3.7374999999999998"/>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3-01T00:00:00"/>
    <s v="FY21"/>
    <s v="t"/>
    <n v="0.38"/>
    <n v="0.13500000000000001"/>
    <n v="0"/>
    <n v="0.51500000000000001"/>
    <n v="2"/>
    <n v="1"/>
    <n v="0"/>
    <n v="3"/>
    <n v="73.78"/>
    <n v="26.21"/>
    <n v="0"/>
    <s v="Consolidation"/>
    <s v="CO2e and Base Measure"/>
    <n v="100"/>
    <n v="100"/>
    <n v="0.52"/>
    <m/>
    <m/>
    <m/>
    <m/>
    <m/>
    <n v="0.66949999999999998"/>
    <m/>
    <n v="0.66949999999999998"/>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4-01T00:00:00"/>
    <s v="FY21"/>
    <s v="t"/>
    <n v="0"/>
    <n v="0"/>
    <n v="0.96599999999999997"/>
    <n v="0.96599999999999997"/>
    <n v="0"/>
    <n v="0"/>
    <n v="30"/>
    <n v="30"/>
    <n v="0"/>
    <n v="0"/>
    <n v="100"/>
    <s v="Consolidation"/>
    <s v="CO2e and Base Measure"/>
    <n v="100"/>
    <n v="100"/>
    <n v="0.97"/>
    <m/>
    <m/>
    <m/>
    <m/>
    <m/>
    <n v="1.2558"/>
    <m/>
    <n v="1.2558"/>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5-01T00:00:00"/>
    <s v="FY21"/>
    <s v="t"/>
    <n v="0"/>
    <n v="0"/>
    <n v="0.99819999999999998"/>
    <n v="0.99819999999999998"/>
    <n v="0"/>
    <n v="0"/>
    <n v="31"/>
    <n v="31"/>
    <n v="0"/>
    <n v="0"/>
    <n v="100"/>
    <s v="Consolidation"/>
    <s v="CO2e and Base Measure"/>
    <n v="100"/>
    <n v="100"/>
    <n v="1"/>
    <m/>
    <m/>
    <m/>
    <m/>
    <m/>
    <n v="1.2977000000000001"/>
    <m/>
    <n v="1.2977000000000001"/>
    <m/>
    <m/>
    <m/>
    <m/>
    <m/>
    <s v="AUD"/>
    <s v="13634109Waste - General [t] - Scope 3"/>
    <n v="13634109"/>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0-12-01T00:00:00"/>
    <s v="FY21"/>
    <s v="t"/>
    <n v="0.105"/>
    <n v="0"/>
    <n v="0"/>
    <n v="0.105"/>
    <n v="2"/>
    <n v="0"/>
    <n v="0"/>
    <n v="2"/>
    <n v="100"/>
    <n v="0"/>
    <n v="0"/>
    <s v="Consolidation"/>
    <s v="CO2e and Base Measure"/>
    <n v="100"/>
    <n v="100"/>
    <n v="0.11"/>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1-01T00:00:00"/>
    <s v="FY21"/>
    <s v="t"/>
    <n v="0.26400000000000001"/>
    <n v="0"/>
    <n v="0"/>
    <n v="0.26400000000000001"/>
    <n v="2"/>
    <n v="0"/>
    <n v="0"/>
    <n v="2"/>
    <n v="100"/>
    <n v="0"/>
    <n v="0"/>
    <s v="Consolidation"/>
    <s v="CO2e and Base Measure"/>
    <n v="100"/>
    <n v="100"/>
    <n v="0.26"/>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2-01T00:00:00"/>
    <s v="FY21"/>
    <s v="t"/>
    <n v="0.111"/>
    <n v="0"/>
    <n v="0"/>
    <n v="0.111"/>
    <n v="2"/>
    <n v="0"/>
    <n v="0"/>
    <n v="2"/>
    <n v="100"/>
    <n v="0"/>
    <n v="0"/>
    <s v="Consolidation"/>
    <s v="CO2e and Base Measure"/>
    <n v="100"/>
    <n v="100"/>
    <n v="0.11"/>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3-01T00:00:00"/>
    <s v="FY21"/>
    <s v="t"/>
    <n v="0.14299999999999999"/>
    <n v="7.4999999999999997E-2"/>
    <n v="0"/>
    <n v="0.218"/>
    <n v="2"/>
    <n v="1"/>
    <n v="0"/>
    <n v="3"/>
    <n v="65.59"/>
    <n v="34.4"/>
    <n v="0"/>
    <s v="Consolidation"/>
    <s v="CO2e and Base Measure"/>
    <n v="100"/>
    <n v="100"/>
    <n v="0.22"/>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4-01T00:00:00"/>
    <s v="FY21"/>
    <s v="t"/>
    <n v="0"/>
    <n v="0"/>
    <n v="0.17399999999999999"/>
    <n v="0.17399999999999999"/>
    <n v="0"/>
    <n v="0"/>
    <n v="30"/>
    <n v="30"/>
    <n v="0"/>
    <n v="0"/>
    <n v="100"/>
    <s v="Consolidation"/>
    <s v="CO2e and Base Measure"/>
    <n v="100"/>
    <n v="100"/>
    <n v="0.17"/>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5-01T00:00:00"/>
    <s v="FY21"/>
    <s v="t"/>
    <n v="0"/>
    <n v="0"/>
    <n v="0.17979999999999999"/>
    <n v="0.17979999999999999"/>
    <n v="0"/>
    <n v="0"/>
    <n v="31"/>
    <n v="31"/>
    <n v="0"/>
    <n v="0"/>
    <n v="100"/>
    <s v="Consolidation"/>
    <s v="CO2e and Base Measure"/>
    <n v="100"/>
    <n v="100"/>
    <n v="0.18"/>
    <m/>
    <m/>
    <m/>
    <m/>
    <m/>
    <m/>
    <m/>
    <m/>
    <m/>
    <m/>
    <m/>
    <m/>
    <m/>
    <s v="AUD"/>
    <s v="13634110Waste Recycled - Paper and Cardboard [t]"/>
    <n v="13634110"/>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655Waste - General [t] - Scope 3"/>
    <n v="13564655"/>
  </r>
  <r>
    <d v="2019-07-01T00:00:00"/>
    <d v="2021-06-30T00:00:00"/>
    <s v="Telstra"/>
    <s v="NETWORK"/>
    <s v="Network - InfraCo"/>
    <s v="NSW"/>
    <s v="Australia"/>
    <s v="Forbes"/>
    <s v="FORBES EXCHANGE"/>
    <n v="423030347200"/>
    <s v="Recycled Waste"/>
    <x v="0"/>
    <x v="5"/>
    <s v="Account"/>
    <s v="Remondis Construction &amp; Demolition - Recycled"/>
    <m/>
    <s v="423030347200_RCONSDEM"/>
    <s v="CONSTRUCTION &amp; DEMOLITION - RECYLED"/>
    <s v="Remondis"/>
    <m/>
    <m/>
    <d v="2020-08-01T00:00:00"/>
    <d v="2020-07-01T00:00:00"/>
    <s v="FY21"/>
    <s v="t"/>
    <n v="3"/>
    <n v="0"/>
    <n v="0"/>
    <n v="3"/>
    <n v="2"/>
    <n v="0"/>
    <n v="0"/>
    <n v="2"/>
    <n v="100"/>
    <n v="0"/>
    <n v="0"/>
    <s v="Consolidation"/>
    <s v="CO2e and Base Measure"/>
    <n v="100"/>
    <n v="100"/>
    <n v="3"/>
    <m/>
    <m/>
    <m/>
    <m/>
    <m/>
    <m/>
    <m/>
    <m/>
    <m/>
    <m/>
    <m/>
    <m/>
    <m/>
    <s v="AUD"/>
    <s v="13611164Waste Recycled - Construction and Demolition [t]"/>
    <n v="13611164"/>
  </r>
  <r>
    <d v="2019-07-01T00:00:00"/>
    <d v="2021-06-30T00:00:00"/>
    <s v="Telstra"/>
    <s v="NETWORK"/>
    <s v="Network - InfraCo"/>
    <s v="NSW"/>
    <s v="Australia"/>
    <s v="Forbes"/>
    <s v="FORBES EXCHANGE"/>
    <n v="423030347200"/>
    <s v="Recycled Waste"/>
    <x v="0"/>
    <x v="5"/>
    <s v="Account"/>
    <s v="Remondis Construction &amp; Demolition - Recycled"/>
    <m/>
    <s v="423030347200_RCONSDEM"/>
    <s v="CONSTRUCTION &amp; DEMOLITION - RECYLED"/>
    <s v="Remondis"/>
    <m/>
    <m/>
    <d v="2020-08-01T00:00:00"/>
    <d v="2020-08-01T00:00:00"/>
    <s v="FY21"/>
    <s v="t"/>
    <n v="0"/>
    <n v="0"/>
    <n v="7.4999999999999997E-2"/>
    <n v="7.4999999999999997E-2"/>
    <n v="0"/>
    <n v="0"/>
    <n v="1"/>
    <n v="1"/>
    <n v="0"/>
    <n v="0"/>
    <n v="100"/>
    <s v="Consolidation"/>
    <s v="CO2e and Base Measure"/>
    <n v="100"/>
    <n v="100"/>
    <n v="0.08"/>
    <m/>
    <m/>
    <m/>
    <m/>
    <m/>
    <m/>
    <m/>
    <m/>
    <m/>
    <m/>
    <m/>
    <m/>
    <m/>
    <s v="AUD"/>
    <s v="13611164Waste Recycled - Construction and Demolition [t]"/>
    <n v="13611164"/>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93Waste - General [t] - Scope 3"/>
    <n v="13634493"/>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93Waste - General [t] - Scope 3"/>
    <n v="13634493"/>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493Waste - General [t] - Scope 3"/>
    <n v="13634493"/>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4-01T00:00:00"/>
    <s v="FY21"/>
    <s v="t"/>
    <n v="0"/>
    <n v="0"/>
    <n v="0.13800000000000001"/>
    <n v="0.13800000000000001"/>
    <n v="0"/>
    <n v="0"/>
    <n v="30"/>
    <n v="30"/>
    <n v="0"/>
    <n v="0"/>
    <n v="100"/>
    <s v="Consolidation"/>
    <s v="CO2e and Base Measure"/>
    <n v="100"/>
    <n v="100"/>
    <n v="0.14000000000000001"/>
    <m/>
    <m/>
    <m/>
    <m/>
    <m/>
    <n v="0.1794"/>
    <m/>
    <n v="0.1794"/>
    <m/>
    <m/>
    <m/>
    <m/>
    <m/>
    <s v="AUD"/>
    <s v="13634493Waste - General [t] - Scope 3"/>
    <n v="13634493"/>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5-01T00:00:00"/>
    <s v="FY21"/>
    <s v="t"/>
    <n v="0"/>
    <n v="0"/>
    <n v="0.1426"/>
    <n v="0.1426"/>
    <n v="0"/>
    <n v="0"/>
    <n v="31"/>
    <n v="31"/>
    <n v="0"/>
    <n v="0"/>
    <n v="100"/>
    <s v="Consolidation"/>
    <s v="CO2e and Base Measure"/>
    <n v="100"/>
    <n v="100"/>
    <n v="0.14000000000000001"/>
    <m/>
    <m/>
    <m/>
    <m/>
    <m/>
    <n v="0.18540000000000001"/>
    <m/>
    <n v="0.18540000000000001"/>
    <m/>
    <m/>
    <m/>
    <m/>
    <m/>
    <s v="AUD"/>
    <s v="13634493Waste - General [t] - Scope 3"/>
    <n v="13634493"/>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08-01T00:00:00"/>
    <s v="FY21"/>
    <s v="t"/>
    <n v="0"/>
    <n v="3.15E-2"/>
    <n v="0"/>
    <n v="3.15E-2"/>
    <n v="0"/>
    <n v="1"/>
    <n v="0"/>
    <n v="1"/>
    <n v="0"/>
    <n v="100"/>
    <n v="0"/>
    <s v="Consolidation"/>
    <s v="CO2e and Base Measure"/>
    <n v="100"/>
    <n v="100"/>
    <n v="0.03"/>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11-01T00:00:00"/>
    <s v="FY21"/>
    <s v="t"/>
    <n v="0"/>
    <n v="3.15E-2"/>
    <n v="0"/>
    <n v="3.15E-2"/>
    <n v="0"/>
    <n v="1"/>
    <n v="0"/>
    <n v="1"/>
    <n v="0"/>
    <n v="100"/>
    <n v="0"/>
    <s v="Consolidation"/>
    <s v="CO2e and Base Measure"/>
    <n v="100"/>
    <n v="100"/>
    <n v="0.03"/>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1-01-01T00:00:00"/>
    <s v="FY21"/>
    <s v="t"/>
    <n v="0"/>
    <n v="0"/>
    <n v="1.1999999999999999E-3"/>
    <n v="1.1999999999999999E-3"/>
    <n v="0"/>
    <n v="0"/>
    <n v="1"/>
    <n v="1"/>
    <n v="0"/>
    <n v="0"/>
    <n v="100"/>
    <s v="Consolidation"/>
    <s v="CO2e and Base Measure"/>
    <n v="100"/>
    <n v="100"/>
    <n v="0"/>
    <m/>
    <m/>
    <m/>
    <m/>
    <m/>
    <m/>
    <n v="0"/>
    <m/>
    <m/>
    <m/>
    <m/>
    <m/>
    <m/>
    <s v="AUD"/>
    <s v="13564656Waste Recycled - Cardboard [t]"/>
    <n v="13564656"/>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1-01-01T00:00:00"/>
    <s v="FY21"/>
    <s v="t"/>
    <n v="0"/>
    <n v="0"/>
    <n v="5.0000000000000001E-3"/>
    <n v="5.0000000000000001E-3"/>
    <n v="0"/>
    <n v="0"/>
    <n v="1"/>
    <n v="1"/>
    <n v="0"/>
    <n v="0"/>
    <n v="100"/>
    <s v="Consolidation"/>
    <s v="CO2e and Base Measure"/>
    <n v="100"/>
    <n v="100"/>
    <n v="0.01"/>
    <m/>
    <m/>
    <m/>
    <m/>
    <m/>
    <n v="6.4999999999999997E-3"/>
    <m/>
    <n v="6.4999999999999997E-3"/>
    <m/>
    <m/>
    <m/>
    <m/>
    <m/>
    <s v="AUD"/>
    <s v="13564657Waste - General [t] - Scope 3"/>
    <n v="13564657"/>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02Waste - General [t] - Scope 3"/>
    <n v="13634402"/>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02Waste - General [t] - Scope 3"/>
    <n v="13634402"/>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1-03-01T00:00:00"/>
    <s v="FY21"/>
    <s v="t"/>
    <n v="0"/>
    <n v="0"/>
    <n v="4.65E-2"/>
    <n v="4.65E-2"/>
    <n v="0"/>
    <n v="0"/>
    <n v="31"/>
    <n v="31"/>
    <n v="0"/>
    <n v="0"/>
    <n v="100"/>
    <s v="Consolidation"/>
    <s v="CO2e and Base Measure"/>
    <n v="100"/>
    <n v="100"/>
    <n v="0.05"/>
    <m/>
    <m/>
    <m/>
    <m/>
    <m/>
    <n v="6.0499999999999998E-2"/>
    <m/>
    <n v="6.0499999999999998E-2"/>
    <m/>
    <m/>
    <m/>
    <m/>
    <m/>
    <s v="AUD"/>
    <s v="13634402Waste - General [t] - Scope 3"/>
    <n v="13634402"/>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1-04-01T00:00:00"/>
    <s v="FY21"/>
    <s v="t"/>
    <n v="0"/>
    <n v="0"/>
    <n v="4.4999999999999998E-2"/>
    <n v="4.4999999999999998E-2"/>
    <n v="0"/>
    <n v="0"/>
    <n v="30"/>
    <n v="30"/>
    <n v="0"/>
    <n v="0"/>
    <n v="100"/>
    <s v="Consolidation"/>
    <s v="CO2e and Base Measure"/>
    <n v="100"/>
    <n v="100"/>
    <n v="0.05"/>
    <m/>
    <m/>
    <m/>
    <m/>
    <m/>
    <n v="5.8500000000000003E-2"/>
    <m/>
    <n v="5.8500000000000003E-2"/>
    <m/>
    <m/>
    <m/>
    <m/>
    <m/>
    <s v="AUD"/>
    <s v="13634402Waste - General [t] - Scope 3"/>
    <n v="13634402"/>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1-05-01T00:00:00"/>
    <s v="FY21"/>
    <s v="t"/>
    <n v="0"/>
    <n v="0"/>
    <n v="4.65E-2"/>
    <n v="4.65E-2"/>
    <n v="0"/>
    <n v="0"/>
    <n v="31"/>
    <n v="31"/>
    <n v="0"/>
    <n v="0"/>
    <n v="100"/>
    <s v="Consolidation"/>
    <s v="CO2e and Base Measure"/>
    <n v="100"/>
    <n v="100"/>
    <n v="0.05"/>
    <m/>
    <m/>
    <m/>
    <m/>
    <m/>
    <n v="6.0499999999999998E-2"/>
    <m/>
    <n v="6.0499999999999998E-2"/>
    <m/>
    <m/>
    <m/>
    <m/>
    <m/>
    <s v="AUD"/>
    <s v="13634402Waste - General [t] - Scope 3"/>
    <n v="1363440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07-01T00:00:00"/>
    <s v="FY21"/>
    <s v="t"/>
    <n v="6.2E-2"/>
    <n v="0"/>
    <n v="0"/>
    <n v="6.2E-2"/>
    <n v="5"/>
    <n v="0"/>
    <n v="0"/>
    <n v="5"/>
    <n v="100"/>
    <n v="0"/>
    <n v="0"/>
    <s v="Consolidation"/>
    <s v="CO2e and Base Measure"/>
    <n v="100"/>
    <n v="100"/>
    <n v="0.06"/>
    <m/>
    <m/>
    <m/>
    <m/>
    <m/>
    <n v="8.0600000000000005E-2"/>
    <m/>
    <n v="8.0600000000000005E-2"/>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08-01T00:00:00"/>
    <s v="FY21"/>
    <s v="t"/>
    <n v="3.7999999999999999E-2"/>
    <n v="0"/>
    <n v="0"/>
    <n v="3.7999999999999999E-2"/>
    <n v="3"/>
    <n v="0"/>
    <n v="0"/>
    <n v="3"/>
    <n v="100"/>
    <n v="0"/>
    <n v="0"/>
    <s v="Consolidation"/>
    <s v="CO2e and Base Measure"/>
    <n v="100"/>
    <n v="100"/>
    <n v="0.04"/>
    <m/>
    <m/>
    <m/>
    <m/>
    <m/>
    <n v="4.9399999999999999E-2"/>
    <m/>
    <n v="4.9399999999999999E-2"/>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09-01T00:00:00"/>
    <s v="FY21"/>
    <s v="t"/>
    <n v="1.2E-2"/>
    <n v="8.5800000000000001E-2"/>
    <n v="0"/>
    <n v="9.7799999999999998E-2"/>
    <n v="1"/>
    <n v="2"/>
    <n v="0"/>
    <n v="3"/>
    <n v="12.26"/>
    <n v="87.73"/>
    <n v="0"/>
    <s v="Consolidation"/>
    <s v="CO2e and Base Measure"/>
    <n v="100"/>
    <n v="100"/>
    <n v="0.1"/>
    <m/>
    <m/>
    <m/>
    <m/>
    <m/>
    <n v="0.12709999999999999"/>
    <m/>
    <n v="0.12709999999999999"/>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10-01T00:00:00"/>
    <s v="FY21"/>
    <s v="t"/>
    <n v="3.5000000000000003E-2"/>
    <n v="8.5800000000000001E-2"/>
    <n v="0"/>
    <n v="0.1208"/>
    <n v="2"/>
    <n v="2"/>
    <n v="0"/>
    <n v="4"/>
    <n v="28.97"/>
    <n v="71.02"/>
    <n v="0"/>
    <s v="Consolidation"/>
    <s v="CO2e and Base Measure"/>
    <n v="100"/>
    <n v="100"/>
    <n v="0.12"/>
    <m/>
    <m/>
    <m/>
    <m/>
    <m/>
    <n v="0.157"/>
    <m/>
    <n v="0.157"/>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11-01T00:00:00"/>
    <s v="FY21"/>
    <s v="t"/>
    <n v="0"/>
    <n v="0.1716"/>
    <n v="0"/>
    <n v="0.1716"/>
    <n v="0"/>
    <n v="4"/>
    <n v="0"/>
    <n v="4"/>
    <n v="0"/>
    <n v="100"/>
    <n v="0"/>
    <s v="Consolidation"/>
    <s v="CO2e and Base Measure"/>
    <n v="100"/>
    <n v="100"/>
    <n v="0.17"/>
    <m/>
    <m/>
    <m/>
    <m/>
    <m/>
    <n v="0.22309999999999999"/>
    <m/>
    <n v="0.22309999999999999"/>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12-01T00:00:00"/>
    <s v="FY21"/>
    <s v="t"/>
    <n v="0"/>
    <n v="0"/>
    <n v="3.0000000000000001E-3"/>
    <n v="3.0000000000000001E-3"/>
    <n v="0"/>
    <n v="0"/>
    <n v="1"/>
    <n v="1"/>
    <n v="0"/>
    <n v="0"/>
    <n v="100"/>
    <s v="Consolidation"/>
    <s v="CO2e and Base Measure"/>
    <n v="100"/>
    <n v="100"/>
    <n v="0"/>
    <m/>
    <m/>
    <m/>
    <m/>
    <m/>
    <n v="3.8999999999999998E-3"/>
    <m/>
    <n v="3.8999999999999998E-3"/>
    <m/>
    <m/>
    <m/>
    <m/>
    <m/>
    <s v="AUD"/>
    <s v="13564152Waste - General [t] - Scope 3"/>
    <n v="13564152"/>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0-12-01T00:00:00"/>
    <s v="FY21"/>
    <s v="t"/>
    <n v="0.17499999999999999"/>
    <n v="0"/>
    <n v="0"/>
    <n v="0.17499999999999999"/>
    <n v="1"/>
    <n v="0"/>
    <n v="0"/>
    <n v="1"/>
    <n v="100"/>
    <n v="0"/>
    <n v="0"/>
    <s v="Consolidation"/>
    <s v="CO2e and Base Measure"/>
    <n v="100"/>
    <n v="100"/>
    <n v="0.18"/>
    <m/>
    <m/>
    <m/>
    <m/>
    <m/>
    <n v="0.22750000000000001"/>
    <m/>
    <n v="0.22750000000000001"/>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1-01T00:00:00"/>
    <s v="FY21"/>
    <s v="t"/>
    <n v="0"/>
    <n v="9.9000000000000005E-2"/>
    <n v="0"/>
    <n v="9.9000000000000005E-2"/>
    <n v="0"/>
    <n v="2"/>
    <n v="0"/>
    <n v="2"/>
    <n v="0"/>
    <n v="100"/>
    <n v="0"/>
    <s v="Consolidation"/>
    <s v="CO2e and Base Measure"/>
    <n v="100"/>
    <n v="100"/>
    <n v="0.1"/>
    <m/>
    <m/>
    <m/>
    <m/>
    <m/>
    <n v="0.12870000000000001"/>
    <m/>
    <n v="0.12870000000000001"/>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3-01T00:00:00"/>
    <s v="FY21"/>
    <s v="t"/>
    <n v="0"/>
    <n v="9.9000000000000005E-2"/>
    <n v="0"/>
    <n v="9.9000000000000005E-2"/>
    <n v="0"/>
    <n v="2"/>
    <n v="0"/>
    <n v="2"/>
    <n v="0"/>
    <n v="100"/>
    <n v="0"/>
    <s v="Consolidation"/>
    <s v="CO2e and Base Measure"/>
    <n v="100"/>
    <n v="100"/>
    <n v="0.1"/>
    <m/>
    <m/>
    <m/>
    <m/>
    <m/>
    <n v="0.12870000000000001"/>
    <m/>
    <n v="0.12870000000000001"/>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4-01T00:00:00"/>
    <s v="FY21"/>
    <s v="t"/>
    <n v="0"/>
    <n v="0"/>
    <n v="0.105"/>
    <n v="0.105"/>
    <n v="0"/>
    <n v="0"/>
    <n v="30"/>
    <n v="30"/>
    <n v="0"/>
    <n v="0"/>
    <n v="100"/>
    <s v="Consolidation"/>
    <s v="CO2e and Base Measure"/>
    <n v="100"/>
    <n v="100"/>
    <n v="0.11"/>
    <m/>
    <m/>
    <m/>
    <m/>
    <m/>
    <n v="0.13650000000000001"/>
    <m/>
    <n v="0.13650000000000001"/>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5-01T00:00:00"/>
    <s v="FY21"/>
    <s v="t"/>
    <n v="0"/>
    <n v="0"/>
    <n v="0.1085"/>
    <n v="0.1085"/>
    <n v="0"/>
    <n v="0"/>
    <n v="31"/>
    <n v="31"/>
    <n v="0"/>
    <n v="0"/>
    <n v="100"/>
    <s v="Consolidation"/>
    <s v="CO2e and Base Measure"/>
    <n v="100"/>
    <n v="100"/>
    <n v="0.11"/>
    <m/>
    <m/>
    <m/>
    <m/>
    <m/>
    <n v="0.1411"/>
    <m/>
    <n v="0.1411"/>
    <m/>
    <m/>
    <m/>
    <m/>
    <m/>
    <s v="AUD"/>
    <s v="13634111Waste - General [t] - Scope 3"/>
    <n v="13634111"/>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0-12-01T00:00:00"/>
    <s v="FY21"/>
    <s v="t"/>
    <n v="0"/>
    <n v="2.75E-2"/>
    <n v="0"/>
    <n v="2.75E-2"/>
    <n v="0"/>
    <n v="1"/>
    <n v="0"/>
    <n v="1"/>
    <n v="0"/>
    <n v="100"/>
    <n v="0"/>
    <s v="Consolidation"/>
    <s v="CO2e and Base Measure"/>
    <n v="100"/>
    <n v="100"/>
    <n v="0.03"/>
    <m/>
    <m/>
    <m/>
    <m/>
    <m/>
    <m/>
    <m/>
    <m/>
    <m/>
    <m/>
    <m/>
    <m/>
    <m/>
    <s v="AUD"/>
    <s v="13634112Waste Recycled - Paper and Cardboard [t]"/>
    <n v="13634112"/>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1-01-01T00:00:00"/>
    <s v="FY21"/>
    <s v="t"/>
    <n v="0"/>
    <n v="5.5E-2"/>
    <n v="0"/>
    <n v="5.5E-2"/>
    <n v="0"/>
    <n v="2"/>
    <n v="0"/>
    <n v="2"/>
    <n v="0"/>
    <n v="100"/>
    <n v="0"/>
    <s v="Consolidation"/>
    <s v="CO2e and Base Measure"/>
    <n v="100"/>
    <n v="100"/>
    <n v="0.06"/>
    <m/>
    <m/>
    <m/>
    <m/>
    <m/>
    <m/>
    <m/>
    <m/>
    <m/>
    <m/>
    <m/>
    <m/>
    <m/>
    <s v="AUD"/>
    <s v="13634112Waste Recycled - Paper and Cardboard [t]"/>
    <n v="13634112"/>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1-03-01T00:00:00"/>
    <s v="FY21"/>
    <s v="t"/>
    <n v="0"/>
    <n v="5.5E-2"/>
    <n v="0"/>
    <n v="5.5E-2"/>
    <n v="0"/>
    <n v="2"/>
    <n v="0"/>
    <n v="2"/>
    <n v="0"/>
    <n v="100"/>
    <n v="0"/>
    <s v="Consolidation"/>
    <s v="CO2e and Base Measure"/>
    <n v="100"/>
    <n v="100"/>
    <n v="0.06"/>
    <m/>
    <m/>
    <m/>
    <m/>
    <m/>
    <m/>
    <m/>
    <m/>
    <m/>
    <m/>
    <m/>
    <m/>
    <m/>
    <s v="AUD"/>
    <s v="13634112Waste Recycled - Paper and Cardboard [t]"/>
    <n v="13634112"/>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1-04-01T00:00:00"/>
    <s v="FY21"/>
    <s v="t"/>
    <n v="0"/>
    <n v="0"/>
    <n v="3.3000000000000002E-2"/>
    <n v="3.3000000000000002E-2"/>
    <n v="0"/>
    <n v="0"/>
    <n v="30"/>
    <n v="30"/>
    <n v="0"/>
    <n v="0"/>
    <n v="100"/>
    <s v="Consolidation"/>
    <s v="CO2e and Base Measure"/>
    <n v="100"/>
    <n v="100"/>
    <n v="0.03"/>
    <m/>
    <m/>
    <m/>
    <m/>
    <m/>
    <m/>
    <m/>
    <m/>
    <m/>
    <m/>
    <m/>
    <m/>
    <m/>
    <s v="AUD"/>
    <s v="13634112Waste Recycled - Paper and Cardboard [t]"/>
    <n v="13634112"/>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1-05-01T00:00:00"/>
    <s v="FY21"/>
    <s v="t"/>
    <n v="0"/>
    <n v="0"/>
    <n v="3.4099999999999998E-2"/>
    <n v="3.4099999999999998E-2"/>
    <n v="0"/>
    <n v="0"/>
    <n v="31"/>
    <n v="31"/>
    <n v="0"/>
    <n v="0"/>
    <n v="100"/>
    <s v="Consolidation"/>
    <s v="CO2e and Base Measure"/>
    <n v="100"/>
    <n v="100"/>
    <n v="0.03"/>
    <m/>
    <m/>
    <m/>
    <m/>
    <m/>
    <m/>
    <m/>
    <m/>
    <m/>
    <m/>
    <m/>
    <m/>
    <m/>
    <s v="AUD"/>
    <s v="13634112Waste Recycled - Paper and Cardboard [t]"/>
    <n v="13634112"/>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248Waste Recycled - Cardboard [t]"/>
    <n v="13565248"/>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07-01T00:00:00"/>
    <s v="FY21"/>
    <s v="t"/>
    <n v="1.43"/>
    <n v="0"/>
    <n v="0"/>
    <n v="1.43"/>
    <n v="4"/>
    <n v="0"/>
    <n v="0"/>
    <n v="4"/>
    <n v="100"/>
    <n v="0"/>
    <n v="0"/>
    <s v="Consolidation"/>
    <s v="CO2e and Base Measure"/>
    <n v="100"/>
    <n v="100"/>
    <n v="1.43"/>
    <m/>
    <m/>
    <m/>
    <m/>
    <m/>
    <n v="1.859"/>
    <m/>
    <n v="1.859"/>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08-01T00:00:00"/>
    <s v="FY21"/>
    <s v="t"/>
    <n v="0.35"/>
    <n v="0"/>
    <n v="0"/>
    <n v="0.35"/>
    <n v="4"/>
    <n v="0"/>
    <n v="0"/>
    <n v="4"/>
    <n v="100"/>
    <n v="0"/>
    <n v="0"/>
    <s v="Consolidation"/>
    <s v="CO2e and Base Measure"/>
    <n v="100"/>
    <n v="100"/>
    <n v="0.35"/>
    <m/>
    <m/>
    <m/>
    <m/>
    <m/>
    <n v="0.45500000000000002"/>
    <m/>
    <n v="0.45500000000000002"/>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09-01T00:00:00"/>
    <s v="FY21"/>
    <s v="t"/>
    <n v="0.82"/>
    <n v="0"/>
    <n v="0"/>
    <n v="0.82"/>
    <n v="5"/>
    <n v="0"/>
    <n v="0"/>
    <n v="5"/>
    <n v="100"/>
    <n v="0"/>
    <n v="0"/>
    <s v="Consolidation"/>
    <s v="CO2e and Base Measure"/>
    <n v="100"/>
    <n v="100"/>
    <n v="0.82"/>
    <m/>
    <m/>
    <m/>
    <m/>
    <m/>
    <n v="1.0660000000000001"/>
    <m/>
    <n v="1.0660000000000001"/>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10-01T00:00:00"/>
    <s v="FY21"/>
    <s v="t"/>
    <n v="0.26500000000000001"/>
    <n v="0"/>
    <n v="0"/>
    <n v="0.26500000000000001"/>
    <n v="4"/>
    <n v="0"/>
    <n v="0"/>
    <n v="4"/>
    <n v="100"/>
    <n v="0"/>
    <n v="0"/>
    <s v="Consolidation"/>
    <s v="CO2e and Base Measure"/>
    <n v="100"/>
    <n v="100"/>
    <n v="0.27"/>
    <m/>
    <m/>
    <m/>
    <m/>
    <m/>
    <n v="0.34449999999999997"/>
    <m/>
    <n v="0.34449999999999997"/>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11-01T00:00:00"/>
    <s v="FY21"/>
    <s v="t"/>
    <n v="0.26500000000000001"/>
    <n v="0.19500000000000001"/>
    <n v="0"/>
    <n v="0.46"/>
    <n v="2"/>
    <n v="1"/>
    <n v="0"/>
    <n v="3"/>
    <n v="57.6"/>
    <n v="42.39"/>
    <n v="0"/>
    <s v="Consolidation"/>
    <s v="CO2e and Base Measure"/>
    <n v="100"/>
    <n v="100"/>
    <n v="0.46"/>
    <m/>
    <m/>
    <m/>
    <m/>
    <m/>
    <n v="0.59799999999999998"/>
    <m/>
    <n v="0.59799999999999998"/>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12-01T00:00:00"/>
    <s v="FY21"/>
    <s v="t"/>
    <n v="0.24"/>
    <n v="0"/>
    <n v="0"/>
    <n v="0.24"/>
    <n v="2"/>
    <n v="0"/>
    <n v="0"/>
    <n v="2"/>
    <n v="100"/>
    <n v="0"/>
    <n v="0"/>
    <s v="Consolidation"/>
    <s v="CO2e and Base Measure"/>
    <n v="100"/>
    <n v="100"/>
    <n v="0.24"/>
    <m/>
    <m/>
    <m/>
    <m/>
    <m/>
    <n v="0.312"/>
    <m/>
    <n v="0.312"/>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1-01-01T00:00:00"/>
    <s v="FY21"/>
    <s v="t"/>
    <n v="0"/>
    <n v="0"/>
    <n v="2.58E-2"/>
    <n v="2.58E-2"/>
    <n v="0"/>
    <n v="0"/>
    <n v="1"/>
    <n v="1"/>
    <n v="0"/>
    <n v="0"/>
    <n v="100"/>
    <s v="Consolidation"/>
    <s v="CO2e and Base Measure"/>
    <n v="100"/>
    <n v="100"/>
    <n v="0.03"/>
    <m/>
    <m/>
    <m/>
    <m/>
    <m/>
    <n v="3.3500000000000002E-2"/>
    <m/>
    <n v="3.3500000000000002E-2"/>
    <m/>
    <m/>
    <m/>
    <m/>
    <m/>
    <s v="AUD"/>
    <s v="13565249Waste - General [t] - Scope 3"/>
    <n v="13565249"/>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0-12-01T00:00:00"/>
    <s v="FY21"/>
    <s v="t"/>
    <n v="0.376"/>
    <n v="0"/>
    <n v="0"/>
    <n v="0.376"/>
    <n v="2"/>
    <n v="0"/>
    <n v="0"/>
    <n v="2"/>
    <n v="100"/>
    <n v="0"/>
    <n v="0"/>
    <s v="Consolidation"/>
    <s v="CO2e and Base Measure"/>
    <n v="100"/>
    <n v="100"/>
    <n v="0.38"/>
    <m/>
    <m/>
    <m/>
    <m/>
    <m/>
    <n v="0.48880000000000001"/>
    <m/>
    <n v="0.48880000000000001"/>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1-01T00:00:00"/>
    <s v="FY21"/>
    <s v="t"/>
    <n v="0.63300000000000001"/>
    <n v="0"/>
    <n v="0"/>
    <n v="0.63300000000000001"/>
    <n v="2"/>
    <n v="0"/>
    <n v="0"/>
    <n v="2"/>
    <n v="100"/>
    <n v="0"/>
    <n v="0"/>
    <s v="Consolidation"/>
    <s v="CO2e and Base Measure"/>
    <n v="100"/>
    <n v="100"/>
    <n v="0.63"/>
    <m/>
    <m/>
    <m/>
    <m/>
    <m/>
    <n v="0.82289999999999996"/>
    <m/>
    <n v="0.82289999999999996"/>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2-01T00:00:00"/>
    <s v="FY21"/>
    <s v="t"/>
    <n v="0.85"/>
    <n v="0"/>
    <n v="0"/>
    <n v="0.85"/>
    <n v="2"/>
    <n v="0"/>
    <n v="0"/>
    <n v="2"/>
    <n v="100"/>
    <n v="0"/>
    <n v="0"/>
    <s v="Consolidation"/>
    <s v="CO2e and Base Measure"/>
    <n v="100"/>
    <n v="100"/>
    <n v="0.85"/>
    <m/>
    <m/>
    <m/>
    <m/>
    <m/>
    <n v="1.105"/>
    <m/>
    <n v="1.105"/>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3-01T00:00:00"/>
    <s v="FY21"/>
    <s v="t"/>
    <n v="0.753"/>
    <n v="0"/>
    <n v="0"/>
    <n v="0.753"/>
    <n v="3"/>
    <n v="0"/>
    <n v="0"/>
    <n v="3"/>
    <n v="100"/>
    <n v="0"/>
    <n v="0"/>
    <s v="Consolidation"/>
    <s v="CO2e and Base Measure"/>
    <n v="100"/>
    <n v="100"/>
    <n v="0.75"/>
    <m/>
    <m/>
    <m/>
    <m/>
    <m/>
    <n v="0.97889999999999999"/>
    <m/>
    <n v="0.97889999999999999"/>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4-01T00:00:00"/>
    <s v="FY21"/>
    <s v="t"/>
    <n v="0"/>
    <n v="0"/>
    <n v="0.65400000000000003"/>
    <n v="0.65400000000000003"/>
    <n v="0"/>
    <n v="0"/>
    <n v="30"/>
    <n v="30"/>
    <n v="0"/>
    <n v="0"/>
    <n v="100"/>
    <s v="Consolidation"/>
    <s v="CO2e and Base Measure"/>
    <n v="100"/>
    <n v="100"/>
    <n v="0.65"/>
    <m/>
    <m/>
    <m/>
    <m/>
    <m/>
    <n v="0.85019999999999996"/>
    <m/>
    <n v="0.85019999999999996"/>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5-01T00:00:00"/>
    <s v="FY21"/>
    <s v="t"/>
    <n v="0"/>
    <n v="0"/>
    <n v="0.67579999999999996"/>
    <n v="0.67579999999999996"/>
    <n v="0"/>
    <n v="0"/>
    <n v="31"/>
    <n v="31"/>
    <n v="0"/>
    <n v="0"/>
    <n v="100"/>
    <s v="Consolidation"/>
    <s v="CO2e and Base Measure"/>
    <n v="100"/>
    <n v="100"/>
    <n v="0.68"/>
    <m/>
    <m/>
    <m/>
    <m/>
    <m/>
    <n v="0.87849999999999995"/>
    <m/>
    <n v="0.87849999999999995"/>
    <m/>
    <m/>
    <m/>
    <m/>
    <m/>
    <s v="AUD"/>
    <s v="13634113Waste - General [t] - Scope 3"/>
    <n v="13634113"/>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0-12-01T00:00:00"/>
    <s v="FY21"/>
    <s v="t"/>
    <n v="0.108"/>
    <n v="7.4999999999999997E-2"/>
    <n v="0"/>
    <n v="0.183"/>
    <n v="2"/>
    <n v="1"/>
    <n v="0"/>
    <n v="3"/>
    <n v="59.01"/>
    <n v="40.98"/>
    <n v="0"/>
    <s v="Consolidation"/>
    <s v="CO2e and Base Measure"/>
    <n v="100"/>
    <n v="100"/>
    <n v="0.18"/>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1-01T00:00:00"/>
    <s v="FY21"/>
    <s v="t"/>
    <n v="0.11700000000000001"/>
    <n v="7.4999999999999997E-2"/>
    <n v="0"/>
    <n v="0.192"/>
    <n v="2"/>
    <n v="1"/>
    <n v="0"/>
    <n v="3"/>
    <n v="60.93"/>
    <n v="39.06"/>
    <n v="0"/>
    <s v="Consolidation"/>
    <s v="CO2e and Base Measure"/>
    <n v="100"/>
    <n v="100"/>
    <n v="0.19"/>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2-01T00:00:00"/>
    <s v="FY21"/>
    <s v="t"/>
    <n v="7.0000000000000007E-2"/>
    <n v="0.15"/>
    <n v="0"/>
    <n v="0.22"/>
    <n v="2"/>
    <n v="2"/>
    <n v="0"/>
    <n v="4"/>
    <n v="31.81"/>
    <n v="68.180000000000007"/>
    <n v="0"/>
    <s v="Consolidation"/>
    <s v="CO2e and Base Measure"/>
    <n v="100"/>
    <n v="100"/>
    <n v="0.22"/>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3-01T00:00:00"/>
    <s v="FY21"/>
    <s v="t"/>
    <n v="1.9E-2"/>
    <n v="0.15"/>
    <n v="0"/>
    <n v="0.16900000000000001"/>
    <n v="1"/>
    <n v="2"/>
    <n v="0"/>
    <n v="3"/>
    <n v="11.24"/>
    <n v="88.75"/>
    <n v="0"/>
    <s v="Consolidation"/>
    <s v="CO2e and Base Measure"/>
    <n v="100"/>
    <n v="100"/>
    <n v="0.17"/>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4-01T00:00:00"/>
    <s v="FY21"/>
    <s v="t"/>
    <n v="0"/>
    <n v="0"/>
    <n v="0.192"/>
    <n v="0.192"/>
    <n v="0"/>
    <n v="0"/>
    <n v="30"/>
    <n v="30"/>
    <n v="0"/>
    <n v="0"/>
    <n v="100"/>
    <s v="Consolidation"/>
    <s v="CO2e and Base Measure"/>
    <n v="100"/>
    <n v="100"/>
    <n v="0.19"/>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5-01T00:00:00"/>
    <s v="FY21"/>
    <s v="t"/>
    <n v="0"/>
    <n v="0"/>
    <n v="0.19839999999999999"/>
    <n v="0.19839999999999999"/>
    <n v="0"/>
    <n v="0"/>
    <n v="31"/>
    <n v="31"/>
    <n v="0"/>
    <n v="0"/>
    <n v="100"/>
    <s v="Consolidation"/>
    <s v="CO2e and Base Measure"/>
    <n v="100"/>
    <n v="100"/>
    <n v="0.2"/>
    <m/>
    <m/>
    <m/>
    <m/>
    <m/>
    <m/>
    <m/>
    <m/>
    <m/>
    <m/>
    <m/>
    <m/>
    <m/>
    <s v="AUD"/>
    <s v="13634114Waste Recycled - Paper and Cardboard [t]"/>
    <n v="13634114"/>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0-12-01T00:00:00"/>
    <s v="FY21"/>
    <s v="t"/>
    <n v="1.02"/>
    <n v="0"/>
    <n v="0"/>
    <n v="1.02"/>
    <n v="1"/>
    <n v="0"/>
    <n v="0"/>
    <n v="1"/>
    <n v="100"/>
    <n v="0"/>
    <n v="0"/>
    <s v="Consolidation"/>
    <s v="CO2e and Base Measure"/>
    <n v="100"/>
    <n v="100"/>
    <n v="1.02"/>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1-01T00:00:00"/>
    <s v="FY21"/>
    <s v="t"/>
    <n v="0"/>
    <n v="0"/>
    <n v="1.054"/>
    <n v="1.054"/>
    <n v="0"/>
    <n v="0"/>
    <n v="31"/>
    <n v="31"/>
    <n v="0"/>
    <n v="0"/>
    <n v="100"/>
    <s v="Consolidation"/>
    <s v="CO2e and Base Measure"/>
    <n v="100"/>
    <n v="100"/>
    <n v="1.05"/>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2-01T00:00:00"/>
    <s v="FY21"/>
    <s v="t"/>
    <n v="0"/>
    <n v="0"/>
    <n v="0.95199999999999996"/>
    <n v="0.95199999999999996"/>
    <n v="0"/>
    <n v="0"/>
    <n v="28"/>
    <n v="28"/>
    <n v="0"/>
    <n v="0"/>
    <n v="100"/>
    <s v="Consolidation"/>
    <s v="CO2e and Base Measure"/>
    <n v="100"/>
    <n v="100"/>
    <n v="0.95"/>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3-01T00:00:00"/>
    <s v="FY21"/>
    <s v="t"/>
    <n v="0"/>
    <n v="0"/>
    <n v="1.054"/>
    <n v="1.054"/>
    <n v="0"/>
    <n v="0"/>
    <n v="31"/>
    <n v="31"/>
    <n v="0"/>
    <n v="0"/>
    <n v="100"/>
    <s v="Consolidation"/>
    <s v="CO2e and Base Measure"/>
    <n v="100"/>
    <n v="100"/>
    <n v="1.05"/>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4-01T00:00:00"/>
    <s v="FY21"/>
    <s v="t"/>
    <n v="0"/>
    <n v="0"/>
    <n v="1.02"/>
    <n v="1.02"/>
    <n v="0"/>
    <n v="0"/>
    <n v="30"/>
    <n v="30"/>
    <n v="0"/>
    <n v="0"/>
    <n v="100"/>
    <s v="Consolidation"/>
    <s v="CO2e and Base Measure"/>
    <n v="100"/>
    <n v="100"/>
    <n v="1.02"/>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5-01T00:00:00"/>
    <s v="FY21"/>
    <s v="t"/>
    <n v="0"/>
    <n v="0"/>
    <n v="1.054"/>
    <n v="1.054"/>
    <n v="0"/>
    <n v="0"/>
    <n v="31"/>
    <n v="31"/>
    <n v="0"/>
    <n v="0"/>
    <n v="100"/>
    <s v="Consolidation"/>
    <s v="CO2e and Base Measure"/>
    <n v="100"/>
    <n v="100"/>
    <n v="1.05"/>
    <m/>
    <m/>
    <m/>
    <m/>
    <m/>
    <m/>
    <m/>
    <m/>
    <m/>
    <m/>
    <m/>
    <m/>
    <m/>
    <s v="AUD"/>
    <s v="13633431Waste Recycled - Construction and Demolition [t]"/>
    <n v="13633431"/>
  </r>
  <r>
    <d v="2019-07-01T00:00:00"/>
    <d v="2021-06-30T00:00:00"/>
    <s v="Telstra"/>
    <s v="NETWORK"/>
    <s v="Network - InfraCo"/>
    <s v="QLD"/>
    <s v="Australia"/>
    <s v="Rockhampton"/>
    <s v="FRENCHVILLE EXCHANGE"/>
    <n v="423030071200"/>
    <s v="Waste"/>
    <x v="1"/>
    <x v="4"/>
    <s v="Account"/>
    <s v="Remondis Asbestos"/>
    <m/>
    <s v="423030071200_WASBESTOS"/>
    <s v="ASBESTOS"/>
    <s v="Remondis"/>
    <m/>
    <m/>
    <d v="2021-01-01T00:00:00"/>
    <d v="2020-12-01T00:00:00"/>
    <s v="FY21"/>
    <s v="t"/>
    <n v="0.12"/>
    <n v="0.48"/>
    <n v="0"/>
    <n v="0.6"/>
    <n v="1"/>
    <n v="1"/>
    <n v="0"/>
    <n v="2"/>
    <n v="20"/>
    <n v="80"/>
    <n v="0"/>
    <s v="Consolidation"/>
    <s v="CO2e and Base Measure"/>
    <n v="100"/>
    <n v="100"/>
    <n v="0.6"/>
    <m/>
    <m/>
    <m/>
    <m/>
    <m/>
    <n v="0.72"/>
    <m/>
    <n v="0.72"/>
    <m/>
    <m/>
    <m/>
    <m/>
    <m/>
    <s v="AUD"/>
    <s v="13564153Waste - Construction and Demolition [t]"/>
    <n v="13564153"/>
  </r>
  <r>
    <d v="2019-07-01T00:00:00"/>
    <d v="2021-06-30T00:00:00"/>
    <s v="Telstra"/>
    <s v="NETWORK"/>
    <s v="Network - InfraCo"/>
    <s v="QLD"/>
    <s v="Australia"/>
    <s v="Rockhampton"/>
    <s v="FRENCHVILLE EXCHANGE"/>
    <n v="423030071200"/>
    <s v="Waste"/>
    <x v="1"/>
    <x v="4"/>
    <s v="Account"/>
    <s v="Remondis Asbestos"/>
    <m/>
    <s v="423030071200_WASBESTOS"/>
    <s v="ASBESTOS"/>
    <s v="Remondis"/>
    <m/>
    <m/>
    <d v="2021-01-01T00:00:00"/>
    <d v="2021-01-01T00:00:00"/>
    <s v="FY21"/>
    <s v="t"/>
    <n v="0"/>
    <n v="0"/>
    <n v="0.02"/>
    <n v="0.02"/>
    <n v="0"/>
    <n v="0"/>
    <n v="1"/>
    <n v="1"/>
    <n v="0"/>
    <n v="0"/>
    <n v="100"/>
    <s v="Consolidation"/>
    <s v="CO2e and Base Measure"/>
    <n v="100"/>
    <n v="100"/>
    <n v="0.02"/>
    <m/>
    <m/>
    <m/>
    <m/>
    <m/>
    <n v="2.4E-2"/>
    <m/>
    <n v="2.4E-2"/>
    <m/>
    <m/>
    <m/>
    <m/>
    <m/>
    <s v="AUD"/>
    <s v="13564153Waste - Construction and Demolition [t]"/>
    <n v="13564153"/>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09-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12-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1-01-01T00:00:00"/>
    <s v="FY21"/>
    <s v="t"/>
    <n v="0"/>
    <n v="0"/>
    <n v="2.2000000000000001E-3"/>
    <n v="2.2000000000000001E-3"/>
    <n v="0"/>
    <n v="0"/>
    <n v="1"/>
    <n v="1"/>
    <n v="0"/>
    <n v="0"/>
    <n v="100"/>
    <s v="Consolidation"/>
    <s v="CO2e and Base Measure"/>
    <n v="100"/>
    <n v="100"/>
    <n v="0"/>
    <m/>
    <m/>
    <m/>
    <m/>
    <m/>
    <m/>
    <n v="0"/>
    <m/>
    <m/>
    <m/>
    <m/>
    <m/>
    <m/>
    <s v="AUD"/>
    <s v="13564154Waste Recycled - Cardboard [t]"/>
    <n v="13564154"/>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155Waste - General [t] - Scope 3"/>
    <n v="13564155"/>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07-01T00:00:00"/>
    <s v="FY21"/>
    <s v="t"/>
    <n v="0"/>
    <n v="0.1716"/>
    <n v="0"/>
    <n v="0.1716"/>
    <n v="0"/>
    <n v="4"/>
    <n v="0"/>
    <n v="4"/>
    <n v="0"/>
    <n v="100"/>
    <n v="0"/>
    <s v="Consolidation"/>
    <s v="CO2e and Base Measure"/>
    <n v="100"/>
    <n v="100"/>
    <n v="0.17"/>
    <m/>
    <m/>
    <m/>
    <m/>
    <m/>
    <n v="0.22309999999999999"/>
    <m/>
    <n v="0.22309999999999999"/>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08-01T00:00:00"/>
    <s v="FY21"/>
    <s v="t"/>
    <n v="0"/>
    <n v="0.1716"/>
    <n v="0"/>
    <n v="0.1716"/>
    <n v="0"/>
    <n v="4"/>
    <n v="0"/>
    <n v="4"/>
    <n v="0"/>
    <n v="100"/>
    <n v="0"/>
    <s v="Consolidation"/>
    <s v="CO2e and Base Measure"/>
    <n v="100"/>
    <n v="100"/>
    <n v="0.17"/>
    <m/>
    <m/>
    <m/>
    <m/>
    <m/>
    <n v="0.22309999999999999"/>
    <m/>
    <n v="0.22309999999999999"/>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09-01T00:00:00"/>
    <s v="FY21"/>
    <s v="t"/>
    <n v="0"/>
    <n v="0.1716"/>
    <n v="0"/>
    <n v="0.1716"/>
    <n v="0"/>
    <n v="4"/>
    <n v="0"/>
    <n v="4"/>
    <n v="0"/>
    <n v="100"/>
    <n v="0"/>
    <s v="Consolidation"/>
    <s v="CO2e and Base Measure"/>
    <n v="100"/>
    <n v="100"/>
    <n v="0.17"/>
    <m/>
    <m/>
    <m/>
    <m/>
    <m/>
    <n v="0.22309999999999999"/>
    <m/>
    <n v="0.22309999999999999"/>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10-01T00:00:00"/>
    <s v="FY21"/>
    <s v="t"/>
    <n v="0"/>
    <n v="0.1716"/>
    <n v="0"/>
    <n v="0.1716"/>
    <n v="0"/>
    <n v="4"/>
    <n v="0"/>
    <n v="4"/>
    <n v="0"/>
    <n v="100"/>
    <n v="0"/>
    <s v="Consolidation"/>
    <s v="CO2e and Base Measure"/>
    <n v="100"/>
    <n v="100"/>
    <n v="0.17"/>
    <m/>
    <m/>
    <m/>
    <m/>
    <m/>
    <n v="0.22309999999999999"/>
    <m/>
    <n v="0.22309999999999999"/>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11-01T00:00:00"/>
    <s v="FY21"/>
    <s v="t"/>
    <n v="0"/>
    <n v="0.2145"/>
    <n v="0"/>
    <n v="0.2145"/>
    <n v="0"/>
    <n v="5"/>
    <n v="0"/>
    <n v="5"/>
    <n v="0"/>
    <n v="100"/>
    <n v="0"/>
    <s v="Consolidation"/>
    <s v="CO2e and Base Measure"/>
    <n v="100"/>
    <n v="100"/>
    <n v="0.21"/>
    <m/>
    <m/>
    <m/>
    <m/>
    <m/>
    <n v="0.27889999999999998"/>
    <m/>
    <n v="0.27889999999999998"/>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12-01T00:00:00"/>
    <s v="FY21"/>
    <s v="t"/>
    <n v="0"/>
    <n v="0"/>
    <n v="6.1000000000000004E-3"/>
    <n v="6.1000000000000004E-3"/>
    <n v="0"/>
    <n v="0"/>
    <n v="1"/>
    <n v="1"/>
    <n v="0"/>
    <n v="0"/>
    <n v="100"/>
    <s v="Consolidation"/>
    <s v="CO2e and Base Measure"/>
    <n v="100"/>
    <n v="100"/>
    <n v="0.01"/>
    <m/>
    <m/>
    <m/>
    <m/>
    <m/>
    <n v="7.9000000000000008E-3"/>
    <m/>
    <n v="7.9000000000000008E-3"/>
    <m/>
    <m/>
    <m/>
    <m/>
    <m/>
    <s v="AUD"/>
    <s v="13564156Waste - General [t] - Scope 3"/>
    <n v="13564156"/>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07-01T00:00:00"/>
    <s v="FY21"/>
    <s v="t"/>
    <n v="5.3999999999999999E-2"/>
    <n v="0"/>
    <n v="0"/>
    <n v="5.3999999999999999E-2"/>
    <n v="2"/>
    <n v="0"/>
    <n v="0"/>
    <n v="2"/>
    <n v="100"/>
    <n v="0"/>
    <n v="0"/>
    <s v="Consolidation"/>
    <s v="CO2e and Base Measure"/>
    <n v="100"/>
    <n v="100"/>
    <n v="0.05"/>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08-01T00:00:00"/>
    <s v="FY21"/>
    <s v="t"/>
    <n v="2.7E-2"/>
    <n v="0"/>
    <n v="0"/>
    <n v="2.7E-2"/>
    <n v="1"/>
    <n v="0"/>
    <n v="0"/>
    <n v="1"/>
    <n v="100"/>
    <n v="0"/>
    <n v="0"/>
    <s v="Consolidation"/>
    <s v="CO2e and Base Measure"/>
    <n v="100"/>
    <n v="100"/>
    <n v="0.03"/>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09-01T00:00:00"/>
    <s v="FY21"/>
    <s v="t"/>
    <n v="2E-3"/>
    <n v="0"/>
    <n v="0"/>
    <n v="2E-3"/>
    <n v="1"/>
    <n v="0"/>
    <n v="0"/>
    <n v="1"/>
    <n v="100"/>
    <n v="0"/>
    <n v="0"/>
    <s v="Consolidation"/>
    <s v="CO2e and Base Measure"/>
    <n v="100"/>
    <n v="100"/>
    <n v="0"/>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10-01T00:00:00"/>
    <s v="FY21"/>
    <s v="t"/>
    <n v="1.35E-2"/>
    <n v="0"/>
    <n v="0"/>
    <n v="1.35E-2"/>
    <n v="1"/>
    <n v="0"/>
    <n v="0"/>
    <n v="1"/>
    <n v="100"/>
    <n v="0"/>
    <n v="0"/>
    <s v="Consolidation"/>
    <s v="CO2e and Base Measure"/>
    <n v="100"/>
    <n v="100"/>
    <n v="0.01"/>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11-01T00:00:00"/>
    <s v="FY21"/>
    <s v="t"/>
    <n v="1.35E-2"/>
    <n v="0"/>
    <n v="0"/>
    <n v="1.35E-2"/>
    <n v="1"/>
    <n v="0"/>
    <n v="0"/>
    <n v="1"/>
    <n v="100"/>
    <n v="0"/>
    <n v="0"/>
    <s v="Consolidation"/>
    <s v="CO2e and Base Measure"/>
    <n v="100"/>
    <n v="100"/>
    <n v="0.01"/>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12-01T00:00:00"/>
    <s v="FY21"/>
    <s v="t"/>
    <n v="1.35E-2"/>
    <n v="0"/>
    <n v="0"/>
    <n v="1.35E-2"/>
    <n v="1"/>
    <n v="0"/>
    <n v="0"/>
    <n v="1"/>
    <n v="100"/>
    <n v="0"/>
    <n v="0"/>
    <s v="Consolidation"/>
    <s v="CO2e and Base Measure"/>
    <n v="100"/>
    <n v="100"/>
    <n v="0.01"/>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1-01T00:00:00"/>
    <s v="FY21"/>
    <s v="t"/>
    <n v="0"/>
    <n v="0"/>
    <n v="2.1700000000000001E-2"/>
    <n v="2.1700000000000001E-2"/>
    <n v="0"/>
    <n v="0"/>
    <n v="31"/>
    <n v="31"/>
    <n v="0"/>
    <n v="0"/>
    <n v="100"/>
    <s v="Consolidation"/>
    <s v="CO2e and Base Measure"/>
    <n v="100"/>
    <n v="100"/>
    <n v="0.02"/>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2-01T00:00:00"/>
    <s v="FY21"/>
    <s v="t"/>
    <n v="0"/>
    <n v="0"/>
    <n v="1.9599999999999999E-2"/>
    <n v="1.9599999999999999E-2"/>
    <n v="0"/>
    <n v="0"/>
    <n v="28"/>
    <n v="28"/>
    <n v="0"/>
    <n v="0"/>
    <n v="100"/>
    <s v="Consolidation"/>
    <s v="CO2e and Base Measure"/>
    <n v="100"/>
    <n v="100"/>
    <n v="0.02"/>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3-01T00:00:00"/>
    <s v="FY21"/>
    <s v="t"/>
    <n v="0"/>
    <n v="0"/>
    <n v="2.1700000000000001E-2"/>
    <n v="2.1700000000000001E-2"/>
    <n v="0"/>
    <n v="0"/>
    <n v="31"/>
    <n v="31"/>
    <n v="0"/>
    <n v="0"/>
    <n v="100"/>
    <s v="Consolidation"/>
    <s v="CO2e and Base Measure"/>
    <n v="100"/>
    <n v="100"/>
    <n v="0.02"/>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4-01T00:00:00"/>
    <s v="FY21"/>
    <s v="t"/>
    <n v="0"/>
    <n v="0"/>
    <n v="2.1000000000000001E-2"/>
    <n v="2.1000000000000001E-2"/>
    <n v="0"/>
    <n v="0"/>
    <n v="30"/>
    <n v="30"/>
    <n v="0"/>
    <n v="0"/>
    <n v="100"/>
    <s v="Consolidation"/>
    <s v="CO2e and Base Measure"/>
    <n v="100"/>
    <n v="100"/>
    <n v="0.02"/>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5-01T00:00:00"/>
    <s v="FY21"/>
    <s v="t"/>
    <n v="0"/>
    <n v="0"/>
    <n v="2.1700000000000001E-2"/>
    <n v="2.1700000000000001E-2"/>
    <n v="0"/>
    <n v="0"/>
    <n v="31"/>
    <n v="31"/>
    <n v="0"/>
    <n v="0"/>
    <n v="100"/>
    <s v="Consolidation"/>
    <s v="CO2e and Base Measure"/>
    <n v="100"/>
    <n v="100"/>
    <n v="0.02"/>
    <m/>
    <m/>
    <m/>
    <m/>
    <m/>
    <m/>
    <m/>
    <m/>
    <m/>
    <m/>
    <m/>
    <m/>
    <m/>
    <s v="AUD"/>
    <s v="13566610Waste Recycled - Paper and Cardboard [t]"/>
    <n v="13566610"/>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07-01T00:00:00"/>
    <s v="FY21"/>
    <s v="t"/>
    <n v="0"/>
    <n v="1.1100000000000001"/>
    <n v="0"/>
    <n v="1.1100000000000001"/>
    <n v="0"/>
    <n v="2"/>
    <n v="0"/>
    <n v="2"/>
    <n v="0"/>
    <n v="100"/>
    <n v="0"/>
    <s v="Consolidation"/>
    <s v="CO2e and Base Measure"/>
    <n v="100"/>
    <n v="100"/>
    <n v="1.1100000000000001"/>
    <m/>
    <m/>
    <m/>
    <m/>
    <m/>
    <n v="1.3320000000000001"/>
    <m/>
    <n v="1.3320000000000001"/>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08-01T00:00:00"/>
    <s v="FY21"/>
    <s v="t"/>
    <n v="0.6"/>
    <n v="0"/>
    <n v="0"/>
    <n v="0.6"/>
    <n v="2"/>
    <n v="0"/>
    <n v="0"/>
    <n v="2"/>
    <n v="100"/>
    <n v="0"/>
    <n v="0"/>
    <s v="Consolidation"/>
    <s v="CO2e and Base Measure"/>
    <n v="100"/>
    <n v="100"/>
    <n v="0.6"/>
    <m/>
    <m/>
    <m/>
    <m/>
    <m/>
    <n v="0.72"/>
    <m/>
    <n v="0.72"/>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09-01T00:00:00"/>
    <s v="FY21"/>
    <s v="t"/>
    <n v="1.1000000000000001"/>
    <n v="0"/>
    <n v="0"/>
    <n v="1.1000000000000001"/>
    <n v="4"/>
    <n v="0"/>
    <n v="0"/>
    <n v="4"/>
    <n v="100"/>
    <n v="0"/>
    <n v="0"/>
    <s v="Consolidation"/>
    <s v="CO2e and Base Measure"/>
    <n v="100"/>
    <n v="100"/>
    <n v="1.1000000000000001"/>
    <m/>
    <m/>
    <m/>
    <m/>
    <m/>
    <n v="1.32"/>
    <m/>
    <n v="1.32"/>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10-01T00:00:00"/>
    <s v="FY21"/>
    <s v="t"/>
    <n v="0.78"/>
    <n v="1.665"/>
    <n v="0"/>
    <n v="2.4449999999999998"/>
    <n v="2"/>
    <n v="2"/>
    <n v="0"/>
    <n v="4"/>
    <n v="31.9"/>
    <n v="68.09"/>
    <n v="0"/>
    <s v="Consolidation"/>
    <s v="CO2e and Base Measure"/>
    <n v="100"/>
    <n v="100"/>
    <n v="2.4500000000000002"/>
    <m/>
    <m/>
    <m/>
    <m/>
    <m/>
    <n v="2.9340000000000002"/>
    <m/>
    <n v="2.9340000000000002"/>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11-01T00:00:00"/>
    <s v="FY21"/>
    <s v="t"/>
    <n v="0.08"/>
    <n v="0"/>
    <n v="0"/>
    <n v="0.08"/>
    <n v="1"/>
    <n v="0"/>
    <n v="0"/>
    <n v="1"/>
    <n v="100"/>
    <n v="0"/>
    <n v="0"/>
    <s v="Consolidation"/>
    <s v="CO2e and Base Measure"/>
    <n v="100"/>
    <n v="100"/>
    <n v="0.08"/>
    <m/>
    <m/>
    <m/>
    <m/>
    <m/>
    <n v="9.6000000000000002E-2"/>
    <m/>
    <n v="9.6000000000000002E-2"/>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12-01T00:00:00"/>
    <s v="FY21"/>
    <s v="t"/>
    <n v="0"/>
    <n v="0"/>
    <n v="3.5099999999999999E-2"/>
    <n v="3.5099999999999999E-2"/>
    <n v="0"/>
    <n v="0"/>
    <n v="1"/>
    <n v="1"/>
    <n v="0"/>
    <n v="0"/>
    <n v="100"/>
    <s v="Consolidation"/>
    <s v="CO2e and Base Measure"/>
    <n v="100"/>
    <n v="100"/>
    <n v="0.04"/>
    <m/>
    <m/>
    <m/>
    <m/>
    <m/>
    <n v="4.2099999999999999E-2"/>
    <m/>
    <n v="4.2099999999999999E-2"/>
    <m/>
    <m/>
    <m/>
    <m/>
    <m/>
    <s v="AUD"/>
    <s v="13565769Waste - Construction and Demolition [t]"/>
    <n v="13565769"/>
  </r>
  <r>
    <d v="2019-07-01T00:00:00"/>
    <d v="2021-06-30T00:00:00"/>
    <s v="Telstra"/>
    <s v="NON-NETWORK"/>
    <s v="NON-NETWORK"/>
    <s v="QLD"/>
    <s v="Australia"/>
    <s v="Townsville"/>
    <s v="GARBUTT 31-33 CORPORATE CRES"/>
    <n v="423031641300"/>
    <s v="Recycled Waste"/>
    <x v="0"/>
    <x v="1"/>
    <s v="Account"/>
    <s v="Remondis Batteries - Mixed Recycled"/>
    <m/>
    <s v="423031641300_RBATTERY."/>
    <s v="BATTERIES - MIXED RECYCLED"/>
    <s v="Remondis"/>
    <m/>
    <m/>
    <d v="2021-01-01T00:00:00"/>
    <d v="2020-12-01T00:00:00"/>
    <s v="FY21"/>
    <s v="t"/>
    <n v="4.2000000000000003E-2"/>
    <n v="0"/>
    <n v="0"/>
    <n v="4.2000000000000003E-2"/>
    <n v="1"/>
    <n v="0"/>
    <n v="0"/>
    <n v="1"/>
    <n v="100"/>
    <n v="0"/>
    <n v="0"/>
    <s v="Consolidation"/>
    <s v="CO2e and Base Measure"/>
    <n v="100"/>
    <n v="100"/>
    <n v="0.04"/>
    <m/>
    <m/>
    <m/>
    <m/>
    <m/>
    <m/>
    <m/>
    <m/>
    <m/>
    <m/>
    <m/>
    <m/>
    <m/>
    <s v="AUD"/>
    <s v="13565770Waste Recycled - E-waste [t]"/>
    <n v="13565770"/>
  </r>
  <r>
    <d v="2019-07-01T00:00:00"/>
    <d v="2021-06-30T00:00:00"/>
    <s v="Telstra"/>
    <s v="NON-NETWORK"/>
    <s v="NON-NETWORK"/>
    <s v="QLD"/>
    <s v="Australia"/>
    <s v="Townsville"/>
    <s v="GARBUTT 31-33 CORPORATE CRES"/>
    <n v="423031641300"/>
    <s v="Recycled Waste"/>
    <x v="0"/>
    <x v="1"/>
    <s v="Account"/>
    <s v="Remondis Batteries - Mixed Recycled"/>
    <m/>
    <s v="423031641300_RBATTERY."/>
    <s v="BATTERIES - MIXED RECYCLED"/>
    <s v="Remondis"/>
    <m/>
    <m/>
    <d v="2021-01-01T00:00:00"/>
    <d v="2021-01-01T00:00:00"/>
    <s v="FY21"/>
    <s v="t"/>
    <n v="0"/>
    <n v="0"/>
    <n v="1.4E-3"/>
    <n v="1.4E-3"/>
    <n v="0"/>
    <n v="0"/>
    <n v="1"/>
    <n v="1"/>
    <n v="0"/>
    <n v="0"/>
    <n v="100"/>
    <s v="Consolidation"/>
    <s v="CO2e and Base Measure"/>
    <n v="100"/>
    <n v="100"/>
    <n v="0"/>
    <m/>
    <m/>
    <m/>
    <m/>
    <m/>
    <m/>
    <m/>
    <m/>
    <m/>
    <m/>
    <m/>
    <m/>
    <m/>
    <s v="AUD"/>
    <s v="13565770Waste Recycled - E-waste [t]"/>
    <n v="13565770"/>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771Waste Recycled - Cardboard [t]"/>
    <n v="13565771"/>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07-01T00:00:00"/>
    <s v="FY21"/>
    <s v="t"/>
    <n v="0"/>
    <n v="0.78"/>
    <n v="0"/>
    <n v="0.78"/>
    <n v="0"/>
    <n v="4"/>
    <n v="0"/>
    <n v="4"/>
    <n v="0"/>
    <n v="100"/>
    <n v="0"/>
    <s v="Consolidation"/>
    <s v="CO2e and Base Measure"/>
    <n v="100"/>
    <n v="100"/>
    <n v="0.78"/>
    <m/>
    <m/>
    <m/>
    <m/>
    <m/>
    <n v="1.014"/>
    <m/>
    <n v="1.014"/>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08-01T00:00:00"/>
    <s v="FY21"/>
    <s v="t"/>
    <n v="2.64"/>
    <n v="0.78"/>
    <n v="0"/>
    <n v="3.42"/>
    <n v="1"/>
    <n v="4"/>
    <n v="0"/>
    <n v="5"/>
    <n v="77.19"/>
    <n v="22.8"/>
    <n v="0"/>
    <s v="Consolidation"/>
    <s v="CO2e and Base Measure"/>
    <n v="100"/>
    <n v="100"/>
    <n v="3.42"/>
    <m/>
    <m/>
    <m/>
    <m/>
    <m/>
    <n v="4.4459999999999997"/>
    <m/>
    <n v="4.4459999999999997"/>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09-01T00:00:00"/>
    <s v="FY21"/>
    <s v="t"/>
    <n v="0"/>
    <n v="0.78"/>
    <n v="0"/>
    <n v="0.78"/>
    <n v="0"/>
    <n v="4"/>
    <n v="0"/>
    <n v="4"/>
    <n v="0"/>
    <n v="100"/>
    <n v="0"/>
    <s v="Consolidation"/>
    <s v="CO2e and Base Measure"/>
    <n v="100"/>
    <n v="100"/>
    <n v="0.78"/>
    <m/>
    <m/>
    <m/>
    <m/>
    <m/>
    <n v="1.014"/>
    <m/>
    <n v="1.014"/>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11-01T00:00:00"/>
    <s v="FY21"/>
    <s v="t"/>
    <n v="0"/>
    <n v="0.78"/>
    <n v="0"/>
    <n v="0.78"/>
    <n v="0"/>
    <n v="4"/>
    <n v="0"/>
    <n v="4"/>
    <n v="0"/>
    <n v="100"/>
    <n v="0"/>
    <s v="Consolidation"/>
    <s v="CO2e and Base Measure"/>
    <n v="100"/>
    <n v="100"/>
    <n v="0.78"/>
    <m/>
    <m/>
    <m/>
    <m/>
    <m/>
    <n v="1.014"/>
    <m/>
    <n v="1.014"/>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12-01T00:00:00"/>
    <s v="FY21"/>
    <s v="t"/>
    <n v="0"/>
    <n v="0"/>
    <n v="4.1300000000000003E-2"/>
    <n v="4.1300000000000003E-2"/>
    <n v="0"/>
    <n v="0"/>
    <n v="1"/>
    <n v="1"/>
    <n v="0"/>
    <n v="0"/>
    <n v="100"/>
    <s v="Consolidation"/>
    <s v="CO2e and Base Measure"/>
    <n v="100"/>
    <n v="100"/>
    <n v="0.04"/>
    <m/>
    <m/>
    <m/>
    <m/>
    <m/>
    <n v="5.3699999999999998E-2"/>
    <m/>
    <n v="5.3699999999999998E-2"/>
    <m/>
    <m/>
    <m/>
    <m/>
    <m/>
    <s v="AUD"/>
    <s v="13565772Waste - General [t] - Scope 3"/>
    <n v="13565772"/>
  </r>
  <r>
    <d v="2019-07-01T00:00:00"/>
    <d v="2021-06-30T00:00:00"/>
    <s v="Telstra"/>
    <s v="NON-NETWORK"/>
    <s v="NON-NETWORK"/>
    <s v="QLD"/>
    <s v="Australia"/>
    <s v="Townsville"/>
    <s v="GARBUTT 31-33 CORPORATE CRES"/>
    <n v="423031641300"/>
    <s v="Recycled Waste"/>
    <x v="0"/>
    <x v="5"/>
    <s v="Account"/>
    <s v="Remondis Metal - Mixed All"/>
    <m/>
    <s v="423031641300_RMETMIXED"/>
    <s v="METAL - MIXED ALL"/>
    <s v="Remondis"/>
    <m/>
    <m/>
    <d v="2021-01-01T00:00:00"/>
    <d v="2020-12-01T00:00:00"/>
    <s v="FY21"/>
    <s v="t"/>
    <n v="0.42399999999999999"/>
    <n v="0"/>
    <n v="0"/>
    <n v="0.42399999999999999"/>
    <n v="1"/>
    <n v="0"/>
    <n v="0"/>
    <n v="1"/>
    <n v="100"/>
    <n v="0"/>
    <n v="0"/>
    <s v="Consolidation"/>
    <s v="CO2e and Base Measure"/>
    <n v="100"/>
    <n v="100"/>
    <n v="0.42"/>
    <m/>
    <m/>
    <m/>
    <m/>
    <m/>
    <m/>
    <m/>
    <m/>
    <m/>
    <m/>
    <m/>
    <m/>
    <m/>
    <s v="AUD"/>
    <s v="13565773Waste Recycled - Construction and Demolition [t]"/>
    <n v="13565773"/>
  </r>
  <r>
    <d v="2019-07-01T00:00:00"/>
    <d v="2021-06-30T00:00:00"/>
    <s v="Telstra"/>
    <s v="NON-NETWORK"/>
    <s v="NON-NETWORK"/>
    <s v="QLD"/>
    <s v="Australia"/>
    <s v="Townsville"/>
    <s v="GARBUTT 31-33 CORPORATE CRES"/>
    <n v="423031641300"/>
    <s v="Recycled Waste"/>
    <x v="0"/>
    <x v="5"/>
    <s v="Account"/>
    <s v="Remondis Metal - Mixed All"/>
    <m/>
    <s v="423031641300_RMETMIXED"/>
    <s v="METAL - MIXED ALL"/>
    <s v="Remondis"/>
    <m/>
    <m/>
    <d v="2021-01-01T00:00:00"/>
    <d v="2021-01-01T00:00:00"/>
    <s v="FY21"/>
    <s v="t"/>
    <n v="0"/>
    <n v="0"/>
    <n v="1.41E-2"/>
    <n v="1.41E-2"/>
    <n v="0"/>
    <n v="0"/>
    <n v="1"/>
    <n v="1"/>
    <n v="0"/>
    <n v="0"/>
    <n v="100"/>
    <s v="Consolidation"/>
    <s v="CO2e and Base Measure"/>
    <n v="100"/>
    <n v="100"/>
    <n v="0.01"/>
    <m/>
    <m/>
    <m/>
    <m/>
    <m/>
    <m/>
    <m/>
    <m/>
    <m/>
    <m/>
    <m/>
    <m/>
    <m/>
    <s v="AUD"/>
    <s v="13565773Waste Recycled - Construction and Demolition [t]"/>
    <n v="1356577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0-12-01T00:00:00"/>
    <s v="FY21"/>
    <s v="t"/>
    <n v="1.1200000000000001"/>
    <n v="0"/>
    <n v="0"/>
    <n v="1.1200000000000001"/>
    <n v="4"/>
    <n v="0"/>
    <n v="0"/>
    <n v="4"/>
    <n v="100"/>
    <n v="0"/>
    <n v="0"/>
    <s v="Consolidation"/>
    <s v="CO2e and Base Measure"/>
    <n v="100"/>
    <n v="100"/>
    <n v="1.1200000000000001"/>
    <m/>
    <m/>
    <m/>
    <m/>
    <m/>
    <n v="1.3440000000000001"/>
    <m/>
    <n v="1.3440000000000001"/>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1-01T00:00:00"/>
    <s v="FY21"/>
    <s v="t"/>
    <n v="0.25"/>
    <n v="0"/>
    <n v="0"/>
    <n v="0.25"/>
    <n v="1"/>
    <n v="0"/>
    <n v="0"/>
    <n v="1"/>
    <n v="100"/>
    <n v="0"/>
    <n v="0"/>
    <s v="Consolidation"/>
    <s v="CO2e and Base Measure"/>
    <n v="100"/>
    <n v="100"/>
    <n v="0.25"/>
    <m/>
    <m/>
    <m/>
    <m/>
    <m/>
    <n v="0.3"/>
    <m/>
    <n v="0.3"/>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2-01T00:00:00"/>
    <s v="FY21"/>
    <s v="t"/>
    <n v="0.88"/>
    <n v="0"/>
    <n v="0"/>
    <n v="0.88"/>
    <n v="3"/>
    <n v="0"/>
    <n v="0"/>
    <n v="3"/>
    <n v="100"/>
    <n v="0"/>
    <n v="0"/>
    <s v="Consolidation"/>
    <s v="CO2e and Base Measure"/>
    <n v="100"/>
    <n v="100"/>
    <n v="0.88"/>
    <m/>
    <m/>
    <m/>
    <m/>
    <m/>
    <n v="1.056"/>
    <m/>
    <n v="1.056"/>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3-01T00:00:00"/>
    <s v="FY21"/>
    <s v="t"/>
    <n v="1.34"/>
    <n v="0"/>
    <n v="0"/>
    <n v="1.34"/>
    <n v="4"/>
    <n v="0"/>
    <n v="0"/>
    <n v="4"/>
    <n v="100"/>
    <n v="0"/>
    <n v="0"/>
    <s v="Consolidation"/>
    <s v="CO2e and Base Measure"/>
    <n v="100"/>
    <n v="100"/>
    <n v="1.34"/>
    <m/>
    <m/>
    <m/>
    <m/>
    <m/>
    <n v="1.6080000000000001"/>
    <m/>
    <n v="1.6080000000000001"/>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4-01T00:00:00"/>
    <s v="FY21"/>
    <s v="t"/>
    <n v="0"/>
    <n v="0"/>
    <n v="0.89700000000000002"/>
    <n v="0.89700000000000002"/>
    <n v="0"/>
    <n v="0"/>
    <n v="30"/>
    <n v="30"/>
    <n v="0"/>
    <n v="0"/>
    <n v="100"/>
    <s v="Consolidation"/>
    <s v="CO2e and Base Measure"/>
    <n v="100"/>
    <n v="100"/>
    <n v="0.9"/>
    <m/>
    <m/>
    <m/>
    <m/>
    <m/>
    <n v="1.0764"/>
    <m/>
    <n v="1.0764"/>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5-01T00:00:00"/>
    <s v="FY21"/>
    <s v="t"/>
    <n v="0"/>
    <n v="0"/>
    <n v="0.92689999999999995"/>
    <n v="0.92689999999999995"/>
    <n v="0"/>
    <n v="0"/>
    <n v="31"/>
    <n v="31"/>
    <n v="0"/>
    <n v="0"/>
    <n v="100"/>
    <s v="Consolidation"/>
    <s v="CO2e and Base Measure"/>
    <n v="100"/>
    <n v="100"/>
    <n v="0.93"/>
    <m/>
    <m/>
    <m/>
    <m/>
    <m/>
    <n v="1.1123000000000001"/>
    <m/>
    <n v="1.1123000000000001"/>
    <m/>
    <m/>
    <m/>
    <m/>
    <m/>
    <s v="AUD"/>
    <s v="13634363Waste - Construction and Demolition [t]"/>
    <n v="13634363"/>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0-12-01T00:00:00"/>
    <s v="FY21"/>
    <s v="t"/>
    <n v="0.109"/>
    <n v="0"/>
    <n v="0"/>
    <n v="0.109"/>
    <n v="1"/>
    <n v="0"/>
    <n v="0"/>
    <n v="1"/>
    <n v="100"/>
    <n v="0"/>
    <n v="0"/>
    <s v="Consolidation"/>
    <s v="CO2e and Base Measure"/>
    <n v="100"/>
    <n v="100"/>
    <n v="0.11"/>
    <m/>
    <m/>
    <m/>
    <m/>
    <m/>
    <n v="0.14169999999999999"/>
    <m/>
    <n v="0.14169999999999999"/>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1-01T00:00:00"/>
    <s v="FY21"/>
    <s v="t"/>
    <n v="0.46"/>
    <n v="0"/>
    <n v="0"/>
    <n v="0.46"/>
    <n v="1"/>
    <n v="0"/>
    <n v="0"/>
    <n v="1"/>
    <n v="100"/>
    <n v="0"/>
    <n v="0"/>
    <s v="Consolidation"/>
    <s v="CO2e and Base Measure"/>
    <n v="100"/>
    <n v="100"/>
    <n v="0.46"/>
    <m/>
    <m/>
    <m/>
    <m/>
    <m/>
    <n v="0.59799999999999998"/>
    <m/>
    <n v="0.59799999999999998"/>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2-01T00:00:00"/>
    <s v="FY21"/>
    <s v="t"/>
    <n v="0.49"/>
    <n v="0"/>
    <n v="0"/>
    <n v="0.49"/>
    <n v="2"/>
    <n v="0"/>
    <n v="0"/>
    <n v="2"/>
    <n v="100"/>
    <n v="0"/>
    <n v="0"/>
    <s v="Consolidation"/>
    <s v="CO2e and Base Measure"/>
    <n v="100"/>
    <n v="100"/>
    <n v="0.49"/>
    <m/>
    <m/>
    <m/>
    <m/>
    <m/>
    <n v="0.63700000000000001"/>
    <m/>
    <n v="0.63700000000000001"/>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3-01T00:00:00"/>
    <s v="FY21"/>
    <s v="t"/>
    <n v="0.94599999999999995"/>
    <n v="0"/>
    <n v="0"/>
    <n v="0.94599999999999995"/>
    <n v="3"/>
    <n v="0"/>
    <n v="0"/>
    <n v="3"/>
    <n v="100"/>
    <n v="0"/>
    <n v="0"/>
    <s v="Consolidation"/>
    <s v="CO2e and Base Measure"/>
    <n v="100"/>
    <n v="100"/>
    <n v="0.95"/>
    <m/>
    <m/>
    <m/>
    <m/>
    <m/>
    <n v="1.2298"/>
    <m/>
    <n v="1.2298"/>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4-01T00:00:00"/>
    <s v="FY21"/>
    <s v="t"/>
    <n v="0"/>
    <n v="0"/>
    <n v="0.501"/>
    <n v="0.501"/>
    <n v="0"/>
    <n v="0"/>
    <n v="30"/>
    <n v="30"/>
    <n v="0"/>
    <n v="0"/>
    <n v="100"/>
    <s v="Consolidation"/>
    <s v="CO2e and Base Measure"/>
    <n v="100"/>
    <n v="100"/>
    <n v="0.5"/>
    <m/>
    <m/>
    <m/>
    <m/>
    <m/>
    <n v="0.65129999999999999"/>
    <m/>
    <n v="0.65129999999999999"/>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5-01T00:00:00"/>
    <s v="FY21"/>
    <s v="t"/>
    <n v="0"/>
    <n v="0"/>
    <n v="0.51770000000000005"/>
    <n v="0.51770000000000005"/>
    <n v="0"/>
    <n v="0"/>
    <n v="31"/>
    <n v="31"/>
    <n v="0"/>
    <n v="0"/>
    <n v="100"/>
    <s v="Consolidation"/>
    <s v="CO2e and Base Measure"/>
    <n v="100"/>
    <n v="100"/>
    <n v="0.52"/>
    <m/>
    <m/>
    <m/>
    <m/>
    <m/>
    <n v="0.67300000000000004"/>
    <m/>
    <n v="0.67300000000000004"/>
    <m/>
    <m/>
    <m/>
    <m/>
    <m/>
    <s v="AUD"/>
    <s v="13634364Waste - General [t] - Scope 3"/>
    <n v="13634364"/>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0-12-01T00:00:00"/>
    <s v="FY21"/>
    <s v="t"/>
    <n v="7.9000000000000001E-2"/>
    <n v="0"/>
    <n v="0"/>
    <n v="7.9000000000000001E-2"/>
    <n v="4"/>
    <n v="0"/>
    <n v="0"/>
    <n v="4"/>
    <n v="100"/>
    <n v="0"/>
    <n v="0"/>
    <s v="Consolidation"/>
    <s v="CO2e and Base Measure"/>
    <n v="100"/>
    <n v="100"/>
    <n v="0.08"/>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1-01T00:00:00"/>
    <s v="FY21"/>
    <s v="t"/>
    <n v="8.7999999999999995E-2"/>
    <n v="7.4999999999999997E-2"/>
    <n v="0"/>
    <n v="0.16300000000000001"/>
    <n v="3"/>
    <n v="1"/>
    <n v="0"/>
    <n v="4"/>
    <n v="53.98"/>
    <n v="46.01"/>
    <n v="0"/>
    <s v="Consolidation"/>
    <s v="CO2e and Base Measure"/>
    <n v="100"/>
    <n v="100"/>
    <n v="0.16"/>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2-01T00:00:00"/>
    <s v="FY21"/>
    <s v="t"/>
    <n v="0.23"/>
    <n v="0.22500000000000001"/>
    <n v="0"/>
    <n v="0.45500000000000002"/>
    <n v="1"/>
    <n v="3"/>
    <n v="0"/>
    <n v="4"/>
    <n v="50.54"/>
    <n v="49.45"/>
    <n v="0"/>
    <s v="Consolidation"/>
    <s v="CO2e and Base Measure"/>
    <n v="100"/>
    <n v="100"/>
    <n v="0.46"/>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3-01T00:00:00"/>
    <s v="FY21"/>
    <s v="t"/>
    <n v="3.9E-2"/>
    <n v="0.22500000000000001"/>
    <n v="0"/>
    <n v="0.26400000000000001"/>
    <n v="2"/>
    <n v="3"/>
    <n v="0"/>
    <n v="5"/>
    <n v="14.77"/>
    <n v="85.22"/>
    <n v="0"/>
    <s v="Consolidation"/>
    <s v="CO2e and Base Measure"/>
    <n v="100"/>
    <n v="100"/>
    <n v="0.26"/>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4-01T00:00:00"/>
    <s v="FY21"/>
    <s v="t"/>
    <n v="0"/>
    <n v="0"/>
    <n v="0.24"/>
    <n v="0.24"/>
    <n v="0"/>
    <n v="0"/>
    <n v="30"/>
    <n v="30"/>
    <n v="0"/>
    <n v="0"/>
    <n v="100"/>
    <s v="Consolidation"/>
    <s v="CO2e and Base Measure"/>
    <n v="100"/>
    <n v="100"/>
    <n v="0.24"/>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5-01T00:00:00"/>
    <s v="FY21"/>
    <s v="t"/>
    <n v="0"/>
    <n v="0"/>
    <n v="0.248"/>
    <n v="0.248"/>
    <n v="0"/>
    <n v="0"/>
    <n v="31"/>
    <n v="31"/>
    <n v="0"/>
    <n v="0"/>
    <n v="100"/>
    <s v="Consolidation"/>
    <s v="CO2e and Base Measure"/>
    <n v="100"/>
    <n v="100"/>
    <n v="0.25"/>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5"/>
    <s v="Account"/>
    <s v="CLEANAWAY Metal - Diversion"/>
    <m/>
    <s v="31641300_Diversion_Metal"/>
    <s v="Metal - Diversion"/>
    <s v="Cleanaway"/>
    <m/>
    <d v="2021-01-14T00:00:00"/>
    <m/>
    <d v="2021-01-01T00:00:00"/>
    <s v="FY21"/>
    <s v="t"/>
    <n v="7.6999999999999999E-2"/>
    <n v="0"/>
    <n v="0"/>
    <n v="7.6999999999999999E-2"/>
    <n v="1"/>
    <n v="0"/>
    <n v="0"/>
    <n v="1"/>
    <n v="100"/>
    <n v="0"/>
    <n v="0"/>
    <s v="Consolidation"/>
    <s v="CO2e and Base Measure"/>
    <n v="100"/>
    <n v="100"/>
    <n v="0.08"/>
    <m/>
    <m/>
    <m/>
    <m/>
    <m/>
    <m/>
    <m/>
    <m/>
    <m/>
    <m/>
    <m/>
    <m/>
    <m/>
    <s v="AUD"/>
    <s v="13634517Waste Recycled - Construction and Demolition [t]"/>
    <n v="13634517"/>
  </r>
  <r>
    <d v="2019-07-01T00:00:00"/>
    <d v="2021-06-30T00:00:00"/>
    <s v="Telstra"/>
    <s v="NON-NETWORK"/>
    <s v="NON-NETWORK"/>
    <s v="QLD"/>
    <s v="Australia"/>
    <s v="Townsville"/>
    <s v="GARBUTT 31-33 CORPORATE CRES"/>
    <n v="423031641300"/>
    <s v="Recycled Waste"/>
    <x v="0"/>
    <x v="5"/>
    <s v="Account"/>
    <s v="CLEANAWAY Metal - Diversion"/>
    <m/>
    <s v="31641300_Diversion_Metal"/>
    <s v="Metal - Diversion"/>
    <s v="Cleanaway"/>
    <m/>
    <d v="2021-01-14T00:00:00"/>
    <m/>
    <d v="2021-03-01T00:00:00"/>
    <s v="FY21"/>
    <s v="t"/>
    <n v="1.08"/>
    <n v="0"/>
    <n v="0"/>
    <n v="1.08"/>
    <n v="1"/>
    <n v="0"/>
    <n v="0"/>
    <n v="1"/>
    <n v="100"/>
    <n v="0"/>
    <n v="0"/>
    <s v="Consolidation"/>
    <s v="CO2e and Base Measure"/>
    <n v="100"/>
    <n v="100"/>
    <n v="1.08"/>
    <m/>
    <m/>
    <m/>
    <m/>
    <m/>
    <m/>
    <m/>
    <m/>
    <m/>
    <m/>
    <m/>
    <m/>
    <m/>
    <s v="AUD"/>
    <s v="13634517Waste Recycled - Construction and Demolition [t]"/>
    <n v="13634517"/>
  </r>
  <r>
    <d v="2019-07-01T00:00:00"/>
    <d v="2021-06-30T00:00:00"/>
    <s v="Telstra"/>
    <s v="NON-NETWORK"/>
    <s v="NON-NETWORK"/>
    <s v="QLD"/>
    <s v="Australia"/>
    <s v="Townsville"/>
    <s v="GARBUTT 31-33 CORPORATE CRES"/>
    <n v="423031641300"/>
    <s v="Recycled Waste"/>
    <x v="0"/>
    <x v="5"/>
    <s v="Account"/>
    <s v="CLEANAWAY Metal - Diversion"/>
    <m/>
    <s v="31641300_Diversion_Metal"/>
    <s v="Metal - Diversion"/>
    <s v="Cleanaway"/>
    <m/>
    <d v="2021-01-14T00:00:00"/>
    <m/>
    <d v="2021-04-01T00:00:00"/>
    <s v="FY21"/>
    <s v="t"/>
    <n v="0"/>
    <n v="0"/>
    <n v="0.39"/>
    <n v="0.39"/>
    <n v="0"/>
    <n v="0"/>
    <n v="30"/>
    <n v="30"/>
    <n v="0"/>
    <n v="0"/>
    <n v="100"/>
    <s v="Consolidation"/>
    <s v="CO2e and Base Measure"/>
    <n v="100"/>
    <n v="100"/>
    <n v="0.39"/>
    <m/>
    <m/>
    <m/>
    <m/>
    <m/>
    <m/>
    <m/>
    <m/>
    <m/>
    <m/>
    <m/>
    <m/>
    <m/>
    <s v="AUD"/>
    <s v="13634517Waste Recycled - Construction and Demolition [t]"/>
    <n v="13634517"/>
  </r>
  <r>
    <d v="2019-07-01T00:00:00"/>
    <d v="2021-06-30T00:00:00"/>
    <s v="Telstra"/>
    <s v="NON-NETWORK"/>
    <s v="NON-NETWORK"/>
    <s v="QLD"/>
    <s v="Australia"/>
    <s v="Townsville"/>
    <s v="GARBUTT 31-33 CORPORATE CRES"/>
    <n v="423031641300"/>
    <s v="Recycled Waste"/>
    <x v="0"/>
    <x v="5"/>
    <s v="Account"/>
    <s v="CLEANAWAY Metal - Diversion"/>
    <m/>
    <s v="31641300_Diversion_Metal"/>
    <s v="Metal - Diversion"/>
    <s v="Cleanaway"/>
    <m/>
    <d v="2021-01-14T00:00:00"/>
    <m/>
    <d v="2021-05-01T00:00:00"/>
    <s v="FY21"/>
    <s v="t"/>
    <n v="0"/>
    <n v="0"/>
    <n v="0.40300000000000002"/>
    <n v="0.40300000000000002"/>
    <n v="0"/>
    <n v="0"/>
    <n v="31"/>
    <n v="31"/>
    <n v="0"/>
    <n v="0"/>
    <n v="100"/>
    <s v="Consolidation"/>
    <s v="CO2e and Base Measure"/>
    <n v="100"/>
    <n v="100"/>
    <n v="0.4"/>
    <m/>
    <m/>
    <m/>
    <m/>
    <m/>
    <m/>
    <m/>
    <m/>
    <m/>
    <m/>
    <m/>
    <m/>
    <m/>
    <s v="AUD"/>
    <s v="13634517Waste Recycled - Construction and Demolition [t]"/>
    <n v="1363451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157Waste - General [t] - Scope 3"/>
    <n v="13564157"/>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9873Waste - General [t] - Scope 3"/>
    <n v="13639873"/>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2-01T00:00:00"/>
    <s v="FY21"/>
    <s v="t"/>
    <n v="2.8000000000000001E-2"/>
    <n v="0"/>
    <n v="0"/>
    <n v="2.8000000000000001E-2"/>
    <n v="1"/>
    <n v="0"/>
    <n v="0"/>
    <n v="1"/>
    <n v="100"/>
    <n v="0"/>
    <n v="0"/>
    <s v="Consolidation"/>
    <s v="CO2e and Base Measure"/>
    <n v="100"/>
    <n v="100"/>
    <n v="0.03"/>
    <m/>
    <m/>
    <m/>
    <m/>
    <m/>
    <n v="3.6400000000000002E-2"/>
    <m/>
    <n v="3.6400000000000002E-2"/>
    <m/>
    <m/>
    <m/>
    <m/>
    <m/>
    <s v="AUD"/>
    <s v="13639873Waste - General [t] - Scope 3"/>
    <n v="13639873"/>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3-01T00:00:00"/>
    <s v="FY21"/>
    <s v="t"/>
    <n v="0.14000000000000001"/>
    <n v="0"/>
    <n v="0"/>
    <n v="0.14000000000000001"/>
    <n v="1"/>
    <n v="0"/>
    <n v="0"/>
    <n v="1"/>
    <n v="100"/>
    <n v="0"/>
    <n v="0"/>
    <s v="Consolidation"/>
    <s v="CO2e and Base Measure"/>
    <n v="100"/>
    <n v="100"/>
    <n v="0.14000000000000001"/>
    <m/>
    <m/>
    <m/>
    <m/>
    <m/>
    <n v="0.182"/>
    <m/>
    <n v="0.182"/>
    <m/>
    <m/>
    <m/>
    <m/>
    <m/>
    <s v="AUD"/>
    <s v="13639873Waste - General [t] - Scope 3"/>
    <n v="13639873"/>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4-01T00:00:00"/>
    <s v="FY21"/>
    <s v="t"/>
    <n v="0"/>
    <n v="0"/>
    <n v="0.10199999999999999"/>
    <n v="0.10199999999999999"/>
    <n v="0"/>
    <n v="0"/>
    <n v="30"/>
    <n v="30"/>
    <n v="0"/>
    <n v="0"/>
    <n v="100"/>
    <s v="Consolidation"/>
    <s v="CO2e and Base Measure"/>
    <n v="100"/>
    <n v="100"/>
    <n v="0.1"/>
    <m/>
    <m/>
    <m/>
    <m/>
    <m/>
    <n v="0.1326"/>
    <m/>
    <n v="0.1326"/>
    <m/>
    <m/>
    <m/>
    <m/>
    <m/>
    <s v="AUD"/>
    <s v="13639873Waste - General [t] - Scope 3"/>
    <n v="13639873"/>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5-01T00:00:00"/>
    <s v="FY21"/>
    <s v="t"/>
    <n v="0"/>
    <n v="0"/>
    <n v="0.10539999999999999"/>
    <n v="0.10539999999999999"/>
    <n v="0"/>
    <n v="0"/>
    <n v="31"/>
    <n v="31"/>
    <n v="0"/>
    <n v="0"/>
    <n v="100"/>
    <s v="Consolidation"/>
    <s v="CO2e and Base Measure"/>
    <n v="100"/>
    <n v="100"/>
    <n v="0.11"/>
    <m/>
    <m/>
    <m/>
    <m/>
    <m/>
    <n v="0.13700000000000001"/>
    <m/>
    <n v="0.13700000000000001"/>
    <m/>
    <m/>
    <m/>
    <m/>
    <m/>
    <s v="AUD"/>
    <s v="13639873Waste - General [t] - Scope 3"/>
    <n v="13639873"/>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07-01T00:00:00"/>
    <s v="FY21"/>
    <s v="t"/>
    <n v="0"/>
    <n v="0.78"/>
    <n v="0"/>
    <n v="0.78"/>
    <n v="0"/>
    <n v="8"/>
    <n v="0"/>
    <n v="8"/>
    <n v="0"/>
    <n v="100"/>
    <n v="0"/>
    <s v="Consolidation"/>
    <s v="CO2e and Base Measure"/>
    <n v="100"/>
    <n v="100"/>
    <n v="0.78"/>
    <m/>
    <m/>
    <m/>
    <m/>
    <m/>
    <n v="1.014"/>
    <m/>
    <n v="1.014"/>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08-01T00:00:00"/>
    <s v="FY21"/>
    <s v="t"/>
    <n v="0"/>
    <n v="0.78"/>
    <n v="0"/>
    <n v="0.78"/>
    <n v="0"/>
    <n v="8"/>
    <n v="0"/>
    <n v="8"/>
    <n v="0"/>
    <n v="100"/>
    <n v="0"/>
    <s v="Consolidation"/>
    <s v="CO2e and Base Measure"/>
    <n v="100"/>
    <n v="100"/>
    <n v="0.78"/>
    <m/>
    <m/>
    <m/>
    <m/>
    <m/>
    <n v="1.014"/>
    <m/>
    <n v="1.014"/>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09-01T00:00:00"/>
    <s v="FY21"/>
    <s v="t"/>
    <n v="0"/>
    <n v="0.6825"/>
    <n v="0"/>
    <n v="0.6825"/>
    <n v="0"/>
    <n v="7"/>
    <n v="0"/>
    <n v="7"/>
    <n v="0"/>
    <n v="100"/>
    <n v="0"/>
    <s v="Consolidation"/>
    <s v="CO2e and Base Measure"/>
    <n v="100"/>
    <n v="100"/>
    <n v="0.68"/>
    <m/>
    <m/>
    <m/>
    <m/>
    <m/>
    <n v="0.88729999999999998"/>
    <m/>
    <n v="0.88729999999999998"/>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10-01T00:00:00"/>
    <s v="FY21"/>
    <s v="t"/>
    <n v="0"/>
    <n v="0.87749999999999995"/>
    <n v="0"/>
    <n v="0.87749999999999995"/>
    <n v="0"/>
    <n v="9"/>
    <n v="0"/>
    <n v="9"/>
    <n v="0"/>
    <n v="100"/>
    <n v="0"/>
    <s v="Consolidation"/>
    <s v="CO2e and Base Measure"/>
    <n v="100"/>
    <n v="100"/>
    <n v="0.88"/>
    <m/>
    <m/>
    <m/>
    <m/>
    <m/>
    <n v="1.1408"/>
    <m/>
    <n v="1.1408"/>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11-01T00:00:00"/>
    <s v="FY21"/>
    <s v="t"/>
    <n v="0"/>
    <n v="0.78"/>
    <n v="0"/>
    <n v="0.78"/>
    <n v="0"/>
    <n v="8"/>
    <n v="0"/>
    <n v="8"/>
    <n v="0"/>
    <n v="100"/>
    <n v="0"/>
    <s v="Consolidation"/>
    <s v="CO2e and Base Measure"/>
    <n v="100"/>
    <n v="100"/>
    <n v="0.78"/>
    <m/>
    <m/>
    <m/>
    <m/>
    <m/>
    <n v="1.014"/>
    <m/>
    <n v="1.014"/>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12-01T00:00:00"/>
    <s v="FY21"/>
    <s v="t"/>
    <n v="0"/>
    <n v="0.29249999999999998"/>
    <n v="0"/>
    <n v="0.29249999999999998"/>
    <n v="0"/>
    <n v="3"/>
    <n v="0"/>
    <n v="3"/>
    <n v="0"/>
    <n v="100"/>
    <n v="0"/>
    <s v="Consolidation"/>
    <s v="CO2e and Base Measure"/>
    <n v="100"/>
    <n v="100"/>
    <n v="0.28999999999999998"/>
    <m/>
    <m/>
    <m/>
    <m/>
    <m/>
    <n v="0.38030000000000003"/>
    <m/>
    <n v="0.38030000000000003"/>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1-01-01T00:00:00"/>
    <s v="FY21"/>
    <s v="t"/>
    <n v="0"/>
    <n v="0"/>
    <n v="2.29E-2"/>
    <n v="2.29E-2"/>
    <n v="0"/>
    <n v="0"/>
    <n v="1"/>
    <n v="1"/>
    <n v="0"/>
    <n v="0"/>
    <n v="100"/>
    <s v="Consolidation"/>
    <s v="CO2e and Base Measure"/>
    <n v="100"/>
    <n v="100"/>
    <n v="0.02"/>
    <m/>
    <m/>
    <m/>
    <m/>
    <m/>
    <n v="2.98E-2"/>
    <m/>
    <n v="2.98E-2"/>
    <m/>
    <m/>
    <m/>
    <m/>
    <m/>
    <s v="AUD"/>
    <s v="13564785Waste - General [t] - Scope 3"/>
    <n v="1356478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0-12-01T00:00:00"/>
    <s v="FY21"/>
    <s v="t"/>
    <n v="0.16600000000000001"/>
    <n v="0"/>
    <n v="0"/>
    <n v="0.16600000000000001"/>
    <n v="2"/>
    <n v="0"/>
    <n v="0"/>
    <n v="2"/>
    <n v="100"/>
    <n v="0"/>
    <n v="0"/>
    <s v="Consolidation"/>
    <s v="CO2e and Base Measure"/>
    <n v="100"/>
    <n v="100"/>
    <n v="0.17"/>
    <m/>
    <m/>
    <m/>
    <m/>
    <m/>
    <n v="0.21579999999999999"/>
    <m/>
    <n v="0.21579999999999999"/>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1-01T00:00:00"/>
    <s v="FY21"/>
    <s v="t"/>
    <n v="0.249"/>
    <n v="0"/>
    <n v="0"/>
    <n v="0.249"/>
    <n v="2"/>
    <n v="0"/>
    <n v="0"/>
    <n v="2"/>
    <n v="100"/>
    <n v="0"/>
    <n v="0"/>
    <s v="Consolidation"/>
    <s v="CO2e and Base Measure"/>
    <n v="100"/>
    <n v="100"/>
    <n v="0.25"/>
    <m/>
    <m/>
    <m/>
    <m/>
    <m/>
    <n v="0.32369999999999999"/>
    <m/>
    <n v="0.32369999999999999"/>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2-01T00:00:00"/>
    <s v="FY21"/>
    <s v="t"/>
    <n v="0.16800000000000001"/>
    <n v="0"/>
    <n v="0"/>
    <n v="0.16800000000000001"/>
    <n v="2"/>
    <n v="0"/>
    <n v="0"/>
    <n v="2"/>
    <n v="100"/>
    <n v="0"/>
    <n v="0"/>
    <s v="Consolidation"/>
    <s v="CO2e and Base Measure"/>
    <n v="100"/>
    <n v="100"/>
    <n v="0.17"/>
    <m/>
    <m/>
    <m/>
    <m/>
    <m/>
    <n v="0.21840000000000001"/>
    <m/>
    <n v="0.21840000000000001"/>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3-01T00:00:00"/>
    <s v="FY21"/>
    <s v="t"/>
    <n v="0.32"/>
    <n v="0"/>
    <n v="0"/>
    <n v="0.32"/>
    <n v="3"/>
    <n v="0"/>
    <n v="0"/>
    <n v="3"/>
    <n v="100"/>
    <n v="0"/>
    <n v="0"/>
    <s v="Consolidation"/>
    <s v="CO2e and Base Measure"/>
    <n v="100"/>
    <n v="100"/>
    <n v="0.32"/>
    <m/>
    <m/>
    <m/>
    <m/>
    <m/>
    <n v="0.41599999999999998"/>
    <m/>
    <n v="0.41599999999999998"/>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4-01T00:00:00"/>
    <s v="FY21"/>
    <s v="t"/>
    <n v="0"/>
    <n v="0"/>
    <n v="0.22500000000000001"/>
    <n v="0.22500000000000001"/>
    <n v="0"/>
    <n v="0"/>
    <n v="30"/>
    <n v="30"/>
    <n v="0"/>
    <n v="0"/>
    <n v="100"/>
    <s v="Consolidation"/>
    <s v="CO2e and Base Measure"/>
    <n v="100"/>
    <n v="100"/>
    <n v="0.23"/>
    <m/>
    <m/>
    <m/>
    <m/>
    <m/>
    <n v="0.29249999999999998"/>
    <m/>
    <n v="0.29249999999999998"/>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5-01T00:00:00"/>
    <s v="FY21"/>
    <s v="t"/>
    <n v="0"/>
    <n v="0"/>
    <n v="0.23250000000000001"/>
    <n v="0.23250000000000001"/>
    <n v="0"/>
    <n v="0"/>
    <n v="31"/>
    <n v="31"/>
    <n v="0"/>
    <n v="0"/>
    <n v="100"/>
    <s v="Consolidation"/>
    <s v="CO2e and Base Measure"/>
    <n v="100"/>
    <n v="100"/>
    <n v="0.23"/>
    <m/>
    <m/>
    <m/>
    <m/>
    <m/>
    <n v="0.30230000000000001"/>
    <m/>
    <n v="0.30230000000000001"/>
    <m/>
    <m/>
    <m/>
    <m/>
    <m/>
    <s v="AUD"/>
    <s v="13634115Waste - General [t] - Scope 3"/>
    <n v="13634115"/>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07-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09-01T00:00:00"/>
    <s v="FY21"/>
    <s v="t"/>
    <n v="0"/>
    <n v="0"/>
    <n v="2.7E-2"/>
    <n v="2.7E-2"/>
    <n v="0"/>
    <n v="0"/>
    <n v="30"/>
    <n v="30"/>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11-01T00:00:00"/>
    <s v="FY21"/>
    <s v="t"/>
    <n v="0"/>
    <n v="0"/>
    <n v="2.7E-2"/>
    <n v="2.7E-2"/>
    <n v="0"/>
    <n v="0"/>
    <n v="30"/>
    <n v="30"/>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2-01T00:00:00"/>
    <s v="FY21"/>
    <s v="t"/>
    <n v="0"/>
    <n v="0"/>
    <n v="2.52E-2"/>
    <n v="2.52E-2"/>
    <n v="0"/>
    <n v="0"/>
    <n v="28"/>
    <n v="28"/>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4-01T00:00:00"/>
    <s v="FY21"/>
    <s v="t"/>
    <n v="0"/>
    <n v="0"/>
    <n v="2.7E-2"/>
    <n v="2.7E-2"/>
    <n v="0"/>
    <n v="0"/>
    <n v="30"/>
    <n v="30"/>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1-01T00:00:00"/>
    <s v="FY21"/>
    <s v="t"/>
    <n v="0"/>
    <n v="9.9000000000000005E-2"/>
    <n v="0"/>
    <n v="9.9000000000000005E-2"/>
    <n v="0"/>
    <n v="2"/>
    <n v="0"/>
    <n v="2"/>
    <n v="0"/>
    <n v="100"/>
    <n v="0"/>
    <s v="Consolidation"/>
    <s v="CO2e and Base Measure"/>
    <n v="100"/>
    <n v="100"/>
    <n v="0.1"/>
    <m/>
    <m/>
    <m/>
    <m/>
    <m/>
    <n v="0.12870000000000001"/>
    <m/>
    <n v="0.12870000000000001"/>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2-01T00:00:00"/>
    <s v="FY21"/>
    <s v="t"/>
    <n v="0"/>
    <n v="9.9000000000000005E-2"/>
    <n v="0"/>
    <n v="9.9000000000000005E-2"/>
    <n v="0"/>
    <n v="2"/>
    <n v="0"/>
    <n v="2"/>
    <n v="0"/>
    <n v="100"/>
    <n v="0"/>
    <s v="Consolidation"/>
    <s v="CO2e and Base Measure"/>
    <n v="100"/>
    <n v="100"/>
    <n v="0.1"/>
    <m/>
    <m/>
    <m/>
    <m/>
    <m/>
    <n v="0.12870000000000001"/>
    <m/>
    <n v="0.12870000000000001"/>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3-01T00:00:00"/>
    <s v="FY21"/>
    <s v="t"/>
    <n v="0"/>
    <n v="9.9000000000000005E-2"/>
    <n v="0"/>
    <n v="9.9000000000000005E-2"/>
    <n v="0"/>
    <n v="2"/>
    <n v="0"/>
    <n v="2"/>
    <n v="0"/>
    <n v="100"/>
    <n v="0"/>
    <s v="Consolidation"/>
    <s v="CO2e and Base Measure"/>
    <n v="100"/>
    <n v="100"/>
    <n v="0.1"/>
    <m/>
    <m/>
    <m/>
    <m/>
    <m/>
    <n v="0.12870000000000001"/>
    <m/>
    <n v="0.12870000000000001"/>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5-01T00:00:00"/>
    <s v="FY21"/>
    <s v="t"/>
    <n v="0"/>
    <n v="0"/>
    <n v="8.9899999999999994E-2"/>
    <n v="8.9899999999999994E-2"/>
    <n v="0"/>
    <n v="0"/>
    <n v="31"/>
    <n v="31"/>
    <n v="0"/>
    <n v="0"/>
    <n v="100"/>
    <s v="Consolidation"/>
    <s v="CO2e and Base Measure"/>
    <n v="100"/>
    <n v="100"/>
    <n v="0.09"/>
    <m/>
    <m/>
    <m/>
    <m/>
    <m/>
    <n v="0.1169"/>
    <m/>
    <n v="0.1169"/>
    <m/>
    <m/>
    <m/>
    <m/>
    <m/>
    <s v="AUD"/>
    <s v="13634207Waste - General [t] - Scope 3"/>
    <n v="13634207"/>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07-01T00:00:00"/>
    <s v="FY21"/>
    <s v="t"/>
    <n v="0"/>
    <n v="0.2145"/>
    <n v="0"/>
    <n v="0.2145"/>
    <n v="0"/>
    <n v="3"/>
    <n v="0"/>
    <n v="3"/>
    <n v="0"/>
    <n v="100"/>
    <n v="0"/>
    <s v="Consolidation"/>
    <s v="CO2e and Base Measure"/>
    <n v="100"/>
    <n v="100"/>
    <n v="0.21"/>
    <m/>
    <m/>
    <m/>
    <m/>
    <m/>
    <n v="0.27889999999999998"/>
    <m/>
    <n v="0.27889999999999998"/>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08-01T00:00:00"/>
    <s v="FY21"/>
    <s v="t"/>
    <n v="0"/>
    <n v="0.2145"/>
    <n v="0"/>
    <n v="0.2145"/>
    <n v="0"/>
    <n v="3"/>
    <n v="0"/>
    <n v="3"/>
    <n v="0"/>
    <n v="100"/>
    <n v="0"/>
    <s v="Consolidation"/>
    <s v="CO2e and Base Measure"/>
    <n v="100"/>
    <n v="100"/>
    <n v="0.21"/>
    <m/>
    <m/>
    <m/>
    <m/>
    <m/>
    <n v="0.27889999999999998"/>
    <m/>
    <n v="0.27889999999999998"/>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09-01T00:00:00"/>
    <s v="FY21"/>
    <s v="t"/>
    <n v="0"/>
    <n v="0.14299999999999999"/>
    <n v="0"/>
    <n v="0.14299999999999999"/>
    <n v="0"/>
    <n v="2"/>
    <n v="0"/>
    <n v="2"/>
    <n v="0"/>
    <n v="100"/>
    <n v="0"/>
    <s v="Consolidation"/>
    <s v="CO2e and Base Measure"/>
    <n v="100"/>
    <n v="100"/>
    <n v="0.14000000000000001"/>
    <m/>
    <m/>
    <m/>
    <m/>
    <m/>
    <n v="0.18590000000000001"/>
    <m/>
    <n v="0.18590000000000001"/>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10-01T00:00:00"/>
    <s v="FY21"/>
    <s v="t"/>
    <n v="0"/>
    <n v="0.14299999999999999"/>
    <n v="0"/>
    <n v="0.14299999999999999"/>
    <n v="0"/>
    <n v="2"/>
    <n v="0"/>
    <n v="2"/>
    <n v="0"/>
    <n v="100"/>
    <n v="0"/>
    <s v="Consolidation"/>
    <s v="CO2e and Base Measure"/>
    <n v="100"/>
    <n v="100"/>
    <n v="0.14000000000000001"/>
    <m/>
    <m/>
    <m/>
    <m/>
    <m/>
    <n v="0.18590000000000001"/>
    <m/>
    <n v="0.18590000000000001"/>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11-01T00:00:00"/>
    <s v="FY21"/>
    <s v="t"/>
    <n v="0"/>
    <n v="0.2145"/>
    <n v="0"/>
    <n v="0.2145"/>
    <n v="0"/>
    <n v="3"/>
    <n v="0"/>
    <n v="3"/>
    <n v="0"/>
    <n v="100"/>
    <n v="0"/>
    <s v="Consolidation"/>
    <s v="CO2e and Base Measure"/>
    <n v="100"/>
    <n v="100"/>
    <n v="0.21"/>
    <m/>
    <m/>
    <m/>
    <m/>
    <m/>
    <n v="0.27889999999999998"/>
    <m/>
    <n v="0.27889999999999998"/>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12-01T00:00:00"/>
    <s v="FY21"/>
    <s v="t"/>
    <n v="0"/>
    <n v="0"/>
    <n v="5.8999999999999999E-3"/>
    <n v="5.8999999999999999E-3"/>
    <n v="0"/>
    <n v="0"/>
    <n v="1"/>
    <n v="1"/>
    <n v="0"/>
    <n v="0"/>
    <n v="100"/>
    <s v="Consolidation"/>
    <s v="CO2e and Base Measure"/>
    <n v="100"/>
    <n v="100"/>
    <n v="0.01"/>
    <m/>
    <m/>
    <m/>
    <m/>
    <m/>
    <n v="7.7000000000000002E-3"/>
    <m/>
    <n v="7.7000000000000002E-3"/>
    <m/>
    <m/>
    <m/>
    <m/>
    <m/>
    <s v="AUD"/>
    <s v="13565196Waste - General [t] - Scope 3"/>
    <n v="13565196"/>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12-01T00:00:00"/>
    <s v="FY21"/>
    <s v="t"/>
    <n v="0"/>
    <n v="0"/>
    <n v="1.4999999999999999E-2"/>
    <n v="1.4999999999999999E-2"/>
    <n v="0"/>
    <n v="0"/>
    <n v="1"/>
    <n v="1"/>
    <n v="0"/>
    <n v="0"/>
    <n v="100"/>
    <s v="Consolidation"/>
    <s v="CO2e and Base Measure"/>
    <n v="100"/>
    <n v="100"/>
    <n v="0.02"/>
    <m/>
    <m/>
    <m/>
    <m/>
    <m/>
    <n v="1.95E-2"/>
    <m/>
    <n v="1.95E-2"/>
    <m/>
    <m/>
    <m/>
    <m/>
    <m/>
    <s v="AUD"/>
    <s v="13565467Waste - General [t] - Scope 3"/>
    <n v="13565467"/>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16Waste - General [t] - Scope 3"/>
    <n v="13634116"/>
  </r>
  <r>
    <d v="2019-07-01T00:00:00"/>
    <d v="2021-06-30T00:00:00"/>
    <s v="Telstra"/>
    <s v="NETWORK"/>
    <s v="Network - InfraCo"/>
    <s v="SA"/>
    <s v="Australia"/>
    <s v="Enfield"/>
    <s v="GEPPS CROSS EXCHANGE"/>
    <n v="423030536900"/>
    <s v="Waste"/>
    <x v="1"/>
    <x v="2"/>
    <s v="Account"/>
    <s v="Remondis General Waste"/>
    <m/>
    <s v="423030536900_WGENERALW"/>
    <s v="GENERAL WASTE"/>
    <s v="Remondis"/>
    <m/>
    <m/>
    <d v="2020-10-01T00:00:00"/>
    <d v="2020-07-01T00:00:00"/>
    <s v="FY21"/>
    <s v="t"/>
    <n v="0"/>
    <n v="9.7500000000000003E-2"/>
    <n v="0"/>
    <n v="9.7500000000000003E-2"/>
    <n v="0"/>
    <n v="1"/>
    <n v="0"/>
    <n v="1"/>
    <n v="0"/>
    <n v="100"/>
    <n v="0"/>
    <s v="Consolidation"/>
    <s v="CO2e and Base Measure"/>
    <n v="100"/>
    <n v="100"/>
    <n v="0.1"/>
    <m/>
    <m/>
    <m/>
    <m/>
    <m/>
    <n v="0.1268"/>
    <m/>
    <n v="0.1268"/>
    <m/>
    <m/>
    <m/>
    <m/>
    <m/>
    <s v="AUD"/>
    <s v="13564789Waste - General [t] - Scope 3"/>
    <n v="13564789"/>
  </r>
  <r>
    <d v="2019-07-01T00:00:00"/>
    <d v="2021-06-30T00:00:00"/>
    <s v="Telstra"/>
    <s v="NETWORK"/>
    <s v="Network - InfraCo"/>
    <s v="SA"/>
    <s v="Australia"/>
    <s v="Enfield"/>
    <s v="GEPPS CROSS EXCHANGE"/>
    <n v="423030536900"/>
    <s v="Waste"/>
    <x v="1"/>
    <x v="2"/>
    <s v="Account"/>
    <s v="Remondis General Waste"/>
    <m/>
    <s v="423030536900_WGENERALW"/>
    <s v="GENERAL WASTE"/>
    <s v="Remondis"/>
    <m/>
    <m/>
    <d v="2020-10-01T00:00:00"/>
    <d v="2020-08-01T00:00:00"/>
    <s v="FY21"/>
    <s v="t"/>
    <n v="0"/>
    <n v="9.7500000000000003E-2"/>
    <n v="0"/>
    <n v="9.7500000000000003E-2"/>
    <n v="0"/>
    <n v="1"/>
    <n v="0"/>
    <n v="1"/>
    <n v="0"/>
    <n v="100"/>
    <n v="0"/>
    <s v="Consolidation"/>
    <s v="CO2e and Base Measure"/>
    <n v="100"/>
    <n v="100"/>
    <n v="0.1"/>
    <m/>
    <m/>
    <m/>
    <m/>
    <m/>
    <n v="0.1268"/>
    <m/>
    <n v="0.1268"/>
    <m/>
    <m/>
    <m/>
    <m/>
    <m/>
    <s v="AUD"/>
    <s v="13564789Waste - General [t] - Scope 3"/>
    <n v="13564789"/>
  </r>
  <r>
    <d v="2019-07-01T00:00:00"/>
    <d v="2021-06-30T00:00:00"/>
    <s v="Telstra"/>
    <s v="NETWORK"/>
    <s v="Network - InfraCo"/>
    <s v="SA"/>
    <s v="Australia"/>
    <s v="Enfield"/>
    <s v="GEPPS CROSS EXCHANGE"/>
    <n v="423030536900"/>
    <s v="Waste"/>
    <x v="1"/>
    <x v="2"/>
    <s v="Account"/>
    <s v="Remondis General Waste"/>
    <m/>
    <s v="423030536900_WGENERALW"/>
    <s v="GENERAL WASTE"/>
    <s v="Remondis"/>
    <m/>
    <m/>
    <d v="2020-10-01T00:00:00"/>
    <d v="2020-09-01T00:00:00"/>
    <s v="FY21"/>
    <s v="t"/>
    <n v="0"/>
    <n v="9.7500000000000003E-2"/>
    <n v="0"/>
    <n v="9.7500000000000003E-2"/>
    <n v="0"/>
    <n v="1"/>
    <n v="0"/>
    <n v="1"/>
    <n v="0"/>
    <n v="100"/>
    <n v="0"/>
    <s v="Consolidation"/>
    <s v="CO2e and Base Measure"/>
    <n v="100"/>
    <n v="100"/>
    <n v="0.1"/>
    <m/>
    <m/>
    <m/>
    <m/>
    <m/>
    <n v="0.1268"/>
    <m/>
    <n v="0.1268"/>
    <m/>
    <m/>
    <m/>
    <m/>
    <m/>
    <s v="AUD"/>
    <s v="13564789Waste - General [t] - Scope 3"/>
    <n v="13564789"/>
  </r>
  <r>
    <d v="2019-07-01T00:00:00"/>
    <d v="2021-06-30T00:00:00"/>
    <s v="Telstra"/>
    <s v="NETWORK"/>
    <s v="Network - InfraCo"/>
    <s v="SA"/>
    <s v="Australia"/>
    <s v="Enfield"/>
    <s v="GEPPS CROSS EXCHANGE"/>
    <n v="423030536900"/>
    <s v="Waste"/>
    <x v="1"/>
    <x v="2"/>
    <s v="Account"/>
    <s v="Remondis General Waste"/>
    <m/>
    <s v="423030536900_WGENERALW"/>
    <s v="GENERAL WASTE"/>
    <s v="Remondis"/>
    <m/>
    <m/>
    <d v="2020-10-01T00:00:00"/>
    <d v="2020-10-01T00:00:00"/>
    <s v="FY21"/>
    <s v="t"/>
    <n v="0"/>
    <n v="0"/>
    <n v="3.2000000000000002E-3"/>
    <n v="3.2000000000000002E-3"/>
    <n v="0"/>
    <n v="0"/>
    <n v="1"/>
    <n v="1"/>
    <n v="0"/>
    <n v="0"/>
    <n v="100"/>
    <s v="Consolidation"/>
    <s v="CO2e and Base Measure"/>
    <n v="100"/>
    <n v="100"/>
    <n v="0"/>
    <m/>
    <m/>
    <m/>
    <m/>
    <m/>
    <n v="4.1999999999999997E-3"/>
    <m/>
    <n v="4.1999999999999997E-3"/>
    <m/>
    <m/>
    <m/>
    <m/>
    <m/>
    <s v="AUD"/>
    <s v="13564789Waste - General [t] - Scope 3"/>
    <n v="13564789"/>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17Waste - General [t] - Scope 3"/>
    <n v="13634117"/>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1-02-01T00:00:00"/>
    <s v="FY21"/>
    <s v="t"/>
    <n v="0.192"/>
    <n v="0"/>
    <n v="0"/>
    <n v="0.192"/>
    <n v="1"/>
    <n v="0"/>
    <n v="0"/>
    <n v="1"/>
    <n v="100"/>
    <n v="0"/>
    <n v="0"/>
    <s v="Consolidation"/>
    <s v="CO2e and Base Measure"/>
    <n v="100"/>
    <n v="100"/>
    <n v="0.19"/>
    <m/>
    <m/>
    <m/>
    <m/>
    <m/>
    <n v="0.24959999999999999"/>
    <m/>
    <n v="0.24959999999999999"/>
    <m/>
    <m/>
    <m/>
    <m/>
    <m/>
    <s v="AUD"/>
    <s v="13634117Waste - General [t] - Scope 3"/>
    <n v="13634117"/>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1-03-01T00:00:00"/>
    <s v="FY21"/>
    <s v="t"/>
    <n v="0.45100000000000001"/>
    <n v="0"/>
    <n v="0"/>
    <n v="0.45100000000000001"/>
    <n v="1"/>
    <n v="0"/>
    <n v="0"/>
    <n v="1"/>
    <n v="100"/>
    <n v="0"/>
    <n v="0"/>
    <s v="Consolidation"/>
    <s v="CO2e and Base Measure"/>
    <n v="100"/>
    <n v="100"/>
    <n v="0.45"/>
    <m/>
    <m/>
    <m/>
    <m/>
    <m/>
    <n v="0.58630000000000004"/>
    <m/>
    <n v="0.58630000000000004"/>
    <m/>
    <m/>
    <m/>
    <m/>
    <m/>
    <s v="AUD"/>
    <s v="13634117Waste - General [t] - Scope 3"/>
    <n v="13634117"/>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1-04-01T00:00:00"/>
    <s v="FY21"/>
    <s v="t"/>
    <n v="0"/>
    <n v="0"/>
    <n v="0.17699999999999999"/>
    <n v="0.17699999999999999"/>
    <n v="0"/>
    <n v="0"/>
    <n v="30"/>
    <n v="30"/>
    <n v="0"/>
    <n v="0"/>
    <n v="100"/>
    <s v="Consolidation"/>
    <s v="CO2e and Base Measure"/>
    <n v="100"/>
    <n v="100"/>
    <n v="0.18"/>
    <m/>
    <m/>
    <m/>
    <m/>
    <m/>
    <n v="0.2301"/>
    <m/>
    <n v="0.2301"/>
    <m/>
    <m/>
    <m/>
    <m/>
    <m/>
    <s v="AUD"/>
    <s v="13634117Waste - General [t] - Scope 3"/>
    <n v="13634117"/>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1-05-01T00:00:00"/>
    <s v="FY21"/>
    <s v="t"/>
    <n v="0"/>
    <n v="0"/>
    <n v="0.18290000000000001"/>
    <n v="0.18290000000000001"/>
    <n v="0"/>
    <n v="0"/>
    <n v="31"/>
    <n v="31"/>
    <n v="0"/>
    <n v="0"/>
    <n v="100"/>
    <s v="Consolidation"/>
    <s v="CO2e and Base Measure"/>
    <n v="100"/>
    <n v="100"/>
    <n v="0.18"/>
    <m/>
    <m/>
    <m/>
    <m/>
    <m/>
    <n v="0.23780000000000001"/>
    <m/>
    <n v="0.23780000000000001"/>
    <m/>
    <m/>
    <m/>
    <m/>
    <m/>
    <s v="AUD"/>
    <s v="13634117Waste - General [t] - Scope 3"/>
    <n v="13634117"/>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08-01T00:00:00"/>
    <s v="FY21"/>
    <s v="t"/>
    <n v="0"/>
    <n v="0.58499999999999996"/>
    <n v="0"/>
    <n v="0.58499999999999996"/>
    <n v="0"/>
    <n v="3"/>
    <n v="0"/>
    <n v="3"/>
    <n v="0"/>
    <n v="100"/>
    <n v="0"/>
    <s v="Consolidation"/>
    <s v="CO2e and Base Measure"/>
    <n v="100"/>
    <n v="100"/>
    <n v="0.59"/>
    <m/>
    <m/>
    <m/>
    <m/>
    <m/>
    <n v="0.76049999999999995"/>
    <m/>
    <n v="0.76049999999999995"/>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1-01-01T00:00:00"/>
    <s v="FY21"/>
    <s v="t"/>
    <n v="0"/>
    <n v="0"/>
    <n v="1.37E-2"/>
    <n v="1.37E-2"/>
    <n v="0"/>
    <n v="0"/>
    <n v="1"/>
    <n v="1"/>
    <n v="0"/>
    <n v="0"/>
    <n v="100"/>
    <s v="Consolidation"/>
    <s v="CO2e and Base Measure"/>
    <n v="100"/>
    <n v="100"/>
    <n v="0.01"/>
    <m/>
    <m/>
    <m/>
    <m/>
    <m/>
    <n v="1.78E-2"/>
    <m/>
    <n v="1.78E-2"/>
    <m/>
    <m/>
    <m/>
    <m/>
    <m/>
    <s v="AUD"/>
    <s v="13565384Waste - General [t] - Scope 3"/>
    <n v="13565384"/>
  </r>
  <r>
    <d v="2019-07-01T00:00:00"/>
    <d v="2021-06-30T00:00:00"/>
    <s v="Telstra"/>
    <s v="NETWORK"/>
    <s v="Network - InfraCo"/>
    <s v="WA"/>
    <s v="Australia"/>
    <s v="Lower Chittering"/>
    <s v="GINGIN EXCHANGE"/>
    <n v="423031072700"/>
    <s v="Waste"/>
    <x v="1"/>
    <x v="2"/>
    <s v="Account"/>
    <s v="Remondis General Waste"/>
    <m/>
    <s v="423031072700_WGENERALW"/>
    <s v="GENERAL WASTE"/>
    <s v="Remondis"/>
    <m/>
    <m/>
    <d v="2020-10-01T00:00:00"/>
    <d v="2020-09-01T00:00:00"/>
    <s v="FY21"/>
    <s v="t"/>
    <n v="0"/>
    <n v="0.19500000000000001"/>
    <n v="0"/>
    <n v="0.19500000000000001"/>
    <n v="0"/>
    <n v="1"/>
    <n v="0"/>
    <n v="1"/>
    <n v="0"/>
    <n v="100"/>
    <n v="0"/>
    <s v="Consolidation"/>
    <s v="CO2e and Base Measure"/>
    <n v="100"/>
    <n v="100"/>
    <n v="0.2"/>
    <m/>
    <m/>
    <m/>
    <m/>
    <m/>
    <n v="0.2535"/>
    <m/>
    <n v="0.2535"/>
    <m/>
    <m/>
    <m/>
    <m/>
    <m/>
    <s v="AUD"/>
    <s v="13565525Waste - General [t] - Scope 3"/>
    <n v="13565525"/>
  </r>
  <r>
    <d v="2019-07-01T00:00:00"/>
    <d v="2021-06-30T00:00:00"/>
    <s v="Telstra"/>
    <s v="NETWORK"/>
    <s v="Network - InfraCo"/>
    <s v="WA"/>
    <s v="Australia"/>
    <s v="Lower Chittering"/>
    <s v="GINGIN EXCHANGE"/>
    <n v="423031072700"/>
    <s v="Waste"/>
    <x v="1"/>
    <x v="2"/>
    <s v="Account"/>
    <s v="Remondis General Waste"/>
    <m/>
    <s v="423031072700_WGENERALW"/>
    <s v="GENERAL WASTE"/>
    <s v="Remondis"/>
    <m/>
    <m/>
    <d v="2020-10-01T00:00:00"/>
    <d v="2020-10-01T00:00:00"/>
    <s v="FY21"/>
    <s v="t"/>
    <n v="0"/>
    <n v="0"/>
    <n v="6.7000000000000002E-3"/>
    <n v="6.7000000000000002E-3"/>
    <n v="0"/>
    <n v="0"/>
    <n v="1"/>
    <n v="1"/>
    <n v="0"/>
    <n v="0"/>
    <n v="100"/>
    <s v="Consolidation"/>
    <s v="CO2e and Base Measure"/>
    <n v="100"/>
    <n v="100"/>
    <n v="0.01"/>
    <m/>
    <m/>
    <m/>
    <m/>
    <m/>
    <n v="8.6999999999999994E-3"/>
    <m/>
    <n v="8.6999999999999994E-3"/>
    <m/>
    <m/>
    <m/>
    <m/>
    <m/>
    <s v="AUD"/>
    <s v="13565525Waste - General [t] - Scope 3"/>
    <n v="13565525"/>
  </r>
  <r>
    <d v="2019-07-01T00:00:00"/>
    <d v="2021-06-30T00:00:00"/>
    <s v="Telstra"/>
    <s v="NETWORK"/>
    <s v="Network - InfraCo"/>
    <s v="QLD"/>
    <s v="Australia"/>
    <s v="Gladstone"/>
    <s v="GLADSTONE EXCHANGE3"/>
    <n v="423030075100"/>
    <s v="Waste"/>
    <x v="1"/>
    <x v="4"/>
    <s v="Account"/>
    <s v="Remondis Asbestos"/>
    <m/>
    <s v="423030075100_WASBESTOS"/>
    <s v="ASBESTOS"/>
    <s v="Remondis"/>
    <m/>
    <m/>
    <d v="2021-01-01T00:00:00"/>
    <d v="2020-12-01T00:00:00"/>
    <s v="FY21"/>
    <s v="t"/>
    <n v="0.08"/>
    <n v="0"/>
    <n v="0"/>
    <n v="0.08"/>
    <n v="1"/>
    <n v="0"/>
    <n v="0"/>
    <n v="1"/>
    <n v="100"/>
    <n v="0"/>
    <n v="0"/>
    <s v="Consolidation"/>
    <s v="CO2e and Base Measure"/>
    <n v="100"/>
    <n v="100"/>
    <n v="0.08"/>
    <m/>
    <m/>
    <m/>
    <m/>
    <m/>
    <n v="9.6000000000000002E-2"/>
    <m/>
    <n v="9.6000000000000002E-2"/>
    <m/>
    <m/>
    <m/>
    <m/>
    <m/>
    <s v="AUD"/>
    <s v="13564158Waste - Construction and Demolition [t]"/>
    <n v="13564158"/>
  </r>
  <r>
    <d v="2019-07-01T00:00:00"/>
    <d v="2021-06-30T00:00:00"/>
    <s v="Telstra"/>
    <s v="NETWORK"/>
    <s v="Network - InfraCo"/>
    <s v="QLD"/>
    <s v="Australia"/>
    <s v="Gladstone"/>
    <s v="GLADSTONE EXCHANGE3"/>
    <n v="423030075100"/>
    <s v="Waste"/>
    <x v="1"/>
    <x v="4"/>
    <s v="Account"/>
    <s v="Remondis Asbestos"/>
    <m/>
    <s v="423030075100_WASBESTOS"/>
    <s v="ASBESTOS"/>
    <s v="Remondis"/>
    <m/>
    <m/>
    <d v="2021-01-01T00:00:00"/>
    <d v="2021-01-01T00:00:00"/>
    <s v="FY21"/>
    <s v="t"/>
    <n v="0"/>
    <n v="0"/>
    <n v="2.7000000000000001E-3"/>
    <n v="2.7000000000000001E-3"/>
    <n v="0"/>
    <n v="0"/>
    <n v="1"/>
    <n v="1"/>
    <n v="0"/>
    <n v="0"/>
    <n v="100"/>
    <s v="Consolidation"/>
    <s v="CO2e and Base Measure"/>
    <n v="100"/>
    <n v="100"/>
    <n v="0"/>
    <m/>
    <m/>
    <m/>
    <m/>
    <m/>
    <n v="3.2000000000000002E-3"/>
    <m/>
    <n v="3.2000000000000002E-3"/>
    <m/>
    <m/>
    <m/>
    <m/>
    <m/>
    <s v="AUD"/>
    <s v="13564158Waste - Construction and Demolition [t]"/>
    <n v="13564158"/>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159Waste - General [t] - Scope 3"/>
    <n v="13564159"/>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0-12-01T00:00:00"/>
    <s v="FY21"/>
    <s v="t"/>
    <n v="0.15"/>
    <n v="0"/>
    <n v="0"/>
    <n v="0.15"/>
    <n v="1"/>
    <n v="0"/>
    <n v="0"/>
    <n v="1"/>
    <n v="100"/>
    <n v="0"/>
    <n v="0"/>
    <s v="Consolidation"/>
    <s v="CO2e and Base Measure"/>
    <n v="100"/>
    <n v="100"/>
    <n v="0.15"/>
    <m/>
    <m/>
    <m/>
    <m/>
    <m/>
    <n v="0.19500000000000001"/>
    <m/>
    <n v="0.19500000000000001"/>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1-01T00:00:00"/>
    <s v="FY21"/>
    <s v="t"/>
    <n v="0.247"/>
    <n v="0"/>
    <n v="0"/>
    <n v="0.247"/>
    <n v="1"/>
    <n v="0"/>
    <n v="0"/>
    <n v="1"/>
    <n v="100"/>
    <n v="0"/>
    <n v="0"/>
    <s v="Consolidation"/>
    <s v="CO2e and Base Measure"/>
    <n v="100"/>
    <n v="100"/>
    <n v="0.25"/>
    <m/>
    <m/>
    <m/>
    <m/>
    <m/>
    <n v="0.3211"/>
    <m/>
    <n v="0.3211"/>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2-01T00:00:00"/>
    <s v="FY21"/>
    <s v="t"/>
    <n v="0.45200000000000001"/>
    <n v="0"/>
    <n v="0"/>
    <n v="0.45200000000000001"/>
    <n v="2"/>
    <n v="0"/>
    <n v="0"/>
    <n v="2"/>
    <n v="100"/>
    <n v="0"/>
    <n v="0"/>
    <s v="Consolidation"/>
    <s v="CO2e and Base Measure"/>
    <n v="100"/>
    <n v="100"/>
    <n v="0.45"/>
    <m/>
    <m/>
    <m/>
    <m/>
    <m/>
    <n v="0.58760000000000001"/>
    <m/>
    <n v="0.58760000000000001"/>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3-01T00:00:00"/>
    <s v="FY21"/>
    <s v="t"/>
    <n v="9.2999999999999999E-2"/>
    <n v="0"/>
    <n v="0"/>
    <n v="9.2999999999999999E-2"/>
    <n v="1"/>
    <n v="0"/>
    <n v="0"/>
    <n v="1"/>
    <n v="100"/>
    <n v="0"/>
    <n v="0"/>
    <s v="Consolidation"/>
    <s v="CO2e and Base Measure"/>
    <n v="100"/>
    <n v="100"/>
    <n v="0.09"/>
    <m/>
    <m/>
    <m/>
    <m/>
    <m/>
    <n v="0.12089999999999999"/>
    <m/>
    <n v="0.12089999999999999"/>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4-01T00:00:00"/>
    <s v="FY21"/>
    <s v="t"/>
    <n v="0"/>
    <n v="0"/>
    <n v="0.23400000000000001"/>
    <n v="0.23400000000000001"/>
    <n v="0"/>
    <n v="0"/>
    <n v="30"/>
    <n v="30"/>
    <n v="0"/>
    <n v="0"/>
    <n v="100"/>
    <s v="Consolidation"/>
    <s v="CO2e and Base Measure"/>
    <n v="100"/>
    <n v="100"/>
    <n v="0.23"/>
    <m/>
    <m/>
    <m/>
    <m/>
    <m/>
    <n v="0.30420000000000003"/>
    <m/>
    <n v="0.30420000000000003"/>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5-01T00:00:00"/>
    <s v="FY21"/>
    <s v="t"/>
    <n v="0"/>
    <n v="0"/>
    <n v="0.24179999999999999"/>
    <n v="0.24179999999999999"/>
    <n v="0"/>
    <n v="0"/>
    <n v="31"/>
    <n v="31"/>
    <n v="0"/>
    <n v="0"/>
    <n v="100"/>
    <s v="Consolidation"/>
    <s v="CO2e and Base Measure"/>
    <n v="100"/>
    <n v="100"/>
    <n v="0.24"/>
    <m/>
    <m/>
    <m/>
    <m/>
    <m/>
    <n v="0.31430000000000002"/>
    <m/>
    <n v="0.31430000000000002"/>
    <m/>
    <m/>
    <m/>
    <m/>
    <m/>
    <s v="AUD"/>
    <s v="13634118Waste - General [t] - Scope 3"/>
    <n v="13634118"/>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0-12-01T00:00:00"/>
    <s v="FY21"/>
    <s v="t"/>
    <n v="0.3"/>
    <n v="0"/>
    <n v="0"/>
    <n v="0.3"/>
    <n v="1"/>
    <n v="0"/>
    <n v="0"/>
    <n v="1"/>
    <n v="100"/>
    <n v="0"/>
    <n v="0"/>
    <s v="Consolidation"/>
    <s v="CO2e and Base Measure"/>
    <n v="100"/>
    <n v="100"/>
    <n v="0.3"/>
    <m/>
    <m/>
    <m/>
    <m/>
    <m/>
    <n v="0.39"/>
    <m/>
    <n v="0.39"/>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1-01T00:00:00"/>
    <s v="FY21"/>
    <s v="t"/>
    <n v="0"/>
    <n v="0"/>
    <n v="0.31"/>
    <n v="0.31"/>
    <n v="0"/>
    <n v="0"/>
    <n v="31"/>
    <n v="31"/>
    <n v="0"/>
    <n v="0"/>
    <n v="100"/>
    <s v="Consolidation"/>
    <s v="CO2e and Base Measure"/>
    <n v="100"/>
    <n v="100"/>
    <n v="0.31"/>
    <m/>
    <m/>
    <m/>
    <m/>
    <m/>
    <n v="0.40300000000000002"/>
    <m/>
    <n v="0.40300000000000002"/>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2-01T00:00:00"/>
    <s v="FY21"/>
    <s v="t"/>
    <n v="0"/>
    <n v="0"/>
    <n v="0.28000000000000003"/>
    <n v="0.28000000000000003"/>
    <n v="0"/>
    <n v="0"/>
    <n v="28"/>
    <n v="28"/>
    <n v="0"/>
    <n v="0"/>
    <n v="100"/>
    <s v="Consolidation"/>
    <s v="CO2e and Base Measure"/>
    <n v="100"/>
    <n v="100"/>
    <n v="0.28000000000000003"/>
    <m/>
    <m/>
    <m/>
    <m/>
    <m/>
    <n v="0.36399999999999999"/>
    <m/>
    <n v="0.36399999999999999"/>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3-01T00:00:00"/>
    <s v="FY21"/>
    <s v="t"/>
    <n v="0"/>
    <n v="0"/>
    <n v="0.31"/>
    <n v="0.31"/>
    <n v="0"/>
    <n v="0"/>
    <n v="31"/>
    <n v="31"/>
    <n v="0"/>
    <n v="0"/>
    <n v="100"/>
    <s v="Consolidation"/>
    <s v="CO2e and Base Measure"/>
    <n v="100"/>
    <n v="100"/>
    <n v="0.31"/>
    <m/>
    <m/>
    <m/>
    <m/>
    <m/>
    <n v="0.40300000000000002"/>
    <m/>
    <n v="0.40300000000000002"/>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4-01T00:00:00"/>
    <s v="FY21"/>
    <s v="t"/>
    <n v="0"/>
    <n v="0"/>
    <n v="0.3"/>
    <n v="0.3"/>
    <n v="0"/>
    <n v="0"/>
    <n v="30"/>
    <n v="30"/>
    <n v="0"/>
    <n v="0"/>
    <n v="100"/>
    <s v="Consolidation"/>
    <s v="CO2e and Base Measure"/>
    <n v="100"/>
    <n v="100"/>
    <n v="0.3"/>
    <m/>
    <m/>
    <m/>
    <m/>
    <m/>
    <n v="0.39"/>
    <m/>
    <n v="0.39"/>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5-01T00:00:00"/>
    <s v="FY21"/>
    <s v="t"/>
    <n v="0"/>
    <n v="0"/>
    <n v="0.31"/>
    <n v="0.31"/>
    <n v="0"/>
    <n v="0"/>
    <n v="31"/>
    <n v="31"/>
    <n v="0"/>
    <n v="0"/>
    <n v="100"/>
    <s v="Consolidation"/>
    <s v="CO2e and Base Measure"/>
    <n v="100"/>
    <n v="100"/>
    <n v="0.31"/>
    <m/>
    <m/>
    <m/>
    <m/>
    <m/>
    <n v="0.40300000000000002"/>
    <m/>
    <n v="0.40300000000000002"/>
    <m/>
    <m/>
    <m/>
    <m/>
    <m/>
    <s v="AUD"/>
    <s v="13633414Waste - General [t] - Scope 3"/>
    <n v="13633414"/>
  </r>
  <r>
    <d v="2019-07-01T00:00:00"/>
    <d v="2021-06-30T00:00:00"/>
    <s v="Telstra"/>
    <s v="NETWORK"/>
    <s v="Network - InfraCo"/>
    <s v="NSW"/>
    <s v="Australia"/>
    <s v="Broadway"/>
    <s v="GLEBE EXCHANGE"/>
    <n v="423030348300"/>
    <s v="Waste"/>
    <x v="1"/>
    <x v="2"/>
    <s v="Account"/>
    <s v="Remondis General Waste"/>
    <m/>
    <s v="423030348300_WGENERALW"/>
    <s v="GENERAL WASTE"/>
    <s v="Remondis"/>
    <m/>
    <m/>
    <d v="2020-09-01T00:00:00"/>
    <d v="2020-07-01T00:00:00"/>
    <s v="FY21"/>
    <s v="t"/>
    <n v="1.4"/>
    <n v="0"/>
    <n v="0"/>
    <n v="1.4"/>
    <n v="1"/>
    <n v="0"/>
    <n v="0"/>
    <n v="1"/>
    <n v="100"/>
    <n v="0"/>
    <n v="0"/>
    <s v="Consolidation"/>
    <s v="CO2e and Base Measure"/>
    <n v="100"/>
    <n v="100"/>
    <n v="1.4"/>
    <m/>
    <m/>
    <m/>
    <m/>
    <m/>
    <n v="1.82"/>
    <m/>
    <n v="1.82"/>
    <m/>
    <m/>
    <m/>
    <m/>
    <m/>
    <s v="AUD"/>
    <s v="13564659Waste - General [t] - Scope 3"/>
    <n v="13564659"/>
  </r>
  <r>
    <d v="2019-07-01T00:00:00"/>
    <d v="2021-06-30T00:00:00"/>
    <s v="Telstra"/>
    <s v="NETWORK"/>
    <s v="Network - InfraCo"/>
    <s v="NSW"/>
    <s v="Australia"/>
    <s v="Broadway"/>
    <s v="GLEBE EXCHANGE"/>
    <n v="423030348300"/>
    <s v="Waste"/>
    <x v="1"/>
    <x v="2"/>
    <s v="Account"/>
    <s v="Remondis General Waste"/>
    <m/>
    <s v="423030348300_WGENERALW"/>
    <s v="GENERAL WASTE"/>
    <s v="Remondis"/>
    <m/>
    <m/>
    <d v="2020-09-01T00:00:00"/>
    <d v="2020-08-01T00:00:00"/>
    <s v="FY21"/>
    <s v="t"/>
    <n v="1.0006999999999999"/>
    <n v="0"/>
    <n v="0"/>
    <n v="1.0006999999999999"/>
    <n v="2"/>
    <n v="0"/>
    <n v="0"/>
    <n v="2"/>
    <n v="100"/>
    <n v="0"/>
    <n v="0"/>
    <s v="Consolidation"/>
    <s v="CO2e and Base Measure"/>
    <n v="100"/>
    <n v="100"/>
    <n v="1"/>
    <m/>
    <m/>
    <m/>
    <m/>
    <m/>
    <n v="1.3008999999999999"/>
    <m/>
    <n v="1.3008999999999999"/>
    <m/>
    <m/>
    <m/>
    <m/>
    <m/>
    <s v="AUD"/>
    <s v="13564659Waste - General [t] - Scope 3"/>
    <n v="13564659"/>
  </r>
  <r>
    <d v="2019-07-01T00:00:00"/>
    <d v="2021-06-30T00:00:00"/>
    <s v="Telstra"/>
    <s v="NETWORK"/>
    <s v="Network - InfraCo"/>
    <s v="NSW"/>
    <s v="Australia"/>
    <s v="Broadway"/>
    <s v="GLEBE EXCHANGE"/>
    <n v="423030348300"/>
    <s v="Waste"/>
    <x v="1"/>
    <x v="2"/>
    <s v="Account"/>
    <s v="Remondis General Waste"/>
    <m/>
    <s v="423030348300_WGENERALW"/>
    <s v="GENERAL WASTE"/>
    <s v="Remondis"/>
    <m/>
    <m/>
    <d v="2020-09-01T00:00:00"/>
    <d v="2020-09-01T00:00:00"/>
    <s v="FY21"/>
    <s v="t"/>
    <n v="0"/>
    <n v="0"/>
    <n v="2.9700000000000001E-2"/>
    <n v="2.9700000000000001E-2"/>
    <n v="0"/>
    <n v="0"/>
    <n v="1"/>
    <n v="1"/>
    <n v="0"/>
    <n v="0"/>
    <n v="100"/>
    <s v="Consolidation"/>
    <s v="CO2e and Base Measure"/>
    <n v="100"/>
    <n v="100"/>
    <n v="0.03"/>
    <m/>
    <m/>
    <m/>
    <m/>
    <m/>
    <n v="3.8600000000000002E-2"/>
    <m/>
    <n v="3.8600000000000002E-2"/>
    <m/>
    <m/>
    <m/>
    <m/>
    <m/>
    <s v="AUD"/>
    <s v="13564659Waste - General [t] - Scope 3"/>
    <n v="13564659"/>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11-01T00:00:00"/>
    <s v="FY21"/>
    <s v="t"/>
    <n v="0"/>
    <n v="0.189"/>
    <n v="0"/>
    <n v="0.189"/>
    <n v="0"/>
    <n v="3"/>
    <n v="0"/>
    <n v="3"/>
    <n v="0"/>
    <n v="100"/>
    <n v="0"/>
    <s v="Consolidation"/>
    <s v="CO2e and Base Measure"/>
    <n v="100"/>
    <n v="100"/>
    <n v="0.19"/>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792Waste Recycled - Cardboard [t]"/>
    <n v="13564792"/>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12-01T00:00:00"/>
    <s v="FY21"/>
    <s v="t"/>
    <n v="0"/>
    <n v="0"/>
    <n v="5.8999999999999999E-3"/>
    <n v="5.8999999999999999E-3"/>
    <n v="0"/>
    <n v="0"/>
    <n v="1"/>
    <n v="1"/>
    <n v="0"/>
    <n v="0"/>
    <n v="100"/>
    <s v="Consolidation"/>
    <s v="CO2e and Base Measure"/>
    <n v="100"/>
    <n v="100"/>
    <n v="0.01"/>
    <m/>
    <m/>
    <m/>
    <m/>
    <m/>
    <n v="7.7000000000000002E-3"/>
    <m/>
    <n v="7.7000000000000002E-3"/>
    <m/>
    <m/>
    <m/>
    <m/>
    <m/>
    <s v="AUD"/>
    <s v="13564793Waste - General [t] - Scope 3"/>
    <n v="13564793"/>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0-12-01T00:00:00"/>
    <s v="FY21"/>
    <s v="t"/>
    <n v="0.27800000000000002"/>
    <n v="0"/>
    <n v="0"/>
    <n v="0.27800000000000002"/>
    <n v="3"/>
    <n v="0"/>
    <n v="0"/>
    <n v="3"/>
    <n v="100"/>
    <n v="0"/>
    <n v="0"/>
    <s v="Consolidation"/>
    <s v="CO2e and Base Measure"/>
    <n v="100"/>
    <n v="100"/>
    <n v="0.28000000000000003"/>
    <m/>
    <m/>
    <m/>
    <m/>
    <m/>
    <n v="0.3614"/>
    <m/>
    <n v="0.3614"/>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1-01T00:00:00"/>
    <s v="FY21"/>
    <s v="t"/>
    <n v="0.216"/>
    <n v="0"/>
    <n v="0"/>
    <n v="0.216"/>
    <n v="4"/>
    <n v="0"/>
    <n v="0"/>
    <n v="4"/>
    <n v="100"/>
    <n v="0"/>
    <n v="0"/>
    <s v="Consolidation"/>
    <s v="CO2e and Base Measure"/>
    <n v="100"/>
    <n v="100"/>
    <n v="0.22"/>
    <m/>
    <m/>
    <m/>
    <m/>
    <m/>
    <n v="0.28079999999999999"/>
    <m/>
    <n v="0.28079999999999999"/>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2-01T00:00:00"/>
    <s v="FY21"/>
    <s v="t"/>
    <n v="0.29899999999999999"/>
    <n v="0.13500000000000001"/>
    <n v="0"/>
    <n v="0.434"/>
    <n v="3"/>
    <n v="2"/>
    <n v="0"/>
    <n v="5"/>
    <n v="68.89"/>
    <n v="31.1"/>
    <n v="0"/>
    <s v="Consolidation"/>
    <s v="CO2e and Base Measure"/>
    <n v="100"/>
    <n v="100"/>
    <n v="0.43"/>
    <m/>
    <m/>
    <m/>
    <m/>
    <m/>
    <n v="0.56420000000000003"/>
    <m/>
    <n v="0.56420000000000003"/>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3-01T00:00:00"/>
    <s v="FY21"/>
    <s v="t"/>
    <n v="0.48499999999999999"/>
    <n v="6.7500000000000004E-2"/>
    <n v="0"/>
    <n v="0.55249999999999999"/>
    <n v="3"/>
    <n v="1"/>
    <n v="0"/>
    <n v="4"/>
    <n v="87.78"/>
    <n v="12.21"/>
    <n v="0"/>
    <s v="Consolidation"/>
    <s v="CO2e and Base Measure"/>
    <n v="100"/>
    <n v="100"/>
    <n v="0.55000000000000004"/>
    <m/>
    <m/>
    <m/>
    <m/>
    <m/>
    <n v="0.71830000000000005"/>
    <m/>
    <n v="0.71830000000000005"/>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4-01T00:00:00"/>
    <s v="FY21"/>
    <s v="t"/>
    <n v="0"/>
    <n v="0"/>
    <n v="0.36899999999999999"/>
    <n v="0.36899999999999999"/>
    <n v="0"/>
    <n v="0"/>
    <n v="30"/>
    <n v="30"/>
    <n v="0"/>
    <n v="0"/>
    <n v="100"/>
    <s v="Consolidation"/>
    <s v="CO2e and Base Measure"/>
    <n v="100"/>
    <n v="100"/>
    <n v="0.37"/>
    <m/>
    <m/>
    <m/>
    <m/>
    <m/>
    <n v="0.47970000000000002"/>
    <m/>
    <n v="0.47970000000000002"/>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5-01T00:00:00"/>
    <s v="FY21"/>
    <s v="t"/>
    <n v="0"/>
    <n v="0"/>
    <n v="0.38129999999999997"/>
    <n v="0.38129999999999997"/>
    <n v="0"/>
    <n v="0"/>
    <n v="31"/>
    <n v="31"/>
    <n v="0"/>
    <n v="0"/>
    <n v="100"/>
    <s v="Consolidation"/>
    <s v="CO2e and Base Measure"/>
    <n v="100"/>
    <n v="100"/>
    <n v="0.38"/>
    <m/>
    <m/>
    <m/>
    <m/>
    <m/>
    <n v="0.49569999999999997"/>
    <m/>
    <n v="0.49569999999999997"/>
    <m/>
    <m/>
    <m/>
    <m/>
    <m/>
    <s v="AUD"/>
    <s v="13634119Waste - General [t] - Scope 3"/>
    <n v="1363411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1-01T00:00:00"/>
    <s v="FY21"/>
    <s v="t"/>
    <n v="0.23"/>
    <n v="0"/>
    <n v="0"/>
    <n v="0.23"/>
    <n v="2"/>
    <n v="0"/>
    <n v="0"/>
    <n v="2"/>
    <n v="100"/>
    <n v="0"/>
    <n v="0"/>
    <s v="Consolidation"/>
    <s v="CO2e and Base Measure"/>
    <n v="100"/>
    <n v="100"/>
    <n v="0.23"/>
    <m/>
    <m/>
    <m/>
    <m/>
    <m/>
    <m/>
    <m/>
    <m/>
    <m/>
    <m/>
    <m/>
    <m/>
    <m/>
    <s v="AUD"/>
    <s v="13634429Waste Recycled - Paper and Cardboard [t]"/>
    <n v="1363442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2-01T00:00:00"/>
    <s v="FY21"/>
    <s v="t"/>
    <n v="5.8999999999999997E-2"/>
    <n v="7.4999999999999997E-2"/>
    <n v="0"/>
    <n v="0.13400000000000001"/>
    <n v="2"/>
    <n v="2"/>
    <n v="0"/>
    <n v="4"/>
    <n v="44.02"/>
    <n v="55.97"/>
    <n v="0"/>
    <s v="Consolidation"/>
    <s v="CO2e and Base Measure"/>
    <n v="100"/>
    <n v="100"/>
    <n v="0.13"/>
    <m/>
    <m/>
    <m/>
    <m/>
    <m/>
    <m/>
    <m/>
    <m/>
    <m/>
    <m/>
    <m/>
    <m/>
    <m/>
    <s v="AUD"/>
    <s v="13634429Waste Recycled - Paper and Cardboard [t]"/>
    <n v="1363442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3-01T00:00:00"/>
    <s v="FY21"/>
    <s v="t"/>
    <n v="0.36399999999999999"/>
    <n v="0"/>
    <n v="0"/>
    <n v="0.36399999999999999"/>
    <n v="5"/>
    <n v="0"/>
    <n v="0"/>
    <n v="5"/>
    <n v="100"/>
    <n v="0"/>
    <n v="0"/>
    <s v="Consolidation"/>
    <s v="CO2e and Base Measure"/>
    <n v="100"/>
    <n v="100"/>
    <n v="0.36"/>
    <m/>
    <m/>
    <m/>
    <m/>
    <m/>
    <m/>
    <m/>
    <m/>
    <m/>
    <m/>
    <m/>
    <m/>
    <m/>
    <s v="AUD"/>
    <s v="13634429Waste Recycled - Paper and Cardboard [t]"/>
    <n v="1363442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4-01T00:00:00"/>
    <s v="FY21"/>
    <s v="t"/>
    <n v="0"/>
    <n v="0"/>
    <n v="0.246"/>
    <n v="0.246"/>
    <n v="0"/>
    <n v="0"/>
    <n v="30"/>
    <n v="30"/>
    <n v="0"/>
    <n v="0"/>
    <n v="100"/>
    <s v="Consolidation"/>
    <s v="CO2e and Base Measure"/>
    <n v="100"/>
    <n v="100"/>
    <n v="0.25"/>
    <m/>
    <m/>
    <m/>
    <m/>
    <m/>
    <m/>
    <m/>
    <m/>
    <m/>
    <m/>
    <m/>
    <m/>
    <m/>
    <s v="AUD"/>
    <s v="13634429Waste Recycled - Paper and Cardboard [t]"/>
    <n v="1363442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5-01T00:00:00"/>
    <s v="FY21"/>
    <s v="t"/>
    <n v="0"/>
    <n v="0"/>
    <n v="0.25419999999999998"/>
    <n v="0.25419999999999998"/>
    <n v="0"/>
    <n v="0"/>
    <n v="31"/>
    <n v="31"/>
    <n v="0"/>
    <n v="0"/>
    <n v="100"/>
    <s v="Consolidation"/>
    <s v="CO2e and Base Measure"/>
    <n v="100"/>
    <n v="100"/>
    <n v="0.25"/>
    <m/>
    <m/>
    <m/>
    <m/>
    <m/>
    <m/>
    <m/>
    <m/>
    <m/>
    <m/>
    <m/>
    <m/>
    <m/>
    <s v="AUD"/>
    <s v="13634429Waste Recycled - Paper and Cardboard [t]"/>
    <n v="13634429"/>
  </r>
  <r>
    <d v="2019-07-01T00:00:00"/>
    <d v="2021-06-30T00:00:00"/>
    <s v="Telstra"/>
    <s v="NETWORK"/>
    <s v="Network - InfraCo"/>
    <s v="TAS"/>
    <s v="Australia"/>
    <s v="Glenorchy"/>
    <s v="GLENORCHY EXCHANGE __ LINE DEPOT"/>
    <n v="423031219200"/>
    <s v="Recycled Waste"/>
    <x v="0"/>
    <x v="1"/>
    <s v="Account"/>
    <s v="CLEANAWAY eWaste"/>
    <m/>
    <s v="31219300_Diversion_eWaste"/>
    <s v="eWaste"/>
    <s v="Cleanaway"/>
    <m/>
    <m/>
    <m/>
    <d v="2021-03-01T00:00:00"/>
    <s v="FY21"/>
    <s v="t"/>
    <n v="0.22500000000000001"/>
    <n v="0"/>
    <n v="0"/>
    <n v="0.22500000000000001"/>
    <n v="2"/>
    <n v="0"/>
    <n v="0"/>
    <n v="2"/>
    <n v="100"/>
    <n v="0"/>
    <n v="0"/>
    <s v="Consolidation"/>
    <s v="CO2e and Base Measure"/>
    <n v="100"/>
    <n v="100"/>
    <n v="0.23"/>
    <m/>
    <m/>
    <m/>
    <m/>
    <m/>
    <m/>
    <m/>
    <m/>
    <m/>
    <m/>
    <m/>
    <m/>
    <m/>
    <s v="AUD"/>
    <s v="13641242Waste Recycled - E-waste [t]"/>
    <n v="13641242"/>
  </r>
  <r>
    <d v="2019-07-01T00:00:00"/>
    <d v="2021-06-30T00:00:00"/>
    <s v="Telstra"/>
    <s v="NETWORK"/>
    <s v="Network - InfraCo"/>
    <s v="TAS"/>
    <s v="Australia"/>
    <s v="Glenorchy"/>
    <s v="GLENORCHY EXCHANGE __ LINE DEPOT"/>
    <n v="423031219200"/>
    <s v="Recycled Waste"/>
    <x v="0"/>
    <x v="1"/>
    <s v="Account"/>
    <s v="CLEANAWAY eWaste"/>
    <m/>
    <s v="31219300_Diversion_eWaste"/>
    <s v="eWaste"/>
    <s v="Cleanaway"/>
    <m/>
    <m/>
    <m/>
    <d v="2021-04-01T00:00:00"/>
    <s v="FY21"/>
    <s v="t"/>
    <n v="0"/>
    <n v="0"/>
    <n v="0.22500000000000001"/>
    <n v="0.22500000000000001"/>
    <n v="0"/>
    <n v="0"/>
    <n v="30"/>
    <n v="30"/>
    <n v="0"/>
    <n v="0"/>
    <n v="100"/>
    <s v="Consolidation"/>
    <s v="CO2e and Base Measure"/>
    <n v="100"/>
    <n v="100"/>
    <n v="0.23"/>
    <m/>
    <m/>
    <m/>
    <m/>
    <m/>
    <m/>
    <m/>
    <m/>
    <m/>
    <m/>
    <m/>
    <m/>
    <m/>
    <s v="AUD"/>
    <s v="13641242Waste Recycled - E-waste [t]"/>
    <n v="13641242"/>
  </r>
  <r>
    <d v="2019-07-01T00:00:00"/>
    <d v="2021-06-30T00:00:00"/>
    <s v="Telstra"/>
    <s v="NETWORK"/>
    <s v="Network - InfraCo"/>
    <s v="TAS"/>
    <s v="Australia"/>
    <s v="Glenorchy"/>
    <s v="GLENORCHY EXCHANGE __ LINE DEPOT"/>
    <n v="423031219200"/>
    <s v="Recycled Waste"/>
    <x v="0"/>
    <x v="1"/>
    <s v="Account"/>
    <s v="CLEANAWAY eWaste"/>
    <m/>
    <s v="31219300_Diversion_eWaste"/>
    <s v="eWaste"/>
    <s v="Cleanaway"/>
    <m/>
    <m/>
    <m/>
    <d v="2021-05-01T00:00:00"/>
    <s v="FY21"/>
    <s v="t"/>
    <n v="0"/>
    <n v="0"/>
    <n v="0.23250000000000001"/>
    <n v="0.23250000000000001"/>
    <n v="0"/>
    <n v="0"/>
    <n v="31"/>
    <n v="31"/>
    <n v="0"/>
    <n v="0"/>
    <n v="100"/>
    <s v="Consolidation"/>
    <s v="CO2e and Base Measure"/>
    <n v="100"/>
    <n v="100"/>
    <n v="0.23"/>
    <m/>
    <m/>
    <m/>
    <m/>
    <m/>
    <m/>
    <m/>
    <m/>
    <m/>
    <m/>
    <m/>
    <m/>
    <m/>
    <s v="AUD"/>
    <s v="13641242Waste Recycled - E-waste [t]"/>
    <n v="1364124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522Waste - General [t] - Scope 3"/>
    <n v="13565522"/>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0-12-01T00:00:00"/>
    <s v="FY21"/>
    <s v="t"/>
    <n v="0.14000000000000001"/>
    <n v="0"/>
    <n v="0"/>
    <n v="0.14000000000000001"/>
    <n v="1"/>
    <n v="0"/>
    <n v="0"/>
    <n v="1"/>
    <n v="100"/>
    <n v="0"/>
    <n v="0"/>
    <s v="Consolidation"/>
    <s v="CO2e and Base Measure"/>
    <n v="100"/>
    <n v="100"/>
    <n v="0.14000000000000001"/>
    <m/>
    <m/>
    <m/>
    <m/>
    <m/>
    <n v="0.182"/>
    <m/>
    <n v="0.182"/>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1-01T00:00:00"/>
    <s v="FY21"/>
    <s v="t"/>
    <n v="0"/>
    <n v="0"/>
    <n v="0.1457"/>
    <n v="0.1457"/>
    <n v="0"/>
    <n v="0"/>
    <n v="31"/>
    <n v="31"/>
    <n v="0"/>
    <n v="0"/>
    <n v="100"/>
    <s v="Consolidation"/>
    <s v="CO2e and Base Measure"/>
    <n v="100"/>
    <n v="100"/>
    <n v="0.15"/>
    <m/>
    <m/>
    <m/>
    <m/>
    <m/>
    <n v="0.18940000000000001"/>
    <m/>
    <n v="0.18940000000000001"/>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2-01T00:00:00"/>
    <s v="FY21"/>
    <s v="t"/>
    <n v="0"/>
    <n v="0"/>
    <n v="0.13159999999999999"/>
    <n v="0.13159999999999999"/>
    <n v="0"/>
    <n v="0"/>
    <n v="28"/>
    <n v="28"/>
    <n v="0"/>
    <n v="0"/>
    <n v="100"/>
    <s v="Consolidation"/>
    <s v="CO2e and Base Measure"/>
    <n v="100"/>
    <n v="100"/>
    <n v="0.13"/>
    <m/>
    <m/>
    <m/>
    <m/>
    <m/>
    <n v="0.1711"/>
    <m/>
    <n v="0.1711"/>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3-01T00:00:00"/>
    <s v="FY21"/>
    <s v="t"/>
    <n v="0"/>
    <n v="0"/>
    <n v="0.1457"/>
    <n v="0.1457"/>
    <n v="0"/>
    <n v="0"/>
    <n v="31"/>
    <n v="31"/>
    <n v="0"/>
    <n v="0"/>
    <n v="100"/>
    <s v="Consolidation"/>
    <s v="CO2e and Base Measure"/>
    <n v="100"/>
    <n v="100"/>
    <n v="0.15"/>
    <m/>
    <m/>
    <m/>
    <m/>
    <m/>
    <n v="0.18940000000000001"/>
    <m/>
    <n v="0.18940000000000001"/>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4-01T00:00:00"/>
    <s v="FY21"/>
    <s v="t"/>
    <n v="0"/>
    <n v="0"/>
    <n v="0.14099999999999999"/>
    <n v="0.14099999999999999"/>
    <n v="0"/>
    <n v="0"/>
    <n v="30"/>
    <n v="30"/>
    <n v="0"/>
    <n v="0"/>
    <n v="100"/>
    <s v="Consolidation"/>
    <s v="CO2e and Base Measure"/>
    <n v="100"/>
    <n v="100"/>
    <n v="0.14000000000000001"/>
    <m/>
    <m/>
    <m/>
    <m/>
    <m/>
    <n v="0.18329999999999999"/>
    <m/>
    <n v="0.18329999999999999"/>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5-01T00:00:00"/>
    <s v="FY21"/>
    <s v="t"/>
    <n v="0"/>
    <n v="0"/>
    <n v="0.1457"/>
    <n v="0.1457"/>
    <n v="0"/>
    <n v="0"/>
    <n v="31"/>
    <n v="31"/>
    <n v="0"/>
    <n v="0"/>
    <n v="100"/>
    <s v="Consolidation"/>
    <s v="CO2e and Base Measure"/>
    <n v="100"/>
    <n v="100"/>
    <n v="0.15"/>
    <m/>
    <m/>
    <m/>
    <m/>
    <m/>
    <n v="0.18940000000000001"/>
    <m/>
    <n v="0.18940000000000001"/>
    <m/>
    <m/>
    <m/>
    <m/>
    <m/>
    <s v="AUD"/>
    <s v="13634120Waste - General [t] - Scope 3"/>
    <n v="13634120"/>
  </r>
  <r>
    <d v="2019-07-01T00:00:00"/>
    <d v="2021-06-30T00:00:00"/>
    <s v="Telstra"/>
    <s v="NETWORK"/>
    <s v="Network - InfraCo"/>
    <s v="NSW"/>
    <s v="Australia"/>
    <s v="Gloucester"/>
    <s v="GLOUCESTER EXCHANGE"/>
    <n v="423030350000"/>
    <s v="Waste"/>
    <x v="1"/>
    <x v="2"/>
    <s v="Account"/>
    <s v="Remondis General Waste"/>
    <m/>
    <s v="4230303500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665Waste - General [t] - Scope 3"/>
    <n v="13564665"/>
  </r>
  <r>
    <d v="2019-07-01T00:00:00"/>
    <d v="2021-06-30T00:00:00"/>
    <s v="Telstra"/>
    <s v="NETWORK"/>
    <s v="Network - InfraCo"/>
    <s v="NSW"/>
    <s v="Australia"/>
    <s v="Gloucester"/>
    <s v="GLOUCESTER EXCHANGE"/>
    <n v="423030350000"/>
    <s v="Waste"/>
    <x v="1"/>
    <x v="2"/>
    <s v="Account"/>
    <s v="Remondis General Waste"/>
    <m/>
    <s v="423030350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665Waste - General [t] - Scope 3"/>
    <n v="13564665"/>
  </r>
  <r>
    <d v="2019-07-01T00:00:00"/>
    <d v="2021-06-30T00:00:00"/>
    <s v="Telstra"/>
    <s v="NETWORK"/>
    <s v="Network - InfraCo"/>
    <s v="NSW"/>
    <s v="Australia"/>
    <s v="Gloucester"/>
    <s v="GLOUCESTER EXCHANGE"/>
    <n v="423030350000"/>
    <s v="Waste"/>
    <x v="1"/>
    <x v="2"/>
    <s v="Account"/>
    <s v="Remondis General Waste"/>
    <m/>
    <s v="4230303500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4665Waste - General [t] - Scope 3"/>
    <n v="13564665"/>
  </r>
  <r>
    <d v="2019-07-01T00:00:00"/>
    <d v="2021-06-30T00:00:00"/>
    <s v="Telstra"/>
    <s v="NETWORK"/>
    <s v="Network - InfraCo"/>
    <s v="NSW"/>
    <s v="Australia"/>
    <s v="Gloucester"/>
    <s v="GLOUCESTER EXCHANGE"/>
    <n v="423030350000"/>
    <s v="Waste"/>
    <x v="1"/>
    <x v="2"/>
    <s v="Account"/>
    <s v="CLEANAWAY General"/>
    <m/>
    <s v="44491_Landfill_General"/>
    <s v="General"/>
    <s v="Cleanaway"/>
    <m/>
    <d v="2021-01-19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9876Waste - General [t] - Scope 3"/>
    <n v="13639876"/>
  </r>
  <r>
    <d v="2019-07-01T00:00:00"/>
    <d v="2021-06-30T00:00:00"/>
    <s v="Telstra"/>
    <s v="NETWORK"/>
    <s v="Network - InfraCo"/>
    <s v="NSW"/>
    <s v="Australia"/>
    <s v="Gloucester"/>
    <s v="GLOUCESTER EXCHANGE"/>
    <n v="423030350000"/>
    <s v="Waste"/>
    <x v="1"/>
    <x v="2"/>
    <s v="Account"/>
    <s v="CLEANAWAY General"/>
    <m/>
    <s v="44491_Landfill_General"/>
    <s v="General"/>
    <s v="Cleanaway"/>
    <m/>
    <d v="2021-01-19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9876Waste - General [t] - Scope 3"/>
    <n v="13639876"/>
  </r>
  <r>
    <d v="2019-07-01T00:00:00"/>
    <d v="2021-06-30T00:00:00"/>
    <s v="Telstra"/>
    <s v="NETWORK"/>
    <s v="Network - InfraCo"/>
    <s v="NSW"/>
    <s v="Australia"/>
    <s v="Gloucester"/>
    <s v="GLOUCESTER EXCHANGE"/>
    <n v="423030350000"/>
    <s v="Waste"/>
    <x v="1"/>
    <x v="2"/>
    <s v="Account"/>
    <s v="CLEANAWAY General"/>
    <m/>
    <s v="44491_Landfill_General"/>
    <s v="General"/>
    <s v="Cleanaway"/>
    <m/>
    <d v="2021-01-19T00:00:00"/>
    <m/>
    <d v="2021-04-01T00:00:00"/>
    <s v="FY21"/>
    <s v="t"/>
    <n v="0"/>
    <n v="0"/>
    <n v="0.09"/>
    <n v="0.09"/>
    <n v="0"/>
    <n v="0"/>
    <n v="30"/>
    <n v="30"/>
    <n v="0"/>
    <n v="0"/>
    <n v="100"/>
    <s v="Consolidation"/>
    <s v="CO2e and Base Measure"/>
    <n v="100"/>
    <n v="100"/>
    <n v="0.09"/>
    <m/>
    <m/>
    <m/>
    <m/>
    <m/>
    <n v="0.11700000000000001"/>
    <m/>
    <n v="0.11700000000000001"/>
    <m/>
    <m/>
    <m/>
    <m/>
    <m/>
    <s v="AUD"/>
    <s v="13639876Waste - General [t] - Scope 3"/>
    <n v="13639876"/>
  </r>
  <r>
    <d v="2019-07-01T00:00:00"/>
    <d v="2021-06-30T00:00:00"/>
    <s v="Telstra"/>
    <s v="NETWORK"/>
    <s v="Network - InfraCo"/>
    <s v="NSW"/>
    <s v="Australia"/>
    <s v="Gloucester"/>
    <s v="GLOUCESTER EXCHANGE"/>
    <n v="423030350000"/>
    <s v="Waste"/>
    <x v="1"/>
    <x v="2"/>
    <s v="Account"/>
    <s v="CLEANAWAY General"/>
    <m/>
    <s v="44491_Landfill_General"/>
    <s v="General"/>
    <s v="Cleanaway"/>
    <m/>
    <d v="2021-01-19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9876Waste - General [t] - Scope 3"/>
    <n v="13639876"/>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07-01T00:00:00"/>
    <s v="FY21"/>
    <s v="t"/>
    <n v="3.5000000000000003E-2"/>
    <n v="0.252"/>
    <n v="0"/>
    <n v="0.28699999999999998"/>
    <n v="1"/>
    <n v="4"/>
    <n v="0"/>
    <n v="5"/>
    <n v="12.19"/>
    <n v="87.8"/>
    <n v="0"/>
    <s v="Consolidation"/>
    <s v="CO2e and Base Measure"/>
    <n v="100"/>
    <n v="100"/>
    <n v="0.28999999999999998"/>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08-01T00:00:00"/>
    <s v="FY21"/>
    <s v="t"/>
    <n v="0"/>
    <n v="0.189"/>
    <n v="0"/>
    <n v="0.189"/>
    <n v="0"/>
    <n v="3"/>
    <n v="0"/>
    <n v="3"/>
    <n v="0"/>
    <n v="100"/>
    <n v="0"/>
    <s v="Consolidation"/>
    <s v="CO2e and Base Measure"/>
    <n v="100"/>
    <n v="100"/>
    <n v="0.19"/>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09-01T00:00:00"/>
    <s v="FY21"/>
    <s v="t"/>
    <n v="0.02"/>
    <n v="0.189"/>
    <n v="0"/>
    <n v="0.20899999999999999"/>
    <n v="1"/>
    <n v="3"/>
    <n v="0"/>
    <n v="4"/>
    <n v="9.56"/>
    <n v="90.43"/>
    <n v="0"/>
    <s v="Consolidation"/>
    <s v="CO2e and Base Measure"/>
    <n v="100"/>
    <n v="100"/>
    <n v="0.21"/>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10-01T00:00:00"/>
    <s v="FY21"/>
    <s v="t"/>
    <n v="0"/>
    <n v="6.3E-2"/>
    <n v="0"/>
    <n v="6.3E-2"/>
    <n v="0"/>
    <n v="1"/>
    <n v="0"/>
    <n v="1"/>
    <n v="0"/>
    <n v="100"/>
    <n v="0"/>
    <s v="Consolidation"/>
    <s v="CO2e and Base Measure"/>
    <n v="100"/>
    <n v="100"/>
    <n v="0.06"/>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12-01T00:00:00"/>
    <s v="FY21"/>
    <s v="t"/>
    <n v="0"/>
    <n v="0"/>
    <n v="5.4999999999999997E-3"/>
    <n v="5.4999999999999997E-3"/>
    <n v="0"/>
    <n v="0"/>
    <n v="1"/>
    <n v="1"/>
    <n v="0"/>
    <n v="0"/>
    <n v="100"/>
    <s v="Consolidation"/>
    <s v="CO2e and Base Measure"/>
    <n v="100"/>
    <n v="100"/>
    <n v="0.01"/>
    <m/>
    <m/>
    <m/>
    <m/>
    <m/>
    <m/>
    <n v="0"/>
    <m/>
    <m/>
    <m/>
    <m/>
    <m/>
    <m/>
    <s v="AUD"/>
    <s v="13565581Waste Recycled - Cardboard [t]"/>
    <n v="13565581"/>
  </r>
  <r>
    <d v="2019-07-01T00:00:00"/>
    <d v="2021-06-30T00:00:00"/>
    <s v="Telstra"/>
    <s v="NETWORK"/>
    <s v="Network - InfraCo"/>
    <s v="WA"/>
    <s v="Australia"/>
    <s v="Wanneroo"/>
    <s v="GNANGARA COMMUNICATIONS CENTRE"/>
    <n v="423031194000"/>
    <s v="Recycled Waste"/>
    <x v="0"/>
    <x v="3"/>
    <s v="Account"/>
    <s v="Remondis Commingled - Recycled"/>
    <m/>
    <s v="423031194000_RCOMINGLE"/>
    <s v="COMMINGLED - RECYCLED"/>
    <s v="Remondis"/>
    <m/>
    <m/>
    <d v="2020-12-01T00:00:00"/>
    <d v="2020-08-01T00:00:00"/>
    <s v="FY21"/>
    <s v="t"/>
    <n v="0"/>
    <n v="0.222"/>
    <n v="0"/>
    <n v="0.222"/>
    <n v="0"/>
    <n v="2"/>
    <n v="0"/>
    <n v="2"/>
    <n v="0"/>
    <n v="100"/>
    <n v="0"/>
    <s v="Consolidation"/>
    <s v="CO2e and Base Measure"/>
    <n v="100"/>
    <n v="100"/>
    <n v="0.22"/>
    <m/>
    <m/>
    <m/>
    <m/>
    <m/>
    <m/>
    <n v="0"/>
    <m/>
    <m/>
    <m/>
    <m/>
    <m/>
    <m/>
    <s v="AUD"/>
    <s v="13565582Waste Recycled - Commingled [t]"/>
    <n v="13565582"/>
  </r>
  <r>
    <d v="2019-07-01T00:00:00"/>
    <d v="2021-06-30T00:00:00"/>
    <s v="Telstra"/>
    <s v="NETWORK"/>
    <s v="Network - InfraCo"/>
    <s v="WA"/>
    <s v="Australia"/>
    <s v="Wanneroo"/>
    <s v="GNANGARA COMMUNICATIONS CENTRE"/>
    <n v="423031194000"/>
    <s v="Recycled Waste"/>
    <x v="0"/>
    <x v="3"/>
    <s v="Account"/>
    <s v="Remondis Commingled - Recycled"/>
    <m/>
    <s v="423031194000_RCOMINGLE"/>
    <s v="COMMINGLED - RECYCLED"/>
    <s v="Remondis"/>
    <m/>
    <m/>
    <d v="2020-12-01T00:00:00"/>
    <d v="2020-09-01T00:00:00"/>
    <s v="FY21"/>
    <s v="t"/>
    <n v="0"/>
    <n v="0.111"/>
    <n v="0"/>
    <n v="0.111"/>
    <n v="0"/>
    <n v="1"/>
    <n v="0"/>
    <n v="1"/>
    <n v="0"/>
    <n v="100"/>
    <n v="0"/>
    <s v="Consolidation"/>
    <s v="CO2e and Base Measure"/>
    <n v="100"/>
    <n v="100"/>
    <n v="0.11"/>
    <m/>
    <m/>
    <m/>
    <m/>
    <m/>
    <m/>
    <n v="0"/>
    <m/>
    <m/>
    <m/>
    <m/>
    <m/>
    <m/>
    <s v="AUD"/>
    <s v="13565582Waste Recycled - Commingled [t]"/>
    <n v="13565582"/>
  </r>
  <r>
    <d v="2019-07-01T00:00:00"/>
    <d v="2021-06-30T00:00:00"/>
    <s v="Telstra"/>
    <s v="NETWORK"/>
    <s v="Network - InfraCo"/>
    <s v="WA"/>
    <s v="Australia"/>
    <s v="Wanneroo"/>
    <s v="GNANGARA COMMUNICATIONS CENTRE"/>
    <n v="423031194000"/>
    <s v="Recycled Waste"/>
    <x v="0"/>
    <x v="3"/>
    <s v="Account"/>
    <s v="Remondis Commingled - Recycled"/>
    <m/>
    <s v="423031194000_RCOMINGLE"/>
    <s v="COMMINGLED - RECYCLED"/>
    <s v="Remondis"/>
    <m/>
    <m/>
    <d v="2020-12-01T00:00:00"/>
    <d v="2020-11-01T00:00:00"/>
    <s v="FY21"/>
    <s v="t"/>
    <n v="0"/>
    <n v="0.111"/>
    <n v="0"/>
    <n v="0.111"/>
    <n v="0"/>
    <n v="1"/>
    <n v="0"/>
    <n v="1"/>
    <n v="0"/>
    <n v="100"/>
    <n v="0"/>
    <s v="Consolidation"/>
    <s v="CO2e and Base Measure"/>
    <n v="100"/>
    <n v="100"/>
    <n v="0.11"/>
    <m/>
    <m/>
    <m/>
    <m/>
    <m/>
    <m/>
    <n v="0"/>
    <m/>
    <m/>
    <m/>
    <m/>
    <m/>
    <m/>
    <s v="AUD"/>
    <s v="13565582Waste Recycled - Commingled [t]"/>
    <n v="13565582"/>
  </r>
  <r>
    <d v="2019-07-01T00:00:00"/>
    <d v="2021-06-30T00:00:00"/>
    <s v="Telstra"/>
    <s v="NETWORK"/>
    <s v="Network - InfraCo"/>
    <s v="WA"/>
    <s v="Australia"/>
    <s v="Wanneroo"/>
    <s v="GNANGARA COMMUNICATIONS CENTRE"/>
    <n v="423031194000"/>
    <s v="Recycled Waste"/>
    <x v="0"/>
    <x v="3"/>
    <s v="Account"/>
    <s v="Remondis Commingled - Recycled"/>
    <m/>
    <s v="423031194000_RCOMINGLE"/>
    <s v="COMMINGLED - RECYCLED"/>
    <s v="Remondis"/>
    <m/>
    <m/>
    <d v="2020-12-01T00:00:00"/>
    <d v="2020-12-01T00:00:00"/>
    <s v="FY21"/>
    <s v="t"/>
    <n v="0"/>
    <n v="0"/>
    <n v="3.7000000000000002E-3"/>
    <n v="3.7000000000000002E-3"/>
    <n v="0"/>
    <n v="0"/>
    <n v="1"/>
    <n v="1"/>
    <n v="0"/>
    <n v="0"/>
    <n v="100"/>
    <s v="Consolidation"/>
    <s v="CO2e and Base Measure"/>
    <n v="100"/>
    <n v="100"/>
    <n v="0"/>
    <m/>
    <m/>
    <m/>
    <m/>
    <m/>
    <m/>
    <n v="0"/>
    <m/>
    <m/>
    <m/>
    <m/>
    <m/>
    <m/>
    <s v="AUD"/>
    <s v="13565582Waste Recycled - Commingled [t]"/>
    <n v="13565582"/>
  </r>
  <r>
    <d v="2019-07-01T00:00:00"/>
    <d v="2021-06-30T00:00:00"/>
    <s v="Telstra"/>
    <s v="NETWORK"/>
    <s v="Network - InfraCo"/>
    <s v="WA"/>
    <s v="Australia"/>
    <s v="Wanneroo"/>
    <s v="GNANGARA COMMUNICATIONS CENTRE"/>
    <n v="423031194000"/>
    <s v="Recycled Waste"/>
    <x v="0"/>
    <x v="1"/>
    <s v="Account"/>
    <s v="Remondis Electrical Comp. (E-Waste)"/>
    <m/>
    <s v="423031194000_RELECTRIC"/>
    <s v="ELECTRICAL COMP. E-WASTE"/>
    <s v="Remondis"/>
    <m/>
    <m/>
    <d v="2021-01-01T00:00:00"/>
    <d v="2020-09-01T00:00:00"/>
    <s v="FY21"/>
    <s v="t"/>
    <n v="0"/>
    <n v="0.12540000000000001"/>
    <n v="0"/>
    <n v="0.12540000000000001"/>
    <n v="0"/>
    <n v="1"/>
    <n v="0"/>
    <n v="1"/>
    <n v="0"/>
    <n v="100"/>
    <n v="0"/>
    <s v="Consolidation"/>
    <s v="CO2e and Base Measure"/>
    <n v="100"/>
    <n v="100"/>
    <n v="0.13"/>
    <m/>
    <m/>
    <m/>
    <m/>
    <m/>
    <m/>
    <m/>
    <m/>
    <m/>
    <m/>
    <m/>
    <m/>
    <m/>
    <s v="AUD"/>
    <s v="13565583Waste Recycled - E-waste [t]"/>
    <n v="13565583"/>
  </r>
  <r>
    <d v="2019-07-01T00:00:00"/>
    <d v="2021-06-30T00:00:00"/>
    <s v="Telstra"/>
    <s v="NETWORK"/>
    <s v="Network - InfraCo"/>
    <s v="WA"/>
    <s v="Australia"/>
    <s v="Wanneroo"/>
    <s v="GNANGARA COMMUNICATIONS CENTRE"/>
    <n v="423031194000"/>
    <s v="Recycled Waste"/>
    <x v="0"/>
    <x v="1"/>
    <s v="Account"/>
    <s v="Remondis Electrical Comp. (E-Waste)"/>
    <m/>
    <s v="4230311940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5583Waste Recycled - E-waste [t]"/>
    <n v="13565583"/>
  </r>
  <r>
    <d v="2019-07-01T00:00:00"/>
    <d v="2021-06-30T00:00:00"/>
    <s v="Telstra"/>
    <s v="NETWORK"/>
    <s v="Network - InfraCo"/>
    <s v="WA"/>
    <s v="Australia"/>
    <s v="Wanneroo"/>
    <s v="GNANGARA COMMUNICATIONS CENTRE"/>
    <n v="423031194000"/>
    <s v="Recycled Waste"/>
    <x v="0"/>
    <x v="1"/>
    <s v="Account"/>
    <s v="Remondis Electrical Comp. (E-Waste)"/>
    <m/>
    <s v="423031194000_RELECTRIC"/>
    <s v="ELECTRICAL COMP. E-WASTE"/>
    <s v="Remondis"/>
    <m/>
    <m/>
    <d v="2021-01-01T00:00:00"/>
    <d v="2021-01-01T00:00:00"/>
    <s v="FY21"/>
    <s v="t"/>
    <n v="0"/>
    <n v="0"/>
    <n v="2.0999999999999999E-3"/>
    <n v="2.0999999999999999E-3"/>
    <n v="0"/>
    <n v="0"/>
    <n v="1"/>
    <n v="1"/>
    <n v="0"/>
    <n v="0"/>
    <n v="100"/>
    <s v="Consolidation"/>
    <s v="CO2e and Base Measure"/>
    <n v="100"/>
    <n v="100"/>
    <n v="0"/>
    <m/>
    <m/>
    <m/>
    <m/>
    <m/>
    <m/>
    <m/>
    <m/>
    <m/>
    <m/>
    <m/>
    <m/>
    <m/>
    <s v="AUD"/>
    <s v="13565583Waste Recycled - E-waste [t]"/>
    <n v="13565583"/>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07-01T00:00:00"/>
    <s v="FY21"/>
    <s v="t"/>
    <n v="2.57"/>
    <n v="2.145"/>
    <n v="0"/>
    <n v="4.7149999999999999"/>
    <n v="3"/>
    <n v="7"/>
    <n v="0"/>
    <n v="10"/>
    <n v="54.5"/>
    <n v="45.49"/>
    <n v="0"/>
    <s v="Consolidation"/>
    <s v="CO2e and Base Measure"/>
    <n v="100"/>
    <n v="100"/>
    <n v="4.72"/>
    <m/>
    <m/>
    <m/>
    <m/>
    <m/>
    <n v="6.1295000000000002"/>
    <m/>
    <n v="6.1295000000000002"/>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08-01T00:00:00"/>
    <s v="FY21"/>
    <s v="t"/>
    <n v="1.675"/>
    <n v="0.58499999999999996"/>
    <n v="0"/>
    <n v="2.2599999999999998"/>
    <n v="3"/>
    <n v="3"/>
    <n v="0"/>
    <n v="6"/>
    <n v="74.11"/>
    <n v="25.88"/>
    <n v="0"/>
    <s v="Consolidation"/>
    <s v="CO2e and Base Measure"/>
    <n v="100"/>
    <n v="100"/>
    <n v="2.2599999999999998"/>
    <m/>
    <m/>
    <m/>
    <m/>
    <m/>
    <n v="2.9380000000000002"/>
    <m/>
    <n v="2.9380000000000002"/>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09-01T00:00:00"/>
    <s v="FY21"/>
    <s v="t"/>
    <n v="0.14499999999999999"/>
    <n v="0.58499999999999996"/>
    <n v="0"/>
    <n v="0.73"/>
    <n v="2"/>
    <n v="3"/>
    <n v="0"/>
    <n v="5"/>
    <n v="19.86"/>
    <n v="80.13"/>
    <n v="0"/>
    <s v="Consolidation"/>
    <s v="CO2e and Base Measure"/>
    <n v="100"/>
    <n v="100"/>
    <n v="0.73"/>
    <m/>
    <m/>
    <m/>
    <m/>
    <m/>
    <n v="0.94899999999999995"/>
    <m/>
    <n v="0.94899999999999995"/>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10-01T00:00:00"/>
    <s v="FY21"/>
    <s v="t"/>
    <n v="1.42"/>
    <n v="0"/>
    <n v="0"/>
    <n v="1.42"/>
    <n v="5"/>
    <n v="0"/>
    <n v="0"/>
    <n v="5"/>
    <n v="100"/>
    <n v="0"/>
    <n v="0"/>
    <s v="Consolidation"/>
    <s v="CO2e and Base Measure"/>
    <n v="100"/>
    <n v="100"/>
    <n v="1.42"/>
    <m/>
    <m/>
    <m/>
    <m/>
    <m/>
    <n v="1.8460000000000001"/>
    <m/>
    <n v="1.8460000000000001"/>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11-01T00:00:00"/>
    <s v="FY21"/>
    <s v="t"/>
    <n v="0"/>
    <n v="0.78"/>
    <n v="0"/>
    <n v="0.78"/>
    <n v="0"/>
    <n v="4"/>
    <n v="0"/>
    <n v="4"/>
    <n v="0"/>
    <n v="100"/>
    <n v="0"/>
    <s v="Consolidation"/>
    <s v="CO2e and Base Measure"/>
    <n v="100"/>
    <n v="100"/>
    <n v="0.78"/>
    <m/>
    <m/>
    <m/>
    <m/>
    <m/>
    <n v="1.014"/>
    <m/>
    <n v="1.014"/>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12-01T00:00:00"/>
    <s v="FY21"/>
    <s v="t"/>
    <n v="0.9"/>
    <n v="0"/>
    <n v="0"/>
    <n v="0.9"/>
    <n v="1"/>
    <n v="0"/>
    <n v="0"/>
    <n v="1"/>
    <n v="100"/>
    <n v="0"/>
    <n v="0"/>
    <s v="Consolidation"/>
    <s v="CO2e and Base Measure"/>
    <n v="100"/>
    <n v="100"/>
    <n v="0.9"/>
    <m/>
    <m/>
    <m/>
    <m/>
    <m/>
    <n v="1.17"/>
    <m/>
    <n v="1.17"/>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1-01-01T00:00:00"/>
    <s v="FY21"/>
    <s v="t"/>
    <n v="0"/>
    <n v="0"/>
    <n v="6.7400000000000002E-2"/>
    <n v="6.7400000000000002E-2"/>
    <n v="0"/>
    <n v="0"/>
    <n v="1"/>
    <n v="1"/>
    <n v="0"/>
    <n v="0"/>
    <n v="100"/>
    <s v="Consolidation"/>
    <s v="CO2e and Base Measure"/>
    <n v="100"/>
    <n v="100"/>
    <n v="7.0000000000000007E-2"/>
    <m/>
    <m/>
    <m/>
    <m/>
    <m/>
    <n v="8.7599999999999997E-2"/>
    <m/>
    <n v="8.7599999999999997E-2"/>
    <m/>
    <m/>
    <m/>
    <m/>
    <m/>
    <s v="AUD"/>
    <s v="13565585Waste - General [t] - Scope 3"/>
    <n v="13565585"/>
  </r>
  <r>
    <d v="2019-07-01T00:00:00"/>
    <d v="2021-06-30T00:00:00"/>
    <s v="Telstra"/>
    <s v="NETWORK"/>
    <s v="Network - InfraCo"/>
    <s v="WA"/>
    <s v="Australia"/>
    <s v="Wanneroo"/>
    <s v="GNANGARA COMMUNICATIONS CENTRE"/>
    <n v="423031194000"/>
    <s v="Recycled Waste"/>
    <x v="0"/>
    <x v="0"/>
    <s v="Account"/>
    <s v="Remondis Paper Mixed Office Recycled"/>
    <m/>
    <s v="423031194000_RPAPERMIX"/>
    <s v="PAPER MIXED OFFICE RECYCLED"/>
    <s v="Remondis"/>
    <m/>
    <m/>
    <d v="2020-10-01T00:00:00"/>
    <d v="2020-09-01T00:00:00"/>
    <s v="FY21"/>
    <s v="t"/>
    <n v="0.01"/>
    <n v="0"/>
    <n v="0"/>
    <n v="0.01"/>
    <n v="1"/>
    <n v="0"/>
    <n v="0"/>
    <n v="1"/>
    <n v="100"/>
    <n v="0"/>
    <n v="0"/>
    <s v="Consolidation"/>
    <s v="CO2e and Base Measure"/>
    <n v="100"/>
    <n v="100"/>
    <n v="0.01"/>
    <m/>
    <m/>
    <m/>
    <m/>
    <m/>
    <m/>
    <n v="0"/>
    <m/>
    <m/>
    <m/>
    <m/>
    <m/>
    <m/>
    <s v="AUD"/>
    <s v="13565587Waste Recycled - Cardboard [t]"/>
    <n v="13565587"/>
  </r>
  <r>
    <d v="2019-07-01T00:00:00"/>
    <d v="2021-06-30T00:00:00"/>
    <s v="Telstra"/>
    <s v="NETWORK"/>
    <s v="Network - InfraCo"/>
    <s v="WA"/>
    <s v="Australia"/>
    <s v="Wanneroo"/>
    <s v="GNANGARA COMMUNICATIONS CENTRE"/>
    <n v="423031194000"/>
    <s v="Recycled Waste"/>
    <x v="0"/>
    <x v="0"/>
    <s v="Account"/>
    <s v="Remondis Paper Mixed Office Recycled"/>
    <m/>
    <s v="423031194000_RPAPERMIX"/>
    <s v="PAPER MIXED OFFICE RECYCLED"/>
    <s v="Remondis"/>
    <m/>
    <m/>
    <d v="2020-10-01T00:00:00"/>
    <d v="2020-10-01T00:00:00"/>
    <s v="FY21"/>
    <s v="t"/>
    <n v="0"/>
    <n v="0"/>
    <n v="2.9999999999999997E-4"/>
    <n v="2.9999999999999997E-4"/>
    <n v="0"/>
    <n v="0"/>
    <n v="1"/>
    <n v="1"/>
    <n v="0"/>
    <n v="0"/>
    <n v="100"/>
    <s v="Consolidation"/>
    <s v="CO2e and Base Measure"/>
    <n v="100"/>
    <n v="100"/>
    <n v="0"/>
    <m/>
    <m/>
    <m/>
    <m/>
    <m/>
    <m/>
    <n v="0"/>
    <m/>
    <m/>
    <m/>
    <m/>
    <m/>
    <m/>
    <s v="AUD"/>
    <s v="13565587Waste Recycled - Cardboard [t]"/>
    <n v="13565587"/>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0-12-01T00:00:00"/>
    <s v="FY21"/>
    <s v="t"/>
    <n v="0.74"/>
    <n v="0"/>
    <n v="0"/>
    <n v="0.74"/>
    <n v="3"/>
    <n v="0"/>
    <n v="0"/>
    <n v="3"/>
    <n v="100"/>
    <n v="0"/>
    <n v="0"/>
    <s v="Consolidation"/>
    <s v="CO2e and Base Measure"/>
    <n v="100"/>
    <n v="100"/>
    <n v="0.74"/>
    <m/>
    <m/>
    <m/>
    <m/>
    <m/>
    <n v="0.96199999999999997"/>
    <m/>
    <n v="0.96199999999999997"/>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1-01T00:00:00"/>
    <s v="FY21"/>
    <s v="t"/>
    <n v="0.27600000000000002"/>
    <n v="0"/>
    <n v="0"/>
    <n v="0.27600000000000002"/>
    <n v="2"/>
    <n v="0"/>
    <n v="0"/>
    <n v="2"/>
    <n v="100"/>
    <n v="0"/>
    <n v="0"/>
    <s v="Consolidation"/>
    <s v="CO2e and Base Measure"/>
    <n v="100"/>
    <n v="100"/>
    <n v="0.28000000000000003"/>
    <m/>
    <m/>
    <m/>
    <m/>
    <m/>
    <n v="0.35880000000000001"/>
    <m/>
    <n v="0.35880000000000001"/>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2-01T00:00:00"/>
    <s v="FY21"/>
    <s v="t"/>
    <n v="2.0979999999999999"/>
    <n v="0"/>
    <n v="0"/>
    <n v="2.0979999999999999"/>
    <n v="6"/>
    <n v="0"/>
    <n v="0"/>
    <n v="6"/>
    <n v="100"/>
    <n v="0"/>
    <n v="0"/>
    <s v="Consolidation"/>
    <s v="CO2e and Base Measure"/>
    <n v="100"/>
    <n v="100"/>
    <n v="2.1"/>
    <m/>
    <m/>
    <m/>
    <m/>
    <m/>
    <n v="2.7273999999999998"/>
    <m/>
    <n v="2.7273999999999998"/>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3-01T00:00:00"/>
    <s v="FY21"/>
    <s v="t"/>
    <n v="3.56"/>
    <n v="0"/>
    <n v="0"/>
    <n v="3.56"/>
    <n v="8"/>
    <n v="0"/>
    <n v="0"/>
    <n v="8"/>
    <n v="100"/>
    <n v="0"/>
    <n v="0"/>
    <s v="Consolidation"/>
    <s v="CO2e and Base Measure"/>
    <n v="100"/>
    <n v="100"/>
    <n v="3.56"/>
    <m/>
    <m/>
    <m/>
    <m/>
    <m/>
    <n v="4.6280000000000001"/>
    <m/>
    <n v="4.6280000000000001"/>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4-01T00:00:00"/>
    <s v="FY21"/>
    <s v="t"/>
    <n v="0"/>
    <n v="0"/>
    <n v="1.6679999999999999"/>
    <n v="1.6679999999999999"/>
    <n v="0"/>
    <n v="0"/>
    <n v="30"/>
    <n v="30"/>
    <n v="0"/>
    <n v="0"/>
    <n v="100"/>
    <s v="Consolidation"/>
    <s v="CO2e and Base Measure"/>
    <n v="100"/>
    <n v="100"/>
    <n v="1.67"/>
    <m/>
    <m/>
    <m/>
    <m/>
    <m/>
    <n v="2.1684000000000001"/>
    <m/>
    <n v="2.1684000000000001"/>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5-01T00:00:00"/>
    <s v="FY21"/>
    <s v="t"/>
    <n v="0"/>
    <n v="0"/>
    <n v="1.7236"/>
    <n v="1.7236"/>
    <n v="0"/>
    <n v="0"/>
    <n v="31"/>
    <n v="31"/>
    <n v="0"/>
    <n v="0"/>
    <n v="100"/>
    <s v="Consolidation"/>
    <s v="CO2e and Base Measure"/>
    <n v="100"/>
    <n v="100"/>
    <n v="1.72"/>
    <m/>
    <m/>
    <m/>
    <m/>
    <m/>
    <n v="2.2406999999999999"/>
    <m/>
    <n v="2.2406999999999999"/>
    <m/>
    <m/>
    <m/>
    <m/>
    <m/>
    <s v="AUD"/>
    <s v="13634224Waste - General [t] - Scope 3"/>
    <n v="13634224"/>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0-12-01T00:00:00"/>
    <s v="FY21"/>
    <s v="t"/>
    <n v="0.17899999999999999"/>
    <n v="0"/>
    <n v="0"/>
    <n v="0.17899999999999999"/>
    <n v="4"/>
    <n v="0"/>
    <n v="0"/>
    <n v="4"/>
    <n v="100"/>
    <n v="0"/>
    <n v="0"/>
    <s v="Consolidation"/>
    <s v="CO2e and Base Measure"/>
    <n v="100"/>
    <n v="100"/>
    <n v="0.18"/>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1-01T00:00:00"/>
    <s v="FY21"/>
    <s v="t"/>
    <n v="0.16"/>
    <n v="7.4999999999999997E-2"/>
    <n v="0"/>
    <n v="0.23499999999999999"/>
    <n v="3"/>
    <n v="1"/>
    <n v="0"/>
    <n v="4"/>
    <n v="68.08"/>
    <n v="31.91"/>
    <n v="0"/>
    <s v="Consolidation"/>
    <s v="CO2e and Base Measure"/>
    <n v="100"/>
    <n v="100"/>
    <n v="0.24"/>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2-01T00:00:00"/>
    <s v="FY21"/>
    <s v="t"/>
    <n v="0.188"/>
    <n v="0.15"/>
    <n v="0"/>
    <n v="0.33800000000000002"/>
    <n v="2"/>
    <n v="2"/>
    <n v="0"/>
    <n v="4"/>
    <n v="55.62"/>
    <n v="44.37"/>
    <n v="0"/>
    <s v="Consolidation"/>
    <s v="CO2e and Base Measure"/>
    <n v="100"/>
    <n v="100"/>
    <n v="0.34"/>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3-01T00:00:00"/>
    <s v="FY21"/>
    <s v="t"/>
    <n v="0.377"/>
    <n v="0.22500000000000001"/>
    <n v="0"/>
    <n v="0.60199999999999998"/>
    <n v="3"/>
    <n v="3"/>
    <n v="0"/>
    <n v="6"/>
    <n v="62.62"/>
    <n v="37.369999999999997"/>
    <n v="0"/>
    <s v="Consolidation"/>
    <s v="CO2e and Base Measure"/>
    <n v="100"/>
    <n v="100"/>
    <n v="0.6"/>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4-01T00:00:00"/>
    <s v="FY21"/>
    <s v="t"/>
    <n v="0"/>
    <n v="0"/>
    <n v="0.33900000000000002"/>
    <n v="0.33900000000000002"/>
    <n v="0"/>
    <n v="0"/>
    <n v="30"/>
    <n v="30"/>
    <n v="0"/>
    <n v="0"/>
    <n v="100"/>
    <s v="Consolidation"/>
    <s v="CO2e and Base Measure"/>
    <n v="100"/>
    <n v="100"/>
    <n v="0.34"/>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5-01T00:00:00"/>
    <s v="FY21"/>
    <s v="t"/>
    <n v="0"/>
    <n v="0"/>
    <n v="0.3503"/>
    <n v="0.3503"/>
    <n v="0"/>
    <n v="0"/>
    <n v="31"/>
    <n v="31"/>
    <n v="0"/>
    <n v="0"/>
    <n v="100"/>
    <s v="Consolidation"/>
    <s v="CO2e and Base Measure"/>
    <n v="100"/>
    <n v="100"/>
    <n v="0.35"/>
    <m/>
    <m/>
    <m/>
    <m/>
    <m/>
    <m/>
    <m/>
    <m/>
    <m/>
    <m/>
    <m/>
    <m/>
    <m/>
    <s v="AUD"/>
    <s v="13634225Waste Recycled - Paper and Cardboard [t]"/>
    <n v="13634225"/>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797Waste - General [t] - Scope 3"/>
    <n v="13564797"/>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1-01T00:00:00"/>
    <s v="FY21"/>
    <s v="t"/>
    <n v="0.27700000000000002"/>
    <n v="0"/>
    <n v="0"/>
    <n v="0.27700000000000002"/>
    <n v="2"/>
    <n v="0"/>
    <n v="0"/>
    <n v="2"/>
    <n v="100"/>
    <n v="0"/>
    <n v="0"/>
    <s v="Consolidation"/>
    <s v="CO2e and Base Measure"/>
    <n v="100"/>
    <n v="100"/>
    <n v="0.28000000000000003"/>
    <m/>
    <m/>
    <m/>
    <m/>
    <m/>
    <n v="0.36009999999999998"/>
    <m/>
    <n v="0.36009999999999998"/>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2-01T00:00:00"/>
    <s v="FY21"/>
    <s v="t"/>
    <n v="0.23"/>
    <n v="0"/>
    <n v="0"/>
    <n v="0.23"/>
    <n v="2"/>
    <n v="0"/>
    <n v="0"/>
    <n v="2"/>
    <n v="100"/>
    <n v="0"/>
    <n v="0"/>
    <s v="Consolidation"/>
    <s v="CO2e and Base Measure"/>
    <n v="100"/>
    <n v="100"/>
    <n v="0.23"/>
    <m/>
    <m/>
    <m/>
    <m/>
    <m/>
    <n v="0.29899999999999999"/>
    <m/>
    <n v="0.29899999999999999"/>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3-01T00:00:00"/>
    <s v="FY21"/>
    <s v="t"/>
    <n v="0.50900000000000001"/>
    <n v="0"/>
    <n v="0"/>
    <n v="0.50900000000000001"/>
    <n v="3"/>
    <n v="0"/>
    <n v="0"/>
    <n v="3"/>
    <n v="100"/>
    <n v="0"/>
    <n v="0"/>
    <s v="Consolidation"/>
    <s v="CO2e and Base Measure"/>
    <n v="100"/>
    <n v="100"/>
    <n v="0.51"/>
    <m/>
    <m/>
    <m/>
    <m/>
    <m/>
    <n v="0.66169999999999995"/>
    <m/>
    <n v="0.66169999999999995"/>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5-01T00:00:00"/>
    <s v="FY21"/>
    <s v="t"/>
    <n v="0"/>
    <n v="0"/>
    <n v="0.29759999999999998"/>
    <n v="0.29759999999999998"/>
    <n v="0"/>
    <n v="0"/>
    <n v="31"/>
    <n v="31"/>
    <n v="0"/>
    <n v="0"/>
    <n v="100"/>
    <s v="Consolidation"/>
    <s v="CO2e and Base Measure"/>
    <n v="100"/>
    <n v="100"/>
    <n v="0.3"/>
    <m/>
    <m/>
    <m/>
    <m/>
    <m/>
    <n v="0.38690000000000002"/>
    <m/>
    <n v="0.38690000000000002"/>
    <m/>
    <m/>
    <m/>
    <m/>
    <m/>
    <s v="AUD"/>
    <s v="13634121Waste - General [t] - Scope 3"/>
    <n v="13634121"/>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1-01-01T00:00:00"/>
    <s v="FY21"/>
    <s v="t"/>
    <n v="0"/>
    <n v="0"/>
    <n v="3.3E-3"/>
    <n v="3.3E-3"/>
    <n v="0"/>
    <n v="0"/>
    <n v="1"/>
    <n v="1"/>
    <n v="0"/>
    <n v="0"/>
    <n v="100"/>
    <s v="Consolidation"/>
    <s v="CO2e and Base Measure"/>
    <n v="100"/>
    <n v="100"/>
    <n v="0"/>
    <m/>
    <m/>
    <m/>
    <m/>
    <m/>
    <m/>
    <n v="0"/>
    <m/>
    <m/>
    <m/>
    <m/>
    <m/>
    <m/>
    <s v="AUD"/>
    <s v="13564160Waste Recycled - Cardboard [t]"/>
    <n v="13564160"/>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08-01T00:00:00"/>
    <s v="FY21"/>
    <s v="t"/>
    <n v="0.09"/>
    <n v="0"/>
    <n v="0"/>
    <n v="0.09"/>
    <n v="2"/>
    <n v="0"/>
    <n v="0"/>
    <n v="2"/>
    <n v="100"/>
    <n v="0"/>
    <n v="0"/>
    <s v="Consolidation"/>
    <s v="CO2e and Base Measure"/>
    <n v="100"/>
    <n v="100"/>
    <n v="0.09"/>
    <m/>
    <m/>
    <m/>
    <m/>
    <m/>
    <n v="0.11700000000000001"/>
    <m/>
    <n v="0.11700000000000001"/>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09-01T00:00:00"/>
    <s v="FY21"/>
    <s v="t"/>
    <n v="0.08"/>
    <n v="0"/>
    <n v="0"/>
    <n v="0.08"/>
    <n v="2"/>
    <n v="0"/>
    <n v="0"/>
    <n v="2"/>
    <n v="100"/>
    <n v="0"/>
    <n v="0"/>
    <s v="Consolidation"/>
    <s v="CO2e and Base Measure"/>
    <n v="100"/>
    <n v="100"/>
    <n v="0.08"/>
    <m/>
    <m/>
    <m/>
    <m/>
    <m/>
    <n v="0.104"/>
    <m/>
    <n v="0.104"/>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10-01T00:00:00"/>
    <s v="FY21"/>
    <s v="t"/>
    <n v="0.15"/>
    <n v="9.7500000000000003E-2"/>
    <n v="0"/>
    <n v="0.2475"/>
    <n v="2"/>
    <n v="1"/>
    <n v="0"/>
    <n v="3"/>
    <n v="60.6"/>
    <n v="39.39"/>
    <n v="0"/>
    <s v="Consolidation"/>
    <s v="CO2e and Base Measure"/>
    <n v="100"/>
    <n v="100"/>
    <n v="0.25"/>
    <m/>
    <m/>
    <m/>
    <m/>
    <m/>
    <n v="0.32179999999999997"/>
    <m/>
    <n v="0.32179999999999997"/>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11-01T00:00:00"/>
    <s v="FY21"/>
    <s v="t"/>
    <n v="7.0000000000000007E-2"/>
    <n v="0"/>
    <n v="0"/>
    <n v="7.0000000000000007E-2"/>
    <n v="2"/>
    <n v="0"/>
    <n v="0"/>
    <n v="2"/>
    <n v="100"/>
    <n v="0"/>
    <n v="0"/>
    <s v="Consolidation"/>
    <s v="CO2e and Base Measure"/>
    <n v="100"/>
    <n v="100"/>
    <n v="7.0000000000000007E-2"/>
    <m/>
    <m/>
    <m/>
    <m/>
    <m/>
    <n v="9.0999999999999998E-2"/>
    <m/>
    <n v="9.0999999999999998E-2"/>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1-01-01T00:00:00"/>
    <s v="FY21"/>
    <s v="t"/>
    <n v="0"/>
    <n v="0"/>
    <n v="4.4999999999999997E-3"/>
    <n v="4.4999999999999997E-3"/>
    <n v="0"/>
    <n v="0"/>
    <n v="1"/>
    <n v="1"/>
    <n v="0"/>
    <n v="0"/>
    <n v="100"/>
    <s v="Consolidation"/>
    <s v="CO2e and Base Measure"/>
    <n v="100"/>
    <n v="100"/>
    <n v="0"/>
    <m/>
    <m/>
    <m/>
    <m/>
    <m/>
    <n v="5.8999999999999999E-3"/>
    <m/>
    <n v="5.8999999999999999E-3"/>
    <m/>
    <m/>
    <m/>
    <m/>
    <m/>
    <s v="AUD"/>
    <s v="13564161Waste - General [t] - Scope 3"/>
    <n v="13564161"/>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0-12-01T00:00:00"/>
    <s v="FY21"/>
    <s v="t"/>
    <n v="5.8000000000000003E-2"/>
    <n v="6.7500000000000004E-2"/>
    <n v="0"/>
    <n v="0.1255"/>
    <n v="1"/>
    <n v="1"/>
    <n v="0"/>
    <n v="2"/>
    <n v="46.21"/>
    <n v="53.78"/>
    <n v="0"/>
    <s v="Consolidation"/>
    <s v="CO2e and Base Measure"/>
    <n v="100"/>
    <n v="100"/>
    <n v="0.13"/>
    <m/>
    <m/>
    <m/>
    <m/>
    <m/>
    <n v="0.16320000000000001"/>
    <m/>
    <n v="0.16320000000000001"/>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1-01T00:00:00"/>
    <s v="FY21"/>
    <s v="t"/>
    <n v="0.19600000000000001"/>
    <n v="0"/>
    <n v="0"/>
    <n v="0.19600000000000001"/>
    <n v="3"/>
    <n v="0"/>
    <n v="0"/>
    <n v="3"/>
    <n v="100"/>
    <n v="0"/>
    <n v="0"/>
    <s v="Consolidation"/>
    <s v="CO2e and Base Measure"/>
    <n v="100"/>
    <n v="100"/>
    <n v="0.2"/>
    <m/>
    <m/>
    <m/>
    <m/>
    <m/>
    <n v="0.25480000000000003"/>
    <m/>
    <n v="0.25480000000000003"/>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2-01T00:00:00"/>
    <s v="FY21"/>
    <s v="t"/>
    <n v="4.7E-2"/>
    <n v="0.13500000000000001"/>
    <n v="0"/>
    <n v="0.182"/>
    <n v="2"/>
    <n v="2"/>
    <n v="0"/>
    <n v="4"/>
    <n v="25.82"/>
    <n v="74.17"/>
    <n v="0"/>
    <s v="Consolidation"/>
    <s v="CO2e and Base Measure"/>
    <n v="100"/>
    <n v="100"/>
    <n v="0.18"/>
    <m/>
    <m/>
    <m/>
    <m/>
    <m/>
    <n v="0.2366"/>
    <m/>
    <n v="0.2366"/>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3-01T00:00:00"/>
    <s v="FY21"/>
    <s v="t"/>
    <n v="0.106"/>
    <n v="0"/>
    <n v="0"/>
    <n v="0.106"/>
    <n v="3"/>
    <n v="0"/>
    <n v="0"/>
    <n v="3"/>
    <n v="100"/>
    <n v="0"/>
    <n v="0"/>
    <s v="Consolidation"/>
    <s v="CO2e and Base Measure"/>
    <n v="100"/>
    <n v="100"/>
    <n v="0.11"/>
    <m/>
    <m/>
    <m/>
    <m/>
    <m/>
    <n v="0.13780000000000001"/>
    <m/>
    <n v="0.13780000000000001"/>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4-01T00:00:00"/>
    <s v="FY21"/>
    <s v="t"/>
    <n v="0"/>
    <n v="0"/>
    <n v="0.153"/>
    <n v="0.153"/>
    <n v="0"/>
    <n v="0"/>
    <n v="30"/>
    <n v="30"/>
    <n v="0"/>
    <n v="0"/>
    <n v="100"/>
    <s v="Consolidation"/>
    <s v="CO2e and Base Measure"/>
    <n v="100"/>
    <n v="100"/>
    <n v="0.15"/>
    <m/>
    <m/>
    <m/>
    <m/>
    <m/>
    <n v="0.19889999999999999"/>
    <m/>
    <n v="0.19889999999999999"/>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5-01T00:00:00"/>
    <s v="FY21"/>
    <s v="t"/>
    <n v="0"/>
    <n v="0"/>
    <n v="0.15809999999999999"/>
    <n v="0.15809999999999999"/>
    <n v="0"/>
    <n v="0"/>
    <n v="31"/>
    <n v="31"/>
    <n v="0"/>
    <n v="0"/>
    <n v="100"/>
    <s v="Consolidation"/>
    <s v="CO2e and Base Measure"/>
    <n v="100"/>
    <n v="100"/>
    <n v="0.16"/>
    <m/>
    <m/>
    <m/>
    <m/>
    <m/>
    <n v="0.20549999999999999"/>
    <m/>
    <n v="0.20549999999999999"/>
    <m/>
    <m/>
    <m/>
    <m/>
    <m/>
    <s v="AUD"/>
    <s v="13634122Waste - General [t] - Scope 3"/>
    <n v="13634122"/>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0-12-01T00:00:00"/>
    <s v="FY21"/>
    <s v="t"/>
    <n v="0"/>
    <n v="7.4999999999999997E-2"/>
    <n v="0"/>
    <n v="7.4999999999999997E-2"/>
    <n v="0"/>
    <n v="1"/>
    <n v="0"/>
    <n v="1"/>
    <n v="0"/>
    <n v="100"/>
    <n v="0"/>
    <s v="Consolidation"/>
    <s v="CO2e and Base Measure"/>
    <n v="100"/>
    <n v="100"/>
    <n v="0.08"/>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1-01T00:00:00"/>
    <s v="FY21"/>
    <s v="t"/>
    <n v="0"/>
    <n v="0.15"/>
    <n v="0"/>
    <n v="0.15"/>
    <n v="0"/>
    <n v="2"/>
    <n v="0"/>
    <n v="2"/>
    <n v="0"/>
    <n v="100"/>
    <n v="0"/>
    <s v="Consolidation"/>
    <s v="CO2e and Base Measure"/>
    <n v="100"/>
    <n v="100"/>
    <n v="0.15"/>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2-01T00:00:00"/>
    <s v="FY21"/>
    <s v="t"/>
    <n v="2.5000000000000001E-2"/>
    <n v="0"/>
    <n v="0"/>
    <n v="2.5000000000000001E-2"/>
    <n v="1"/>
    <n v="0"/>
    <n v="0"/>
    <n v="1"/>
    <n v="100"/>
    <n v="0"/>
    <n v="0"/>
    <s v="Consolidation"/>
    <s v="CO2e and Base Measure"/>
    <n v="100"/>
    <n v="100"/>
    <n v="0.03"/>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3-01T00:00:00"/>
    <s v="FY21"/>
    <s v="t"/>
    <n v="5.5E-2"/>
    <n v="7.4999999999999997E-2"/>
    <n v="0"/>
    <n v="0.13"/>
    <n v="1"/>
    <n v="1"/>
    <n v="0"/>
    <n v="2"/>
    <n v="42.3"/>
    <n v="57.69"/>
    <n v="0"/>
    <s v="Consolidation"/>
    <s v="CO2e and Base Measure"/>
    <n v="100"/>
    <n v="100"/>
    <n v="0.13"/>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4-01T00:00:00"/>
    <s v="FY21"/>
    <s v="t"/>
    <n v="0"/>
    <n v="0"/>
    <n v="9.6000000000000002E-2"/>
    <n v="9.6000000000000002E-2"/>
    <n v="0"/>
    <n v="0"/>
    <n v="30"/>
    <n v="30"/>
    <n v="0"/>
    <n v="0"/>
    <n v="100"/>
    <s v="Consolidation"/>
    <s v="CO2e and Base Measure"/>
    <n v="100"/>
    <n v="100"/>
    <n v="0.1"/>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5-01T00:00:00"/>
    <s v="FY21"/>
    <s v="t"/>
    <n v="0"/>
    <n v="0"/>
    <n v="9.9199999999999997E-2"/>
    <n v="9.9199999999999997E-2"/>
    <n v="0"/>
    <n v="0"/>
    <n v="31"/>
    <n v="31"/>
    <n v="0"/>
    <n v="0"/>
    <n v="100"/>
    <s v="Consolidation"/>
    <s v="CO2e and Base Measure"/>
    <n v="100"/>
    <n v="100"/>
    <n v="0.1"/>
    <m/>
    <m/>
    <m/>
    <m/>
    <m/>
    <m/>
    <m/>
    <m/>
    <m/>
    <m/>
    <m/>
    <m/>
    <m/>
    <s v="AUD"/>
    <s v="13634123Waste Recycled - Paper and Cardboard [t]"/>
    <n v="13634123"/>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971Waste Recycled - Cardboard [t]"/>
    <n v="13565971"/>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07-01T00:00:00"/>
    <s v="FY21"/>
    <s v="t"/>
    <n v="0"/>
    <n v="0.1444"/>
    <n v="0"/>
    <n v="0.1444"/>
    <n v="0"/>
    <n v="2"/>
    <n v="0"/>
    <n v="2"/>
    <n v="0"/>
    <n v="100"/>
    <n v="0"/>
    <s v="Consolidation"/>
    <s v="CO2e and Base Measure"/>
    <n v="100"/>
    <n v="100"/>
    <n v="0.14000000000000001"/>
    <m/>
    <m/>
    <m/>
    <m/>
    <m/>
    <n v="0.18770000000000001"/>
    <m/>
    <n v="0.18770000000000001"/>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08-01T00:00:00"/>
    <s v="FY21"/>
    <s v="t"/>
    <n v="0"/>
    <n v="0.1444"/>
    <n v="0"/>
    <n v="0.1444"/>
    <n v="0"/>
    <n v="2"/>
    <n v="0"/>
    <n v="2"/>
    <n v="0"/>
    <n v="100"/>
    <n v="0"/>
    <s v="Consolidation"/>
    <s v="CO2e and Base Measure"/>
    <n v="100"/>
    <n v="100"/>
    <n v="0.14000000000000001"/>
    <m/>
    <m/>
    <m/>
    <m/>
    <m/>
    <n v="0.18770000000000001"/>
    <m/>
    <n v="0.18770000000000001"/>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09-01T00:00:00"/>
    <s v="FY21"/>
    <s v="t"/>
    <n v="0"/>
    <n v="0.1444"/>
    <n v="0"/>
    <n v="0.1444"/>
    <n v="0"/>
    <n v="2"/>
    <n v="0"/>
    <n v="2"/>
    <n v="0"/>
    <n v="100"/>
    <n v="0"/>
    <s v="Consolidation"/>
    <s v="CO2e and Base Measure"/>
    <n v="100"/>
    <n v="100"/>
    <n v="0.14000000000000001"/>
    <m/>
    <m/>
    <m/>
    <m/>
    <m/>
    <n v="0.18770000000000001"/>
    <m/>
    <n v="0.18770000000000001"/>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10-01T00:00:00"/>
    <s v="FY21"/>
    <s v="t"/>
    <n v="0"/>
    <n v="0.21659999999999999"/>
    <n v="0"/>
    <n v="0.21659999999999999"/>
    <n v="0"/>
    <n v="3"/>
    <n v="0"/>
    <n v="3"/>
    <n v="0"/>
    <n v="100"/>
    <n v="0"/>
    <s v="Consolidation"/>
    <s v="CO2e and Base Measure"/>
    <n v="100"/>
    <n v="100"/>
    <n v="0.22"/>
    <m/>
    <m/>
    <m/>
    <m/>
    <m/>
    <n v="0.28160000000000002"/>
    <m/>
    <n v="0.28160000000000002"/>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11-01T00:00:00"/>
    <s v="FY21"/>
    <s v="t"/>
    <n v="0"/>
    <n v="0.1444"/>
    <n v="0"/>
    <n v="0.1444"/>
    <n v="0"/>
    <n v="2"/>
    <n v="0"/>
    <n v="2"/>
    <n v="0"/>
    <n v="100"/>
    <n v="0"/>
    <s v="Consolidation"/>
    <s v="CO2e and Base Measure"/>
    <n v="100"/>
    <n v="100"/>
    <n v="0.14000000000000001"/>
    <m/>
    <m/>
    <m/>
    <m/>
    <m/>
    <n v="0.18770000000000001"/>
    <m/>
    <n v="0.18770000000000001"/>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12-01T00:00:00"/>
    <s v="FY21"/>
    <s v="t"/>
    <n v="0"/>
    <n v="0"/>
    <n v="5.1999999999999998E-3"/>
    <n v="5.1999999999999998E-3"/>
    <n v="0"/>
    <n v="0"/>
    <n v="1"/>
    <n v="1"/>
    <n v="0"/>
    <n v="0"/>
    <n v="100"/>
    <s v="Consolidation"/>
    <s v="CO2e and Base Measure"/>
    <n v="100"/>
    <n v="100"/>
    <n v="0.01"/>
    <m/>
    <m/>
    <m/>
    <m/>
    <m/>
    <n v="6.7999999999999996E-3"/>
    <m/>
    <n v="6.7999999999999996E-3"/>
    <m/>
    <m/>
    <m/>
    <m/>
    <m/>
    <s v="AUD"/>
    <s v="13565972Waste - General [t] - Scope 3"/>
    <n v="13565972"/>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0-09-01T00:00:00"/>
    <s v="FY21"/>
    <s v="t"/>
    <n v="0"/>
    <n v="0.19500000000000001"/>
    <n v="0"/>
    <n v="0.19500000000000001"/>
    <n v="0"/>
    <n v="1"/>
    <n v="0"/>
    <n v="1"/>
    <n v="0"/>
    <n v="100"/>
    <n v="0"/>
    <s v="Consolidation"/>
    <s v="CO2e and Base Measure"/>
    <n v="100"/>
    <n v="100"/>
    <n v="0.2"/>
    <m/>
    <m/>
    <m/>
    <m/>
    <m/>
    <n v="0.2535"/>
    <m/>
    <n v="0.2535"/>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0-10-01T00:00:00"/>
    <s v="FY21"/>
    <s v="t"/>
    <n v="0"/>
    <n v="0.33750000000000002"/>
    <n v="0"/>
    <n v="0.33750000000000002"/>
    <n v="0"/>
    <n v="2"/>
    <n v="0"/>
    <n v="2"/>
    <n v="0"/>
    <n v="100"/>
    <n v="0"/>
    <s v="Consolidation"/>
    <s v="CO2e and Base Measure"/>
    <n v="100"/>
    <n v="100"/>
    <n v="0.34"/>
    <m/>
    <m/>
    <m/>
    <m/>
    <m/>
    <n v="0.43880000000000002"/>
    <m/>
    <n v="0.43880000000000002"/>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0-11-01T00:00:00"/>
    <s v="FY21"/>
    <s v="t"/>
    <n v="0"/>
    <n v="0.19500000000000001"/>
    <n v="0"/>
    <n v="0.19500000000000001"/>
    <n v="0"/>
    <n v="2"/>
    <n v="0"/>
    <n v="2"/>
    <n v="0"/>
    <n v="100"/>
    <n v="0"/>
    <s v="Consolidation"/>
    <s v="CO2e and Base Measure"/>
    <n v="100"/>
    <n v="100"/>
    <n v="0.2"/>
    <m/>
    <m/>
    <m/>
    <m/>
    <m/>
    <n v="0.2535"/>
    <m/>
    <n v="0.2535"/>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0-12-01T00:00:00"/>
    <s v="FY21"/>
    <s v="t"/>
    <n v="0"/>
    <n v="9.7500000000000003E-2"/>
    <n v="0"/>
    <n v="9.7500000000000003E-2"/>
    <n v="0"/>
    <n v="1"/>
    <n v="0"/>
    <n v="1"/>
    <n v="0"/>
    <n v="100"/>
    <n v="0"/>
    <s v="Consolidation"/>
    <s v="CO2e and Base Measure"/>
    <n v="100"/>
    <n v="100"/>
    <n v="0.1"/>
    <m/>
    <m/>
    <m/>
    <m/>
    <m/>
    <n v="0.1268"/>
    <m/>
    <n v="0.1268"/>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1-01T00:00:00"/>
    <s v="FY21"/>
    <s v="t"/>
    <n v="0"/>
    <n v="0"/>
    <n v="0.21079999999999999"/>
    <n v="0.21079999999999999"/>
    <n v="0"/>
    <n v="0"/>
    <n v="31"/>
    <n v="31"/>
    <n v="0"/>
    <n v="0"/>
    <n v="100"/>
    <s v="Consolidation"/>
    <s v="CO2e and Base Measure"/>
    <n v="100"/>
    <n v="100"/>
    <n v="0.21"/>
    <m/>
    <m/>
    <m/>
    <m/>
    <m/>
    <n v="0.27400000000000002"/>
    <m/>
    <n v="0.27400000000000002"/>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2-01T00:00:00"/>
    <s v="FY21"/>
    <s v="t"/>
    <n v="0"/>
    <n v="0"/>
    <n v="0.19040000000000001"/>
    <n v="0.19040000000000001"/>
    <n v="0"/>
    <n v="0"/>
    <n v="28"/>
    <n v="28"/>
    <n v="0"/>
    <n v="0"/>
    <n v="100"/>
    <s v="Consolidation"/>
    <s v="CO2e and Base Measure"/>
    <n v="100"/>
    <n v="100"/>
    <n v="0.19"/>
    <m/>
    <m/>
    <m/>
    <m/>
    <m/>
    <n v="0.2475"/>
    <m/>
    <n v="0.2475"/>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3-01T00:00:00"/>
    <s v="FY21"/>
    <s v="t"/>
    <n v="0"/>
    <n v="0"/>
    <n v="0.21079999999999999"/>
    <n v="0.21079999999999999"/>
    <n v="0"/>
    <n v="0"/>
    <n v="31"/>
    <n v="31"/>
    <n v="0"/>
    <n v="0"/>
    <n v="100"/>
    <s v="Consolidation"/>
    <s v="CO2e and Base Measure"/>
    <n v="100"/>
    <n v="100"/>
    <n v="0.21"/>
    <m/>
    <m/>
    <m/>
    <m/>
    <m/>
    <n v="0.27400000000000002"/>
    <m/>
    <n v="0.27400000000000002"/>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4-01T00:00:00"/>
    <s v="FY21"/>
    <s v="t"/>
    <n v="0"/>
    <n v="0"/>
    <n v="0.20399999999999999"/>
    <n v="0.20399999999999999"/>
    <n v="0"/>
    <n v="0"/>
    <n v="30"/>
    <n v="30"/>
    <n v="0"/>
    <n v="0"/>
    <n v="100"/>
    <s v="Consolidation"/>
    <s v="CO2e and Base Measure"/>
    <n v="100"/>
    <n v="100"/>
    <n v="0.2"/>
    <m/>
    <m/>
    <m/>
    <m/>
    <m/>
    <n v="0.26519999999999999"/>
    <m/>
    <n v="0.26519999999999999"/>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5-01T00:00:00"/>
    <s v="FY21"/>
    <s v="t"/>
    <n v="0"/>
    <n v="0"/>
    <n v="0.21079999999999999"/>
    <n v="0.21079999999999999"/>
    <n v="0"/>
    <n v="0"/>
    <n v="31"/>
    <n v="31"/>
    <n v="0"/>
    <n v="0"/>
    <n v="100"/>
    <s v="Consolidation"/>
    <s v="CO2e and Base Measure"/>
    <n v="100"/>
    <n v="100"/>
    <n v="0.21"/>
    <m/>
    <m/>
    <m/>
    <m/>
    <m/>
    <n v="0.27400000000000002"/>
    <m/>
    <n v="0.27400000000000002"/>
    <m/>
    <m/>
    <m/>
    <m/>
    <m/>
    <s v="AUD"/>
    <s v="13564675Waste - General [t] - Scope 3"/>
    <n v="13564675"/>
  </r>
  <r>
    <d v="2019-07-01T00:00:00"/>
    <d v="2021-06-30T00:00:00"/>
    <s v="Telstra"/>
    <s v="NETWORK"/>
    <s v="Network - InfraCo"/>
    <s v="NSW"/>
    <s v="Australia"/>
    <s v="Goonellabah"/>
    <s v="GOONELLABAH EXCHANGE"/>
    <n v="423030351800"/>
    <s v="Recycled Waste"/>
    <x v="0"/>
    <x v="0"/>
    <s v="Account"/>
    <s v="Remondis Cardboard - Loose - Recycled"/>
    <m/>
    <s v="423030351800_RCARDBOAR"/>
    <s v="CARDBOARD - LOOSE - RECYCLED"/>
    <s v="Remondis"/>
    <m/>
    <d v="2020-09-28T00:00:00"/>
    <d v="2020-11-01T00:00:00"/>
    <d v="2020-09-01T00:00:00"/>
    <s v="FY21"/>
    <s v="t"/>
    <n v="0"/>
    <n v="0.105"/>
    <n v="0"/>
    <n v="0.105"/>
    <n v="0"/>
    <n v="1"/>
    <n v="0"/>
    <n v="1"/>
    <n v="0"/>
    <n v="100"/>
    <n v="0"/>
    <s v="Consolidation"/>
    <s v="CO2e and Base Measure"/>
    <n v="100"/>
    <n v="100"/>
    <n v="0.11"/>
    <m/>
    <m/>
    <m/>
    <m/>
    <m/>
    <m/>
    <n v="0"/>
    <m/>
    <m/>
    <m/>
    <m/>
    <m/>
    <m/>
    <s v="AUD"/>
    <s v="13629328Waste Recycled - Cardboard [t]"/>
    <n v="13629328"/>
  </r>
  <r>
    <d v="2019-07-01T00:00:00"/>
    <d v="2021-06-30T00:00:00"/>
    <s v="Telstra"/>
    <s v="NETWORK"/>
    <s v="Network - InfraCo"/>
    <s v="NSW"/>
    <s v="Australia"/>
    <s v="Goonellabah"/>
    <s v="GOONELLABAH EXCHANGE"/>
    <n v="423030351800"/>
    <s v="Recycled Waste"/>
    <x v="0"/>
    <x v="0"/>
    <s v="Account"/>
    <s v="Remondis Cardboard - Loose - Recycled"/>
    <m/>
    <s v="423030351800_RCARDBOAR"/>
    <s v="CARDBOARD - LOOSE - RECYCLED"/>
    <s v="Remondis"/>
    <m/>
    <d v="2020-09-28T00:00:00"/>
    <d v="2020-11-01T00:00:00"/>
    <d v="2020-10-01T00:00:00"/>
    <s v="FY21"/>
    <s v="t"/>
    <n v="0"/>
    <n v="0.105"/>
    <n v="0"/>
    <n v="0.105"/>
    <n v="0"/>
    <n v="1"/>
    <n v="0"/>
    <n v="1"/>
    <n v="0"/>
    <n v="100"/>
    <n v="0"/>
    <s v="Consolidation"/>
    <s v="CO2e and Base Measure"/>
    <n v="100"/>
    <n v="100"/>
    <n v="0.11"/>
    <m/>
    <m/>
    <m/>
    <m/>
    <m/>
    <m/>
    <n v="0"/>
    <m/>
    <m/>
    <m/>
    <m/>
    <m/>
    <m/>
    <s v="AUD"/>
    <s v="13629328Waste Recycled - Cardboard [t]"/>
    <n v="13629328"/>
  </r>
  <r>
    <d v="2019-07-01T00:00:00"/>
    <d v="2021-06-30T00:00:00"/>
    <s v="Telstra"/>
    <s v="NETWORK"/>
    <s v="Network - InfraCo"/>
    <s v="NSW"/>
    <s v="Australia"/>
    <s v="Goonellabah"/>
    <s v="GOONELLABAH EXCHANGE"/>
    <n v="423030351800"/>
    <s v="Recycled Waste"/>
    <x v="0"/>
    <x v="0"/>
    <s v="Account"/>
    <s v="Remondis Cardboard - Loose - Recycled"/>
    <m/>
    <s v="423030351800_RCARDBOAR"/>
    <s v="CARDBOARD - LOOSE - RECYCLED"/>
    <s v="Remondis"/>
    <m/>
    <d v="2020-09-28T00:00:00"/>
    <d v="2020-11-01T00:00:00"/>
    <d v="2020-11-01T00:00:00"/>
    <s v="FY21"/>
    <s v="t"/>
    <n v="0"/>
    <n v="0"/>
    <n v="3.5000000000000001E-3"/>
    <n v="3.5000000000000001E-3"/>
    <n v="0"/>
    <n v="0"/>
    <n v="1"/>
    <n v="1"/>
    <n v="0"/>
    <n v="0"/>
    <n v="100"/>
    <s v="Consolidation"/>
    <s v="CO2e and Base Measure"/>
    <n v="100"/>
    <n v="100"/>
    <n v="0"/>
    <m/>
    <m/>
    <m/>
    <m/>
    <m/>
    <m/>
    <n v="0"/>
    <m/>
    <m/>
    <m/>
    <m/>
    <m/>
    <m/>
    <s v="AUD"/>
    <s v="13629328Waste Recycled - Cardboard [t]"/>
    <n v="13629328"/>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0-12-01T00:00:00"/>
    <s v="FY21"/>
    <s v="t"/>
    <n v="7.9000000000000001E-2"/>
    <n v="0"/>
    <n v="0"/>
    <n v="7.9000000000000001E-2"/>
    <n v="1"/>
    <n v="0"/>
    <n v="0"/>
    <n v="1"/>
    <n v="100"/>
    <n v="0"/>
    <n v="0"/>
    <s v="Consolidation"/>
    <s v="CO2e and Base Measure"/>
    <n v="100"/>
    <n v="100"/>
    <n v="0.08"/>
    <m/>
    <m/>
    <m/>
    <m/>
    <m/>
    <n v="0.1027"/>
    <m/>
    <n v="0.1027"/>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1-01T00:00:00"/>
    <s v="FY21"/>
    <s v="t"/>
    <n v="3.4000000000000002E-2"/>
    <n v="6.7500000000000004E-2"/>
    <n v="0"/>
    <n v="0.10150000000000001"/>
    <n v="1"/>
    <n v="1"/>
    <n v="0"/>
    <n v="2"/>
    <n v="33.49"/>
    <n v="66.5"/>
    <n v="0"/>
    <s v="Consolidation"/>
    <s v="CO2e and Base Measure"/>
    <n v="100"/>
    <n v="100"/>
    <n v="0.1"/>
    <m/>
    <m/>
    <m/>
    <m/>
    <m/>
    <n v="0.13200000000000001"/>
    <m/>
    <n v="0.13200000000000001"/>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2-01T00:00:00"/>
    <s v="FY21"/>
    <s v="t"/>
    <n v="0"/>
    <n v="0"/>
    <n v="8.4000000000000005E-2"/>
    <n v="8.4000000000000005E-2"/>
    <n v="0"/>
    <n v="0"/>
    <n v="28"/>
    <n v="28"/>
    <n v="0"/>
    <n v="0"/>
    <n v="100"/>
    <s v="Consolidation"/>
    <s v="CO2e and Base Measure"/>
    <n v="100"/>
    <n v="100"/>
    <n v="0.08"/>
    <m/>
    <m/>
    <m/>
    <m/>
    <m/>
    <n v="0.10920000000000001"/>
    <m/>
    <n v="0.10920000000000001"/>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3-01T00:00:00"/>
    <s v="FY21"/>
    <s v="t"/>
    <n v="0"/>
    <n v="0"/>
    <n v="9.2999999999999999E-2"/>
    <n v="9.2999999999999999E-2"/>
    <n v="0"/>
    <n v="0"/>
    <n v="31"/>
    <n v="31"/>
    <n v="0"/>
    <n v="0"/>
    <n v="100"/>
    <s v="Consolidation"/>
    <s v="CO2e and Base Measure"/>
    <n v="100"/>
    <n v="100"/>
    <n v="0.09"/>
    <m/>
    <m/>
    <m/>
    <m/>
    <m/>
    <n v="0.12089999999999999"/>
    <m/>
    <n v="0.12089999999999999"/>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4-01T00:00:00"/>
    <s v="FY21"/>
    <s v="t"/>
    <n v="0"/>
    <n v="0"/>
    <n v="0.09"/>
    <n v="0.09"/>
    <n v="0"/>
    <n v="0"/>
    <n v="30"/>
    <n v="30"/>
    <n v="0"/>
    <n v="0"/>
    <n v="100"/>
    <s v="Consolidation"/>
    <s v="CO2e and Base Measure"/>
    <n v="100"/>
    <n v="100"/>
    <n v="0.09"/>
    <m/>
    <m/>
    <m/>
    <m/>
    <m/>
    <n v="0.11700000000000001"/>
    <m/>
    <n v="0.11700000000000001"/>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4403Waste - General [t] - Scope 3"/>
    <n v="13634403"/>
  </r>
  <r>
    <d v="2019-07-01T00:00:00"/>
    <d v="2021-06-30T00:00:00"/>
    <s v="Telstra"/>
    <s v="NETWORK"/>
    <s v="Network - InfraCo"/>
    <s v="NSW"/>
    <s v="Australia"/>
    <s v="Goonellabah"/>
    <s v="GOONELLABAH R_T"/>
    <n v="423030351600"/>
    <s v="Waste"/>
    <x v="1"/>
    <x v="2"/>
    <s v="Account"/>
    <s v="Remondis General Waste"/>
    <m/>
    <s v="423030351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674Waste - General [t] - Scope 3"/>
    <n v="13564674"/>
  </r>
  <r>
    <d v="2019-07-01T00:00:00"/>
    <d v="2021-06-30T00:00:00"/>
    <s v="Telstra"/>
    <s v="NETWORK"/>
    <s v="Network - InfraCo"/>
    <s v="NSW"/>
    <s v="Australia"/>
    <s v="Goonellabah"/>
    <s v="GOONELLABAH R_T"/>
    <n v="423030351600"/>
    <s v="Waste"/>
    <x v="1"/>
    <x v="2"/>
    <s v="Account"/>
    <s v="Remondis General Waste"/>
    <m/>
    <s v="4230303516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4674Waste - General [t] - Scope 3"/>
    <n v="13564674"/>
  </r>
  <r>
    <d v="2019-07-01T00:00:00"/>
    <d v="2021-06-30T00:00:00"/>
    <s v="Telstra"/>
    <s v="NETWORK"/>
    <s v="Network - InfraCo"/>
    <s v="NSW"/>
    <s v="Australia"/>
    <s v="Goonellabah"/>
    <s v="GOONELLABAH R_T"/>
    <n v="423030351600"/>
    <s v="Waste"/>
    <x v="1"/>
    <x v="2"/>
    <s v="Account"/>
    <s v="CLEANAWAY General"/>
    <m/>
    <s v="44504_Landfill_General"/>
    <m/>
    <s v="Cleanaway"/>
    <m/>
    <d v="2021-02-05T00:00:00"/>
    <m/>
    <d v="2021-02-01T00:00:00"/>
    <s v="FY21"/>
    <s v="t"/>
    <n v="6.9000000000000006E-2"/>
    <n v="6.7500000000000004E-2"/>
    <n v="0"/>
    <n v="0.13650000000000001"/>
    <n v="2"/>
    <n v="1"/>
    <n v="0"/>
    <n v="3"/>
    <n v="50.54"/>
    <n v="49.45"/>
    <n v="0"/>
    <s v="Consolidation"/>
    <s v="CO2e and Base Measure"/>
    <n v="100"/>
    <n v="100"/>
    <n v="0.14000000000000001"/>
    <m/>
    <m/>
    <m/>
    <m/>
    <m/>
    <n v="0.17749999999999999"/>
    <m/>
    <n v="0.17749999999999999"/>
    <m/>
    <m/>
    <m/>
    <m/>
    <m/>
    <s v="AUD"/>
    <s v="13639963Waste - General [t] - Scope 3"/>
    <n v="13639963"/>
  </r>
  <r>
    <d v="2019-07-01T00:00:00"/>
    <d v="2021-06-30T00:00:00"/>
    <s v="Telstra"/>
    <s v="NETWORK"/>
    <s v="Network - InfraCo"/>
    <s v="NSW"/>
    <s v="Australia"/>
    <s v="Goonellabah"/>
    <s v="GOONELLABAH R_T"/>
    <n v="423030351600"/>
    <s v="Waste"/>
    <x v="1"/>
    <x v="2"/>
    <s v="Account"/>
    <s v="CLEANAWAY General"/>
    <m/>
    <s v="44504_Landfill_General"/>
    <m/>
    <s v="Cleanaway"/>
    <m/>
    <d v="2021-02-05T00:00:00"/>
    <m/>
    <d v="2021-03-01T00:00:00"/>
    <s v="FY21"/>
    <s v="t"/>
    <n v="0"/>
    <n v="0"/>
    <n v="0.15809999999999999"/>
    <n v="0.15809999999999999"/>
    <n v="0"/>
    <n v="0"/>
    <n v="31"/>
    <n v="31"/>
    <n v="0"/>
    <n v="0"/>
    <n v="100"/>
    <s v="Consolidation"/>
    <s v="CO2e and Base Measure"/>
    <n v="100"/>
    <n v="100"/>
    <n v="0.16"/>
    <m/>
    <m/>
    <m/>
    <m/>
    <m/>
    <n v="0.20549999999999999"/>
    <m/>
    <n v="0.20549999999999999"/>
    <m/>
    <m/>
    <m/>
    <m/>
    <m/>
    <s v="AUD"/>
    <s v="13639963Waste - General [t] - Scope 3"/>
    <n v="13639963"/>
  </r>
  <r>
    <d v="2019-07-01T00:00:00"/>
    <d v="2021-06-30T00:00:00"/>
    <s v="Telstra"/>
    <s v="NETWORK"/>
    <s v="Network - InfraCo"/>
    <s v="NSW"/>
    <s v="Australia"/>
    <s v="Goonellabah"/>
    <s v="GOONELLABAH R_T"/>
    <n v="423030351600"/>
    <s v="Waste"/>
    <x v="1"/>
    <x v="2"/>
    <s v="Account"/>
    <s v="CLEANAWAY General"/>
    <m/>
    <s v="44504_Landfill_General"/>
    <m/>
    <s v="Cleanaway"/>
    <m/>
    <d v="2021-02-05T00:00:00"/>
    <m/>
    <d v="2021-04-01T00:00:00"/>
    <s v="FY21"/>
    <s v="t"/>
    <n v="0"/>
    <n v="0"/>
    <n v="0.153"/>
    <n v="0.153"/>
    <n v="0"/>
    <n v="0"/>
    <n v="30"/>
    <n v="30"/>
    <n v="0"/>
    <n v="0"/>
    <n v="100"/>
    <s v="Consolidation"/>
    <s v="CO2e and Base Measure"/>
    <n v="100"/>
    <n v="100"/>
    <n v="0.15"/>
    <m/>
    <m/>
    <m/>
    <m/>
    <m/>
    <n v="0.19889999999999999"/>
    <m/>
    <n v="0.19889999999999999"/>
    <m/>
    <m/>
    <m/>
    <m/>
    <m/>
    <s v="AUD"/>
    <s v="13639963Waste - General [t] - Scope 3"/>
    <n v="13639963"/>
  </r>
  <r>
    <d v="2019-07-01T00:00:00"/>
    <d v="2021-06-30T00:00:00"/>
    <s v="Telstra"/>
    <s v="NETWORK"/>
    <s v="Network - InfraCo"/>
    <s v="NSW"/>
    <s v="Australia"/>
    <s v="Goonellabah"/>
    <s v="GOONELLABAH R_T"/>
    <n v="423030351600"/>
    <s v="Waste"/>
    <x v="1"/>
    <x v="2"/>
    <s v="Account"/>
    <s v="CLEANAWAY General"/>
    <m/>
    <s v="44504_Landfill_General"/>
    <m/>
    <s v="Cleanaway"/>
    <m/>
    <d v="2021-02-05T00:00:00"/>
    <m/>
    <d v="2021-05-01T00:00:00"/>
    <s v="FY21"/>
    <s v="t"/>
    <n v="0"/>
    <n v="0"/>
    <n v="0.15809999999999999"/>
    <n v="0.15809999999999999"/>
    <n v="0"/>
    <n v="0"/>
    <n v="31"/>
    <n v="31"/>
    <n v="0"/>
    <n v="0"/>
    <n v="100"/>
    <s v="Consolidation"/>
    <s v="CO2e and Base Measure"/>
    <n v="100"/>
    <n v="100"/>
    <n v="0.16"/>
    <m/>
    <m/>
    <m/>
    <m/>
    <m/>
    <n v="0.20549999999999999"/>
    <m/>
    <n v="0.20549999999999999"/>
    <m/>
    <m/>
    <m/>
    <m/>
    <m/>
    <s v="AUD"/>
    <s v="13639963Waste - General [t] - Scope 3"/>
    <n v="136399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07-01T00:00:00"/>
    <s v="FY21"/>
    <s v="t"/>
    <n v="0.2"/>
    <n v="0"/>
    <n v="0"/>
    <n v="0.2"/>
    <n v="5"/>
    <n v="0"/>
    <n v="0"/>
    <n v="5"/>
    <n v="100"/>
    <n v="0"/>
    <n v="0"/>
    <s v="Consolidation"/>
    <s v="CO2e and Base Measure"/>
    <n v="100"/>
    <n v="100"/>
    <n v="0.2"/>
    <m/>
    <m/>
    <m/>
    <m/>
    <m/>
    <n v="0.26"/>
    <m/>
    <n v="0.26"/>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08-01T00:00:00"/>
    <s v="FY21"/>
    <s v="t"/>
    <n v="0.15"/>
    <n v="0"/>
    <n v="0"/>
    <n v="0.15"/>
    <n v="4"/>
    <n v="0"/>
    <n v="0"/>
    <n v="4"/>
    <n v="100"/>
    <n v="0"/>
    <n v="0"/>
    <s v="Consolidation"/>
    <s v="CO2e and Base Measure"/>
    <n v="100"/>
    <n v="100"/>
    <n v="0.15"/>
    <m/>
    <m/>
    <m/>
    <m/>
    <m/>
    <n v="0.19500000000000001"/>
    <m/>
    <n v="0.19500000000000001"/>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09-01T00:00:00"/>
    <s v="FY21"/>
    <s v="t"/>
    <n v="0.21199999999999999"/>
    <n v="0"/>
    <n v="0"/>
    <n v="0.21199999999999999"/>
    <n v="5"/>
    <n v="0"/>
    <n v="0"/>
    <n v="5"/>
    <n v="100"/>
    <n v="0"/>
    <n v="0"/>
    <s v="Consolidation"/>
    <s v="CO2e and Base Measure"/>
    <n v="100"/>
    <n v="100"/>
    <n v="0.21"/>
    <m/>
    <m/>
    <m/>
    <m/>
    <m/>
    <n v="0.27560000000000001"/>
    <m/>
    <n v="0.27560000000000001"/>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10-01T00:00:00"/>
    <s v="FY21"/>
    <s v="t"/>
    <n v="0.312"/>
    <n v="0"/>
    <n v="0"/>
    <n v="0.312"/>
    <n v="4"/>
    <n v="0"/>
    <n v="0"/>
    <n v="4"/>
    <n v="100"/>
    <n v="0"/>
    <n v="0"/>
    <s v="Consolidation"/>
    <s v="CO2e and Base Measure"/>
    <n v="100"/>
    <n v="100"/>
    <n v="0.31"/>
    <m/>
    <m/>
    <m/>
    <m/>
    <m/>
    <n v="0.40560000000000002"/>
    <m/>
    <n v="0.40560000000000002"/>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11-01T00:00:00"/>
    <s v="FY21"/>
    <s v="t"/>
    <n v="0.27"/>
    <n v="0"/>
    <n v="0"/>
    <n v="0.27"/>
    <n v="4"/>
    <n v="0"/>
    <n v="0"/>
    <n v="4"/>
    <n v="100"/>
    <n v="0"/>
    <n v="0"/>
    <s v="Consolidation"/>
    <s v="CO2e and Base Measure"/>
    <n v="100"/>
    <n v="100"/>
    <n v="0.27"/>
    <m/>
    <m/>
    <m/>
    <m/>
    <m/>
    <n v="0.35099999999999998"/>
    <m/>
    <n v="0.35099999999999998"/>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12-01T00:00:00"/>
    <s v="FY21"/>
    <s v="t"/>
    <n v="3.4000000000000002E-2"/>
    <n v="0.30030000000000001"/>
    <n v="0"/>
    <n v="0.33429999999999999"/>
    <n v="1"/>
    <n v="4"/>
    <n v="0"/>
    <n v="5"/>
    <n v="10.17"/>
    <n v="89.82"/>
    <n v="0"/>
    <s v="Consolidation"/>
    <s v="CO2e and Base Measure"/>
    <n v="100"/>
    <n v="100"/>
    <n v="0.33"/>
    <m/>
    <m/>
    <m/>
    <m/>
    <m/>
    <n v="0.43459999999999999"/>
    <m/>
    <n v="0.43459999999999999"/>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1-01-01T00:00:00"/>
    <s v="FY21"/>
    <s v="t"/>
    <n v="0"/>
    <n v="0.1716"/>
    <n v="0"/>
    <n v="0.1716"/>
    <n v="0"/>
    <n v="2"/>
    <n v="0"/>
    <n v="2"/>
    <n v="0"/>
    <n v="100"/>
    <n v="0"/>
    <s v="Consolidation"/>
    <s v="CO2e and Base Measure"/>
    <n v="100"/>
    <n v="100"/>
    <n v="0.17"/>
    <m/>
    <m/>
    <m/>
    <m/>
    <m/>
    <n v="0.22309999999999999"/>
    <m/>
    <n v="0.22309999999999999"/>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1-02-01T00:00:00"/>
    <s v="FY21"/>
    <s v="t"/>
    <n v="0"/>
    <n v="0"/>
    <n v="7.7000000000000002E-3"/>
    <n v="7.7000000000000002E-3"/>
    <n v="0"/>
    <n v="0"/>
    <n v="1"/>
    <n v="1"/>
    <n v="0"/>
    <n v="0"/>
    <n v="100"/>
    <s v="Consolidation"/>
    <s v="CO2e and Base Measure"/>
    <n v="100"/>
    <n v="100"/>
    <n v="0.01"/>
    <m/>
    <m/>
    <m/>
    <m/>
    <m/>
    <n v="0.01"/>
    <m/>
    <n v="0.01"/>
    <m/>
    <m/>
    <m/>
    <m/>
    <m/>
    <s v="AUD"/>
    <s v="13564663Waste - General [t] - Scope 3"/>
    <n v="13564663"/>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1-01T00:00:00"/>
    <s v="FY21"/>
    <s v="t"/>
    <n v="7.1999999999999995E-2"/>
    <n v="2.9700000000000001E-2"/>
    <n v="0"/>
    <n v="0.1017"/>
    <n v="1"/>
    <n v="1"/>
    <n v="0"/>
    <n v="2"/>
    <n v="70.790000000000006"/>
    <n v="29.2"/>
    <n v="0"/>
    <s v="Consolidation"/>
    <s v="CO2e and Base Measure"/>
    <n v="100"/>
    <n v="100"/>
    <n v="0.1"/>
    <m/>
    <m/>
    <m/>
    <m/>
    <m/>
    <n v="0.13220000000000001"/>
    <m/>
    <n v="0.13220000000000001"/>
    <m/>
    <m/>
    <m/>
    <m/>
    <m/>
    <s v="AUD"/>
    <s v="13634430Waste - General [t] - Scope 3"/>
    <n v="13634430"/>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2-01T00:00:00"/>
    <s v="FY21"/>
    <s v="t"/>
    <n v="0.32400000000000001"/>
    <n v="0"/>
    <n v="0"/>
    <n v="0.32400000000000001"/>
    <n v="4"/>
    <n v="0"/>
    <n v="0"/>
    <n v="4"/>
    <n v="100"/>
    <n v="0"/>
    <n v="0"/>
    <s v="Consolidation"/>
    <s v="CO2e and Base Measure"/>
    <n v="100"/>
    <n v="100"/>
    <n v="0.32"/>
    <m/>
    <m/>
    <m/>
    <m/>
    <m/>
    <n v="0.42120000000000002"/>
    <m/>
    <n v="0.42120000000000002"/>
    <m/>
    <m/>
    <m/>
    <m/>
    <m/>
    <s v="AUD"/>
    <s v="13634430Waste - General [t] - Scope 3"/>
    <n v="13634430"/>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3-01T00:00:00"/>
    <s v="FY21"/>
    <s v="t"/>
    <n v="0.28399999999999997"/>
    <n v="0"/>
    <n v="0"/>
    <n v="0.28399999999999997"/>
    <n v="4"/>
    <n v="0"/>
    <n v="0"/>
    <n v="4"/>
    <n v="100"/>
    <n v="0"/>
    <n v="0"/>
    <s v="Consolidation"/>
    <s v="CO2e and Base Measure"/>
    <n v="100"/>
    <n v="100"/>
    <n v="0.28000000000000003"/>
    <m/>
    <m/>
    <m/>
    <m/>
    <m/>
    <n v="0.36919999999999997"/>
    <m/>
    <n v="0.36919999999999997"/>
    <m/>
    <m/>
    <m/>
    <m/>
    <m/>
    <s v="AUD"/>
    <s v="13634430Waste - General [t] - Scope 3"/>
    <n v="13634430"/>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4-01T00:00:00"/>
    <s v="FY21"/>
    <s v="t"/>
    <n v="0"/>
    <n v="0"/>
    <n v="0.24"/>
    <n v="0.24"/>
    <n v="0"/>
    <n v="0"/>
    <n v="30"/>
    <n v="30"/>
    <n v="0"/>
    <n v="0"/>
    <n v="100"/>
    <s v="Consolidation"/>
    <s v="CO2e and Base Measure"/>
    <n v="100"/>
    <n v="100"/>
    <n v="0.24"/>
    <m/>
    <m/>
    <m/>
    <m/>
    <m/>
    <n v="0.312"/>
    <m/>
    <n v="0.312"/>
    <m/>
    <m/>
    <m/>
    <m/>
    <m/>
    <s v="AUD"/>
    <s v="13634430Waste - General [t] - Scope 3"/>
    <n v="13634430"/>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5-01T00:00:00"/>
    <s v="FY21"/>
    <s v="t"/>
    <n v="0"/>
    <n v="0"/>
    <n v="0.248"/>
    <n v="0.248"/>
    <n v="0"/>
    <n v="0"/>
    <n v="31"/>
    <n v="31"/>
    <n v="0"/>
    <n v="0"/>
    <n v="100"/>
    <s v="Consolidation"/>
    <s v="CO2e and Base Measure"/>
    <n v="100"/>
    <n v="100"/>
    <n v="0.25"/>
    <m/>
    <m/>
    <m/>
    <m/>
    <m/>
    <n v="0.32240000000000002"/>
    <m/>
    <n v="0.32240000000000002"/>
    <m/>
    <m/>
    <m/>
    <m/>
    <m/>
    <s v="AUD"/>
    <s v="13634430Waste - General [t] - Scope 3"/>
    <n v="13634430"/>
  </r>
  <r>
    <d v="2019-07-01T00:00:00"/>
    <d v="2021-06-30T00:00:00"/>
    <s v="Telstra"/>
    <s v="NETWORK"/>
    <s v="Network - Telstra/InfraCo Split"/>
    <s v="NSW"/>
    <s v="Australia"/>
    <s v="Goulburn"/>
    <s v="Goulburn Exchange"/>
    <n v="423030349800"/>
    <s v="Waste"/>
    <x v="1"/>
    <x v="2"/>
    <s v="Account"/>
    <s v="Remondis General Waste"/>
    <m/>
    <s v="423030349800_WGENERALW"/>
    <s v="GENERAL WASTE"/>
    <s v="Remondis"/>
    <m/>
    <m/>
    <d v="2020-11-01T00:00:00"/>
    <d v="2020-07-01T00:00:00"/>
    <s v="FY21"/>
    <s v="t"/>
    <n v="0.6"/>
    <n v="7.22E-2"/>
    <n v="0"/>
    <n v="0.67220000000000002"/>
    <n v="1"/>
    <n v="1"/>
    <n v="0"/>
    <n v="2"/>
    <n v="89.25"/>
    <n v="10.74"/>
    <n v="0"/>
    <s v="Consolidation"/>
    <s v="CO2e and Base Measure"/>
    <n v="100"/>
    <n v="100"/>
    <n v="0.67"/>
    <m/>
    <m/>
    <m/>
    <m/>
    <m/>
    <n v="0.87390000000000001"/>
    <m/>
    <n v="0.87390000000000001"/>
    <m/>
    <m/>
    <m/>
    <m/>
    <m/>
    <s v="AUD"/>
    <s v="13564664Waste - General [t] - Scope 3"/>
    <n v="13564664"/>
  </r>
  <r>
    <d v="2019-07-01T00:00:00"/>
    <d v="2021-06-30T00:00:00"/>
    <s v="Telstra"/>
    <s v="NETWORK"/>
    <s v="Network - Telstra/InfraCo Split"/>
    <s v="NSW"/>
    <s v="Australia"/>
    <s v="Goulburn"/>
    <s v="Goulburn Exchange"/>
    <n v="423030349800"/>
    <s v="Waste"/>
    <x v="1"/>
    <x v="2"/>
    <s v="Account"/>
    <s v="Remondis General Waste"/>
    <m/>
    <s v="423030349800_WGENERALW"/>
    <s v="GENERAL WASTE"/>
    <s v="Remondis"/>
    <m/>
    <m/>
    <d v="2020-11-01T00:00:00"/>
    <d v="2020-10-01T00:00:00"/>
    <s v="FY21"/>
    <s v="t"/>
    <n v="0"/>
    <n v="7.22E-2"/>
    <n v="0"/>
    <n v="7.22E-2"/>
    <n v="0"/>
    <n v="1"/>
    <n v="0"/>
    <n v="1"/>
    <n v="0"/>
    <n v="100"/>
    <n v="0"/>
    <s v="Consolidation"/>
    <s v="CO2e and Base Measure"/>
    <n v="100"/>
    <n v="100"/>
    <n v="7.0000000000000007E-2"/>
    <m/>
    <m/>
    <m/>
    <m/>
    <m/>
    <n v="9.3899999999999997E-2"/>
    <m/>
    <n v="9.3899999999999997E-2"/>
    <m/>
    <m/>
    <m/>
    <m/>
    <m/>
    <s v="AUD"/>
    <s v="13564664Waste - General [t] - Scope 3"/>
    <n v="13564664"/>
  </r>
  <r>
    <d v="2019-07-01T00:00:00"/>
    <d v="2021-06-30T00:00:00"/>
    <s v="Telstra"/>
    <s v="NETWORK"/>
    <s v="Network - Telstra/InfraCo Split"/>
    <s v="NSW"/>
    <s v="Australia"/>
    <s v="Goulburn"/>
    <s v="Goulburn Exchange"/>
    <n v="423030349800"/>
    <s v="Waste"/>
    <x v="1"/>
    <x v="2"/>
    <s v="Account"/>
    <s v="Remondis General Waste"/>
    <m/>
    <s v="423030349800_WGENERALW"/>
    <s v="GENERAL WASTE"/>
    <s v="Remondis"/>
    <m/>
    <m/>
    <d v="2020-11-01T00:00:00"/>
    <d v="2020-11-01T00:00:00"/>
    <s v="FY21"/>
    <s v="t"/>
    <n v="0"/>
    <n v="0"/>
    <n v="6.1000000000000004E-3"/>
    <n v="6.1000000000000004E-3"/>
    <n v="0"/>
    <n v="0"/>
    <n v="1"/>
    <n v="1"/>
    <n v="0"/>
    <n v="0"/>
    <n v="100"/>
    <s v="Consolidation"/>
    <s v="CO2e and Base Measure"/>
    <n v="100"/>
    <n v="100"/>
    <n v="0.01"/>
    <m/>
    <m/>
    <m/>
    <m/>
    <m/>
    <n v="7.9000000000000008E-3"/>
    <m/>
    <n v="7.9000000000000008E-3"/>
    <m/>
    <m/>
    <m/>
    <m/>
    <m/>
    <s v="AUD"/>
    <s v="13564664Waste - General [t] - Scope 3"/>
    <n v="13564664"/>
  </r>
  <r>
    <d v="2019-07-01T00:00:00"/>
    <d v="2021-06-30T00:00:00"/>
    <s v="Telstra"/>
    <s v="NETWORK"/>
    <s v="Network - InfraCo"/>
    <s v="NSW"/>
    <s v="Australia"/>
    <s v="Grafton"/>
    <s v="GRAFTON EXCHANGE"/>
    <n v="423030350700"/>
    <s v="Recycled Waste"/>
    <x v="0"/>
    <x v="0"/>
    <s v="Account"/>
    <s v="Remondis Cardboard - Loose - Recycled"/>
    <m/>
    <s v="423030350700_RCARDBOAR"/>
    <s v="CARDBOARD - LOOSE - RECYCLED"/>
    <s v="Remondis"/>
    <m/>
    <m/>
    <d v="2021-01-01T00:00:00"/>
    <d v="2020-08-01T00:00:00"/>
    <s v="FY21"/>
    <s v="t"/>
    <n v="0"/>
    <n v="3.15E-2"/>
    <n v="0"/>
    <n v="3.15E-2"/>
    <n v="0"/>
    <n v="1"/>
    <n v="0"/>
    <n v="1"/>
    <n v="0"/>
    <n v="100"/>
    <n v="0"/>
    <s v="Consolidation"/>
    <s v="CO2e and Base Measure"/>
    <n v="100"/>
    <n v="100"/>
    <n v="0.03"/>
    <m/>
    <m/>
    <m/>
    <m/>
    <m/>
    <m/>
    <n v="0"/>
    <m/>
    <m/>
    <m/>
    <m/>
    <m/>
    <m/>
    <s v="AUD"/>
    <s v="13564669Waste Recycled - Cardboard [t]"/>
    <n v="13564669"/>
  </r>
  <r>
    <d v="2019-07-01T00:00:00"/>
    <d v="2021-06-30T00:00:00"/>
    <s v="Telstra"/>
    <s v="NETWORK"/>
    <s v="Network - InfraCo"/>
    <s v="NSW"/>
    <s v="Australia"/>
    <s v="Grafton"/>
    <s v="GRAFTON EXCHANGE"/>
    <n v="423030350700"/>
    <s v="Recycled Waste"/>
    <x v="0"/>
    <x v="0"/>
    <s v="Account"/>
    <s v="Remondis Cardboard - Loose - Recycled"/>
    <m/>
    <s v="4230303507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669Waste Recycled - Cardboard [t]"/>
    <n v="13564669"/>
  </r>
  <r>
    <d v="2019-07-01T00:00:00"/>
    <d v="2021-06-30T00:00:00"/>
    <s v="Telstra"/>
    <s v="NETWORK"/>
    <s v="Network - InfraCo"/>
    <s v="NSW"/>
    <s v="Australia"/>
    <s v="Grafton"/>
    <s v="GRAFTON EXCHANGE"/>
    <n v="423030350700"/>
    <s v="Recycled Waste"/>
    <x v="0"/>
    <x v="0"/>
    <s v="Account"/>
    <s v="Remondis Cardboard - Loose - Recycled"/>
    <m/>
    <s v="423030350700_RCARDBOAR"/>
    <s v="CARDBOARD - LOOSE - RECYCLED"/>
    <s v="Remondis"/>
    <m/>
    <m/>
    <d v="2021-01-01T00:00:00"/>
    <d v="2021-01-01T00:00:00"/>
    <s v="FY21"/>
    <s v="t"/>
    <n v="0"/>
    <n v="0"/>
    <n v="4.0000000000000002E-4"/>
    <n v="4.0000000000000002E-4"/>
    <n v="0"/>
    <n v="0"/>
    <n v="1"/>
    <n v="1"/>
    <n v="0"/>
    <n v="0"/>
    <n v="100"/>
    <s v="Consolidation"/>
    <s v="CO2e and Base Measure"/>
    <n v="100"/>
    <n v="100"/>
    <n v="0"/>
    <m/>
    <m/>
    <m/>
    <m/>
    <m/>
    <m/>
    <n v="0"/>
    <m/>
    <m/>
    <m/>
    <m/>
    <m/>
    <m/>
    <s v="AUD"/>
    <s v="13564669Waste Recycled - Cardboard [t]"/>
    <n v="13564669"/>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1-01-01T00:00:00"/>
    <s v="FY21"/>
    <s v="t"/>
    <n v="0"/>
    <n v="0"/>
    <n v="5.0000000000000001E-3"/>
    <n v="5.0000000000000001E-3"/>
    <n v="0"/>
    <n v="0"/>
    <n v="1"/>
    <n v="1"/>
    <n v="0"/>
    <n v="0"/>
    <n v="100"/>
    <s v="Consolidation"/>
    <s v="CO2e and Base Measure"/>
    <n v="100"/>
    <n v="100"/>
    <n v="0.01"/>
    <m/>
    <m/>
    <m/>
    <m/>
    <m/>
    <n v="6.4999999999999997E-3"/>
    <m/>
    <n v="6.4999999999999997E-3"/>
    <m/>
    <m/>
    <m/>
    <m/>
    <m/>
    <s v="AUD"/>
    <s v="13564670Waste - General [t] - Scope 3"/>
    <n v="13564670"/>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1-01T00:00:00"/>
    <s v="FY21"/>
    <s v="t"/>
    <n v="0.06"/>
    <n v="6.7500000000000004E-2"/>
    <n v="0"/>
    <n v="0.1275"/>
    <n v="1"/>
    <n v="1"/>
    <n v="0"/>
    <n v="2"/>
    <n v="47.05"/>
    <n v="52.94"/>
    <n v="0"/>
    <s v="Consolidation"/>
    <s v="CO2e and Base Measure"/>
    <n v="100"/>
    <n v="100"/>
    <n v="0.13"/>
    <m/>
    <m/>
    <m/>
    <m/>
    <m/>
    <n v="0.1658"/>
    <m/>
    <n v="0.1658"/>
    <m/>
    <m/>
    <m/>
    <m/>
    <m/>
    <s v="AUD"/>
    <s v="13634431Waste - General [t] - Scope 3"/>
    <n v="13634431"/>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2-01T00:00:00"/>
    <s v="FY21"/>
    <s v="t"/>
    <n v="0.21"/>
    <n v="0"/>
    <n v="0"/>
    <n v="0.21"/>
    <n v="2"/>
    <n v="0"/>
    <n v="0"/>
    <n v="2"/>
    <n v="100"/>
    <n v="0"/>
    <n v="0"/>
    <s v="Consolidation"/>
    <s v="CO2e and Base Measure"/>
    <n v="100"/>
    <n v="100"/>
    <n v="0.21"/>
    <m/>
    <m/>
    <m/>
    <m/>
    <m/>
    <n v="0.27300000000000002"/>
    <m/>
    <n v="0.27300000000000002"/>
    <m/>
    <m/>
    <m/>
    <m/>
    <m/>
    <s v="AUD"/>
    <s v="13634431Waste - General [t] - Scope 3"/>
    <n v="13634431"/>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3-01T00:00:00"/>
    <s v="FY21"/>
    <s v="t"/>
    <n v="0"/>
    <n v="0"/>
    <n v="0.17979999999999999"/>
    <n v="0.17979999999999999"/>
    <n v="0"/>
    <n v="0"/>
    <n v="31"/>
    <n v="31"/>
    <n v="0"/>
    <n v="0"/>
    <n v="100"/>
    <s v="Consolidation"/>
    <s v="CO2e and Base Measure"/>
    <n v="100"/>
    <n v="100"/>
    <n v="0.18"/>
    <m/>
    <m/>
    <m/>
    <m/>
    <m/>
    <n v="0.23369999999999999"/>
    <m/>
    <n v="0.23369999999999999"/>
    <m/>
    <m/>
    <m/>
    <m/>
    <m/>
    <s v="AUD"/>
    <s v="13634431Waste - General [t] - Scope 3"/>
    <n v="13634431"/>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4-01T00:00:00"/>
    <s v="FY21"/>
    <s v="t"/>
    <n v="0"/>
    <n v="0"/>
    <n v="0.17399999999999999"/>
    <n v="0.17399999999999999"/>
    <n v="0"/>
    <n v="0"/>
    <n v="30"/>
    <n v="30"/>
    <n v="0"/>
    <n v="0"/>
    <n v="100"/>
    <s v="Consolidation"/>
    <s v="CO2e and Base Measure"/>
    <n v="100"/>
    <n v="100"/>
    <n v="0.17"/>
    <m/>
    <m/>
    <m/>
    <m/>
    <m/>
    <n v="0.22620000000000001"/>
    <m/>
    <n v="0.22620000000000001"/>
    <m/>
    <m/>
    <m/>
    <m/>
    <m/>
    <s v="AUD"/>
    <s v="13634431Waste - General [t] - Scope 3"/>
    <n v="13634431"/>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5-01T00:00:00"/>
    <s v="FY21"/>
    <s v="t"/>
    <n v="0"/>
    <n v="0"/>
    <n v="0.17979999999999999"/>
    <n v="0.17979999999999999"/>
    <n v="0"/>
    <n v="0"/>
    <n v="31"/>
    <n v="31"/>
    <n v="0"/>
    <n v="0"/>
    <n v="100"/>
    <s v="Consolidation"/>
    <s v="CO2e and Base Measure"/>
    <n v="100"/>
    <n v="100"/>
    <n v="0.18"/>
    <m/>
    <m/>
    <m/>
    <m/>
    <m/>
    <n v="0.23369999999999999"/>
    <m/>
    <n v="0.23369999999999999"/>
    <m/>
    <m/>
    <m/>
    <m/>
    <m/>
    <s v="AUD"/>
    <s v="13634431Waste - General [t] - Scope 3"/>
    <n v="13634431"/>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1-01T00:00:00"/>
    <s v="FY21"/>
    <s v="t"/>
    <n v="0"/>
    <n v="3.7499999999999999E-2"/>
    <n v="0"/>
    <n v="3.7499999999999999E-2"/>
    <n v="0"/>
    <n v="1"/>
    <n v="0"/>
    <n v="1"/>
    <n v="0"/>
    <n v="100"/>
    <n v="0"/>
    <s v="Consolidation"/>
    <s v="CO2e and Base Measure"/>
    <n v="100"/>
    <n v="100"/>
    <n v="0.04"/>
    <m/>
    <m/>
    <m/>
    <m/>
    <m/>
    <m/>
    <m/>
    <m/>
    <m/>
    <m/>
    <m/>
    <m/>
    <m/>
    <s v="AUD"/>
    <s v="13634432Waste Recycled - Paper and Cardboard [t]"/>
    <n v="13634432"/>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2-01T00:00:00"/>
    <s v="FY21"/>
    <s v="t"/>
    <n v="0"/>
    <n v="3.7499999999999999E-2"/>
    <n v="0"/>
    <n v="3.7499999999999999E-2"/>
    <n v="0"/>
    <n v="1"/>
    <n v="0"/>
    <n v="1"/>
    <n v="0"/>
    <n v="100"/>
    <n v="0"/>
    <s v="Consolidation"/>
    <s v="CO2e and Base Measure"/>
    <n v="100"/>
    <n v="100"/>
    <n v="0.04"/>
    <m/>
    <m/>
    <m/>
    <m/>
    <m/>
    <m/>
    <m/>
    <m/>
    <m/>
    <m/>
    <m/>
    <m/>
    <m/>
    <s v="AUD"/>
    <s v="13634432Waste Recycled - Paper and Cardboard [t]"/>
    <n v="13634432"/>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3-01T00:00:00"/>
    <s v="FY21"/>
    <s v="t"/>
    <n v="0"/>
    <n v="0"/>
    <n v="4.0300000000000002E-2"/>
    <n v="4.0300000000000002E-2"/>
    <n v="0"/>
    <n v="0"/>
    <n v="31"/>
    <n v="31"/>
    <n v="0"/>
    <n v="0"/>
    <n v="100"/>
    <s v="Consolidation"/>
    <s v="CO2e and Base Measure"/>
    <n v="100"/>
    <n v="100"/>
    <n v="0.04"/>
    <m/>
    <m/>
    <m/>
    <m/>
    <m/>
    <m/>
    <m/>
    <m/>
    <m/>
    <m/>
    <m/>
    <m/>
    <m/>
    <s v="AUD"/>
    <s v="13634432Waste Recycled - Paper and Cardboard [t]"/>
    <n v="13634432"/>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4-01T00:00:00"/>
    <s v="FY21"/>
    <s v="t"/>
    <n v="0"/>
    <n v="0"/>
    <n v="3.9E-2"/>
    <n v="3.9E-2"/>
    <n v="0"/>
    <n v="0"/>
    <n v="30"/>
    <n v="30"/>
    <n v="0"/>
    <n v="0"/>
    <n v="100"/>
    <s v="Consolidation"/>
    <s v="CO2e and Base Measure"/>
    <n v="100"/>
    <n v="100"/>
    <n v="0.04"/>
    <m/>
    <m/>
    <m/>
    <m/>
    <m/>
    <m/>
    <m/>
    <m/>
    <m/>
    <m/>
    <m/>
    <m/>
    <m/>
    <s v="AUD"/>
    <s v="13634432Waste Recycled - Paper and Cardboard [t]"/>
    <n v="13634432"/>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5-01T00:00:00"/>
    <s v="FY21"/>
    <s v="t"/>
    <n v="0"/>
    <n v="0"/>
    <n v="4.0300000000000002E-2"/>
    <n v="4.0300000000000002E-2"/>
    <n v="0"/>
    <n v="0"/>
    <n v="31"/>
    <n v="31"/>
    <n v="0"/>
    <n v="0"/>
    <n v="100"/>
    <s v="Consolidation"/>
    <s v="CO2e and Base Measure"/>
    <n v="100"/>
    <n v="100"/>
    <n v="0.04"/>
    <m/>
    <m/>
    <m/>
    <m/>
    <m/>
    <m/>
    <m/>
    <m/>
    <m/>
    <m/>
    <m/>
    <m/>
    <m/>
    <s v="AUD"/>
    <s v="13634432Waste Recycled - Paper and Cardboard [t]"/>
    <n v="13634432"/>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0-08-01T00:00:00"/>
    <s v="FY21"/>
    <s v="t"/>
    <n v="1.35E-2"/>
    <n v="0"/>
    <n v="0"/>
    <n v="1.35E-2"/>
    <n v="1"/>
    <n v="0"/>
    <n v="0"/>
    <n v="1"/>
    <n v="100"/>
    <n v="0"/>
    <n v="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0-10-01T00:00:00"/>
    <s v="FY21"/>
    <s v="t"/>
    <n v="1.35E-2"/>
    <n v="0"/>
    <n v="0"/>
    <n v="1.35E-2"/>
    <n v="1"/>
    <n v="0"/>
    <n v="0"/>
    <n v="1"/>
    <n v="100"/>
    <n v="0"/>
    <n v="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0-12-01T00:00:00"/>
    <s v="FY21"/>
    <s v="t"/>
    <n v="1.35E-2"/>
    <n v="0"/>
    <n v="0"/>
    <n v="1.35E-2"/>
    <n v="1"/>
    <n v="0"/>
    <n v="0"/>
    <n v="1"/>
    <n v="100"/>
    <n v="0"/>
    <n v="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454Waste Recycled - Paper and Cardboard [t]"/>
    <n v="13566454"/>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07-01T00:00:00"/>
    <s v="FY21"/>
    <s v="t"/>
    <n v="2.7E-2"/>
    <n v="0"/>
    <n v="0"/>
    <n v="2.7E-2"/>
    <n v="2"/>
    <n v="0"/>
    <n v="0"/>
    <n v="2"/>
    <n v="100"/>
    <n v="0"/>
    <n v="0"/>
    <s v="Consolidation"/>
    <s v="CO2e and Base Measure"/>
    <n v="100"/>
    <n v="100"/>
    <n v="0.03"/>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08-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09-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10-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11-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12-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1-01T00:00:00"/>
    <s v="FY21"/>
    <s v="t"/>
    <n v="0"/>
    <n v="0"/>
    <n v="1.55E-2"/>
    <n v="1.55E-2"/>
    <n v="0"/>
    <n v="0"/>
    <n v="31"/>
    <n v="31"/>
    <n v="0"/>
    <n v="0"/>
    <n v="100"/>
    <s v="Consolidation"/>
    <s v="CO2e and Base Measure"/>
    <n v="100"/>
    <n v="100"/>
    <n v="0.02"/>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2-01T00:00:00"/>
    <s v="FY21"/>
    <s v="t"/>
    <n v="0"/>
    <n v="0"/>
    <n v="1.4E-2"/>
    <n v="1.4E-2"/>
    <n v="0"/>
    <n v="0"/>
    <n v="28"/>
    <n v="28"/>
    <n v="0"/>
    <n v="0"/>
    <n v="10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3-01T00:00:00"/>
    <s v="FY21"/>
    <s v="t"/>
    <n v="0"/>
    <n v="0"/>
    <n v="1.55E-2"/>
    <n v="1.55E-2"/>
    <n v="0"/>
    <n v="0"/>
    <n v="31"/>
    <n v="31"/>
    <n v="0"/>
    <n v="0"/>
    <n v="100"/>
    <s v="Consolidation"/>
    <s v="CO2e and Base Measure"/>
    <n v="100"/>
    <n v="100"/>
    <n v="0.02"/>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5-01T00:00:00"/>
    <s v="FY21"/>
    <s v="t"/>
    <n v="0"/>
    <n v="0"/>
    <n v="1.55E-2"/>
    <n v="1.55E-2"/>
    <n v="0"/>
    <n v="0"/>
    <n v="31"/>
    <n v="31"/>
    <n v="0"/>
    <n v="0"/>
    <n v="100"/>
    <s v="Consolidation"/>
    <s v="CO2e and Base Measure"/>
    <n v="100"/>
    <n v="100"/>
    <n v="0.02"/>
    <m/>
    <m/>
    <m/>
    <m/>
    <m/>
    <m/>
    <m/>
    <m/>
    <m/>
    <m/>
    <m/>
    <m/>
    <m/>
    <s v="AUD"/>
    <s v="13566635Waste Recycled - Paper and Cardboard [t]"/>
    <n v="13566635"/>
  </r>
  <r>
    <d v="2019-07-01T00:00:00"/>
    <d v="2021-06-30T00:00:00"/>
    <s v="Telstra"/>
    <s v="NON-NETWORK"/>
    <s v="NON-NETWORK"/>
    <s v="NSW"/>
    <s v="Australia"/>
    <s v="Penrith"/>
    <s v="GROUND S3 111 HENRY"/>
    <n v="423031624000"/>
    <s v="Recycled Waste"/>
    <x v="0"/>
    <x v="3"/>
    <s v="Account"/>
    <s v="Remondis Commingled - Recycled"/>
    <m/>
    <s v="423031624000_RCOMINGLE"/>
    <s v="COMMINGLED - RECYCLED"/>
    <s v="Remondis"/>
    <m/>
    <m/>
    <d v="2020-10-01T00:00:00"/>
    <d v="2020-07-01T00:00:00"/>
    <s v="FY21"/>
    <s v="t"/>
    <n v="5.0000000000000001E-3"/>
    <n v="7.1999999999999995E-2"/>
    <n v="0"/>
    <n v="7.6999999999999999E-2"/>
    <n v="1"/>
    <n v="3"/>
    <n v="0"/>
    <n v="4"/>
    <n v="6.49"/>
    <n v="93.5"/>
    <n v="0"/>
    <s v="Consolidation"/>
    <s v="CO2e and Base Measure"/>
    <n v="100"/>
    <n v="100"/>
    <n v="0.08"/>
    <m/>
    <m/>
    <m/>
    <m/>
    <m/>
    <m/>
    <n v="0"/>
    <m/>
    <m/>
    <m/>
    <m/>
    <m/>
    <m/>
    <s v="AUD"/>
    <s v="13565739Waste Recycled - Commingled [t]"/>
    <n v="13565739"/>
  </r>
  <r>
    <d v="2019-07-01T00:00:00"/>
    <d v="2021-06-30T00:00:00"/>
    <s v="Telstra"/>
    <s v="NON-NETWORK"/>
    <s v="NON-NETWORK"/>
    <s v="NSW"/>
    <s v="Australia"/>
    <s v="Penrith"/>
    <s v="GROUND S3 111 HENRY"/>
    <n v="423031624000"/>
    <s v="Recycled Waste"/>
    <x v="0"/>
    <x v="3"/>
    <s v="Account"/>
    <s v="Remondis Commingled - Recycled"/>
    <m/>
    <s v="423031624000_RCOMINGLE"/>
    <s v="COMMINGLED - RECYCLED"/>
    <s v="Remondis"/>
    <m/>
    <m/>
    <d v="2020-10-01T00:00:00"/>
    <d v="2020-08-01T00:00:00"/>
    <s v="FY21"/>
    <s v="t"/>
    <n v="0"/>
    <n v="9.6000000000000002E-2"/>
    <n v="0"/>
    <n v="9.6000000000000002E-2"/>
    <n v="0"/>
    <n v="4"/>
    <n v="0"/>
    <n v="4"/>
    <n v="0"/>
    <n v="100"/>
    <n v="0"/>
    <s v="Consolidation"/>
    <s v="CO2e and Base Measure"/>
    <n v="100"/>
    <n v="100"/>
    <n v="0.1"/>
    <m/>
    <m/>
    <m/>
    <m/>
    <m/>
    <m/>
    <n v="0"/>
    <m/>
    <m/>
    <m/>
    <m/>
    <m/>
    <m/>
    <s v="AUD"/>
    <s v="13565739Waste Recycled - Commingled [t]"/>
    <n v="13565739"/>
  </r>
  <r>
    <d v="2019-07-01T00:00:00"/>
    <d v="2021-06-30T00:00:00"/>
    <s v="Telstra"/>
    <s v="NON-NETWORK"/>
    <s v="NON-NETWORK"/>
    <s v="NSW"/>
    <s v="Australia"/>
    <s v="Penrith"/>
    <s v="GROUND S3 111 HENRY"/>
    <n v="423031624000"/>
    <s v="Recycled Waste"/>
    <x v="0"/>
    <x v="3"/>
    <s v="Account"/>
    <s v="Remondis Commingled - Recycled"/>
    <m/>
    <s v="423031624000_RCOMINGLE"/>
    <s v="COMMINGLED - RECYCLED"/>
    <s v="Remondis"/>
    <m/>
    <m/>
    <d v="2020-10-01T00:00:00"/>
    <d v="2020-09-01T00:00:00"/>
    <s v="FY21"/>
    <s v="t"/>
    <n v="0"/>
    <n v="0.12"/>
    <n v="0"/>
    <n v="0.12"/>
    <n v="0"/>
    <n v="5"/>
    <n v="0"/>
    <n v="5"/>
    <n v="0"/>
    <n v="100"/>
    <n v="0"/>
    <s v="Consolidation"/>
    <s v="CO2e and Base Measure"/>
    <n v="100"/>
    <n v="100"/>
    <n v="0.12"/>
    <m/>
    <m/>
    <m/>
    <m/>
    <m/>
    <m/>
    <n v="0"/>
    <m/>
    <m/>
    <m/>
    <m/>
    <m/>
    <m/>
    <s v="AUD"/>
    <s v="13565739Waste Recycled - Commingled [t]"/>
    <n v="13565739"/>
  </r>
  <r>
    <d v="2019-07-01T00:00:00"/>
    <d v="2021-06-30T00:00:00"/>
    <s v="Telstra"/>
    <s v="NON-NETWORK"/>
    <s v="NON-NETWORK"/>
    <s v="NSW"/>
    <s v="Australia"/>
    <s v="Penrith"/>
    <s v="GROUND S3 111 HENRY"/>
    <n v="423031624000"/>
    <s v="Recycled Waste"/>
    <x v="0"/>
    <x v="3"/>
    <s v="Account"/>
    <s v="Remondis Commingled - Recycled"/>
    <m/>
    <s v="423031624000_RCOMINGLE"/>
    <s v="COMMINGLED - RECYCLED"/>
    <s v="Remondis"/>
    <m/>
    <m/>
    <d v="2020-10-01T00:00:00"/>
    <d v="2020-10-01T00:00:00"/>
    <s v="FY21"/>
    <s v="t"/>
    <n v="0"/>
    <n v="0"/>
    <n v="2.5000000000000001E-3"/>
    <n v="2.5000000000000001E-3"/>
    <n v="0"/>
    <n v="0"/>
    <n v="1"/>
    <n v="1"/>
    <n v="0"/>
    <n v="0"/>
    <n v="100"/>
    <s v="Consolidation"/>
    <s v="CO2e and Base Measure"/>
    <n v="100"/>
    <n v="100"/>
    <n v="0"/>
    <m/>
    <m/>
    <m/>
    <m/>
    <m/>
    <m/>
    <n v="0"/>
    <m/>
    <m/>
    <m/>
    <m/>
    <m/>
    <m/>
    <s v="AUD"/>
    <s v="13565739Waste Recycled - Commingled [t]"/>
    <n v="13565739"/>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07-01T00:00:00"/>
    <s v="FY21"/>
    <s v="t"/>
    <n v="1.2999999999999999E-2"/>
    <n v="0"/>
    <n v="0"/>
    <n v="1.2999999999999999E-2"/>
    <n v="3"/>
    <n v="0"/>
    <n v="0"/>
    <n v="3"/>
    <n v="100"/>
    <n v="0"/>
    <n v="0"/>
    <s v="Consolidation"/>
    <s v="CO2e and Base Measure"/>
    <n v="100"/>
    <n v="100"/>
    <n v="0.01"/>
    <m/>
    <m/>
    <m/>
    <m/>
    <m/>
    <n v="1.6899999999999998E-2"/>
    <m/>
    <n v="1.6899999999999998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08-01T00:00:00"/>
    <s v="FY21"/>
    <s v="t"/>
    <n v="1.2999999999999999E-2"/>
    <n v="0"/>
    <n v="0"/>
    <n v="1.2999999999999999E-2"/>
    <n v="4"/>
    <n v="0"/>
    <n v="0"/>
    <n v="4"/>
    <n v="100"/>
    <n v="0"/>
    <n v="0"/>
    <s v="Consolidation"/>
    <s v="CO2e and Base Measure"/>
    <n v="100"/>
    <n v="100"/>
    <n v="0.01"/>
    <m/>
    <m/>
    <m/>
    <m/>
    <m/>
    <n v="1.6899999999999998E-2"/>
    <m/>
    <n v="1.6899999999999998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09-01T00:00:00"/>
    <s v="FY21"/>
    <s v="t"/>
    <n v="1.7999999999999999E-2"/>
    <n v="0"/>
    <n v="0"/>
    <n v="1.7999999999999999E-2"/>
    <n v="3"/>
    <n v="0"/>
    <n v="0"/>
    <n v="3"/>
    <n v="100"/>
    <n v="0"/>
    <n v="0"/>
    <s v="Consolidation"/>
    <s v="CO2e and Base Measure"/>
    <n v="100"/>
    <n v="100"/>
    <n v="0.02"/>
    <m/>
    <m/>
    <m/>
    <m/>
    <m/>
    <n v="2.3400000000000001E-2"/>
    <m/>
    <n v="2.3400000000000001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10-01T00:00:00"/>
    <s v="FY21"/>
    <s v="t"/>
    <n v="1.4E-2"/>
    <n v="0"/>
    <n v="0"/>
    <n v="1.4E-2"/>
    <n v="4"/>
    <n v="0"/>
    <n v="0"/>
    <n v="4"/>
    <n v="100"/>
    <n v="0"/>
    <n v="0"/>
    <s v="Consolidation"/>
    <s v="CO2e and Base Measure"/>
    <n v="100"/>
    <n v="100"/>
    <n v="0.01"/>
    <m/>
    <m/>
    <m/>
    <m/>
    <m/>
    <n v="1.8200000000000001E-2"/>
    <m/>
    <n v="1.8200000000000001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11-01T00:00:00"/>
    <s v="FY21"/>
    <s v="t"/>
    <n v="1.2E-2"/>
    <n v="0"/>
    <n v="0"/>
    <n v="1.2E-2"/>
    <n v="3"/>
    <n v="0"/>
    <n v="0"/>
    <n v="3"/>
    <n v="100"/>
    <n v="0"/>
    <n v="0"/>
    <s v="Consolidation"/>
    <s v="CO2e and Base Measure"/>
    <n v="100"/>
    <n v="100"/>
    <n v="0.01"/>
    <m/>
    <m/>
    <m/>
    <m/>
    <m/>
    <n v="1.5599999999999999E-2"/>
    <m/>
    <n v="1.5599999999999999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1-01-01T00:00:00"/>
    <s v="FY21"/>
    <s v="t"/>
    <n v="0"/>
    <n v="0"/>
    <n v="5.0000000000000001E-4"/>
    <n v="5.0000000000000001E-4"/>
    <n v="0"/>
    <n v="0"/>
    <n v="1"/>
    <n v="1"/>
    <n v="0"/>
    <n v="0"/>
    <n v="100"/>
    <s v="Consolidation"/>
    <s v="CO2e and Base Measure"/>
    <n v="100"/>
    <n v="100"/>
    <n v="0"/>
    <m/>
    <m/>
    <m/>
    <m/>
    <m/>
    <n v="6.9999999999999999E-4"/>
    <m/>
    <n v="6.9999999999999999E-4"/>
    <m/>
    <m/>
    <m/>
    <m/>
    <m/>
    <s v="AUD"/>
    <s v="13565740Waste - General [t] - Scope 3"/>
    <n v="13565740"/>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0-08-01T00:00:00"/>
    <s v="FY21"/>
    <s v="t"/>
    <n v="5.3999999999999999E-2"/>
    <n v="0"/>
    <n v="0"/>
    <n v="5.3999999999999999E-2"/>
    <n v="1"/>
    <n v="0"/>
    <n v="0"/>
    <n v="1"/>
    <n v="100"/>
    <n v="0"/>
    <n v="0"/>
    <s v="Consolidation"/>
    <s v="CO2e and Base Measure"/>
    <n v="100"/>
    <n v="100"/>
    <n v="0.05"/>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0-09-01T00:00:00"/>
    <s v="FY21"/>
    <s v="t"/>
    <n v="4.0000000000000001E-3"/>
    <n v="0"/>
    <n v="0"/>
    <n v="4.0000000000000001E-3"/>
    <n v="1"/>
    <n v="0"/>
    <n v="0"/>
    <n v="1"/>
    <n v="100"/>
    <n v="0"/>
    <n v="0"/>
    <s v="Consolidation"/>
    <s v="CO2e and Base Measure"/>
    <n v="100"/>
    <n v="100"/>
    <n v="0"/>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0-10-01T00:00:00"/>
    <s v="FY21"/>
    <s v="t"/>
    <n v="5.3999999999999999E-2"/>
    <n v="0"/>
    <n v="0"/>
    <n v="5.3999999999999999E-2"/>
    <n v="1"/>
    <n v="0"/>
    <n v="0"/>
    <n v="1"/>
    <n v="100"/>
    <n v="0"/>
    <n v="0"/>
    <s v="Consolidation"/>
    <s v="CO2e and Base Measure"/>
    <n v="100"/>
    <n v="100"/>
    <n v="0.05"/>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0-12-01T00:00:00"/>
    <s v="FY21"/>
    <s v="t"/>
    <n v="2.7E-2"/>
    <n v="0"/>
    <n v="0"/>
    <n v="2.7E-2"/>
    <n v="1"/>
    <n v="0"/>
    <n v="0"/>
    <n v="1"/>
    <n v="100"/>
    <n v="0"/>
    <n v="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2-01T00:00:00"/>
    <s v="FY21"/>
    <s v="t"/>
    <n v="0"/>
    <n v="0"/>
    <n v="2.52E-2"/>
    <n v="2.52E-2"/>
    <n v="0"/>
    <n v="0"/>
    <n v="28"/>
    <n v="28"/>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4-01T00:00:00"/>
    <s v="FY21"/>
    <s v="t"/>
    <n v="0"/>
    <n v="0"/>
    <n v="2.7E-2"/>
    <n v="2.7E-2"/>
    <n v="0"/>
    <n v="0"/>
    <n v="30"/>
    <n v="30"/>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1"/>
    <s v="Account"/>
    <s v="Remondis Electrical Comp. (E-Waste)"/>
    <m/>
    <s v="423031624000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633441Waste Recycled - E-waste [t]"/>
    <n v="13633441"/>
  </r>
  <r>
    <d v="2019-07-01T00:00:00"/>
    <d v="2021-06-30T00:00:00"/>
    <s v="Telstra"/>
    <s v="NON-NETWORK"/>
    <s v="NON-NETWORK"/>
    <s v="NSW"/>
    <s v="Australia"/>
    <s v="Penrith"/>
    <s v="GROUND S3 111 HENRY"/>
    <n v="423031624000"/>
    <s v="Recycled Waste"/>
    <x v="0"/>
    <x v="1"/>
    <s v="Account"/>
    <s v="Remondis Electrical Comp. (E-Waste)"/>
    <m/>
    <s v="423031624000_RELECTRIC"/>
    <s v="ELECTRICAL COMP. (E-WASTE)"/>
    <s v="Remondis"/>
    <m/>
    <m/>
    <d v="2021-01-01T00:00:00"/>
    <d v="2021-01-01T00:00:00"/>
    <s v="FY21"/>
    <s v="t"/>
    <n v="0"/>
    <n v="0"/>
    <n v="1.5E-3"/>
    <n v="1.5E-3"/>
    <n v="0"/>
    <n v="0"/>
    <n v="1"/>
    <n v="1"/>
    <n v="0"/>
    <n v="0"/>
    <n v="100"/>
    <s v="Consolidation"/>
    <s v="CO2e and Base Measure"/>
    <n v="100"/>
    <n v="100"/>
    <n v="0"/>
    <m/>
    <m/>
    <m/>
    <m/>
    <m/>
    <m/>
    <m/>
    <m/>
    <m/>
    <m/>
    <m/>
    <m/>
    <m/>
    <s v="AUD"/>
    <s v="13633441Waste Recycled - E-waste [t]"/>
    <n v="1363344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0-11-01T00:00:00"/>
    <s v="FY21"/>
    <s v="t"/>
    <n v="0"/>
    <n v="1.0800000000000001E-2"/>
    <n v="0"/>
    <n v="1.0800000000000001E-2"/>
    <n v="0"/>
    <n v="1"/>
    <n v="0"/>
    <n v="1"/>
    <n v="0"/>
    <n v="100"/>
    <n v="0"/>
    <s v="Consolidation"/>
    <s v="CO2e and Base Measure"/>
    <n v="100"/>
    <n v="100"/>
    <n v="0.01"/>
    <m/>
    <m/>
    <m/>
    <m/>
    <m/>
    <n v="1.4E-2"/>
    <m/>
    <n v="1.4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0-12-01T00:00:00"/>
    <s v="FY21"/>
    <s v="t"/>
    <n v="0"/>
    <n v="4.3200000000000002E-2"/>
    <n v="0"/>
    <n v="4.3200000000000002E-2"/>
    <n v="0"/>
    <n v="4"/>
    <n v="0"/>
    <n v="4"/>
    <n v="0"/>
    <n v="100"/>
    <n v="0"/>
    <s v="Consolidation"/>
    <s v="CO2e and Base Measure"/>
    <n v="100"/>
    <n v="100"/>
    <n v="0.04"/>
    <m/>
    <m/>
    <m/>
    <m/>
    <m/>
    <n v="5.62E-2"/>
    <m/>
    <n v="5.62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1-01T00:00:00"/>
    <s v="FY21"/>
    <s v="t"/>
    <n v="1.7000000000000001E-2"/>
    <n v="3.2399999999999998E-2"/>
    <n v="0"/>
    <n v="4.9399999999999999E-2"/>
    <n v="1"/>
    <n v="3"/>
    <n v="0"/>
    <n v="4"/>
    <n v="34.409999999999997"/>
    <n v="65.58"/>
    <n v="0"/>
    <s v="Consolidation"/>
    <s v="CO2e and Base Measure"/>
    <n v="100"/>
    <n v="100"/>
    <n v="0.05"/>
    <m/>
    <m/>
    <m/>
    <m/>
    <m/>
    <n v="6.4199999999999993E-2"/>
    <m/>
    <n v="6.4199999999999993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2-01T00:00:00"/>
    <s v="FY21"/>
    <s v="t"/>
    <n v="0"/>
    <n v="3.2399999999999998E-2"/>
    <n v="0"/>
    <n v="3.2399999999999998E-2"/>
    <n v="0"/>
    <n v="3"/>
    <n v="0"/>
    <n v="3"/>
    <n v="0"/>
    <n v="100"/>
    <n v="0"/>
    <s v="Consolidation"/>
    <s v="CO2e and Base Measure"/>
    <n v="100"/>
    <n v="100"/>
    <n v="0.03"/>
    <m/>
    <m/>
    <m/>
    <m/>
    <m/>
    <n v="4.2099999999999999E-2"/>
    <m/>
    <n v="4.2099999999999999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3-01T00:00:00"/>
    <s v="FY21"/>
    <s v="t"/>
    <n v="0.02"/>
    <n v="4.3200000000000002E-2"/>
    <n v="0"/>
    <n v="6.3200000000000006E-2"/>
    <n v="1"/>
    <n v="4"/>
    <n v="0"/>
    <n v="5"/>
    <n v="31.64"/>
    <n v="68.349999999999994"/>
    <n v="0"/>
    <s v="Consolidation"/>
    <s v="CO2e and Base Measure"/>
    <n v="100"/>
    <n v="100"/>
    <n v="0.06"/>
    <m/>
    <m/>
    <m/>
    <m/>
    <m/>
    <n v="8.2199999999999995E-2"/>
    <m/>
    <n v="8.2199999999999995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4-01T00:00:00"/>
    <s v="FY21"/>
    <s v="t"/>
    <n v="0"/>
    <n v="0"/>
    <n v="3.9E-2"/>
    <n v="3.9E-2"/>
    <n v="0"/>
    <n v="0"/>
    <n v="30"/>
    <n v="30"/>
    <n v="0"/>
    <n v="0"/>
    <n v="100"/>
    <s v="Consolidation"/>
    <s v="CO2e and Base Measure"/>
    <n v="100"/>
    <n v="100"/>
    <n v="0.04"/>
    <m/>
    <m/>
    <m/>
    <m/>
    <m/>
    <n v="5.0700000000000002E-2"/>
    <m/>
    <n v="5.0700000000000002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5-01T00:00:00"/>
    <s v="FY21"/>
    <s v="t"/>
    <n v="0"/>
    <n v="0"/>
    <n v="4.0300000000000002E-2"/>
    <n v="4.0300000000000002E-2"/>
    <n v="0"/>
    <n v="0"/>
    <n v="31"/>
    <n v="31"/>
    <n v="0"/>
    <n v="0"/>
    <n v="100"/>
    <s v="Consolidation"/>
    <s v="CO2e and Base Measure"/>
    <n v="100"/>
    <n v="100"/>
    <n v="0.04"/>
    <m/>
    <m/>
    <m/>
    <m/>
    <m/>
    <n v="5.2400000000000002E-2"/>
    <m/>
    <n v="5.2400000000000002E-2"/>
    <m/>
    <m/>
    <m/>
    <m/>
    <m/>
    <s v="AUD"/>
    <s v="13634001Waste - General [t] - Scope 3"/>
    <n v="13634001"/>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0-11-01T00:00:00"/>
    <s v="FY21"/>
    <s v="t"/>
    <n v="0"/>
    <n v="4.7999999999999996E-3"/>
    <n v="0"/>
    <n v="4.7999999999999996E-3"/>
    <n v="0"/>
    <n v="1"/>
    <n v="0"/>
    <n v="1"/>
    <n v="0"/>
    <n v="100"/>
    <n v="0"/>
    <s v="Consolidation"/>
    <s v="CO2e and Base Measure"/>
    <n v="100"/>
    <n v="100"/>
    <n v="0"/>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1-01T00:00:00"/>
    <s v="FY21"/>
    <s v="t"/>
    <n v="0"/>
    <n v="9.5999999999999992E-3"/>
    <n v="0"/>
    <n v="9.5999999999999992E-3"/>
    <n v="0"/>
    <n v="2"/>
    <n v="0"/>
    <n v="2"/>
    <n v="0"/>
    <n v="100"/>
    <n v="0"/>
    <s v="Consolidation"/>
    <s v="CO2e and Base Measure"/>
    <n v="100"/>
    <n v="100"/>
    <n v="0.01"/>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2-01T00:00:00"/>
    <s v="FY21"/>
    <s v="t"/>
    <n v="0"/>
    <n v="4.7999999999999996E-3"/>
    <n v="0"/>
    <n v="4.7999999999999996E-3"/>
    <n v="0"/>
    <n v="1"/>
    <n v="0"/>
    <n v="1"/>
    <n v="0"/>
    <n v="100"/>
    <n v="0"/>
    <s v="Consolidation"/>
    <s v="CO2e and Base Measure"/>
    <n v="100"/>
    <n v="100"/>
    <n v="0"/>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3-01T00:00:00"/>
    <s v="FY21"/>
    <s v="t"/>
    <n v="0"/>
    <n v="0"/>
    <n v="6.1999999999999998E-3"/>
    <n v="6.1999999999999998E-3"/>
    <n v="0"/>
    <n v="0"/>
    <n v="31"/>
    <n v="31"/>
    <n v="0"/>
    <n v="0"/>
    <n v="100"/>
    <s v="Consolidation"/>
    <s v="CO2e and Base Measure"/>
    <n v="100"/>
    <n v="100"/>
    <n v="0.01"/>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4-01T00:00:00"/>
    <s v="FY21"/>
    <s v="t"/>
    <n v="0"/>
    <n v="0"/>
    <n v="6.0000000000000001E-3"/>
    <n v="6.0000000000000001E-3"/>
    <n v="0"/>
    <n v="0"/>
    <n v="30"/>
    <n v="30"/>
    <n v="0"/>
    <n v="0"/>
    <n v="100"/>
    <s v="Consolidation"/>
    <s v="CO2e and Base Measure"/>
    <n v="100"/>
    <n v="100"/>
    <n v="0.01"/>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5-01T00:00:00"/>
    <s v="FY21"/>
    <s v="t"/>
    <n v="0"/>
    <n v="0"/>
    <n v="6.1999999999999998E-3"/>
    <n v="6.1999999999999998E-3"/>
    <n v="0"/>
    <n v="0"/>
    <n v="31"/>
    <n v="31"/>
    <n v="0"/>
    <n v="0"/>
    <n v="100"/>
    <s v="Consolidation"/>
    <s v="CO2e and Base Measure"/>
    <n v="100"/>
    <n v="100"/>
    <n v="0.01"/>
    <m/>
    <m/>
    <m/>
    <m/>
    <m/>
    <m/>
    <n v="0"/>
    <m/>
    <m/>
    <m/>
    <m/>
    <m/>
    <m/>
    <s v="AUD"/>
    <s v="13634002Waste Recycled - Commingled [t]"/>
    <n v="13634002"/>
  </r>
  <r>
    <d v="2019-07-01T00:00:00"/>
    <d v="2021-06-30T00:00:00"/>
    <s v="Telstra"/>
    <s v="NETWORK"/>
    <s v="Network - InfraCo"/>
    <s v="QLD"/>
    <s v="Australia"/>
    <s v="Townsville"/>
    <s v="GULLIVER EXCHANGE"/>
    <n v="423030088100"/>
    <s v="Recycled Waste"/>
    <x v="0"/>
    <x v="3"/>
    <s v="Account"/>
    <s v="Remondis Commingled - Recycled"/>
    <m/>
    <s v="423030088100_RCOMINGLE"/>
    <s v="COMMINGLED - RECYCLED"/>
    <s v="Remondis"/>
    <m/>
    <m/>
    <d v="2020-10-01T00:00:00"/>
    <d v="2020-07-01T00:00:00"/>
    <s v="FY21"/>
    <s v="t"/>
    <n v="0"/>
    <n v="2.4E-2"/>
    <n v="0"/>
    <n v="2.4E-2"/>
    <n v="0"/>
    <n v="1"/>
    <n v="0"/>
    <n v="1"/>
    <n v="0"/>
    <n v="100"/>
    <n v="0"/>
    <s v="Consolidation"/>
    <s v="CO2e and Base Measure"/>
    <n v="100"/>
    <n v="100"/>
    <n v="0.02"/>
    <m/>
    <m/>
    <m/>
    <m/>
    <m/>
    <m/>
    <n v="0"/>
    <m/>
    <m/>
    <m/>
    <m/>
    <m/>
    <m/>
    <s v="AUD"/>
    <s v="13564164Waste Recycled - Commingled [t]"/>
    <n v="13564164"/>
  </r>
  <r>
    <d v="2019-07-01T00:00:00"/>
    <d v="2021-06-30T00:00:00"/>
    <s v="Telstra"/>
    <s v="NETWORK"/>
    <s v="Network - InfraCo"/>
    <s v="QLD"/>
    <s v="Australia"/>
    <s v="Townsville"/>
    <s v="GULLIVER EXCHANGE"/>
    <n v="423030088100"/>
    <s v="Recycled Waste"/>
    <x v="0"/>
    <x v="3"/>
    <s v="Account"/>
    <s v="Remondis Commingled - Recycled"/>
    <m/>
    <s v="423030088100_RCOMINGLE"/>
    <s v="COMMINGLED - RECYCLED"/>
    <s v="Remondis"/>
    <m/>
    <m/>
    <d v="2020-10-01T00:00:00"/>
    <d v="2020-08-01T00:00:00"/>
    <s v="FY21"/>
    <s v="t"/>
    <n v="0"/>
    <n v="2.4E-2"/>
    <n v="0"/>
    <n v="2.4E-2"/>
    <n v="0"/>
    <n v="1"/>
    <n v="0"/>
    <n v="1"/>
    <n v="0"/>
    <n v="100"/>
    <n v="0"/>
    <s v="Consolidation"/>
    <s v="CO2e and Base Measure"/>
    <n v="100"/>
    <n v="100"/>
    <n v="0.02"/>
    <m/>
    <m/>
    <m/>
    <m/>
    <m/>
    <m/>
    <n v="0"/>
    <m/>
    <m/>
    <m/>
    <m/>
    <m/>
    <m/>
    <s v="AUD"/>
    <s v="13564164Waste Recycled - Commingled [t]"/>
    <n v="13564164"/>
  </r>
  <r>
    <d v="2019-07-01T00:00:00"/>
    <d v="2021-06-30T00:00:00"/>
    <s v="Telstra"/>
    <s v="NETWORK"/>
    <s v="Network - InfraCo"/>
    <s v="QLD"/>
    <s v="Australia"/>
    <s v="Townsville"/>
    <s v="GULLIVER EXCHANGE"/>
    <n v="423030088100"/>
    <s v="Recycled Waste"/>
    <x v="0"/>
    <x v="3"/>
    <s v="Account"/>
    <s v="Remondis Commingled - Recycled"/>
    <m/>
    <s v="423030088100_RCOMINGLE"/>
    <s v="COMMINGLED - RECYCLED"/>
    <s v="Remondis"/>
    <m/>
    <m/>
    <d v="2020-10-01T00:00:00"/>
    <d v="2020-09-01T00:00:00"/>
    <s v="FY21"/>
    <s v="t"/>
    <n v="0"/>
    <n v="2.4E-2"/>
    <n v="0"/>
    <n v="2.4E-2"/>
    <n v="0"/>
    <n v="1"/>
    <n v="0"/>
    <n v="1"/>
    <n v="0"/>
    <n v="100"/>
    <n v="0"/>
    <s v="Consolidation"/>
    <s v="CO2e and Base Measure"/>
    <n v="100"/>
    <n v="100"/>
    <n v="0.02"/>
    <m/>
    <m/>
    <m/>
    <m/>
    <m/>
    <m/>
    <n v="0"/>
    <m/>
    <m/>
    <m/>
    <m/>
    <m/>
    <m/>
    <s v="AUD"/>
    <s v="13564164Waste Recycled - Commingled [t]"/>
    <n v="13564164"/>
  </r>
  <r>
    <d v="2019-07-01T00:00:00"/>
    <d v="2021-06-30T00:00:00"/>
    <s v="Telstra"/>
    <s v="NETWORK"/>
    <s v="Network - InfraCo"/>
    <s v="QLD"/>
    <s v="Australia"/>
    <s v="Townsville"/>
    <s v="GULLIVER EXCHANGE"/>
    <n v="423030088100"/>
    <s v="Recycled Waste"/>
    <x v="0"/>
    <x v="3"/>
    <s v="Account"/>
    <s v="Remondis Commingled - Recycled"/>
    <m/>
    <s v="423030088100_RCOMINGLE"/>
    <s v="COMMINGLED - RECYCLED"/>
    <s v="Remondis"/>
    <m/>
    <m/>
    <d v="2020-10-01T00:00:00"/>
    <d v="2020-10-01T00:00:00"/>
    <s v="FY21"/>
    <s v="t"/>
    <n v="0"/>
    <n v="0"/>
    <n v="8.0000000000000004E-4"/>
    <n v="8.0000000000000004E-4"/>
    <n v="0"/>
    <n v="0"/>
    <n v="1"/>
    <n v="1"/>
    <n v="0"/>
    <n v="0"/>
    <n v="100"/>
    <s v="Consolidation"/>
    <s v="CO2e and Base Measure"/>
    <n v="100"/>
    <n v="100"/>
    <n v="0"/>
    <m/>
    <m/>
    <m/>
    <m/>
    <m/>
    <m/>
    <n v="0"/>
    <m/>
    <m/>
    <m/>
    <m/>
    <m/>
    <m/>
    <s v="AUD"/>
    <s v="13564164Waste Recycled - Commingled [t]"/>
    <n v="13564164"/>
  </r>
  <r>
    <d v="2019-07-01T00:00:00"/>
    <d v="2021-06-30T00:00:00"/>
    <s v="Telstra"/>
    <s v="NETWORK"/>
    <s v="Network - InfraCo"/>
    <s v="QLD"/>
    <s v="Australia"/>
    <s v="Townsville"/>
    <s v="GULLIVER EXCHANGE"/>
    <n v="423030088100"/>
    <s v="Waste"/>
    <x v="1"/>
    <x v="2"/>
    <s v="Account"/>
    <s v="Remondis General Waste"/>
    <m/>
    <s v="423030088100_WGENERALW"/>
    <s v="GENERAL WASTE"/>
    <s v="Remondis"/>
    <m/>
    <m/>
    <d v="2020-10-01T00:00:00"/>
    <d v="2020-07-01T00:00:00"/>
    <s v="FY21"/>
    <s v="t"/>
    <n v="0"/>
    <n v="0.19500000000000001"/>
    <n v="0"/>
    <n v="0.19500000000000001"/>
    <n v="0"/>
    <n v="2"/>
    <n v="0"/>
    <n v="2"/>
    <n v="0"/>
    <n v="100"/>
    <n v="0"/>
    <s v="Consolidation"/>
    <s v="CO2e and Base Measure"/>
    <n v="100"/>
    <n v="100"/>
    <n v="0.2"/>
    <m/>
    <m/>
    <m/>
    <m/>
    <m/>
    <n v="0.2535"/>
    <m/>
    <n v="0.2535"/>
    <m/>
    <m/>
    <m/>
    <m/>
    <m/>
    <s v="AUD"/>
    <s v="13564165Waste - General [t] - Scope 3"/>
    <n v="13564165"/>
  </r>
  <r>
    <d v="2019-07-01T00:00:00"/>
    <d v="2021-06-30T00:00:00"/>
    <s v="Telstra"/>
    <s v="NETWORK"/>
    <s v="Network - InfraCo"/>
    <s v="QLD"/>
    <s v="Australia"/>
    <s v="Townsville"/>
    <s v="GULLIVER EXCHANGE"/>
    <n v="423030088100"/>
    <s v="Waste"/>
    <x v="1"/>
    <x v="2"/>
    <s v="Account"/>
    <s v="Remondis General Waste"/>
    <m/>
    <s v="423030088100_WGENERALW"/>
    <s v="GENERAL WASTE"/>
    <s v="Remondis"/>
    <m/>
    <m/>
    <d v="2020-10-01T00:00:00"/>
    <d v="2020-08-01T00:00:00"/>
    <s v="FY21"/>
    <s v="t"/>
    <n v="0"/>
    <n v="0.19500000000000001"/>
    <n v="0"/>
    <n v="0.19500000000000001"/>
    <n v="0"/>
    <n v="2"/>
    <n v="0"/>
    <n v="2"/>
    <n v="0"/>
    <n v="100"/>
    <n v="0"/>
    <s v="Consolidation"/>
    <s v="CO2e and Base Measure"/>
    <n v="100"/>
    <n v="100"/>
    <n v="0.2"/>
    <m/>
    <m/>
    <m/>
    <m/>
    <m/>
    <n v="0.2535"/>
    <m/>
    <n v="0.2535"/>
    <m/>
    <m/>
    <m/>
    <m/>
    <m/>
    <s v="AUD"/>
    <s v="13564165Waste - General [t] - Scope 3"/>
    <n v="13564165"/>
  </r>
  <r>
    <d v="2019-07-01T00:00:00"/>
    <d v="2021-06-30T00:00:00"/>
    <s v="Telstra"/>
    <s v="NETWORK"/>
    <s v="Network - InfraCo"/>
    <s v="QLD"/>
    <s v="Australia"/>
    <s v="Townsville"/>
    <s v="GULLIVER EXCHANGE"/>
    <n v="423030088100"/>
    <s v="Waste"/>
    <x v="1"/>
    <x v="2"/>
    <s v="Account"/>
    <s v="Remondis General Waste"/>
    <m/>
    <s v="423030088100_WGENERALW"/>
    <s v="GENERAL WASTE"/>
    <s v="Remondis"/>
    <m/>
    <m/>
    <d v="2020-10-01T00:00:00"/>
    <d v="2020-09-01T00:00:00"/>
    <s v="FY21"/>
    <s v="t"/>
    <n v="0"/>
    <n v="0.39"/>
    <n v="0"/>
    <n v="0.39"/>
    <n v="0"/>
    <n v="4"/>
    <n v="0"/>
    <n v="4"/>
    <n v="0"/>
    <n v="100"/>
    <n v="0"/>
    <s v="Consolidation"/>
    <s v="CO2e and Base Measure"/>
    <n v="100"/>
    <n v="100"/>
    <n v="0.39"/>
    <m/>
    <m/>
    <m/>
    <m/>
    <m/>
    <n v="0.50700000000000001"/>
    <m/>
    <n v="0.50700000000000001"/>
    <m/>
    <m/>
    <m/>
    <m/>
    <m/>
    <s v="AUD"/>
    <s v="13564165Waste - General [t] - Scope 3"/>
    <n v="13564165"/>
  </r>
  <r>
    <d v="2019-07-01T00:00:00"/>
    <d v="2021-06-30T00:00:00"/>
    <s v="Telstra"/>
    <s v="NETWORK"/>
    <s v="Network - InfraCo"/>
    <s v="QLD"/>
    <s v="Australia"/>
    <s v="Townsville"/>
    <s v="GULLIVER EXCHANGE"/>
    <n v="423030088100"/>
    <s v="Waste"/>
    <x v="1"/>
    <x v="2"/>
    <s v="Account"/>
    <s v="Remondis General Waste"/>
    <m/>
    <s v="423030088100_WGENERALW"/>
    <s v="GENERAL WASTE"/>
    <s v="Remondis"/>
    <m/>
    <m/>
    <d v="2020-10-01T00:00:00"/>
    <d v="2020-10-01T00:00:00"/>
    <s v="FY21"/>
    <s v="t"/>
    <n v="0"/>
    <n v="0"/>
    <n v="8.0999999999999996E-3"/>
    <n v="8.0999999999999996E-3"/>
    <n v="0"/>
    <n v="0"/>
    <n v="1"/>
    <n v="1"/>
    <n v="0"/>
    <n v="0"/>
    <n v="100"/>
    <s v="Consolidation"/>
    <s v="CO2e and Base Measure"/>
    <n v="100"/>
    <n v="100"/>
    <n v="0.01"/>
    <m/>
    <m/>
    <m/>
    <m/>
    <m/>
    <n v="1.0500000000000001E-2"/>
    <m/>
    <n v="1.0500000000000001E-2"/>
    <m/>
    <m/>
    <m/>
    <m/>
    <m/>
    <s v="AUD"/>
    <s v="13564165Waste - General [t] - Scope 3"/>
    <n v="13564165"/>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1-01T00:00:00"/>
    <s v="FY21"/>
    <s v="t"/>
    <n v="0"/>
    <n v="1.44E-2"/>
    <n v="0"/>
    <n v="1.44E-2"/>
    <n v="0"/>
    <n v="3"/>
    <n v="0"/>
    <n v="3"/>
    <n v="0"/>
    <n v="100"/>
    <n v="0"/>
    <s v="Consolidation"/>
    <s v="CO2e and Base Measure"/>
    <n v="100"/>
    <n v="100"/>
    <n v="0.01"/>
    <m/>
    <m/>
    <m/>
    <m/>
    <m/>
    <m/>
    <n v="0"/>
    <m/>
    <m/>
    <m/>
    <m/>
    <m/>
    <m/>
    <s v="AUD"/>
    <s v="13634433Waste Recycled - Commingled [t]"/>
    <n v="13634433"/>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2-01T00:00:00"/>
    <s v="FY21"/>
    <s v="t"/>
    <n v="0"/>
    <n v="0"/>
    <n v="1.4E-2"/>
    <n v="1.4E-2"/>
    <n v="0"/>
    <n v="0"/>
    <n v="28"/>
    <n v="28"/>
    <n v="0"/>
    <n v="0"/>
    <n v="100"/>
    <s v="Consolidation"/>
    <s v="CO2e and Base Measure"/>
    <n v="100"/>
    <n v="100"/>
    <n v="0.01"/>
    <m/>
    <m/>
    <m/>
    <m/>
    <m/>
    <m/>
    <n v="0"/>
    <m/>
    <m/>
    <m/>
    <m/>
    <m/>
    <m/>
    <s v="AUD"/>
    <s v="13634433Waste Recycled - Commingled [t]"/>
    <n v="13634433"/>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3-01T00:00:00"/>
    <s v="FY21"/>
    <s v="t"/>
    <n v="0"/>
    <n v="0"/>
    <n v="1.55E-2"/>
    <n v="1.55E-2"/>
    <n v="0"/>
    <n v="0"/>
    <n v="31"/>
    <n v="31"/>
    <n v="0"/>
    <n v="0"/>
    <n v="100"/>
    <s v="Consolidation"/>
    <s v="CO2e and Base Measure"/>
    <n v="100"/>
    <n v="100"/>
    <n v="0.02"/>
    <m/>
    <m/>
    <m/>
    <m/>
    <m/>
    <m/>
    <n v="0"/>
    <m/>
    <m/>
    <m/>
    <m/>
    <m/>
    <m/>
    <s v="AUD"/>
    <s v="13634433Waste Recycled - Commingled [t]"/>
    <n v="13634433"/>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4-01T00:00:00"/>
    <s v="FY21"/>
    <s v="t"/>
    <n v="0"/>
    <n v="0"/>
    <n v="1.4999999999999999E-2"/>
    <n v="1.4999999999999999E-2"/>
    <n v="0"/>
    <n v="0"/>
    <n v="30"/>
    <n v="30"/>
    <n v="0"/>
    <n v="0"/>
    <n v="100"/>
    <s v="Consolidation"/>
    <s v="CO2e and Base Measure"/>
    <n v="100"/>
    <n v="100"/>
    <n v="0.02"/>
    <m/>
    <m/>
    <m/>
    <m/>
    <m/>
    <m/>
    <n v="0"/>
    <m/>
    <m/>
    <m/>
    <m/>
    <m/>
    <m/>
    <s v="AUD"/>
    <s v="13634433Waste Recycled - Commingled [t]"/>
    <n v="13634433"/>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5-01T00:00:00"/>
    <s v="FY21"/>
    <s v="t"/>
    <n v="0"/>
    <n v="0"/>
    <n v="1.55E-2"/>
    <n v="1.55E-2"/>
    <n v="0"/>
    <n v="0"/>
    <n v="31"/>
    <n v="31"/>
    <n v="0"/>
    <n v="0"/>
    <n v="100"/>
    <s v="Consolidation"/>
    <s v="CO2e and Base Measure"/>
    <n v="100"/>
    <n v="100"/>
    <n v="0.02"/>
    <m/>
    <m/>
    <m/>
    <m/>
    <m/>
    <m/>
    <n v="0"/>
    <m/>
    <m/>
    <m/>
    <m/>
    <m/>
    <m/>
    <s v="AUD"/>
    <s v="13634433Waste Recycled - Commingled [t]"/>
    <n v="13634433"/>
  </r>
  <r>
    <d v="2019-07-01T00:00:00"/>
    <d v="2021-06-30T00:00:00"/>
    <s v="Telstra"/>
    <s v="NETWORK"/>
    <s v="Network - InfraCo"/>
    <s v="QLD"/>
    <s v="Australia"/>
    <s v="Townsville"/>
    <s v="GULLIVER EXCHANGE"/>
    <n v="423030088100"/>
    <s v="Waste"/>
    <x v="1"/>
    <x v="2"/>
    <s v="Account"/>
    <s v="CLEANAWAY General"/>
    <m/>
    <s v="56747_Landfill_General"/>
    <s v="General"/>
    <s v="Cleanaway"/>
    <m/>
    <d v="2021-02-09T00:00:00"/>
    <m/>
    <d v="2021-02-01T00:00:00"/>
    <s v="FY21"/>
    <s v="t"/>
    <n v="0.29099999999999998"/>
    <n v="0"/>
    <n v="0"/>
    <n v="0.29099999999999998"/>
    <n v="2"/>
    <n v="0"/>
    <n v="0"/>
    <n v="2"/>
    <n v="100"/>
    <n v="0"/>
    <n v="0"/>
    <s v="Consolidation"/>
    <s v="CO2e and Base Measure"/>
    <n v="100"/>
    <n v="100"/>
    <n v="0.28999999999999998"/>
    <m/>
    <m/>
    <m/>
    <m/>
    <m/>
    <n v="0.37830000000000003"/>
    <m/>
    <n v="0.37830000000000003"/>
    <m/>
    <m/>
    <m/>
    <m/>
    <m/>
    <s v="AUD"/>
    <s v="13639894Waste - General [t] - Scope 3"/>
    <n v="13639894"/>
  </r>
  <r>
    <d v="2019-07-01T00:00:00"/>
    <d v="2021-06-30T00:00:00"/>
    <s v="Telstra"/>
    <s v="NETWORK"/>
    <s v="Network - InfraCo"/>
    <s v="QLD"/>
    <s v="Australia"/>
    <s v="Townsville"/>
    <s v="GULLIVER EXCHANGE"/>
    <n v="423030088100"/>
    <s v="Waste"/>
    <x v="1"/>
    <x v="2"/>
    <s v="Account"/>
    <s v="CLEANAWAY General"/>
    <m/>
    <s v="56747_Landfill_General"/>
    <s v="General"/>
    <s v="Cleanaway"/>
    <m/>
    <d v="2021-02-09T00:00:00"/>
    <m/>
    <d v="2021-03-01T00:00:00"/>
    <s v="FY21"/>
    <s v="t"/>
    <n v="0.13100000000000001"/>
    <n v="0"/>
    <n v="0"/>
    <n v="0.13100000000000001"/>
    <n v="2"/>
    <n v="0"/>
    <n v="0"/>
    <n v="2"/>
    <n v="100"/>
    <n v="0"/>
    <n v="0"/>
    <s v="Consolidation"/>
    <s v="CO2e and Base Measure"/>
    <n v="100"/>
    <n v="100"/>
    <n v="0.13"/>
    <m/>
    <m/>
    <m/>
    <m/>
    <m/>
    <n v="0.17030000000000001"/>
    <m/>
    <n v="0.17030000000000001"/>
    <m/>
    <m/>
    <m/>
    <m/>
    <m/>
    <s v="AUD"/>
    <s v="13639894Waste - General [t] - Scope 3"/>
    <n v="13639894"/>
  </r>
  <r>
    <d v="2019-07-01T00:00:00"/>
    <d v="2021-06-30T00:00:00"/>
    <s v="Telstra"/>
    <s v="NETWORK"/>
    <s v="Network - InfraCo"/>
    <s v="QLD"/>
    <s v="Australia"/>
    <s v="Townsville"/>
    <s v="GULLIVER EXCHANGE"/>
    <n v="423030088100"/>
    <s v="Waste"/>
    <x v="1"/>
    <x v="2"/>
    <s v="Account"/>
    <s v="CLEANAWAY General"/>
    <m/>
    <s v="56747_Landfill_General"/>
    <s v="General"/>
    <s v="Cleanaway"/>
    <m/>
    <d v="2021-02-09T00:00:00"/>
    <m/>
    <d v="2021-04-01T00:00:00"/>
    <s v="FY21"/>
    <s v="t"/>
    <n v="0"/>
    <n v="0"/>
    <n v="0.219"/>
    <n v="0.219"/>
    <n v="0"/>
    <n v="0"/>
    <n v="30"/>
    <n v="30"/>
    <n v="0"/>
    <n v="0"/>
    <n v="100"/>
    <s v="Consolidation"/>
    <s v="CO2e and Base Measure"/>
    <n v="100"/>
    <n v="100"/>
    <n v="0.22"/>
    <m/>
    <m/>
    <m/>
    <m/>
    <m/>
    <n v="0.28470000000000001"/>
    <m/>
    <n v="0.28470000000000001"/>
    <m/>
    <m/>
    <m/>
    <m/>
    <m/>
    <s v="AUD"/>
    <s v="13639894Waste - General [t] - Scope 3"/>
    <n v="13639894"/>
  </r>
  <r>
    <d v="2019-07-01T00:00:00"/>
    <d v="2021-06-30T00:00:00"/>
    <s v="Telstra"/>
    <s v="NETWORK"/>
    <s v="Network - InfraCo"/>
    <s v="QLD"/>
    <s v="Australia"/>
    <s v="Townsville"/>
    <s v="GULLIVER EXCHANGE"/>
    <n v="423030088100"/>
    <s v="Waste"/>
    <x v="1"/>
    <x v="2"/>
    <s v="Account"/>
    <s v="CLEANAWAY General"/>
    <m/>
    <s v="56747_Landfill_General"/>
    <s v="General"/>
    <s v="Cleanaway"/>
    <m/>
    <d v="2021-02-09T00:00:00"/>
    <m/>
    <d v="2021-05-01T00:00:00"/>
    <s v="FY21"/>
    <s v="t"/>
    <n v="0"/>
    <n v="0"/>
    <n v="0.2263"/>
    <n v="0.2263"/>
    <n v="0"/>
    <n v="0"/>
    <n v="31"/>
    <n v="31"/>
    <n v="0"/>
    <n v="0"/>
    <n v="100"/>
    <s v="Consolidation"/>
    <s v="CO2e and Base Measure"/>
    <n v="100"/>
    <n v="100"/>
    <n v="0.23"/>
    <m/>
    <m/>
    <m/>
    <m/>
    <m/>
    <n v="0.29420000000000002"/>
    <m/>
    <n v="0.29420000000000002"/>
    <m/>
    <m/>
    <m/>
    <m/>
    <m/>
    <s v="AUD"/>
    <s v="13639894Waste - General [t] - Scope 3"/>
    <n v="13639894"/>
  </r>
  <r>
    <d v="2019-07-01T00:00:00"/>
    <d v="2021-06-30T00:00:00"/>
    <s v="Telstra"/>
    <s v="NETWORK"/>
    <s v="Network - InfraCo"/>
    <s v="NSW"/>
    <s v="Australia"/>
    <s v="Gunnedah"/>
    <s v="GUNNEDAH EXCHANGE"/>
    <n v="423030353000"/>
    <s v="Waste"/>
    <x v="1"/>
    <x v="4"/>
    <s v="Account"/>
    <s v="Remondis Asbestos"/>
    <m/>
    <s v="423030353000_WASBESTOS"/>
    <s v="ASBESTOS"/>
    <s v="Remondis"/>
    <m/>
    <m/>
    <d v="2020-12-01T00:00:00"/>
    <d v="2020-11-01T00:00:00"/>
    <s v="FY21"/>
    <s v="t"/>
    <n v="0.1"/>
    <n v="0"/>
    <n v="0"/>
    <n v="0.1"/>
    <n v="1"/>
    <n v="0"/>
    <n v="0"/>
    <n v="1"/>
    <n v="100"/>
    <n v="0"/>
    <n v="0"/>
    <s v="Consolidation"/>
    <s v="CO2e and Base Measure"/>
    <n v="100"/>
    <n v="100"/>
    <n v="0.1"/>
    <m/>
    <m/>
    <m/>
    <m/>
    <m/>
    <n v="0.12"/>
    <m/>
    <n v="0.12"/>
    <m/>
    <m/>
    <m/>
    <m/>
    <m/>
    <s v="AUD"/>
    <s v="13564678Waste - Construction and Demolition [t]"/>
    <n v="13564678"/>
  </r>
  <r>
    <d v="2019-07-01T00:00:00"/>
    <d v="2021-06-30T00:00:00"/>
    <s v="Telstra"/>
    <s v="NETWORK"/>
    <s v="Network - InfraCo"/>
    <s v="NSW"/>
    <s v="Australia"/>
    <s v="Gunnedah"/>
    <s v="GUNNEDAH EXCHANGE"/>
    <n v="423030353000"/>
    <s v="Waste"/>
    <x v="1"/>
    <x v="4"/>
    <s v="Account"/>
    <s v="Remondis Asbestos"/>
    <m/>
    <s v="423030353000_WASBESTOS"/>
    <s v="ASBESTOS"/>
    <s v="Remondis"/>
    <m/>
    <m/>
    <d v="2020-12-01T00:00:00"/>
    <d v="2020-12-01T00:00:00"/>
    <s v="FY21"/>
    <s v="t"/>
    <n v="0"/>
    <n v="0"/>
    <n v="3.3999999999999998E-3"/>
    <n v="3.3999999999999998E-3"/>
    <n v="0"/>
    <n v="0"/>
    <n v="1"/>
    <n v="1"/>
    <n v="0"/>
    <n v="0"/>
    <n v="100"/>
    <s v="Consolidation"/>
    <s v="CO2e and Base Measure"/>
    <n v="100"/>
    <n v="100"/>
    <n v="0"/>
    <m/>
    <m/>
    <m/>
    <m/>
    <m/>
    <n v="4.1000000000000003E-3"/>
    <m/>
    <n v="4.1000000000000003E-3"/>
    <m/>
    <m/>
    <m/>
    <m/>
    <m/>
    <s v="AUD"/>
    <s v="13564678Waste - Construction and Demolition [t]"/>
    <n v="13564678"/>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07-01T00:00:00"/>
    <s v="FY21"/>
    <s v="t"/>
    <n v="5.64"/>
    <n v="0"/>
    <n v="0"/>
    <n v="5.64"/>
    <n v="2"/>
    <n v="0"/>
    <n v="0"/>
    <n v="2"/>
    <n v="100"/>
    <n v="0"/>
    <n v="0"/>
    <s v="Consolidation"/>
    <s v="CO2e and Base Measure"/>
    <n v="100"/>
    <n v="100"/>
    <n v="5.64"/>
    <m/>
    <m/>
    <m/>
    <m/>
    <m/>
    <n v="7.3319999999999999"/>
    <m/>
    <n v="7.3319999999999999"/>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09-01T00:00:00"/>
    <s v="FY21"/>
    <s v="t"/>
    <n v="10.68"/>
    <n v="0"/>
    <n v="0"/>
    <n v="10.68"/>
    <n v="3"/>
    <n v="0"/>
    <n v="0"/>
    <n v="3"/>
    <n v="100"/>
    <n v="0"/>
    <n v="0"/>
    <s v="Consolidation"/>
    <s v="CO2e and Base Measure"/>
    <n v="100"/>
    <n v="100"/>
    <n v="10.68"/>
    <m/>
    <m/>
    <m/>
    <m/>
    <m/>
    <n v="13.884"/>
    <m/>
    <n v="13.884"/>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10-01T00:00:00"/>
    <s v="FY21"/>
    <s v="t"/>
    <n v="5.18"/>
    <n v="0"/>
    <n v="0"/>
    <n v="5.18"/>
    <n v="2"/>
    <n v="0"/>
    <n v="0"/>
    <n v="2"/>
    <n v="100"/>
    <n v="0"/>
    <n v="0"/>
    <s v="Consolidation"/>
    <s v="CO2e and Base Measure"/>
    <n v="100"/>
    <n v="100"/>
    <n v="5.18"/>
    <m/>
    <m/>
    <m/>
    <m/>
    <m/>
    <n v="6.734"/>
    <m/>
    <n v="6.734"/>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1-01-01T00:00:00"/>
    <s v="FY21"/>
    <s v="t"/>
    <n v="0"/>
    <n v="0"/>
    <n v="0.1041"/>
    <n v="0.1041"/>
    <n v="0"/>
    <n v="0"/>
    <n v="1"/>
    <n v="1"/>
    <n v="0"/>
    <n v="0"/>
    <n v="100"/>
    <s v="Consolidation"/>
    <s v="CO2e and Base Measure"/>
    <n v="100"/>
    <n v="100"/>
    <n v="0.1"/>
    <m/>
    <m/>
    <m/>
    <m/>
    <m/>
    <n v="0.1353"/>
    <m/>
    <n v="0.1353"/>
    <m/>
    <m/>
    <m/>
    <m/>
    <m/>
    <s v="AUD"/>
    <s v="13564679Waste - General [t] - Scope 3"/>
    <n v="13564679"/>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4-01T00:00:00"/>
    <s v="FY21"/>
    <s v="t"/>
    <n v="0"/>
    <n v="0"/>
    <n v="0.10199999999999999"/>
    <n v="0.10199999999999999"/>
    <n v="0"/>
    <n v="0"/>
    <n v="30"/>
    <n v="30"/>
    <n v="0"/>
    <n v="0"/>
    <n v="100"/>
    <s v="Consolidation"/>
    <s v="CO2e and Base Measure"/>
    <n v="100"/>
    <n v="100"/>
    <n v="0.1"/>
    <m/>
    <m/>
    <m/>
    <m/>
    <m/>
    <n v="0.1326"/>
    <m/>
    <n v="0.1326"/>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5-01T00:00:00"/>
    <s v="FY21"/>
    <s v="t"/>
    <n v="0"/>
    <n v="0"/>
    <n v="0.10539999999999999"/>
    <n v="0.10539999999999999"/>
    <n v="0"/>
    <n v="0"/>
    <n v="31"/>
    <n v="31"/>
    <n v="0"/>
    <n v="0"/>
    <n v="100"/>
    <s v="Consolidation"/>
    <s v="CO2e and Base Measure"/>
    <n v="100"/>
    <n v="100"/>
    <n v="0.11"/>
    <m/>
    <m/>
    <m/>
    <m/>
    <m/>
    <n v="0.13700000000000001"/>
    <m/>
    <n v="0.13700000000000001"/>
    <m/>
    <m/>
    <m/>
    <m/>
    <m/>
    <s v="AUD"/>
    <s v="13634124Waste - General [t] - Scope 3"/>
    <n v="13634124"/>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171Waste - General [t] - Scope 3"/>
    <n v="13564171"/>
  </r>
  <r>
    <d v="2019-07-01T00:00:00"/>
    <d v="2021-06-30T00:00:00"/>
    <s v="Telstra"/>
    <s v="NETWORK"/>
    <s v="Network - InfraCo"/>
    <s v="QLD"/>
    <s v="Australia"/>
    <s v="Gympie"/>
    <s v="GYMPIE EXCHANGE"/>
    <n v="423030090900"/>
    <s v="Recycled Waste"/>
    <x v="0"/>
    <x v="5"/>
    <s v="Account"/>
    <s v="Remondis Construction &amp; Demolition - Recycled"/>
    <m/>
    <s v="423030090900_RCONSDEM"/>
    <s v="CONSTRUCTION &amp; DEMOLITION - RECYLED"/>
    <s v="Remondis"/>
    <m/>
    <d v="2020-09-09T00:00:00"/>
    <d v="2020-10-01T00:00:00"/>
    <d v="2020-09-01T00:00:00"/>
    <s v="FY21"/>
    <s v="t"/>
    <n v="0"/>
    <n v="0.75"/>
    <n v="0"/>
    <n v="0.75"/>
    <n v="0"/>
    <n v="1"/>
    <n v="0"/>
    <n v="1"/>
    <n v="0"/>
    <n v="100"/>
    <n v="0"/>
    <s v="Consolidation"/>
    <s v="CO2e and Base Measure"/>
    <n v="100"/>
    <n v="100"/>
    <n v="0.75"/>
    <m/>
    <m/>
    <m/>
    <m/>
    <m/>
    <m/>
    <m/>
    <m/>
    <m/>
    <m/>
    <m/>
    <m/>
    <m/>
    <s v="AUD"/>
    <s v="13629329Waste Recycled - Construction and Demolition [t]"/>
    <n v="13629329"/>
  </r>
  <r>
    <d v="2019-07-01T00:00:00"/>
    <d v="2021-06-30T00:00:00"/>
    <s v="Telstra"/>
    <s v="NETWORK"/>
    <s v="Network - InfraCo"/>
    <s v="QLD"/>
    <s v="Australia"/>
    <s v="Gympie"/>
    <s v="GYMPIE EXCHANGE"/>
    <n v="423030090900"/>
    <s v="Recycled Waste"/>
    <x v="0"/>
    <x v="5"/>
    <s v="Account"/>
    <s v="Remondis Construction &amp; Demolition - Recycled"/>
    <m/>
    <s v="423030090900_RCONSDEM"/>
    <s v="CONSTRUCTION &amp; DEMOLITION - RECYLED"/>
    <s v="Remondis"/>
    <m/>
    <d v="2020-09-09T00:00:00"/>
    <d v="2020-10-01T00:00:00"/>
    <d v="2020-10-01T00:00:00"/>
    <s v="FY21"/>
    <s v="t"/>
    <n v="0"/>
    <n v="0"/>
    <n v="2.5899999999999999E-2"/>
    <n v="2.5899999999999999E-2"/>
    <n v="0"/>
    <n v="0"/>
    <n v="1"/>
    <n v="1"/>
    <n v="0"/>
    <n v="0"/>
    <n v="100"/>
    <s v="Consolidation"/>
    <s v="CO2e and Base Measure"/>
    <n v="100"/>
    <n v="100"/>
    <n v="0.03"/>
    <m/>
    <m/>
    <m/>
    <m/>
    <m/>
    <m/>
    <m/>
    <m/>
    <m/>
    <m/>
    <m/>
    <m/>
    <m/>
    <s v="AUD"/>
    <s v="13629329Waste Recycled - Construction and Demolition [t]"/>
    <n v="13629329"/>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0-12-01T00:00:00"/>
    <s v="FY21"/>
    <s v="t"/>
    <n v="0.11600000000000001"/>
    <n v="0"/>
    <n v="0"/>
    <n v="0.11600000000000001"/>
    <n v="4"/>
    <n v="0"/>
    <n v="0"/>
    <n v="4"/>
    <n v="100"/>
    <n v="0"/>
    <n v="0"/>
    <s v="Consolidation"/>
    <s v="CO2e and Base Measure"/>
    <n v="100"/>
    <n v="100"/>
    <n v="0.12"/>
    <m/>
    <m/>
    <m/>
    <m/>
    <m/>
    <n v="0.15079999999999999"/>
    <m/>
    <n v="0.15079999999999999"/>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1-01T00:00:00"/>
    <s v="FY21"/>
    <s v="t"/>
    <n v="0.13200000000000001"/>
    <n v="6.7500000000000004E-2"/>
    <n v="0"/>
    <n v="0.19950000000000001"/>
    <n v="3"/>
    <n v="1"/>
    <n v="0"/>
    <n v="4"/>
    <n v="66.16"/>
    <n v="33.83"/>
    <n v="0"/>
    <s v="Consolidation"/>
    <s v="CO2e and Base Measure"/>
    <n v="100"/>
    <n v="100"/>
    <n v="0.2"/>
    <m/>
    <m/>
    <m/>
    <m/>
    <m/>
    <n v="0.25940000000000002"/>
    <m/>
    <n v="0.25940000000000002"/>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2-01T00:00:00"/>
    <s v="FY21"/>
    <s v="t"/>
    <n v="0.107"/>
    <n v="0"/>
    <n v="0"/>
    <n v="0.107"/>
    <n v="3"/>
    <n v="0"/>
    <n v="0"/>
    <n v="3"/>
    <n v="100"/>
    <n v="0"/>
    <n v="0"/>
    <s v="Consolidation"/>
    <s v="CO2e and Base Measure"/>
    <n v="100"/>
    <n v="100"/>
    <n v="0.11"/>
    <m/>
    <m/>
    <m/>
    <m/>
    <m/>
    <n v="0.1391"/>
    <m/>
    <n v="0.1391"/>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3-01T00:00:00"/>
    <s v="FY21"/>
    <s v="t"/>
    <n v="0.17899999999999999"/>
    <n v="0"/>
    <n v="0"/>
    <n v="0.17899999999999999"/>
    <n v="4"/>
    <n v="0"/>
    <n v="0"/>
    <n v="4"/>
    <n v="100"/>
    <n v="0"/>
    <n v="0"/>
    <s v="Consolidation"/>
    <s v="CO2e and Base Measure"/>
    <n v="100"/>
    <n v="100"/>
    <n v="0.18"/>
    <m/>
    <m/>
    <m/>
    <m/>
    <m/>
    <n v="0.23269999999999999"/>
    <m/>
    <n v="0.23269999999999999"/>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4-01T00:00:00"/>
    <s v="FY21"/>
    <s v="t"/>
    <n v="0"/>
    <n v="0"/>
    <n v="0.15"/>
    <n v="0.15"/>
    <n v="0"/>
    <n v="0"/>
    <n v="30"/>
    <n v="30"/>
    <n v="0"/>
    <n v="0"/>
    <n v="100"/>
    <s v="Consolidation"/>
    <s v="CO2e and Base Measure"/>
    <n v="100"/>
    <n v="100"/>
    <n v="0.15"/>
    <m/>
    <m/>
    <m/>
    <m/>
    <m/>
    <n v="0.19500000000000001"/>
    <m/>
    <n v="0.19500000000000001"/>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5-01T00:00:00"/>
    <s v="FY21"/>
    <s v="t"/>
    <n v="0"/>
    <n v="0"/>
    <n v="0.155"/>
    <n v="0.155"/>
    <n v="0"/>
    <n v="0"/>
    <n v="31"/>
    <n v="31"/>
    <n v="0"/>
    <n v="0"/>
    <n v="100"/>
    <s v="Consolidation"/>
    <s v="CO2e and Base Measure"/>
    <n v="100"/>
    <n v="100"/>
    <n v="0.16"/>
    <m/>
    <m/>
    <m/>
    <m/>
    <m/>
    <n v="0.20150000000000001"/>
    <m/>
    <n v="0.20150000000000001"/>
    <m/>
    <m/>
    <m/>
    <m/>
    <m/>
    <s v="AUD"/>
    <s v="13634125Waste - General [t] - Scope 3"/>
    <n v="13634125"/>
  </r>
  <r>
    <d v="2019-07-01T00:00:00"/>
    <d v="2021-06-30T00:00:00"/>
    <s v="Telstra"/>
    <s v="NETWORK"/>
    <s v="Network - Telstra/InfraCo Split"/>
    <s v="VIC"/>
    <s v="Australia"/>
    <s v="Endeavour Hills"/>
    <s v="HALLAM EXCHANGE"/>
    <n v="423030590600"/>
    <s v="Waste"/>
    <x v="1"/>
    <x v="2"/>
    <s v="Account"/>
    <s v="Remondis General Waste"/>
    <m/>
    <s v="423030590600_WGENERALW"/>
    <s v="GENERAL WASTE"/>
    <s v="Remondis"/>
    <m/>
    <m/>
    <d v="2020-09-01T00:00:00"/>
    <d v="2020-08-01T00:00:00"/>
    <s v="FY21"/>
    <s v="t"/>
    <n v="0"/>
    <n v="0.48"/>
    <n v="0"/>
    <n v="0.48"/>
    <n v="0"/>
    <n v="2"/>
    <n v="0"/>
    <n v="2"/>
    <n v="0"/>
    <n v="100"/>
    <n v="0"/>
    <s v="Consolidation"/>
    <s v="CO2e and Base Measure"/>
    <n v="100"/>
    <n v="100"/>
    <n v="0.48"/>
    <m/>
    <m/>
    <m/>
    <m/>
    <m/>
    <n v="0.624"/>
    <m/>
    <n v="0.624"/>
    <m/>
    <m/>
    <m/>
    <m/>
    <m/>
    <s v="AUD"/>
    <s v="13576224Waste - General [t] - Scope 3"/>
    <n v="13576224"/>
  </r>
  <r>
    <d v="2019-07-01T00:00:00"/>
    <d v="2021-06-30T00:00:00"/>
    <s v="Telstra"/>
    <s v="NETWORK"/>
    <s v="Network - Telstra/InfraCo Split"/>
    <s v="VIC"/>
    <s v="Australia"/>
    <s v="Endeavour Hills"/>
    <s v="HALLAM EXCHANGE"/>
    <n v="423030590600"/>
    <s v="Waste"/>
    <x v="1"/>
    <x v="2"/>
    <s v="Account"/>
    <s v="Remondis General Waste"/>
    <m/>
    <s v="423030590600_WGENERALW"/>
    <s v="GENERAL WASTE"/>
    <s v="Remondis"/>
    <m/>
    <m/>
    <d v="2020-09-01T00:00:00"/>
    <d v="2020-09-01T00:00:00"/>
    <s v="FY21"/>
    <s v="t"/>
    <n v="0"/>
    <n v="0"/>
    <n v="1.6E-2"/>
    <n v="1.6E-2"/>
    <n v="0"/>
    <n v="0"/>
    <n v="1"/>
    <n v="1"/>
    <n v="0"/>
    <n v="0"/>
    <n v="100"/>
    <s v="Consolidation"/>
    <s v="CO2e and Base Measure"/>
    <n v="100"/>
    <n v="100"/>
    <n v="0.02"/>
    <m/>
    <m/>
    <m/>
    <m/>
    <m/>
    <n v="2.0799999999999999E-2"/>
    <m/>
    <n v="2.0799999999999999E-2"/>
    <m/>
    <m/>
    <m/>
    <m/>
    <m/>
    <s v="AUD"/>
    <s v="13576224Waste - General [t] - Scope 3"/>
    <n v="13576224"/>
  </r>
  <r>
    <d v="2019-07-01T00:00:00"/>
    <d v="2021-06-30T00:00:00"/>
    <s v="Telstra"/>
    <s v="NETWORK"/>
    <s v="Network - Telstra/InfraCo Split"/>
    <s v="VIC"/>
    <s v="Australia"/>
    <s v="Endeavour Hills"/>
    <s v="HALLAM EXCHANGE"/>
    <n v="423030590600"/>
    <s v="Waste"/>
    <x v="1"/>
    <x v="4"/>
    <s v="Account"/>
    <s v="Remondis Asbestos"/>
    <m/>
    <s v="423030590600_WASBESTOS"/>
    <s v="ASBESTOS"/>
    <s v="Remondis"/>
    <m/>
    <m/>
    <d v="2020-09-01T00:00:00"/>
    <d v="2020-08-01T00:00:00"/>
    <s v="FY21"/>
    <s v="t"/>
    <n v="1.1000000000000001"/>
    <n v="0"/>
    <n v="0"/>
    <n v="1.1000000000000001"/>
    <n v="1"/>
    <n v="0"/>
    <n v="0"/>
    <n v="1"/>
    <n v="100"/>
    <n v="0"/>
    <n v="0"/>
    <s v="Consolidation"/>
    <s v="CO2e and Base Measure"/>
    <n v="100"/>
    <n v="100"/>
    <n v="1.1000000000000001"/>
    <m/>
    <m/>
    <m/>
    <m/>
    <m/>
    <n v="1.32"/>
    <m/>
    <n v="1.32"/>
    <m/>
    <m/>
    <m/>
    <m/>
    <m/>
    <s v="AUD"/>
    <s v="13576227Waste - Construction and Demolition [t]"/>
    <n v="13576227"/>
  </r>
  <r>
    <d v="2019-07-01T00:00:00"/>
    <d v="2021-06-30T00:00:00"/>
    <s v="Telstra"/>
    <s v="NETWORK"/>
    <s v="Network - Telstra/InfraCo Split"/>
    <s v="VIC"/>
    <s v="Australia"/>
    <s v="Endeavour Hills"/>
    <s v="HALLAM EXCHANGE"/>
    <n v="423030590600"/>
    <s v="Waste"/>
    <x v="1"/>
    <x v="4"/>
    <s v="Account"/>
    <s v="Remondis Asbestos"/>
    <m/>
    <s v="423030590600_WASBESTOS"/>
    <s v="ASBESTOS"/>
    <s v="Remondis"/>
    <m/>
    <m/>
    <d v="2020-09-01T00:00:00"/>
    <d v="2020-09-01T00:00:00"/>
    <s v="FY21"/>
    <s v="t"/>
    <n v="0"/>
    <n v="0"/>
    <n v="3.6700000000000003E-2"/>
    <n v="3.6700000000000003E-2"/>
    <n v="0"/>
    <n v="0"/>
    <n v="1"/>
    <n v="1"/>
    <n v="0"/>
    <n v="0"/>
    <n v="100"/>
    <s v="Consolidation"/>
    <s v="CO2e and Base Measure"/>
    <n v="100"/>
    <n v="100"/>
    <n v="0.04"/>
    <m/>
    <m/>
    <m/>
    <m/>
    <m/>
    <n v="4.3999999999999997E-2"/>
    <m/>
    <n v="4.3999999999999997E-2"/>
    <m/>
    <m/>
    <m/>
    <m/>
    <m/>
    <s v="AUD"/>
    <s v="13576227Waste - Construction and Demolition [t]"/>
    <n v="13576227"/>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07-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08-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09-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10-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11-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12-01T00:00:00"/>
    <s v="FY21"/>
    <s v="t"/>
    <n v="0"/>
    <n v="0"/>
    <n v="1.4800000000000001E-2"/>
    <n v="1.4800000000000001E-2"/>
    <n v="0"/>
    <n v="0"/>
    <n v="1"/>
    <n v="1"/>
    <n v="0"/>
    <n v="0"/>
    <n v="100"/>
    <s v="Consolidation"/>
    <s v="CO2e and Base Measure"/>
    <n v="100"/>
    <n v="100"/>
    <n v="0.01"/>
    <m/>
    <m/>
    <m/>
    <m/>
    <m/>
    <m/>
    <n v="0"/>
    <m/>
    <m/>
    <m/>
    <m/>
    <m/>
    <m/>
    <s v="AUD"/>
    <s v="13565334Waste Recycled - Commingled [t]"/>
    <n v="13565334"/>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07-01T00:00:00"/>
    <s v="FY21"/>
    <s v="t"/>
    <n v="8.5000000000000006E-2"/>
    <n v="0.58499999999999996"/>
    <n v="0"/>
    <n v="0.67"/>
    <n v="1"/>
    <n v="2"/>
    <n v="0"/>
    <n v="3"/>
    <n v="12.68"/>
    <n v="87.31"/>
    <n v="0"/>
    <s v="Consolidation"/>
    <s v="CO2e and Base Measure"/>
    <n v="100"/>
    <n v="100"/>
    <n v="0.67"/>
    <m/>
    <m/>
    <m/>
    <m/>
    <m/>
    <n v="0.871"/>
    <m/>
    <n v="0.871"/>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08-01T00:00:00"/>
    <s v="FY21"/>
    <s v="t"/>
    <n v="7.4999999999999997E-2"/>
    <n v="0.29249999999999998"/>
    <n v="0"/>
    <n v="0.36749999999999999"/>
    <n v="1"/>
    <n v="1"/>
    <n v="0"/>
    <n v="2"/>
    <n v="20.399999999999999"/>
    <n v="79.59"/>
    <n v="0"/>
    <s v="Consolidation"/>
    <s v="CO2e and Base Measure"/>
    <n v="100"/>
    <n v="100"/>
    <n v="0.37"/>
    <m/>
    <m/>
    <m/>
    <m/>
    <m/>
    <n v="0.4778"/>
    <m/>
    <n v="0.4778"/>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09-01T00:00:00"/>
    <s v="FY21"/>
    <s v="t"/>
    <n v="0.16500000000000001"/>
    <n v="0"/>
    <n v="0"/>
    <n v="0.16500000000000001"/>
    <n v="2"/>
    <n v="0"/>
    <n v="0"/>
    <n v="2"/>
    <n v="100"/>
    <n v="0"/>
    <n v="0"/>
    <s v="Consolidation"/>
    <s v="CO2e and Base Measure"/>
    <n v="100"/>
    <n v="100"/>
    <n v="0.17"/>
    <m/>
    <m/>
    <m/>
    <m/>
    <m/>
    <n v="0.2145"/>
    <m/>
    <n v="0.2145"/>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10-01T00:00:00"/>
    <s v="FY21"/>
    <s v="t"/>
    <n v="0.42499999999999999"/>
    <n v="0"/>
    <n v="0"/>
    <n v="0.42499999999999999"/>
    <n v="2"/>
    <n v="0"/>
    <n v="0"/>
    <n v="2"/>
    <n v="100"/>
    <n v="0"/>
    <n v="0"/>
    <s v="Consolidation"/>
    <s v="CO2e and Base Measure"/>
    <n v="100"/>
    <n v="100"/>
    <n v="0.43"/>
    <m/>
    <m/>
    <m/>
    <m/>
    <m/>
    <n v="0.55249999999999999"/>
    <m/>
    <n v="0.55249999999999999"/>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11-01T00:00:00"/>
    <s v="FY21"/>
    <s v="t"/>
    <n v="0.15"/>
    <n v="0.29249999999999998"/>
    <n v="0"/>
    <n v="0.4425"/>
    <n v="1"/>
    <n v="1"/>
    <n v="0"/>
    <n v="2"/>
    <n v="33.89"/>
    <n v="66.099999999999994"/>
    <n v="0"/>
    <s v="Consolidation"/>
    <s v="CO2e and Base Measure"/>
    <n v="100"/>
    <n v="100"/>
    <n v="0.44"/>
    <m/>
    <m/>
    <m/>
    <m/>
    <m/>
    <n v="0.57530000000000003"/>
    <m/>
    <n v="0.57530000000000003"/>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12-01T00:00:00"/>
    <s v="FY21"/>
    <s v="t"/>
    <n v="0"/>
    <n v="0.29249999999999998"/>
    <n v="0"/>
    <n v="0.29249999999999998"/>
    <n v="0"/>
    <n v="1"/>
    <n v="0"/>
    <n v="1"/>
    <n v="0"/>
    <n v="100"/>
    <n v="0"/>
    <s v="Consolidation"/>
    <s v="CO2e and Base Measure"/>
    <n v="100"/>
    <n v="100"/>
    <n v="0.28999999999999998"/>
    <m/>
    <m/>
    <m/>
    <m/>
    <m/>
    <n v="0.38030000000000003"/>
    <m/>
    <n v="0.38030000000000003"/>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1-01-01T00:00:00"/>
    <s v="FY21"/>
    <s v="t"/>
    <n v="0"/>
    <n v="0"/>
    <n v="1.2500000000000001E-2"/>
    <n v="1.2500000000000001E-2"/>
    <n v="0"/>
    <n v="0"/>
    <n v="1"/>
    <n v="1"/>
    <n v="0"/>
    <n v="0"/>
    <n v="100"/>
    <s v="Consolidation"/>
    <s v="CO2e and Base Measure"/>
    <n v="100"/>
    <n v="100"/>
    <n v="0.01"/>
    <m/>
    <m/>
    <m/>
    <m/>
    <m/>
    <n v="1.6299999999999999E-2"/>
    <m/>
    <n v="1.6299999999999999E-2"/>
    <m/>
    <m/>
    <m/>
    <m/>
    <m/>
    <s v="AUD"/>
    <s v="13565336Waste - General [t] - Scope 3"/>
    <n v="1356533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0-12-01T00:00:00"/>
    <s v="FY21"/>
    <s v="t"/>
    <n v="0.33900000000000002"/>
    <n v="0"/>
    <n v="0"/>
    <n v="0.33900000000000002"/>
    <n v="1"/>
    <n v="0"/>
    <n v="0"/>
    <n v="1"/>
    <n v="100"/>
    <n v="0"/>
    <n v="0"/>
    <s v="Consolidation"/>
    <s v="CO2e and Base Measure"/>
    <n v="100"/>
    <n v="100"/>
    <n v="0.34"/>
    <m/>
    <m/>
    <m/>
    <m/>
    <m/>
    <n v="0.44069999999999998"/>
    <m/>
    <n v="0.44069999999999998"/>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1-01T00:00:00"/>
    <s v="FY21"/>
    <s v="t"/>
    <n v="0.20799999999999999"/>
    <n v="0"/>
    <n v="0"/>
    <n v="0.20799999999999999"/>
    <n v="1"/>
    <n v="0"/>
    <n v="0"/>
    <n v="1"/>
    <n v="100"/>
    <n v="0"/>
    <n v="0"/>
    <s v="Consolidation"/>
    <s v="CO2e and Base Measure"/>
    <n v="100"/>
    <n v="100"/>
    <n v="0.21"/>
    <m/>
    <m/>
    <m/>
    <m/>
    <m/>
    <n v="0.27039999999999997"/>
    <m/>
    <n v="0.27039999999999997"/>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2-01T00:00:00"/>
    <s v="FY21"/>
    <s v="t"/>
    <n v="0.22600000000000001"/>
    <n v="0"/>
    <n v="0"/>
    <n v="0.22600000000000001"/>
    <n v="1"/>
    <n v="0"/>
    <n v="0"/>
    <n v="1"/>
    <n v="100"/>
    <n v="0"/>
    <n v="0"/>
    <s v="Consolidation"/>
    <s v="CO2e and Base Measure"/>
    <n v="100"/>
    <n v="100"/>
    <n v="0.23"/>
    <m/>
    <m/>
    <m/>
    <m/>
    <m/>
    <n v="0.29380000000000001"/>
    <m/>
    <n v="0.29380000000000001"/>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3-01T00:00:00"/>
    <s v="FY21"/>
    <s v="t"/>
    <n v="0.29899999999999999"/>
    <n v="0"/>
    <n v="0"/>
    <n v="0.29899999999999999"/>
    <n v="1"/>
    <n v="0"/>
    <n v="0"/>
    <n v="1"/>
    <n v="100"/>
    <n v="0"/>
    <n v="0"/>
    <s v="Consolidation"/>
    <s v="CO2e and Base Measure"/>
    <n v="100"/>
    <n v="100"/>
    <n v="0.3"/>
    <m/>
    <m/>
    <m/>
    <m/>
    <m/>
    <n v="0.38869999999999999"/>
    <m/>
    <n v="0.38869999999999999"/>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4-01T00:00:00"/>
    <s v="FY21"/>
    <s v="t"/>
    <n v="0"/>
    <n v="0"/>
    <n v="0.26700000000000002"/>
    <n v="0.26700000000000002"/>
    <n v="0"/>
    <n v="0"/>
    <n v="30"/>
    <n v="30"/>
    <n v="0"/>
    <n v="0"/>
    <n v="100"/>
    <s v="Consolidation"/>
    <s v="CO2e and Base Measure"/>
    <n v="100"/>
    <n v="100"/>
    <n v="0.27"/>
    <m/>
    <m/>
    <m/>
    <m/>
    <m/>
    <n v="0.34710000000000002"/>
    <m/>
    <n v="0.34710000000000002"/>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5-01T00:00:00"/>
    <s v="FY21"/>
    <s v="t"/>
    <n v="0"/>
    <n v="0"/>
    <n v="0.27589999999999998"/>
    <n v="0.27589999999999998"/>
    <n v="0"/>
    <n v="0"/>
    <n v="31"/>
    <n v="31"/>
    <n v="0"/>
    <n v="0"/>
    <n v="100"/>
    <s v="Consolidation"/>
    <s v="CO2e and Base Measure"/>
    <n v="100"/>
    <n v="100"/>
    <n v="0.28000000000000003"/>
    <m/>
    <m/>
    <m/>
    <m/>
    <m/>
    <n v="0.35870000000000002"/>
    <m/>
    <n v="0.35870000000000002"/>
    <m/>
    <m/>
    <m/>
    <m/>
    <m/>
    <s v="AUD"/>
    <s v="13634126Waste - General [t] - Scope 3"/>
    <n v="13634126"/>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0-11-01T00:00:00"/>
    <s v="FY21"/>
    <s v="t"/>
    <n v="0.9"/>
    <n v="0"/>
    <n v="0"/>
    <n v="0.9"/>
    <n v="1"/>
    <n v="0"/>
    <n v="0"/>
    <n v="1"/>
    <n v="100"/>
    <n v="0"/>
    <n v="0"/>
    <s v="Consolidation"/>
    <s v="CO2e and Base Measure"/>
    <n v="100"/>
    <n v="100"/>
    <n v="0.9"/>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0-12-01T00:00:00"/>
    <s v="FY21"/>
    <s v="t"/>
    <n v="0.6"/>
    <n v="0"/>
    <n v="0"/>
    <n v="0.6"/>
    <n v="1"/>
    <n v="0"/>
    <n v="0"/>
    <n v="1"/>
    <n v="100"/>
    <n v="0"/>
    <n v="0"/>
    <s v="Consolidation"/>
    <s v="CO2e and Base Measure"/>
    <n v="100"/>
    <n v="100"/>
    <n v="0.6"/>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1-01T00:00:00"/>
    <s v="FY21"/>
    <s v="t"/>
    <n v="0"/>
    <n v="0"/>
    <n v="0.77500000000000002"/>
    <n v="0.77500000000000002"/>
    <n v="0"/>
    <n v="0"/>
    <n v="31"/>
    <n v="31"/>
    <n v="0"/>
    <n v="0"/>
    <n v="100"/>
    <s v="Consolidation"/>
    <s v="CO2e and Base Measure"/>
    <n v="100"/>
    <n v="100"/>
    <n v="0.78"/>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2-01T00:00:00"/>
    <s v="FY21"/>
    <s v="t"/>
    <n v="0"/>
    <n v="0"/>
    <n v="0.7"/>
    <n v="0.7"/>
    <n v="0"/>
    <n v="0"/>
    <n v="28"/>
    <n v="28"/>
    <n v="0"/>
    <n v="0"/>
    <n v="100"/>
    <s v="Consolidation"/>
    <s v="CO2e and Base Measure"/>
    <n v="100"/>
    <n v="100"/>
    <n v="0.7"/>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3-01T00:00:00"/>
    <s v="FY21"/>
    <s v="t"/>
    <n v="0"/>
    <n v="0"/>
    <n v="0.77500000000000002"/>
    <n v="0.77500000000000002"/>
    <n v="0"/>
    <n v="0"/>
    <n v="31"/>
    <n v="31"/>
    <n v="0"/>
    <n v="0"/>
    <n v="100"/>
    <s v="Consolidation"/>
    <s v="CO2e and Base Measure"/>
    <n v="100"/>
    <n v="100"/>
    <n v="0.78"/>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4-01T00:00:00"/>
    <s v="FY21"/>
    <s v="t"/>
    <n v="0"/>
    <n v="0"/>
    <n v="0.75"/>
    <n v="0.75"/>
    <n v="0"/>
    <n v="0"/>
    <n v="30"/>
    <n v="30"/>
    <n v="0"/>
    <n v="0"/>
    <n v="100"/>
    <s v="Consolidation"/>
    <s v="CO2e and Base Measure"/>
    <n v="100"/>
    <n v="100"/>
    <n v="0.75"/>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5-01T00:00:00"/>
    <s v="FY21"/>
    <s v="t"/>
    <n v="0"/>
    <n v="0"/>
    <n v="0.77500000000000002"/>
    <n v="0.77500000000000002"/>
    <n v="0"/>
    <n v="0"/>
    <n v="31"/>
    <n v="31"/>
    <n v="0"/>
    <n v="0"/>
    <n v="100"/>
    <s v="Consolidation"/>
    <s v="CO2e and Base Measure"/>
    <n v="100"/>
    <n v="100"/>
    <n v="0.78"/>
    <m/>
    <m/>
    <m/>
    <m/>
    <m/>
    <m/>
    <m/>
    <m/>
    <m/>
    <m/>
    <m/>
    <m/>
    <m/>
    <s v="AUD"/>
    <s v="13632354Waste Recycled - Construction and Demolition [t]"/>
    <n v="13632354"/>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08-01T00:00:00"/>
    <s v="FY21"/>
    <s v="t"/>
    <n v="0"/>
    <n v="2.3300000000000001E-2"/>
    <n v="0"/>
    <n v="2.3300000000000001E-2"/>
    <n v="0"/>
    <n v="1"/>
    <n v="0"/>
    <n v="1"/>
    <n v="0"/>
    <n v="100"/>
    <n v="0"/>
    <s v="Consolidation"/>
    <s v="CO2e and Base Measure"/>
    <n v="100"/>
    <n v="100"/>
    <n v="0.02"/>
    <m/>
    <m/>
    <m/>
    <m/>
    <m/>
    <m/>
    <n v="0"/>
    <m/>
    <m/>
    <m/>
    <m/>
    <m/>
    <m/>
    <s v="AUD"/>
    <s v="13564929Waste Recycled - Cardboard [t]"/>
    <n v="13564929"/>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09-01T00:00:00"/>
    <s v="FY21"/>
    <s v="t"/>
    <n v="0"/>
    <n v="2.3300000000000001E-2"/>
    <n v="0"/>
    <n v="2.3300000000000001E-2"/>
    <n v="0"/>
    <n v="1"/>
    <n v="0"/>
    <n v="1"/>
    <n v="0"/>
    <n v="100"/>
    <n v="0"/>
    <s v="Consolidation"/>
    <s v="CO2e and Base Measure"/>
    <n v="100"/>
    <n v="100"/>
    <n v="0.02"/>
    <m/>
    <m/>
    <m/>
    <m/>
    <m/>
    <m/>
    <n v="0"/>
    <m/>
    <m/>
    <m/>
    <m/>
    <m/>
    <m/>
    <s v="AUD"/>
    <s v="13564929Waste Recycled - Cardboard [t]"/>
    <n v="13564929"/>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10-01T00:00:00"/>
    <s v="FY21"/>
    <s v="t"/>
    <n v="0"/>
    <n v="2.3300000000000001E-2"/>
    <n v="0"/>
    <n v="2.3300000000000001E-2"/>
    <n v="0"/>
    <n v="1"/>
    <n v="0"/>
    <n v="1"/>
    <n v="0"/>
    <n v="100"/>
    <n v="0"/>
    <s v="Consolidation"/>
    <s v="CO2e and Base Measure"/>
    <n v="100"/>
    <n v="100"/>
    <n v="0.02"/>
    <m/>
    <m/>
    <m/>
    <m/>
    <m/>
    <m/>
    <n v="0"/>
    <m/>
    <m/>
    <m/>
    <m/>
    <m/>
    <m/>
    <s v="AUD"/>
    <s v="13564929Waste Recycled - Cardboard [t]"/>
    <n v="13564929"/>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11-01T00:00:00"/>
    <s v="FY21"/>
    <s v="t"/>
    <n v="0"/>
    <n v="4.6600000000000003E-2"/>
    <n v="0"/>
    <n v="4.6600000000000003E-2"/>
    <n v="0"/>
    <n v="2"/>
    <n v="0"/>
    <n v="2"/>
    <n v="0"/>
    <n v="100"/>
    <n v="0"/>
    <s v="Consolidation"/>
    <s v="CO2e and Base Measure"/>
    <n v="100"/>
    <n v="100"/>
    <n v="0.05"/>
    <m/>
    <m/>
    <m/>
    <m/>
    <m/>
    <m/>
    <n v="0"/>
    <m/>
    <m/>
    <m/>
    <m/>
    <m/>
    <m/>
    <s v="AUD"/>
    <s v="13564929Waste Recycled - Cardboard [t]"/>
    <n v="13564929"/>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12-01T00:00:00"/>
    <s v="FY21"/>
    <s v="t"/>
    <n v="0"/>
    <n v="0"/>
    <n v="1E-3"/>
    <n v="1E-3"/>
    <n v="0"/>
    <n v="0"/>
    <n v="1"/>
    <n v="1"/>
    <n v="0"/>
    <n v="0"/>
    <n v="100"/>
    <s v="Consolidation"/>
    <s v="CO2e and Base Measure"/>
    <n v="100"/>
    <n v="100"/>
    <n v="0"/>
    <m/>
    <m/>
    <m/>
    <m/>
    <m/>
    <m/>
    <n v="0"/>
    <m/>
    <m/>
    <m/>
    <m/>
    <m/>
    <m/>
    <s v="AUD"/>
    <s v="13564929Waste Recycled - Cardboard [t]"/>
    <n v="13564929"/>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07-01T00:00:00"/>
    <s v="FY21"/>
    <s v="t"/>
    <n v="0"/>
    <n v="0.26"/>
    <n v="0"/>
    <n v="0.26"/>
    <n v="0"/>
    <n v="2"/>
    <n v="0"/>
    <n v="2"/>
    <n v="0"/>
    <n v="100"/>
    <n v="0"/>
    <s v="Consolidation"/>
    <s v="CO2e and Base Measure"/>
    <n v="100"/>
    <n v="100"/>
    <n v="0.26"/>
    <m/>
    <m/>
    <m/>
    <m/>
    <m/>
    <n v="0.33800000000000002"/>
    <m/>
    <n v="0.33800000000000002"/>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08-01T00:00:00"/>
    <s v="FY21"/>
    <s v="t"/>
    <n v="0"/>
    <n v="0.26"/>
    <n v="0"/>
    <n v="0.26"/>
    <n v="0"/>
    <n v="2"/>
    <n v="0"/>
    <n v="2"/>
    <n v="0"/>
    <n v="100"/>
    <n v="0"/>
    <s v="Consolidation"/>
    <s v="CO2e and Base Measure"/>
    <n v="100"/>
    <n v="100"/>
    <n v="0.26"/>
    <m/>
    <m/>
    <m/>
    <m/>
    <m/>
    <n v="0.33800000000000002"/>
    <m/>
    <n v="0.33800000000000002"/>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09-01T00:00:00"/>
    <s v="FY21"/>
    <s v="t"/>
    <n v="0"/>
    <n v="0.26"/>
    <n v="0"/>
    <n v="0.26"/>
    <n v="0"/>
    <n v="2"/>
    <n v="0"/>
    <n v="2"/>
    <n v="0"/>
    <n v="100"/>
    <n v="0"/>
    <s v="Consolidation"/>
    <s v="CO2e and Base Measure"/>
    <n v="100"/>
    <n v="100"/>
    <n v="0.26"/>
    <m/>
    <m/>
    <m/>
    <m/>
    <m/>
    <n v="0.33800000000000002"/>
    <m/>
    <n v="0.33800000000000002"/>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10-01T00:00:00"/>
    <s v="FY21"/>
    <s v="t"/>
    <n v="0"/>
    <n v="0.13"/>
    <n v="0"/>
    <n v="0.13"/>
    <n v="0"/>
    <n v="1"/>
    <n v="0"/>
    <n v="1"/>
    <n v="0"/>
    <n v="100"/>
    <n v="0"/>
    <s v="Consolidation"/>
    <s v="CO2e and Base Measure"/>
    <n v="100"/>
    <n v="100"/>
    <n v="0.13"/>
    <m/>
    <m/>
    <m/>
    <m/>
    <m/>
    <n v="0.16900000000000001"/>
    <m/>
    <n v="0.16900000000000001"/>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11-01T00:00:00"/>
    <s v="FY21"/>
    <s v="t"/>
    <n v="0"/>
    <n v="0.13"/>
    <n v="0"/>
    <n v="0.13"/>
    <n v="0"/>
    <n v="1"/>
    <n v="0"/>
    <n v="1"/>
    <n v="0"/>
    <n v="100"/>
    <n v="0"/>
    <s v="Consolidation"/>
    <s v="CO2e and Base Measure"/>
    <n v="100"/>
    <n v="100"/>
    <n v="0.13"/>
    <m/>
    <m/>
    <m/>
    <m/>
    <m/>
    <n v="0.16900000000000001"/>
    <m/>
    <n v="0.16900000000000001"/>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930Waste - General [t] - Scope 3"/>
    <n v="13564930"/>
  </r>
  <r>
    <d v="2019-07-01T00:00:00"/>
    <d v="2021-06-30T00:00:00"/>
    <s v="Telstra"/>
    <s v="NETWORK"/>
    <s v="Network - InfraCo"/>
    <s v="VIC"/>
    <s v="Australia"/>
    <s v="Hamilton"/>
    <s v="HAMILTON EXCHANGE2"/>
    <n v="423030596300"/>
    <s v="Recycled Waste"/>
    <x v="0"/>
    <x v="5"/>
    <s v="Account"/>
    <s v="Remondis Metal - Mixed All"/>
    <m/>
    <s v="4230305963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4931Waste Recycled - Construction and Demolition [t]"/>
    <n v="13564931"/>
  </r>
  <r>
    <d v="2019-07-01T00:00:00"/>
    <d v="2021-06-30T00:00:00"/>
    <s v="Telstra"/>
    <s v="NETWORK"/>
    <s v="Network - InfraCo"/>
    <s v="VIC"/>
    <s v="Australia"/>
    <s v="Hamilton"/>
    <s v="HAMILTON EXCHANGE2"/>
    <n v="423030596300"/>
    <s v="Recycled Waste"/>
    <x v="0"/>
    <x v="5"/>
    <s v="Account"/>
    <s v="Remondis Metal - Mixed All"/>
    <m/>
    <s v="423030596300_RMETMIXED"/>
    <s v="METAL - MIXED ALL"/>
    <s v="Remondis"/>
    <m/>
    <m/>
    <d v="2021-01-01T00:00:00"/>
    <d v="2021-01-01T00:00:00"/>
    <s v="FY21"/>
    <s v="t"/>
    <n v="0"/>
    <n v="0"/>
    <n v="1.7500000000000002E-2"/>
    <n v="1.7500000000000002E-2"/>
    <n v="0"/>
    <n v="0"/>
    <n v="1"/>
    <n v="1"/>
    <n v="0"/>
    <n v="0"/>
    <n v="100"/>
    <s v="Consolidation"/>
    <s v="CO2e and Base Measure"/>
    <n v="100"/>
    <n v="100"/>
    <n v="0.02"/>
    <m/>
    <m/>
    <m/>
    <m/>
    <m/>
    <m/>
    <m/>
    <m/>
    <m/>
    <m/>
    <m/>
    <m/>
    <m/>
    <s v="AUD"/>
    <s v="13564931Waste Recycled - Construction and Demolition [t]"/>
    <n v="13564931"/>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0-12-01T00:00:00"/>
    <s v="FY21"/>
    <s v="t"/>
    <n v="0.28499999999999998"/>
    <n v="0"/>
    <n v="0"/>
    <n v="0.28499999999999998"/>
    <n v="2"/>
    <n v="0"/>
    <n v="0"/>
    <n v="2"/>
    <n v="100"/>
    <n v="0"/>
    <n v="0"/>
    <s v="Consolidation"/>
    <s v="CO2e and Base Measure"/>
    <n v="100"/>
    <n v="100"/>
    <n v="0.28999999999999998"/>
    <m/>
    <m/>
    <m/>
    <m/>
    <m/>
    <n v="0.3705"/>
    <m/>
    <n v="0.3705"/>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1-01T00:00:00"/>
    <s v="FY21"/>
    <s v="t"/>
    <n v="0.16"/>
    <n v="0.09"/>
    <n v="0"/>
    <n v="0.25"/>
    <n v="1"/>
    <n v="1"/>
    <n v="0"/>
    <n v="2"/>
    <n v="64"/>
    <n v="36"/>
    <n v="0"/>
    <s v="Consolidation"/>
    <s v="CO2e and Base Measure"/>
    <n v="100"/>
    <n v="100"/>
    <n v="0.25"/>
    <m/>
    <m/>
    <m/>
    <m/>
    <m/>
    <n v="0.32500000000000001"/>
    <m/>
    <n v="0.32500000000000001"/>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2-01T00:00:00"/>
    <s v="FY21"/>
    <s v="t"/>
    <n v="0.12"/>
    <n v="0"/>
    <n v="0"/>
    <n v="0.12"/>
    <n v="2"/>
    <n v="0"/>
    <n v="0"/>
    <n v="2"/>
    <n v="100"/>
    <n v="0"/>
    <n v="0"/>
    <s v="Consolidation"/>
    <s v="CO2e and Base Measure"/>
    <n v="100"/>
    <n v="100"/>
    <n v="0.12"/>
    <m/>
    <m/>
    <m/>
    <m/>
    <m/>
    <n v="0.156"/>
    <m/>
    <n v="0.156"/>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3-01T00:00:00"/>
    <s v="FY21"/>
    <s v="t"/>
    <n v="9.5000000000000001E-2"/>
    <n v="0"/>
    <n v="0"/>
    <n v="9.5000000000000001E-2"/>
    <n v="3"/>
    <n v="0"/>
    <n v="0"/>
    <n v="3"/>
    <n v="100"/>
    <n v="0"/>
    <n v="0"/>
    <s v="Consolidation"/>
    <s v="CO2e and Base Measure"/>
    <n v="100"/>
    <n v="100"/>
    <n v="0.1"/>
    <m/>
    <m/>
    <m/>
    <m/>
    <m/>
    <n v="0.1235"/>
    <m/>
    <n v="0.1235"/>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4-01T00:00:00"/>
    <s v="FY21"/>
    <s v="t"/>
    <n v="0"/>
    <n v="0"/>
    <n v="0.189"/>
    <n v="0.189"/>
    <n v="0"/>
    <n v="0"/>
    <n v="30"/>
    <n v="30"/>
    <n v="0"/>
    <n v="0"/>
    <n v="100"/>
    <s v="Consolidation"/>
    <s v="CO2e and Base Measure"/>
    <n v="100"/>
    <n v="100"/>
    <n v="0.19"/>
    <m/>
    <m/>
    <m/>
    <m/>
    <m/>
    <n v="0.2457"/>
    <m/>
    <n v="0.2457"/>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5-01T00:00:00"/>
    <s v="FY21"/>
    <s v="t"/>
    <n v="0"/>
    <n v="0"/>
    <n v="0.1953"/>
    <n v="0.1953"/>
    <n v="0"/>
    <n v="0"/>
    <n v="31"/>
    <n v="31"/>
    <n v="0"/>
    <n v="0"/>
    <n v="100"/>
    <s v="Consolidation"/>
    <s v="CO2e and Base Measure"/>
    <n v="100"/>
    <n v="100"/>
    <n v="0.2"/>
    <m/>
    <m/>
    <m/>
    <m/>
    <m/>
    <n v="0.25390000000000001"/>
    <m/>
    <n v="0.25390000000000001"/>
    <m/>
    <m/>
    <m/>
    <m/>
    <m/>
    <s v="AUD"/>
    <s v="13634127Waste - General [t] - Scope 3"/>
    <n v="13634127"/>
  </r>
  <r>
    <d v="2019-07-01T00:00:00"/>
    <d v="2021-06-30T00:00:00"/>
    <s v="Telstra"/>
    <s v="NETWORK"/>
    <s v="Network - InfraCo"/>
    <s v="VIC"/>
    <s v="Australia"/>
    <s v="Hamilton"/>
    <s v="HAMILTON EXCHANGE2"/>
    <n v="423030596300"/>
    <s v="Recycled Waste"/>
    <x v="0"/>
    <x v="0"/>
    <s v="Account"/>
    <s v="CLEANAWAY Cardboard"/>
    <m/>
    <s v="25618_Diversion_Cardboard"/>
    <s v="Cardboard"/>
    <s v="Cleanaway"/>
    <m/>
    <d v="2020-12-22T00:00:00"/>
    <m/>
    <d v="2020-12-01T00:00:00"/>
    <s v="FY21"/>
    <s v="t"/>
    <n v="0"/>
    <n v="2.75E-2"/>
    <n v="0"/>
    <n v="2.75E-2"/>
    <n v="0"/>
    <n v="1"/>
    <n v="0"/>
    <n v="1"/>
    <n v="0"/>
    <n v="100"/>
    <n v="0"/>
    <s v="Consolidation"/>
    <s v="CO2e and Base Measure"/>
    <n v="100"/>
    <n v="100"/>
    <n v="0.03"/>
    <m/>
    <m/>
    <m/>
    <m/>
    <m/>
    <m/>
    <m/>
    <m/>
    <m/>
    <m/>
    <m/>
    <m/>
    <m/>
    <s v="AUD"/>
    <s v="13634128Waste Recycled - Paper and Cardboard [t]"/>
    <n v="13634128"/>
  </r>
  <r>
    <d v="2019-07-01T00:00:00"/>
    <d v="2021-06-30T00:00:00"/>
    <s v="Telstra"/>
    <s v="NETWORK"/>
    <s v="Network - InfraCo"/>
    <s v="VIC"/>
    <s v="Australia"/>
    <s v="Hamilton"/>
    <s v="HAMILTON EXCHANGE2"/>
    <n v="423030596300"/>
    <s v="Recycled Waste"/>
    <x v="0"/>
    <x v="0"/>
    <s v="Account"/>
    <s v="CLEANAWAY Cardboard"/>
    <m/>
    <s v="25618_Diversion_Cardboard"/>
    <s v="Cardboard"/>
    <s v="Cleanaway"/>
    <m/>
    <d v="2020-12-22T00:00:00"/>
    <m/>
    <d v="2021-03-01T00:00:00"/>
    <s v="FY21"/>
    <s v="t"/>
    <n v="0"/>
    <n v="2.75E-2"/>
    <n v="0"/>
    <n v="2.75E-2"/>
    <n v="0"/>
    <n v="1"/>
    <n v="0"/>
    <n v="1"/>
    <n v="0"/>
    <n v="100"/>
    <n v="0"/>
    <s v="Consolidation"/>
    <s v="CO2e and Base Measure"/>
    <n v="100"/>
    <n v="100"/>
    <n v="0.03"/>
    <m/>
    <m/>
    <m/>
    <m/>
    <m/>
    <m/>
    <m/>
    <m/>
    <m/>
    <m/>
    <m/>
    <m/>
    <m/>
    <s v="AUD"/>
    <s v="13634128Waste Recycled - Paper and Cardboard [t]"/>
    <n v="13634128"/>
  </r>
  <r>
    <d v="2019-07-01T00:00:00"/>
    <d v="2021-06-30T00:00:00"/>
    <s v="Telstra"/>
    <s v="NETWORK"/>
    <s v="Network - InfraCo"/>
    <s v="VIC"/>
    <s v="Australia"/>
    <s v="Hamilton"/>
    <s v="HAMILTON EXCHANGE2"/>
    <n v="423030596300"/>
    <s v="Recycled Waste"/>
    <x v="0"/>
    <x v="0"/>
    <s v="Account"/>
    <s v="CLEANAWAY Cardboard"/>
    <m/>
    <s v="25618_Diversion_Cardboard"/>
    <s v="Cardboard"/>
    <s v="Cleanaway"/>
    <m/>
    <d v="2020-12-22T00:00:00"/>
    <m/>
    <d v="2021-04-01T00:00:00"/>
    <s v="FY21"/>
    <s v="t"/>
    <n v="0"/>
    <n v="0"/>
    <n v="1.4999999999999999E-2"/>
    <n v="1.4999999999999999E-2"/>
    <n v="0"/>
    <n v="0"/>
    <n v="30"/>
    <n v="30"/>
    <n v="0"/>
    <n v="0"/>
    <n v="100"/>
    <s v="Consolidation"/>
    <s v="CO2e and Base Measure"/>
    <n v="100"/>
    <n v="100"/>
    <n v="0.02"/>
    <m/>
    <m/>
    <m/>
    <m/>
    <m/>
    <m/>
    <m/>
    <m/>
    <m/>
    <m/>
    <m/>
    <m/>
    <m/>
    <s v="AUD"/>
    <s v="13634128Waste Recycled - Paper and Cardboard [t]"/>
    <n v="13634128"/>
  </r>
  <r>
    <d v="2019-07-01T00:00:00"/>
    <d v="2021-06-30T00:00:00"/>
    <s v="Telstra"/>
    <s v="NETWORK"/>
    <s v="Network - InfraCo"/>
    <s v="VIC"/>
    <s v="Australia"/>
    <s v="Hamilton"/>
    <s v="HAMILTON EXCHANGE2"/>
    <n v="423030596300"/>
    <s v="Recycled Waste"/>
    <x v="0"/>
    <x v="0"/>
    <s v="Account"/>
    <s v="CLEANAWAY Cardboard"/>
    <m/>
    <s v="25618_Diversion_Cardboard"/>
    <s v="Cardboard"/>
    <s v="Cleanaway"/>
    <m/>
    <d v="2020-12-22T00:00:00"/>
    <m/>
    <d v="2021-05-01T00:00:00"/>
    <s v="FY21"/>
    <s v="t"/>
    <n v="0"/>
    <n v="0"/>
    <n v="1.55E-2"/>
    <n v="1.55E-2"/>
    <n v="0"/>
    <n v="0"/>
    <n v="31"/>
    <n v="31"/>
    <n v="0"/>
    <n v="0"/>
    <n v="100"/>
    <s v="Consolidation"/>
    <s v="CO2e and Base Measure"/>
    <n v="100"/>
    <n v="100"/>
    <n v="0.02"/>
    <m/>
    <m/>
    <m/>
    <m/>
    <m/>
    <m/>
    <m/>
    <m/>
    <m/>
    <m/>
    <m/>
    <m/>
    <m/>
    <s v="AUD"/>
    <s v="13634128Waste Recycled - Paper and Cardboard [t]"/>
    <n v="1363412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10-01T00:00:00"/>
    <s v="FY21"/>
    <s v="t"/>
    <n v="0"/>
    <n v="6.3E-2"/>
    <n v="0"/>
    <n v="6.3E-2"/>
    <n v="0"/>
    <n v="1"/>
    <n v="0"/>
    <n v="1"/>
    <n v="0"/>
    <n v="100"/>
    <n v="0"/>
    <s v="Consolidation"/>
    <s v="CO2e and Base Measure"/>
    <n v="100"/>
    <n v="100"/>
    <n v="0.06"/>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11-01T00:00:00"/>
    <s v="FY21"/>
    <s v="t"/>
    <n v="0"/>
    <n v="0.189"/>
    <n v="0"/>
    <n v="0.189"/>
    <n v="0"/>
    <n v="3"/>
    <n v="0"/>
    <n v="3"/>
    <n v="0"/>
    <n v="100"/>
    <n v="0"/>
    <s v="Consolidation"/>
    <s v="CO2e and Base Measure"/>
    <n v="100"/>
    <n v="100"/>
    <n v="0.19"/>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64798Waste Recycled - Cardboard [t]"/>
    <n v="13564798"/>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799Waste - General [t] - Scope 3"/>
    <n v="13564799"/>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799Waste - General [t] - Scope 3"/>
    <n v="13564799"/>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799Waste - General [t] - Scope 3"/>
    <n v="13564799"/>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799Waste - General [t] - Scope 3"/>
    <n v="13564799"/>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1-01-01T00:00:00"/>
    <s v="FY21"/>
    <s v="t"/>
    <n v="0"/>
    <n v="0"/>
    <n v="5.4999999999999997E-3"/>
    <n v="5.4999999999999997E-3"/>
    <n v="0"/>
    <n v="0"/>
    <n v="1"/>
    <n v="1"/>
    <n v="0"/>
    <n v="0"/>
    <n v="100"/>
    <s v="Consolidation"/>
    <s v="CO2e and Base Measure"/>
    <n v="100"/>
    <n v="100"/>
    <n v="0.01"/>
    <m/>
    <m/>
    <m/>
    <m/>
    <m/>
    <n v="7.1999999999999998E-3"/>
    <m/>
    <n v="7.1999999999999998E-3"/>
    <m/>
    <m/>
    <m/>
    <m/>
    <m/>
    <s v="AUD"/>
    <s v="13564799Waste - General [t] - Scope 3"/>
    <n v="1356479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0-12-01T00:00:00"/>
    <s v="FY21"/>
    <s v="t"/>
    <n v="0.17799999999999999"/>
    <n v="0"/>
    <n v="0"/>
    <n v="0.17799999999999999"/>
    <n v="2"/>
    <n v="0"/>
    <n v="0"/>
    <n v="2"/>
    <n v="100"/>
    <n v="0"/>
    <n v="0"/>
    <s v="Consolidation"/>
    <s v="CO2e and Base Measure"/>
    <n v="100"/>
    <n v="100"/>
    <n v="0.18"/>
    <m/>
    <m/>
    <m/>
    <m/>
    <m/>
    <n v="0.23139999999999999"/>
    <m/>
    <n v="0.23139999999999999"/>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1-01T00:00:00"/>
    <s v="FY21"/>
    <s v="t"/>
    <n v="0.29299999999999998"/>
    <n v="0"/>
    <n v="0"/>
    <n v="0.29299999999999998"/>
    <n v="2"/>
    <n v="0"/>
    <n v="0"/>
    <n v="2"/>
    <n v="100"/>
    <n v="0"/>
    <n v="0"/>
    <s v="Consolidation"/>
    <s v="CO2e and Base Measure"/>
    <n v="100"/>
    <n v="100"/>
    <n v="0.28999999999999998"/>
    <m/>
    <m/>
    <m/>
    <m/>
    <m/>
    <n v="0.38090000000000002"/>
    <m/>
    <n v="0.38090000000000002"/>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2-01T00:00:00"/>
    <s v="FY21"/>
    <s v="t"/>
    <n v="0.27100000000000002"/>
    <n v="0"/>
    <n v="0"/>
    <n v="0.27100000000000002"/>
    <n v="2"/>
    <n v="0"/>
    <n v="0"/>
    <n v="2"/>
    <n v="100"/>
    <n v="0"/>
    <n v="0"/>
    <s v="Consolidation"/>
    <s v="CO2e and Base Measure"/>
    <n v="100"/>
    <n v="100"/>
    <n v="0.27"/>
    <m/>
    <m/>
    <m/>
    <m/>
    <m/>
    <n v="0.3523"/>
    <m/>
    <n v="0.3523"/>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3-01T00:00:00"/>
    <s v="FY21"/>
    <s v="t"/>
    <n v="0.442"/>
    <n v="0"/>
    <n v="0"/>
    <n v="0.442"/>
    <n v="3"/>
    <n v="0"/>
    <n v="0"/>
    <n v="3"/>
    <n v="100"/>
    <n v="0"/>
    <n v="0"/>
    <s v="Consolidation"/>
    <s v="CO2e and Base Measure"/>
    <n v="100"/>
    <n v="100"/>
    <n v="0.44"/>
    <m/>
    <m/>
    <m/>
    <m/>
    <m/>
    <n v="0.5746"/>
    <m/>
    <n v="0.5746"/>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4-01T00:00:00"/>
    <s v="FY21"/>
    <s v="t"/>
    <n v="0"/>
    <n v="0"/>
    <n v="0.29699999999999999"/>
    <n v="0.29699999999999999"/>
    <n v="0"/>
    <n v="0"/>
    <n v="30"/>
    <n v="30"/>
    <n v="0"/>
    <n v="0"/>
    <n v="100"/>
    <s v="Consolidation"/>
    <s v="CO2e and Base Measure"/>
    <n v="100"/>
    <n v="100"/>
    <n v="0.3"/>
    <m/>
    <m/>
    <m/>
    <m/>
    <m/>
    <n v="0.3861"/>
    <m/>
    <n v="0.3861"/>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5-01T00:00:00"/>
    <s v="FY21"/>
    <s v="t"/>
    <n v="0"/>
    <n v="0"/>
    <n v="0.30690000000000001"/>
    <n v="0.30690000000000001"/>
    <n v="0"/>
    <n v="0"/>
    <n v="31"/>
    <n v="31"/>
    <n v="0"/>
    <n v="0"/>
    <n v="100"/>
    <s v="Consolidation"/>
    <s v="CO2e and Base Measure"/>
    <n v="100"/>
    <n v="100"/>
    <n v="0.31"/>
    <m/>
    <m/>
    <m/>
    <m/>
    <m/>
    <n v="0.39900000000000002"/>
    <m/>
    <n v="0.39900000000000002"/>
    <m/>
    <m/>
    <m/>
    <m/>
    <m/>
    <s v="AUD"/>
    <s v="13634129Waste - General [t] - Scope 3"/>
    <n v="13634129"/>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0-12-01T00:00:00"/>
    <s v="FY21"/>
    <s v="t"/>
    <n v="0.08"/>
    <n v="0"/>
    <n v="0"/>
    <n v="0.08"/>
    <n v="2"/>
    <n v="0"/>
    <n v="0"/>
    <n v="2"/>
    <n v="100"/>
    <n v="0"/>
    <n v="0"/>
    <s v="Consolidation"/>
    <s v="CO2e and Base Measure"/>
    <n v="100"/>
    <n v="100"/>
    <n v="0.08"/>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1-01T00:00:00"/>
    <s v="FY21"/>
    <s v="t"/>
    <n v="0.04"/>
    <n v="0"/>
    <n v="0"/>
    <n v="0.04"/>
    <n v="2"/>
    <n v="0"/>
    <n v="0"/>
    <n v="2"/>
    <n v="100"/>
    <n v="0"/>
    <n v="0"/>
    <s v="Consolidation"/>
    <s v="CO2e and Base Measure"/>
    <n v="100"/>
    <n v="100"/>
    <n v="0.04"/>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2-01T00:00:00"/>
    <s v="FY21"/>
    <s v="t"/>
    <n v="9.0999999999999998E-2"/>
    <n v="0"/>
    <n v="0"/>
    <n v="9.0999999999999998E-2"/>
    <n v="2"/>
    <n v="0"/>
    <n v="0"/>
    <n v="2"/>
    <n v="100"/>
    <n v="0"/>
    <n v="0"/>
    <s v="Consolidation"/>
    <s v="CO2e and Base Measure"/>
    <n v="100"/>
    <n v="100"/>
    <n v="0.09"/>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3-01T00:00:00"/>
    <s v="FY21"/>
    <s v="t"/>
    <n v="0.18"/>
    <n v="0"/>
    <n v="0"/>
    <n v="0.18"/>
    <n v="3"/>
    <n v="0"/>
    <n v="0"/>
    <n v="3"/>
    <n v="100"/>
    <n v="0"/>
    <n v="0"/>
    <s v="Consolidation"/>
    <s v="CO2e and Base Measure"/>
    <n v="100"/>
    <n v="100"/>
    <n v="0.18"/>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4-01T00:00:00"/>
    <s v="FY21"/>
    <s v="t"/>
    <n v="0"/>
    <n v="0"/>
    <n v="9.9000000000000005E-2"/>
    <n v="9.9000000000000005E-2"/>
    <n v="0"/>
    <n v="0"/>
    <n v="30"/>
    <n v="30"/>
    <n v="0"/>
    <n v="0"/>
    <n v="100"/>
    <s v="Consolidation"/>
    <s v="CO2e and Base Measure"/>
    <n v="100"/>
    <n v="100"/>
    <n v="0.1"/>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5-01T00:00:00"/>
    <s v="FY21"/>
    <s v="t"/>
    <n v="0"/>
    <n v="0"/>
    <n v="0.1023"/>
    <n v="0.1023"/>
    <n v="0"/>
    <n v="0"/>
    <n v="31"/>
    <n v="31"/>
    <n v="0"/>
    <n v="0"/>
    <n v="100"/>
    <s v="Consolidation"/>
    <s v="CO2e and Base Measure"/>
    <n v="100"/>
    <n v="100"/>
    <n v="0.1"/>
    <m/>
    <m/>
    <m/>
    <m/>
    <m/>
    <m/>
    <m/>
    <m/>
    <m/>
    <m/>
    <m/>
    <m/>
    <m/>
    <s v="AUD"/>
    <s v="13634130Waste Recycled - Paper and Cardboard [t]"/>
    <n v="1363413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07-01T00:00:00"/>
    <s v="FY21"/>
    <s v="t"/>
    <n v="0.161"/>
    <n v="0"/>
    <n v="0"/>
    <n v="0.161"/>
    <n v="2"/>
    <n v="0"/>
    <n v="0"/>
    <n v="2"/>
    <n v="100"/>
    <n v="0"/>
    <n v="0"/>
    <s v="Consolidation"/>
    <s v="CO2e and Base Measure"/>
    <n v="100"/>
    <n v="100"/>
    <n v="0.16"/>
    <m/>
    <m/>
    <m/>
    <m/>
    <m/>
    <n v="0.20930000000000001"/>
    <m/>
    <n v="0.20930000000000001"/>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08-01T00:00:00"/>
    <s v="FY21"/>
    <s v="t"/>
    <n v="0.21199999999999999"/>
    <n v="0"/>
    <n v="0"/>
    <n v="0.21199999999999999"/>
    <n v="2"/>
    <n v="0"/>
    <n v="0"/>
    <n v="2"/>
    <n v="100"/>
    <n v="0"/>
    <n v="0"/>
    <s v="Consolidation"/>
    <s v="CO2e and Base Measure"/>
    <n v="100"/>
    <n v="100"/>
    <n v="0.21"/>
    <m/>
    <m/>
    <m/>
    <m/>
    <m/>
    <n v="0.27560000000000001"/>
    <m/>
    <n v="0.27560000000000001"/>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09-01T00:00:00"/>
    <s v="FY21"/>
    <s v="t"/>
    <n v="0.20399999999999999"/>
    <n v="0"/>
    <n v="0"/>
    <n v="0.20399999999999999"/>
    <n v="2"/>
    <n v="0"/>
    <n v="0"/>
    <n v="2"/>
    <n v="100"/>
    <n v="0"/>
    <n v="0"/>
    <s v="Consolidation"/>
    <s v="CO2e and Base Measure"/>
    <n v="100"/>
    <n v="100"/>
    <n v="0.2"/>
    <m/>
    <m/>
    <m/>
    <m/>
    <m/>
    <n v="0.26519999999999999"/>
    <m/>
    <n v="0.26519999999999999"/>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10-01T00:00:00"/>
    <s v="FY21"/>
    <s v="t"/>
    <n v="0.40100000000000002"/>
    <n v="0"/>
    <n v="0"/>
    <n v="0.40100000000000002"/>
    <n v="3"/>
    <n v="0"/>
    <n v="0"/>
    <n v="3"/>
    <n v="100"/>
    <n v="0"/>
    <n v="0"/>
    <s v="Consolidation"/>
    <s v="CO2e and Base Measure"/>
    <n v="100"/>
    <n v="100"/>
    <n v="0.4"/>
    <m/>
    <m/>
    <m/>
    <m/>
    <m/>
    <n v="0.52129999999999999"/>
    <m/>
    <n v="0.52129999999999999"/>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11-01T00:00:00"/>
    <s v="FY21"/>
    <s v="t"/>
    <n v="0.33"/>
    <n v="0"/>
    <n v="0"/>
    <n v="0.33"/>
    <n v="2"/>
    <n v="0"/>
    <n v="0"/>
    <n v="2"/>
    <n v="100"/>
    <n v="0"/>
    <n v="0"/>
    <s v="Consolidation"/>
    <s v="CO2e and Base Measure"/>
    <n v="100"/>
    <n v="100"/>
    <n v="0.33"/>
    <m/>
    <m/>
    <m/>
    <m/>
    <m/>
    <n v="0.42899999999999999"/>
    <m/>
    <n v="0.42899999999999999"/>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1-01-01T00:00:00"/>
    <s v="FY21"/>
    <s v="t"/>
    <n v="0"/>
    <n v="0"/>
    <n v="7.0000000000000001E-3"/>
    <n v="7.0000000000000001E-3"/>
    <n v="0"/>
    <n v="0"/>
    <n v="1"/>
    <n v="1"/>
    <n v="0"/>
    <n v="0"/>
    <n v="100"/>
    <s v="Consolidation"/>
    <s v="CO2e and Base Measure"/>
    <n v="100"/>
    <n v="100"/>
    <n v="0.01"/>
    <m/>
    <m/>
    <m/>
    <m/>
    <m/>
    <n v="9.1000000000000004E-3"/>
    <m/>
    <n v="9.1000000000000004E-3"/>
    <m/>
    <m/>
    <m/>
    <m/>
    <m/>
    <s v="AUD"/>
    <s v="13564690Waste - General [t] - Scope 3"/>
    <n v="13564690"/>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0-11-01T00:00:00"/>
    <s v="FY21"/>
    <s v="t"/>
    <n v="0"/>
    <n v="1.5"/>
    <n v="0"/>
    <n v="1.5"/>
    <n v="0"/>
    <n v="1"/>
    <n v="0"/>
    <n v="1"/>
    <n v="0"/>
    <n v="100"/>
    <n v="0"/>
    <s v="Consolidation"/>
    <s v="CO2e and Base Measure"/>
    <n v="100"/>
    <n v="100"/>
    <n v="1.5"/>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0-12-01T00:00:00"/>
    <s v="FY21"/>
    <s v="t"/>
    <n v="1"/>
    <n v="0"/>
    <n v="0"/>
    <n v="1"/>
    <n v="1"/>
    <n v="0"/>
    <n v="0"/>
    <n v="1"/>
    <n v="100"/>
    <n v="0"/>
    <n v="0"/>
    <s v="Consolidation"/>
    <s v="CO2e and Base Measure"/>
    <n v="100"/>
    <n v="100"/>
    <n v="1"/>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1-01T00:00:00"/>
    <s v="FY21"/>
    <s v="t"/>
    <n v="0"/>
    <n v="0"/>
    <n v="1.2927"/>
    <n v="1.2927"/>
    <n v="0"/>
    <n v="0"/>
    <n v="31"/>
    <n v="31"/>
    <n v="0"/>
    <n v="0"/>
    <n v="100"/>
    <s v="Consolidation"/>
    <s v="CO2e and Base Measure"/>
    <n v="100"/>
    <n v="100"/>
    <n v="1.29"/>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2-01T00:00:00"/>
    <s v="FY21"/>
    <s v="t"/>
    <n v="0"/>
    <n v="0"/>
    <n v="1.1676"/>
    <n v="1.1676"/>
    <n v="0"/>
    <n v="0"/>
    <n v="28"/>
    <n v="28"/>
    <n v="0"/>
    <n v="0"/>
    <n v="100"/>
    <s v="Consolidation"/>
    <s v="CO2e and Base Measure"/>
    <n v="100"/>
    <n v="100"/>
    <n v="1.17"/>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3-01T00:00:00"/>
    <s v="FY21"/>
    <s v="t"/>
    <n v="0"/>
    <n v="0"/>
    <n v="1.2927"/>
    <n v="1.2927"/>
    <n v="0"/>
    <n v="0"/>
    <n v="31"/>
    <n v="31"/>
    <n v="0"/>
    <n v="0"/>
    <n v="100"/>
    <s v="Consolidation"/>
    <s v="CO2e and Base Measure"/>
    <n v="100"/>
    <n v="100"/>
    <n v="1.29"/>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4-01T00:00:00"/>
    <s v="FY21"/>
    <s v="t"/>
    <n v="0"/>
    <n v="0"/>
    <n v="1.2509999999999999"/>
    <n v="1.2509999999999999"/>
    <n v="0"/>
    <n v="0"/>
    <n v="30"/>
    <n v="30"/>
    <n v="0"/>
    <n v="0"/>
    <n v="100"/>
    <s v="Consolidation"/>
    <s v="CO2e and Base Measure"/>
    <n v="100"/>
    <n v="100"/>
    <n v="1.25"/>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5-01T00:00:00"/>
    <s v="FY21"/>
    <s v="t"/>
    <n v="0"/>
    <n v="0"/>
    <n v="1.2927"/>
    <n v="1.2927"/>
    <n v="0"/>
    <n v="0"/>
    <n v="31"/>
    <n v="31"/>
    <n v="0"/>
    <n v="0"/>
    <n v="100"/>
    <s v="Consolidation"/>
    <s v="CO2e and Base Measure"/>
    <n v="100"/>
    <n v="100"/>
    <n v="1.29"/>
    <m/>
    <m/>
    <m/>
    <m/>
    <m/>
    <m/>
    <m/>
    <m/>
    <m/>
    <m/>
    <m/>
    <m/>
    <m/>
    <s v="AUD"/>
    <s v="13632355Waste Recycled - Construction and Demolition [t]"/>
    <n v="13632355"/>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0-11-01T00:00:00"/>
    <s v="FY21"/>
    <s v="t"/>
    <n v="0"/>
    <n v="4.9500000000000002E-2"/>
    <n v="0"/>
    <n v="4.9500000000000002E-2"/>
    <n v="0"/>
    <n v="1"/>
    <n v="0"/>
    <n v="1"/>
    <n v="0"/>
    <n v="100"/>
    <n v="0"/>
    <s v="Consolidation"/>
    <s v="CO2e and Base Measure"/>
    <n v="100"/>
    <n v="100"/>
    <n v="0.05"/>
    <m/>
    <m/>
    <m/>
    <m/>
    <m/>
    <n v="6.4399999999999999E-2"/>
    <m/>
    <n v="6.4399999999999999E-2"/>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0-12-01T00:00:00"/>
    <s v="FY21"/>
    <s v="t"/>
    <n v="0"/>
    <n v="9.9000000000000005E-2"/>
    <n v="0"/>
    <n v="9.9000000000000005E-2"/>
    <n v="0"/>
    <n v="2"/>
    <n v="0"/>
    <n v="2"/>
    <n v="0"/>
    <n v="100"/>
    <n v="0"/>
    <s v="Consolidation"/>
    <s v="CO2e and Base Measure"/>
    <n v="100"/>
    <n v="100"/>
    <n v="0.1"/>
    <m/>
    <m/>
    <m/>
    <m/>
    <m/>
    <n v="0.12870000000000001"/>
    <m/>
    <n v="0.12870000000000001"/>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2-01T00:00:00"/>
    <s v="FY21"/>
    <s v="t"/>
    <n v="0"/>
    <n v="9.9000000000000005E-2"/>
    <n v="0"/>
    <n v="9.9000000000000005E-2"/>
    <n v="0"/>
    <n v="2"/>
    <n v="0"/>
    <n v="2"/>
    <n v="0"/>
    <n v="100"/>
    <n v="0"/>
    <s v="Consolidation"/>
    <s v="CO2e and Base Measure"/>
    <n v="100"/>
    <n v="100"/>
    <n v="0.1"/>
    <m/>
    <m/>
    <m/>
    <m/>
    <m/>
    <n v="0.12870000000000001"/>
    <m/>
    <n v="0.12870000000000001"/>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3-01T00:00:00"/>
    <s v="FY21"/>
    <s v="t"/>
    <n v="0"/>
    <n v="9.9000000000000005E-2"/>
    <n v="0"/>
    <n v="9.9000000000000005E-2"/>
    <n v="0"/>
    <n v="2"/>
    <n v="0"/>
    <n v="2"/>
    <n v="0"/>
    <n v="100"/>
    <n v="0"/>
    <s v="Consolidation"/>
    <s v="CO2e and Base Measure"/>
    <n v="100"/>
    <n v="100"/>
    <n v="0.1"/>
    <m/>
    <m/>
    <m/>
    <m/>
    <m/>
    <n v="0.12870000000000001"/>
    <m/>
    <n v="0.12870000000000001"/>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4-01T00:00:00"/>
    <s v="FY21"/>
    <s v="t"/>
    <n v="0"/>
    <n v="0"/>
    <n v="7.8E-2"/>
    <n v="7.8E-2"/>
    <n v="0"/>
    <n v="0"/>
    <n v="30"/>
    <n v="30"/>
    <n v="0"/>
    <n v="0"/>
    <n v="100"/>
    <s v="Consolidation"/>
    <s v="CO2e and Base Measure"/>
    <n v="100"/>
    <n v="100"/>
    <n v="0.08"/>
    <m/>
    <m/>
    <m/>
    <m/>
    <m/>
    <n v="0.1014"/>
    <m/>
    <n v="0.1014"/>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5-01T00:00:00"/>
    <s v="FY21"/>
    <s v="t"/>
    <n v="0"/>
    <n v="0"/>
    <n v="8.0600000000000005E-2"/>
    <n v="8.0600000000000005E-2"/>
    <n v="0"/>
    <n v="0"/>
    <n v="31"/>
    <n v="31"/>
    <n v="0"/>
    <n v="0"/>
    <n v="100"/>
    <s v="Consolidation"/>
    <s v="CO2e and Base Measure"/>
    <n v="100"/>
    <n v="100"/>
    <n v="0.08"/>
    <m/>
    <m/>
    <m/>
    <m/>
    <m/>
    <n v="0.1048"/>
    <m/>
    <n v="0.1048"/>
    <m/>
    <m/>
    <m/>
    <m/>
    <m/>
    <s v="AUD"/>
    <s v="13633978Waste - General [t] - Scope 3"/>
    <n v="13633978"/>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07-01T00:00:00"/>
    <s v="FY21"/>
    <s v="t"/>
    <n v="0.26"/>
    <n v="0"/>
    <n v="0"/>
    <n v="0.26"/>
    <n v="1"/>
    <n v="0"/>
    <n v="0"/>
    <n v="1"/>
    <n v="100"/>
    <n v="0"/>
    <n v="0"/>
    <s v="Consolidation"/>
    <s v="CO2e and Base Measure"/>
    <n v="100"/>
    <n v="100"/>
    <n v="0.26"/>
    <m/>
    <m/>
    <m/>
    <m/>
    <m/>
    <n v="0.312"/>
    <m/>
    <n v="0.312"/>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08-01T00:00:00"/>
    <s v="FY21"/>
    <s v="t"/>
    <n v="1.62"/>
    <n v="0"/>
    <n v="0"/>
    <n v="1.62"/>
    <n v="3"/>
    <n v="0"/>
    <n v="0"/>
    <n v="3"/>
    <n v="100"/>
    <n v="0"/>
    <n v="0"/>
    <s v="Consolidation"/>
    <s v="CO2e and Base Measure"/>
    <n v="100"/>
    <n v="100"/>
    <n v="1.62"/>
    <m/>
    <m/>
    <m/>
    <m/>
    <m/>
    <n v="1.944"/>
    <m/>
    <n v="1.944"/>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09-01T00:00:00"/>
    <s v="FY21"/>
    <s v="t"/>
    <n v="0.04"/>
    <n v="0"/>
    <n v="0"/>
    <n v="0.04"/>
    <n v="1"/>
    <n v="0"/>
    <n v="0"/>
    <n v="1"/>
    <n v="100"/>
    <n v="0"/>
    <n v="0"/>
    <s v="Consolidation"/>
    <s v="CO2e and Base Measure"/>
    <n v="100"/>
    <n v="100"/>
    <n v="0.04"/>
    <m/>
    <m/>
    <m/>
    <m/>
    <m/>
    <n v="4.8000000000000001E-2"/>
    <m/>
    <n v="4.8000000000000001E-2"/>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10-01T00:00:00"/>
    <s v="FY21"/>
    <s v="t"/>
    <n v="0.18"/>
    <n v="0"/>
    <n v="0"/>
    <n v="0.18"/>
    <n v="1"/>
    <n v="0"/>
    <n v="0"/>
    <n v="1"/>
    <n v="100"/>
    <n v="0"/>
    <n v="0"/>
    <s v="Consolidation"/>
    <s v="CO2e and Base Measure"/>
    <n v="100"/>
    <n v="100"/>
    <n v="0.18"/>
    <m/>
    <m/>
    <m/>
    <m/>
    <m/>
    <n v="0.216"/>
    <m/>
    <n v="0.216"/>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11-01T00:00:00"/>
    <s v="FY21"/>
    <s v="t"/>
    <n v="0.82"/>
    <n v="0"/>
    <n v="0"/>
    <n v="0.82"/>
    <n v="2"/>
    <n v="0"/>
    <n v="0"/>
    <n v="2"/>
    <n v="100"/>
    <n v="0"/>
    <n v="0"/>
    <s v="Consolidation"/>
    <s v="CO2e and Base Measure"/>
    <n v="100"/>
    <n v="100"/>
    <n v="0.82"/>
    <m/>
    <m/>
    <m/>
    <m/>
    <m/>
    <n v="0.98399999999999999"/>
    <m/>
    <n v="0.98399999999999999"/>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12-01T00:00:00"/>
    <s v="FY21"/>
    <s v="t"/>
    <n v="0"/>
    <n v="0"/>
    <n v="2.1100000000000001E-2"/>
    <n v="2.1100000000000001E-2"/>
    <n v="0"/>
    <n v="0"/>
    <n v="1"/>
    <n v="1"/>
    <n v="0"/>
    <n v="0"/>
    <n v="100"/>
    <s v="Consolidation"/>
    <s v="CO2e and Base Measure"/>
    <n v="100"/>
    <n v="100"/>
    <n v="0.02"/>
    <m/>
    <m/>
    <m/>
    <m/>
    <m/>
    <n v="2.53E-2"/>
    <m/>
    <n v="2.53E-2"/>
    <m/>
    <m/>
    <m/>
    <m/>
    <m/>
    <s v="AUD"/>
    <s v="13565857Waste - Construction and Demolition [t]"/>
    <n v="13565857"/>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07-01T00:00:00"/>
    <s v="FY21"/>
    <s v="t"/>
    <n v="0"/>
    <n v="0.189"/>
    <n v="0"/>
    <n v="0.189"/>
    <n v="0"/>
    <n v="3"/>
    <n v="0"/>
    <n v="3"/>
    <n v="0"/>
    <n v="100"/>
    <n v="0"/>
    <s v="Consolidation"/>
    <s v="CO2e and Base Measure"/>
    <n v="100"/>
    <n v="100"/>
    <n v="0.19"/>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858Waste Recycled - Cardboard [t]"/>
    <n v="13565858"/>
  </r>
  <r>
    <d v="2019-07-01T00:00:00"/>
    <d v="2021-06-30T00:00:00"/>
    <s v="Telstra"/>
    <s v="NETWORK"/>
    <s v="Network - Telstra/InfraCo Split"/>
    <s v="QLD"/>
    <s v="Australia"/>
    <s v="Toowoomba"/>
    <s v="HARRISTOWN R_T"/>
    <n v="423031925900"/>
    <s v="Waste"/>
    <x v="1"/>
    <x v="2"/>
    <s v="Account"/>
    <s v="Remondis Gas Cylinders"/>
    <m/>
    <s v="423031925900_RCYCLINDER"/>
    <s v="GAS CYLINDERS"/>
    <s v="Remondis"/>
    <m/>
    <m/>
    <d v="2020-07-01T00:00:00"/>
    <d v="2020-07-01T00:00:00"/>
    <s v="FY21"/>
    <s v="t"/>
    <n v="0"/>
    <n v="0"/>
    <n v="2.9999999999999997E-4"/>
    <n v="2.9999999999999997E-4"/>
    <n v="0"/>
    <n v="0"/>
    <n v="1"/>
    <n v="1"/>
    <n v="0"/>
    <n v="0"/>
    <n v="100"/>
    <s v="Consolidation"/>
    <s v="CO2e and Base Measure"/>
    <n v="100"/>
    <n v="100"/>
    <n v="0"/>
    <m/>
    <m/>
    <m/>
    <m/>
    <m/>
    <n v="4.0000000000000002E-4"/>
    <m/>
    <n v="4.0000000000000002E-4"/>
    <m/>
    <m/>
    <m/>
    <m/>
    <m/>
    <s v="AUD"/>
    <s v="13565859Waste - General [t] - Scope 3"/>
    <n v="13565859"/>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07-01T00:00:00"/>
    <s v="FY21"/>
    <s v="t"/>
    <n v="0"/>
    <n v="0.78"/>
    <n v="0"/>
    <n v="0.78"/>
    <n v="0"/>
    <n v="4"/>
    <n v="0"/>
    <n v="4"/>
    <n v="0"/>
    <n v="100"/>
    <n v="0"/>
    <s v="Consolidation"/>
    <s v="CO2e and Base Measure"/>
    <n v="100"/>
    <n v="100"/>
    <n v="0.78"/>
    <m/>
    <m/>
    <m/>
    <m/>
    <m/>
    <n v="1.014"/>
    <m/>
    <n v="1.014"/>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09-01T00:00:00"/>
    <s v="FY21"/>
    <s v="t"/>
    <n v="0"/>
    <n v="0.78"/>
    <n v="0"/>
    <n v="0.78"/>
    <n v="0"/>
    <n v="4"/>
    <n v="0"/>
    <n v="4"/>
    <n v="0"/>
    <n v="100"/>
    <n v="0"/>
    <s v="Consolidation"/>
    <s v="CO2e and Base Measure"/>
    <n v="100"/>
    <n v="100"/>
    <n v="0.78"/>
    <m/>
    <m/>
    <m/>
    <m/>
    <m/>
    <n v="1.014"/>
    <m/>
    <n v="1.014"/>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11-01T00:00:00"/>
    <s v="FY21"/>
    <s v="t"/>
    <n v="0"/>
    <n v="0.97499999999999998"/>
    <n v="0"/>
    <n v="0.97499999999999998"/>
    <n v="0"/>
    <n v="5"/>
    <n v="0"/>
    <n v="5"/>
    <n v="0"/>
    <n v="100"/>
    <n v="0"/>
    <s v="Consolidation"/>
    <s v="CO2e and Base Measure"/>
    <n v="100"/>
    <n v="100"/>
    <n v="0.98"/>
    <m/>
    <m/>
    <m/>
    <m/>
    <m/>
    <n v="1.2675000000000001"/>
    <m/>
    <n v="1.2675000000000001"/>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5860Waste - General [t] - Scope 3"/>
    <n v="13565860"/>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0-12-01T00:00:00"/>
    <s v="FY21"/>
    <s v="t"/>
    <n v="0.16400000000000001"/>
    <n v="0"/>
    <n v="0"/>
    <n v="0.16400000000000001"/>
    <n v="3"/>
    <n v="0"/>
    <n v="0"/>
    <n v="3"/>
    <n v="100"/>
    <n v="0"/>
    <n v="0"/>
    <s v="Consolidation"/>
    <s v="CO2e and Base Measure"/>
    <n v="100"/>
    <n v="100"/>
    <n v="0.16"/>
    <m/>
    <m/>
    <m/>
    <m/>
    <m/>
    <n v="0.2132"/>
    <m/>
    <n v="0.2132"/>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1-01T00:00:00"/>
    <s v="FY21"/>
    <s v="t"/>
    <n v="0.78"/>
    <n v="0"/>
    <n v="0"/>
    <n v="0.78"/>
    <n v="4"/>
    <n v="0"/>
    <n v="0"/>
    <n v="4"/>
    <n v="100"/>
    <n v="0"/>
    <n v="0"/>
    <s v="Consolidation"/>
    <s v="CO2e and Base Measure"/>
    <n v="100"/>
    <n v="100"/>
    <n v="0.78"/>
    <m/>
    <m/>
    <m/>
    <m/>
    <m/>
    <n v="1.014"/>
    <m/>
    <n v="1.014"/>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2-01T00:00:00"/>
    <s v="FY21"/>
    <s v="t"/>
    <n v="0.63700000000000001"/>
    <n v="0.13500000000000001"/>
    <n v="0"/>
    <n v="0.77200000000000002"/>
    <n v="3"/>
    <n v="1"/>
    <n v="0"/>
    <n v="4"/>
    <n v="82.51"/>
    <n v="17.48"/>
    <n v="0"/>
    <s v="Consolidation"/>
    <s v="CO2e and Base Measure"/>
    <n v="100"/>
    <n v="100"/>
    <n v="0.77"/>
    <m/>
    <m/>
    <m/>
    <m/>
    <m/>
    <n v="1.0036"/>
    <m/>
    <n v="1.0036"/>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3-01T00:00:00"/>
    <s v="FY21"/>
    <s v="t"/>
    <n v="0.59"/>
    <n v="0"/>
    <n v="0"/>
    <n v="0.59"/>
    <n v="4"/>
    <n v="0"/>
    <n v="0"/>
    <n v="4"/>
    <n v="100"/>
    <n v="0"/>
    <n v="0"/>
    <s v="Consolidation"/>
    <s v="CO2e and Base Measure"/>
    <n v="100"/>
    <n v="100"/>
    <n v="0.59"/>
    <m/>
    <m/>
    <m/>
    <m/>
    <m/>
    <n v="0.76700000000000002"/>
    <m/>
    <n v="0.76700000000000002"/>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4-01T00:00:00"/>
    <s v="FY21"/>
    <s v="t"/>
    <n v="0"/>
    <n v="0"/>
    <n v="0.57599999999999996"/>
    <n v="0.57599999999999996"/>
    <n v="0"/>
    <n v="0"/>
    <n v="30"/>
    <n v="30"/>
    <n v="0"/>
    <n v="0"/>
    <n v="100"/>
    <s v="Consolidation"/>
    <s v="CO2e and Base Measure"/>
    <n v="100"/>
    <n v="100"/>
    <n v="0.57999999999999996"/>
    <m/>
    <m/>
    <m/>
    <m/>
    <m/>
    <n v="0.74880000000000002"/>
    <m/>
    <n v="0.74880000000000002"/>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5-01T00:00:00"/>
    <s v="FY21"/>
    <s v="t"/>
    <n v="0"/>
    <n v="0"/>
    <n v="0.59519999999999995"/>
    <n v="0.59519999999999995"/>
    <n v="0"/>
    <n v="0"/>
    <n v="31"/>
    <n v="31"/>
    <n v="0"/>
    <n v="0"/>
    <n v="100"/>
    <s v="Consolidation"/>
    <s v="CO2e and Base Measure"/>
    <n v="100"/>
    <n v="100"/>
    <n v="0.6"/>
    <m/>
    <m/>
    <m/>
    <m/>
    <m/>
    <n v="0.77380000000000004"/>
    <m/>
    <n v="0.77380000000000004"/>
    <m/>
    <m/>
    <m/>
    <m/>
    <m/>
    <s v="AUD"/>
    <s v="13634131Waste - General [t] - Scope 3"/>
    <n v="13634131"/>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0-12-01T00:00:00"/>
    <s v="FY21"/>
    <s v="t"/>
    <n v="3.5000000000000003E-2"/>
    <n v="7.4999999999999997E-2"/>
    <n v="0"/>
    <n v="0.11"/>
    <n v="1"/>
    <n v="1"/>
    <n v="0"/>
    <n v="2"/>
    <n v="31.81"/>
    <n v="68.180000000000007"/>
    <n v="0"/>
    <s v="Consolidation"/>
    <s v="CO2e and Base Measure"/>
    <n v="100"/>
    <n v="100"/>
    <n v="0.11"/>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1-01T00:00:00"/>
    <s v="FY21"/>
    <s v="t"/>
    <n v="6.4000000000000001E-2"/>
    <n v="7.4999999999999997E-2"/>
    <n v="0"/>
    <n v="0.13900000000000001"/>
    <n v="1"/>
    <n v="1"/>
    <n v="0"/>
    <n v="2"/>
    <n v="46.04"/>
    <n v="53.95"/>
    <n v="0"/>
    <s v="Consolidation"/>
    <s v="CO2e and Base Measure"/>
    <n v="100"/>
    <n v="100"/>
    <n v="0.14000000000000001"/>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2-01T00:00:00"/>
    <s v="FY21"/>
    <s v="t"/>
    <n v="2.5000000000000001E-2"/>
    <n v="7.4999999999999997E-2"/>
    <n v="0"/>
    <n v="0.1"/>
    <n v="1"/>
    <n v="1"/>
    <n v="0"/>
    <n v="2"/>
    <n v="25"/>
    <n v="75"/>
    <n v="0"/>
    <s v="Consolidation"/>
    <s v="CO2e and Base Measure"/>
    <n v="100"/>
    <n v="100"/>
    <n v="0.1"/>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3-01T00:00:00"/>
    <s v="FY21"/>
    <s v="t"/>
    <n v="6.9000000000000006E-2"/>
    <n v="7.4999999999999997E-2"/>
    <n v="0"/>
    <n v="0.14399999999999999"/>
    <n v="1"/>
    <n v="1"/>
    <n v="0"/>
    <n v="2"/>
    <n v="47.91"/>
    <n v="52.08"/>
    <n v="0"/>
    <s v="Consolidation"/>
    <s v="CO2e and Base Measure"/>
    <n v="100"/>
    <n v="100"/>
    <n v="0.14000000000000001"/>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4-01T00:00:00"/>
    <s v="FY21"/>
    <s v="t"/>
    <n v="0"/>
    <n v="0"/>
    <n v="0.123"/>
    <n v="0.123"/>
    <n v="0"/>
    <n v="0"/>
    <n v="30"/>
    <n v="30"/>
    <n v="0"/>
    <n v="0"/>
    <n v="100"/>
    <s v="Consolidation"/>
    <s v="CO2e and Base Measure"/>
    <n v="100"/>
    <n v="100"/>
    <n v="0.12"/>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5-01T00:00:00"/>
    <s v="FY21"/>
    <s v="t"/>
    <n v="0"/>
    <n v="0"/>
    <n v="0.12709999999999999"/>
    <n v="0.12709999999999999"/>
    <n v="0"/>
    <n v="0"/>
    <n v="31"/>
    <n v="31"/>
    <n v="0"/>
    <n v="0"/>
    <n v="100"/>
    <s v="Consolidation"/>
    <s v="CO2e and Base Measure"/>
    <n v="100"/>
    <n v="100"/>
    <n v="0.13"/>
    <m/>
    <m/>
    <m/>
    <m/>
    <m/>
    <m/>
    <m/>
    <m/>
    <m/>
    <m/>
    <m/>
    <m/>
    <m/>
    <s v="AUD"/>
    <s v="13634132Waste Recycled - Paper and Cardboard [t]"/>
    <n v="13634132"/>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1-01T00:00:00"/>
    <s v="FY21"/>
    <s v="t"/>
    <n v="6.0000000000000001E-3"/>
    <n v="0"/>
    <n v="0"/>
    <n v="6.0000000000000001E-3"/>
    <n v="1"/>
    <n v="0"/>
    <n v="0"/>
    <n v="1"/>
    <n v="100"/>
    <n v="0"/>
    <n v="0"/>
    <s v="Consolidation"/>
    <s v="CO2e and Base Measure"/>
    <n v="100"/>
    <n v="100"/>
    <n v="0.01"/>
    <m/>
    <m/>
    <m/>
    <m/>
    <m/>
    <n v="7.1999999999999998E-3"/>
    <m/>
    <n v="7.1999999999999998E-3"/>
    <m/>
    <m/>
    <m/>
    <m/>
    <m/>
    <s v="AUD"/>
    <s v="13639874Waste - Construction and Demolition [t]"/>
    <n v="13639874"/>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2-01T00:00:00"/>
    <s v="FY21"/>
    <s v="t"/>
    <n v="0.18"/>
    <n v="0"/>
    <n v="0"/>
    <n v="0.18"/>
    <n v="1"/>
    <n v="0"/>
    <n v="0"/>
    <n v="1"/>
    <n v="100"/>
    <n v="0"/>
    <n v="0"/>
    <s v="Consolidation"/>
    <s v="CO2e and Base Measure"/>
    <n v="100"/>
    <n v="100"/>
    <n v="0.18"/>
    <m/>
    <m/>
    <m/>
    <m/>
    <m/>
    <n v="0.216"/>
    <m/>
    <n v="0.216"/>
    <m/>
    <m/>
    <m/>
    <m/>
    <m/>
    <s v="AUD"/>
    <s v="13639874Waste - Construction and Demolition [t]"/>
    <n v="13639874"/>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3-01T00:00:00"/>
    <s v="FY21"/>
    <s v="t"/>
    <n v="0.22"/>
    <n v="0"/>
    <n v="0"/>
    <n v="0.22"/>
    <n v="1"/>
    <n v="0"/>
    <n v="0"/>
    <n v="1"/>
    <n v="100"/>
    <n v="0"/>
    <n v="0"/>
    <s v="Consolidation"/>
    <s v="CO2e and Base Measure"/>
    <n v="100"/>
    <n v="100"/>
    <n v="0.22"/>
    <m/>
    <m/>
    <m/>
    <m/>
    <m/>
    <n v="0.26400000000000001"/>
    <m/>
    <n v="0.26400000000000001"/>
    <m/>
    <m/>
    <m/>
    <m/>
    <m/>
    <s v="AUD"/>
    <s v="13639874Waste - Construction and Demolition [t]"/>
    <n v="13639874"/>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4-01T00:00:00"/>
    <s v="FY21"/>
    <s v="t"/>
    <n v="0"/>
    <n v="0"/>
    <n v="0.13800000000000001"/>
    <n v="0.13800000000000001"/>
    <n v="0"/>
    <n v="0"/>
    <n v="30"/>
    <n v="30"/>
    <n v="0"/>
    <n v="0"/>
    <n v="100"/>
    <s v="Consolidation"/>
    <s v="CO2e and Base Measure"/>
    <n v="100"/>
    <n v="100"/>
    <n v="0.14000000000000001"/>
    <m/>
    <m/>
    <m/>
    <m/>
    <m/>
    <n v="0.1656"/>
    <m/>
    <n v="0.1656"/>
    <m/>
    <m/>
    <m/>
    <m/>
    <m/>
    <s v="AUD"/>
    <s v="13639874Waste - Construction and Demolition [t]"/>
    <n v="13639874"/>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5-01T00:00:00"/>
    <s v="FY21"/>
    <s v="t"/>
    <n v="0"/>
    <n v="0"/>
    <n v="0.1426"/>
    <n v="0.1426"/>
    <n v="0"/>
    <n v="0"/>
    <n v="31"/>
    <n v="31"/>
    <n v="0"/>
    <n v="0"/>
    <n v="100"/>
    <s v="Consolidation"/>
    <s v="CO2e and Base Measure"/>
    <n v="100"/>
    <n v="100"/>
    <n v="0.14000000000000001"/>
    <m/>
    <m/>
    <m/>
    <m/>
    <m/>
    <n v="0.1711"/>
    <m/>
    <n v="0.1711"/>
    <m/>
    <m/>
    <m/>
    <m/>
    <m/>
    <s v="AUD"/>
    <s v="13639874Waste - Construction and Demolition [t]"/>
    <n v="13639874"/>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07-01T00:00:00"/>
    <s v="FY21"/>
    <s v="t"/>
    <n v="0.30499999999999999"/>
    <n v="0"/>
    <n v="0"/>
    <n v="0.30499999999999999"/>
    <n v="1"/>
    <n v="0"/>
    <n v="0"/>
    <n v="1"/>
    <n v="100"/>
    <n v="0"/>
    <n v="0"/>
    <s v="Consolidation"/>
    <s v="CO2e and Base Measure"/>
    <n v="100"/>
    <n v="100"/>
    <n v="0.31"/>
    <m/>
    <m/>
    <m/>
    <m/>
    <m/>
    <n v="0.39650000000000002"/>
    <m/>
    <n v="0.39650000000000002"/>
    <m/>
    <m/>
    <m/>
    <m/>
    <m/>
    <s v="AUD"/>
    <s v="13564933Waste - General [t] - Scope 3"/>
    <n v="13564933"/>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08-01T00:00:00"/>
    <s v="FY21"/>
    <s v="t"/>
    <n v="0.35"/>
    <n v="0"/>
    <n v="0"/>
    <n v="0.35"/>
    <n v="1"/>
    <n v="0"/>
    <n v="0"/>
    <n v="1"/>
    <n v="100"/>
    <n v="0"/>
    <n v="0"/>
    <s v="Consolidation"/>
    <s v="CO2e and Base Measure"/>
    <n v="100"/>
    <n v="100"/>
    <n v="0.35"/>
    <m/>
    <m/>
    <m/>
    <m/>
    <m/>
    <n v="0.45500000000000002"/>
    <m/>
    <n v="0.45500000000000002"/>
    <m/>
    <m/>
    <m/>
    <m/>
    <m/>
    <s v="AUD"/>
    <s v="13564933Waste - General [t] - Scope 3"/>
    <n v="13564933"/>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10-01T00:00:00"/>
    <s v="FY21"/>
    <s v="t"/>
    <n v="1.075"/>
    <n v="0"/>
    <n v="0"/>
    <n v="1.075"/>
    <n v="1"/>
    <n v="0"/>
    <n v="0"/>
    <n v="1"/>
    <n v="100"/>
    <n v="0"/>
    <n v="0"/>
    <s v="Consolidation"/>
    <s v="CO2e and Base Measure"/>
    <n v="100"/>
    <n v="100"/>
    <n v="1.08"/>
    <m/>
    <m/>
    <m/>
    <m/>
    <m/>
    <n v="1.3975"/>
    <m/>
    <n v="1.3975"/>
    <m/>
    <m/>
    <m/>
    <m/>
    <m/>
    <s v="AUD"/>
    <s v="13564933Waste - General [t] - Scope 3"/>
    <n v="13564933"/>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11-01T00:00:00"/>
    <s v="FY21"/>
    <s v="t"/>
    <n v="0.36499999999999999"/>
    <n v="0"/>
    <n v="0"/>
    <n v="0.36499999999999999"/>
    <n v="1"/>
    <n v="0"/>
    <n v="0"/>
    <n v="1"/>
    <n v="100"/>
    <n v="0"/>
    <n v="0"/>
    <s v="Consolidation"/>
    <s v="CO2e and Base Measure"/>
    <n v="100"/>
    <n v="100"/>
    <n v="0.37"/>
    <m/>
    <m/>
    <m/>
    <m/>
    <m/>
    <n v="0.47449999999999998"/>
    <m/>
    <n v="0.47449999999999998"/>
    <m/>
    <m/>
    <m/>
    <m/>
    <m/>
    <s v="AUD"/>
    <s v="13564933Waste - General [t] - Scope 3"/>
    <n v="13564933"/>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12-01T00:00:00"/>
    <s v="FY21"/>
    <s v="t"/>
    <n v="0"/>
    <n v="0"/>
    <n v="1.2800000000000001E-2"/>
    <n v="1.2800000000000001E-2"/>
    <n v="0"/>
    <n v="0"/>
    <n v="1"/>
    <n v="1"/>
    <n v="0"/>
    <n v="0"/>
    <n v="100"/>
    <s v="Consolidation"/>
    <s v="CO2e and Base Measure"/>
    <n v="100"/>
    <n v="100"/>
    <n v="0.01"/>
    <m/>
    <m/>
    <m/>
    <m/>
    <m/>
    <n v="1.66E-2"/>
    <m/>
    <n v="1.66E-2"/>
    <m/>
    <m/>
    <m/>
    <m/>
    <m/>
    <s v="AUD"/>
    <s v="13564933Waste - General [t] - Scope 3"/>
    <n v="13564933"/>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0-12-01T00:00:00"/>
    <s v="FY21"/>
    <s v="t"/>
    <n v="0.56000000000000005"/>
    <n v="0"/>
    <n v="0"/>
    <n v="0.56000000000000005"/>
    <n v="1"/>
    <n v="0"/>
    <n v="0"/>
    <n v="1"/>
    <n v="100"/>
    <n v="0"/>
    <n v="0"/>
    <s v="Consolidation"/>
    <s v="CO2e and Base Measure"/>
    <n v="100"/>
    <n v="100"/>
    <n v="0.56000000000000005"/>
    <m/>
    <m/>
    <m/>
    <m/>
    <m/>
    <n v="0.72799999999999998"/>
    <m/>
    <n v="0.72799999999999998"/>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1-01T00:00:00"/>
    <s v="FY21"/>
    <s v="t"/>
    <n v="0"/>
    <n v="0"/>
    <n v="0.57969999999999999"/>
    <n v="0.57969999999999999"/>
    <n v="0"/>
    <n v="0"/>
    <n v="31"/>
    <n v="31"/>
    <n v="0"/>
    <n v="0"/>
    <n v="100"/>
    <s v="Consolidation"/>
    <s v="CO2e and Base Measure"/>
    <n v="100"/>
    <n v="100"/>
    <n v="0.57999999999999996"/>
    <m/>
    <m/>
    <m/>
    <m/>
    <m/>
    <n v="0.75360000000000005"/>
    <m/>
    <n v="0.75360000000000005"/>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2-01T00:00:00"/>
    <s v="FY21"/>
    <s v="t"/>
    <n v="0"/>
    <n v="0"/>
    <n v="0.52359999999999995"/>
    <n v="0.52359999999999995"/>
    <n v="0"/>
    <n v="0"/>
    <n v="28"/>
    <n v="28"/>
    <n v="0"/>
    <n v="0"/>
    <n v="100"/>
    <s v="Consolidation"/>
    <s v="CO2e and Base Measure"/>
    <n v="100"/>
    <n v="100"/>
    <n v="0.52"/>
    <m/>
    <m/>
    <m/>
    <m/>
    <m/>
    <n v="0.68069999999999997"/>
    <m/>
    <n v="0.68069999999999997"/>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3-01T00:00:00"/>
    <s v="FY21"/>
    <s v="t"/>
    <n v="0"/>
    <n v="0"/>
    <n v="0.57969999999999999"/>
    <n v="0.57969999999999999"/>
    <n v="0"/>
    <n v="0"/>
    <n v="31"/>
    <n v="31"/>
    <n v="0"/>
    <n v="0"/>
    <n v="100"/>
    <s v="Consolidation"/>
    <s v="CO2e and Base Measure"/>
    <n v="100"/>
    <n v="100"/>
    <n v="0.57999999999999996"/>
    <m/>
    <m/>
    <m/>
    <m/>
    <m/>
    <n v="0.75360000000000005"/>
    <m/>
    <n v="0.75360000000000005"/>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4-01T00:00:00"/>
    <s v="FY21"/>
    <s v="t"/>
    <n v="0"/>
    <n v="0"/>
    <n v="0.56100000000000005"/>
    <n v="0.56100000000000005"/>
    <n v="0"/>
    <n v="0"/>
    <n v="30"/>
    <n v="30"/>
    <n v="0"/>
    <n v="0"/>
    <n v="100"/>
    <s v="Consolidation"/>
    <s v="CO2e and Base Measure"/>
    <n v="100"/>
    <n v="100"/>
    <n v="0.56000000000000005"/>
    <m/>
    <m/>
    <m/>
    <m/>
    <m/>
    <n v="0.72929999999999995"/>
    <m/>
    <n v="0.72929999999999995"/>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5-01T00:00:00"/>
    <s v="FY21"/>
    <s v="t"/>
    <n v="0"/>
    <n v="0"/>
    <n v="0.57969999999999999"/>
    <n v="0.57969999999999999"/>
    <n v="0"/>
    <n v="0"/>
    <n v="31"/>
    <n v="31"/>
    <n v="0"/>
    <n v="0"/>
    <n v="100"/>
    <s v="Consolidation"/>
    <s v="CO2e and Base Measure"/>
    <n v="100"/>
    <n v="100"/>
    <n v="0.57999999999999996"/>
    <m/>
    <m/>
    <m/>
    <m/>
    <m/>
    <n v="0.75360000000000005"/>
    <m/>
    <n v="0.75360000000000005"/>
    <m/>
    <m/>
    <m/>
    <m/>
    <m/>
    <s v="AUD"/>
    <s v="13634595Waste - General [t] - Scope 3"/>
    <n v="13634595"/>
  </r>
  <r>
    <d v="2019-07-01T00:00:00"/>
    <d v="2021-06-30T00:00:00"/>
    <s v="Telstra"/>
    <s v="NETWORK"/>
    <s v="Network - InfraCo"/>
    <s v="VIC"/>
    <s v="Australia"/>
    <s v="Hawthorn East"/>
    <s v="HAWTHORN EXCHANGE"/>
    <n v="423030792500"/>
    <s v="Waste"/>
    <x v="1"/>
    <x v="2"/>
    <s v="Account"/>
    <s v="Remondis General Waste"/>
    <m/>
    <s v="423030792500_WGENERALW"/>
    <s v="GENERAL WASTE"/>
    <s v="Remondis"/>
    <m/>
    <m/>
    <d v="2020-09-01T00:00:00"/>
    <d v="2020-08-01T00:00:00"/>
    <s v="FY21"/>
    <s v="t"/>
    <n v="0"/>
    <n v="0.14299999999999999"/>
    <n v="0"/>
    <n v="0.14299999999999999"/>
    <n v="0"/>
    <n v="1"/>
    <n v="0"/>
    <n v="1"/>
    <n v="0"/>
    <n v="100"/>
    <n v="0"/>
    <s v="Consolidation"/>
    <s v="CO2e and Base Measure"/>
    <n v="100"/>
    <n v="100"/>
    <n v="0.14000000000000001"/>
    <m/>
    <m/>
    <m/>
    <m/>
    <m/>
    <n v="0.18590000000000001"/>
    <m/>
    <n v="0.18590000000000001"/>
    <m/>
    <m/>
    <m/>
    <m/>
    <m/>
    <s v="AUD"/>
    <s v="13565314Waste - General [t] - Scope 3"/>
    <n v="13565314"/>
  </r>
  <r>
    <d v="2019-07-01T00:00:00"/>
    <d v="2021-06-30T00:00:00"/>
    <s v="Telstra"/>
    <s v="NETWORK"/>
    <s v="Network - InfraCo"/>
    <s v="VIC"/>
    <s v="Australia"/>
    <s v="Hawthorn East"/>
    <s v="HAWTHORN EXCHANGE"/>
    <n v="423030792500"/>
    <s v="Waste"/>
    <x v="1"/>
    <x v="2"/>
    <s v="Account"/>
    <s v="Remondis General Waste"/>
    <m/>
    <s v="423030792500_WGENERALW"/>
    <s v="GENERAL WASTE"/>
    <s v="Remondis"/>
    <m/>
    <m/>
    <d v="2020-09-01T00:00:00"/>
    <d v="2020-09-01T00:00:00"/>
    <s v="FY21"/>
    <s v="t"/>
    <n v="0"/>
    <n v="0"/>
    <n v="4.7999999999999996E-3"/>
    <n v="4.7999999999999996E-3"/>
    <n v="0"/>
    <n v="0"/>
    <n v="1"/>
    <n v="1"/>
    <n v="0"/>
    <n v="0"/>
    <n v="100"/>
    <s v="Consolidation"/>
    <s v="CO2e and Base Measure"/>
    <n v="100"/>
    <n v="100"/>
    <n v="0"/>
    <m/>
    <m/>
    <m/>
    <m/>
    <m/>
    <n v="6.1999999999999998E-3"/>
    <m/>
    <n v="6.1999999999999998E-3"/>
    <m/>
    <m/>
    <m/>
    <m/>
    <m/>
    <s v="AUD"/>
    <s v="13565314Waste - General [t] - Scope 3"/>
    <n v="13565314"/>
  </r>
  <r>
    <d v="2019-07-01T00:00:00"/>
    <d v="2021-06-30T00:00:00"/>
    <s v="Telstra"/>
    <s v="NETWORK"/>
    <s v="Network - InfraCo"/>
    <s v="VIC"/>
    <s v="Australia"/>
    <s v="Hawthorn East"/>
    <s v="HAWTHORN EXCHANGE"/>
    <n v="423030792500"/>
    <s v="Waste"/>
    <x v="1"/>
    <x v="2"/>
    <s v="Account"/>
    <s v="CLEANAWAY General"/>
    <m/>
    <s v="26695_Landfill_General"/>
    <s v="General"/>
    <s v="Cleanaway"/>
    <m/>
    <d v="2021-02-12T00:00:00"/>
    <m/>
    <d v="2021-02-01T00:00:00"/>
    <s v="FY21"/>
    <s v="t"/>
    <n v="0.11"/>
    <n v="0"/>
    <n v="0"/>
    <n v="0.11"/>
    <n v="1"/>
    <n v="0"/>
    <n v="0"/>
    <n v="1"/>
    <n v="100"/>
    <n v="0"/>
    <n v="0"/>
    <s v="Consolidation"/>
    <s v="CO2e and Base Measure"/>
    <n v="100"/>
    <n v="100"/>
    <n v="0.11"/>
    <m/>
    <m/>
    <m/>
    <m/>
    <m/>
    <n v="0.14299999999999999"/>
    <m/>
    <n v="0.14299999999999999"/>
    <m/>
    <m/>
    <m/>
    <m/>
    <m/>
    <s v="AUD"/>
    <s v="13639895Waste - General [t] - Scope 3"/>
    <n v="13639895"/>
  </r>
  <r>
    <d v="2019-07-01T00:00:00"/>
    <d v="2021-06-30T00:00:00"/>
    <s v="Telstra"/>
    <s v="NETWORK"/>
    <s v="Network - InfraCo"/>
    <s v="VIC"/>
    <s v="Australia"/>
    <s v="Hawthorn East"/>
    <s v="HAWTHORN EXCHANGE"/>
    <n v="423030792500"/>
    <s v="Waste"/>
    <x v="1"/>
    <x v="2"/>
    <s v="Account"/>
    <s v="CLEANAWAY General"/>
    <m/>
    <s v="26695_Landfill_General"/>
    <s v="General"/>
    <s v="Cleanaway"/>
    <m/>
    <d v="2021-02-12T00:00:00"/>
    <m/>
    <d v="2021-03-01T00:00:00"/>
    <s v="FY21"/>
    <s v="t"/>
    <n v="0"/>
    <n v="0"/>
    <n v="0.12709999999999999"/>
    <n v="0.12709999999999999"/>
    <n v="0"/>
    <n v="0"/>
    <n v="31"/>
    <n v="31"/>
    <n v="0"/>
    <n v="0"/>
    <n v="100"/>
    <s v="Consolidation"/>
    <s v="CO2e and Base Measure"/>
    <n v="100"/>
    <n v="100"/>
    <n v="0.13"/>
    <m/>
    <m/>
    <m/>
    <m/>
    <m/>
    <n v="0.16520000000000001"/>
    <m/>
    <n v="0.16520000000000001"/>
    <m/>
    <m/>
    <m/>
    <m/>
    <m/>
    <s v="AUD"/>
    <s v="13639895Waste - General [t] - Scope 3"/>
    <n v="13639895"/>
  </r>
  <r>
    <d v="2019-07-01T00:00:00"/>
    <d v="2021-06-30T00:00:00"/>
    <s v="Telstra"/>
    <s v="NETWORK"/>
    <s v="Network - InfraCo"/>
    <s v="VIC"/>
    <s v="Australia"/>
    <s v="Hawthorn East"/>
    <s v="HAWTHORN EXCHANGE"/>
    <n v="423030792500"/>
    <s v="Waste"/>
    <x v="1"/>
    <x v="2"/>
    <s v="Account"/>
    <s v="CLEANAWAY General"/>
    <m/>
    <s v="26695_Landfill_General"/>
    <s v="General"/>
    <s v="Cleanaway"/>
    <m/>
    <d v="2021-02-12T00:00:00"/>
    <m/>
    <d v="2021-04-01T00:00:00"/>
    <s v="FY21"/>
    <s v="t"/>
    <n v="0"/>
    <n v="0"/>
    <n v="0.123"/>
    <n v="0.123"/>
    <n v="0"/>
    <n v="0"/>
    <n v="30"/>
    <n v="30"/>
    <n v="0"/>
    <n v="0"/>
    <n v="100"/>
    <s v="Consolidation"/>
    <s v="CO2e and Base Measure"/>
    <n v="100"/>
    <n v="100"/>
    <n v="0.12"/>
    <m/>
    <m/>
    <m/>
    <m/>
    <m/>
    <n v="0.15989999999999999"/>
    <m/>
    <n v="0.15989999999999999"/>
    <m/>
    <m/>
    <m/>
    <m/>
    <m/>
    <s v="AUD"/>
    <s v="13639895Waste - General [t] - Scope 3"/>
    <n v="13639895"/>
  </r>
  <r>
    <d v="2019-07-01T00:00:00"/>
    <d v="2021-06-30T00:00:00"/>
    <s v="Telstra"/>
    <s v="NETWORK"/>
    <s v="Network - InfraCo"/>
    <s v="VIC"/>
    <s v="Australia"/>
    <s v="Hawthorn East"/>
    <s v="HAWTHORN EXCHANGE"/>
    <n v="423030792500"/>
    <s v="Waste"/>
    <x v="1"/>
    <x v="2"/>
    <s v="Account"/>
    <s v="CLEANAWAY General"/>
    <m/>
    <s v="26695_Landfill_General"/>
    <s v="General"/>
    <s v="Cleanaway"/>
    <m/>
    <d v="2021-02-12T00:00:00"/>
    <m/>
    <d v="2021-05-01T00:00:00"/>
    <s v="FY21"/>
    <s v="t"/>
    <n v="0"/>
    <n v="0"/>
    <n v="0.12709999999999999"/>
    <n v="0.12709999999999999"/>
    <n v="0"/>
    <n v="0"/>
    <n v="31"/>
    <n v="31"/>
    <n v="0"/>
    <n v="0"/>
    <n v="100"/>
    <s v="Consolidation"/>
    <s v="CO2e and Base Measure"/>
    <n v="100"/>
    <n v="100"/>
    <n v="0.13"/>
    <m/>
    <m/>
    <m/>
    <m/>
    <m/>
    <n v="0.16520000000000001"/>
    <m/>
    <n v="0.16520000000000001"/>
    <m/>
    <m/>
    <m/>
    <m/>
    <m/>
    <s v="AUD"/>
    <s v="13639895Waste - General [t] - Scope 3"/>
    <n v="13639895"/>
  </r>
  <r>
    <d v="2019-07-01T00:00:00"/>
    <d v="2021-06-30T00:00:00"/>
    <s v="Telstra"/>
    <s v="NETWORK"/>
    <s v="Network - InfraCo"/>
    <s v="NSW"/>
    <s v="Australia"/>
    <s v="Darlington Point"/>
    <s v="HAY EXCHANGE"/>
    <n v="423030356000"/>
    <s v="Recycled Waste"/>
    <x v="0"/>
    <x v="1"/>
    <s v="Account"/>
    <s v="Remondis Electrical Comp. (E-Waste)"/>
    <m/>
    <s v="423030356000_RELECTRIC"/>
    <s v="ELECTRICAL COMP. E-WASTE"/>
    <s v="Remondis"/>
    <m/>
    <m/>
    <d v="2021-01-01T00:00:00"/>
    <d v="2020-12-01T00:00:00"/>
    <s v="FY21"/>
    <s v="t"/>
    <n v="0"/>
    <n v="0.1368"/>
    <n v="0"/>
    <n v="0.1368"/>
    <n v="0"/>
    <n v="1"/>
    <n v="0"/>
    <n v="1"/>
    <n v="0"/>
    <n v="100"/>
    <n v="0"/>
    <s v="Consolidation"/>
    <s v="CO2e and Base Measure"/>
    <n v="100"/>
    <n v="100"/>
    <n v="0.14000000000000001"/>
    <m/>
    <m/>
    <m/>
    <m/>
    <m/>
    <m/>
    <m/>
    <m/>
    <m/>
    <m/>
    <m/>
    <m/>
    <m/>
    <s v="AUD"/>
    <s v="13564696Waste Recycled - E-waste [t]"/>
    <n v="13564696"/>
  </r>
  <r>
    <d v="2019-07-01T00:00:00"/>
    <d v="2021-06-30T00:00:00"/>
    <s v="Telstra"/>
    <s v="NETWORK"/>
    <s v="Network - InfraCo"/>
    <s v="NSW"/>
    <s v="Australia"/>
    <s v="Darlington Point"/>
    <s v="HAY EXCHANGE"/>
    <n v="423030356000"/>
    <s v="Recycled Waste"/>
    <x v="0"/>
    <x v="1"/>
    <s v="Account"/>
    <s v="Remondis Electrical Comp. (E-Waste)"/>
    <m/>
    <s v="423030356000_RELECTRIC"/>
    <s v="ELECTRICAL COMP. E-WASTE"/>
    <s v="Remondis"/>
    <m/>
    <m/>
    <d v="2021-01-01T00:00:00"/>
    <d v="2021-01-01T00:00:00"/>
    <s v="FY21"/>
    <s v="t"/>
    <n v="0"/>
    <n v="0"/>
    <n v="4.5999999999999999E-3"/>
    <n v="4.5999999999999999E-3"/>
    <n v="0"/>
    <n v="0"/>
    <n v="1"/>
    <n v="1"/>
    <n v="0"/>
    <n v="0"/>
    <n v="100"/>
    <s v="Consolidation"/>
    <s v="CO2e and Base Measure"/>
    <n v="100"/>
    <n v="100"/>
    <n v="0"/>
    <m/>
    <m/>
    <m/>
    <m/>
    <m/>
    <m/>
    <m/>
    <m/>
    <m/>
    <m/>
    <m/>
    <m/>
    <m/>
    <s v="AUD"/>
    <s v="13564696Waste Recycled - E-waste [t]"/>
    <n v="13564696"/>
  </r>
  <r>
    <d v="2019-07-01T00:00:00"/>
    <d v="2021-06-30T00:00:00"/>
    <s v="Telstra"/>
    <s v="NETWORK"/>
    <s v="Network - InfraCo"/>
    <s v="NSW"/>
    <s v="Australia"/>
    <s v="Darlington Point"/>
    <s v="HAY EXCHANGE"/>
    <n v="423030356000"/>
    <s v="Waste"/>
    <x v="1"/>
    <x v="2"/>
    <s v="Account"/>
    <s v="Remondis General Waste"/>
    <m/>
    <s v="423030356000_WGENERALW"/>
    <s v="GENERAL WASTE"/>
    <s v="Remondis"/>
    <m/>
    <m/>
    <d v="2020-10-01T00:00:00"/>
    <d v="2020-09-01T00:00:00"/>
    <s v="FY21"/>
    <s v="t"/>
    <n v="0"/>
    <n v="9.7500000000000003E-2"/>
    <n v="0"/>
    <n v="9.7500000000000003E-2"/>
    <n v="0"/>
    <n v="1"/>
    <n v="0"/>
    <n v="1"/>
    <n v="0"/>
    <n v="100"/>
    <n v="0"/>
    <s v="Consolidation"/>
    <s v="CO2e and Base Measure"/>
    <n v="100"/>
    <n v="100"/>
    <n v="0.1"/>
    <m/>
    <m/>
    <m/>
    <m/>
    <m/>
    <n v="0.1268"/>
    <m/>
    <n v="0.1268"/>
    <m/>
    <m/>
    <m/>
    <m/>
    <m/>
    <s v="AUD"/>
    <s v="13564697Waste - General [t] - Scope 3"/>
    <n v="13564697"/>
  </r>
  <r>
    <d v="2019-07-01T00:00:00"/>
    <d v="2021-06-30T00:00:00"/>
    <s v="Telstra"/>
    <s v="NETWORK"/>
    <s v="Network - InfraCo"/>
    <s v="NSW"/>
    <s v="Australia"/>
    <s v="Darlington Point"/>
    <s v="HAY EXCHANGE"/>
    <n v="423030356000"/>
    <s v="Waste"/>
    <x v="1"/>
    <x v="2"/>
    <s v="Account"/>
    <s v="Remondis General Waste"/>
    <m/>
    <s v="423030356000_WGENERALW"/>
    <s v="GENERAL WASTE"/>
    <s v="Remondis"/>
    <m/>
    <m/>
    <d v="2020-10-01T00:00:00"/>
    <d v="2020-10-01T00:00:00"/>
    <s v="FY21"/>
    <s v="t"/>
    <n v="0"/>
    <n v="0"/>
    <n v="3.3999999999999998E-3"/>
    <n v="3.3999999999999998E-3"/>
    <n v="0"/>
    <n v="0"/>
    <n v="1"/>
    <n v="1"/>
    <n v="0"/>
    <n v="0"/>
    <n v="100"/>
    <s v="Consolidation"/>
    <s v="CO2e and Base Measure"/>
    <n v="100"/>
    <n v="100"/>
    <n v="0"/>
    <m/>
    <m/>
    <m/>
    <m/>
    <m/>
    <n v="4.4000000000000003E-3"/>
    <m/>
    <n v="4.4000000000000003E-3"/>
    <m/>
    <m/>
    <m/>
    <m/>
    <m/>
    <s v="AUD"/>
    <s v="13564697Waste - General [t] - Scope 3"/>
    <n v="13564697"/>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0-12-01T00:00:00"/>
    <s v="FY21"/>
    <s v="t"/>
    <n v="0.16"/>
    <n v="6.7500000000000004E-2"/>
    <n v="0"/>
    <n v="0.22750000000000001"/>
    <n v="1"/>
    <n v="1"/>
    <n v="0"/>
    <n v="2"/>
    <n v="70.319999999999993"/>
    <n v="29.67"/>
    <n v="0"/>
    <s v="Consolidation"/>
    <s v="CO2e and Base Measure"/>
    <n v="100"/>
    <n v="100"/>
    <n v="0.23"/>
    <m/>
    <m/>
    <m/>
    <m/>
    <m/>
    <n v="0.29580000000000001"/>
    <m/>
    <n v="0.29580000000000001"/>
    <m/>
    <m/>
    <m/>
    <m/>
    <m/>
    <s v="AUD"/>
    <s v="13634133Waste - General [t] - Scope 3"/>
    <n v="13634133"/>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33Waste - General [t] - Scope 3"/>
    <n v="13634133"/>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1-03-01T00:00:00"/>
    <s v="FY21"/>
    <s v="t"/>
    <n v="0"/>
    <n v="0"/>
    <n v="0.1023"/>
    <n v="0.1023"/>
    <n v="0"/>
    <n v="0"/>
    <n v="31"/>
    <n v="31"/>
    <n v="0"/>
    <n v="0"/>
    <n v="100"/>
    <s v="Consolidation"/>
    <s v="CO2e and Base Measure"/>
    <n v="100"/>
    <n v="100"/>
    <n v="0.1"/>
    <m/>
    <m/>
    <m/>
    <m/>
    <m/>
    <n v="0.13300000000000001"/>
    <m/>
    <n v="0.13300000000000001"/>
    <m/>
    <m/>
    <m/>
    <m/>
    <m/>
    <s v="AUD"/>
    <s v="13634133Waste - General [t] - Scope 3"/>
    <n v="13634133"/>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1-04-01T00:00:00"/>
    <s v="FY21"/>
    <s v="t"/>
    <n v="0"/>
    <n v="0"/>
    <n v="9.9000000000000005E-2"/>
    <n v="9.9000000000000005E-2"/>
    <n v="0"/>
    <n v="0"/>
    <n v="30"/>
    <n v="30"/>
    <n v="0"/>
    <n v="0"/>
    <n v="100"/>
    <s v="Consolidation"/>
    <s v="CO2e and Base Measure"/>
    <n v="100"/>
    <n v="100"/>
    <n v="0.1"/>
    <m/>
    <m/>
    <m/>
    <m/>
    <m/>
    <n v="0.12870000000000001"/>
    <m/>
    <n v="0.12870000000000001"/>
    <m/>
    <m/>
    <m/>
    <m/>
    <m/>
    <s v="AUD"/>
    <s v="13634133Waste - General [t] - Scope 3"/>
    <n v="13634133"/>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1-05-01T00:00:00"/>
    <s v="FY21"/>
    <s v="t"/>
    <n v="0"/>
    <n v="0"/>
    <n v="0.1023"/>
    <n v="0.1023"/>
    <n v="0"/>
    <n v="0"/>
    <n v="31"/>
    <n v="31"/>
    <n v="0"/>
    <n v="0"/>
    <n v="100"/>
    <s v="Consolidation"/>
    <s v="CO2e and Base Measure"/>
    <n v="100"/>
    <n v="100"/>
    <n v="0.1"/>
    <m/>
    <m/>
    <m/>
    <m/>
    <m/>
    <n v="0.13300000000000001"/>
    <m/>
    <n v="0.13300000000000001"/>
    <m/>
    <m/>
    <m/>
    <m/>
    <m/>
    <s v="AUD"/>
    <s v="13634133Waste - General [t] - Scope 3"/>
    <n v="13634133"/>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07-01T00:00:00"/>
    <s v="FY21"/>
    <s v="t"/>
    <n v="0"/>
    <n v="0.315"/>
    <n v="0"/>
    <n v="0.315"/>
    <n v="0"/>
    <n v="5"/>
    <n v="0"/>
    <n v="5"/>
    <n v="0"/>
    <n v="100"/>
    <n v="0"/>
    <s v="Consolidation"/>
    <s v="CO2e and Base Measure"/>
    <n v="100"/>
    <n v="100"/>
    <n v="0.32"/>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08-01T00:00:00"/>
    <s v="FY21"/>
    <s v="t"/>
    <n v="0"/>
    <n v="0.252"/>
    <n v="0"/>
    <n v="0.252"/>
    <n v="0"/>
    <n v="4"/>
    <n v="0"/>
    <n v="4"/>
    <n v="0"/>
    <n v="100"/>
    <n v="0"/>
    <s v="Consolidation"/>
    <s v="CO2e and Base Measure"/>
    <n v="100"/>
    <n v="100"/>
    <n v="0.25"/>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09-01T00:00:00"/>
    <s v="FY21"/>
    <s v="t"/>
    <n v="0"/>
    <n v="0.315"/>
    <n v="0"/>
    <n v="0.315"/>
    <n v="0"/>
    <n v="5"/>
    <n v="0"/>
    <n v="5"/>
    <n v="0"/>
    <n v="100"/>
    <n v="0"/>
    <s v="Consolidation"/>
    <s v="CO2e and Base Measure"/>
    <n v="100"/>
    <n v="100"/>
    <n v="0.32"/>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10-01T00:00:00"/>
    <s v="FY21"/>
    <s v="t"/>
    <n v="0"/>
    <n v="0.315"/>
    <n v="0"/>
    <n v="0.315"/>
    <n v="0"/>
    <n v="5"/>
    <n v="0"/>
    <n v="5"/>
    <n v="0"/>
    <n v="100"/>
    <n v="0"/>
    <s v="Consolidation"/>
    <s v="CO2e and Base Measure"/>
    <n v="100"/>
    <n v="100"/>
    <n v="0.32"/>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11-01T00:00:00"/>
    <s v="FY21"/>
    <s v="t"/>
    <n v="0"/>
    <n v="0.252"/>
    <n v="0"/>
    <n v="0.252"/>
    <n v="0"/>
    <n v="4"/>
    <n v="0"/>
    <n v="4"/>
    <n v="0"/>
    <n v="100"/>
    <n v="0"/>
    <s v="Consolidation"/>
    <s v="CO2e and Base Measure"/>
    <n v="100"/>
    <n v="100"/>
    <n v="0.25"/>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1-01-01T00:00:00"/>
    <s v="FY21"/>
    <s v="t"/>
    <n v="0"/>
    <n v="0"/>
    <n v="8.0000000000000002E-3"/>
    <n v="8.0000000000000002E-3"/>
    <n v="0"/>
    <n v="0"/>
    <n v="1"/>
    <n v="1"/>
    <n v="0"/>
    <n v="0"/>
    <n v="100"/>
    <s v="Consolidation"/>
    <s v="CO2e and Base Measure"/>
    <n v="100"/>
    <n v="100"/>
    <n v="0.01"/>
    <m/>
    <m/>
    <m/>
    <m/>
    <m/>
    <m/>
    <n v="0"/>
    <m/>
    <m/>
    <m/>
    <m/>
    <m/>
    <m/>
    <s v="AUD"/>
    <s v="13565245Waste Recycled - Cardboard [t]"/>
    <n v="13565245"/>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07-01T00:00:00"/>
    <s v="FY21"/>
    <s v="t"/>
    <n v="0"/>
    <n v="0.97499999999999998"/>
    <n v="0"/>
    <n v="0.97499999999999998"/>
    <n v="0"/>
    <n v="5"/>
    <n v="0"/>
    <n v="5"/>
    <n v="0"/>
    <n v="100"/>
    <n v="0"/>
    <s v="Consolidation"/>
    <s v="CO2e and Base Measure"/>
    <n v="100"/>
    <n v="100"/>
    <n v="0.98"/>
    <m/>
    <m/>
    <m/>
    <m/>
    <m/>
    <n v="1.2675000000000001"/>
    <m/>
    <n v="1.2675000000000001"/>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08-01T00:00:00"/>
    <s v="FY21"/>
    <s v="t"/>
    <n v="0"/>
    <n v="0.78"/>
    <n v="0"/>
    <n v="0.78"/>
    <n v="0"/>
    <n v="4"/>
    <n v="0"/>
    <n v="4"/>
    <n v="0"/>
    <n v="100"/>
    <n v="0"/>
    <s v="Consolidation"/>
    <s v="CO2e and Base Measure"/>
    <n v="100"/>
    <n v="100"/>
    <n v="0.78"/>
    <m/>
    <m/>
    <m/>
    <m/>
    <m/>
    <n v="1.014"/>
    <m/>
    <n v="1.014"/>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09-01T00:00:00"/>
    <s v="FY21"/>
    <s v="t"/>
    <n v="0"/>
    <n v="0.78"/>
    <n v="0"/>
    <n v="0.78"/>
    <n v="0"/>
    <n v="4"/>
    <n v="0"/>
    <n v="4"/>
    <n v="0"/>
    <n v="100"/>
    <n v="0"/>
    <s v="Consolidation"/>
    <s v="CO2e and Base Measure"/>
    <n v="100"/>
    <n v="100"/>
    <n v="0.78"/>
    <m/>
    <m/>
    <m/>
    <m/>
    <m/>
    <n v="1.014"/>
    <m/>
    <n v="1.014"/>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11-01T00:00:00"/>
    <s v="FY21"/>
    <s v="t"/>
    <n v="0"/>
    <n v="1.17"/>
    <n v="0"/>
    <n v="1.17"/>
    <n v="0"/>
    <n v="5"/>
    <n v="0"/>
    <n v="5"/>
    <n v="0"/>
    <n v="100"/>
    <n v="0"/>
    <s v="Consolidation"/>
    <s v="CO2e and Base Measure"/>
    <n v="100"/>
    <n v="100"/>
    <n v="1.17"/>
    <m/>
    <m/>
    <m/>
    <m/>
    <m/>
    <n v="1.5209999999999999"/>
    <m/>
    <n v="1.5209999999999999"/>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12-01T00:00:00"/>
    <s v="FY21"/>
    <s v="t"/>
    <n v="0"/>
    <n v="0"/>
    <n v="0.03"/>
    <n v="0.03"/>
    <n v="0"/>
    <n v="0"/>
    <n v="1"/>
    <n v="1"/>
    <n v="0"/>
    <n v="0"/>
    <n v="100"/>
    <s v="Consolidation"/>
    <s v="CO2e and Base Measure"/>
    <n v="100"/>
    <n v="100"/>
    <n v="0.03"/>
    <m/>
    <m/>
    <m/>
    <m/>
    <m/>
    <n v="3.9E-2"/>
    <m/>
    <n v="3.9E-2"/>
    <m/>
    <m/>
    <m/>
    <m/>
    <m/>
    <s v="AUD"/>
    <s v="13565246Waste - General [t] - Scope 3"/>
    <n v="13565246"/>
  </r>
  <r>
    <d v="2019-07-01T00:00:00"/>
    <d v="2021-06-30T00:00:00"/>
    <s v="Telstra"/>
    <s v="NETWORK"/>
    <s v="Network - Telstra"/>
    <s v="NSW"/>
    <s v="Australia"/>
    <s v="Haymarket"/>
    <s v="HAYMARKET CENTRAL"/>
    <n v="423030781000"/>
    <s v="Recycled Waste"/>
    <x v="0"/>
    <x v="5"/>
    <s v="Account"/>
    <s v="Remondis Metal - Mixed All"/>
    <m/>
    <s v="423030781000_RMETMIXED"/>
    <s v="METAL - MIXED ALL"/>
    <s v="Remondis"/>
    <m/>
    <m/>
    <d v="2021-01-01T00:00:00"/>
    <d v="2020-09-01T00:00:00"/>
    <s v="FY21"/>
    <s v="t"/>
    <n v="0.32400000000000001"/>
    <n v="0"/>
    <n v="0"/>
    <n v="0.32400000000000001"/>
    <n v="1"/>
    <n v="0"/>
    <n v="0"/>
    <n v="1"/>
    <n v="100"/>
    <n v="0"/>
    <n v="0"/>
    <s v="Consolidation"/>
    <s v="CO2e and Base Measure"/>
    <n v="100"/>
    <n v="100"/>
    <n v="0.32"/>
    <m/>
    <m/>
    <m/>
    <m/>
    <m/>
    <m/>
    <m/>
    <m/>
    <m/>
    <m/>
    <m/>
    <m/>
    <m/>
    <s v="AUD"/>
    <s v="13565247Waste Recycled - Construction and Demolition [t]"/>
    <n v="13565247"/>
  </r>
  <r>
    <d v="2019-07-01T00:00:00"/>
    <d v="2021-06-30T00:00:00"/>
    <s v="Telstra"/>
    <s v="NETWORK"/>
    <s v="Network - Telstra"/>
    <s v="NSW"/>
    <s v="Australia"/>
    <s v="Haymarket"/>
    <s v="HAYMARKET CENTRAL"/>
    <n v="423030781000"/>
    <s v="Recycled Waste"/>
    <x v="0"/>
    <x v="5"/>
    <s v="Account"/>
    <s v="Remondis Metal - Mixed All"/>
    <m/>
    <s v="423030781000_RMETMIXED"/>
    <s v="METAL - MIXED ALL"/>
    <s v="Remondis"/>
    <m/>
    <m/>
    <d v="2021-01-01T00:00:00"/>
    <d v="2020-12-01T00:00:00"/>
    <s v="FY21"/>
    <s v="t"/>
    <n v="0.186"/>
    <n v="0"/>
    <n v="0"/>
    <n v="0.186"/>
    <n v="1"/>
    <n v="0"/>
    <n v="0"/>
    <n v="1"/>
    <n v="100"/>
    <n v="0"/>
    <n v="0"/>
    <s v="Consolidation"/>
    <s v="CO2e and Base Measure"/>
    <n v="100"/>
    <n v="100"/>
    <n v="0.19"/>
    <m/>
    <m/>
    <m/>
    <m/>
    <m/>
    <m/>
    <m/>
    <m/>
    <m/>
    <m/>
    <m/>
    <m/>
    <m/>
    <s v="AUD"/>
    <s v="13565247Waste Recycled - Construction and Demolition [t]"/>
    <n v="13565247"/>
  </r>
  <r>
    <d v="2019-07-01T00:00:00"/>
    <d v="2021-06-30T00:00:00"/>
    <s v="Telstra"/>
    <s v="NETWORK"/>
    <s v="Network - Telstra"/>
    <s v="NSW"/>
    <s v="Australia"/>
    <s v="Haymarket"/>
    <s v="HAYMARKET CENTRAL"/>
    <n v="423030781000"/>
    <s v="Recycled Waste"/>
    <x v="0"/>
    <x v="5"/>
    <s v="Account"/>
    <s v="Remondis Metal - Mixed All"/>
    <m/>
    <s v="423030781000_RMETMIXED"/>
    <s v="METAL - MIXED ALL"/>
    <s v="Remondis"/>
    <m/>
    <m/>
    <d v="2021-01-01T00:00:00"/>
    <d v="2021-01-01T00:00:00"/>
    <s v="FY21"/>
    <s v="t"/>
    <n v="0"/>
    <n v="0"/>
    <n v="4.8999999999999998E-3"/>
    <n v="4.8999999999999998E-3"/>
    <n v="0"/>
    <n v="0"/>
    <n v="1"/>
    <n v="1"/>
    <n v="0"/>
    <n v="0"/>
    <n v="100"/>
    <s v="Consolidation"/>
    <s v="CO2e and Base Measure"/>
    <n v="100"/>
    <n v="100"/>
    <n v="0"/>
    <m/>
    <m/>
    <m/>
    <m/>
    <m/>
    <m/>
    <m/>
    <m/>
    <m/>
    <m/>
    <m/>
    <m/>
    <m/>
    <s v="AUD"/>
    <s v="13565247Waste Recycled - Construction and Demolition [t]"/>
    <n v="13565247"/>
  </r>
  <r>
    <d v="2019-07-01T00:00:00"/>
    <d v="2021-06-30T00:00:00"/>
    <s v="Telstra"/>
    <s v="NETWORK"/>
    <s v="Network - Telstra"/>
    <s v="NSW"/>
    <s v="Australia"/>
    <s v="Haymarket"/>
    <s v="HAYMARKET CENTRAL"/>
    <n v="423030781000"/>
    <s v="Recycled Waste"/>
    <x v="0"/>
    <x v="5"/>
    <s v="Account"/>
    <s v="Remondis Concrete - Recycled"/>
    <m/>
    <s v="423030781000_RCONCRETR"/>
    <s v="CONCRETE - RECYCLED"/>
    <s v="Remondis"/>
    <m/>
    <m/>
    <d v="2021-01-01T00:00:00"/>
    <d v="2020-12-01T00:00:00"/>
    <s v="FY21"/>
    <s v="t"/>
    <n v="4.72"/>
    <n v="0"/>
    <n v="0"/>
    <n v="4.72"/>
    <n v="1"/>
    <n v="0"/>
    <n v="0"/>
    <n v="1"/>
    <n v="100"/>
    <n v="0"/>
    <n v="0"/>
    <s v="Consolidation"/>
    <s v="CO2e and Base Measure"/>
    <n v="100"/>
    <n v="100"/>
    <n v="4.72"/>
    <m/>
    <m/>
    <m/>
    <m/>
    <m/>
    <m/>
    <m/>
    <m/>
    <m/>
    <m/>
    <m/>
    <m/>
    <m/>
    <s v="AUD"/>
    <s v="13576246Waste Recycled - Construction and Demolition [t]"/>
    <n v="13576246"/>
  </r>
  <r>
    <d v="2019-07-01T00:00:00"/>
    <d v="2021-06-30T00:00:00"/>
    <s v="Telstra"/>
    <s v="NETWORK"/>
    <s v="Network - Telstra"/>
    <s v="NSW"/>
    <s v="Australia"/>
    <s v="Haymarket"/>
    <s v="HAYMARKET CENTRAL"/>
    <n v="423030781000"/>
    <s v="Recycled Waste"/>
    <x v="0"/>
    <x v="5"/>
    <s v="Account"/>
    <s v="Remondis Concrete - Recycled"/>
    <m/>
    <s v="423030781000_RCONCRETR"/>
    <s v="CONCRETE - RECYCLED"/>
    <s v="Remondis"/>
    <m/>
    <m/>
    <d v="2021-01-01T00:00:00"/>
    <d v="2021-01-01T00:00:00"/>
    <s v="FY21"/>
    <s v="t"/>
    <n v="0"/>
    <n v="0"/>
    <n v="0.1573"/>
    <n v="0.1573"/>
    <n v="0"/>
    <n v="0"/>
    <n v="1"/>
    <n v="1"/>
    <n v="0"/>
    <n v="0"/>
    <n v="100"/>
    <s v="Consolidation"/>
    <s v="CO2e and Base Measure"/>
    <n v="100"/>
    <n v="100"/>
    <n v="0.16"/>
    <m/>
    <m/>
    <m/>
    <m/>
    <m/>
    <m/>
    <m/>
    <m/>
    <m/>
    <m/>
    <m/>
    <m/>
    <m/>
    <s v="AUD"/>
    <s v="13576246Waste Recycled - Construction and Demolition [t]"/>
    <n v="13576246"/>
  </r>
  <r>
    <d v="2019-07-01T00:00:00"/>
    <d v="2021-06-30T00:00:00"/>
    <s v="Telstra"/>
    <s v="NETWORK"/>
    <s v="Network - InfraCo"/>
    <s v="NSW"/>
    <s v="Australia"/>
    <s v="Haymarket"/>
    <s v="HAYMARKET EXCHANGE"/>
    <n v="423030304100"/>
    <s v="Recycled Waste"/>
    <x v="0"/>
    <x v="0"/>
    <s v="Account"/>
    <s v="Remondis Cardboard - Loose - Recycled"/>
    <m/>
    <s v="423030304100_RCARDBOAR"/>
    <s v="CARDBOARD - LOOSE - RECYCLED"/>
    <s v="Remondis"/>
    <m/>
    <m/>
    <d v="2021-01-01T00:00:00"/>
    <d v="2020-10-01T00:00:00"/>
    <s v="FY21"/>
    <s v="t"/>
    <n v="0"/>
    <n v="0.11650000000000001"/>
    <n v="0"/>
    <n v="0.11650000000000001"/>
    <n v="0"/>
    <n v="5"/>
    <n v="0"/>
    <n v="5"/>
    <n v="0"/>
    <n v="100"/>
    <n v="0"/>
    <s v="Consolidation"/>
    <s v="CO2e and Base Measure"/>
    <n v="100"/>
    <n v="100"/>
    <n v="0.12"/>
    <m/>
    <m/>
    <m/>
    <m/>
    <m/>
    <m/>
    <n v="0"/>
    <m/>
    <m/>
    <m/>
    <m/>
    <m/>
    <m/>
    <s v="AUD"/>
    <s v="13564463Waste Recycled - Cardboard [t]"/>
    <n v="13564463"/>
  </r>
  <r>
    <d v="2019-07-01T00:00:00"/>
    <d v="2021-06-30T00:00:00"/>
    <s v="Telstra"/>
    <s v="NETWORK"/>
    <s v="Network - InfraCo"/>
    <s v="NSW"/>
    <s v="Australia"/>
    <s v="Haymarket"/>
    <s v="HAYMARKET EXCHANGE"/>
    <n v="423030304100"/>
    <s v="Recycled Waste"/>
    <x v="0"/>
    <x v="0"/>
    <s v="Account"/>
    <s v="Remondis Cardboard - Loose - Recycled"/>
    <m/>
    <s v="423030304100_RCARDBOAR"/>
    <s v="CARDBOARD - LOOSE - RECYCLED"/>
    <s v="Remondis"/>
    <m/>
    <m/>
    <d v="2021-01-01T00:00:00"/>
    <d v="2020-11-01T00:00:00"/>
    <s v="FY21"/>
    <s v="t"/>
    <n v="0"/>
    <n v="0.11650000000000001"/>
    <n v="0"/>
    <n v="0.11650000000000001"/>
    <n v="0"/>
    <n v="5"/>
    <n v="0"/>
    <n v="5"/>
    <n v="0"/>
    <n v="100"/>
    <n v="0"/>
    <s v="Consolidation"/>
    <s v="CO2e and Base Measure"/>
    <n v="100"/>
    <n v="100"/>
    <n v="0.12"/>
    <m/>
    <m/>
    <m/>
    <m/>
    <m/>
    <m/>
    <n v="0"/>
    <m/>
    <m/>
    <m/>
    <m/>
    <m/>
    <m/>
    <s v="AUD"/>
    <s v="13564463Waste Recycled - Cardboard [t]"/>
    <n v="13564463"/>
  </r>
  <r>
    <d v="2019-07-01T00:00:00"/>
    <d v="2021-06-30T00:00:00"/>
    <s v="Telstra"/>
    <s v="NETWORK"/>
    <s v="Network - InfraCo"/>
    <s v="NSW"/>
    <s v="Australia"/>
    <s v="Haymarket"/>
    <s v="HAYMARKET EXCHANGE"/>
    <n v="423030304100"/>
    <s v="Recycled Waste"/>
    <x v="0"/>
    <x v="0"/>
    <s v="Account"/>
    <s v="Remondis Cardboard - Loose - Recycled"/>
    <m/>
    <s v="4230303041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463Waste Recycled - Cardboard [t]"/>
    <n v="13564463"/>
  </r>
  <r>
    <d v="2019-07-01T00:00:00"/>
    <d v="2021-06-30T00:00:00"/>
    <s v="Telstra"/>
    <s v="NETWORK"/>
    <s v="Network - InfraCo"/>
    <s v="NSW"/>
    <s v="Australia"/>
    <s v="Haymarket"/>
    <s v="HAYMARKET EXCHANGE"/>
    <n v="423030304100"/>
    <s v="Recycled Waste"/>
    <x v="0"/>
    <x v="0"/>
    <s v="Account"/>
    <s v="Remondis Cardboard - Loose - Recycled"/>
    <m/>
    <s v="423030304100_RCARDBOAR"/>
    <s v="CARDBOARD - LOOSE - RECYCLED"/>
    <s v="Remondis"/>
    <m/>
    <m/>
    <d v="2021-01-01T00:00:00"/>
    <d v="2021-01-01T00:00:00"/>
    <s v="FY21"/>
    <s v="t"/>
    <n v="0"/>
    <n v="0"/>
    <n v="2.8E-3"/>
    <n v="2.8E-3"/>
    <n v="0"/>
    <n v="0"/>
    <n v="1"/>
    <n v="1"/>
    <n v="0"/>
    <n v="0"/>
    <n v="100"/>
    <s v="Consolidation"/>
    <s v="CO2e and Base Measure"/>
    <n v="100"/>
    <n v="100"/>
    <n v="0"/>
    <m/>
    <m/>
    <m/>
    <m/>
    <m/>
    <m/>
    <n v="0"/>
    <m/>
    <m/>
    <m/>
    <m/>
    <m/>
    <m/>
    <s v="AUD"/>
    <s v="13564463Waste Recycled - Cardboard [t]"/>
    <n v="13564463"/>
  </r>
  <r>
    <d v="2019-07-01T00:00:00"/>
    <d v="2021-06-30T00:00:00"/>
    <s v="Telstra"/>
    <s v="NETWORK"/>
    <s v="Network - InfraCo"/>
    <s v="NSW"/>
    <s v="Australia"/>
    <s v="Haymarket"/>
    <s v="HAYMARKET EXCHANGE"/>
    <n v="423030304100"/>
    <s v="Recycled Waste"/>
    <x v="0"/>
    <x v="1"/>
    <s v="Account"/>
    <s v="Remondis Electrical Comp. (E-Waste)"/>
    <m/>
    <s v="4230303041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4464Waste Recycled - E-waste [t]"/>
    <n v="13564464"/>
  </r>
  <r>
    <d v="2019-07-01T00:00:00"/>
    <d v="2021-06-30T00:00:00"/>
    <s v="Telstra"/>
    <s v="NETWORK"/>
    <s v="Network - InfraCo"/>
    <s v="NSW"/>
    <s v="Australia"/>
    <s v="Haymarket"/>
    <s v="HAYMARKET EXCHANGE"/>
    <n v="423030304100"/>
    <s v="Recycled Waste"/>
    <x v="0"/>
    <x v="1"/>
    <s v="Account"/>
    <s v="Remondis Electrical Comp. (E-Waste)"/>
    <m/>
    <s v="4230303041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64464Waste Recycled - E-waste [t]"/>
    <n v="13564464"/>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07-01T00:00:00"/>
    <s v="FY21"/>
    <s v="t"/>
    <n v="0.51100000000000001"/>
    <n v="7.22E-2"/>
    <n v="0"/>
    <n v="0.58320000000000005"/>
    <n v="13"/>
    <n v="1"/>
    <n v="0"/>
    <n v="14"/>
    <n v="87.62"/>
    <n v="12.37"/>
    <n v="0"/>
    <s v="Consolidation"/>
    <s v="CO2e and Base Measure"/>
    <n v="100"/>
    <n v="100"/>
    <n v="0.57999999999999996"/>
    <m/>
    <m/>
    <m/>
    <m/>
    <m/>
    <n v="0.75819999999999999"/>
    <m/>
    <n v="0.75819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08-01T00:00:00"/>
    <s v="FY21"/>
    <s v="t"/>
    <n v="0.8"/>
    <n v="7.22E-2"/>
    <n v="0"/>
    <n v="0.87219999999999998"/>
    <n v="12"/>
    <n v="1"/>
    <n v="0"/>
    <n v="13"/>
    <n v="91.72"/>
    <n v="8.27"/>
    <n v="0"/>
    <s v="Consolidation"/>
    <s v="CO2e and Base Measure"/>
    <n v="100"/>
    <n v="100"/>
    <n v="0.87"/>
    <m/>
    <m/>
    <m/>
    <m/>
    <m/>
    <n v="1.1338999999999999"/>
    <m/>
    <n v="1.1338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09-01T00:00:00"/>
    <s v="FY21"/>
    <s v="t"/>
    <n v="0.22800000000000001"/>
    <n v="0.14430000000000001"/>
    <n v="0"/>
    <n v="0.37230000000000002"/>
    <n v="7"/>
    <n v="1"/>
    <n v="0"/>
    <n v="8"/>
    <n v="61.24"/>
    <n v="38.75"/>
    <n v="0"/>
    <s v="Consolidation"/>
    <s v="CO2e and Base Measure"/>
    <n v="100"/>
    <n v="100"/>
    <n v="0.37"/>
    <m/>
    <m/>
    <m/>
    <m/>
    <m/>
    <n v="0.48399999999999999"/>
    <m/>
    <n v="0.48399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10-01T00:00:00"/>
    <s v="FY21"/>
    <s v="t"/>
    <n v="0.38200000000000001"/>
    <n v="0"/>
    <n v="0"/>
    <n v="0.38200000000000001"/>
    <n v="14"/>
    <n v="0"/>
    <n v="0"/>
    <n v="14"/>
    <n v="100"/>
    <n v="0"/>
    <n v="0"/>
    <s v="Consolidation"/>
    <s v="CO2e and Base Measure"/>
    <n v="100"/>
    <n v="100"/>
    <n v="0.38"/>
    <m/>
    <m/>
    <m/>
    <m/>
    <m/>
    <n v="0.49659999999999999"/>
    <m/>
    <n v="0.49659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11-01T00:00:00"/>
    <s v="FY21"/>
    <s v="t"/>
    <n v="2.6920000000000002"/>
    <n v="7.22E-2"/>
    <n v="0"/>
    <n v="2.7642000000000002"/>
    <n v="19"/>
    <n v="1"/>
    <n v="0"/>
    <n v="20"/>
    <n v="97.38"/>
    <n v="2.61"/>
    <n v="0"/>
    <s v="Consolidation"/>
    <s v="CO2e and Base Measure"/>
    <n v="100"/>
    <n v="100"/>
    <n v="2.76"/>
    <m/>
    <m/>
    <m/>
    <m/>
    <m/>
    <n v="3.5935000000000001"/>
    <m/>
    <n v="3.5935000000000001"/>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12-01T00:00:00"/>
    <s v="FY21"/>
    <s v="t"/>
    <n v="4.0000000000000001E-3"/>
    <n v="0.1444"/>
    <n v="0"/>
    <n v="0.1484"/>
    <n v="1"/>
    <n v="2"/>
    <n v="0"/>
    <n v="3"/>
    <n v="2.69"/>
    <n v="97.3"/>
    <n v="0"/>
    <s v="Consolidation"/>
    <s v="CO2e and Base Measure"/>
    <n v="100"/>
    <n v="100"/>
    <n v="0.15"/>
    <m/>
    <m/>
    <m/>
    <m/>
    <m/>
    <n v="0.19289999999999999"/>
    <m/>
    <n v="0.19289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1-01-01T00:00:00"/>
    <s v="FY21"/>
    <s v="t"/>
    <n v="0"/>
    <n v="7.22E-2"/>
    <n v="0"/>
    <n v="7.22E-2"/>
    <n v="0"/>
    <n v="1"/>
    <n v="0"/>
    <n v="1"/>
    <n v="0"/>
    <n v="100"/>
    <n v="0"/>
    <s v="Consolidation"/>
    <s v="CO2e and Base Measure"/>
    <n v="100"/>
    <n v="100"/>
    <n v="7.0000000000000007E-2"/>
    <m/>
    <m/>
    <m/>
    <m/>
    <m/>
    <n v="9.3899999999999997E-2"/>
    <m/>
    <n v="9.3899999999999997E-2"/>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1-02-01T00:00:00"/>
    <s v="FY21"/>
    <s v="t"/>
    <n v="0"/>
    <n v="0"/>
    <n v="2.4500000000000001E-2"/>
    <n v="2.4500000000000001E-2"/>
    <n v="0"/>
    <n v="0"/>
    <n v="1"/>
    <n v="1"/>
    <n v="0"/>
    <n v="0"/>
    <n v="100"/>
    <s v="Consolidation"/>
    <s v="CO2e and Base Measure"/>
    <n v="100"/>
    <n v="100"/>
    <n v="0.02"/>
    <m/>
    <m/>
    <m/>
    <m/>
    <m/>
    <n v="3.1899999999999998E-2"/>
    <m/>
    <n v="3.1899999999999998E-2"/>
    <m/>
    <m/>
    <m/>
    <m/>
    <m/>
    <s v="AUD"/>
    <s v="13564466Waste - General [t] - Scope 3"/>
    <n v="1356446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07-01T00:00:00"/>
    <s v="FY21"/>
    <s v="t"/>
    <n v="2.7E-2"/>
    <n v="0"/>
    <n v="0"/>
    <n v="2.7E-2"/>
    <n v="1"/>
    <n v="0"/>
    <n v="0"/>
    <n v="1"/>
    <n v="100"/>
    <n v="0"/>
    <n v="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09-01T00:00:00"/>
    <s v="FY21"/>
    <s v="t"/>
    <n v="0"/>
    <n v="0"/>
    <n v="2.7E-2"/>
    <n v="2.7E-2"/>
    <n v="0"/>
    <n v="0"/>
    <n v="30"/>
    <n v="30"/>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11-01T00:00:00"/>
    <s v="FY21"/>
    <s v="t"/>
    <n v="0"/>
    <n v="0"/>
    <n v="2.7E-2"/>
    <n v="2.7E-2"/>
    <n v="0"/>
    <n v="0"/>
    <n v="30"/>
    <n v="30"/>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2-01T00:00:00"/>
    <s v="FY21"/>
    <s v="t"/>
    <n v="0"/>
    <n v="0"/>
    <n v="2.52E-2"/>
    <n v="2.52E-2"/>
    <n v="0"/>
    <n v="0"/>
    <n v="28"/>
    <n v="28"/>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4-01T00:00:00"/>
    <s v="FY21"/>
    <s v="t"/>
    <n v="0"/>
    <n v="0"/>
    <n v="2.7E-2"/>
    <n v="2.7E-2"/>
    <n v="0"/>
    <n v="0"/>
    <n v="30"/>
    <n v="30"/>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VIC"/>
    <s v="Australia"/>
    <s v="Healesville"/>
    <s v="HEALESVILLE EXCHANGE"/>
    <n v="423030586100"/>
    <s v="Recycled Waste"/>
    <x v="0"/>
    <x v="0"/>
    <s v="Account"/>
    <s v="Remondis Cardboard - Loose - Recycled"/>
    <m/>
    <s v="423030586100_RCARDBOAR"/>
    <s v="CARDBOARD - LOOSE - RECYCLED"/>
    <s v="Remondis"/>
    <m/>
    <m/>
    <d v="2020-11-01T00:00:00"/>
    <d v="2020-09-01T00:00:00"/>
    <s v="FY21"/>
    <s v="t"/>
    <n v="0"/>
    <n v="6.3E-2"/>
    <n v="0"/>
    <n v="6.3E-2"/>
    <n v="0"/>
    <n v="1"/>
    <n v="0"/>
    <n v="1"/>
    <n v="0"/>
    <n v="100"/>
    <n v="0"/>
    <s v="Consolidation"/>
    <s v="CO2e and Base Measure"/>
    <n v="100"/>
    <n v="100"/>
    <n v="0.06"/>
    <m/>
    <m/>
    <m/>
    <m/>
    <m/>
    <m/>
    <n v="0"/>
    <m/>
    <m/>
    <m/>
    <m/>
    <m/>
    <m/>
    <s v="AUD"/>
    <s v="13564918Waste Recycled - Cardboard [t]"/>
    <n v="13564918"/>
  </r>
  <r>
    <d v="2019-07-01T00:00:00"/>
    <d v="2021-06-30T00:00:00"/>
    <s v="Telstra"/>
    <s v="NETWORK"/>
    <s v="Network - InfraCo"/>
    <s v="VIC"/>
    <s v="Australia"/>
    <s v="Healesville"/>
    <s v="HEALESVILLE EXCHANGE"/>
    <n v="423030586100"/>
    <s v="Recycled Waste"/>
    <x v="0"/>
    <x v="0"/>
    <s v="Account"/>
    <s v="Remondis Cardboard - Loose - Recycled"/>
    <m/>
    <s v="423030586100_RCARDBOAR"/>
    <s v="CARDBOARD - LOOSE - RECYCLED"/>
    <s v="Remondis"/>
    <m/>
    <m/>
    <d v="2020-11-01T00:00:00"/>
    <d v="2020-10-01T00:00:00"/>
    <s v="FY21"/>
    <s v="t"/>
    <n v="0"/>
    <n v="6.3E-2"/>
    <n v="0"/>
    <n v="6.3E-2"/>
    <n v="0"/>
    <n v="1"/>
    <n v="0"/>
    <n v="1"/>
    <n v="0"/>
    <n v="100"/>
    <n v="0"/>
    <s v="Consolidation"/>
    <s v="CO2e and Base Measure"/>
    <n v="100"/>
    <n v="100"/>
    <n v="0.06"/>
    <m/>
    <m/>
    <m/>
    <m/>
    <m/>
    <m/>
    <n v="0"/>
    <m/>
    <m/>
    <m/>
    <m/>
    <m/>
    <m/>
    <s v="AUD"/>
    <s v="13564918Waste Recycled - Cardboard [t]"/>
    <n v="13564918"/>
  </r>
  <r>
    <d v="2019-07-01T00:00:00"/>
    <d v="2021-06-30T00:00:00"/>
    <s v="Telstra"/>
    <s v="NETWORK"/>
    <s v="Network - InfraCo"/>
    <s v="VIC"/>
    <s v="Australia"/>
    <s v="Healesville"/>
    <s v="HEALESVILLE EXCHANGE"/>
    <n v="423030586100"/>
    <s v="Recycled Waste"/>
    <x v="0"/>
    <x v="0"/>
    <s v="Account"/>
    <s v="Remondis Cardboard - Loose - Recycled"/>
    <m/>
    <s v="423030586100_RCARDBOAR"/>
    <s v="CARDBOARD - LOOSE - RECYCLED"/>
    <s v="Remondis"/>
    <m/>
    <m/>
    <d v="2020-11-01T00:00:00"/>
    <d v="2020-11-01T00:00:00"/>
    <s v="FY21"/>
    <s v="t"/>
    <n v="0"/>
    <n v="0"/>
    <n v="1.1999999999999999E-3"/>
    <n v="1.1999999999999999E-3"/>
    <n v="0"/>
    <n v="0"/>
    <n v="1"/>
    <n v="1"/>
    <n v="0"/>
    <n v="0"/>
    <n v="100"/>
    <s v="Consolidation"/>
    <s v="CO2e and Base Measure"/>
    <n v="100"/>
    <n v="100"/>
    <n v="0"/>
    <m/>
    <m/>
    <m/>
    <m/>
    <m/>
    <m/>
    <n v="0"/>
    <m/>
    <m/>
    <m/>
    <m/>
    <m/>
    <m/>
    <s v="AUD"/>
    <s v="13564918Waste Recycled - Cardboard [t]"/>
    <n v="13564918"/>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12-01T00:00:00"/>
    <s v="FY21"/>
    <s v="t"/>
    <n v="0"/>
    <n v="0"/>
    <n v="1.29E-2"/>
    <n v="1.29E-2"/>
    <n v="0"/>
    <n v="0"/>
    <n v="1"/>
    <n v="1"/>
    <n v="0"/>
    <n v="0"/>
    <n v="100"/>
    <s v="Consolidation"/>
    <s v="CO2e and Base Measure"/>
    <n v="100"/>
    <n v="100"/>
    <n v="0.01"/>
    <m/>
    <m/>
    <m/>
    <m/>
    <m/>
    <n v="1.6799999999999999E-2"/>
    <m/>
    <n v="1.6799999999999999E-2"/>
    <m/>
    <m/>
    <m/>
    <m/>
    <m/>
    <s v="AUD"/>
    <s v="13564919Waste - General [t] - Scope 3"/>
    <n v="13564919"/>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0-12-01T00:00:00"/>
    <s v="FY21"/>
    <s v="t"/>
    <n v="5.0000000000000001E-3"/>
    <n v="0"/>
    <n v="0"/>
    <n v="5.0000000000000001E-3"/>
    <n v="1"/>
    <n v="0"/>
    <n v="0"/>
    <n v="1"/>
    <n v="100"/>
    <n v="0"/>
    <n v="0"/>
    <s v="Consolidation"/>
    <s v="CO2e and Base Measure"/>
    <n v="100"/>
    <n v="100"/>
    <n v="0.01"/>
    <m/>
    <m/>
    <m/>
    <m/>
    <m/>
    <n v="6.0000000000000001E-3"/>
    <m/>
    <n v="6.0000000000000001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1-01T00:00:00"/>
    <s v="FY21"/>
    <s v="t"/>
    <n v="0"/>
    <n v="0"/>
    <n v="6.1999999999999998E-3"/>
    <n v="6.1999999999999998E-3"/>
    <n v="0"/>
    <n v="0"/>
    <n v="31"/>
    <n v="31"/>
    <n v="0"/>
    <n v="0"/>
    <n v="100"/>
    <s v="Consolidation"/>
    <s v="CO2e and Base Measure"/>
    <n v="100"/>
    <n v="100"/>
    <n v="0.01"/>
    <m/>
    <m/>
    <m/>
    <m/>
    <m/>
    <n v="7.4000000000000003E-3"/>
    <m/>
    <n v="7.4000000000000003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2-01T00:00:00"/>
    <s v="FY21"/>
    <s v="t"/>
    <n v="0"/>
    <n v="0"/>
    <n v="5.5999999999999999E-3"/>
    <n v="5.5999999999999999E-3"/>
    <n v="0"/>
    <n v="0"/>
    <n v="28"/>
    <n v="28"/>
    <n v="0"/>
    <n v="0"/>
    <n v="100"/>
    <s v="Consolidation"/>
    <s v="CO2e and Base Measure"/>
    <n v="100"/>
    <n v="100"/>
    <n v="0.01"/>
    <m/>
    <m/>
    <m/>
    <m/>
    <m/>
    <n v="6.7000000000000002E-3"/>
    <m/>
    <n v="6.7000000000000002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3-01T00:00:00"/>
    <s v="FY21"/>
    <s v="t"/>
    <n v="0"/>
    <n v="0"/>
    <n v="6.1999999999999998E-3"/>
    <n v="6.1999999999999998E-3"/>
    <n v="0"/>
    <n v="0"/>
    <n v="31"/>
    <n v="31"/>
    <n v="0"/>
    <n v="0"/>
    <n v="100"/>
    <s v="Consolidation"/>
    <s v="CO2e and Base Measure"/>
    <n v="100"/>
    <n v="100"/>
    <n v="0.01"/>
    <m/>
    <m/>
    <m/>
    <m/>
    <m/>
    <n v="7.4000000000000003E-3"/>
    <m/>
    <n v="7.4000000000000003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4-01T00:00:00"/>
    <s v="FY21"/>
    <s v="t"/>
    <n v="0"/>
    <n v="0"/>
    <n v="6.0000000000000001E-3"/>
    <n v="6.0000000000000001E-3"/>
    <n v="0"/>
    <n v="0"/>
    <n v="30"/>
    <n v="30"/>
    <n v="0"/>
    <n v="0"/>
    <n v="100"/>
    <s v="Consolidation"/>
    <s v="CO2e and Base Measure"/>
    <n v="100"/>
    <n v="100"/>
    <n v="0.01"/>
    <m/>
    <m/>
    <m/>
    <m/>
    <m/>
    <n v="7.1999999999999998E-3"/>
    <m/>
    <n v="7.1999999999999998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5-01T00:00:00"/>
    <s v="FY21"/>
    <s v="t"/>
    <n v="0"/>
    <n v="0"/>
    <n v="6.1999999999999998E-3"/>
    <n v="6.1999999999999998E-3"/>
    <n v="0"/>
    <n v="0"/>
    <n v="31"/>
    <n v="31"/>
    <n v="0"/>
    <n v="0"/>
    <n v="100"/>
    <s v="Consolidation"/>
    <s v="CO2e and Base Measure"/>
    <n v="100"/>
    <n v="100"/>
    <n v="0.01"/>
    <m/>
    <m/>
    <m/>
    <m/>
    <m/>
    <n v="7.4000000000000003E-3"/>
    <m/>
    <n v="7.4000000000000003E-3"/>
    <m/>
    <m/>
    <m/>
    <m/>
    <m/>
    <s v="AUD"/>
    <s v="13633420Hazardous Waste [t]"/>
    <n v="13633420"/>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0-11-01T00:00:00"/>
    <s v="FY21"/>
    <s v="t"/>
    <n v="4.1000000000000002E-2"/>
    <n v="7.4999999999999997E-2"/>
    <n v="0"/>
    <n v="0.11600000000000001"/>
    <n v="1"/>
    <n v="1"/>
    <n v="0"/>
    <n v="2"/>
    <n v="35.340000000000003"/>
    <n v="64.650000000000006"/>
    <n v="0"/>
    <s v="Consolidation"/>
    <s v="CO2e and Base Measure"/>
    <n v="100"/>
    <n v="100"/>
    <n v="0.12"/>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1-01T00:00:00"/>
    <s v="FY21"/>
    <s v="t"/>
    <n v="3.7999999999999999E-2"/>
    <n v="0"/>
    <n v="0"/>
    <n v="3.7999999999999999E-2"/>
    <n v="1"/>
    <n v="0"/>
    <n v="0"/>
    <n v="1"/>
    <n v="100"/>
    <n v="0"/>
    <n v="0"/>
    <s v="Consolidation"/>
    <s v="CO2e and Base Measure"/>
    <n v="100"/>
    <n v="100"/>
    <n v="0.04"/>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2-01T00:00:00"/>
    <s v="FY21"/>
    <s v="t"/>
    <n v="0"/>
    <n v="7.4999999999999997E-2"/>
    <n v="0"/>
    <n v="7.4999999999999997E-2"/>
    <n v="0"/>
    <n v="1"/>
    <n v="0"/>
    <n v="1"/>
    <n v="0"/>
    <n v="100"/>
    <n v="0"/>
    <s v="Consolidation"/>
    <s v="CO2e and Base Measure"/>
    <n v="100"/>
    <n v="100"/>
    <n v="0.08"/>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3-01T00:00:00"/>
    <s v="FY21"/>
    <s v="t"/>
    <n v="0.03"/>
    <n v="0"/>
    <n v="0"/>
    <n v="0.03"/>
    <n v="1"/>
    <n v="0"/>
    <n v="0"/>
    <n v="1"/>
    <n v="100"/>
    <n v="0"/>
    <n v="0"/>
    <s v="Consolidation"/>
    <s v="CO2e and Base Measure"/>
    <n v="100"/>
    <n v="100"/>
    <n v="0.03"/>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4-01T00:00:00"/>
    <s v="FY21"/>
    <s v="t"/>
    <n v="0"/>
    <n v="0"/>
    <n v="5.0999999999999997E-2"/>
    <n v="5.0999999999999997E-2"/>
    <n v="0"/>
    <n v="0"/>
    <n v="30"/>
    <n v="30"/>
    <n v="0"/>
    <n v="0"/>
    <n v="100"/>
    <s v="Consolidation"/>
    <s v="CO2e and Base Measure"/>
    <n v="100"/>
    <n v="100"/>
    <n v="0.05"/>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5-01T00:00:00"/>
    <s v="FY21"/>
    <s v="t"/>
    <n v="0"/>
    <n v="0"/>
    <n v="5.2699999999999997E-2"/>
    <n v="5.2699999999999997E-2"/>
    <n v="0"/>
    <n v="0"/>
    <n v="31"/>
    <n v="31"/>
    <n v="0"/>
    <n v="0"/>
    <n v="100"/>
    <s v="Consolidation"/>
    <s v="CO2e and Base Measure"/>
    <n v="100"/>
    <n v="100"/>
    <n v="0.05"/>
    <m/>
    <m/>
    <m/>
    <m/>
    <m/>
    <m/>
    <m/>
    <m/>
    <m/>
    <m/>
    <m/>
    <m/>
    <m/>
    <s v="AUD"/>
    <s v="13633979Waste Recycled - Paper and Cardboard [t]"/>
    <n v="13633979"/>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0-12-01T00:00:00"/>
    <s v="FY21"/>
    <s v="t"/>
    <n v="0.14000000000000001"/>
    <n v="0.13500000000000001"/>
    <n v="0"/>
    <n v="0.27500000000000002"/>
    <n v="1"/>
    <n v="1"/>
    <n v="0"/>
    <n v="2"/>
    <n v="50.9"/>
    <n v="49.09"/>
    <n v="0"/>
    <s v="Consolidation"/>
    <s v="CO2e and Base Measure"/>
    <n v="100"/>
    <n v="100"/>
    <n v="0.28000000000000003"/>
    <m/>
    <m/>
    <m/>
    <m/>
    <m/>
    <n v="0.35749999999999998"/>
    <m/>
    <n v="0.35749999999999998"/>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1-01T00:00:00"/>
    <s v="FY21"/>
    <s v="t"/>
    <n v="0.11"/>
    <n v="0.13500000000000001"/>
    <n v="0"/>
    <n v="0.245"/>
    <n v="1"/>
    <n v="1"/>
    <n v="0"/>
    <n v="2"/>
    <n v="44.89"/>
    <n v="55.1"/>
    <n v="0"/>
    <s v="Consolidation"/>
    <s v="CO2e and Base Measure"/>
    <n v="100"/>
    <n v="100"/>
    <n v="0.25"/>
    <m/>
    <m/>
    <m/>
    <m/>
    <m/>
    <n v="0.31850000000000001"/>
    <m/>
    <n v="0.31850000000000001"/>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2-01T00:00:00"/>
    <s v="FY21"/>
    <s v="t"/>
    <n v="0.15"/>
    <n v="0"/>
    <n v="0"/>
    <n v="0.15"/>
    <n v="2"/>
    <n v="0"/>
    <n v="0"/>
    <n v="2"/>
    <n v="100"/>
    <n v="0"/>
    <n v="0"/>
    <s v="Consolidation"/>
    <s v="CO2e and Base Measure"/>
    <n v="100"/>
    <n v="100"/>
    <n v="0.15"/>
    <m/>
    <m/>
    <m/>
    <m/>
    <m/>
    <n v="0.19500000000000001"/>
    <m/>
    <n v="0.19500000000000001"/>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3-01T00:00:00"/>
    <s v="FY21"/>
    <s v="t"/>
    <n v="0.2"/>
    <n v="0"/>
    <n v="0"/>
    <n v="0.2"/>
    <n v="1"/>
    <n v="0"/>
    <n v="0"/>
    <n v="1"/>
    <n v="100"/>
    <n v="0"/>
    <n v="0"/>
    <s v="Consolidation"/>
    <s v="CO2e and Base Measure"/>
    <n v="100"/>
    <n v="100"/>
    <n v="0.2"/>
    <m/>
    <m/>
    <m/>
    <m/>
    <m/>
    <n v="0.26"/>
    <m/>
    <n v="0.26"/>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4-01T00:00:00"/>
    <s v="FY21"/>
    <s v="t"/>
    <n v="0"/>
    <n v="0"/>
    <n v="0.219"/>
    <n v="0.219"/>
    <n v="0"/>
    <n v="0"/>
    <n v="30"/>
    <n v="30"/>
    <n v="0"/>
    <n v="0"/>
    <n v="100"/>
    <s v="Consolidation"/>
    <s v="CO2e and Base Measure"/>
    <n v="100"/>
    <n v="100"/>
    <n v="0.22"/>
    <m/>
    <m/>
    <m/>
    <m/>
    <m/>
    <n v="0.28470000000000001"/>
    <m/>
    <n v="0.28470000000000001"/>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5-01T00:00:00"/>
    <s v="FY21"/>
    <s v="t"/>
    <n v="0"/>
    <n v="0"/>
    <n v="0.2263"/>
    <n v="0.2263"/>
    <n v="0"/>
    <n v="0"/>
    <n v="31"/>
    <n v="31"/>
    <n v="0"/>
    <n v="0"/>
    <n v="100"/>
    <s v="Consolidation"/>
    <s v="CO2e and Base Measure"/>
    <n v="100"/>
    <n v="100"/>
    <n v="0.23"/>
    <m/>
    <m/>
    <m/>
    <m/>
    <m/>
    <n v="0.29420000000000002"/>
    <m/>
    <n v="0.29420000000000002"/>
    <m/>
    <m/>
    <m/>
    <m/>
    <m/>
    <s v="AUD"/>
    <s v="13634134Waste - General [t] - Scope 3"/>
    <n v="13634134"/>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07-01T00:00:00"/>
    <s v="FY21"/>
    <s v="t"/>
    <n v="0.13500000000000001"/>
    <n v="0"/>
    <n v="0"/>
    <n v="0.13500000000000001"/>
    <n v="1"/>
    <n v="0"/>
    <n v="0"/>
    <n v="1"/>
    <n v="100"/>
    <n v="0"/>
    <n v="0"/>
    <s v="Consolidation"/>
    <s v="CO2e and Base Measure"/>
    <n v="100"/>
    <n v="100"/>
    <n v="0.14000000000000001"/>
    <m/>
    <m/>
    <m/>
    <m/>
    <m/>
    <n v="0.17549999999999999"/>
    <m/>
    <n v="0.17549999999999999"/>
    <m/>
    <m/>
    <m/>
    <m/>
    <m/>
    <s v="AUD"/>
    <s v="13564915Waste - General [t] - Scope 3"/>
    <n v="13564915"/>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08-01T00:00:00"/>
    <s v="FY21"/>
    <s v="t"/>
    <n v="0.155"/>
    <n v="0"/>
    <n v="0"/>
    <n v="0.155"/>
    <n v="1"/>
    <n v="0"/>
    <n v="0"/>
    <n v="1"/>
    <n v="100"/>
    <n v="0"/>
    <n v="0"/>
    <s v="Consolidation"/>
    <s v="CO2e and Base Measure"/>
    <n v="100"/>
    <n v="100"/>
    <n v="0.16"/>
    <m/>
    <m/>
    <m/>
    <m/>
    <m/>
    <n v="0.20150000000000001"/>
    <m/>
    <n v="0.20150000000000001"/>
    <m/>
    <m/>
    <m/>
    <m/>
    <m/>
    <s v="AUD"/>
    <s v="13564915Waste - General [t] - Scope 3"/>
    <n v="13564915"/>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09-01T00:00:00"/>
    <s v="FY21"/>
    <s v="t"/>
    <n v="7.4999999999999997E-2"/>
    <n v="0"/>
    <n v="0"/>
    <n v="7.4999999999999997E-2"/>
    <n v="1"/>
    <n v="0"/>
    <n v="0"/>
    <n v="1"/>
    <n v="100"/>
    <n v="0"/>
    <n v="0"/>
    <s v="Consolidation"/>
    <s v="CO2e and Base Measure"/>
    <n v="100"/>
    <n v="100"/>
    <n v="0.08"/>
    <m/>
    <m/>
    <m/>
    <m/>
    <m/>
    <n v="9.7500000000000003E-2"/>
    <m/>
    <n v="9.7500000000000003E-2"/>
    <m/>
    <m/>
    <m/>
    <m/>
    <m/>
    <s v="AUD"/>
    <s v="13564915Waste - General [t] - Scope 3"/>
    <n v="13564915"/>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10-01T00:00:00"/>
    <s v="FY21"/>
    <s v="t"/>
    <n v="0.19"/>
    <n v="0"/>
    <n v="0"/>
    <n v="0.19"/>
    <n v="1"/>
    <n v="0"/>
    <n v="0"/>
    <n v="1"/>
    <n v="100"/>
    <n v="0"/>
    <n v="0"/>
    <s v="Consolidation"/>
    <s v="CO2e and Base Measure"/>
    <n v="100"/>
    <n v="100"/>
    <n v="0.19"/>
    <m/>
    <m/>
    <m/>
    <m/>
    <m/>
    <n v="0.247"/>
    <m/>
    <n v="0.247"/>
    <m/>
    <m/>
    <m/>
    <m/>
    <m/>
    <s v="AUD"/>
    <s v="13564915Waste - General [t] - Scope 3"/>
    <n v="13564915"/>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11-01T00:00:00"/>
    <s v="FY21"/>
    <s v="t"/>
    <n v="0"/>
    <n v="0"/>
    <n v="4.7000000000000002E-3"/>
    <n v="4.7000000000000002E-3"/>
    <n v="0"/>
    <n v="0"/>
    <n v="1"/>
    <n v="1"/>
    <n v="0"/>
    <n v="0"/>
    <n v="100"/>
    <s v="Consolidation"/>
    <s v="CO2e and Base Measure"/>
    <n v="100"/>
    <n v="100"/>
    <n v="0"/>
    <m/>
    <m/>
    <m/>
    <m/>
    <m/>
    <n v="6.1000000000000004E-3"/>
    <m/>
    <n v="6.1000000000000004E-3"/>
    <m/>
    <m/>
    <m/>
    <m/>
    <m/>
    <s v="AUD"/>
    <s v="13564915Waste - General [t] - Scope 3"/>
    <n v="13564915"/>
  </r>
  <r>
    <d v="2019-07-01T00:00:00"/>
    <d v="2021-06-30T00:00:00"/>
    <s v="Telstra"/>
    <s v="NETWORK"/>
    <s v="Network - InfraCo"/>
    <s v="SA"/>
    <s v="Australia"/>
    <s v="Grange"/>
    <s v="HENLEY BEACH EXCHANGE"/>
    <n v="423030525400"/>
    <s v="Waste"/>
    <x v="1"/>
    <x v="2"/>
    <s v="Account"/>
    <s v="Remondis General Waste"/>
    <m/>
    <s v="423030525400_WGENERALW"/>
    <s v="GENERAL WASTE"/>
    <s v="Remondis"/>
    <m/>
    <m/>
    <d v="2020-09-01T00:00:00"/>
    <d v="2020-07-01T00:00:00"/>
    <s v="FY21"/>
    <s v="t"/>
    <n v="0"/>
    <n v="0.39"/>
    <n v="0"/>
    <n v="0.39"/>
    <n v="0"/>
    <n v="2"/>
    <n v="0"/>
    <n v="2"/>
    <n v="0"/>
    <n v="100"/>
    <n v="0"/>
    <s v="Consolidation"/>
    <s v="CO2e and Base Measure"/>
    <n v="100"/>
    <n v="100"/>
    <n v="0.39"/>
    <m/>
    <m/>
    <m/>
    <m/>
    <m/>
    <n v="0.50700000000000001"/>
    <m/>
    <n v="0.50700000000000001"/>
    <m/>
    <m/>
    <m/>
    <m/>
    <m/>
    <s v="AUD"/>
    <s v="13564777Waste - General [t] - Scope 3"/>
    <n v="13564777"/>
  </r>
  <r>
    <d v="2019-07-01T00:00:00"/>
    <d v="2021-06-30T00:00:00"/>
    <s v="Telstra"/>
    <s v="NETWORK"/>
    <s v="Network - InfraCo"/>
    <s v="SA"/>
    <s v="Australia"/>
    <s v="Grange"/>
    <s v="HENLEY BEACH EXCHANGE"/>
    <n v="423030525400"/>
    <s v="Waste"/>
    <x v="1"/>
    <x v="2"/>
    <s v="Account"/>
    <s v="Remondis General Waste"/>
    <m/>
    <s v="4230305254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4777Waste - General [t] - Scope 3"/>
    <n v="13564777"/>
  </r>
  <r>
    <d v="2019-07-01T00:00:00"/>
    <d v="2021-06-30T00:00:00"/>
    <s v="Telstra"/>
    <s v="NETWORK"/>
    <s v="Network - InfraCo"/>
    <s v="SA"/>
    <s v="Australia"/>
    <s v="Grange"/>
    <s v="HENLEY BEACH EXCHANGE"/>
    <n v="423030525400"/>
    <s v="Waste"/>
    <x v="1"/>
    <x v="2"/>
    <s v="Account"/>
    <s v="Remondis General Waste"/>
    <m/>
    <s v="423030525400_WGENERALW"/>
    <s v="GENERAL WASTE"/>
    <s v="Remondis"/>
    <m/>
    <m/>
    <d v="2020-09-01T00:00:00"/>
    <d v="2020-09-01T00:00:00"/>
    <s v="FY21"/>
    <s v="t"/>
    <n v="0"/>
    <n v="0"/>
    <n v="9.5999999999999992E-3"/>
    <n v="9.5999999999999992E-3"/>
    <n v="0"/>
    <n v="0"/>
    <n v="1"/>
    <n v="1"/>
    <n v="0"/>
    <n v="0"/>
    <n v="100"/>
    <s v="Consolidation"/>
    <s v="CO2e and Base Measure"/>
    <n v="100"/>
    <n v="100"/>
    <n v="0.01"/>
    <m/>
    <m/>
    <m/>
    <m/>
    <m/>
    <n v="1.2500000000000001E-2"/>
    <m/>
    <n v="1.2500000000000001E-2"/>
    <m/>
    <m/>
    <m/>
    <m/>
    <m/>
    <s v="AUD"/>
    <s v="13564777Waste - General [t] - Scope 3"/>
    <n v="13564777"/>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0-12-01T00:00:00"/>
    <s v="FY21"/>
    <s v="t"/>
    <n v="0.05"/>
    <n v="0.13500000000000001"/>
    <n v="0"/>
    <n v="0.185"/>
    <n v="1"/>
    <n v="1"/>
    <n v="0"/>
    <n v="2"/>
    <n v="27.02"/>
    <n v="72.97"/>
    <n v="0"/>
    <s v="Consolidation"/>
    <s v="CO2e and Base Measure"/>
    <n v="100"/>
    <n v="100"/>
    <n v="0.19"/>
    <m/>
    <m/>
    <m/>
    <m/>
    <m/>
    <n v="0.24049999999999999"/>
    <m/>
    <n v="0.24049999999999999"/>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1-01T00:00:00"/>
    <s v="FY21"/>
    <s v="t"/>
    <n v="0"/>
    <n v="0.27"/>
    <n v="0"/>
    <n v="0.27"/>
    <n v="0"/>
    <n v="2"/>
    <n v="0"/>
    <n v="2"/>
    <n v="0"/>
    <n v="100"/>
    <n v="0"/>
    <s v="Consolidation"/>
    <s v="CO2e and Base Measure"/>
    <n v="100"/>
    <n v="100"/>
    <n v="0.27"/>
    <m/>
    <m/>
    <m/>
    <m/>
    <m/>
    <n v="0.35099999999999998"/>
    <m/>
    <n v="0.35099999999999998"/>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2-01T00:00:00"/>
    <s v="FY21"/>
    <s v="t"/>
    <n v="0.47599999999999998"/>
    <n v="0"/>
    <n v="0"/>
    <n v="0.47599999999999998"/>
    <n v="2"/>
    <n v="0"/>
    <n v="0"/>
    <n v="2"/>
    <n v="100"/>
    <n v="0"/>
    <n v="0"/>
    <s v="Consolidation"/>
    <s v="CO2e and Base Measure"/>
    <n v="100"/>
    <n v="100"/>
    <n v="0.48"/>
    <m/>
    <m/>
    <m/>
    <m/>
    <m/>
    <n v="0.61880000000000002"/>
    <m/>
    <n v="0.61880000000000002"/>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3-01T00:00:00"/>
    <s v="FY21"/>
    <s v="t"/>
    <n v="0.111"/>
    <n v="0"/>
    <n v="0"/>
    <n v="0.111"/>
    <n v="2"/>
    <n v="0"/>
    <n v="0"/>
    <n v="2"/>
    <n v="100"/>
    <n v="0"/>
    <n v="0"/>
    <s v="Consolidation"/>
    <s v="CO2e and Base Measure"/>
    <n v="100"/>
    <n v="100"/>
    <n v="0.11"/>
    <m/>
    <m/>
    <m/>
    <m/>
    <m/>
    <n v="0.14430000000000001"/>
    <m/>
    <n v="0.14430000000000001"/>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4-01T00:00:00"/>
    <s v="FY21"/>
    <s v="t"/>
    <n v="0"/>
    <n v="0"/>
    <n v="0.26100000000000001"/>
    <n v="0.26100000000000001"/>
    <n v="0"/>
    <n v="0"/>
    <n v="30"/>
    <n v="30"/>
    <n v="0"/>
    <n v="0"/>
    <n v="100"/>
    <s v="Consolidation"/>
    <s v="CO2e and Base Measure"/>
    <n v="100"/>
    <n v="100"/>
    <n v="0.26"/>
    <m/>
    <m/>
    <m/>
    <m/>
    <m/>
    <n v="0.33929999999999999"/>
    <m/>
    <n v="0.33929999999999999"/>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5-01T00:00:00"/>
    <s v="FY21"/>
    <s v="t"/>
    <n v="0"/>
    <n v="0"/>
    <n v="0.2697"/>
    <n v="0.2697"/>
    <n v="0"/>
    <n v="0"/>
    <n v="31"/>
    <n v="31"/>
    <n v="0"/>
    <n v="0"/>
    <n v="100"/>
    <s v="Consolidation"/>
    <s v="CO2e and Base Measure"/>
    <n v="100"/>
    <n v="100"/>
    <n v="0.27"/>
    <m/>
    <m/>
    <m/>
    <m/>
    <m/>
    <n v="0.35060000000000002"/>
    <m/>
    <n v="0.35060000000000002"/>
    <m/>
    <m/>
    <m/>
    <m/>
    <m/>
    <s v="AUD"/>
    <s v="13634135Waste - General [t] - Scope 3"/>
    <n v="13634135"/>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07-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08-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09-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10-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11-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12-01T00:00:00"/>
    <s v="FY21"/>
    <s v="t"/>
    <n v="0"/>
    <n v="0"/>
    <n v="2.0999999999999999E-3"/>
    <n v="2.0999999999999999E-3"/>
    <n v="0"/>
    <n v="0"/>
    <n v="1"/>
    <n v="1"/>
    <n v="0"/>
    <n v="0"/>
    <n v="100"/>
    <s v="Consolidation"/>
    <s v="CO2e and Base Measure"/>
    <n v="100"/>
    <n v="100"/>
    <n v="0"/>
    <m/>
    <m/>
    <m/>
    <m/>
    <m/>
    <m/>
    <n v="0"/>
    <m/>
    <m/>
    <m/>
    <m/>
    <m/>
    <m/>
    <s v="AUD"/>
    <s v="13576216Waste Recycled - Cardboard [t]"/>
    <n v="13576216"/>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08-01T00:00:00"/>
    <s v="FY21"/>
    <s v="t"/>
    <n v="0.46500000000000002"/>
    <n v="0"/>
    <n v="0"/>
    <n v="0.46500000000000002"/>
    <n v="2"/>
    <n v="0"/>
    <n v="0"/>
    <n v="2"/>
    <n v="100"/>
    <n v="0"/>
    <n v="0"/>
    <s v="Consolidation"/>
    <s v="CO2e and Base Measure"/>
    <n v="100"/>
    <n v="100"/>
    <n v="0.47"/>
    <m/>
    <m/>
    <m/>
    <m/>
    <m/>
    <n v="0.60450000000000004"/>
    <m/>
    <n v="0.60450000000000004"/>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09-01T00:00:00"/>
    <s v="FY21"/>
    <s v="t"/>
    <n v="0.40500000000000003"/>
    <n v="0"/>
    <n v="0"/>
    <n v="0.40500000000000003"/>
    <n v="3"/>
    <n v="0"/>
    <n v="0"/>
    <n v="3"/>
    <n v="100"/>
    <n v="0"/>
    <n v="0"/>
    <s v="Consolidation"/>
    <s v="CO2e and Base Measure"/>
    <n v="100"/>
    <n v="100"/>
    <n v="0.41"/>
    <m/>
    <m/>
    <m/>
    <m/>
    <m/>
    <n v="0.52649999999999997"/>
    <m/>
    <n v="0.52649999999999997"/>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10-01T00:00:00"/>
    <s v="FY21"/>
    <s v="t"/>
    <n v="0.19"/>
    <n v="0"/>
    <n v="0"/>
    <n v="0.19"/>
    <n v="2"/>
    <n v="0"/>
    <n v="0"/>
    <n v="2"/>
    <n v="100"/>
    <n v="0"/>
    <n v="0"/>
    <s v="Consolidation"/>
    <s v="CO2e and Base Measure"/>
    <n v="100"/>
    <n v="100"/>
    <n v="0.19"/>
    <m/>
    <m/>
    <m/>
    <m/>
    <m/>
    <n v="0.247"/>
    <m/>
    <n v="0.247"/>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11-01T00:00:00"/>
    <s v="FY21"/>
    <s v="t"/>
    <n v="0.435"/>
    <n v="0"/>
    <n v="0"/>
    <n v="0.435"/>
    <n v="2"/>
    <n v="0"/>
    <n v="0"/>
    <n v="2"/>
    <n v="100"/>
    <n v="0"/>
    <n v="0"/>
    <s v="Consolidation"/>
    <s v="CO2e and Base Measure"/>
    <n v="100"/>
    <n v="100"/>
    <n v="0.44"/>
    <m/>
    <m/>
    <m/>
    <m/>
    <m/>
    <n v="0.5655"/>
    <m/>
    <n v="0.5655"/>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76217Waste - General [t] - Scope 3"/>
    <n v="13576217"/>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1-01T00:00:00"/>
    <s v="FY21"/>
    <s v="t"/>
    <n v="0.32500000000000001"/>
    <n v="0"/>
    <n v="0"/>
    <n v="0.32500000000000001"/>
    <n v="1"/>
    <n v="0"/>
    <n v="0"/>
    <n v="1"/>
    <n v="100"/>
    <n v="0"/>
    <n v="0"/>
    <s v="Consolidation"/>
    <s v="CO2e and Base Measure"/>
    <n v="100"/>
    <n v="100"/>
    <n v="0.33"/>
    <m/>
    <m/>
    <m/>
    <m/>
    <m/>
    <n v="0.42249999999999999"/>
    <m/>
    <n v="0.42249999999999999"/>
    <m/>
    <m/>
    <m/>
    <m/>
    <m/>
    <s v="AUD"/>
    <s v="13634436Waste - General [t] - Scope 3"/>
    <n v="13634436"/>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36Waste - General [t] - Scope 3"/>
    <n v="13634436"/>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3-01T00:00:00"/>
    <s v="FY21"/>
    <s v="t"/>
    <n v="0.39900000000000002"/>
    <n v="0"/>
    <n v="0"/>
    <n v="0.39900000000000002"/>
    <n v="1"/>
    <n v="0"/>
    <n v="0"/>
    <n v="1"/>
    <n v="100"/>
    <n v="0"/>
    <n v="0"/>
    <s v="Consolidation"/>
    <s v="CO2e and Base Measure"/>
    <n v="100"/>
    <n v="100"/>
    <n v="0.4"/>
    <m/>
    <m/>
    <m/>
    <m/>
    <m/>
    <n v="0.51870000000000005"/>
    <m/>
    <n v="0.51870000000000005"/>
    <m/>
    <m/>
    <m/>
    <m/>
    <m/>
    <s v="AUD"/>
    <s v="13634436Waste - General [t] - Scope 3"/>
    <n v="13634436"/>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4-01T00:00:00"/>
    <s v="FY21"/>
    <s v="t"/>
    <n v="0"/>
    <n v="0"/>
    <n v="0.29099999999999998"/>
    <n v="0.29099999999999998"/>
    <n v="0"/>
    <n v="0"/>
    <n v="30"/>
    <n v="30"/>
    <n v="0"/>
    <n v="0"/>
    <n v="100"/>
    <s v="Consolidation"/>
    <s v="CO2e and Base Measure"/>
    <n v="100"/>
    <n v="100"/>
    <n v="0.28999999999999998"/>
    <m/>
    <m/>
    <m/>
    <m/>
    <m/>
    <n v="0.37830000000000003"/>
    <m/>
    <n v="0.37830000000000003"/>
    <m/>
    <m/>
    <m/>
    <m/>
    <m/>
    <s v="AUD"/>
    <s v="13634436Waste - General [t] - Scope 3"/>
    <n v="13634436"/>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5-01T00:00:00"/>
    <s v="FY21"/>
    <s v="t"/>
    <n v="0"/>
    <n v="0"/>
    <n v="0.30070000000000002"/>
    <n v="0.30070000000000002"/>
    <n v="0"/>
    <n v="0"/>
    <n v="31"/>
    <n v="31"/>
    <n v="0"/>
    <n v="0"/>
    <n v="100"/>
    <s v="Consolidation"/>
    <s v="CO2e and Base Measure"/>
    <n v="100"/>
    <n v="100"/>
    <n v="0.3"/>
    <m/>
    <m/>
    <m/>
    <m/>
    <m/>
    <n v="0.39090000000000003"/>
    <m/>
    <n v="0.39090000000000003"/>
    <m/>
    <m/>
    <m/>
    <m/>
    <m/>
    <s v="AUD"/>
    <s v="13634436Waste - General [t] - Scope 3"/>
    <n v="13634436"/>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1-01T00:00:00"/>
    <s v="FY21"/>
    <s v="t"/>
    <n v="0"/>
    <n v="3.7499999999999999E-2"/>
    <n v="0"/>
    <n v="3.7499999999999999E-2"/>
    <n v="0"/>
    <n v="1"/>
    <n v="0"/>
    <n v="1"/>
    <n v="0"/>
    <n v="100"/>
    <n v="0"/>
    <s v="Consolidation"/>
    <s v="CO2e and Base Measure"/>
    <n v="100"/>
    <n v="100"/>
    <n v="0.04"/>
    <m/>
    <m/>
    <m/>
    <m/>
    <m/>
    <m/>
    <m/>
    <m/>
    <m/>
    <m/>
    <m/>
    <m/>
    <m/>
    <s v="AUD"/>
    <s v="13634437Waste Recycled - Paper and Cardboard [t]"/>
    <n v="13634437"/>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2-01T00:00:00"/>
    <s v="FY21"/>
    <s v="t"/>
    <n v="3.9E-2"/>
    <n v="0"/>
    <n v="0"/>
    <n v="3.9E-2"/>
    <n v="1"/>
    <n v="0"/>
    <n v="0"/>
    <n v="1"/>
    <n v="100"/>
    <n v="0"/>
    <n v="0"/>
    <s v="Consolidation"/>
    <s v="CO2e and Base Measure"/>
    <n v="100"/>
    <n v="100"/>
    <n v="0.04"/>
    <m/>
    <m/>
    <m/>
    <m/>
    <m/>
    <m/>
    <m/>
    <m/>
    <m/>
    <m/>
    <m/>
    <m/>
    <m/>
    <s v="AUD"/>
    <s v="13634437Waste Recycled - Paper and Cardboard [t]"/>
    <n v="13634437"/>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3-01T00:00:00"/>
    <s v="FY21"/>
    <s v="t"/>
    <n v="6.4000000000000001E-2"/>
    <n v="0"/>
    <n v="0"/>
    <n v="6.4000000000000001E-2"/>
    <n v="1"/>
    <n v="0"/>
    <n v="0"/>
    <n v="1"/>
    <n v="100"/>
    <n v="0"/>
    <n v="0"/>
    <s v="Consolidation"/>
    <s v="CO2e and Base Measure"/>
    <n v="100"/>
    <n v="100"/>
    <n v="0.06"/>
    <m/>
    <m/>
    <m/>
    <m/>
    <m/>
    <m/>
    <m/>
    <m/>
    <m/>
    <m/>
    <m/>
    <m/>
    <m/>
    <s v="AUD"/>
    <s v="13634437Waste Recycled - Paper and Cardboard [t]"/>
    <n v="13634437"/>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4-01T00:00:00"/>
    <s v="FY21"/>
    <s v="t"/>
    <n v="0"/>
    <n v="0"/>
    <n v="4.8000000000000001E-2"/>
    <n v="4.8000000000000001E-2"/>
    <n v="0"/>
    <n v="0"/>
    <n v="30"/>
    <n v="30"/>
    <n v="0"/>
    <n v="0"/>
    <n v="100"/>
    <s v="Consolidation"/>
    <s v="CO2e and Base Measure"/>
    <n v="100"/>
    <n v="100"/>
    <n v="0.05"/>
    <m/>
    <m/>
    <m/>
    <m/>
    <m/>
    <m/>
    <m/>
    <m/>
    <m/>
    <m/>
    <m/>
    <m/>
    <m/>
    <s v="AUD"/>
    <s v="13634437Waste Recycled - Paper and Cardboard [t]"/>
    <n v="13634437"/>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5-01T00:00:00"/>
    <s v="FY21"/>
    <s v="t"/>
    <n v="0"/>
    <n v="0"/>
    <n v="4.9599999999999998E-2"/>
    <n v="4.9599999999999998E-2"/>
    <n v="0"/>
    <n v="0"/>
    <n v="31"/>
    <n v="31"/>
    <n v="0"/>
    <n v="0"/>
    <n v="100"/>
    <s v="Consolidation"/>
    <s v="CO2e and Base Measure"/>
    <n v="100"/>
    <n v="100"/>
    <n v="0.05"/>
    <m/>
    <m/>
    <m/>
    <m/>
    <m/>
    <m/>
    <m/>
    <m/>
    <m/>
    <m/>
    <m/>
    <m/>
    <m/>
    <s v="AUD"/>
    <s v="13634437Waste Recycled - Paper and Cardboard [t]"/>
    <n v="13634437"/>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0-08-01T00:00:00"/>
    <s v="FY21"/>
    <s v="t"/>
    <n v="2.7E-2"/>
    <n v="0"/>
    <n v="0"/>
    <n v="2.7E-2"/>
    <n v="1"/>
    <n v="0"/>
    <n v="0"/>
    <n v="1"/>
    <n v="100"/>
    <n v="0"/>
    <n v="0"/>
    <s v="Consolidation"/>
    <s v="CO2e and Base Measure"/>
    <n v="100"/>
    <n v="100"/>
    <n v="0.03"/>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0-10-01T00:00:00"/>
    <s v="FY21"/>
    <s v="t"/>
    <n v="2.7E-2"/>
    <n v="0"/>
    <n v="0"/>
    <n v="2.7E-2"/>
    <n v="1"/>
    <n v="0"/>
    <n v="0"/>
    <n v="1"/>
    <n v="100"/>
    <n v="0"/>
    <n v="0"/>
    <s v="Consolidation"/>
    <s v="CO2e and Base Measure"/>
    <n v="100"/>
    <n v="100"/>
    <n v="0.03"/>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0-12-01T00:00:00"/>
    <s v="FY21"/>
    <s v="t"/>
    <n v="2.7E-2"/>
    <n v="0"/>
    <n v="0"/>
    <n v="2.7E-2"/>
    <n v="1"/>
    <n v="0"/>
    <n v="0"/>
    <n v="1"/>
    <n v="100"/>
    <n v="0"/>
    <n v="0"/>
    <s v="Consolidation"/>
    <s v="CO2e and Base Measure"/>
    <n v="100"/>
    <n v="100"/>
    <n v="0.03"/>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1-01T00:00:00"/>
    <s v="FY21"/>
    <s v="t"/>
    <n v="0"/>
    <n v="0"/>
    <n v="1.55E-2"/>
    <n v="1.55E-2"/>
    <n v="0"/>
    <n v="0"/>
    <n v="31"/>
    <n v="31"/>
    <n v="0"/>
    <n v="0"/>
    <n v="100"/>
    <s v="Consolidation"/>
    <s v="CO2e and Base Measure"/>
    <n v="100"/>
    <n v="100"/>
    <n v="0.02"/>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2-01T00:00:00"/>
    <s v="FY21"/>
    <s v="t"/>
    <n v="0"/>
    <n v="0"/>
    <n v="1.4E-2"/>
    <n v="1.4E-2"/>
    <n v="0"/>
    <n v="0"/>
    <n v="28"/>
    <n v="28"/>
    <n v="0"/>
    <n v="0"/>
    <n v="100"/>
    <s v="Consolidation"/>
    <s v="CO2e and Base Measure"/>
    <n v="100"/>
    <n v="100"/>
    <n v="0.01"/>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3-01T00:00:00"/>
    <s v="FY21"/>
    <s v="t"/>
    <n v="0"/>
    <n v="0"/>
    <n v="1.55E-2"/>
    <n v="1.55E-2"/>
    <n v="0"/>
    <n v="0"/>
    <n v="31"/>
    <n v="31"/>
    <n v="0"/>
    <n v="0"/>
    <n v="100"/>
    <s v="Consolidation"/>
    <s v="CO2e and Base Measure"/>
    <n v="100"/>
    <n v="100"/>
    <n v="0.02"/>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5-01T00:00:00"/>
    <s v="FY21"/>
    <s v="t"/>
    <n v="0"/>
    <n v="0"/>
    <n v="1.55E-2"/>
    <n v="1.55E-2"/>
    <n v="0"/>
    <n v="0"/>
    <n v="31"/>
    <n v="31"/>
    <n v="0"/>
    <n v="0"/>
    <n v="100"/>
    <s v="Consolidation"/>
    <s v="CO2e and Base Measure"/>
    <n v="100"/>
    <n v="100"/>
    <n v="0.02"/>
    <m/>
    <m/>
    <m/>
    <m/>
    <m/>
    <m/>
    <m/>
    <m/>
    <m/>
    <m/>
    <m/>
    <m/>
    <m/>
    <s v="AUD"/>
    <s v="13566640Waste Recycled - Paper and Cardboard [t]"/>
    <n v="13566640"/>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0-07-01T00:00:00"/>
    <s v="FY21"/>
    <s v="t"/>
    <n v="0.08"/>
    <n v="3.15E-2"/>
    <n v="0"/>
    <n v="0.1115"/>
    <n v="1"/>
    <n v="1"/>
    <n v="0"/>
    <n v="2"/>
    <n v="71.739999999999995"/>
    <n v="28.25"/>
    <n v="0"/>
    <s v="Consolidation"/>
    <s v="CO2e and Base Measure"/>
    <n v="100"/>
    <n v="100"/>
    <n v="0.11"/>
    <m/>
    <m/>
    <m/>
    <m/>
    <m/>
    <m/>
    <n v="0"/>
    <m/>
    <m/>
    <m/>
    <m/>
    <m/>
    <m/>
    <s v="AUD"/>
    <s v="13565348Waste Recycled - Cardboard [t]"/>
    <n v="13565348"/>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0-08-01T00:00:00"/>
    <s v="FY21"/>
    <s v="t"/>
    <n v="0"/>
    <n v="3.15E-2"/>
    <n v="0"/>
    <n v="3.15E-2"/>
    <n v="0"/>
    <n v="1"/>
    <n v="0"/>
    <n v="1"/>
    <n v="0"/>
    <n v="100"/>
    <n v="0"/>
    <s v="Consolidation"/>
    <s v="CO2e and Base Measure"/>
    <n v="100"/>
    <n v="100"/>
    <n v="0.03"/>
    <m/>
    <m/>
    <m/>
    <m/>
    <m/>
    <m/>
    <n v="0"/>
    <m/>
    <m/>
    <m/>
    <m/>
    <m/>
    <m/>
    <s v="AUD"/>
    <s v="13565348Waste Recycled - Cardboard [t]"/>
    <n v="13565348"/>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5348Waste Recycled - Cardboard [t]"/>
    <n v="13565348"/>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348Waste Recycled - Cardboard [t]"/>
    <n v="13565348"/>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1-01-01T00:00:00"/>
    <s v="FY21"/>
    <s v="t"/>
    <n v="0"/>
    <n v="0"/>
    <n v="1.1000000000000001E-3"/>
    <n v="1.1000000000000001E-3"/>
    <n v="0"/>
    <n v="0"/>
    <n v="1"/>
    <n v="1"/>
    <n v="0"/>
    <n v="0"/>
    <n v="100"/>
    <s v="Consolidation"/>
    <s v="CO2e and Base Measure"/>
    <n v="100"/>
    <n v="100"/>
    <n v="0"/>
    <m/>
    <m/>
    <m/>
    <m/>
    <m/>
    <m/>
    <n v="0"/>
    <m/>
    <m/>
    <m/>
    <m/>
    <m/>
    <m/>
    <s v="AUD"/>
    <s v="13565348Waste Recycled - Cardboard [t]"/>
    <n v="13565348"/>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07-01T00:00:00"/>
    <s v="FY21"/>
    <s v="t"/>
    <n v="0.7"/>
    <n v="0.19500000000000001"/>
    <n v="0"/>
    <n v="0.89500000000000002"/>
    <n v="1"/>
    <n v="1"/>
    <n v="0"/>
    <n v="2"/>
    <n v="78.209999999999994"/>
    <n v="21.78"/>
    <n v="0"/>
    <s v="Consolidation"/>
    <s v="CO2e and Base Measure"/>
    <n v="100"/>
    <n v="100"/>
    <n v="0.9"/>
    <m/>
    <m/>
    <m/>
    <m/>
    <m/>
    <n v="1.1635"/>
    <m/>
    <n v="1.1635"/>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08-01T00:00:00"/>
    <s v="FY21"/>
    <s v="t"/>
    <n v="0.15"/>
    <n v="0.19500000000000001"/>
    <n v="0"/>
    <n v="0.34499999999999997"/>
    <n v="1"/>
    <n v="1"/>
    <n v="0"/>
    <n v="2"/>
    <n v="43.47"/>
    <n v="56.52"/>
    <n v="0"/>
    <s v="Consolidation"/>
    <s v="CO2e and Base Measure"/>
    <n v="100"/>
    <n v="100"/>
    <n v="0.35"/>
    <m/>
    <m/>
    <m/>
    <m/>
    <m/>
    <n v="0.44850000000000001"/>
    <m/>
    <n v="0.44850000000000001"/>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09-01T00:00:00"/>
    <s v="FY21"/>
    <s v="t"/>
    <n v="0.1"/>
    <n v="0"/>
    <n v="0"/>
    <n v="0.1"/>
    <n v="1"/>
    <n v="0"/>
    <n v="0"/>
    <n v="1"/>
    <n v="100"/>
    <n v="0"/>
    <n v="0"/>
    <s v="Consolidation"/>
    <s v="CO2e and Base Measure"/>
    <n v="100"/>
    <n v="100"/>
    <n v="0.1"/>
    <m/>
    <m/>
    <m/>
    <m/>
    <m/>
    <n v="0.13"/>
    <m/>
    <n v="0.13"/>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12-01T00:00:00"/>
    <s v="FY21"/>
    <s v="t"/>
    <n v="0"/>
    <n v="0"/>
    <n v="1.5100000000000001E-2"/>
    <n v="1.5100000000000001E-2"/>
    <n v="0"/>
    <n v="0"/>
    <n v="1"/>
    <n v="1"/>
    <n v="0"/>
    <n v="0"/>
    <n v="100"/>
    <s v="Consolidation"/>
    <s v="CO2e and Base Measure"/>
    <n v="100"/>
    <n v="100"/>
    <n v="0.02"/>
    <m/>
    <m/>
    <m/>
    <m/>
    <m/>
    <n v="1.9599999999999999E-2"/>
    <m/>
    <n v="1.9599999999999999E-2"/>
    <m/>
    <m/>
    <m/>
    <m/>
    <m/>
    <s v="AUD"/>
    <s v="13565349Waste - General [t] - Scope 3"/>
    <n v="13565349"/>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0-12-01T00:00:00"/>
    <s v="FY21"/>
    <s v="t"/>
    <n v="0"/>
    <n v="0.20250000000000001"/>
    <n v="0"/>
    <n v="0.20250000000000001"/>
    <n v="0"/>
    <n v="1"/>
    <n v="0"/>
    <n v="1"/>
    <n v="0"/>
    <n v="100"/>
    <n v="0"/>
    <s v="Consolidation"/>
    <s v="CO2e and Base Measure"/>
    <n v="100"/>
    <n v="100"/>
    <n v="0.2"/>
    <m/>
    <m/>
    <m/>
    <m/>
    <m/>
    <n v="0.26329999999999998"/>
    <m/>
    <n v="0.26329999999999998"/>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1-01T00:00:00"/>
    <s v="FY21"/>
    <s v="t"/>
    <n v="0"/>
    <n v="0.40500000000000003"/>
    <n v="0"/>
    <n v="0.40500000000000003"/>
    <n v="0"/>
    <n v="2"/>
    <n v="0"/>
    <n v="2"/>
    <n v="0"/>
    <n v="100"/>
    <n v="0"/>
    <s v="Consolidation"/>
    <s v="CO2e and Base Measure"/>
    <n v="100"/>
    <n v="100"/>
    <n v="0.41"/>
    <m/>
    <m/>
    <m/>
    <m/>
    <m/>
    <n v="0.52649999999999997"/>
    <m/>
    <n v="0.52649999999999997"/>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2-01T00:00:00"/>
    <s v="FY21"/>
    <s v="t"/>
    <n v="0"/>
    <n v="0.40500000000000003"/>
    <n v="0"/>
    <n v="0.40500000000000003"/>
    <n v="0"/>
    <n v="2"/>
    <n v="0"/>
    <n v="2"/>
    <n v="0"/>
    <n v="100"/>
    <n v="0"/>
    <s v="Consolidation"/>
    <s v="CO2e and Base Measure"/>
    <n v="100"/>
    <n v="100"/>
    <n v="0.41"/>
    <m/>
    <m/>
    <m/>
    <m/>
    <m/>
    <n v="0.52649999999999997"/>
    <m/>
    <n v="0.52649999999999997"/>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3-01T00:00:00"/>
    <s v="FY21"/>
    <s v="t"/>
    <n v="0.245"/>
    <n v="0"/>
    <n v="0"/>
    <n v="0.245"/>
    <n v="2"/>
    <n v="0"/>
    <n v="0"/>
    <n v="2"/>
    <n v="100"/>
    <n v="0"/>
    <n v="0"/>
    <s v="Consolidation"/>
    <s v="CO2e and Base Measure"/>
    <n v="100"/>
    <n v="100"/>
    <n v="0.25"/>
    <m/>
    <m/>
    <m/>
    <m/>
    <m/>
    <n v="0.31850000000000001"/>
    <m/>
    <n v="0.31850000000000001"/>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4-01T00:00:00"/>
    <s v="FY21"/>
    <s v="t"/>
    <n v="0"/>
    <n v="0"/>
    <n v="0.315"/>
    <n v="0.315"/>
    <n v="0"/>
    <n v="0"/>
    <n v="30"/>
    <n v="30"/>
    <n v="0"/>
    <n v="0"/>
    <n v="100"/>
    <s v="Consolidation"/>
    <s v="CO2e and Base Measure"/>
    <n v="100"/>
    <n v="100"/>
    <n v="0.32"/>
    <m/>
    <m/>
    <m/>
    <m/>
    <m/>
    <n v="0.40949999999999998"/>
    <m/>
    <n v="0.40949999999999998"/>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5-01T00:00:00"/>
    <s v="FY21"/>
    <s v="t"/>
    <n v="0"/>
    <n v="0"/>
    <n v="0.32550000000000001"/>
    <n v="0.32550000000000001"/>
    <n v="0"/>
    <n v="0"/>
    <n v="31"/>
    <n v="31"/>
    <n v="0"/>
    <n v="0"/>
    <n v="100"/>
    <s v="Consolidation"/>
    <s v="CO2e and Base Measure"/>
    <n v="100"/>
    <n v="100"/>
    <n v="0.33"/>
    <m/>
    <m/>
    <m/>
    <m/>
    <m/>
    <n v="0.42320000000000002"/>
    <m/>
    <n v="0.42320000000000002"/>
    <m/>
    <m/>
    <m/>
    <m/>
    <m/>
    <s v="AUD"/>
    <s v="13634136Waste - General [t] - Scope 3"/>
    <n v="13634136"/>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0-12-01T00:00:00"/>
    <s v="FY21"/>
    <s v="t"/>
    <n v="4.8000000000000001E-2"/>
    <n v="0"/>
    <n v="0"/>
    <n v="4.8000000000000001E-2"/>
    <n v="2"/>
    <n v="0"/>
    <n v="0"/>
    <n v="2"/>
    <n v="100"/>
    <n v="0"/>
    <n v="0"/>
    <s v="Consolidation"/>
    <s v="CO2e and Base Measure"/>
    <n v="100"/>
    <n v="100"/>
    <n v="0.05"/>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1-01T00:00:00"/>
    <s v="FY21"/>
    <s v="t"/>
    <n v="2.5000000000000001E-2"/>
    <n v="0.03"/>
    <n v="0"/>
    <n v="5.5E-2"/>
    <n v="1"/>
    <n v="1"/>
    <n v="0"/>
    <n v="2"/>
    <n v="45.45"/>
    <n v="54.54"/>
    <n v="0"/>
    <s v="Consolidation"/>
    <s v="CO2e and Base Measure"/>
    <n v="100"/>
    <n v="100"/>
    <n v="0.06"/>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2-01T00:00:00"/>
    <s v="FY21"/>
    <s v="t"/>
    <n v="3.2000000000000001E-2"/>
    <n v="0.03"/>
    <n v="0"/>
    <n v="6.2E-2"/>
    <n v="1"/>
    <n v="1"/>
    <n v="0"/>
    <n v="2"/>
    <n v="51.61"/>
    <n v="48.38"/>
    <n v="0"/>
    <s v="Consolidation"/>
    <s v="CO2e and Base Measure"/>
    <n v="100"/>
    <n v="100"/>
    <n v="0.06"/>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3-01T00:00:00"/>
    <s v="FY21"/>
    <s v="t"/>
    <n v="7.4999999999999997E-2"/>
    <n v="0"/>
    <n v="0"/>
    <n v="7.4999999999999997E-2"/>
    <n v="2"/>
    <n v="0"/>
    <n v="0"/>
    <n v="2"/>
    <n v="100"/>
    <n v="0"/>
    <n v="0"/>
    <s v="Consolidation"/>
    <s v="CO2e and Base Measure"/>
    <n v="100"/>
    <n v="100"/>
    <n v="0.08"/>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4-01T00:00:00"/>
    <s v="FY21"/>
    <s v="t"/>
    <n v="0"/>
    <n v="0"/>
    <n v="0.06"/>
    <n v="0.06"/>
    <n v="0"/>
    <n v="0"/>
    <n v="30"/>
    <n v="30"/>
    <n v="0"/>
    <n v="0"/>
    <n v="100"/>
    <s v="Consolidation"/>
    <s v="CO2e and Base Measure"/>
    <n v="100"/>
    <n v="100"/>
    <n v="0.06"/>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5-01T00:00:00"/>
    <s v="FY21"/>
    <s v="t"/>
    <n v="0"/>
    <n v="0"/>
    <n v="6.2E-2"/>
    <n v="6.2E-2"/>
    <n v="0"/>
    <n v="0"/>
    <n v="31"/>
    <n v="31"/>
    <n v="0"/>
    <n v="0"/>
    <n v="100"/>
    <s v="Consolidation"/>
    <s v="CO2e and Base Measure"/>
    <n v="100"/>
    <n v="100"/>
    <n v="0.06"/>
    <m/>
    <m/>
    <m/>
    <m/>
    <m/>
    <m/>
    <n v="0"/>
    <m/>
    <m/>
    <m/>
    <m/>
    <m/>
    <m/>
    <s v="AUD"/>
    <s v="13634137Waste Recycled - Commingled [t]"/>
    <n v="13634137"/>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07-01T00:00:00"/>
    <s v="FY21"/>
    <s v="t"/>
    <n v="0"/>
    <n v="0.12509999999999999"/>
    <n v="0"/>
    <n v="0.12509999999999999"/>
    <n v="0"/>
    <n v="9"/>
    <n v="0"/>
    <n v="9"/>
    <n v="0"/>
    <n v="100"/>
    <n v="0"/>
    <s v="Consolidation"/>
    <s v="CO2e and Base Measure"/>
    <n v="100"/>
    <n v="100"/>
    <n v="0.13"/>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08-01T00:00:00"/>
    <s v="FY21"/>
    <s v="t"/>
    <n v="0"/>
    <n v="0.11119999999999999"/>
    <n v="0"/>
    <n v="0.11119999999999999"/>
    <n v="0"/>
    <n v="8"/>
    <n v="0"/>
    <n v="8"/>
    <n v="0"/>
    <n v="100"/>
    <n v="0"/>
    <s v="Consolidation"/>
    <s v="CO2e and Base Measure"/>
    <n v="100"/>
    <n v="100"/>
    <n v="0.11"/>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09-01T00:00:00"/>
    <s v="FY21"/>
    <s v="t"/>
    <n v="0"/>
    <n v="0.12509999999999999"/>
    <n v="0"/>
    <n v="0.12509999999999999"/>
    <n v="0"/>
    <n v="9"/>
    <n v="0"/>
    <n v="9"/>
    <n v="0"/>
    <n v="100"/>
    <n v="0"/>
    <s v="Consolidation"/>
    <s v="CO2e and Base Measure"/>
    <n v="100"/>
    <n v="100"/>
    <n v="0.13"/>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10-01T00:00:00"/>
    <s v="FY21"/>
    <s v="t"/>
    <n v="0"/>
    <n v="0.11119999999999999"/>
    <n v="0"/>
    <n v="0.11119999999999999"/>
    <n v="0"/>
    <n v="8"/>
    <n v="0"/>
    <n v="8"/>
    <n v="0"/>
    <n v="100"/>
    <n v="0"/>
    <s v="Consolidation"/>
    <s v="CO2e and Base Measure"/>
    <n v="100"/>
    <n v="100"/>
    <n v="0.11"/>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11-01T00:00:00"/>
    <s v="FY21"/>
    <s v="t"/>
    <n v="0"/>
    <n v="0.12509999999999999"/>
    <n v="0"/>
    <n v="0.12509999999999999"/>
    <n v="0"/>
    <n v="9"/>
    <n v="0"/>
    <n v="9"/>
    <n v="0"/>
    <n v="100"/>
    <n v="0"/>
    <s v="Consolidation"/>
    <s v="CO2e and Base Measure"/>
    <n v="100"/>
    <n v="100"/>
    <n v="0.13"/>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12-01T00:00:00"/>
    <s v="FY21"/>
    <s v="t"/>
    <n v="0"/>
    <n v="2.7699999999999999E-2"/>
    <n v="0"/>
    <n v="2.7699999999999999E-2"/>
    <n v="0"/>
    <n v="1"/>
    <n v="0"/>
    <n v="1"/>
    <n v="0"/>
    <n v="100"/>
    <n v="0"/>
    <s v="Consolidation"/>
    <s v="CO2e and Base Measure"/>
    <n v="100"/>
    <n v="100"/>
    <n v="0.03"/>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1-01-01T00:00:00"/>
    <s v="FY21"/>
    <s v="t"/>
    <n v="0"/>
    <n v="0"/>
    <n v="3.5000000000000001E-3"/>
    <n v="3.5000000000000001E-3"/>
    <n v="0"/>
    <n v="0"/>
    <n v="1"/>
    <n v="1"/>
    <n v="0"/>
    <n v="0"/>
    <n v="100"/>
    <s v="Consolidation"/>
    <s v="CO2e and Base Measure"/>
    <n v="100"/>
    <n v="100"/>
    <n v="0"/>
    <m/>
    <m/>
    <m/>
    <m/>
    <m/>
    <m/>
    <n v="0"/>
    <m/>
    <m/>
    <m/>
    <m/>
    <m/>
    <m/>
    <s v="AUD"/>
    <s v="13565884Waste Recycled - Cardboard [t]"/>
    <n v="13565884"/>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07-01T00:00:00"/>
    <s v="FY21"/>
    <s v="t"/>
    <n v="0"/>
    <n v="0.2145"/>
    <n v="0"/>
    <n v="0.2145"/>
    <n v="0"/>
    <n v="5"/>
    <n v="0"/>
    <n v="5"/>
    <n v="0"/>
    <n v="100"/>
    <n v="0"/>
    <s v="Consolidation"/>
    <s v="CO2e and Base Measure"/>
    <n v="100"/>
    <n v="100"/>
    <n v="0.21"/>
    <m/>
    <m/>
    <m/>
    <m/>
    <m/>
    <n v="0.27889999999999998"/>
    <m/>
    <n v="0.27889999999999998"/>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08-01T00:00:00"/>
    <s v="FY21"/>
    <s v="t"/>
    <n v="0"/>
    <n v="0.1716"/>
    <n v="0"/>
    <n v="0.1716"/>
    <n v="0"/>
    <n v="4"/>
    <n v="0"/>
    <n v="4"/>
    <n v="0"/>
    <n v="100"/>
    <n v="0"/>
    <s v="Consolidation"/>
    <s v="CO2e and Base Measure"/>
    <n v="100"/>
    <n v="100"/>
    <n v="0.17"/>
    <m/>
    <m/>
    <m/>
    <m/>
    <m/>
    <n v="0.22309999999999999"/>
    <m/>
    <n v="0.22309999999999999"/>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09-01T00:00:00"/>
    <s v="FY21"/>
    <s v="t"/>
    <n v="0"/>
    <n v="0.2145"/>
    <n v="0"/>
    <n v="0.2145"/>
    <n v="0"/>
    <n v="5"/>
    <n v="0"/>
    <n v="5"/>
    <n v="0"/>
    <n v="100"/>
    <n v="0"/>
    <s v="Consolidation"/>
    <s v="CO2e and Base Measure"/>
    <n v="100"/>
    <n v="100"/>
    <n v="0.21"/>
    <m/>
    <m/>
    <m/>
    <m/>
    <m/>
    <n v="0.27889999999999998"/>
    <m/>
    <n v="0.27889999999999998"/>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10-01T00:00:00"/>
    <s v="FY21"/>
    <s v="t"/>
    <n v="0"/>
    <n v="0.1716"/>
    <n v="0"/>
    <n v="0.1716"/>
    <n v="0"/>
    <n v="4"/>
    <n v="0"/>
    <n v="4"/>
    <n v="0"/>
    <n v="100"/>
    <n v="0"/>
    <s v="Consolidation"/>
    <s v="CO2e and Base Measure"/>
    <n v="100"/>
    <n v="100"/>
    <n v="0.17"/>
    <m/>
    <m/>
    <m/>
    <m/>
    <m/>
    <n v="0.22309999999999999"/>
    <m/>
    <n v="0.22309999999999999"/>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11-01T00:00:00"/>
    <s v="FY21"/>
    <s v="t"/>
    <n v="0"/>
    <n v="0.25740000000000002"/>
    <n v="0"/>
    <n v="0.25740000000000002"/>
    <n v="0"/>
    <n v="5"/>
    <n v="0"/>
    <n v="5"/>
    <n v="0"/>
    <n v="100"/>
    <n v="0"/>
    <s v="Consolidation"/>
    <s v="CO2e and Base Measure"/>
    <n v="100"/>
    <n v="100"/>
    <n v="0.26"/>
    <m/>
    <m/>
    <m/>
    <m/>
    <m/>
    <n v="0.33460000000000001"/>
    <m/>
    <n v="0.33460000000000001"/>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12-01T00:00:00"/>
    <s v="FY21"/>
    <s v="t"/>
    <n v="0"/>
    <n v="0"/>
    <n v="6.6E-3"/>
    <n v="6.6E-3"/>
    <n v="0"/>
    <n v="0"/>
    <n v="1"/>
    <n v="1"/>
    <n v="0"/>
    <n v="0"/>
    <n v="100"/>
    <s v="Consolidation"/>
    <s v="CO2e and Base Measure"/>
    <n v="100"/>
    <n v="100"/>
    <n v="0.01"/>
    <m/>
    <m/>
    <m/>
    <m/>
    <m/>
    <n v="8.6E-3"/>
    <m/>
    <n v="8.6E-3"/>
    <m/>
    <m/>
    <m/>
    <m/>
    <m/>
    <s v="AUD"/>
    <s v="13565885Waste - General [t] - Scope 3"/>
    <n v="13565885"/>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0-07-01T00:00:00"/>
    <s v="FY21"/>
    <s v="t"/>
    <n v="2.7E-2"/>
    <n v="0"/>
    <n v="0"/>
    <n v="2.7E-2"/>
    <n v="1"/>
    <n v="0"/>
    <n v="0"/>
    <n v="1"/>
    <n v="100"/>
    <n v="0"/>
    <n v="0"/>
    <s v="Consolidation"/>
    <s v="CO2e and Base Measure"/>
    <n v="100"/>
    <n v="100"/>
    <n v="0.03"/>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0-09-01T00:00:00"/>
    <s v="FY21"/>
    <s v="t"/>
    <n v="2E-3"/>
    <n v="0"/>
    <n v="0"/>
    <n v="2E-3"/>
    <n v="1"/>
    <n v="0"/>
    <n v="0"/>
    <n v="1"/>
    <n v="100"/>
    <n v="0"/>
    <n v="0"/>
    <s v="Consolidation"/>
    <s v="CO2e and Base Measure"/>
    <n v="100"/>
    <n v="100"/>
    <n v="0"/>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0-11-01T00:00:00"/>
    <s v="FY21"/>
    <s v="t"/>
    <n v="2.7E-2"/>
    <n v="0"/>
    <n v="0"/>
    <n v="2.7E-2"/>
    <n v="1"/>
    <n v="0"/>
    <n v="0"/>
    <n v="1"/>
    <n v="100"/>
    <n v="0"/>
    <n v="0"/>
    <s v="Consolidation"/>
    <s v="CO2e and Base Measure"/>
    <n v="100"/>
    <n v="100"/>
    <n v="0.03"/>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0-12-01T00:00:00"/>
    <s v="FY21"/>
    <s v="t"/>
    <n v="0"/>
    <n v="0"/>
    <n v="1.55E-2"/>
    <n v="1.55E-2"/>
    <n v="0"/>
    <n v="0"/>
    <n v="31"/>
    <n v="31"/>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1-01T00:00:00"/>
    <s v="FY21"/>
    <s v="t"/>
    <n v="0"/>
    <n v="0"/>
    <n v="1.55E-2"/>
    <n v="1.55E-2"/>
    <n v="0"/>
    <n v="0"/>
    <n v="31"/>
    <n v="31"/>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2-01T00:00:00"/>
    <s v="FY21"/>
    <s v="t"/>
    <n v="0"/>
    <n v="0"/>
    <n v="1.4E-2"/>
    <n v="1.4E-2"/>
    <n v="0"/>
    <n v="0"/>
    <n v="28"/>
    <n v="28"/>
    <n v="0"/>
    <n v="0"/>
    <n v="100"/>
    <s v="Consolidation"/>
    <s v="CO2e and Base Measure"/>
    <n v="100"/>
    <n v="100"/>
    <n v="0.01"/>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3-01T00:00:00"/>
    <s v="FY21"/>
    <s v="t"/>
    <n v="0"/>
    <n v="0"/>
    <n v="1.55E-2"/>
    <n v="1.55E-2"/>
    <n v="0"/>
    <n v="0"/>
    <n v="31"/>
    <n v="31"/>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5-01T00:00:00"/>
    <s v="FY21"/>
    <s v="t"/>
    <n v="0"/>
    <n v="0"/>
    <n v="1.55E-2"/>
    <n v="1.55E-2"/>
    <n v="0"/>
    <n v="0"/>
    <n v="31"/>
    <n v="31"/>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0-12-01T00:00:00"/>
    <s v="FY21"/>
    <s v="t"/>
    <n v="4.9000000000000002E-2"/>
    <n v="2.9700000000000001E-2"/>
    <n v="0"/>
    <n v="7.8700000000000006E-2"/>
    <n v="2"/>
    <n v="1"/>
    <n v="0"/>
    <n v="3"/>
    <n v="62.26"/>
    <n v="37.729999999999997"/>
    <n v="0"/>
    <s v="Consolidation"/>
    <s v="CO2e and Base Measure"/>
    <n v="100"/>
    <n v="100"/>
    <n v="0.08"/>
    <m/>
    <m/>
    <m/>
    <m/>
    <m/>
    <n v="0.1023"/>
    <m/>
    <n v="0.1023"/>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1-01T00:00:00"/>
    <s v="FY21"/>
    <s v="t"/>
    <n v="7.9000000000000001E-2"/>
    <n v="2.9700000000000001E-2"/>
    <n v="0"/>
    <n v="0.1087"/>
    <n v="4"/>
    <n v="1"/>
    <n v="0"/>
    <n v="5"/>
    <n v="72.67"/>
    <n v="27.32"/>
    <n v="0"/>
    <s v="Consolidation"/>
    <s v="CO2e and Base Measure"/>
    <n v="100"/>
    <n v="100"/>
    <n v="0.11"/>
    <m/>
    <m/>
    <m/>
    <m/>
    <m/>
    <n v="0.14130000000000001"/>
    <m/>
    <n v="0.14130000000000001"/>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2-01T00:00:00"/>
    <s v="FY21"/>
    <s v="t"/>
    <n v="0"/>
    <n v="0.1188"/>
    <n v="0"/>
    <n v="0.1188"/>
    <n v="0"/>
    <n v="4"/>
    <n v="0"/>
    <n v="4"/>
    <n v="0"/>
    <n v="100"/>
    <n v="0"/>
    <s v="Consolidation"/>
    <s v="CO2e and Base Measure"/>
    <n v="100"/>
    <n v="100"/>
    <n v="0.12"/>
    <m/>
    <m/>
    <m/>
    <m/>
    <m/>
    <n v="0.15440000000000001"/>
    <m/>
    <n v="0.15440000000000001"/>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3-01T00:00:00"/>
    <s v="FY21"/>
    <s v="t"/>
    <n v="1.0999999999999999E-2"/>
    <n v="8.9099999999999999E-2"/>
    <n v="0"/>
    <n v="0.10009999999999999"/>
    <n v="1"/>
    <n v="3"/>
    <n v="0"/>
    <n v="4"/>
    <n v="10.98"/>
    <n v="89.01"/>
    <n v="0"/>
    <s v="Consolidation"/>
    <s v="CO2e and Base Measure"/>
    <n v="100"/>
    <n v="100"/>
    <n v="0.1"/>
    <m/>
    <m/>
    <m/>
    <m/>
    <m/>
    <n v="0.13009999999999999"/>
    <m/>
    <n v="0.13009999999999999"/>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4-01T00:00:00"/>
    <s v="FY21"/>
    <s v="t"/>
    <n v="0"/>
    <n v="0"/>
    <n v="0.10199999999999999"/>
    <n v="0.10199999999999999"/>
    <n v="0"/>
    <n v="0"/>
    <n v="30"/>
    <n v="30"/>
    <n v="0"/>
    <n v="0"/>
    <n v="100"/>
    <s v="Consolidation"/>
    <s v="CO2e and Base Measure"/>
    <n v="100"/>
    <n v="100"/>
    <n v="0.1"/>
    <m/>
    <m/>
    <m/>
    <m/>
    <m/>
    <n v="0.1326"/>
    <m/>
    <n v="0.1326"/>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5-01T00:00:00"/>
    <s v="FY21"/>
    <s v="t"/>
    <n v="0"/>
    <n v="0"/>
    <n v="0.10539999999999999"/>
    <n v="0.10539999999999999"/>
    <n v="0"/>
    <n v="0"/>
    <n v="31"/>
    <n v="31"/>
    <n v="0"/>
    <n v="0"/>
    <n v="100"/>
    <s v="Consolidation"/>
    <s v="CO2e and Base Measure"/>
    <n v="100"/>
    <n v="100"/>
    <n v="0.11"/>
    <m/>
    <m/>
    <m/>
    <m/>
    <m/>
    <n v="0.13700000000000001"/>
    <m/>
    <n v="0.13700000000000001"/>
    <m/>
    <m/>
    <m/>
    <m/>
    <m/>
    <s v="AUD"/>
    <s v="13634368Waste - General [t] - Scope 3"/>
    <n v="13634368"/>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0-12-01T00:00:00"/>
    <s v="FY21"/>
    <s v="t"/>
    <n v="0"/>
    <n v="4.9500000000000002E-2"/>
    <n v="0"/>
    <n v="4.9500000000000002E-2"/>
    <n v="0"/>
    <n v="3"/>
    <n v="0"/>
    <n v="3"/>
    <n v="0"/>
    <n v="100"/>
    <n v="0"/>
    <s v="Consolidation"/>
    <s v="CO2e and Base Measure"/>
    <n v="100"/>
    <n v="100"/>
    <n v="0.05"/>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1-01T00:00:00"/>
    <s v="FY21"/>
    <s v="t"/>
    <n v="0"/>
    <n v="6.6000000000000003E-2"/>
    <n v="0"/>
    <n v="6.6000000000000003E-2"/>
    <n v="0"/>
    <n v="4"/>
    <n v="0"/>
    <n v="4"/>
    <n v="0"/>
    <n v="100"/>
    <n v="0"/>
    <s v="Consolidation"/>
    <s v="CO2e and Base Measure"/>
    <n v="100"/>
    <n v="100"/>
    <n v="7.0000000000000007E-2"/>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2-01T00:00:00"/>
    <s v="FY21"/>
    <s v="t"/>
    <n v="0"/>
    <n v="6.6000000000000003E-2"/>
    <n v="0"/>
    <n v="6.6000000000000003E-2"/>
    <n v="0"/>
    <n v="4"/>
    <n v="0"/>
    <n v="4"/>
    <n v="0"/>
    <n v="100"/>
    <n v="0"/>
    <s v="Consolidation"/>
    <s v="CO2e and Base Measure"/>
    <n v="100"/>
    <n v="100"/>
    <n v="7.0000000000000007E-2"/>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3-01T00:00:00"/>
    <s v="FY21"/>
    <s v="t"/>
    <n v="0"/>
    <n v="8.2500000000000004E-2"/>
    <n v="0"/>
    <n v="8.2500000000000004E-2"/>
    <n v="0"/>
    <n v="5"/>
    <n v="0"/>
    <n v="5"/>
    <n v="0"/>
    <n v="100"/>
    <n v="0"/>
    <s v="Consolidation"/>
    <s v="CO2e and Base Measure"/>
    <n v="100"/>
    <n v="100"/>
    <n v="0.08"/>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4-01T00:00:00"/>
    <s v="FY21"/>
    <s v="t"/>
    <n v="0"/>
    <n v="0"/>
    <n v="6.6000000000000003E-2"/>
    <n v="6.6000000000000003E-2"/>
    <n v="0"/>
    <n v="0"/>
    <n v="30"/>
    <n v="30"/>
    <n v="0"/>
    <n v="0"/>
    <n v="100"/>
    <s v="Consolidation"/>
    <s v="CO2e and Base Measure"/>
    <n v="100"/>
    <n v="100"/>
    <n v="7.0000000000000007E-2"/>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5-01T00:00:00"/>
    <s v="FY21"/>
    <s v="t"/>
    <n v="0"/>
    <n v="0"/>
    <n v="6.8199999999999997E-2"/>
    <n v="6.8199999999999997E-2"/>
    <n v="0"/>
    <n v="0"/>
    <n v="31"/>
    <n v="31"/>
    <n v="0"/>
    <n v="0"/>
    <n v="100"/>
    <s v="Consolidation"/>
    <s v="CO2e and Base Measure"/>
    <n v="100"/>
    <n v="100"/>
    <n v="7.0000000000000007E-2"/>
    <m/>
    <m/>
    <m/>
    <m/>
    <m/>
    <m/>
    <m/>
    <m/>
    <m/>
    <m/>
    <m/>
    <m/>
    <m/>
    <s v="AUD"/>
    <s v="13634369Waste Recycled - Paper and Cardboard [t]"/>
    <n v="13634369"/>
  </r>
  <r>
    <d v="2019-07-01T00:00:00"/>
    <d v="2021-06-30T00:00:00"/>
    <s v="Telstra"/>
    <s v="NETWORK"/>
    <s v="Network - InfraCo"/>
    <s v="NSW"/>
    <s v="Australia"/>
    <s v="East Hills"/>
    <s v="HOLSWORTHY EXCHANGE"/>
    <n v="423030355400"/>
    <s v="Recycled Waste"/>
    <x v="0"/>
    <x v="1"/>
    <s v="Account"/>
    <s v="Remondis Electrical Comp. (E-Waste)"/>
    <m/>
    <s v="423030355400_RELECTRIC"/>
    <s v="ELECTRICAL COMP. E-WASTE"/>
    <s v="Remondis"/>
    <m/>
    <m/>
    <d v="2021-01-01T00:00:00"/>
    <d v="2020-12-01T00:00:00"/>
    <s v="FY21"/>
    <s v="t"/>
    <n v="0.37"/>
    <n v="0"/>
    <n v="0"/>
    <n v="0.37"/>
    <n v="1"/>
    <n v="0"/>
    <n v="0"/>
    <n v="1"/>
    <n v="100"/>
    <n v="0"/>
    <n v="0"/>
    <s v="Consolidation"/>
    <s v="CO2e and Base Measure"/>
    <n v="100"/>
    <n v="100"/>
    <n v="0.37"/>
    <m/>
    <m/>
    <m/>
    <m/>
    <m/>
    <m/>
    <m/>
    <m/>
    <m/>
    <m/>
    <m/>
    <m/>
    <m/>
    <s v="AUD"/>
    <s v="13596905Waste Recycled - E-waste [t]"/>
    <n v="13596905"/>
  </r>
  <r>
    <d v="2019-07-01T00:00:00"/>
    <d v="2021-06-30T00:00:00"/>
    <s v="Telstra"/>
    <s v="NETWORK"/>
    <s v="Network - InfraCo"/>
    <s v="NSW"/>
    <s v="Australia"/>
    <s v="East Hills"/>
    <s v="HOLSWORTHY EXCHANGE"/>
    <n v="423030355400"/>
    <s v="Recycled Waste"/>
    <x v="0"/>
    <x v="1"/>
    <s v="Account"/>
    <s v="Remondis Electrical Comp. (E-Waste)"/>
    <m/>
    <s v="423030355400_RELECTRIC"/>
    <s v="ELECTRICAL COMP. E-WASTE"/>
    <s v="Remondis"/>
    <m/>
    <m/>
    <d v="2021-01-01T00:00:00"/>
    <d v="2021-01-01T00:00:00"/>
    <s v="FY21"/>
    <s v="t"/>
    <n v="0"/>
    <n v="0"/>
    <n v="1.23E-2"/>
    <n v="1.23E-2"/>
    <n v="0"/>
    <n v="0"/>
    <n v="1"/>
    <n v="1"/>
    <n v="0"/>
    <n v="0"/>
    <n v="100"/>
    <s v="Consolidation"/>
    <s v="CO2e and Base Measure"/>
    <n v="100"/>
    <n v="100"/>
    <n v="0.01"/>
    <m/>
    <m/>
    <m/>
    <m/>
    <m/>
    <m/>
    <m/>
    <m/>
    <m/>
    <m/>
    <m/>
    <m/>
    <m/>
    <s v="AUD"/>
    <s v="13596905Waste Recycled - E-waste [t]"/>
    <n v="13596905"/>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0-07-01T00:00:00"/>
    <s v="FY21"/>
    <s v="t"/>
    <n v="0.32"/>
    <n v="0"/>
    <n v="0"/>
    <n v="0.32"/>
    <n v="1"/>
    <n v="0"/>
    <n v="0"/>
    <n v="1"/>
    <n v="100"/>
    <n v="0"/>
    <n v="0"/>
    <s v="Consolidation"/>
    <s v="CO2e and Base Measure"/>
    <n v="100"/>
    <n v="100"/>
    <n v="0.32"/>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0-08-01T00:00:00"/>
    <s v="FY21"/>
    <s v="t"/>
    <n v="0.09"/>
    <n v="0"/>
    <n v="0"/>
    <n v="0.09"/>
    <n v="1"/>
    <n v="0"/>
    <n v="0"/>
    <n v="1"/>
    <n v="100"/>
    <n v="0"/>
    <n v="0"/>
    <s v="Consolidation"/>
    <s v="CO2e and Base Measure"/>
    <n v="100"/>
    <n v="100"/>
    <n v="0.09"/>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0-09-01T00:00:00"/>
    <s v="FY21"/>
    <s v="t"/>
    <n v="0"/>
    <n v="6.3E-2"/>
    <n v="0"/>
    <n v="6.3E-2"/>
    <n v="0"/>
    <n v="1"/>
    <n v="0"/>
    <n v="1"/>
    <n v="0"/>
    <n v="100"/>
    <n v="0"/>
    <s v="Consolidation"/>
    <s v="CO2e and Base Measure"/>
    <n v="100"/>
    <n v="100"/>
    <n v="0.06"/>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0-11-01T00:00:00"/>
    <s v="FY21"/>
    <s v="t"/>
    <n v="0.32500000000000001"/>
    <n v="0"/>
    <n v="0"/>
    <n v="0.32500000000000001"/>
    <n v="2"/>
    <n v="0"/>
    <n v="0"/>
    <n v="2"/>
    <n v="100"/>
    <n v="0"/>
    <n v="0"/>
    <s v="Consolidation"/>
    <s v="CO2e and Base Measure"/>
    <n v="100"/>
    <n v="100"/>
    <n v="0.33"/>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1-01-01T00:00:00"/>
    <s v="FY21"/>
    <s v="t"/>
    <n v="0"/>
    <n v="6.3E-2"/>
    <n v="0"/>
    <n v="6.3E-2"/>
    <n v="0"/>
    <n v="1"/>
    <n v="0"/>
    <n v="1"/>
    <n v="0"/>
    <n v="100"/>
    <n v="0"/>
    <s v="Consolidation"/>
    <s v="CO2e and Base Measure"/>
    <n v="100"/>
    <n v="100"/>
    <n v="0.06"/>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1-02-01T00:00:00"/>
    <s v="FY21"/>
    <s v="t"/>
    <n v="0"/>
    <n v="0"/>
    <n v="4.1000000000000003E-3"/>
    <n v="4.1000000000000003E-3"/>
    <n v="0"/>
    <n v="0"/>
    <n v="1"/>
    <n v="1"/>
    <n v="0"/>
    <n v="0"/>
    <n v="100"/>
    <s v="Consolidation"/>
    <s v="CO2e and Base Measure"/>
    <n v="100"/>
    <n v="100"/>
    <n v="0"/>
    <m/>
    <m/>
    <m/>
    <m/>
    <m/>
    <m/>
    <n v="0"/>
    <m/>
    <m/>
    <m/>
    <m/>
    <m/>
    <m/>
    <s v="AUD"/>
    <s v="13564692Waste Recycled - Cardboard [t]"/>
    <n v="13564692"/>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0-07-01T00:00:00"/>
    <s v="FY21"/>
    <s v="t"/>
    <n v="0"/>
    <n v="0.29249999999999998"/>
    <n v="0"/>
    <n v="0.29249999999999998"/>
    <n v="0"/>
    <n v="1"/>
    <n v="0"/>
    <n v="1"/>
    <n v="0"/>
    <n v="100"/>
    <n v="0"/>
    <s v="Consolidation"/>
    <s v="CO2e and Base Measure"/>
    <n v="100"/>
    <n v="100"/>
    <n v="0.28999999999999998"/>
    <m/>
    <m/>
    <m/>
    <m/>
    <m/>
    <n v="0.38030000000000003"/>
    <m/>
    <n v="0.38030000000000003"/>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0-09-01T00:00:00"/>
    <s v="FY21"/>
    <s v="t"/>
    <n v="0"/>
    <n v="0.58499999999999996"/>
    <n v="0"/>
    <n v="0.58499999999999996"/>
    <n v="0"/>
    <n v="2"/>
    <n v="0"/>
    <n v="2"/>
    <n v="0"/>
    <n v="100"/>
    <n v="0"/>
    <s v="Consolidation"/>
    <s v="CO2e and Base Measure"/>
    <n v="100"/>
    <n v="100"/>
    <n v="0.59"/>
    <m/>
    <m/>
    <m/>
    <m/>
    <m/>
    <n v="0.76049999999999995"/>
    <m/>
    <n v="0.76049999999999995"/>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0-11-01T00:00:00"/>
    <s v="FY21"/>
    <s v="t"/>
    <n v="0.22500000000000001"/>
    <n v="0.29249999999999998"/>
    <n v="0"/>
    <n v="0.51749999999999996"/>
    <n v="1"/>
    <n v="1"/>
    <n v="0"/>
    <n v="2"/>
    <n v="43.47"/>
    <n v="56.52"/>
    <n v="0"/>
    <s v="Consolidation"/>
    <s v="CO2e and Base Measure"/>
    <n v="100"/>
    <n v="100"/>
    <n v="0.52"/>
    <m/>
    <m/>
    <m/>
    <m/>
    <m/>
    <n v="0.67279999999999995"/>
    <m/>
    <n v="0.67279999999999995"/>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0-12-01T00:00:00"/>
    <s v="FY21"/>
    <s v="t"/>
    <n v="8.8999999999999996E-2"/>
    <n v="0"/>
    <n v="0"/>
    <n v="8.8999999999999996E-2"/>
    <n v="1"/>
    <n v="0"/>
    <n v="0"/>
    <n v="1"/>
    <n v="100"/>
    <n v="0"/>
    <n v="0"/>
    <s v="Consolidation"/>
    <s v="CO2e and Base Measure"/>
    <n v="100"/>
    <n v="100"/>
    <n v="0.09"/>
    <m/>
    <m/>
    <m/>
    <m/>
    <m/>
    <n v="0.1157"/>
    <m/>
    <n v="0.1157"/>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1-01-01T00:00:00"/>
    <s v="FY21"/>
    <s v="t"/>
    <n v="0"/>
    <n v="0.29249999999999998"/>
    <n v="0"/>
    <n v="0.29249999999999998"/>
    <n v="0"/>
    <n v="1"/>
    <n v="0"/>
    <n v="1"/>
    <n v="0"/>
    <n v="100"/>
    <n v="0"/>
    <s v="Consolidation"/>
    <s v="CO2e and Base Measure"/>
    <n v="100"/>
    <n v="100"/>
    <n v="0.28999999999999998"/>
    <m/>
    <m/>
    <m/>
    <m/>
    <m/>
    <n v="0.38030000000000003"/>
    <m/>
    <n v="0.38030000000000003"/>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1-02-01T00:00:00"/>
    <s v="FY21"/>
    <s v="t"/>
    <n v="0"/>
    <n v="0"/>
    <n v="1.0800000000000001E-2"/>
    <n v="1.0800000000000001E-2"/>
    <n v="0"/>
    <n v="0"/>
    <n v="1"/>
    <n v="1"/>
    <n v="0"/>
    <n v="0"/>
    <n v="100"/>
    <s v="Consolidation"/>
    <s v="CO2e and Base Measure"/>
    <n v="100"/>
    <n v="100"/>
    <n v="0.01"/>
    <m/>
    <m/>
    <m/>
    <m/>
    <m/>
    <n v="1.4E-2"/>
    <m/>
    <n v="1.4E-2"/>
    <m/>
    <m/>
    <m/>
    <m/>
    <m/>
    <s v="AUD"/>
    <s v="13564693Waste - General [t] - Scope 3"/>
    <n v="13564693"/>
  </r>
  <r>
    <d v="2019-07-01T00:00:00"/>
    <d v="2021-06-30T00:00:00"/>
    <s v="Telstra"/>
    <s v="NETWORK"/>
    <s v="Network - InfraCo"/>
    <s v="NSW"/>
    <s v="Australia"/>
    <s v="Homebush"/>
    <s v="HOMEBUSH TELEPHONE EXCHANGE"/>
    <n v="423030355500"/>
    <s v="Recycled Waste"/>
    <x v="0"/>
    <x v="1"/>
    <s v="Account"/>
    <s v="Remondis Electrical Comp. (E-Waste)"/>
    <m/>
    <s v="4230303555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86295Waste Recycled - E-waste [t]"/>
    <n v="13586295"/>
  </r>
  <r>
    <d v="2019-07-01T00:00:00"/>
    <d v="2021-06-30T00:00:00"/>
    <s v="Telstra"/>
    <s v="NETWORK"/>
    <s v="Network - InfraCo"/>
    <s v="NSW"/>
    <s v="Australia"/>
    <s v="Homebush"/>
    <s v="HOMEBUSH TELEPHONE EXCHANGE"/>
    <n v="423030355500"/>
    <s v="Recycled Waste"/>
    <x v="0"/>
    <x v="1"/>
    <s v="Account"/>
    <s v="Remondis Electrical Comp. (E-Waste)"/>
    <m/>
    <s v="4230303555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86295Waste Recycled - E-waste [t]"/>
    <n v="13586295"/>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0-12-01T00:00:00"/>
    <s v="FY21"/>
    <s v="t"/>
    <n v="3.04"/>
    <n v="0"/>
    <n v="0"/>
    <n v="3.04"/>
    <n v="1"/>
    <n v="0"/>
    <n v="0"/>
    <n v="1"/>
    <n v="100"/>
    <n v="0"/>
    <n v="0"/>
    <s v="Consolidation"/>
    <s v="CO2e and Base Measure"/>
    <n v="100"/>
    <n v="100"/>
    <n v="3.0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1-01T00:00:00"/>
    <s v="FY21"/>
    <s v="t"/>
    <n v="0"/>
    <n v="0"/>
    <n v="3.1402999999999999"/>
    <n v="3.1402999999999999"/>
    <n v="0"/>
    <n v="0"/>
    <n v="31"/>
    <n v="31"/>
    <n v="0"/>
    <n v="0"/>
    <n v="100"/>
    <s v="Consolidation"/>
    <s v="CO2e and Base Measure"/>
    <n v="100"/>
    <n v="100"/>
    <n v="3.1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2-01T00:00:00"/>
    <s v="FY21"/>
    <s v="t"/>
    <n v="0"/>
    <n v="0"/>
    <n v="2.8363999999999998"/>
    <n v="2.8363999999999998"/>
    <n v="0"/>
    <n v="0"/>
    <n v="28"/>
    <n v="28"/>
    <n v="0"/>
    <n v="0"/>
    <n v="100"/>
    <s v="Consolidation"/>
    <s v="CO2e and Base Measure"/>
    <n v="100"/>
    <n v="100"/>
    <n v="2.8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3-01T00:00:00"/>
    <s v="FY21"/>
    <s v="t"/>
    <n v="0"/>
    <n v="0"/>
    <n v="3.1402999999999999"/>
    <n v="3.1402999999999999"/>
    <n v="0"/>
    <n v="0"/>
    <n v="31"/>
    <n v="31"/>
    <n v="0"/>
    <n v="0"/>
    <n v="100"/>
    <s v="Consolidation"/>
    <s v="CO2e and Base Measure"/>
    <n v="100"/>
    <n v="100"/>
    <n v="3.1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4-01T00:00:00"/>
    <s v="FY21"/>
    <s v="t"/>
    <n v="0"/>
    <n v="0"/>
    <n v="3.0390000000000001"/>
    <n v="3.0390000000000001"/>
    <n v="0"/>
    <n v="0"/>
    <n v="30"/>
    <n v="30"/>
    <n v="0"/>
    <n v="0"/>
    <n v="100"/>
    <s v="Consolidation"/>
    <s v="CO2e and Base Measure"/>
    <n v="100"/>
    <n v="100"/>
    <n v="3.0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5-01T00:00:00"/>
    <s v="FY21"/>
    <s v="t"/>
    <n v="0"/>
    <n v="0"/>
    <n v="3.1402999999999999"/>
    <n v="3.1402999999999999"/>
    <n v="0"/>
    <n v="0"/>
    <n v="31"/>
    <n v="31"/>
    <n v="0"/>
    <n v="0"/>
    <n v="100"/>
    <s v="Consolidation"/>
    <s v="CO2e and Base Measure"/>
    <n v="100"/>
    <n v="100"/>
    <n v="3.14"/>
    <m/>
    <m/>
    <m/>
    <m/>
    <m/>
    <m/>
    <m/>
    <m/>
    <m/>
    <m/>
    <m/>
    <m/>
    <m/>
    <s v="AUD"/>
    <s v="13633434Waste Recycled - Construction and Demolition [t]"/>
    <n v="13633434"/>
  </r>
  <r>
    <d v="2019-07-01T00:00:00"/>
    <d v="2021-06-30T00:00:00"/>
    <s v="Telstra"/>
    <s v="NETWORK"/>
    <s v="Network - InfraCo"/>
    <s v="NSW"/>
    <s v="Australia"/>
    <s v="Hornsby"/>
    <s v="HORNSBY EXCHANGE"/>
    <n v="423030355900"/>
    <s v="Waste"/>
    <x v="1"/>
    <x v="2"/>
    <s v="Account"/>
    <s v="Remondis General Waste"/>
    <m/>
    <s v="423030355900_WGENERALW"/>
    <s v="GENERAL WASTE"/>
    <s v="Remondis"/>
    <m/>
    <m/>
    <m/>
    <d v="2020-11-01T00:00:00"/>
    <s v="FY21"/>
    <s v="t"/>
    <n v="1"/>
    <n v="0"/>
    <n v="0"/>
    <n v="1"/>
    <n v="1"/>
    <n v="0"/>
    <n v="0"/>
    <n v="1"/>
    <n v="100"/>
    <n v="0"/>
    <n v="0"/>
    <s v="Consolidation"/>
    <s v="CO2e and Base Measure"/>
    <n v="100"/>
    <n v="100"/>
    <n v="1"/>
    <m/>
    <m/>
    <m/>
    <m/>
    <m/>
    <n v="1.3"/>
    <m/>
    <n v="1.3"/>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0-12-01T00:00:00"/>
    <s v="FY21"/>
    <s v="t"/>
    <n v="0"/>
    <n v="0"/>
    <n v="1.0694999999999999"/>
    <n v="1.0694999999999999"/>
    <n v="0"/>
    <n v="0"/>
    <n v="31"/>
    <n v="31"/>
    <n v="0"/>
    <n v="0"/>
    <n v="100"/>
    <s v="Consolidation"/>
    <s v="CO2e and Base Measure"/>
    <n v="100"/>
    <n v="100"/>
    <n v="1.07"/>
    <m/>
    <m/>
    <m/>
    <m/>
    <m/>
    <n v="1.3904000000000001"/>
    <m/>
    <n v="1.3904000000000001"/>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1-01T00:00:00"/>
    <s v="FY21"/>
    <s v="t"/>
    <n v="0"/>
    <n v="0"/>
    <n v="1.0694999999999999"/>
    <n v="1.0694999999999999"/>
    <n v="0"/>
    <n v="0"/>
    <n v="31"/>
    <n v="31"/>
    <n v="0"/>
    <n v="0"/>
    <n v="100"/>
    <s v="Consolidation"/>
    <s v="CO2e and Base Measure"/>
    <n v="100"/>
    <n v="100"/>
    <n v="1.07"/>
    <m/>
    <m/>
    <m/>
    <m/>
    <m/>
    <n v="1.3904000000000001"/>
    <m/>
    <n v="1.3904000000000001"/>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2-01T00:00:00"/>
    <s v="FY21"/>
    <s v="t"/>
    <n v="0"/>
    <n v="0"/>
    <n v="0.96599999999999997"/>
    <n v="0.96599999999999997"/>
    <n v="0"/>
    <n v="0"/>
    <n v="28"/>
    <n v="28"/>
    <n v="0"/>
    <n v="0"/>
    <n v="100"/>
    <s v="Consolidation"/>
    <s v="CO2e and Base Measure"/>
    <n v="100"/>
    <n v="100"/>
    <n v="0.97"/>
    <m/>
    <m/>
    <m/>
    <m/>
    <m/>
    <n v="1.2558"/>
    <m/>
    <n v="1.2558"/>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3-01T00:00:00"/>
    <s v="FY21"/>
    <s v="t"/>
    <n v="0"/>
    <n v="0"/>
    <n v="1.0694999999999999"/>
    <n v="1.0694999999999999"/>
    <n v="0"/>
    <n v="0"/>
    <n v="31"/>
    <n v="31"/>
    <n v="0"/>
    <n v="0"/>
    <n v="100"/>
    <s v="Consolidation"/>
    <s v="CO2e and Base Measure"/>
    <n v="100"/>
    <n v="100"/>
    <n v="1.07"/>
    <m/>
    <m/>
    <m/>
    <m/>
    <m/>
    <n v="1.3904000000000001"/>
    <m/>
    <n v="1.3904000000000001"/>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4-01T00:00:00"/>
    <s v="FY21"/>
    <s v="t"/>
    <n v="0"/>
    <n v="0"/>
    <n v="1.0349999999999999"/>
    <n v="1.0349999999999999"/>
    <n v="0"/>
    <n v="0"/>
    <n v="30"/>
    <n v="30"/>
    <n v="0"/>
    <n v="0"/>
    <n v="100"/>
    <s v="Consolidation"/>
    <s v="CO2e and Base Measure"/>
    <n v="100"/>
    <n v="100"/>
    <n v="1.04"/>
    <m/>
    <m/>
    <m/>
    <m/>
    <m/>
    <n v="1.3454999999999999"/>
    <m/>
    <n v="1.3454999999999999"/>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5-01T00:00:00"/>
    <s v="FY21"/>
    <s v="t"/>
    <n v="0"/>
    <n v="0"/>
    <n v="1.0694999999999999"/>
    <n v="1.0694999999999999"/>
    <n v="0"/>
    <n v="0"/>
    <n v="31"/>
    <n v="31"/>
    <n v="0"/>
    <n v="0"/>
    <n v="100"/>
    <s v="Consolidation"/>
    <s v="CO2e and Base Measure"/>
    <n v="100"/>
    <n v="100"/>
    <n v="1.07"/>
    <m/>
    <m/>
    <m/>
    <m/>
    <m/>
    <n v="1.3904000000000001"/>
    <m/>
    <n v="1.3904000000000001"/>
    <m/>
    <m/>
    <m/>
    <m/>
    <m/>
    <s v="AUD"/>
    <s v="13564695Waste - General [t] - Scope 3"/>
    <n v="13564695"/>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11-01T00:00:00"/>
    <s v="FY21"/>
    <s v="t"/>
    <n v="0"/>
    <n v="0.29249999999999998"/>
    <n v="0"/>
    <n v="0.29249999999999998"/>
    <n v="0"/>
    <n v="3"/>
    <n v="0"/>
    <n v="3"/>
    <n v="0"/>
    <n v="100"/>
    <n v="0"/>
    <s v="Consolidation"/>
    <s v="CO2e and Base Measure"/>
    <n v="100"/>
    <n v="100"/>
    <n v="0.28999999999999998"/>
    <m/>
    <m/>
    <m/>
    <m/>
    <m/>
    <n v="0.38030000000000003"/>
    <m/>
    <n v="0.38030000000000003"/>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5487Waste - General [t] - Scope 3"/>
    <n v="13565487"/>
  </r>
  <r>
    <d v="2019-07-01T00:00:00"/>
    <d v="2021-06-30T00:00:00"/>
    <s v="Telstra"/>
    <s v="NETWORK"/>
    <s v="Network - InfraCo"/>
    <s v="VIC"/>
    <s v="Australia"/>
    <s v="Horsham"/>
    <s v="HORSHAM EXCHANGE"/>
    <n v="423030932200"/>
    <s v="Recycled Waste"/>
    <x v="0"/>
    <x v="5"/>
    <s v="Account"/>
    <s v="Remondis Construction &amp; Demolition - Recycled"/>
    <m/>
    <s v="423030932200_RCONSDEM"/>
    <s v="CONSTRUCTION &amp; DEMOLITION - RECYLED"/>
    <s v="Remondis"/>
    <m/>
    <d v="2020-06-17T00:00:00"/>
    <d v="2020-07-01T00:00:00"/>
    <d v="2020-07-01T00:00:00"/>
    <s v="FY21"/>
    <s v="t"/>
    <n v="0"/>
    <n v="0"/>
    <n v="0.10340000000000001"/>
    <n v="0.10340000000000001"/>
    <n v="0"/>
    <n v="0"/>
    <n v="1"/>
    <n v="1"/>
    <n v="0"/>
    <n v="0"/>
    <n v="100"/>
    <s v="Consolidation"/>
    <s v="CO2e and Base Measure"/>
    <n v="100"/>
    <n v="100"/>
    <n v="0.1"/>
    <m/>
    <m/>
    <m/>
    <m/>
    <m/>
    <m/>
    <m/>
    <m/>
    <m/>
    <m/>
    <m/>
    <m/>
    <m/>
    <s v="AUD"/>
    <s v="13612605Waste Recycled - Construction and Demolition [t]"/>
    <n v="13612605"/>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0-12-01T00:00:00"/>
    <s v="FY21"/>
    <s v="t"/>
    <n v="0"/>
    <n v="0.27"/>
    <n v="0"/>
    <n v="0.27"/>
    <n v="0"/>
    <n v="4"/>
    <n v="0"/>
    <n v="4"/>
    <n v="0"/>
    <n v="100"/>
    <n v="0"/>
    <s v="Consolidation"/>
    <s v="CO2e and Base Measure"/>
    <n v="100"/>
    <n v="100"/>
    <n v="0.27"/>
    <m/>
    <m/>
    <m/>
    <m/>
    <m/>
    <n v="0.35099999999999998"/>
    <m/>
    <n v="0.35099999999999998"/>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1-01T00:00:00"/>
    <s v="FY21"/>
    <s v="t"/>
    <n v="0"/>
    <n v="0.27"/>
    <n v="0"/>
    <n v="0.27"/>
    <n v="0"/>
    <n v="4"/>
    <n v="0"/>
    <n v="4"/>
    <n v="0"/>
    <n v="100"/>
    <n v="0"/>
    <s v="Consolidation"/>
    <s v="CO2e and Base Measure"/>
    <n v="100"/>
    <n v="100"/>
    <n v="0.27"/>
    <m/>
    <m/>
    <m/>
    <m/>
    <m/>
    <n v="0.35099999999999998"/>
    <m/>
    <n v="0.35099999999999998"/>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2-01T00:00:00"/>
    <s v="FY21"/>
    <s v="t"/>
    <n v="0"/>
    <n v="0.27"/>
    <n v="0"/>
    <n v="0.27"/>
    <n v="0"/>
    <n v="4"/>
    <n v="0"/>
    <n v="4"/>
    <n v="0"/>
    <n v="100"/>
    <n v="0"/>
    <s v="Consolidation"/>
    <s v="CO2e and Base Measure"/>
    <n v="100"/>
    <n v="100"/>
    <n v="0.27"/>
    <m/>
    <m/>
    <m/>
    <m/>
    <m/>
    <n v="0.35099999999999998"/>
    <m/>
    <n v="0.35099999999999998"/>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3-01T00:00:00"/>
    <s v="FY21"/>
    <s v="t"/>
    <n v="0"/>
    <n v="0.33750000000000002"/>
    <n v="0"/>
    <n v="0.33750000000000002"/>
    <n v="0"/>
    <n v="5"/>
    <n v="0"/>
    <n v="5"/>
    <n v="0"/>
    <n v="100"/>
    <n v="0"/>
    <s v="Consolidation"/>
    <s v="CO2e and Base Measure"/>
    <n v="100"/>
    <n v="100"/>
    <n v="0.34"/>
    <m/>
    <m/>
    <m/>
    <m/>
    <m/>
    <n v="0.43880000000000002"/>
    <m/>
    <n v="0.43880000000000002"/>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5-01T00:00:00"/>
    <s v="FY21"/>
    <s v="t"/>
    <n v="0"/>
    <n v="0"/>
    <n v="0.29759999999999998"/>
    <n v="0.29759999999999998"/>
    <n v="0"/>
    <n v="0"/>
    <n v="31"/>
    <n v="31"/>
    <n v="0"/>
    <n v="0"/>
    <n v="100"/>
    <s v="Consolidation"/>
    <s v="CO2e and Base Measure"/>
    <n v="100"/>
    <n v="100"/>
    <n v="0.3"/>
    <m/>
    <m/>
    <m/>
    <m/>
    <m/>
    <n v="0.38690000000000002"/>
    <m/>
    <n v="0.38690000000000002"/>
    <m/>
    <m/>
    <m/>
    <m/>
    <m/>
    <s v="AUD"/>
    <s v="13634138Waste - General [t] - Scope 3"/>
    <n v="13634138"/>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07-01T00:00:00"/>
    <s v="FY21"/>
    <s v="t"/>
    <n v="0"/>
    <n v="0.78"/>
    <n v="0"/>
    <n v="0.78"/>
    <n v="0"/>
    <n v="4"/>
    <n v="0"/>
    <n v="4"/>
    <n v="0"/>
    <n v="100"/>
    <n v="0"/>
    <s v="Consolidation"/>
    <s v="CO2e and Base Measure"/>
    <n v="100"/>
    <n v="100"/>
    <n v="0.78"/>
    <m/>
    <m/>
    <m/>
    <m/>
    <m/>
    <n v="1.014"/>
    <m/>
    <n v="1.014"/>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08-01T00:00:00"/>
    <s v="FY21"/>
    <s v="t"/>
    <n v="0"/>
    <n v="0.78"/>
    <n v="0"/>
    <n v="0.78"/>
    <n v="0"/>
    <n v="4"/>
    <n v="0"/>
    <n v="4"/>
    <n v="0"/>
    <n v="100"/>
    <n v="0"/>
    <s v="Consolidation"/>
    <s v="CO2e and Base Measure"/>
    <n v="100"/>
    <n v="100"/>
    <n v="0.78"/>
    <m/>
    <m/>
    <m/>
    <m/>
    <m/>
    <n v="1.014"/>
    <m/>
    <n v="1.014"/>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09-01T00:00:00"/>
    <s v="FY21"/>
    <s v="t"/>
    <n v="0"/>
    <n v="0.97499999999999998"/>
    <n v="0"/>
    <n v="0.97499999999999998"/>
    <n v="0"/>
    <n v="5"/>
    <n v="0"/>
    <n v="5"/>
    <n v="0"/>
    <n v="100"/>
    <n v="0"/>
    <s v="Consolidation"/>
    <s v="CO2e and Base Measure"/>
    <n v="100"/>
    <n v="100"/>
    <n v="0.98"/>
    <m/>
    <m/>
    <m/>
    <m/>
    <m/>
    <n v="1.2675000000000001"/>
    <m/>
    <n v="1.2675000000000001"/>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10-01T00:00:00"/>
    <s v="FY21"/>
    <s v="t"/>
    <n v="0"/>
    <n v="0.78"/>
    <n v="0"/>
    <n v="0.78"/>
    <n v="0"/>
    <n v="4"/>
    <n v="0"/>
    <n v="4"/>
    <n v="0"/>
    <n v="100"/>
    <n v="0"/>
    <s v="Consolidation"/>
    <s v="CO2e and Base Measure"/>
    <n v="100"/>
    <n v="100"/>
    <n v="0.78"/>
    <m/>
    <m/>
    <m/>
    <m/>
    <m/>
    <n v="1.014"/>
    <m/>
    <n v="1.014"/>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11-01T00:00:00"/>
    <s v="FY21"/>
    <s v="t"/>
    <n v="0"/>
    <n v="0.78"/>
    <n v="0"/>
    <n v="0.78"/>
    <n v="0"/>
    <n v="4"/>
    <n v="0"/>
    <n v="4"/>
    <n v="0"/>
    <n v="100"/>
    <n v="0"/>
    <s v="Consolidation"/>
    <s v="CO2e and Base Measure"/>
    <n v="100"/>
    <n v="100"/>
    <n v="0.78"/>
    <m/>
    <m/>
    <m/>
    <m/>
    <m/>
    <n v="1.014"/>
    <m/>
    <n v="1.014"/>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4926Waste - General [t] - Scope 3"/>
    <n v="13564926"/>
  </r>
  <r>
    <d v="2019-07-01T00:00:00"/>
    <d v="2021-06-30T00:00:00"/>
    <s v="Telstra"/>
    <s v="NON-NETWORK"/>
    <s v="NON-NETWORK"/>
    <s v="VIC"/>
    <s v="Australia"/>
    <s v="Horsham"/>
    <s v="HORSHAM ROBINSON ST"/>
    <n v="423030593500"/>
    <s v="Recycled Waste"/>
    <x v="0"/>
    <x v="5"/>
    <s v="Account"/>
    <s v="Remondis Metal - Mixed All"/>
    <m/>
    <s v="423030593500_RMETMIXED"/>
    <s v="METAL - MIXED ALL"/>
    <s v="Remondis"/>
    <m/>
    <m/>
    <d v="2020-10-01T00:00:00"/>
    <d v="2020-09-01T00:00:00"/>
    <s v="FY21"/>
    <s v="t"/>
    <n v="0.5"/>
    <n v="0"/>
    <n v="0"/>
    <n v="0.5"/>
    <n v="1"/>
    <n v="0"/>
    <n v="0"/>
    <n v="1"/>
    <n v="100"/>
    <n v="0"/>
    <n v="0"/>
    <s v="Consolidation"/>
    <s v="CO2e and Base Measure"/>
    <n v="100"/>
    <n v="100"/>
    <n v="0.5"/>
    <m/>
    <m/>
    <m/>
    <m/>
    <m/>
    <m/>
    <m/>
    <m/>
    <m/>
    <m/>
    <m/>
    <m/>
    <m/>
    <s v="AUD"/>
    <s v="13564927Waste Recycled - Construction and Demolition [t]"/>
    <n v="13564927"/>
  </r>
  <r>
    <d v="2019-07-01T00:00:00"/>
    <d v="2021-06-30T00:00:00"/>
    <s v="Telstra"/>
    <s v="NON-NETWORK"/>
    <s v="NON-NETWORK"/>
    <s v="VIC"/>
    <s v="Australia"/>
    <s v="Horsham"/>
    <s v="HORSHAM ROBINSON ST"/>
    <n v="423030593500"/>
    <s v="Recycled Waste"/>
    <x v="0"/>
    <x v="5"/>
    <s v="Account"/>
    <s v="Remondis Metal - Mixed All"/>
    <m/>
    <s v="423030593500_RMETMIXED"/>
    <s v="METAL - MIXED ALL"/>
    <s v="Remondis"/>
    <m/>
    <m/>
    <d v="2020-10-01T00:00:00"/>
    <d v="2020-10-01T00:00:00"/>
    <s v="FY21"/>
    <s v="t"/>
    <n v="0"/>
    <n v="0"/>
    <n v="1.72E-2"/>
    <n v="1.72E-2"/>
    <n v="0"/>
    <n v="0"/>
    <n v="1"/>
    <n v="1"/>
    <n v="0"/>
    <n v="0"/>
    <n v="100"/>
    <s v="Consolidation"/>
    <s v="CO2e and Base Measure"/>
    <n v="100"/>
    <n v="100"/>
    <n v="0.02"/>
    <m/>
    <m/>
    <m/>
    <m/>
    <m/>
    <m/>
    <m/>
    <m/>
    <m/>
    <m/>
    <m/>
    <m/>
    <m/>
    <s v="AUD"/>
    <s v="13564927Waste Recycled - Construction and Demolition [t]"/>
    <n v="13564927"/>
  </r>
  <r>
    <d v="2019-07-01T00:00:00"/>
    <d v="2021-06-30T00:00:00"/>
    <s v="Telstra"/>
    <s v="NON-NETWORK"/>
    <s v="NON-NETWORK"/>
    <s v="VIC"/>
    <s v="Australia"/>
    <s v="Horsham"/>
    <s v="HORSHAM ROBINSON ST"/>
    <n v="423030593500"/>
    <s v="Waste"/>
    <x v="1"/>
    <x v="4"/>
    <s v="Account"/>
    <s v="Remondis Construction &amp; Demolition - Landfill"/>
    <m/>
    <s v="423030593500_WCONSDEM"/>
    <s v="CONSTRUCTION &amp; DEMOLITION - LANDFILL"/>
    <s v="Remondis"/>
    <m/>
    <d v="2020-06-02T00:00:00"/>
    <d v="2020-10-01T00:00:00"/>
    <d v="2020-09-01T00:00:00"/>
    <s v="FY21"/>
    <s v="t"/>
    <n v="0"/>
    <n v="0.75"/>
    <n v="0"/>
    <n v="0.75"/>
    <n v="0"/>
    <n v="1"/>
    <n v="0"/>
    <n v="1"/>
    <n v="0"/>
    <n v="100"/>
    <n v="0"/>
    <s v="Consolidation"/>
    <s v="CO2e and Base Measure"/>
    <n v="100"/>
    <n v="100"/>
    <n v="0.75"/>
    <m/>
    <m/>
    <m/>
    <m/>
    <m/>
    <n v="0.9"/>
    <m/>
    <n v="0.9"/>
    <m/>
    <m/>
    <m/>
    <m/>
    <m/>
    <s v="AUD"/>
    <s v="13612584Waste - Construction and Demolition [t]"/>
    <n v="13612584"/>
  </r>
  <r>
    <d v="2019-07-01T00:00:00"/>
    <d v="2021-06-30T00:00:00"/>
    <s v="Telstra"/>
    <s v="NON-NETWORK"/>
    <s v="NON-NETWORK"/>
    <s v="VIC"/>
    <s v="Australia"/>
    <s v="Horsham"/>
    <s v="HORSHAM ROBINSON ST"/>
    <n v="423030593500"/>
    <s v="Waste"/>
    <x v="1"/>
    <x v="4"/>
    <s v="Account"/>
    <s v="Remondis Construction &amp; Demolition - Landfill"/>
    <m/>
    <s v="423030593500_WCONSDEM"/>
    <s v="CONSTRUCTION &amp; DEMOLITION - LANDFILL"/>
    <s v="Remondis"/>
    <m/>
    <d v="2020-06-02T00:00:00"/>
    <d v="2020-10-01T00:00:00"/>
    <d v="2020-10-01T00:00:00"/>
    <s v="FY21"/>
    <s v="t"/>
    <n v="0"/>
    <n v="0"/>
    <n v="1.24E-2"/>
    <n v="1.24E-2"/>
    <n v="0"/>
    <n v="0"/>
    <n v="1"/>
    <n v="1"/>
    <n v="0"/>
    <n v="0"/>
    <n v="100"/>
    <s v="Consolidation"/>
    <s v="CO2e and Base Measure"/>
    <n v="100"/>
    <n v="100"/>
    <n v="0.01"/>
    <m/>
    <m/>
    <m/>
    <m/>
    <m/>
    <n v="1.49E-2"/>
    <m/>
    <n v="1.49E-2"/>
    <m/>
    <m/>
    <m/>
    <m/>
    <m/>
    <s v="AUD"/>
    <s v="13612584Waste - Construction and Demolition [t]"/>
    <n v="13612584"/>
  </r>
  <r>
    <d v="2019-07-01T00:00:00"/>
    <d v="2021-06-30T00:00:00"/>
    <s v="Telstra"/>
    <s v="NON-NETWORK"/>
    <s v="NON-NETWORK"/>
    <s v="VIC"/>
    <s v="Australia"/>
    <s v="Horsham"/>
    <s v="HORSHAM ROBINSON ST"/>
    <n v="423030593500"/>
    <s v="Recycled Waste"/>
    <x v="0"/>
    <x v="1"/>
    <s v="Account"/>
    <s v="Remondis Electrical Comp. (E-Waste)"/>
    <m/>
    <s v="423030593500_RELECTRIC"/>
    <s v="ELECTRICAL COMP. (E-WASTE)"/>
    <s v="Remondis"/>
    <m/>
    <d v="2020-07-30T00:00:00"/>
    <d v="2020-08-01T00:00:00"/>
    <d v="2020-07-01T00:00:00"/>
    <s v="FY21"/>
    <s v="t"/>
    <n v="0"/>
    <n v="0.2109"/>
    <n v="0"/>
    <n v="0.2109"/>
    <n v="0"/>
    <n v="1"/>
    <n v="0"/>
    <n v="1"/>
    <n v="0"/>
    <n v="100"/>
    <n v="0"/>
    <s v="Consolidation"/>
    <s v="CO2e and Base Measure"/>
    <n v="100"/>
    <n v="100"/>
    <n v="0.21"/>
    <m/>
    <m/>
    <m/>
    <m/>
    <m/>
    <m/>
    <m/>
    <m/>
    <m/>
    <m/>
    <m/>
    <m/>
    <m/>
    <s v="AUD"/>
    <s v="13625675Waste Recycled - E-waste [t]"/>
    <n v="13625675"/>
  </r>
  <r>
    <d v="2019-07-01T00:00:00"/>
    <d v="2021-06-30T00:00:00"/>
    <s v="Telstra"/>
    <s v="NON-NETWORK"/>
    <s v="NON-NETWORK"/>
    <s v="VIC"/>
    <s v="Australia"/>
    <s v="Horsham"/>
    <s v="HORSHAM ROBINSON ST"/>
    <n v="423030593500"/>
    <s v="Recycled Waste"/>
    <x v="0"/>
    <x v="1"/>
    <s v="Account"/>
    <s v="Remondis Electrical Comp. (E-Waste)"/>
    <m/>
    <s v="423030593500_RELECTRIC"/>
    <s v="ELECTRICAL COMP. (E-WASTE)"/>
    <s v="Remondis"/>
    <m/>
    <d v="2020-07-30T00:00:00"/>
    <d v="2020-08-01T00:00:00"/>
    <d v="2020-08-01T00:00:00"/>
    <s v="FY21"/>
    <s v="t"/>
    <n v="0"/>
    <n v="0"/>
    <n v="7.0000000000000001E-3"/>
    <n v="7.0000000000000001E-3"/>
    <n v="0"/>
    <n v="0"/>
    <n v="1"/>
    <n v="1"/>
    <n v="0"/>
    <n v="0"/>
    <n v="100"/>
    <s v="Consolidation"/>
    <s v="CO2e and Base Measure"/>
    <n v="100"/>
    <n v="100"/>
    <n v="0.01"/>
    <m/>
    <m/>
    <m/>
    <m/>
    <m/>
    <m/>
    <m/>
    <m/>
    <m/>
    <m/>
    <m/>
    <m/>
    <m/>
    <s v="AUD"/>
    <s v="13625675Waste Recycled - E-waste [t]"/>
    <n v="13625675"/>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0-12-01T00:00:00"/>
    <s v="FY21"/>
    <s v="t"/>
    <n v="0"/>
    <n v="0.40500000000000003"/>
    <n v="0"/>
    <n v="0.40500000000000003"/>
    <n v="0"/>
    <n v="3"/>
    <n v="0"/>
    <n v="3"/>
    <n v="0"/>
    <n v="100"/>
    <n v="0"/>
    <s v="Consolidation"/>
    <s v="CO2e and Base Measure"/>
    <n v="100"/>
    <n v="100"/>
    <n v="0.41"/>
    <m/>
    <m/>
    <m/>
    <m/>
    <m/>
    <n v="0.52649999999999997"/>
    <m/>
    <n v="0.52649999999999997"/>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1-01T00:00:00"/>
    <s v="FY21"/>
    <s v="t"/>
    <n v="0"/>
    <n v="0.54"/>
    <n v="0"/>
    <n v="0.54"/>
    <n v="0"/>
    <n v="4"/>
    <n v="0"/>
    <n v="4"/>
    <n v="0"/>
    <n v="100"/>
    <n v="0"/>
    <s v="Consolidation"/>
    <s v="CO2e and Base Measure"/>
    <n v="100"/>
    <n v="100"/>
    <n v="0.54"/>
    <m/>
    <m/>
    <m/>
    <m/>
    <m/>
    <n v="0.70199999999999996"/>
    <m/>
    <n v="0.70199999999999996"/>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2-01T00:00:00"/>
    <s v="FY21"/>
    <s v="t"/>
    <n v="0"/>
    <n v="0.54"/>
    <n v="0"/>
    <n v="0.54"/>
    <n v="0"/>
    <n v="4"/>
    <n v="0"/>
    <n v="4"/>
    <n v="0"/>
    <n v="100"/>
    <n v="0"/>
    <s v="Consolidation"/>
    <s v="CO2e and Base Measure"/>
    <n v="100"/>
    <n v="100"/>
    <n v="0.54"/>
    <m/>
    <m/>
    <m/>
    <m/>
    <m/>
    <n v="0.70199999999999996"/>
    <m/>
    <n v="0.70199999999999996"/>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3-01T00:00:00"/>
    <s v="FY21"/>
    <s v="t"/>
    <n v="0"/>
    <n v="0.81"/>
    <n v="0"/>
    <n v="0.81"/>
    <n v="0"/>
    <n v="5"/>
    <n v="0"/>
    <n v="5"/>
    <n v="0"/>
    <n v="100"/>
    <n v="0"/>
    <s v="Consolidation"/>
    <s v="CO2e and Base Measure"/>
    <n v="100"/>
    <n v="100"/>
    <n v="0.81"/>
    <m/>
    <m/>
    <m/>
    <m/>
    <m/>
    <n v="1.0529999999999999"/>
    <m/>
    <n v="1.0529999999999999"/>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4-01T00:00:00"/>
    <s v="FY21"/>
    <s v="t"/>
    <n v="0"/>
    <n v="0"/>
    <n v="0.57299999999999995"/>
    <n v="0.57299999999999995"/>
    <n v="0"/>
    <n v="0"/>
    <n v="30"/>
    <n v="30"/>
    <n v="0"/>
    <n v="0"/>
    <n v="100"/>
    <s v="Consolidation"/>
    <s v="CO2e and Base Measure"/>
    <n v="100"/>
    <n v="100"/>
    <n v="0.56999999999999995"/>
    <m/>
    <m/>
    <m/>
    <m/>
    <m/>
    <n v="0.74490000000000001"/>
    <m/>
    <n v="0.74490000000000001"/>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5-01T00:00:00"/>
    <s v="FY21"/>
    <s v="t"/>
    <n v="0"/>
    <n v="0"/>
    <n v="0.59209999999999996"/>
    <n v="0.59209999999999996"/>
    <n v="0"/>
    <n v="0"/>
    <n v="31"/>
    <n v="31"/>
    <n v="0"/>
    <n v="0"/>
    <n v="100"/>
    <s v="Consolidation"/>
    <s v="CO2e and Base Measure"/>
    <n v="100"/>
    <n v="100"/>
    <n v="0.59"/>
    <m/>
    <m/>
    <m/>
    <m/>
    <m/>
    <n v="0.76970000000000005"/>
    <m/>
    <n v="0.76970000000000005"/>
    <m/>
    <m/>
    <m/>
    <m/>
    <m/>
    <s v="AUD"/>
    <s v="13634370Waste - General [t] - Scope 3"/>
    <n v="13634370"/>
  </r>
  <r>
    <d v="2019-07-01T00:00:00"/>
    <d v="2021-06-30T00:00:00"/>
    <s v="Telstra"/>
    <s v="NON-NETWORK"/>
    <s v="NON-NETWORK"/>
    <s v="QLD"/>
    <s v="Australia"/>
    <s v="Port Douglas"/>
    <s v="HOWARD ST COOKTOWN"/>
    <n v="423030042900"/>
    <s v="Waste"/>
    <x v="1"/>
    <x v="2"/>
    <s v="Account"/>
    <s v="Remondis General Waste"/>
    <m/>
    <s v="423030042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30Waste - General [t] - Scope 3"/>
    <n v="13564130"/>
  </r>
  <r>
    <d v="2019-07-01T00:00:00"/>
    <d v="2021-06-30T00:00:00"/>
    <s v="Telstra"/>
    <s v="NON-NETWORK"/>
    <s v="NON-NETWORK"/>
    <s v="QLD"/>
    <s v="Australia"/>
    <s v="Port Douglas"/>
    <s v="HOWARD ST COOKTOWN"/>
    <n v="423030042900"/>
    <s v="Waste"/>
    <x v="1"/>
    <x v="2"/>
    <s v="Account"/>
    <s v="Remondis General Waste"/>
    <m/>
    <s v="4230300429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4130Waste - General [t] - Scope 3"/>
    <n v="13564130"/>
  </r>
  <r>
    <d v="2019-07-01T00:00:00"/>
    <d v="2021-06-30T00:00:00"/>
    <s v="Telstra"/>
    <s v="NETWORK"/>
    <s v="Network - InfraCo"/>
    <s v="QLD"/>
    <s v="Australia"/>
    <s v="Queensland"/>
    <s v="HUGHENDEN EXCHANGE"/>
    <n v="423030095900"/>
    <s v="Recycled Waste"/>
    <x v="0"/>
    <x v="1"/>
    <s v="Account"/>
    <s v="Remondis Batteries - Lead Acid"/>
    <m/>
    <s v="423030095900_RBATLEDAC"/>
    <s v="BATTERIES - LEAD ACID"/>
    <s v="Remondis"/>
    <m/>
    <m/>
    <d v="2020-07-01T00:00:00"/>
    <d v="2020-07-01T00:00:00"/>
    <s v="FY21"/>
    <s v="t"/>
    <n v="0"/>
    <n v="0"/>
    <n v="7.2800000000000004E-2"/>
    <n v="7.2800000000000004E-2"/>
    <n v="0"/>
    <n v="0"/>
    <n v="1"/>
    <n v="1"/>
    <n v="0"/>
    <n v="0"/>
    <n v="100"/>
    <s v="Consolidation"/>
    <s v="CO2e and Base Measure"/>
    <n v="100"/>
    <n v="100"/>
    <n v="7.0000000000000007E-2"/>
    <m/>
    <m/>
    <m/>
    <m/>
    <m/>
    <m/>
    <m/>
    <m/>
    <m/>
    <m/>
    <m/>
    <m/>
    <m/>
    <s v="AUD"/>
    <s v="13564174Waste Recycled - E-waste [t]"/>
    <n v="13564174"/>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07-01T00:00:00"/>
    <s v="FY21"/>
    <s v="t"/>
    <n v="0"/>
    <n v="4.6600000000000003E-2"/>
    <n v="0"/>
    <n v="4.6600000000000003E-2"/>
    <n v="0"/>
    <n v="2"/>
    <n v="0"/>
    <n v="2"/>
    <n v="0"/>
    <n v="100"/>
    <n v="0"/>
    <s v="Consolidation"/>
    <s v="CO2e and Base Measure"/>
    <n v="100"/>
    <n v="100"/>
    <n v="0.05"/>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08-01T00:00:00"/>
    <s v="FY21"/>
    <s v="t"/>
    <n v="0"/>
    <n v="2.3300000000000001E-2"/>
    <n v="0"/>
    <n v="2.3300000000000001E-2"/>
    <n v="0"/>
    <n v="1"/>
    <n v="0"/>
    <n v="1"/>
    <n v="0"/>
    <n v="100"/>
    <n v="0"/>
    <s v="Consolidation"/>
    <s v="CO2e and Base Measure"/>
    <n v="100"/>
    <n v="100"/>
    <n v="0.02"/>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09-01T00:00:00"/>
    <s v="FY21"/>
    <s v="t"/>
    <n v="0"/>
    <n v="4.6600000000000003E-2"/>
    <n v="0"/>
    <n v="4.6600000000000003E-2"/>
    <n v="0"/>
    <n v="2"/>
    <n v="0"/>
    <n v="2"/>
    <n v="0"/>
    <n v="100"/>
    <n v="0"/>
    <s v="Consolidation"/>
    <s v="CO2e and Base Measure"/>
    <n v="100"/>
    <n v="100"/>
    <n v="0.05"/>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10-01T00:00:00"/>
    <s v="FY21"/>
    <s v="t"/>
    <n v="0"/>
    <n v="6.9900000000000004E-2"/>
    <n v="0"/>
    <n v="6.9900000000000004E-2"/>
    <n v="0"/>
    <n v="3"/>
    <n v="0"/>
    <n v="3"/>
    <n v="0"/>
    <n v="100"/>
    <n v="0"/>
    <s v="Consolidation"/>
    <s v="CO2e and Base Measure"/>
    <n v="100"/>
    <n v="100"/>
    <n v="7.0000000000000007E-2"/>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11-01T00:00:00"/>
    <s v="FY21"/>
    <s v="t"/>
    <n v="0"/>
    <n v="4.6600000000000003E-2"/>
    <n v="0"/>
    <n v="4.6600000000000003E-2"/>
    <n v="0"/>
    <n v="2"/>
    <n v="0"/>
    <n v="2"/>
    <n v="0"/>
    <n v="100"/>
    <n v="0"/>
    <s v="Consolidation"/>
    <s v="CO2e and Base Measure"/>
    <n v="100"/>
    <n v="100"/>
    <n v="0.05"/>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12-01T00:00:00"/>
    <s v="FY21"/>
    <s v="t"/>
    <n v="0"/>
    <n v="0"/>
    <n v="1.5E-3"/>
    <n v="1.5E-3"/>
    <n v="0"/>
    <n v="0"/>
    <n v="1"/>
    <n v="1"/>
    <n v="0"/>
    <n v="0"/>
    <n v="100"/>
    <s v="Consolidation"/>
    <s v="CO2e and Base Measure"/>
    <n v="100"/>
    <n v="100"/>
    <n v="0"/>
    <m/>
    <m/>
    <m/>
    <m/>
    <m/>
    <m/>
    <n v="0"/>
    <m/>
    <m/>
    <m/>
    <m/>
    <m/>
    <m/>
    <s v="AUD"/>
    <s v="13564699Waste Recycled - Cardboard [t]"/>
    <n v="13564699"/>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07-01T00:00:00"/>
    <s v="FY21"/>
    <s v="t"/>
    <n v="0.214"/>
    <n v="0"/>
    <n v="0"/>
    <n v="0.214"/>
    <n v="2"/>
    <n v="0"/>
    <n v="0"/>
    <n v="2"/>
    <n v="100"/>
    <n v="0"/>
    <n v="0"/>
    <s v="Consolidation"/>
    <s v="CO2e and Base Measure"/>
    <n v="100"/>
    <n v="100"/>
    <n v="0.21"/>
    <m/>
    <m/>
    <m/>
    <m/>
    <m/>
    <n v="0.2782"/>
    <m/>
    <n v="0.2782"/>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08-01T00:00:00"/>
    <s v="FY21"/>
    <s v="t"/>
    <n v="0"/>
    <n v="0.1444"/>
    <n v="0"/>
    <n v="0.1444"/>
    <n v="0"/>
    <n v="2"/>
    <n v="0"/>
    <n v="2"/>
    <n v="0"/>
    <n v="100"/>
    <n v="0"/>
    <s v="Consolidation"/>
    <s v="CO2e and Base Measure"/>
    <n v="100"/>
    <n v="100"/>
    <n v="0.14000000000000001"/>
    <m/>
    <m/>
    <m/>
    <m/>
    <m/>
    <n v="0.18770000000000001"/>
    <m/>
    <n v="0.18770000000000001"/>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09-01T00:00:00"/>
    <s v="FY21"/>
    <s v="t"/>
    <n v="0"/>
    <n v="0.21659999999999999"/>
    <n v="0"/>
    <n v="0.21659999999999999"/>
    <n v="0"/>
    <n v="3"/>
    <n v="0"/>
    <n v="3"/>
    <n v="0"/>
    <n v="100"/>
    <n v="0"/>
    <s v="Consolidation"/>
    <s v="CO2e and Base Measure"/>
    <n v="100"/>
    <n v="100"/>
    <n v="0.22"/>
    <m/>
    <m/>
    <m/>
    <m/>
    <m/>
    <n v="0.28160000000000002"/>
    <m/>
    <n v="0.28160000000000002"/>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10-01T00:00:00"/>
    <s v="FY21"/>
    <s v="t"/>
    <n v="0"/>
    <n v="0.1444"/>
    <n v="0"/>
    <n v="0.1444"/>
    <n v="0"/>
    <n v="2"/>
    <n v="0"/>
    <n v="2"/>
    <n v="0"/>
    <n v="100"/>
    <n v="0"/>
    <s v="Consolidation"/>
    <s v="CO2e and Base Measure"/>
    <n v="100"/>
    <n v="100"/>
    <n v="0.14000000000000001"/>
    <m/>
    <m/>
    <m/>
    <m/>
    <m/>
    <n v="0.18770000000000001"/>
    <m/>
    <n v="0.18770000000000001"/>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11-01T00:00:00"/>
    <s v="FY21"/>
    <s v="t"/>
    <n v="0"/>
    <n v="0.1444"/>
    <n v="0"/>
    <n v="0.1444"/>
    <n v="0"/>
    <n v="2"/>
    <n v="0"/>
    <n v="2"/>
    <n v="0"/>
    <n v="100"/>
    <n v="0"/>
    <s v="Consolidation"/>
    <s v="CO2e and Base Measure"/>
    <n v="100"/>
    <n v="100"/>
    <n v="0.14000000000000001"/>
    <m/>
    <m/>
    <m/>
    <m/>
    <m/>
    <n v="0.18770000000000001"/>
    <m/>
    <n v="0.18770000000000001"/>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12-01T00:00:00"/>
    <s v="FY21"/>
    <s v="t"/>
    <n v="0"/>
    <n v="0"/>
    <n v="5.4000000000000003E-3"/>
    <n v="5.4000000000000003E-3"/>
    <n v="0"/>
    <n v="0"/>
    <n v="1"/>
    <n v="1"/>
    <n v="0"/>
    <n v="0"/>
    <n v="100"/>
    <s v="Consolidation"/>
    <s v="CO2e and Base Measure"/>
    <n v="100"/>
    <n v="100"/>
    <n v="0.01"/>
    <m/>
    <m/>
    <m/>
    <m/>
    <m/>
    <n v="7.0000000000000001E-3"/>
    <m/>
    <n v="7.0000000000000001E-3"/>
    <m/>
    <m/>
    <m/>
    <m/>
    <m/>
    <s v="AUD"/>
    <s v="13564701Waste - General [t] - Scope 3"/>
    <n v="13564701"/>
  </r>
  <r>
    <d v="2019-07-01T00:00:00"/>
    <d v="2021-06-30T00:00:00"/>
    <s v="Telstra"/>
    <s v="NETWORK"/>
    <s v="Network - InfraCo"/>
    <s v="NSW"/>
    <s v="Australia"/>
    <s v="Gladesville"/>
    <s v="HUNTERS HILL EXCHANGE"/>
    <n v="423030356300"/>
    <s v="Recycled Waste"/>
    <x v="0"/>
    <x v="5"/>
    <s v="Account"/>
    <s v="Remondis Concrete - Recycled"/>
    <m/>
    <s v="423030356300_RCONCRETR"/>
    <s v="CONCRETE - RECYCLED"/>
    <s v="Remondis"/>
    <m/>
    <m/>
    <d v="2021-01-01T00:00:00"/>
    <d v="2020-11-01T00:00:00"/>
    <s v="FY21"/>
    <s v="t"/>
    <n v="2.74"/>
    <n v="0"/>
    <n v="0"/>
    <n v="2.74"/>
    <n v="1"/>
    <n v="0"/>
    <n v="0"/>
    <n v="1"/>
    <n v="100"/>
    <n v="0"/>
    <n v="0"/>
    <s v="Consolidation"/>
    <s v="CO2e and Base Measure"/>
    <n v="100"/>
    <n v="100"/>
    <n v="2.74"/>
    <m/>
    <m/>
    <m/>
    <m/>
    <m/>
    <m/>
    <m/>
    <m/>
    <m/>
    <m/>
    <m/>
    <m/>
    <m/>
    <s v="AUD"/>
    <s v="13576207Waste Recycled - Construction and Demolition [t]"/>
    <n v="13576207"/>
  </r>
  <r>
    <d v="2019-07-01T00:00:00"/>
    <d v="2021-06-30T00:00:00"/>
    <s v="Telstra"/>
    <s v="NETWORK"/>
    <s v="Network - InfraCo"/>
    <s v="NSW"/>
    <s v="Australia"/>
    <s v="Gladesville"/>
    <s v="HUNTERS HILL EXCHANGE"/>
    <n v="423030356300"/>
    <s v="Recycled Waste"/>
    <x v="0"/>
    <x v="5"/>
    <s v="Account"/>
    <s v="Remondis Concrete - Recycled"/>
    <m/>
    <s v="423030356300_RCONCRETR"/>
    <s v="CONCRETE - RECYCLED"/>
    <s v="Remondis"/>
    <m/>
    <m/>
    <d v="2021-01-01T00:00:00"/>
    <d v="2020-12-01T00:00:00"/>
    <s v="FY21"/>
    <s v="t"/>
    <n v="1"/>
    <n v="0"/>
    <n v="0"/>
    <n v="1"/>
    <n v="1"/>
    <n v="0"/>
    <n v="0"/>
    <n v="1"/>
    <n v="100"/>
    <n v="0"/>
    <n v="0"/>
    <s v="Consolidation"/>
    <s v="CO2e and Base Measure"/>
    <n v="100"/>
    <n v="100"/>
    <n v="1"/>
    <m/>
    <m/>
    <m/>
    <m/>
    <m/>
    <m/>
    <m/>
    <m/>
    <m/>
    <m/>
    <m/>
    <m/>
    <m/>
    <s v="AUD"/>
    <s v="13576207Waste Recycled - Construction and Demolition [t]"/>
    <n v="13576207"/>
  </r>
  <r>
    <d v="2019-07-01T00:00:00"/>
    <d v="2021-06-30T00:00:00"/>
    <s v="Telstra"/>
    <s v="NETWORK"/>
    <s v="Network - InfraCo"/>
    <s v="NSW"/>
    <s v="Australia"/>
    <s v="Gladesville"/>
    <s v="HUNTERS HILL EXCHANGE"/>
    <n v="423030356300"/>
    <s v="Recycled Waste"/>
    <x v="0"/>
    <x v="5"/>
    <s v="Account"/>
    <s v="Remondis Concrete - Recycled"/>
    <m/>
    <s v="423030356300_RCONCRETR"/>
    <s v="CONCRETE - RECYCLED"/>
    <s v="Remondis"/>
    <m/>
    <m/>
    <d v="2021-01-01T00:00:00"/>
    <d v="2021-01-01T00:00:00"/>
    <s v="FY21"/>
    <s v="t"/>
    <n v="0"/>
    <n v="0"/>
    <n v="6.2300000000000001E-2"/>
    <n v="6.2300000000000001E-2"/>
    <n v="0"/>
    <n v="0"/>
    <n v="1"/>
    <n v="1"/>
    <n v="0"/>
    <n v="0"/>
    <n v="100"/>
    <s v="Consolidation"/>
    <s v="CO2e and Base Measure"/>
    <n v="100"/>
    <n v="100"/>
    <n v="0.06"/>
    <m/>
    <m/>
    <m/>
    <m/>
    <m/>
    <m/>
    <m/>
    <m/>
    <m/>
    <m/>
    <m/>
    <m/>
    <m/>
    <s v="AUD"/>
    <s v="13576207Waste Recycled - Construction and Demolition [t]"/>
    <n v="13576207"/>
  </r>
  <r>
    <d v="2019-07-01T00:00:00"/>
    <d v="2021-06-30T00:00:00"/>
    <s v="Telstra"/>
    <s v="NETWORK"/>
    <s v="Network - InfraCo"/>
    <s v="NSW"/>
    <s v="Australia"/>
    <s v="Gladesville"/>
    <s v="HUNTERS HILL EXCHANGE"/>
    <n v="423030356300"/>
    <s v="Recycled Waste"/>
    <x v="0"/>
    <x v="5"/>
    <s v="Account"/>
    <s v="Remondis Construction &amp; Demolition - Recycled"/>
    <m/>
    <s v="423030356300_RCONSDEM"/>
    <s v="CONSTRUCTION &amp; DEMOLITION - RECYLED"/>
    <s v="Remondis"/>
    <m/>
    <d v="2020-10-09T00:00:00"/>
    <d v="2021-01-01T00:00:00"/>
    <d v="2020-10-01T00:00:00"/>
    <s v="FY21"/>
    <s v="t"/>
    <n v="0"/>
    <n v="1"/>
    <n v="0"/>
    <n v="1"/>
    <n v="0"/>
    <n v="1"/>
    <n v="0"/>
    <n v="1"/>
    <n v="0"/>
    <n v="100"/>
    <n v="0"/>
    <s v="Consolidation"/>
    <s v="CO2e and Base Measure"/>
    <n v="100"/>
    <n v="100"/>
    <n v="1"/>
    <m/>
    <m/>
    <m/>
    <m/>
    <m/>
    <m/>
    <m/>
    <m/>
    <m/>
    <m/>
    <m/>
    <m/>
    <m/>
    <s v="AUD"/>
    <s v="13631699Waste Recycled - Construction and Demolition [t]"/>
    <n v="13631699"/>
  </r>
  <r>
    <d v="2019-07-01T00:00:00"/>
    <d v="2021-06-30T00:00:00"/>
    <s v="Telstra"/>
    <s v="NETWORK"/>
    <s v="Network - InfraCo"/>
    <s v="NSW"/>
    <s v="Australia"/>
    <s v="Gladesville"/>
    <s v="HUNTERS HILL EXCHANGE"/>
    <n v="423030356300"/>
    <s v="Recycled Waste"/>
    <x v="0"/>
    <x v="5"/>
    <s v="Account"/>
    <s v="Remondis Construction &amp; Demolition - Recycled"/>
    <m/>
    <s v="423030356300_RCONSDEM"/>
    <s v="CONSTRUCTION &amp; DEMOLITION - RECYLED"/>
    <s v="Remondis"/>
    <m/>
    <d v="2020-10-09T00:00:00"/>
    <d v="2021-01-01T00:00:00"/>
    <d v="2020-12-01T00:00:00"/>
    <s v="FY21"/>
    <s v="t"/>
    <n v="1"/>
    <n v="0"/>
    <n v="0"/>
    <n v="1"/>
    <n v="1"/>
    <n v="0"/>
    <n v="0"/>
    <n v="1"/>
    <n v="100"/>
    <n v="0"/>
    <n v="0"/>
    <s v="Consolidation"/>
    <s v="CO2e and Base Measure"/>
    <n v="100"/>
    <n v="100"/>
    <n v="1"/>
    <m/>
    <m/>
    <m/>
    <m/>
    <m/>
    <m/>
    <m/>
    <m/>
    <m/>
    <m/>
    <m/>
    <m/>
    <m/>
    <s v="AUD"/>
    <s v="13631699Waste Recycled - Construction and Demolition [t]"/>
    <n v="13631699"/>
  </r>
  <r>
    <d v="2019-07-01T00:00:00"/>
    <d v="2021-06-30T00:00:00"/>
    <s v="Telstra"/>
    <s v="NETWORK"/>
    <s v="Network - InfraCo"/>
    <s v="NSW"/>
    <s v="Australia"/>
    <s v="Gladesville"/>
    <s v="HUNTERS HILL EXCHANGE"/>
    <n v="423030356300"/>
    <s v="Recycled Waste"/>
    <x v="0"/>
    <x v="5"/>
    <s v="Account"/>
    <s v="Remondis Construction &amp; Demolition - Recycled"/>
    <m/>
    <s v="423030356300_RCONSDEM"/>
    <s v="CONSTRUCTION &amp; DEMOLITION - RECYLED"/>
    <s v="Remondis"/>
    <m/>
    <d v="2020-10-09T00:00:00"/>
    <d v="2021-01-01T00:00:00"/>
    <d v="2021-01-01T00:00:00"/>
    <s v="FY21"/>
    <s v="t"/>
    <n v="0"/>
    <n v="0"/>
    <n v="2.1999999999999999E-2"/>
    <n v="2.1999999999999999E-2"/>
    <n v="0"/>
    <n v="0"/>
    <n v="1"/>
    <n v="1"/>
    <n v="0"/>
    <n v="0"/>
    <n v="100"/>
    <s v="Consolidation"/>
    <s v="CO2e and Base Measure"/>
    <n v="100"/>
    <n v="100"/>
    <n v="0.02"/>
    <m/>
    <m/>
    <m/>
    <m/>
    <m/>
    <m/>
    <m/>
    <m/>
    <m/>
    <m/>
    <m/>
    <m/>
    <m/>
    <s v="AUD"/>
    <s v="13631699Waste Recycled - Construction and Demolition [t]"/>
    <n v="1363169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0-12-01T00:00:00"/>
    <s v="FY21"/>
    <s v="t"/>
    <n v="0"/>
    <n v="0.19800000000000001"/>
    <n v="0"/>
    <n v="0.19800000000000001"/>
    <n v="0"/>
    <n v="4"/>
    <n v="0"/>
    <n v="4"/>
    <n v="0"/>
    <n v="100"/>
    <n v="0"/>
    <s v="Consolidation"/>
    <s v="CO2e and Base Measure"/>
    <n v="100"/>
    <n v="100"/>
    <n v="0.2"/>
    <m/>
    <m/>
    <m/>
    <m/>
    <m/>
    <n v="0.25740000000000002"/>
    <m/>
    <n v="0.25740000000000002"/>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1-01T00:00:00"/>
    <s v="FY21"/>
    <s v="t"/>
    <n v="0"/>
    <n v="0.14849999999999999"/>
    <n v="0"/>
    <n v="0.14849999999999999"/>
    <n v="0"/>
    <n v="3"/>
    <n v="0"/>
    <n v="3"/>
    <n v="0"/>
    <n v="100"/>
    <n v="0"/>
    <s v="Consolidation"/>
    <s v="CO2e and Base Measure"/>
    <n v="100"/>
    <n v="100"/>
    <n v="0.15"/>
    <m/>
    <m/>
    <m/>
    <m/>
    <m/>
    <n v="0.19309999999999999"/>
    <m/>
    <n v="0.19309999999999999"/>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2-01T00:00:00"/>
    <s v="FY21"/>
    <s v="t"/>
    <n v="0"/>
    <n v="0.19800000000000001"/>
    <n v="0"/>
    <n v="0.19800000000000001"/>
    <n v="0"/>
    <n v="4"/>
    <n v="0"/>
    <n v="4"/>
    <n v="0"/>
    <n v="100"/>
    <n v="0"/>
    <s v="Consolidation"/>
    <s v="CO2e and Base Measure"/>
    <n v="100"/>
    <n v="100"/>
    <n v="0.2"/>
    <m/>
    <m/>
    <m/>
    <m/>
    <m/>
    <n v="0.25740000000000002"/>
    <m/>
    <n v="0.25740000000000002"/>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3-01T00:00:00"/>
    <s v="FY21"/>
    <s v="t"/>
    <n v="0"/>
    <n v="0.19800000000000001"/>
    <n v="0"/>
    <n v="0.19800000000000001"/>
    <n v="0"/>
    <n v="4"/>
    <n v="0"/>
    <n v="4"/>
    <n v="0"/>
    <n v="100"/>
    <n v="0"/>
    <s v="Consolidation"/>
    <s v="CO2e and Base Measure"/>
    <n v="100"/>
    <n v="100"/>
    <n v="0.2"/>
    <m/>
    <m/>
    <m/>
    <m/>
    <m/>
    <n v="0.25740000000000002"/>
    <m/>
    <n v="0.25740000000000002"/>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4-01T00:00:00"/>
    <s v="FY21"/>
    <s v="t"/>
    <n v="0"/>
    <n v="0"/>
    <n v="0.186"/>
    <n v="0.186"/>
    <n v="0"/>
    <n v="0"/>
    <n v="30"/>
    <n v="30"/>
    <n v="0"/>
    <n v="0"/>
    <n v="100"/>
    <s v="Consolidation"/>
    <s v="CO2e and Base Measure"/>
    <n v="100"/>
    <n v="100"/>
    <n v="0.19"/>
    <m/>
    <m/>
    <m/>
    <m/>
    <m/>
    <n v="0.24179999999999999"/>
    <m/>
    <n v="0.24179999999999999"/>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5-01T00:00:00"/>
    <s v="FY21"/>
    <s v="t"/>
    <n v="0"/>
    <n v="0"/>
    <n v="0.19220000000000001"/>
    <n v="0.19220000000000001"/>
    <n v="0"/>
    <n v="0"/>
    <n v="31"/>
    <n v="31"/>
    <n v="0"/>
    <n v="0"/>
    <n v="100"/>
    <s v="Consolidation"/>
    <s v="CO2e and Base Measure"/>
    <n v="100"/>
    <n v="100"/>
    <n v="0.19"/>
    <m/>
    <m/>
    <m/>
    <m/>
    <m/>
    <n v="0.24990000000000001"/>
    <m/>
    <n v="0.24990000000000001"/>
    <m/>
    <m/>
    <m/>
    <m/>
    <m/>
    <s v="AUD"/>
    <s v="13634139Waste - General [t] - Scope 3"/>
    <n v="13634139"/>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0-12-01T00:00:00"/>
    <s v="FY21"/>
    <s v="t"/>
    <n v="1.2E-2"/>
    <n v="2.75E-2"/>
    <n v="0"/>
    <n v="3.95E-2"/>
    <n v="1"/>
    <n v="1"/>
    <n v="0"/>
    <n v="2"/>
    <n v="30.37"/>
    <n v="69.62"/>
    <n v="0"/>
    <s v="Consolidation"/>
    <s v="CO2e and Base Measure"/>
    <n v="100"/>
    <n v="100"/>
    <n v="0.04"/>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1-01-01T00:00:00"/>
    <s v="FY21"/>
    <s v="t"/>
    <n v="0"/>
    <n v="2.75E-2"/>
    <n v="0"/>
    <n v="2.75E-2"/>
    <n v="0"/>
    <n v="1"/>
    <n v="0"/>
    <n v="1"/>
    <n v="0"/>
    <n v="100"/>
    <n v="0"/>
    <s v="Consolidation"/>
    <s v="CO2e and Base Measure"/>
    <n v="100"/>
    <n v="100"/>
    <n v="0.03"/>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1-03-01T00:00:00"/>
    <s v="FY21"/>
    <s v="t"/>
    <n v="0"/>
    <n v="5.5E-2"/>
    <n v="0"/>
    <n v="5.5E-2"/>
    <n v="0"/>
    <n v="2"/>
    <n v="0"/>
    <n v="2"/>
    <n v="0"/>
    <n v="100"/>
    <n v="0"/>
    <s v="Consolidation"/>
    <s v="CO2e and Base Measure"/>
    <n v="100"/>
    <n v="100"/>
    <n v="0.06"/>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1-04-01T00:00:00"/>
    <s v="FY21"/>
    <s v="t"/>
    <n v="0"/>
    <n v="0"/>
    <n v="0.03"/>
    <n v="0.03"/>
    <n v="0"/>
    <n v="0"/>
    <n v="30"/>
    <n v="30"/>
    <n v="0"/>
    <n v="0"/>
    <n v="100"/>
    <s v="Consolidation"/>
    <s v="CO2e and Base Measure"/>
    <n v="100"/>
    <n v="100"/>
    <n v="0.03"/>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1-05-01T00:00:00"/>
    <s v="FY21"/>
    <s v="t"/>
    <n v="0"/>
    <n v="0"/>
    <n v="3.1E-2"/>
    <n v="3.1E-2"/>
    <n v="0"/>
    <n v="0"/>
    <n v="31"/>
    <n v="31"/>
    <n v="0"/>
    <n v="0"/>
    <n v="100"/>
    <s v="Consolidation"/>
    <s v="CO2e and Base Measure"/>
    <n v="100"/>
    <n v="100"/>
    <n v="0.03"/>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5"/>
    <s v="Account"/>
    <s v="CLEANAWAY Construction - Diversion"/>
    <m/>
    <s v="44541_Diversion_Construction"/>
    <s v="Construction"/>
    <s v="Cleanaway"/>
    <m/>
    <d v="2021-03-12T00:00:00"/>
    <m/>
    <d v="2021-03-01T00:00:00"/>
    <s v="FY21"/>
    <s v="t"/>
    <n v="3.2"/>
    <n v="0"/>
    <n v="0"/>
    <n v="3.2"/>
    <n v="1"/>
    <n v="0"/>
    <n v="0"/>
    <n v="1"/>
    <n v="100"/>
    <n v="0"/>
    <n v="0"/>
    <s v="Consolidation"/>
    <s v="CO2e and Base Measure"/>
    <n v="100"/>
    <n v="100"/>
    <n v="3.2"/>
    <m/>
    <m/>
    <m/>
    <m/>
    <m/>
    <m/>
    <m/>
    <m/>
    <m/>
    <m/>
    <m/>
    <m/>
    <m/>
    <s v="AUD"/>
    <s v="13641214Waste Recycled - Construction and Demolition [t]"/>
    <n v="13641214"/>
  </r>
  <r>
    <d v="2019-07-01T00:00:00"/>
    <d v="2021-06-30T00:00:00"/>
    <s v="Telstra"/>
    <s v="NETWORK"/>
    <s v="Network - InfraCo"/>
    <s v="NSW"/>
    <s v="Australia"/>
    <s v="Gladesville"/>
    <s v="HUNTERS HILL EXCHANGE"/>
    <n v="423030356300"/>
    <s v="Recycled Waste"/>
    <x v="0"/>
    <x v="5"/>
    <s v="Account"/>
    <s v="CLEANAWAY Construction - Diversion"/>
    <m/>
    <s v="44541_Diversion_Construction"/>
    <s v="Construction"/>
    <s v="Cleanaway"/>
    <m/>
    <d v="2021-03-12T00:00:00"/>
    <m/>
    <d v="2021-04-01T00:00:00"/>
    <s v="FY21"/>
    <s v="t"/>
    <n v="0"/>
    <n v="0"/>
    <n v="3.0960000000000001"/>
    <n v="3.0960000000000001"/>
    <n v="0"/>
    <n v="0"/>
    <n v="30"/>
    <n v="30"/>
    <n v="0"/>
    <n v="0"/>
    <n v="100"/>
    <s v="Consolidation"/>
    <s v="CO2e and Base Measure"/>
    <n v="100"/>
    <n v="100"/>
    <n v="3.1"/>
    <m/>
    <m/>
    <m/>
    <m/>
    <m/>
    <m/>
    <m/>
    <m/>
    <m/>
    <m/>
    <m/>
    <m/>
    <m/>
    <s v="AUD"/>
    <s v="13641214Waste Recycled - Construction and Demolition [t]"/>
    <n v="13641214"/>
  </r>
  <r>
    <d v="2019-07-01T00:00:00"/>
    <d v="2021-06-30T00:00:00"/>
    <s v="Telstra"/>
    <s v="NETWORK"/>
    <s v="Network - InfraCo"/>
    <s v="NSW"/>
    <s v="Australia"/>
    <s v="Gladesville"/>
    <s v="HUNTERS HILL EXCHANGE"/>
    <n v="423030356300"/>
    <s v="Recycled Waste"/>
    <x v="0"/>
    <x v="5"/>
    <s v="Account"/>
    <s v="CLEANAWAY Construction - Diversion"/>
    <m/>
    <s v="44541_Diversion_Construction"/>
    <s v="Construction"/>
    <s v="Cleanaway"/>
    <m/>
    <d v="2021-03-12T00:00:00"/>
    <m/>
    <d v="2021-05-01T00:00:00"/>
    <s v="FY21"/>
    <s v="t"/>
    <n v="0"/>
    <n v="0"/>
    <n v="3.1991999999999998"/>
    <n v="3.1991999999999998"/>
    <n v="0"/>
    <n v="0"/>
    <n v="31"/>
    <n v="31"/>
    <n v="0"/>
    <n v="0"/>
    <n v="100"/>
    <s v="Consolidation"/>
    <s v="CO2e and Base Measure"/>
    <n v="100"/>
    <n v="100"/>
    <n v="3.2"/>
    <m/>
    <m/>
    <m/>
    <m/>
    <m/>
    <m/>
    <m/>
    <m/>
    <m/>
    <m/>
    <m/>
    <m/>
    <m/>
    <s v="AUD"/>
    <s v="13641214Waste Recycled - Construction and Demolition [t]"/>
    <n v="13641214"/>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11-01T00:00:00"/>
    <s v="FY21"/>
    <s v="t"/>
    <n v="0"/>
    <n v="0.189"/>
    <n v="0"/>
    <n v="0.189"/>
    <n v="0"/>
    <n v="3"/>
    <n v="0"/>
    <n v="3"/>
    <n v="0"/>
    <n v="100"/>
    <n v="0"/>
    <s v="Consolidation"/>
    <s v="CO2e and Base Measure"/>
    <n v="100"/>
    <n v="100"/>
    <n v="0.19"/>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12-01T00:00:00"/>
    <s v="FY21"/>
    <s v="t"/>
    <n v="0"/>
    <n v="0"/>
    <n v="4.7999999999999996E-3"/>
    <n v="4.7999999999999996E-3"/>
    <n v="0"/>
    <n v="0"/>
    <n v="1"/>
    <n v="1"/>
    <n v="0"/>
    <n v="0"/>
    <n v="100"/>
    <s v="Consolidation"/>
    <s v="CO2e and Base Measure"/>
    <n v="100"/>
    <n v="100"/>
    <n v="0"/>
    <m/>
    <m/>
    <m/>
    <m/>
    <m/>
    <m/>
    <n v="0"/>
    <m/>
    <m/>
    <m/>
    <m/>
    <m/>
    <m/>
    <s v="AUD"/>
    <s v="13565453Waste Recycled - Cardboard [t]"/>
    <n v="13565453"/>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454Waste - General [t] - Scope 3"/>
    <n v="13565454"/>
  </r>
  <r>
    <d v="2019-07-01T00:00:00"/>
    <d v="2021-06-30T00:00:00"/>
    <s v="Telstra"/>
    <s v="NON-NETWORK"/>
    <s v="NON-NETWORK"/>
    <s v="TAS"/>
    <s v="Australia"/>
    <s v="Huonville"/>
    <s v="HUONVILLE 11 SALE ST"/>
    <n v="423030913000"/>
    <s v="Recycled Waste"/>
    <x v="0"/>
    <x v="5"/>
    <s v="Account"/>
    <s v="Remondis Metal - Mixed All"/>
    <m/>
    <s v="423030913000_RMETMIXED"/>
    <s v="METAL - MIXED ALL"/>
    <s v="Remondis"/>
    <m/>
    <m/>
    <d v="2020-12-01T00:00:00"/>
    <d v="2020-11-01T00:00:00"/>
    <s v="FY21"/>
    <s v="t"/>
    <n v="0"/>
    <n v="0.52500000000000002"/>
    <n v="0"/>
    <n v="0.52500000000000002"/>
    <n v="0"/>
    <n v="1"/>
    <n v="0"/>
    <n v="1"/>
    <n v="0"/>
    <n v="100"/>
    <n v="0"/>
    <s v="Consolidation"/>
    <s v="CO2e and Base Measure"/>
    <n v="100"/>
    <n v="100"/>
    <n v="0.53"/>
    <m/>
    <m/>
    <m/>
    <m/>
    <m/>
    <m/>
    <m/>
    <m/>
    <m/>
    <m/>
    <m/>
    <m/>
    <m/>
    <s v="AUD"/>
    <s v="13565455Waste Recycled - Construction and Demolition [t]"/>
    <n v="13565455"/>
  </r>
  <r>
    <d v="2019-07-01T00:00:00"/>
    <d v="2021-06-30T00:00:00"/>
    <s v="Telstra"/>
    <s v="NON-NETWORK"/>
    <s v="NON-NETWORK"/>
    <s v="TAS"/>
    <s v="Australia"/>
    <s v="Huonville"/>
    <s v="HUONVILLE 11 SALE ST"/>
    <n v="423030913000"/>
    <s v="Recycled Waste"/>
    <x v="0"/>
    <x v="5"/>
    <s v="Account"/>
    <s v="Remondis Metal - Mixed All"/>
    <m/>
    <s v="423030913000_RMETMIXED"/>
    <s v="METAL - MIXED ALL"/>
    <s v="Remondis"/>
    <m/>
    <m/>
    <d v="2020-12-01T00:00:00"/>
    <d v="2020-12-01T00:00:00"/>
    <s v="FY21"/>
    <s v="t"/>
    <n v="0"/>
    <n v="0"/>
    <n v="1.8100000000000002E-2"/>
    <n v="1.8100000000000002E-2"/>
    <n v="0"/>
    <n v="0"/>
    <n v="1"/>
    <n v="1"/>
    <n v="0"/>
    <n v="0"/>
    <n v="100"/>
    <s v="Consolidation"/>
    <s v="CO2e and Base Measure"/>
    <n v="100"/>
    <n v="100"/>
    <n v="0.02"/>
    <m/>
    <m/>
    <m/>
    <m/>
    <m/>
    <m/>
    <m/>
    <m/>
    <m/>
    <m/>
    <m/>
    <m/>
    <m/>
    <s v="AUD"/>
    <s v="13565455Waste Recycled - Construction and Demolition [t]"/>
    <n v="13565455"/>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0-11-01T00:00:00"/>
    <s v="FY21"/>
    <s v="t"/>
    <n v="0.13300000000000001"/>
    <n v="0.13500000000000001"/>
    <n v="0"/>
    <n v="0.26800000000000002"/>
    <n v="1"/>
    <n v="1"/>
    <n v="0"/>
    <n v="2"/>
    <n v="49.62"/>
    <n v="50.37"/>
    <n v="0"/>
    <s v="Consolidation"/>
    <s v="CO2e and Base Measure"/>
    <n v="100"/>
    <n v="100"/>
    <n v="0.27"/>
    <m/>
    <m/>
    <m/>
    <m/>
    <m/>
    <n v="0.34839999999999999"/>
    <m/>
    <n v="0.34839999999999999"/>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0-12-01T00:00:00"/>
    <s v="FY21"/>
    <s v="t"/>
    <n v="0.38500000000000001"/>
    <n v="0"/>
    <n v="0"/>
    <n v="0.38500000000000001"/>
    <n v="3"/>
    <n v="0"/>
    <n v="0"/>
    <n v="3"/>
    <n v="100"/>
    <n v="0"/>
    <n v="0"/>
    <s v="Consolidation"/>
    <s v="CO2e and Base Measure"/>
    <n v="100"/>
    <n v="100"/>
    <n v="0.39"/>
    <m/>
    <m/>
    <m/>
    <m/>
    <m/>
    <n v="0.50049999999999994"/>
    <m/>
    <n v="0.50049999999999994"/>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1-01T00:00:00"/>
    <s v="FY21"/>
    <s v="t"/>
    <n v="0.318"/>
    <n v="0.13500000000000001"/>
    <n v="0"/>
    <n v="0.45300000000000001"/>
    <n v="2"/>
    <n v="1"/>
    <n v="0"/>
    <n v="3"/>
    <n v="70.19"/>
    <n v="29.8"/>
    <n v="0"/>
    <s v="Consolidation"/>
    <s v="CO2e and Base Measure"/>
    <n v="100"/>
    <n v="100"/>
    <n v="0.45"/>
    <m/>
    <m/>
    <m/>
    <m/>
    <m/>
    <n v="0.58889999999999998"/>
    <m/>
    <n v="0.58889999999999998"/>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2-01T00:00:00"/>
    <s v="FY21"/>
    <s v="t"/>
    <n v="0.24099999999999999"/>
    <n v="0.40500000000000003"/>
    <n v="0"/>
    <n v="0.64600000000000002"/>
    <n v="1"/>
    <n v="3"/>
    <n v="0"/>
    <n v="4"/>
    <n v="37.299999999999997"/>
    <n v="62.69"/>
    <n v="0"/>
    <s v="Consolidation"/>
    <s v="CO2e and Base Measure"/>
    <n v="100"/>
    <n v="100"/>
    <n v="0.65"/>
    <m/>
    <m/>
    <m/>
    <m/>
    <m/>
    <n v="0.83979999999999999"/>
    <m/>
    <n v="0.83979999999999999"/>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3-01T00:00:00"/>
    <s v="FY21"/>
    <s v="t"/>
    <n v="0.28999999999999998"/>
    <n v="0.27"/>
    <n v="0"/>
    <n v="0.56000000000000005"/>
    <n v="3"/>
    <n v="2"/>
    <n v="0"/>
    <n v="5"/>
    <n v="51.78"/>
    <n v="48.21"/>
    <n v="0"/>
    <s v="Consolidation"/>
    <s v="CO2e and Base Measure"/>
    <n v="100"/>
    <n v="100"/>
    <n v="0.56000000000000005"/>
    <m/>
    <m/>
    <m/>
    <m/>
    <m/>
    <n v="0.72799999999999998"/>
    <m/>
    <n v="0.72799999999999998"/>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4-01T00:00:00"/>
    <s v="FY21"/>
    <s v="t"/>
    <n v="0"/>
    <n v="0"/>
    <n v="0.46200000000000002"/>
    <n v="0.46200000000000002"/>
    <n v="0"/>
    <n v="0"/>
    <n v="30"/>
    <n v="30"/>
    <n v="0"/>
    <n v="0"/>
    <n v="100"/>
    <s v="Consolidation"/>
    <s v="CO2e and Base Measure"/>
    <n v="100"/>
    <n v="100"/>
    <n v="0.46"/>
    <m/>
    <m/>
    <m/>
    <m/>
    <m/>
    <n v="0.60060000000000002"/>
    <m/>
    <n v="0.60060000000000002"/>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5-01T00:00:00"/>
    <s v="FY21"/>
    <s v="t"/>
    <n v="0"/>
    <n v="0"/>
    <n v="0.47739999999999999"/>
    <n v="0.47739999999999999"/>
    <n v="0"/>
    <n v="0"/>
    <n v="31"/>
    <n v="31"/>
    <n v="0"/>
    <n v="0"/>
    <n v="100"/>
    <s v="Consolidation"/>
    <s v="CO2e and Base Measure"/>
    <n v="100"/>
    <n v="100"/>
    <n v="0.48"/>
    <m/>
    <m/>
    <m/>
    <m/>
    <m/>
    <n v="0.62060000000000004"/>
    <m/>
    <n v="0.62060000000000004"/>
    <m/>
    <m/>
    <m/>
    <m/>
    <m/>
    <s v="AUD"/>
    <s v="13633999Waste - General [t] - Scope 3"/>
    <n v="13633999"/>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0-11-01T00:00:00"/>
    <s v="FY21"/>
    <s v="t"/>
    <n v="0"/>
    <n v="0.15"/>
    <n v="0"/>
    <n v="0.15"/>
    <n v="0"/>
    <n v="2"/>
    <n v="0"/>
    <n v="2"/>
    <n v="0"/>
    <n v="100"/>
    <n v="0"/>
    <s v="Consolidation"/>
    <s v="CO2e and Base Measure"/>
    <n v="100"/>
    <n v="100"/>
    <n v="0.15"/>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0-12-01T00:00:00"/>
    <s v="FY21"/>
    <s v="t"/>
    <n v="0.18"/>
    <n v="0.15"/>
    <n v="0"/>
    <n v="0.33"/>
    <n v="1"/>
    <n v="2"/>
    <n v="0"/>
    <n v="3"/>
    <n v="54.54"/>
    <n v="45.45"/>
    <n v="0"/>
    <s v="Consolidation"/>
    <s v="CO2e and Base Measure"/>
    <n v="100"/>
    <n v="100"/>
    <n v="0.33"/>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1-01T00:00:00"/>
    <s v="FY21"/>
    <s v="t"/>
    <n v="0"/>
    <n v="0.375"/>
    <n v="0"/>
    <n v="0.375"/>
    <n v="0"/>
    <n v="5"/>
    <n v="0"/>
    <n v="5"/>
    <n v="0"/>
    <n v="100"/>
    <n v="0"/>
    <s v="Consolidation"/>
    <s v="CO2e and Base Measure"/>
    <n v="100"/>
    <n v="100"/>
    <n v="0.38"/>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2-01T00:00:00"/>
    <s v="FY21"/>
    <s v="t"/>
    <n v="0"/>
    <n v="0.3"/>
    <n v="0"/>
    <n v="0.3"/>
    <n v="0"/>
    <n v="4"/>
    <n v="0"/>
    <n v="4"/>
    <n v="0"/>
    <n v="100"/>
    <n v="0"/>
    <s v="Consolidation"/>
    <s v="CO2e and Base Measure"/>
    <n v="100"/>
    <n v="100"/>
    <n v="0.3"/>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3-01T00:00:00"/>
    <s v="FY21"/>
    <s v="t"/>
    <n v="0"/>
    <n v="0.3"/>
    <n v="0"/>
    <n v="0.3"/>
    <n v="0"/>
    <n v="4"/>
    <n v="0"/>
    <n v="4"/>
    <n v="0"/>
    <n v="100"/>
    <n v="0"/>
    <s v="Consolidation"/>
    <s v="CO2e and Base Measure"/>
    <n v="100"/>
    <n v="100"/>
    <n v="0.3"/>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4-01T00:00:00"/>
    <s v="FY21"/>
    <s v="t"/>
    <n v="0"/>
    <n v="0"/>
    <n v="0.29099999999999998"/>
    <n v="0.29099999999999998"/>
    <n v="0"/>
    <n v="0"/>
    <n v="30"/>
    <n v="30"/>
    <n v="0"/>
    <n v="0"/>
    <n v="100"/>
    <s v="Consolidation"/>
    <s v="CO2e and Base Measure"/>
    <n v="100"/>
    <n v="100"/>
    <n v="0.28999999999999998"/>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5-01T00:00:00"/>
    <s v="FY21"/>
    <s v="t"/>
    <n v="0"/>
    <n v="0"/>
    <n v="0.30070000000000002"/>
    <n v="0.30070000000000002"/>
    <n v="0"/>
    <n v="0"/>
    <n v="31"/>
    <n v="31"/>
    <n v="0"/>
    <n v="0"/>
    <n v="100"/>
    <s v="Consolidation"/>
    <s v="CO2e and Base Measure"/>
    <n v="100"/>
    <n v="100"/>
    <n v="0.3"/>
    <m/>
    <m/>
    <m/>
    <m/>
    <m/>
    <m/>
    <m/>
    <m/>
    <m/>
    <m/>
    <m/>
    <m/>
    <m/>
    <s v="AUD"/>
    <s v="13634000Waste Recycled - Paper and Cardboard [t]"/>
    <n v="13634000"/>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163Waste - General [t] - Scope 3"/>
    <n v="13564163"/>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3-01T00:00:00"/>
    <s v="FY21"/>
    <s v="t"/>
    <n v="0"/>
    <n v="0.20250000000000001"/>
    <n v="0"/>
    <n v="0.20250000000000001"/>
    <n v="0"/>
    <n v="3"/>
    <n v="0"/>
    <n v="3"/>
    <n v="0"/>
    <n v="100"/>
    <n v="0"/>
    <s v="Consolidation"/>
    <s v="CO2e and Base Measure"/>
    <n v="100"/>
    <n v="100"/>
    <n v="0.2"/>
    <m/>
    <m/>
    <m/>
    <m/>
    <m/>
    <n v="0.26329999999999998"/>
    <m/>
    <n v="0.26329999999999998"/>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4-01T00:00:00"/>
    <s v="FY21"/>
    <s v="t"/>
    <n v="0"/>
    <n v="0"/>
    <n v="0.153"/>
    <n v="0.153"/>
    <n v="0"/>
    <n v="0"/>
    <n v="30"/>
    <n v="30"/>
    <n v="0"/>
    <n v="0"/>
    <n v="100"/>
    <s v="Consolidation"/>
    <s v="CO2e and Base Measure"/>
    <n v="100"/>
    <n v="100"/>
    <n v="0.15"/>
    <m/>
    <m/>
    <m/>
    <m/>
    <m/>
    <n v="0.19889999999999999"/>
    <m/>
    <n v="0.19889999999999999"/>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5-01T00:00:00"/>
    <s v="FY21"/>
    <s v="t"/>
    <n v="0"/>
    <n v="0"/>
    <n v="0.15809999999999999"/>
    <n v="0.15809999999999999"/>
    <n v="0"/>
    <n v="0"/>
    <n v="31"/>
    <n v="31"/>
    <n v="0"/>
    <n v="0"/>
    <n v="100"/>
    <s v="Consolidation"/>
    <s v="CO2e and Base Measure"/>
    <n v="100"/>
    <n v="100"/>
    <n v="0.16"/>
    <m/>
    <m/>
    <m/>
    <m/>
    <m/>
    <n v="0.20549999999999999"/>
    <m/>
    <n v="0.20549999999999999"/>
    <m/>
    <m/>
    <m/>
    <m/>
    <m/>
    <s v="AUD"/>
    <s v="13634141Waste - General [t] - Scope 3"/>
    <n v="13634141"/>
  </r>
  <r>
    <d v="2019-07-01T00:00:00"/>
    <d v="2021-06-30T00:00:00"/>
    <s v="Telstra"/>
    <s v="NETWORK"/>
    <s v="Network - InfraCo"/>
    <s v="NSW"/>
    <s v="Australia"/>
    <s v="Ingleburn"/>
    <s v="INGLEBURN EXCHANGE"/>
    <n v="423030357400"/>
    <s v="Recycled Waste"/>
    <x v="0"/>
    <x v="5"/>
    <s v="Account"/>
    <s v="Remondis Construction &amp; Demolition - Recycled"/>
    <m/>
    <s v="423030357400_RCONSDEM"/>
    <s v="CONSTRUCTION &amp; DEMOLITION - RECYLED"/>
    <s v="Remondis"/>
    <m/>
    <m/>
    <d v="2020-07-01T00:00:00"/>
    <d v="2020-07-01T00:00:00"/>
    <s v="FY21"/>
    <s v="t"/>
    <n v="0"/>
    <n v="0"/>
    <n v="8.3400000000000002E-2"/>
    <n v="8.3400000000000002E-2"/>
    <n v="0"/>
    <n v="0"/>
    <n v="1"/>
    <n v="1"/>
    <n v="0"/>
    <n v="0"/>
    <n v="100"/>
    <s v="Consolidation"/>
    <s v="CO2e and Base Measure"/>
    <n v="100"/>
    <n v="100"/>
    <n v="0.08"/>
    <m/>
    <m/>
    <m/>
    <m/>
    <m/>
    <m/>
    <m/>
    <m/>
    <m/>
    <m/>
    <m/>
    <m/>
    <m/>
    <s v="AUD"/>
    <s v="13602597Waste Recycled - Construction and Demolition [t]"/>
    <n v="13602597"/>
  </r>
  <r>
    <d v="2019-07-01T00:00:00"/>
    <d v="2021-06-30T00:00:00"/>
    <s v="Telstra"/>
    <s v="NETWORK"/>
    <s v="Network - InfraCo"/>
    <s v="NSW"/>
    <s v="Australia"/>
    <s v="Ingleburn"/>
    <s v="INGLEBURN EXCHANGE"/>
    <n v="423030357400"/>
    <s v="Recycled Waste"/>
    <x v="0"/>
    <x v="5"/>
    <s v="Account"/>
    <s v="Remondis Metal - Mixed All"/>
    <m/>
    <s v="423030357400_RMETMIXED"/>
    <s v="METAL - MIXED ALL"/>
    <s v="Remondis"/>
    <m/>
    <m/>
    <d v="2020-07-01T00:00:00"/>
    <d v="2020-07-01T00:00:00"/>
    <s v="FY21"/>
    <s v="t"/>
    <n v="0"/>
    <n v="0"/>
    <n v="1.8599999999999998E-2"/>
    <n v="1.8599999999999998E-2"/>
    <n v="0"/>
    <n v="0"/>
    <n v="1"/>
    <n v="1"/>
    <n v="0"/>
    <n v="0"/>
    <n v="100"/>
    <s v="Consolidation"/>
    <s v="CO2e and Base Measure"/>
    <n v="100"/>
    <n v="100"/>
    <n v="0.02"/>
    <m/>
    <m/>
    <m/>
    <m/>
    <m/>
    <m/>
    <m/>
    <m/>
    <m/>
    <m/>
    <m/>
    <m/>
    <m/>
    <s v="AUD"/>
    <s v="13611162Waste Recycled - Construction and Demolition [t]"/>
    <n v="13611162"/>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1-01T00:00:00"/>
    <s v="FY21"/>
    <s v="t"/>
    <n v="0.5"/>
    <n v="0"/>
    <n v="0"/>
    <n v="0.5"/>
    <n v="1"/>
    <n v="0"/>
    <n v="0"/>
    <n v="1"/>
    <n v="100"/>
    <n v="0"/>
    <n v="0"/>
    <s v="Consolidation"/>
    <s v="CO2e and Base Measure"/>
    <n v="100"/>
    <n v="100"/>
    <n v="0.5"/>
    <m/>
    <m/>
    <m/>
    <m/>
    <m/>
    <n v="0.65"/>
    <m/>
    <n v="0.65"/>
    <m/>
    <m/>
    <m/>
    <m/>
    <m/>
    <s v="AUD"/>
    <s v="13634438Waste - General [t] - Scope 3"/>
    <n v="13634438"/>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2-01T00:00:00"/>
    <s v="FY21"/>
    <s v="t"/>
    <n v="2.9000000000000001E-2"/>
    <n v="0"/>
    <n v="0"/>
    <n v="2.9000000000000001E-2"/>
    <n v="1"/>
    <n v="0"/>
    <n v="0"/>
    <n v="1"/>
    <n v="100"/>
    <n v="0"/>
    <n v="0"/>
    <s v="Consolidation"/>
    <s v="CO2e and Base Measure"/>
    <n v="100"/>
    <n v="100"/>
    <n v="0.03"/>
    <m/>
    <m/>
    <m/>
    <m/>
    <m/>
    <n v="3.7699999999999997E-2"/>
    <m/>
    <n v="3.7699999999999997E-2"/>
    <m/>
    <m/>
    <m/>
    <m/>
    <m/>
    <s v="AUD"/>
    <s v="13634438Waste - General [t] - Scope 3"/>
    <n v="13634438"/>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3-01T00:00:00"/>
    <s v="FY21"/>
    <s v="t"/>
    <n v="0"/>
    <n v="0.40500000000000003"/>
    <n v="0"/>
    <n v="0.40500000000000003"/>
    <n v="0"/>
    <n v="3"/>
    <n v="0"/>
    <n v="3"/>
    <n v="0"/>
    <n v="100"/>
    <n v="0"/>
    <s v="Consolidation"/>
    <s v="CO2e and Base Measure"/>
    <n v="100"/>
    <n v="100"/>
    <n v="0.41"/>
    <m/>
    <m/>
    <m/>
    <m/>
    <m/>
    <n v="0.52649999999999997"/>
    <m/>
    <n v="0.52649999999999997"/>
    <m/>
    <m/>
    <m/>
    <m/>
    <m/>
    <s v="AUD"/>
    <s v="13634438Waste - General [t] - Scope 3"/>
    <n v="13634438"/>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4-01T00:00:00"/>
    <s v="FY21"/>
    <s v="t"/>
    <n v="0"/>
    <n v="0"/>
    <n v="0.315"/>
    <n v="0.315"/>
    <n v="0"/>
    <n v="0"/>
    <n v="30"/>
    <n v="30"/>
    <n v="0"/>
    <n v="0"/>
    <n v="100"/>
    <s v="Consolidation"/>
    <s v="CO2e and Base Measure"/>
    <n v="100"/>
    <n v="100"/>
    <n v="0.32"/>
    <m/>
    <m/>
    <m/>
    <m/>
    <m/>
    <n v="0.40949999999999998"/>
    <m/>
    <n v="0.40949999999999998"/>
    <m/>
    <m/>
    <m/>
    <m/>
    <m/>
    <s v="AUD"/>
    <s v="13634438Waste - General [t] - Scope 3"/>
    <n v="13634438"/>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5-01T00:00:00"/>
    <s v="FY21"/>
    <s v="t"/>
    <n v="0"/>
    <n v="0"/>
    <n v="0.32550000000000001"/>
    <n v="0.32550000000000001"/>
    <n v="0"/>
    <n v="0"/>
    <n v="31"/>
    <n v="31"/>
    <n v="0"/>
    <n v="0"/>
    <n v="100"/>
    <s v="Consolidation"/>
    <s v="CO2e and Base Measure"/>
    <n v="100"/>
    <n v="100"/>
    <n v="0.33"/>
    <m/>
    <m/>
    <m/>
    <m/>
    <m/>
    <n v="0.42320000000000002"/>
    <m/>
    <n v="0.42320000000000002"/>
    <m/>
    <m/>
    <m/>
    <m/>
    <m/>
    <s v="AUD"/>
    <s v="13634438Waste - General [t] - Scope 3"/>
    <n v="13634438"/>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709Waste - General [t] - Scope 3"/>
    <n v="13564709"/>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41196Waste - General [t] - Scope 3"/>
    <n v="13641196"/>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2-01T00:00:00"/>
    <s v="FY21"/>
    <s v="t"/>
    <n v="0"/>
    <n v="0.40500000000000003"/>
    <n v="0"/>
    <n v="0.40500000000000003"/>
    <n v="0"/>
    <n v="3"/>
    <n v="0"/>
    <n v="3"/>
    <n v="0"/>
    <n v="100"/>
    <n v="0"/>
    <s v="Consolidation"/>
    <s v="CO2e and Base Measure"/>
    <n v="100"/>
    <n v="100"/>
    <n v="0.41"/>
    <m/>
    <m/>
    <m/>
    <m/>
    <m/>
    <n v="0.52649999999999997"/>
    <m/>
    <n v="0.52649999999999997"/>
    <m/>
    <m/>
    <m/>
    <m/>
    <m/>
    <s v="AUD"/>
    <s v="13641196Waste - General [t] - Scope 3"/>
    <n v="13641196"/>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3-01T00:00:00"/>
    <s v="FY21"/>
    <s v="t"/>
    <n v="0"/>
    <n v="0"/>
    <n v="0.25109999999999999"/>
    <n v="0.25109999999999999"/>
    <n v="0"/>
    <n v="0"/>
    <n v="31"/>
    <n v="31"/>
    <n v="0"/>
    <n v="0"/>
    <n v="100"/>
    <s v="Consolidation"/>
    <s v="CO2e and Base Measure"/>
    <n v="100"/>
    <n v="100"/>
    <n v="0.25"/>
    <m/>
    <m/>
    <m/>
    <m/>
    <m/>
    <n v="0.32640000000000002"/>
    <m/>
    <n v="0.32640000000000002"/>
    <m/>
    <m/>
    <m/>
    <m/>
    <m/>
    <s v="AUD"/>
    <s v="13641196Waste - General [t] - Scope 3"/>
    <n v="13641196"/>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4-01T00:00:00"/>
    <s v="FY21"/>
    <s v="t"/>
    <n v="0"/>
    <n v="0"/>
    <n v="0.24299999999999999"/>
    <n v="0.24299999999999999"/>
    <n v="0"/>
    <n v="0"/>
    <n v="30"/>
    <n v="30"/>
    <n v="0"/>
    <n v="0"/>
    <n v="100"/>
    <s v="Consolidation"/>
    <s v="CO2e and Base Measure"/>
    <n v="100"/>
    <n v="100"/>
    <n v="0.24"/>
    <m/>
    <m/>
    <m/>
    <m/>
    <m/>
    <n v="0.31590000000000001"/>
    <m/>
    <n v="0.31590000000000001"/>
    <m/>
    <m/>
    <m/>
    <m/>
    <m/>
    <s v="AUD"/>
    <s v="13641196Waste - General [t] - Scope 3"/>
    <n v="13641196"/>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5-01T00:00:00"/>
    <s v="FY21"/>
    <s v="t"/>
    <n v="0"/>
    <n v="0"/>
    <n v="0.25109999999999999"/>
    <n v="0.25109999999999999"/>
    <n v="0"/>
    <n v="0"/>
    <n v="31"/>
    <n v="31"/>
    <n v="0"/>
    <n v="0"/>
    <n v="100"/>
    <s v="Consolidation"/>
    <s v="CO2e and Base Measure"/>
    <n v="100"/>
    <n v="100"/>
    <n v="0.25"/>
    <m/>
    <m/>
    <m/>
    <m/>
    <m/>
    <n v="0.32640000000000002"/>
    <m/>
    <n v="0.32640000000000002"/>
    <m/>
    <m/>
    <m/>
    <m/>
    <m/>
    <s v="AUD"/>
    <s v="13641196Waste - General [t] - Scope 3"/>
    <n v="13641196"/>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07-01T00:00:00"/>
    <s v="FY21"/>
    <s v="t"/>
    <n v="0"/>
    <n v="7.8E-2"/>
    <n v="0"/>
    <n v="7.8E-2"/>
    <n v="0"/>
    <n v="4"/>
    <n v="0"/>
    <n v="4"/>
    <n v="0"/>
    <n v="100"/>
    <n v="0"/>
    <s v="Consolidation"/>
    <s v="CO2e and Base Measure"/>
    <n v="100"/>
    <n v="100"/>
    <n v="0.08"/>
    <m/>
    <m/>
    <m/>
    <m/>
    <m/>
    <n v="0.1014"/>
    <m/>
    <n v="0.1014"/>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08-01T00:00:00"/>
    <s v="FY21"/>
    <s v="t"/>
    <n v="0"/>
    <n v="7.8E-2"/>
    <n v="0"/>
    <n v="7.8E-2"/>
    <n v="0"/>
    <n v="5"/>
    <n v="0"/>
    <n v="5"/>
    <n v="0"/>
    <n v="100"/>
    <n v="0"/>
    <s v="Consolidation"/>
    <s v="CO2e and Base Measure"/>
    <n v="100"/>
    <n v="100"/>
    <n v="0.08"/>
    <m/>
    <m/>
    <m/>
    <m/>
    <m/>
    <n v="0.1014"/>
    <m/>
    <n v="0.1014"/>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09-01T00:00:00"/>
    <s v="FY21"/>
    <s v="t"/>
    <n v="0"/>
    <n v="7.8E-2"/>
    <n v="0"/>
    <n v="7.8E-2"/>
    <n v="0"/>
    <n v="4"/>
    <n v="0"/>
    <n v="4"/>
    <n v="0"/>
    <n v="100"/>
    <n v="0"/>
    <s v="Consolidation"/>
    <s v="CO2e and Base Measure"/>
    <n v="100"/>
    <n v="100"/>
    <n v="0.08"/>
    <m/>
    <m/>
    <m/>
    <m/>
    <m/>
    <n v="0.1014"/>
    <m/>
    <n v="0.1014"/>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10-01T00:00:00"/>
    <s v="FY21"/>
    <s v="t"/>
    <n v="0"/>
    <n v="9.3600000000000003E-2"/>
    <n v="0"/>
    <n v="9.3600000000000003E-2"/>
    <n v="0"/>
    <n v="4"/>
    <n v="0"/>
    <n v="4"/>
    <n v="0"/>
    <n v="100"/>
    <n v="0"/>
    <s v="Consolidation"/>
    <s v="CO2e and Base Measure"/>
    <n v="100"/>
    <n v="100"/>
    <n v="0.09"/>
    <m/>
    <m/>
    <m/>
    <m/>
    <m/>
    <n v="0.1217"/>
    <m/>
    <n v="0.1217"/>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11-01T00:00:00"/>
    <s v="FY21"/>
    <s v="t"/>
    <n v="0"/>
    <n v="0.10920000000000001"/>
    <n v="0"/>
    <n v="0.10920000000000001"/>
    <n v="0"/>
    <n v="3"/>
    <n v="0"/>
    <n v="3"/>
    <n v="0"/>
    <n v="100"/>
    <n v="0"/>
    <s v="Consolidation"/>
    <s v="CO2e and Base Measure"/>
    <n v="100"/>
    <n v="100"/>
    <n v="0.11"/>
    <m/>
    <m/>
    <m/>
    <m/>
    <m/>
    <n v="0.14199999999999999"/>
    <m/>
    <n v="0.14199999999999999"/>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12-01T00:00:00"/>
    <s v="FY21"/>
    <s v="t"/>
    <n v="0"/>
    <n v="0"/>
    <n v="2.8999999999999998E-3"/>
    <n v="2.8999999999999998E-3"/>
    <n v="0"/>
    <n v="0"/>
    <n v="1"/>
    <n v="1"/>
    <n v="0"/>
    <n v="0"/>
    <n v="100"/>
    <s v="Consolidation"/>
    <s v="CO2e and Base Measure"/>
    <n v="100"/>
    <n v="100"/>
    <n v="0"/>
    <m/>
    <m/>
    <m/>
    <m/>
    <m/>
    <n v="3.8E-3"/>
    <m/>
    <n v="3.8E-3"/>
    <m/>
    <m/>
    <m/>
    <m/>
    <m/>
    <s v="AUD"/>
    <s v="13564173Waste - General [t] - Scope 3"/>
    <n v="13564173"/>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0-11-01T00:00:00"/>
    <s v="FY21"/>
    <s v="t"/>
    <n v="0"/>
    <n v="1.5"/>
    <n v="0"/>
    <n v="1.5"/>
    <n v="0"/>
    <n v="1"/>
    <n v="0"/>
    <n v="1"/>
    <n v="0"/>
    <n v="100"/>
    <n v="0"/>
    <s v="Consolidation"/>
    <s v="CO2e and Base Measure"/>
    <n v="100"/>
    <n v="100"/>
    <n v="1.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0-12-01T00:00:00"/>
    <s v="FY21"/>
    <s v="t"/>
    <n v="0"/>
    <n v="1.5"/>
    <n v="0"/>
    <n v="1.5"/>
    <n v="0"/>
    <n v="1"/>
    <n v="0"/>
    <n v="1"/>
    <n v="0"/>
    <n v="100"/>
    <n v="0"/>
    <s v="Consolidation"/>
    <s v="CO2e and Base Measure"/>
    <n v="100"/>
    <n v="100"/>
    <n v="1.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1-01T00:00:00"/>
    <s v="FY21"/>
    <s v="t"/>
    <n v="0"/>
    <n v="0"/>
    <n v="1.55"/>
    <n v="1.55"/>
    <n v="0"/>
    <n v="0"/>
    <n v="31"/>
    <n v="31"/>
    <n v="0"/>
    <n v="0"/>
    <n v="100"/>
    <s v="Consolidation"/>
    <s v="CO2e and Base Measure"/>
    <n v="100"/>
    <n v="100"/>
    <n v="1.5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2-01T00:00:00"/>
    <s v="FY21"/>
    <s v="t"/>
    <n v="0"/>
    <n v="0"/>
    <n v="1.4"/>
    <n v="1.4"/>
    <n v="0"/>
    <n v="0"/>
    <n v="28"/>
    <n v="28"/>
    <n v="0"/>
    <n v="0"/>
    <n v="100"/>
    <s v="Consolidation"/>
    <s v="CO2e and Base Measure"/>
    <n v="100"/>
    <n v="100"/>
    <n v="1.4"/>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3-01T00:00:00"/>
    <s v="FY21"/>
    <s v="t"/>
    <n v="0"/>
    <n v="0"/>
    <n v="1.55"/>
    <n v="1.55"/>
    <n v="0"/>
    <n v="0"/>
    <n v="31"/>
    <n v="31"/>
    <n v="0"/>
    <n v="0"/>
    <n v="100"/>
    <s v="Consolidation"/>
    <s v="CO2e and Base Measure"/>
    <n v="100"/>
    <n v="100"/>
    <n v="1.5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4-01T00:00:00"/>
    <s v="FY21"/>
    <s v="t"/>
    <n v="0"/>
    <n v="0"/>
    <n v="1.5"/>
    <n v="1.5"/>
    <n v="0"/>
    <n v="0"/>
    <n v="30"/>
    <n v="30"/>
    <n v="0"/>
    <n v="0"/>
    <n v="100"/>
    <s v="Consolidation"/>
    <s v="CO2e and Base Measure"/>
    <n v="100"/>
    <n v="100"/>
    <n v="1.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5-01T00:00:00"/>
    <s v="FY21"/>
    <s v="t"/>
    <n v="0"/>
    <n v="0"/>
    <n v="1.55"/>
    <n v="1.55"/>
    <n v="0"/>
    <n v="0"/>
    <n v="31"/>
    <n v="31"/>
    <n v="0"/>
    <n v="0"/>
    <n v="100"/>
    <s v="Consolidation"/>
    <s v="CO2e and Base Measure"/>
    <n v="100"/>
    <n v="100"/>
    <n v="1.55"/>
    <m/>
    <m/>
    <m/>
    <m/>
    <m/>
    <m/>
    <m/>
    <m/>
    <m/>
    <m/>
    <m/>
    <m/>
    <m/>
    <s v="AUD"/>
    <s v="13632352Waste Recycled - Construction and Demolition [t]"/>
    <n v="13632352"/>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0-12-01T00:00:00"/>
    <s v="FY21"/>
    <s v="t"/>
    <n v="0"/>
    <n v="3.2399999999999998E-2"/>
    <n v="0"/>
    <n v="3.2399999999999998E-2"/>
    <n v="0"/>
    <n v="1"/>
    <n v="0"/>
    <n v="1"/>
    <n v="0"/>
    <n v="100"/>
    <n v="0"/>
    <s v="Consolidation"/>
    <s v="CO2e and Base Measure"/>
    <n v="100"/>
    <n v="100"/>
    <n v="0.03"/>
    <m/>
    <m/>
    <m/>
    <m/>
    <m/>
    <n v="4.2099999999999999E-2"/>
    <m/>
    <n v="4.2099999999999999E-2"/>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1-01T00:00:00"/>
    <s v="FY21"/>
    <s v="t"/>
    <n v="0"/>
    <n v="1.0800000000000001E-2"/>
    <n v="0"/>
    <n v="1.0800000000000001E-2"/>
    <n v="0"/>
    <n v="1"/>
    <n v="0"/>
    <n v="1"/>
    <n v="0"/>
    <n v="100"/>
    <n v="0"/>
    <s v="Consolidation"/>
    <s v="CO2e and Base Measure"/>
    <n v="100"/>
    <n v="100"/>
    <n v="0.01"/>
    <m/>
    <m/>
    <m/>
    <m/>
    <m/>
    <n v="1.4E-2"/>
    <m/>
    <n v="1.4E-2"/>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2-01T00:00:00"/>
    <s v="FY21"/>
    <s v="t"/>
    <n v="1"/>
    <n v="1.0800000000000001E-2"/>
    <n v="0"/>
    <n v="1.0107999999999999"/>
    <n v="1"/>
    <n v="1"/>
    <n v="0"/>
    <n v="2"/>
    <n v="98.93"/>
    <n v="1.06"/>
    <n v="0"/>
    <s v="Consolidation"/>
    <s v="CO2e and Base Measure"/>
    <n v="100"/>
    <n v="100"/>
    <n v="1.01"/>
    <m/>
    <m/>
    <m/>
    <m/>
    <m/>
    <n v="1.3140000000000001"/>
    <m/>
    <n v="1.3140000000000001"/>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3-01T00:00:00"/>
    <s v="FY21"/>
    <s v="t"/>
    <n v="0"/>
    <n v="0"/>
    <n v="0.36580000000000001"/>
    <n v="0.36580000000000001"/>
    <n v="0"/>
    <n v="0"/>
    <n v="31"/>
    <n v="31"/>
    <n v="0"/>
    <n v="0"/>
    <n v="100"/>
    <s v="Consolidation"/>
    <s v="CO2e and Base Measure"/>
    <n v="100"/>
    <n v="100"/>
    <n v="0.37"/>
    <m/>
    <m/>
    <m/>
    <m/>
    <m/>
    <n v="0.47549999999999998"/>
    <m/>
    <n v="0.47549999999999998"/>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4-01T00:00:00"/>
    <s v="FY21"/>
    <s v="t"/>
    <n v="0"/>
    <n v="0"/>
    <n v="0.35399999999999998"/>
    <n v="0.35399999999999998"/>
    <n v="0"/>
    <n v="0"/>
    <n v="30"/>
    <n v="30"/>
    <n v="0"/>
    <n v="0"/>
    <n v="100"/>
    <s v="Consolidation"/>
    <s v="CO2e and Base Measure"/>
    <n v="100"/>
    <n v="100"/>
    <n v="0.35"/>
    <m/>
    <m/>
    <m/>
    <m/>
    <m/>
    <n v="0.4602"/>
    <m/>
    <n v="0.4602"/>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5-01T00:00:00"/>
    <s v="FY21"/>
    <s v="t"/>
    <n v="0"/>
    <n v="0"/>
    <n v="0.36580000000000001"/>
    <n v="0.36580000000000001"/>
    <n v="0"/>
    <n v="0"/>
    <n v="31"/>
    <n v="31"/>
    <n v="0"/>
    <n v="0"/>
    <n v="100"/>
    <s v="Consolidation"/>
    <s v="CO2e and Base Measure"/>
    <n v="100"/>
    <n v="100"/>
    <n v="0.37"/>
    <m/>
    <m/>
    <m/>
    <m/>
    <m/>
    <n v="0.47549999999999998"/>
    <m/>
    <n v="0.47549999999999998"/>
    <m/>
    <m/>
    <m/>
    <m/>
    <m/>
    <s v="AUD"/>
    <s v="13634404Waste - General [t] - Scope 3"/>
    <n v="13634404"/>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07-01T00:00:00"/>
    <s v="FY21"/>
    <s v="t"/>
    <n v="8.9999999999999993E-3"/>
    <n v="0"/>
    <n v="0"/>
    <n v="8.9999999999999993E-3"/>
    <n v="2"/>
    <n v="0"/>
    <n v="0"/>
    <n v="2"/>
    <n v="100"/>
    <n v="0"/>
    <n v="0"/>
    <s v="Consolidation"/>
    <s v="CO2e and Base Measure"/>
    <n v="100"/>
    <n v="100"/>
    <n v="0.01"/>
    <m/>
    <m/>
    <m/>
    <m/>
    <m/>
    <n v="1.17E-2"/>
    <m/>
    <n v="1.17E-2"/>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08-01T00:00:00"/>
    <s v="FY21"/>
    <s v="t"/>
    <n v="3.0000000000000001E-3"/>
    <n v="0"/>
    <n v="0"/>
    <n v="3.0000000000000001E-3"/>
    <n v="2"/>
    <n v="0"/>
    <n v="0"/>
    <n v="2"/>
    <n v="100"/>
    <n v="0"/>
    <n v="0"/>
    <s v="Consolidation"/>
    <s v="CO2e and Base Measure"/>
    <n v="100"/>
    <n v="100"/>
    <n v="0"/>
    <m/>
    <m/>
    <m/>
    <m/>
    <m/>
    <n v="3.8999999999999998E-3"/>
    <m/>
    <n v="3.8999999999999998E-3"/>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09-01T00:00:00"/>
    <s v="FY21"/>
    <s v="t"/>
    <n v="4.0000000000000001E-3"/>
    <n v="0"/>
    <n v="0"/>
    <n v="4.0000000000000001E-3"/>
    <n v="2"/>
    <n v="0"/>
    <n v="0"/>
    <n v="2"/>
    <n v="100"/>
    <n v="0"/>
    <n v="0"/>
    <s v="Consolidation"/>
    <s v="CO2e and Base Measure"/>
    <n v="100"/>
    <n v="100"/>
    <n v="0"/>
    <m/>
    <m/>
    <m/>
    <m/>
    <m/>
    <n v="5.1999999999999998E-3"/>
    <m/>
    <n v="5.1999999999999998E-3"/>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10-01T00:00:00"/>
    <s v="FY21"/>
    <s v="t"/>
    <n v="1.2E-2"/>
    <n v="3.1199999999999999E-2"/>
    <n v="0"/>
    <n v="4.3200000000000002E-2"/>
    <n v="2"/>
    <n v="2"/>
    <n v="0"/>
    <n v="4"/>
    <n v="27.77"/>
    <n v="72.22"/>
    <n v="0"/>
    <s v="Consolidation"/>
    <s v="CO2e and Base Measure"/>
    <n v="100"/>
    <n v="100"/>
    <n v="0.04"/>
    <m/>
    <m/>
    <m/>
    <m/>
    <m/>
    <n v="5.62E-2"/>
    <m/>
    <n v="5.62E-2"/>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11-01T00:00:00"/>
    <s v="FY21"/>
    <s v="t"/>
    <n v="1.4999999999999999E-2"/>
    <n v="1.5599999999999999E-2"/>
    <n v="0"/>
    <n v="3.0599999999999999E-2"/>
    <n v="3"/>
    <n v="1"/>
    <n v="0"/>
    <n v="4"/>
    <n v="49.01"/>
    <n v="50.98"/>
    <n v="0"/>
    <s v="Consolidation"/>
    <s v="CO2e and Base Measure"/>
    <n v="100"/>
    <n v="100"/>
    <n v="0.03"/>
    <m/>
    <m/>
    <m/>
    <m/>
    <m/>
    <n v="3.9800000000000002E-2"/>
    <m/>
    <n v="3.9800000000000002E-2"/>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12-01T00:00:00"/>
    <s v="FY21"/>
    <s v="t"/>
    <n v="4.0000000000000001E-3"/>
    <n v="1.5599999999999999E-2"/>
    <n v="0"/>
    <n v="1.9599999999999999E-2"/>
    <n v="1"/>
    <n v="1"/>
    <n v="0"/>
    <n v="2"/>
    <n v="20.399999999999999"/>
    <n v="79.59"/>
    <n v="0"/>
    <s v="Consolidation"/>
    <s v="CO2e and Base Measure"/>
    <n v="100"/>
    <n v="100"/>
    <n v="0.02"/>
    <m/>
    <m/>
    <m/>
    <m/>
    <m/>
    <n v="2.5499999999999998E-2"/>
    <m/>
    <n v="2.5499999999999998E-2"/>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1-01-01T00:00:00"/>
    <s v="FY21"/>
    <s v="t"/>
    <n v="0"/>
    <n v="0"/>
    <n v="5.9999999999999995E-4"/>
    <n v="5.9999999999999995E-4"/>
    <n v="0"/>
    <n v="0"/>
    <n v="1"/>
    <n v="1"/>
    <n v="0"/>
    <n v="0"/>
    <n v="100"/>
    <s v="Consolidation"/>
    <s v="CO2e and Base Measure"/>
    <n v="100"/>
    <n v="100"/>
    <n v="0"/>
    <m/>
    <m/>
    <m/>
    <m/>
    <m/>
    <n v="8.0000000000000004E-4"/>
    <m/>
    <n v="8.0000000000000004E-4"/>
    <m/>
    <m/>
    <m/>
    <m/>
    <m/>
    <s v="AUD"/>
    <s v="13564172Waste - General [t] - Scope 3"/>
    <n v="13564172"/>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07-01T00:00:00"/>
    <s v="FY21"/>
    <s v="t"/>
    <n v="0"/>
    <n v="0.1444"/>
    <n v="0"/>
    <n v="0.1444"/>
    <n v="0"/>
    <n v="2"/>
    <n v="0"/>
    <n v="2"/>
    <n v="0"/>
    <n v="100"/>
    <n v="0"/>
    <s v="Consolidation"/>
    <s v="CO2e and Base Measure"/>
    <n v="100"/>
    <n v="100"/>
    <n v="0.14000000000000001"/>
    <m/>
    <m/>
    <m/>
    <m/>
    <m/>
    <n v="0.18770000000000001"/>
    <m/>
    <n v="0.18770000000000001"/>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08-01T00:00:00"/>
    <s v="FY21"/>
    <s v="t"/>
    <n v="0"/>
    <n v="0.21659999999999999"/>
    <n v="0"/>
    <n v="0.21659999999999999"/>
    <n v="0"/>
    <n v="3"/>
    <n v="0"/>
    <n v="3"/>
    <n v="0"/>
    <n v="100"/>
    <n v="0"/>
    <s v="Consolidation"/>
    <s v="CO2e and Base Measure"/>
    <n v="100"/>
    <n v="100"/>
    <n v="0.22"/>
    <m/>
    <m/>
    <m/>
    <m/>
    <m/>
    <n v="0.28160000000000002"/>
    <m/>
    <n v="0.28160000000000002"/>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09-01T00:00:00"/>
    <s v="FY21"/>
    <s v="t"/>
    <n v="0"/>
    <n v="0.1444"/>
    <n v="0"/>
    <n v="0.1444"/>
    <n v="0"/>
    <n v="2"/>
    <n v="0"/>
    <n v="2"/>
    <n v="0"/>
    <n v="100"/>
    <n v="0"/>
    <s v="Consolidation"/>
    <s v="CO2e and Base Measure"/>
    <n v="100"/>
    <n v="100"/>
    <n v="0.14000000000000001"/>
    <m/>
    <m/>
    <m/>
    <m/>
    <m/>
    <n v="0.18770000000000001"/>
    <m/>
    <n v="0.18770000000000001"/>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10-01T00:00:00"/>
    <s v="FY21"/>
    <s v="t"/>
    <n v="0"/>
    <n v="0.1444"/>
    <n v="0"/>
    <n v="0.1444"/>
    <n v="0"/>
    <n v="2"/>
    <n v="0"/>
    <n v="2"/>
    <n v="0"/>
    <n v="100"/>
    <n v="0"/>
    <s v="Consolidation"/>
    <s v="CO2e and Base Measure"/>
    <n v="100"/>
    <n v="100"/>
    <n v="0.14000000000000001"/>
    <m/>
    <m/>
    <m/>
    <m/>
    <m/>
    <n v="0.18770000000000001"/>
    <m/>
    <n v="0.18770000000000001"/>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11-01T00:00:00"/>
    <s v="FY21"/>
    <s v="t"/>
    <n v="0"/>
    <n v="0.1444"/>
    <n v="0"/>
    <n v="0.1444"/>
    <n v="0"/>
    <n v="2"/>
    <n v="0"/>
    <n v="2"/>
    <n v="0"/>
    <n v="100"/>
    <n v="0"/>
    <s v="Consolidation"/>
    <s v="CO2e and Base Measure"/>
    <n v="100"/>
    <n v="100"/>
    <n v="0.14000000000000001"/>
    <m/>
    <m/>
    <m/>
    <m/>
    <m/>
    <n v="0.18770000000000001"/>
    <m/>
    <n v="0.18770000000000001"/>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12-01T00:00:00"/>
    <s v="FY21"/>
    <s v="t"/>
    <n v="0"/>
    <n v="0"/>
    <n v="5.1999999999999998E-3"/>
    <n v="5.1999999999999998E-3"/>
    <n v="0"/>
    <n v="0"/>
    <n v="1"/>
    <n v="1"/>
    <n v="0"/>
    <n v="0"/>
    <n v="100"/>
    <s v="Consolidation"/>
    <s v="CO2e and Base Measure"/>
    <n v="100"/>
    <n v="100"/>
    <n v="0.01"/>
    <m/>
    <m/>
    <m/>
    <m/>
    <m/>
    <n v="6.7999999999999996E-3"/>
    <m/>
    <n v="6.7999999999999996E-3"/>
    <m/>
    <m/>
    <m/>
    <m/>
    <m/>
    <s v="AUD"/>
    <s v="13564717Waste - General [t] - Scope 3"/>
    <n v="13564717"/>
  </r>
  <r>
    <d v="2019-07-01T00:00:00"/>
    <d v="2021-06-30T00:00:00"/>
    <s v="Telstra"/>
    <s v="NETWORK"/>
    <s v="Network - InfraCo"/>
    <s v="NSW"/>
    <s v="Australia"/>
    <s v="Jindabyne"/>
    <s v="JINDABYNE EXCHANGE"/>
    <n v="423030358400"/>
    <s v="Recycled Waste"/>
    <x v="0"/>
    <x v="1"/>
    <s v="Account"/>
    <s v="Remondis Electrical Comp. (E-Waste)"/>
    <m/>
    <s v="423030358400_RELECTRIC"/>
    <s v="ELECTRICAL COMP. (E-WASTE)"/>
    <m/>
    <m/>
    <m/>
    <d v="2021-01-01T00:00:00"/>
    <d v="2020-12-01T00:00:00"/>
    <s v="FY21"/>
    <s v="t"/>
    <n v="0"/>
    <n v="0.19"/>
    <n v="0"/>
    <n v="0.19"/>
    <n v="0"/>
    <n v="1"/>
    <n v="0"/>
    <n v="1"/>
    <n v="0"/>
    <n v="100"/>
    <n v="0"/>
    <s v="Consolidation"/>
    <s v="CO2e and Base Measure"/>
    <n v="100"/>
    <n v="100"/>
    <n v="0.19"/>
    <m/>
    <m/>
    <m/>
    <m/>
    <m/>
    <m/>
    <m/>
    <m/>
    <m/>
    <m/>
    <m/>
    <m/>
    <m/>
    <s v="AUD"/>
    <s v="13576208Waste Recycled - E-waste [t]"/>
    <n v="13576208"/>
  </r>
  <r>
    <d v="2019-07-01T00:00:00"/>
    <d v="2021-06-30T00:00:00"/>
    <s v="Telstra"/>
    <s v="NETWORK"/>
    <s v="Network - InfraCo"/>
    <s v="NSW"/>
    <s v="Australia"/>
    <s v="Jindabyne"/>
    <s v="JINDABYNE EXCHANGE"/>
    <n v="423030358400"/>
    <s v="Recycled Waste"/>
    <x v="0"/>
    <x v="1"/>
    <s v="Account"/>
    <s v="Remondis Electrical Comp. (E-Waste)"/>
    <m/>
    <s v="423030358400_RELECTRIC"/>
    <s v="ELECTRICAL COMP. (E-WASTE)"/>
    <m/>
    <m/>
    <m/>
    <d v="2021-01-01T00:00:00"/>
    <d v="2021-01-01T00:00:00"/>
    <s v="FY21"/>
    <s v="t"/>
    <n v="0"/>
    <n v="0"/>
    <n v="6.3E-3"/>
    <n v="6.3E-3"/>
    <n v="0"/>
    <n v="0"/>
    <n v="1"/>
    <n v="1"/>
    <n v="0"/>
    <n v="0"/>
    <n v="100"/>
    <s v="Consolidation"/>
    <s v="CO2e and Base Measure"/>
    <n v="100"/>
    <n v="100"/>
    <n v="0.01"/>
    <m/>
    <m/>
    <m/>
    <m/>
    <m/>
    <m/>
    <m/>
    <m/>
    <m/>
    <m/>
    <m/>
    <m/>
    <m/>
    <s v="AUD"/>
    <s v="13576208Waste Recycled - E-waste [t]"/>
    <n v="13576208"/>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08-01T00:00:00"/>
    <s v="FY21"/>
    <s v="t"/>
    <n v="0.09"/>
    <n v="0.19500000000000001"/>
    <n v="0"/>
    <n v="0.28499999999999998"/>
    <n v="1"/>
    <n v="1"/>
    <n v="0"/>
    <n v="2"/>
    <n v="31.57"/>
    <n v="68.42"/>
    <n v="0"/>
    <s v="Consolidation"/>
    <s v="CO2e and Base Measure"/>
    <n v="100"/>
    <n v="100"/>
    <n v="0.28999999999999998"/>
    <m/>
    <m/>
    <m/>
    <m/>
    <m/>
    <n v="0.3705"/>
    <m/>
    <n v="0.3705"/>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10-01T00:00:00"/>
    <s v="FY21"/>
    <s v="t"/>
    <n v="4.4999999999999998E-2"/>
    <n v="0.19500000000000001"/>
    <n v="0"/>
    <n v="0.24"/>
    <n v="1"/>
    <n v="1"/>
    <n v="0"/>
    <n v="2"/>
    <n v="18.75"/>
    <n v="81.25"/>
    <n v="0"/>
    <s v="Consolidation"/>
    <s v="CO2e and Base Measure"/>
    <n v="100"/>
    <n v="100"/>
    <n v="0.24"/>
    <m/>
    <m/>
    <m/>
    <m/>
    <m/>
    <n v="0.312"/>
    <m/>
    <n v="0.312"/>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12-01T00:00:00"/>
    <s v="FY21"/>
    <s v="t"/>
    <n v="0"/>
    <n v="0"/>
    <n v="1.2500000000000001E-2"/>
    <n v="1.2500000000000001E-2"/>
    <n v="0"/>
    <n v="0"/>
    <n v="1"/>
    <n v="1"/>
    <n v="0"/>
    <n v="0"/>
    <n v="100"/>
    <s v="Consolidation"/>
    <s v="CO2e and Base Measure"/>
    <n v="100"/>
    <n v="100"/>
    <n v="0.01"/>
    <m/>
    <m/>
    <m/>
    <m/>
    <m/>
    <n v="1.6299999999999999E-2"/>
    <m/>
    <n v="1.6299999999999999E-2"/>
    <m/>
    <m/>
    <m/>
    <m/>
    <m/>
    <s v="AUD"/>
    <s v="13565680Waste - General [t] - Scope 3"/>
    <n v="13565680"/>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0-07-01T00:00:00"/>
    <s v="FY21"/>
    <s v="t"/>
    <n v="2.7E-2"/>
    <n v="0"/>
    <n v="0"/>
    <n v="2.7E-2"/>
    <n v="1"/>
    <n v="0"/>
    <n v="0"/>
    <n v="1"/>
    <n v="100"/>
    <n v="0"/>
    <n v="0"/>
    <s v="Consolidation"/>
    <s v="CO2e and Base Measure"/>
    <n v="100"/>
    <n v="100"/>
    <n v="0.03"/>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0-09-01T00:00:00"/>
    <s v="FY21"/>
    <s v="t"/>
    <n v="2E-3"/>
    <n v="0"/>
    <n v="0"/>
    <n v="2E-3"/>
    <n v="1"/>
    <n v="0"/>
    <n v="0"/>
    <n v="1"/>
    <n v="100"/>
    <n v="0"/>
    <n v="0"/>
    <s v="Consolidation"/>
    <s v="CO2e and Base Measure"/>
    <n v="100"/>
    <n v="100"/>
    <n v="0"/>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0-11-01T00:00:00"/>
    <s v="FY21"/>
    <s v="t"/>
    <n v="2.7E-2"/>
    <n v="0"/>
    <n v="0"/>
    <n v="2.7E-2"/>
    <n v="1"/>
    <n v="0"/>
    <n v="0"/>
    <n v="1"/>
    <n v="100"/>
    <n v="0"/>
    <n v="0"/>
    <s v="Consolidation"/>
    <s v="CO2e and Base Measure"/>
    <n v="100"/>
    <n v="100"/>
    <n v="0.03"/>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0-12-01T00:00:00"/>
    <s v="FY21"/>
    <s v="t"/>
    <n v="0"/>
    <n v="0"/>
    <n v="1.55E-2"/>
    <n v="1.55E-2"/>
    <n v="0"/>
    <n v="0"/>
    <n v="31"/>
    <n v="31"/>
    <n v="0"/>
    <n v="0"/>
    <n v="100"/>
    <s v="Consolidation"/>
    <s v="CO2e and Base Measure"/>
    <n v="100"/>
    <n v="100"/>
    <n v="0.02"/>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1-01T00:00:00"/>
    <s v="FY21"/>
    <s v="t"/>
    <n v="0"/>
    <n v="0"/>
    <n v="1.55E-2"/>
    <n v="1.55E-2"/>
    <n v="0"/>
    <n v="0"/>
    <n v="31"/>
    <n v="31"/>
    <n v="0"/>
    <n v="0"/>
    <n v="100"/>
    <s v="Consolidation"/>
    <s v="CO2e and Base Measure"/>
    <n v="100"/>
    <n v="100"/>
    <n v="0.02"/>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2-01T00:00:00"/>
    <s v="FY21"/>
    <s v="t"/>
    <n v="0"/>
    <n v="0"/>
    <n v="1.4E-2"/>
    <n v="1.4E-2"/>
    <n v="0"/>
    <n v="0"/>
    <n v="28"/>
    <n v="28"/>
    <n v="0"/>
    <n v="0"/>
    <n v="100"/>
    <s v="Consolidation"/>
    <s v="CO2e and Base Measure"/>
    <n v="100"/>
    <n v="100"/>
    <n v="0.01"/>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3-01T00:00:00"/>
    <s v="FY21"/>
    <s v="t"/>
    <n v="0"/>
    <n v="0"/>
    <n v="1.55E-2"/>
    <n v="1.55E-2"/>
    <n v="0"/>
    <n v="0"/>
    <n v="31"/>
    <n v="31"/>
    <n v="0"/>
    <n v="0"/>
    <n v="100"/>
    <s v="Consolidation"/>
    <s v="CO2e and Base Measure"/>
    <n v="100"/>
    <n v="100"/>
    <n v="0.02"/>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5-01T00:00:00"/>
    <s v="FY21"/>
    <s v="t"/>
    <n v="0"/>
    <n v="0"/>
    <n v="1.55E-2"/>
    <n v="1.55E-2"/>
    <n v="0"/>
    <n v="0"/>
    <n v="31"/>
    <n v="31"/>
    <n v="0"/>
    <n v="0"/>
    <n v="100"/>
    <s v="Consolidation"/>
    <s v="CO2e and Base Measure"/>
    <n v="100"/>
    <n v="100"/>
    <n v="0.02"/>
    <m/>
    <m/>
    <m/>
    <m/>
    <m/>
    <m/>
    <m/>
    <m/>
    <m/>
    <m/>
    <m/>
    <m/>
    <m/>
    <s v="AUD"/>
    <s v="13566644Waste Recycled - Paper and Cardboard [t]"/>
    <n v="13566644"/>
  </r>
  <r>
    <d v="2019-07-01T00:00:00"/>
    <d v="2021-06-30T00:00:00"/>
    <s v="Telstra"/>
    <s v="NETWORK"/>
    <s v="Network - InfraCo"/>
    <s v="QLD"/>
    <s v="Australia"/>
    <s v="Mount Isa"/>
    <s v="JULIA CREEK EXCHANGE __ LINE DEPOT"/>
    <n v="423030097300"/>
    <s v="Recycled Waste"/>
    <x v="0"/>
    <x v="1"/>
    <s v="Account"/>
    <s v="Remondis Batteries - Mixed Recycled"/>
    <m/>
    <s v="423030097300_RBATTERY."/>
    <s v="BATTERIES - MIXED RECYCLED"/>
    <s v="Remondis"/>
    <m/>
    <d v="2020-06-09T00:00:00"/>
    <d v="2020-07-01T00:00:00"/>
    <d v="2020-07-01T00:00:00"/>
    <s v="FY21"/>
    <s v="t"/>
    <n v="0"/>
    <n v="0"/>
    <n v="1.12E-2"/>
    <n v="1.12E-2"/>
    <n v="0"/>
    <n v="0"/>
    <n v="1"/>
    <n v="1"/>
    <n v="0"/>
    <n v="0"/>
    <n v="100"/>
    <s v="Consolidation"/>
    <s v="CO2e and Base Measure"/>
    <n v="100"/>
    <n v="100"/>
    <n v="0.01"/>
    <m/>
    <m/>
    <m/>
    <m/>
    <m/>
    <m/>
    <m/>
    <m/>
    <m/>
    <m/>
    <m/>
    <m/>
    <m/>
    <s v="AUD"/>
    <s v="13612606Waste Recycled - E-waste [t]"/>
    <n v="13612606"/>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07-01T00:00:00"/>
    <s v="FY21"/>
    <s v="t"/>
    <n v="0"/>
    <n v="0.2145"/>
    <n v="0"/>
    <n v="0.2145"/>
    <n v="0"/>
    <n v="5"/>
    <n v="0"/>
    <n v="5"/>
    <n v="0"/>
    <n v="100"/>
    <n v="0"/>
    <s v="Consolidation"/>
    <s v="CO2e and Base Measure"/>
    <n v="100"/>
    <n v="100"/>
    <n v="0.21"/>
    <m/>
    <m/>
    <m/>
    <m/>
    <m/>
    <n v="0.27889999999999998"/>
    <m/>
    <n v="0.27889999999999998"/>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08-01T00:00:00"/>
    <s v="FY21"/>
    <s v="t"/>
    <n v="0"/>
    <n v="0.12870000000000001"/>
    <n v="0"/>
    <n v="0.12870000000000001"/>
    <n v="0"/>
    <n v="3"/>
    <n v="0"/>
    <n v="3"/>
    <n v="0"/>
    <n v="100"/>
    <n v="0"/>
    <s v="Consolidation"/>
    <s v="CO2e and Base Measure"/>
    <n v="100"/>
    <n v="100"/>
    <n v="0.13"/>
    <m/>
    <m/>
    <m/>
    <m/>
    <m/>
    <n v="0.1673"/>
    <m/>
    <n v="0.1673"/>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09-01T00:00:00"/>
    <s v="FY21"/>
    <s v="t"/>
    <n v="0"/>
    <n v="0.1716"/>
    <n v="0"/>
    <n v="0.1716"/>
    <n v="0"/>
    <n v="4"/>
    <n v="0"/>
    <n v="4"/>
    <n v="0"/>
    <n v="100"/>
    <n v="0"/>
    <s v="Consolidation"/>
    <s v="CO2e and Base Measure"/>
    <n v="100"/>
    <n v="100"/>
    <n v="0.17"/>
    <m/>
    <m/>
    <m/>
    <m/>
    <m/>
    <n v="0.22309999999999999"/>
    <m/>
    <n v="0.22309999999999999"/>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10-01T00:00:00"/>
    <s v="FY21"/>
    <s v="t"/>
    <n v="0"/>
    <n v="0.1716"/>
    <n v="0"/>
    <n v="0.1716"/>
    <n v="0"/>
    <n v="4"/>
    <n v="0"/>
    <n v="4"/>
    <n v="0"/>
    <n v="100"/>
    <n v="0"/>
    <s v="Consolidation"/>
    <s v="CO2e and Base Measure"/>
    <n v="100"/>
    <n v="100"/>
    <n v="0.17"/>
    <m/>
    <m/>
    <m/>
    <m/>
    <m/>
    <n v="0.22309999999999999"/>
    <m/>
    <n v="0.22309999999999999"/>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11-01T00:00:00"/>
    <s v="FY21"/>
    <s v="t"/>
    <n v="0"/>
    <n v="0.1716"/>
    <n v="0"/>
    <n v="0.1716"/>
    <n v="0"/>
    <n v="4"/>
    <n v="0"/>
    <n v="4"/>
    <n v="0"/>
    <n v="100"/>
    <n v="0"/>
    <s v="Consolidation"/>
    <s v="CO2e and Base Measure"/>
    <n v="100"/>
    <n v="100"/>
    <n v="0.17"/>
    <m/>
    <m/>
    <m/>
    <m/>
    <m/>
    <n v="0.22309999999999999"/>
    <m/>
    <n v="0.22309999999999999"/>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12-01T00:00:00"/>
    <s v="FY21"/>
    <s v="t"/>
    <n v="0"/>
    <n v="0.2145"/>
    <n v="0"/>
    <n v="0.2145"/>
    <n v="0"/>
    <n v="1"/>
    <n v="0"/>
    <n v="1"/>
    <n v="0"/>
    <n v="100"/>
    <n v="0"/>
    <s v="Consolidation"/>
    <s v="CO2e and Base Measure"/>
    <n v="100"/>
    <n v="100"/>
    <n v="0.21"/>
    <m/>
    <m/>
    <m/>
    <m/>
    <m/>
    <n v="0.27889999999999998"/>
    <m/>
    <n v="0.27889999999999998"/>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1-01-01T00:00:00"/>
    <s v="FY21"/>
    <s v="t"/>
    <n v="0"/>
    <n v="0"/>
    <n v="5.7999999999999996E-3"/>
    <n v="5.7999999999999996E-3"/>
    <n v="0"/>
    <n v="0"/>
    <n v="1"/>
    <n v="1"/>
    <n v="0"/>
    <n v="0"/>
    <n v="100"/>
    <s v="Consolidation"/>
    <s v="CO2e and Base Measure"/>
    <n v="100"/>
    <n v="100"/>
    <n v="0.01"/>
    <m/>
    <m/>
    <m/>
    <m/>
    <m/>
    <n v="7.4999999999999997E-3"/>
    <m/>
    <n v="7.4999999999999997E-3"/>
    <m/>
    <m/>
    <m/>
    <m/>
    <m/>
    <s v="AUD"/>
    <s v="13565108Waste - General [t] - Scope 3"/>
    <n v="13565108"/>
  </r>
  <r>
    <d v="2019-07-01T00:00:00"/>
    <d v="2021-06-30T00:00:00"/>
    <s v="Telstra"/>
    <s v="NETWORK"/>
    <s v="Network - InfraCo"/>
    <s v="SA"/>
    <s v="Australia"/>
    <s v="Kadina"/>
    <s v="KADINA EXCHANGE"/>
    <n v="423030688300"/>
    <s v="Waste"/>
    <x v="1"/>
    <x v="2"/>
    <s v="Account"/>
    <s v="CLEANAWAY General"/>
    <m/>
    <s v="12580_Landfill_General"/>
    <s v="General"/>
    <s v="Cleanaway"/>
    <m/>
    <m/>
    <m/>
    <d v="2021-03-01T00:00:00"/>
    <s v="FY21"/>
    <s v="t"/>
    <n v="0.05"/>
    <n v="0"/>
    <n v="0"/>
    <n v="0.05"/>
    <n v="1"/>
    <n v="0"/>
    <n v="0"/>
    <n v="1"/>
    <n v="100"/>
    <n v="0"/>
    <n v="0"/>
    <s v="Consolidation"/>
    <s v="CO2e and Base Measure"/>
    <n v="100"/>
    <n v="100"/>
    <n v="0.05"/>
    <m/>
    <m/>
    <m/>
    <m/>
    <m/>
    <n v="6.5000000000000002E-2"/>
    <m/>
    <n v="6.5000000000000002E-2"/>
    <m/>
    <m/>
    <m/>
    <m/>
    <m/>
    <s v="AUD"/>
    <s v="13641236Waste - General [t] - Scope 3"/>
    <n v="13641236"/>
  </r>
  <r>
    <d v="2019-07-01T00:00:00"/>
    <d v="2021-06-30T00:00:00"/>
    <s v="Telstra"/>
    <s v="NETWORK"/>
    <s v="Network - InfraCo"/>
    <s v="SA"/>
    <s v="Australia"/>
    <s v="Kadina"/>
    <s v="KADINA EXCHANGE"/>
    <n v="423030688300"/>
    <s v="Waste"/>
    <x v="1"/>
    <x v="2"/>
    <s v="Account"/>
    <s v="CLEANAWAY General"/>
    <m/>
    <s v="12580_Landfill_General"/>
    <s v="General"/>
    <s v="Cleanaway"/>
    <m/>
    <m/>
    <m/>
    <d v="2021-04-01T00:00:00"/>
    <s v="FY21"/>
    <s v="t"/>
    <n v="0"/>
    <n v="0"/>
    <n v="5.0999999999999997E-2"/>
    <n v="5.0999999999999997E-2"/>
    <n v="0"/>
    <n v="0"/>
    <n v="30"/>
    <n v="30"/>
    <n v="0"/>
    <n v="0"/>
    <n v="100"/>
    <s v="Consolidation"/>
    <s v="CO2e and Base Measure"/>
    <n v="100"/>
    <n v="100"/>
    <n v="0.05"/>
    <m/>
    <m/>
    <m/>
    <m/>
    <m/>
    <n v="6.6299999999999998E-2"/>
    <m/>
    <n v="6.6299999999999998E-2"/>
    <m/>
    <m/>
    <m/>
    <m/>
    <m/>
    <s v="AUD"/>
    <s v="13641236Waste - General [t] - Scope 3"/>
    <n v="13641236"/>
  </r>
  <r>
    <d v="2019-07-01T00:00:00"/>
    <d v="2021-06-30T00:00:00"/>
    <s v="Telstra"/>
    <s v="NETWORK"/>
    <s v="Network - InfraCo"/>
    <s v="SA"/>
    <s v="Australia"/>
    <s v="Kadina"/>
    <s v="KADINA EXCHANGE"/>
    <n v="423030688300"/>
    <s v="Waste"/>
    <x v="1"/>
    <x v="2"/>
    <s v="Account"/>
    <s v="CLEANAWAY General"/>
    <m/>
    <s v="12580_Landfill_General"/>
    <s v="General"/>
    <s v="Cleanaway"/>
    <m/>
    <m/>
    <m/>
    <d v="2021-05-01T00:00:00"/>
    <s v="FY21"/>
    <s v="t"/>
    <n v="0"/>
    <n v="0"/>
    <n v="5.2699999999999997E-2"/>
    <n v="5.2699999999999997E-2"/>
    <n v="0"/>
    <n v="0"/>
    <n v="31"/>
    <n v="31"/>
    <n v="0"/>
    <n v="0"/>
    <n v="100"/>
    <s v="Consolidation"/>
    <s v="CO2e and Base Measure"/>
    <n v="100"/>
    <n v="100"/>
    <n v="0.05"/>
    <m/>
    <m/>
    <m/>
    <m/>
    <m/>
    <n v="6.8500000000000005E-2"/>
    <m/>
    <n v="6.8500000000000005E-2"/>
    <m/>
    <m/>
    <m/>
    <m/>
    <m/>
    <s v="AUD"/>
    <s v="13641236Waste - General [t] - Scope 3"/>
    <n v="13641236"/>
  </r>
  <r>
    <d v="2019-07-01T00:00:00"/>
    <d v="2021-06-30T00:00:00"/>
    <s v="Telstra"/>
    <s v="NETWORK"/>
    <s v="Network - InfraCo"/>
    <s v="WA"/>
    <s v="Australia"/>
    <s v="Gooseberry Hill"/>
    <s v="KALAMUNDA EXCHANGE"/>
    <n v="423030808100"/>
    <s v="Waste"/>
    <x v="1"/>
    <x v="2"/>
    <s v="Account"/>
    <s v="Remondis General Waste"/>
    <m/>
    <s v="423030808100_WGENERALW"/>
    <s v="GENERAL WASTE"/>
    <s v="Remondis"/>
    <m/>
    <m/>
    <d v="2020-07-01T00:00:00"/>
    <d v="2020-07-01T00:00:00"/>
    <s v="FY21"/>
    <s v="t"/>
    <n v="0"/>
    <n v="0"/>
    <n v="6.7000000000000002E-3"/>
    <n v="6.7000000000000002E-3"/>
    <n v="0"/>
    <n v="0"/>
    <n v="1"/>
    <n v="1"/>
    <n v="0"/>
    <n v="0"/>
    <n v="100"/>
    <s v="Consolidation"/>
    <s v="CO2e and Base Measure"/>
    <n v="100"/>
    <n v="100"/>
    <n v="0.01"/>
    <m/>
    <m/>
    <m/>
    <m/>
    <m/>
    <n v="8.6999999999999994E-3"/>
    <m/>
    <n v="8.6999999999999994E-3"/>
    <m/>
    <m/>
    <m/>
    <m/>
    <m/>
    <s v="AUD"/>
    <s v="13565321Waste - General [t] - Scope 3"/>
    <n v="13565321"/>
  </r>
  <r>
    <d v="2019-07-01T00:00:00"/>
    <d v="2021-06-30T00:00:00"/>
    <s v="Telstra"/>
    <s v="NETWORK"/>
    <s v="Network - InfraCo"/>
    <s v="WA"/>
    <s v="Australia"/>
    <s v="Gooseberry Hill"/>
    <s v="KALAMUNDA EXCHANGE"/>
    <n v="423030808100"/>
    <s v="Recycled Waste"/>
    <x v="0"/>
    <x v="1"/>
    <s v="Account"/>
    <s v="Remondis Metal - Copper"/>
    <m/>
    <s v="423030808100_RMETCOPPR"/>
    <s v="METAL - COPPER"/>
    <s v="Remondis"/>
    <m/>
    <d v="2020-06-18T00:00:00"/>
    <d v="2020-07-01T00:00:00"/>
    <d v="2020-07-01T00:00:00"/>
    <s v="FY21"/>
    <s v="t"/>
    <n v="0"/>
    <n v="0"/>
    <n v="1.9300000000000001E-2"/>
    <n v="1.9300000000000001E-2"/>
    <n v="0"/>
    <n v="0"/>
    <n v="1"/>
    <n v="1"/>
    <n v="0"/>
    <n v="0"/>
    <n v="100"/>
    <s v="Consolidation"/>
    <s v="CO2e and Base Measure"/>
    <n v="100"/>
    <n v="100"/>
    <n v="0.02"/>
    <m/>
    <m/>
    <m/>
    <m/>
    <m/>
    <m/>
    <m/>
    <m/>
    <m/>
    <m/>
    <m/>
    <m/>
    <m/>
    <s v="AUD"/>
    <s v="13614418Waste Recycled - E-waste [t]"/>
    <n v="13614418"/>
  </r>
  <r>
    <d v="2019-07-01T00:00:00"/>
    <d v="2021-06-30T00:00:00"/>
    <s v="Telstra"/>
    <s v="NETWORK"/>
    <s v="Network - InfraCo"/>
    <s v="WA"/>
    <s v="Australia"/>
    <s v="Kalbarri"/>
    <s v="KALBARRI EXCHANGE"/>
    <n v="423031012000"/>
    <s v="Waste"/>
    <x v="1"/>
    <x v="2"/>
    <s v="Account"/>
    <s v="Remondis General Waste"/>
    <m/>
    <s v="423031012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510Waste - General [t] - Scope 3"/>
    <n v="13565510"/>
  </r>
  <r>
    <d v="2019-07-01T00:00:00"/>
    <d v="2021-06-30T00:00:00"/>
    <s v="Telstra"/>
    <s v="NETWORK"/>
    <s v="Network - InfraCo"/>
    <s v="WA"/>
    <s v="Australia"/>
    <s v="Kalbarri"/>
    <s v="KALBARRI EXCHANGE"/>
    <n v="423031012000"/>
    <s v="Waste"/>
    <x v="1"/>
    <x v="2"/>
    <s v="Account"/>
    <s v="Remondis General Waste"/>
    <m/>
    <s v="4230310120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5510Waste - General [t] - Scope 3"/>
    <n v="13565510"/>
  </r>
  <r>
    <d v="2019-07-01T00:00:00"/>
    <d v="2021-06-30T00:00:00"/>
    <s v="Telstra"/>
    <s v="NETWORK"/>
    <s v="Network - InfraCo"/>
    <s v="WA"/>
    <s v="Australia"/>
    <s v="Boulder"/>
    <s v="KALGOORLIE EXCHANGE"/>
    <n v="423030818100"/>
    <s v="Waste"/>
    <x v="1"/>
    <x v="2"/>
    <s v="Account"/>
    <s v="Remondis General Waste"/>
    <m/>
    <s v="4230308181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327Waste - General [t] - Scope 3"/>
    <n v="13565327"/>
  </r>
  <r>
    <d v="2019-07-01T00:00:00"/>
    <d v="2021-06-30T00:00:00"/>
    <s v="Telstra"/>
    <s v="NETWORK"/>
    <s v="Network - InfraCo"/>
    <s v="WA"/>
    <s v="Australia"/>
    <s v="Boulder"/>
    <s v="KALGOORLIE EXCHANGE"/>
    <n v="423030818100"/>
    <s v="Waste"/>
    <x v="1"/>
    <x v="2"/>
    <s v="Account"/>
    <s v="Remondis General Waste"/>
    <m/>
    <s v="423030818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327Waste - General [t] - Scope 3"/>
    <n v="13565327"/>
  </r>
  <r>
    <d v="2019-07-01T00:00:00"/>
    <d v="2021-06-30T00:00:00"/>
    <s v="Telstra"/>
    <s v="NETWORK"/>
    <s v="Network - InfraCo"/>
    <s v="WA"/>
    <s v="Australia"/>
    <s v="Boulder"/>
    <s v="KALGOORLIE EXCHANGE"/>
    <n v="423030818100"/>
    <s v="Waste"/>
    <x v="1"/>
    <x v="2"/>
    <s v="Account"/>
    <s v="Remondis General Waste"/>
    <m/>
    <s v="423030818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27Waste - General [t] - Scope 3"/>
    <n v="13565327"/>
  </r>
  <r>
    <d v="2019-07-01T00:00:00"/>
    <d v="2021-06-30T00:00:00"/>
    <s v="Telstra"/>
    <s v="NETWORK"/>
    <s v="Network - InfraCo"/>
    <s v="WA"/>
    <s v="Australia"/>
    <s v="Boulder"/>
    <s v="KALGOORLIE EXCHANGE"/>
    <n v="423030818100"/>
    <s v="Waste"/>
    <x v="1"/>
    <x v="2"/>
    <s v="Account"/>
    <s v="Remondis General Waste"/>
    <m/>
    <s v="423030818100_WGENERALW"/>
    <s v="GENERAL WASTE"/>
    <s v="Remondis"/>
    <m/>
    <m/>
    <d v="2021-01-01T00:00:00"/>
    <d v="2021-01-01T00:00:00"/>
    <s v="FY21"/>
    <s v="t"/>
    <n v="0"/>
    <n v="0"/>
    <n v="3.2000000000000002E-3"/>
    <n v="3.2000000000000002E-3"/>
    <n v="0"/>
    <n v="0"/>
    <n v="1"/>
    <n v="1"/>
    <n v="0"/>
    <n v="0"/>
    <n v="100"/>
    <s v="Consolidation"/>
    <s v="CO2e and Base Measure"/>
    <n v="100"/>
    <n v="100"/>
    <n v="0"/>
    <m/>
    <m/>
    <m/>
    <m/>
    <m/>
    <n v="4.1999999999999997E-3"/>
    <m/>
    <n v="4.1999999999999997E-3"/>
    <m/>
    <m/>
    <m/>
    <m/>
    <m/>
    <s v="AUD"/>
    <s v="13565327Waste - General [t] - Scope 3"/>
    <n v="13565327"/>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1-01T00:00:00"/>
    <s v="FY21"/>
    <s v="t"/>
    <n v="0"/>
    <n v="2.9700000000000001E-2"/>
    <n v="0"/>
    <n v="2.9700000000000001E-2"/>
    <n v="0"/>
    <n v="1"/>
    <n v="0"/>
    <n v="1"/>
    <n v="0"/>
    <n v="100"/>
    <n v="0"/>
    <s v="Consolidation"/>
    <s v="CO2e and Base Measure"/>
    <n v="100"/>
    <n v="100"/>
    <n v="0.03"/>
    <m/>
    <m/>
    <m/>
    <m/>
    <m/>
    <n v="3.8600000000000002E-2"/>
    <m/>
    <n v="3.8600000000000002E-2"/>
    <m/>
    <m/>
    <m/>
    <m/>
    <m/>
    <s v="AUD"/>
    <s v="13634439Waste - General [t] - Scope 3"/>
    <n v="13634439"/>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2-01T00:00:00"/>
    <s v="FY21"/>
    <s v="t"/>
    <n v="0"/>
    <n v="2.9700000000000001E-2"/>
    <n v="0"/>
    <n v="2.9700000000000001E-2"/>
    <n v="0"/>
    <n v="1"/>
    <n v="0"/>
    <n v="1"/>
    <n v="0"/>
    <n v="100"/>
    <n v="0"/>
    <s v="Consolidation"/>
    <s v="CO2e and Base Measure"/>
    <n v="100"/>
    <n v="100"/>
    <n v="0.03"/>
    <m/>
    <m/>
    <m/>
    <m/>
    <m/>
    <n v="3.8600000000000002E-2"/>
    <m/>
    <n v="3.8600000000000002E-2"/>
    <m/>
    <m/>
    <m/>
    <m/>
    <m/>
    <s v="AUD"/>
    <s v="13634439Waste - General [t] - Scope 3"/>
    <n v="13634439"/>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3-01T00:00:00"/>
    <s v="FY21"/>
    <s v="t"/>
    <n v="0"/>
    <n v="0"/>
    <n v="3.1E-2"/>
    <n v="3.1E-2"/>
    <n v="0"/>
    <n v="0"/>
    <n v="31"/>
    <n v="31"/>
    <n v="0"/>
    <n v="0"/>
    <n v="100"/>
    <s v="Consolidation"/>
    <s v="CO2e and Base Measure"/>
    <n v="100"/>
    <n v="100"/>
    <n v="0.03"/>
    <m/>
    <m/>
    <m/>
    <m/>
    <m/>
    <n v="4.0300000000000002E-2"/>
    <m/>
    <n v="4.0300000000000002E-2"/>
    <m/>
    <m/>
    <m/>
    <m/>
    <m/>
    <s v="AUD"/>
    <s v="13634439Waste - General [t] - Scope 3"/>
    <n v="13634439"/>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4-01T00:00:00"/>
    <s v="FY21"/>
    <s v="t"/>
    <n v="0"/>
    <n v="0"/>
    <n v="0.03"/>
    <n v="0.03"/>
    <n v="0"/>
    <n v="0"/>
    <n v="30"/>
    <n v="30"/>
    <n v="0"/>
    <n v="0"/>
    <n v="100"/>
    <s v="Consolidation"/>
    <s v="CO2e and Base Measure"/>
    <n v="100"/>
    <n v="100"/>
    <n v="0.03"/>
    <m/>
    <m/>
    <m/>
    <m/>
    <m/>
    <n v="3.9E-2"/>
    <m/>
    <n v="3.9E-2"/>
    <m/>
    <m/>
    <m/>
    <m/>
    <m/>
    <s v="AUD"/>
    <s v="13634439Waste - General [t] - Scope 3"/>
    <n v="13634439"/>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5-01T00:00:00"/>
    <s v="FY21"/>
    <s v="t"/>
    <n v="0"/>
    <n v="0"/>
    <n v="3.1E-2"/>
    <n v="3.1E-2"/>
    <n v="0"/>
    <n v="0"/>
    <n v="31"/>
    <n v="31"/>
    <n v="0"/>
    <n v="0"/>
    <n v="100"/>
    <s v="Consolidation"/>
    <s v="CO2e and Base Measure"/>
    <n v="100"/>
    <n v="100"/>
    <n v="0.03"/>
    <m/>
    <m/>
    <m/>
    <m/>
    <m/>
    <n v="4.0300000000000002E-2"/>
    <m/>
    <n v="4.0300000000000002E-2"/>
    <m/>
    <m/>
    <m/>
    <m/>
    <m/>
    <s v="AUD"/>
    <s v="13634439Waste - General [t] - Scope 3"/>
    <n v="13634439"/>
  </r>
  <r>
    <d v="2019-07-01T00:00:00"/>
    <d v="2021-06-30T00:00:00"/>
    <s v="Telstra"/>
    <s v="NETWORK"/>
    <s v="Network - InfraCo"/>
    <s v="QLD"/>
    <s v="Australia"/>
    <s v="Moggill"/>
    <s v="KARALEE EXCHANGE"/>
    <n v="423030101100"/>
    <s v="Waste"/>
    <x v="1"/>
    <x v="2"/>
    <s v="Account"/>
    <s v="Remondis General Waste"/>
    <m/>
    <s v="423030101100_WGENERALW"/>
    <s v="GENERAL WASTE"/>
    <s v="Remondis"/>
    <m/>
    <m/>
    <d v="2020-11-01T00:00:00"/>
    <d v="2020-07-01T00:00:00"/>
    <s v="FY21"/>
    <s v="t"/>
    <n v="0"/>
    <n v="1.5599999999999999E-2"/>
    <n v="0"/>
    <n v="1.5599999999999999E-2"/>
    <n v="0"/>
    <n v="1"/>
    <n v="0"/>
    <n v="1"/>
    <n v="0"/>
    <n v="100"/>
    <n v="0"/>
    <s v="Consolidation"/>
    <s v="CO2e and Base Measure"/>
    <n v="100"/>
    <n v="100"/>
    <n v="0.02"/>
    <m/>
    <m/>
    <m/>
    <m/>
    <m/>
    <n v="2.0299999999999999E-2"/>
    <m/>
    <n v="2.0299999999999999E-2"/>
    <m/>
    <m/>
    <m/>
    <m/>
    <m/>
    <s v="AUD"/>
    <s v="13564175Waste - General [t] - Scope 3"/>
    <n v="13564175"/>
  </r>
  <r>
    <d v="2019-07-01T00:00:00"/>
    <d v="2021-06-30T00:00:00"/>
    <s v="Telstra"/>
    <s v="NETWORK"/>
    <s v="Network - InfraCo"/>
    <s v="QLD"/>
    <s v="Australia"/>
    <s v="Moggill"/>
    <s v="KARALEE EXCHANGE"/>
    <n v="423030101100"/>
    <s v="Waste"/>
    <x v="1"/>
    <x v="2"/>
    <s v="Account"/>
    <s v="Remondis General Waste"/>
    <m/>
    <s v="423030101100_WGENERALW"/>
    <s v="GENERAL WASTE"/>
    <s v="Remondis"/>
    <m/>
    <m/>
    <d v="2020-11-01T00:00:00"/>
    <d v="2020-10-01T00:00:00"/>
    <s v="FY21"/>
    <s v="t"/>
    <n v="0"/>
    <n v="1.5599999999999999E-2"/>
    <n v="0"/>
    <n v="1.5599999999999999E-2"/>
    <n v="0"/>
    <n v="1"/>
    <n v="0"/>
    <n v="1"/>
    <n v="0"/>
    <n v="100"/>
    <n v="0"/>
    <s v="Consolidation"/>
    <s v="CO2e and Base Measure"/>
    <n v="100"/>
    <n v="100"/>
    <n v="0.02"/>
    <m/>
    <m/>
    <m/>
    <m/>
    <m/>
    <n v="2.0299999999999999E-2"/>
    <m/>
    <n v="2.0299999999999999E-2"/>
    <m/>
    <m/>
    <m/>
    <m/>
    <m/>
    <s v="AUD"/>
    <s v="13564175Waste - General [t] - Scope 3"/>
    <n v="13564175"/>
  </r>
  <r>
    <d v="2019-07-01T00:00:00"/>
    <d v="2021-06-30T00:00:00"/>
    <s v="Telstra"/>
    <s v="NETWORK"/>
    <s v="Network - InfraCo"/>
    <s v="QLD"/>
    <s v="Australia"/>
    <s v="Moggill"/>
    <s v="KARALEE EXCHANGE"/>
    <n v="423030101100"/>
    <s v="Waste"/>
    <x v="1"/>
    <x v="2"/>
    <s v="Account"/>
    <s v="Remondis General Waste"/>
    <m/>
    <s v="423030101100_WGENERALW"/>
    <s v="GENERAL WASTE"/>
    <s v="Remondis"/>
    <m/>
    <m/>
    <d v="2020-11-01T00:00:00"/>
    <d v="2020-11-01T00:00:00"/>
    <s v="FY21"/>
    <s v="t"/>
    <n v="0"/>
    <n v="0"/>
    <n v="2.9999999999999997E-4"/>
    <n v="2.9999999999999997E-4"/>
    <n v="0"/>
    <n v="0"/>
    <n v="1"/>
    <n v="1"/>
    <n v="0"/>
    <n v="0"/>
    <n v="100"/>
    <s v="Consolidation"/>
    <s v="CO2e and Base Measure"/>
    <n v="100"/>
    <n v="100"/>
    <n v="0"/>
    <m/>
    <m/>
    <m/>
    <m/>
    <m/>
    <n v="4.0000000000000002E-4"/>
    <m/>
    <n v="4.0000000000000002E-4"/>
    <m/>
    <m/>
    <m/>
    <m/>
    <m/>
    <s v="AUD"/>
    <s v="13564175Waste - General [t] - Scope 3"/>
    <n v="13564175"/>
  </r>
  <r>
    <d v="2019-07-01T00:00:00"/>
    <d v="2021-06-30T00:00:00"/>
    <s v="Telstra"/>
    <s v="NETWORK"/>
    <s v="Network - InfraCo"/>
    <s v="VIC"/>
    <s v="Australia"/>
    <s v="Frankston East"/>
    <s v="KARINGAL"/>
    <n v="423030599800"/>
    <s v="Waste"/>
    <x v="1"/>
    <x v="2"/>
    <s v="Account"/>
    <s v="CLEANAWAY General"/>
    <m/>
    <s v="25648_Landfill_General"/>
    <s v="General"/>
    <s v="Cleanaway"/>
    <m/>
    <m/>
    <m/>
    <d v="2021-03-01T00:00:00"/>
    <s v="FY21"/>
    <s v="t"/>
    <n v="0.16"/>
    <n v="0"/>
    <n v="0"/>
    <n v="0.16"/>
    <n v="1"/>
    <n v="0"/>
    <n v="0"/>
    <n v="1"/>
    <n v="100"/>
    <n v="0"/>
    <n v="0"/>
    <s v="Consolidation"/>
    <s v="CO2e and Base Measure"/>
    <n v="100"/>
    <n v="100"/>
    <n v="0.16"/>
    <m/>
    <m/>
    <m/>
    <m/>
    <m/>
    <n v="0.20799999999999999"/>
    <m/>
    <n v="0.20799999999999999"/>
    <m/>
    <m/>
    <m/>
    <m/>
    <m/>
    <s v="AUD"/>
    <s v="13641240Waste - General [t] - Scope 3"/>
    <n v="13641240"/>
  </r>
  <r>
    <d v="2019-07-01T00:00:00"/>
    <d v="2021-06-30T00:00:00"/>
    <s v="Telstra"/>
    <s v="NETWORK"/>
    <s v="Network - InfraCo"/>
    <s v="VIC"/>
    <s v="Australia"/>
    <s v="Frankston East"/>
    <s v="KARINGAL"/>
    <n v="423030599800"/>
    <s v="Waste"/>
    <x v="1"/>
    <x v="2"/>
    <s v="Account"/>
    <s v="CLEANAWAY General"/>
    <m/>
    <s v="25648_Landfill_General"/>
    <s v="General"/>
    <s v="Cleanaway"/>
    <m/>
    <m/>
    <m/>
    <d v="2021-04-01T00:00:00"/>
    <s v="FY21"/>
    <s v="t"/>
    <n v="0"/>
    <n v="0"/>
    <n v="0.159"/>
    <n v="0.159"/>
    <n v="0"/>
    <n v="0"/>
    <n v="30"/>
    <n v="30"/>
    <n v="0"/>
    <n v="0"/>
    <n v="100"/>
    <s v="Consolidation"/>
    <s v="CO2e and Base Measure"/>
    <n v="100"/>
    <n v="100"/>
    <n v="0.16"/>
    <m/>
    <m/>
    <m/>
    <m/>
    <m/>
    <n v="0.20669999999999999"/>
    <m/>
    <n v="0.20669999999999999"/>
    <m/>
    <m/>
    <m/>
    <m/>
    <m/>
    <s v="AUD"/>
    <s v="13641240Waste - General [t] - Scope 3"/>
    <n v="13641240"/>
  </r>
  <r>
    <d v="2019-07-01T00:00:00"/>
    <d v="2021-06-30T00:00:00"/>
    <s v="Telstra"/>
    <s v="NETWORK"/>
    <s v="Network - InfraCo"/>
    <s v="VIC"/>
    <s v="Australia"/>
    <s v="Frankston East"/>
    <s v="KARINGAL"/>
    <n v="423030599800"/>
    <s v="Waste"/>
    <x v="1"/>
    <x v="2"/>
    <s v="Account"/>
    <s v="CLEANAWAY General"/>
    <m/>
    <s v="25648_Landfill_General"/>
    <s v="General"/>
    <s v="Cleanaway"/>
    <m/>
    <m/>
    <m/>
    <d v="2021-05-01T00:00:00"/>
    <s v="FY21"/>
    <s v="t"/>
    <n v="0"/>
    <n v="0"/>
    <n v="0.1643"/>
    <n v="0.1643"/>
    <n v="0"/>
    <n v="0"/>
    <n v="31"/>
    <n v="31"/>
    <n v="0"/>
    <n v="0"/>
    <n v="100"/>
    <s v="Consolidation"/>
    <s v="CO2e and Base Measure"/>
    <n v="100"/>
    <n v="100"/>
    <n v="0.16"/>
    <m/>
    <m/>
    <m/>
    <m/>
    <m/>
    <n v="0.21360000000000001"/>
    <m/>
    <n v="0.21360000000000001"/>
    <m/>
    <m/>
    <m/>
    <m/>
    <m/>
    <s v="AUD"/>
    <s v="13641240Waste - General [t] - Scope 3"/>
    <n v="13641240"/>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5409Waste - General [t] - Scope 3"/>
    <n v="13565409"/>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0-07-01T00:00:00"/>
    <s v="FY21"/>
    <s v="t"/>
    <n v="2.7E-2"/>
    <n v="0"/>
    <n v="0"/>
    <n v="2.7E-2"/>
    <n v="1"/>
    <n v="0"/>
    <n v="0"/>
    <n v="1"/>
    <n v="100"/>
    <n v="0"/>
    <n v="0"/>
    <s v="Consolidation"/>
    <s v="CO2e and Base Measure"/>
    <n v="100"/>
    <n v="100"/>
    <n v="0.03"/>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0-09-01T00:00:00"/>
    <s v="FY21"/>
    <s v="t"/>
    <n v="2E-3"/>
    <n v="0"/>
    <n v="0"/>
    <n v="2E-3"/>
    <n v="1"/>
    <n v="0"/>
    <n v="0"/>
    <n v="1"/>
    <n v="100"/>
    <n v="0"/>
    <n v="0"/>
    <s v="Consolidation"/>
    <s v="CO2e and Base Measure"/>
    <n v="100"/>
    <n v="100"/>
    <n v="0"/>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0-12-01T00:00:00"/>
    <s v="FY21"/>
    <s v="t"/>
    <n v="2.7E-2"/>
    <n v="0"/>
    <n v="0"/>
    <n v="2.7E-2"/>
    <n v="1"/>
    <n v="0"/>
    <n v="0"/>
    <n v="1"/>
    <n v="100"/>
    <n v="0"/>
    <n v="0"/>
    <s v="Consolidation"/>
    <s v="CO2e and Base Measure"/>
    <n v="100"/>
    <n v="100"/>
    <n v="0.03"/>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541Waste Recycled - Paper and Cardboard [t]"/>
    <n v="13566541"/>
  </r>
  <r>
    <d v="2019-07-01T00:00:00"/>
    <d v="2021-06-30T00:00:00"/>
    <s v="Telstra"/>
    <s v="NETWORK"/>
    <s v="Network - InfraCo"/>
    <s v="WA"/>
    <s v="Australia"/>
    <s v="Katanning"/>
    <s v="KATANNING EXCHANGE"/>
    <n v="423030845000"/>
    <s v="Waste"/>
    <x v="1"/>
    <x v="2"/>
    <s v="Account"/>
    <s v="Remondis General Waste"/>
    <m/>
    <s v="423030845000_WGENERALW"/>
    <s v="GENERAL WASTE"/>
    <s v="Remondis"/>
    <m/>
    <m/>
    <d v="2020-12-01T00:00:00"/>
    <d v="2020-07-01T00:00:00"/>
    <s v="FY21"/>
    <s v="t"/>
    <n v="0"/>
    <n v="0.32"/>
    <n v="0"/>
    <n v="0.32"/>
    <n v="0"/>
    <n v="1"/>
    <n v="0"/>
    <n v="1"/>
    <n v="0"/>
    <n v="100"/>
    <n v="0"/>
    <s v="Consolidation"/>
    <s v="CO2e and Base Measure"/>
    <n v="100"/>
    <n v="100"/>
    <n v="0.32"/>
    <m/>
    <m/>
    <m/>
    <m/>
    <m/>
    <n v="0.41599999999999998"/>
    <m/>
    <n v="0.41599999999999998"/>
    <m/>
    <m/>
    <m/>
    <m/>
    <m/>
    <s v="AUD"/>
    <s v="13565359Waste - General [t] - Scope 3"/>
    <n v="13565359"/>
  </r>
  <r>
    <d v="2019-07-01T00:00:00"/>
    <d v="2021-06-30T00:00:00"/>
    <s v="Telstra"/>
    <s v="NETWORK"/>
    <s v="Network - InfraCo"/>
    <s v="WA"/>
    <s v="Australia"/>
    <s v="Katanning"/>
    <s v="KATANNING EXCHANGE"/>
    <n v="423030845000"/>
    <s v="Waste"/>
    <x v="1"/>
    <x v="2"/>
    <s v="Account"/>
    <s v="Remondis General Waste"/>
    <m/>
    <s v="423030845000_WGENERALW"/>
    <s v="GENERAL WASTE"/>
    <s v="Remondis"/>
    <m/>
    <m/>
    <d v="2020-12-01T00:00:00"/>
    <d v="2020-10-01T00:00:00"/>
    <s v="FY21"/>
    <s v="t"/>
    <n v="0"/>
    <n v="5.4686000000000003"/>
    <n v="0"/>
    <n v="5.4686000000000003"/>
    <n v="0"/>
    <n v="8"/>
    <n v="0"/>
    <n v="8"/>
    <n v="0"/>
    <n v="100"/>
    <n v="0"/>
    <s v="Consolidation"/>
    <s v="CO2e and Base Measure"/>
    <n v="100"/>
    <n v="100"/>
    <n v="5.47"/>
    <m/>
    <m/>
    <m/>
    <m/>
    <m/>
    <n v="7.1092000000000004"/>
    <m/>
    <n v="7.1092000000000004"/>
    <m/>
    <m/>
    <m/>
    <m/>
    <m/>
    <s v="AUD"/>
    <s v="13565359Waste - General [t] - Scope 3"/>
    <n v="13565359"/>
  </r>
  <r>
    <d v="2019-07-01T00:00:00"/>
    <d v="2021-06-30T00:00:00"/>
    <s v="Telstra"/>
    <s v="NETWORK"/>
    <s v="Network - InfraCo"/>
    <s v="WA"/>
    <s v="Australia"/>
    <s v="Katanning"/>
    <s v="KATANNING EXCHANGE"/>
    <n v="423030845000"/>
    <s v="Waste"/>
    <x v="1"/>
    <x v="2"/>
    <s v="Account"/>
    <s v="Remondis General Waste"/>
    <m/>
    <s v="423030845000_WGENERALW"/>
    <s v="GENERAL WASTE"/>
    <s v="Remondis"/>
    <m/>
    <m/>
    <d v="2020-12-01T00:00:00"/>
    <d v="2020-11-01T00:00:00"/>
    <s v="FY21"/>
    <s v="t"/>
    <n v="0"/>
    <n v="3.1415000000000002"/>
    <n v="0"/>
    <n v="3.1415000000000002"/>
    <n v="0"/>
    <n v="7"/>
    <n v="0"/>
    <n v="7"/>
    <n v="0"/>
    <n v="100"/>
    <n v="0"/>
    <s v="Consolidation"/>
    <s v="CO2e and Base Measure"/>
    <n v="100"/>
    <n v="100"/>
    <n v="3.14"/>
    <m/>
    <m/>
    <m/>
    <m/>
    <m/>
    <n v="4.0839999999999996"/>
    <m/>
    <n v="4.0839999999999996"/>
    <m/>
    <m/>
    <m/>
    <m/>
    <m/>
    <s v="AUD"/>
    <s v="13565359Waste - General [t] - Scope 3"/>
    <n v="13565359"/>
  </r>
  <r>
    <d v="2019-07-01T00:00:00"/>
    <d v="2021-06-30T00:00:00"/>
    <s v="Telstra"/>
    <s v="NETWORK"/>
    <s v="Network - InfraCo"/>
    <s v="WA"/>
    <s v="Australia"/>
    <s v="Katanning"/>
    <s v="KATANNING EXCHANGE"/>
    <n v="423030845000"/>
    <s v="Waste"/>
    <x v="1"/>
    <x v="2"/>
    <s v="Account"/>
    <s v="Remondis General Waste"/>
    <m/>
    <s v="423030845000_WGENERALW"/>
    <s v="GENERAL WASTE"/>
    <s v="Remondis"/>
    <m/>
    <m/>
    <d v="2020-12-01T00:00:00"/>
    <d v="2020-12-01T00:00:00"/>
    <s v="FY21"/>
    <s v="t"/>
    <n v="0"/>
    <n v="0"/>
    <n v="5.8799999999999998E-2"/>
    <n v="5.8799999999999998E-2"/>
    <n v="0"/>
    <n v="0"/>
    <n v="1"/>
    <n v="1"/>
    <n v="0"/>
    <n v="0"/>
    <n v="100"/>
    <s v="Consolidation"/>
    <s v="CO2e and Base Measure"/>
    <n v="100"/>
    <n v="100"/>
    <n v="0.06"/>
    <m/>
    <m/>
    <m/>
    <m/>
    <m/>
    <n v="7.6399999999999996E-2"/>
    <m/>
    <n v="7.6399999999999996E-2"/>
    <m/>
    <m/>
    <m/>
    <m/>
    <m/>
    <s v="AUD"/>
    <s v="13565359Waste - General [t] - Scope 3"/>
    <n v="13565359"/>
  </r>
  <r>
    <d v="2019-07-01T00:00:00"/>
    <d v="2021-06-30T00:00:00"/>
    <s v="Telstra"/>
    <s v="NETWORK"/>
    <s v="Network - InfraCo"/>
    <s v="WA"/>
    <s v="Australia"/>
    <s v="Katanning"/>
    <s v="KATANNING EXCHANGE"/>
    <n v="423030845000"/>
    <s v="Recycled Waste"/>
    <x v="0"/>
    <x v="5"/>
    <s v="Account"/>
    <s v="Remondis Metal - Mixed All"/>
    <m/>
    <s v="423030845000_RMETMIXED"/>
    <s v="METAL - MIXED ALL"/>
    <s v="Remondis"/>
    <m/>
    <d v="2020-10-14T00:00:00"/>
    <d v="2020-12-01T00:00:00"/>
    <d v="2020-10-01T00:00:00"/>
    <s v="FY21"/>
    <s v="t"/>
    <n v="0"/>
    <n v="0.6"/>
    <n v="0"/>
    <n v="0.6"/>
    <n v="0"/>
    <n v="1"/>
    <n v="0"/>
    <n v="1"/>
    <n v="0"/>
    <n v="100"/>
    <n v="0"/>
    <s v="Consolidation"/>
    <s v="CO2e and Base Measure"/>
    <n v="100"/>
    <n v="100"/>
    <n v="0.6"/>
    <m/>
    <m/>
    <m/>
    <m/>
    <m/>
    <m/>
    <m/>
    <m/>
    <m/>
    <m/>
    <m/>
    <m/>
    <m/>
    <s v="AUD"/>
    <s v="13631697Waste Recycled - Construction and Demolition [t]"/>
    <n v="13631697"/>
  </r>
  <r>
    <d v="2019-07-01T00:00:00"/>
    <d v="2021-06-30T00:00:00"/>
    <s v="Telstra"/>
    <s v="NETWORK"/>
    <s v="Network - InfraCo"/>
    <s v="WA"/>
    <s v="Australia"/>
    <s v="Katanning"/>
    <s v="KATANNING EXCHANGE"/>
    <n v="423030845000"/>
    <s v="Recycled Waste"/>
    <x v="0"/>
    <x v="5"/>
    <s v="Account"/>
    <s v="Remondis Metal - Mixed All"/>
    <m/>
    <s v="423030845000_RMETMIXED"/>
    <s v="METAL - MIXED ALL"/>
    <s v="Remondis"/>
    <m/>
    <d v="2020-10-14T00:00:00"/>
    <d v="2020-12-01T00:00:00"/>
    <d v="2020-11-01T00:00:00"/>
    <s v="FY21"/>
    <s v="t"/>
    <n v="0"/>
    <n v="0.6"/>
    <n v="0"/>
    <n v="0.6"/>
    <n v="0"/>
    <n v="1"/>
    <n v="0"/>
    <n v="1"/>
    <n v="0"/>
    <n v="100"/>
    <n v="0"/>
    <s v="Consolidation"/>
    <s v="CO2e and Base Measure"/>
    <n v="100"/>
    <n v="100"/>
    <n v="0.6"/>
    <m/>
    <m/>
    <m/>
    <m/>
    <m/>
    <m/>
    <m/>
    <m/>
    <m/>
    <m/>
    <m/>
    <m/>
    <m/>
    <s v="AUD"/>
    <s v="13631697Waste Recycled - Construction and Demolition [t]"/>
    <n v="13631697"/>
  </r>
  <r>
    <d v="2019-07-01T00:00:00"/>
    <d v="2021-06-30T00:00:00"/>
    <s v="Telstra"/>
    <s v="NETWORK"/>
    <s v="Network - InfraCo"/>
    <s v="WA"/>
    <s v="Australia"/>
    <s v="Katanning"/>
    <s v="KATANNING EXCHANGE"/>
    <n v="423030845000"/>
    <s v="Recycled Waste"/>
    <x v="0"/>
    <x v="5"/>
    <s v="Account"/>
    <s v="Remondis Metal - Mixed All"/>
    <m/>
    <s v="423030845000_RMETMIXED"/>
    <s v="METAL - MIXED ALL"/>
    <s v="Remondis"/>
    <m/>
    <d v="2020-10-14T00:00:00"/>
    <d v="2020-12-01T00:00:00"/>
    <d v="2020-12-01T00:00:00"/>
    <s v="FY21"/>
    <s v="t"/>
    <n v="0"/>
    <n v="0"/>
    <n v="0.02"/>
    <n v="0.02"/>
    <n v="0"/>
    <n v="0"/>
    <n v="1"/>
    <n v="1"/>
    <n v="0"/>
    <n v="0"/>
    <n v="100"/>
    <s v="Consolidation"/>
    <s v="CO2e and Base Measure"/>
    <n v="100"/>
    <n v="100"/>
    <n v="0.02"/>
    <m/>
    <m/>
    <m/>
    <m/>
    <m/>
    <m/>
    <m/>
    <m/>
    <m/>
    <m/>
    <m/>
    <m/>
    <m/>
    <s v="AUD"/>
    <s v="13631697Waste Recycled - Construction and Demolition [t]"/>
    <n v="13631697"/>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5034Waste - General [t] - Scope 3"/>
    <n v="13565034"/>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07-01T00:00:00"/>
    <s v="FY21"/>
    <s v="t"/>
    <n v="0.4"/>
    <n v="0"/>
    <n v="0"/>
    <n v="0.4"/>
    <n v="2"/>
    <n v="0"/>
    <n v="0"/>
    <n v="2"/>
    <n v="100"/>
    <n v="0"/>
    <n v="0"/>
    <s v="Consolidation"/>
    <s v="CO2e and Base Measure"/>
    <n v="100"/>
    <n v="100"/>
    <n v="0.4"/>
    <m/>
    <m/>
    <m/>
    <m/>
    <m/>
    <n v="0.52"/>
    <m/>
    <n v="0.52"/>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08-01T00:00:00"/>
    <s v="FY21"/>
    <s v="t"/>
    <n v="0.88500000000000001"/>
    <n v="0"/>
    <n v="0"/>
    <n v="0.88500000000000001"/>
    <n v="2"/>
    <n v="0"/>
    <n v="0"/>
    <n v="2"/>
    <n v="100"/>
    <n v="0"/>
    <n v="0"/>
    <s v="Consolidation"/>
    <s v="CO2e and Base Measure"/>
    <n v="100"/>
    <n v="100"/>
    <n v="0.89"/>
    <m/>
    <m/>
    <m/>
    <m/>
    <m/>
    <n v="1.1505000000000001"/>
    <m/>
    <n v="1.1505000000000001"/>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09-01T00:00:00"/>
    <s v="FY21"/>
    <s v="t"/>
    <n v="0.64"/>
    <n v="0"/>
    <n v="0"/>
    <n v="0.64"/>
    <n v="2"/>
    <n v="0"/>
    <n v="0"/>
    <n v="2"/>
    <n v="100"/>
    <n v="0"/>
    <n v="0"/>
    <s v="Consolidation"/>
    <s v="CO2e and Base Measure"/>
    <n v="100"/>
    <n v="100"/>
    <n v="0.64"/>
    <m/>
    <m/>
    <m/>
    <m/>
    <m/>
    <n v="0.83199999999999996"/>
    <m/>
    <n v="0.83199999999999996"/>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10-01T00:00:00"/>
    <s v="FY21"/>
    <s v="t"/>
    <n v="1.42"/>
    <n v="0"/>
    <n v="0"/>
    <n v="1.42"/>
    <n v="2"/>
    <n v="0"/>
    <n v="0"/>
    <n v="2"/>
    <n v="100"/>
    <n v="0"/>
    <n v="0"/>
    <s v="Consolidation"/>
    <s v="CO2e and Base Measure"/>
    <n v="100"/>
    <n v="100"/>
    <n v="1.42"/>
    <m/>
    <m/>
    <m/>
    <m/>
    <m/>
    <n v="1.8460000000000001"/>
    <m/>
    <n v="1.8460000000000001"/>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11-01T00:00:00"/>
    <s v="FY21"/>
    <s v="t"/>
    <n v="0.36"/>
    <n v="0"/>
    <n v="0"/>
    <n v="0.36"/>
    <n v="2"/>
    <n v="0"/>
    <n v="0"/>
    <n v="2"/>
    <n v="100"/>
    <n v="0"/>
    <n v="0"/>
    <s v="Consolidation"/>
    <s v="CO2e and Base Measure"/>
    <n v="100"/>
    <n v="100"/>
    <n v="0.36"/>
    <m/>
    <m/>
    <m/>
    <m/>
    <m/>
    <n v="0.46800000000000003"/>
    <m/>
    <n v="0.46800000000000003"/>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12-01T00:00:00"/>
    <s v="FY21"/>
    <s v="t"/>
    <n v="0"/>
    <n v="0"/>
    <n v="2.23E-2"/>
    <n v="2.23E-2"/>
    <n v="0"/>
    <n v="0"/>
    <n v="1"/>
    <n v="1"/>
    <n v="0"/>
    <n v="0"/>
    <n v="100"/>
    <s v="Consolidation"/>
    <s v="CO2e and Base Measure"/>
    <n v="100"/>
    <n v="100"/>
    <n v="0.02"/>
    <m/>
    <m/>
    <m/>
    <m/>
    <m/>
    <n v="2.9000000000000001E-2"/>
    <m/>
    <n v="2.9000000000000001E-2"/>
    <m/>
    <m/>
    <m/>
    <m/>
    <m/>
    <s v="AUD"/>
    <s v="13564721Waste - General [t] - Scope 3"/>
    <n v="13564721"/>
  </r>
  <r>
    <d v="2019-07-01T00:00:00"/>
    <d v="2021-06-30T00:00:00"/>
    <s v="Telstra"/>
    <s v="NETWORK"/>
    <s v="Network - InfraCo"/>
    <s v="NSW"/>
    <s v="Australia"/>
    <s v="Rouse Hill"/>
    <s v="KELLYVILLE EXCHANGE"/>
    <n v="423030359700"/>
    <s v="Waste"/>
    <x v="1"/>
    <x v="2"/>
    <s v="Account"/>
    <s v="CLEANAWAY General"/>
    <m/>
    <s v="44563_Landfill_General"/>
    <s v="General"/>
    <s v="Cleanaway"/>
    <m/>
    <d v="2020-12-22T00:00:00"/>
    <m/>
    <d v="2020-12-01T00:00:00"/>
    <s v="FY21"/>
    <s v="t"/>
    <n v="0.13"/>
    <n v="0"/>
    <n v="0"/>
    <n v="0.13"/>
    <n v="1"/>
    <n v="0"/>
    <n v="0"/>
    <n v="1"/>
    <n v="100"/>
    <n v="0"/>
    <n v="0"/>
    <s v="Consolidation"/>
    <s v="CO2e and Base Measure"/>
    <n v="100"/>
    <n v="100"/>
    <n v="0.13"/>
    <m/>
    <m/>
    <m/>
    <m/>
    <m/>
    <n v="0.16900000000000001"/>
    <m/>
    <n v="0.16900000000000001"/>
    <m/>
    <m/>
    <m/>
    <m/>
    <m/>
    <s v="AUD"/>
    <s v="13634142Waste - General [t] - Scope 3"/>
    <n v="13634142"/>
  </r>
  <r>
    <d v="2019-07-01T00:00:00"/>
    <d v="2021-06-30T00:00:00"/>
    <s v="Telstra"/>
    <s v="NETWORK"/>
    <s v="Network - InfraCo"/>
    <s v="NSW"/>
    <s v="Australia"/>
    <s v="Rouse Hill"/>
    <s v="KELLYVILLE EXCHANGE"/>
    <n v="423030359700"/>
    <s v="Waste"/>
    <x v="1"/>
    <x v="2"/>
    <s v="Account"/>
    <s v="CLEANAWAY General"/>
    <m/>
    <s v="44563_Landfill_General"/>
    <s v="General"/>
    <s v="Cleanaway"/>
    <m/>
    <d v="2020-12-22T00:00:00"/>
    <m/>
    <d v="2021-03-01T00:00:00"/>
    <s v="FY21"/>
    <s v="t"/>
    <n v="0.25"/>
    <n v="0"/>
    <n v="0"/>
    <n v="0.25"/>
    <n v="1"/>
    <n v="0"/>
    <n v="0"/>
    <n v="1"/>
    <n v="100"/>
    <n v="0"/>
    <n v="0"/>
    <s v="Consolidation"/>
    <s v="CO2e and Base Measure"/>
    <n v="100"/>
    <n v="100"/>
    <n v="0.25"/>
    <m/>
    <m/>
    <m/>
    <m/>
    <m/>
    <n v="0.32500000000000001"/>
    <m/>
    <n v="0.32500000000000001"/>
    <m/>
    <m/>
    <m/>
    <m/>
    <m/>
    <s v="AUD"/>
    <s v="13634142Waste - General [t] - Scope 3"/>
    <n v="13634142"/>
  </r>
  <r>
    <d v="2019-07-01T00:00:00"/>
    <d v="2021-06-30T00:00:00"/>
    <s v="Telstra"/>
    <s v="NETWORK"/>
    <s v="Network - InfraCo"/>
    <s v="NSW"/>
    <s v="Australia"/>
    <s v="Rouse Hill"/>
    <s v="KELLYVILLE EXCHANGE"/>
    <n v="423030359700"/>
    <s v="Waste"/>
    <x v="1"/>
    <x v="2"/>
    <s v="Account"/>
    <s v="CLEANAWAY General"/>
    <m/>
    <s v="44563_Landfill_General"/>
    <s v="General"/>
    <s v="Cleanaway"/>
    <m/>
    <d v="2020-12-22T00:00:00"/>
    <m/>
    <d v="2021-04-01T00:00:00"/>
    <s v="FY21"/>
    <s v="t"/>
    <n v="0"/>
    <n v="0"/>
    <n v="9.6000000000000002E-2"/>
    <n v="9.6000000000000002E-2"/>
    <n v="0"/>
    <n v="0"/>
    <n v="30"/>
    <n v="30"/>
    <n v="0"/>
    <n v="0"/>
    <n v="100"/>
    <s v="Consolidation"/>
    <s v="CO2e and Base Measure"/>
    <n v="100"/>
    <n v="100"/>
    <n v="0.1"/>
    <m/>
    <m/>
    <m/>
    <m/>
    <m/>
    <n v="0.12479999999999999"/>
    <m/>
    <n v="0.12479999999999999"/>
    <m/>
    <m/>
    <m/>
    <m/>
    <m/>
    <s v="AUD"/>
    <s v="13634142Waste - General [t] - Scope 3"/>
    <n v="13634142"/>
  </r>
  <r>
    <d v="2019-07-01T00:00:00"/>
    <d v="2021-06-30T00:00:00"/>
    <s v="Telstra"/>
    <s v="NETWORK"/>
    <s v="Network - InfraCo"/>
    <s v="NSW"/>
    <s v="Australia"/>
    <s v="Rouse Hill"/>
    <s v="KELLYVILLE EXCHANGE"/>
    <n v="423030359700"/>
    <s v="Waste"/>
    <x v="1"/>
    <x v="2"/>
    <s v="Account"/>
    <s v="CLEANAWAY General"/>
    <m/>
    <s v="44563_Landfill_General"/>
    <s v="General"/>
    <s v="Cleanaway"/>
    <m/>
    <d v="2020-12-22T00:00:00"/>
    <m/>
    <d v="2021-05-01T00:00:00"/>
    <s v="FY21"/>
    <s v="t"/>
    <n v="0"/>
    <n v="0"/>
    <n v="9.9199999999999997E-2"/>
    <n v="9.9199999999999997E-2"/>
    <n v="0"/>
    <n v="0"/>
    <n v="31"/>
    <n v="31"/>
    <n v="0"/>
    <n v="0"/>
    <n v="100"/>
    <s v="Consolidation"/>
    <s v="CO2e and Base Measure"/>
    <n v="100"/>
    <n v="100"/>
    <n v="0.1"/>
    <m/>
    <m/>
    <m/>
    <m/>
    <m/>
    <n v="0.129"/>
    <m/>
    <n v="0.129"/>
    <m/>
    <m/>
    <m/>
    <m/>
    <m/>
    <s v="AUD"/>
    <s v="13634142Waste - General [t] - Scope 3"/>
    <n v="13634142"/>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12-01T00:00:00"/>
    <s v="FY21"/>
    <s v="t"/>
    <n v="0"/>
    <n v="0"/>
    <n v="3.8E-3"/>
    <n v="3.8E-3"/>
    <n v="0"/>
    <n v="0"/>
    <n v="1"/>
    <n v="1"/>
    <n v="0"/>
    <n v="0"/>
    <n v="100"/>
    <s v="Consolidation"/>
    <s v="CO2e and Base Measure"/>
    <n v="100"/>
    <n v="100"/>
    <n v="0"/>
    <m/>
    <m/>
    <m/>
    <m/>
    <m/>
    <m/>
    <n v="0"/>
    <m/>
    <m/>
    <m/>
    <m/>
    <m/>
    <m/>
    <s v="AUD"/>
    <s v="13564505Waste Recycled - Cardboard [t]"/>
    <n v="13564505"/>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506Waste - General [t] - Scope 3"/>
    <n v="13564506"/>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0-12-01T00:00:00"/>
    <s v="FY21"/>
    <s v="t"/>
    <n v="0.39500000000000002"/>
    <n v="0.27"/>
    <n v="0"/>
    <n v="0.66500000000000004"/>
    <n v="2"/>
    <n v="2"/>
    <n v="0"/>
    <n v="4"/>
    <n v="59.39"/>
    <n v="40.6"/>
    <n v="0"/>
    <s v="Consolidation"/>
    <s v="CO2e and Base Measure"/>
    <n v="100"/>
    <n v="100"/>
    <n v="0.67"/>
    <m/>
    <m/>
    <m/>
    <m/>
    <m/>
    <n v="0.86450000000000005"/>
    <m/>
    <n v="0.86450000000000005"/>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1-01T00:00:00"/>
    <s v="FY21"/>
    <s v="t"/>
    <n v="0.39300000000000002"/>
    <n v="0.13500000000000001"/>
    <n v="0"/>
    <n v="0.52800000000000002"/>
    <n v="3"/>
    <n v="1"/>
    <n v="0"/>
    <n v="4"/>
    <n v="74.430000000000007"/>
    <n v="25.56"/>
    <n v="0"/>
    <s v="Consolidation"/>
    <s v="CO2e and Base Measure"/>
    <n v="100"/>
    <n v="100"/>
    <n v="0.53"/>
    <m/>
    <m/>
    <m/>
    <m/>
    <m/>
    <n v="0.68640000000000001"/>
    <m/>
    <n v="0.68640000000000001"/>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2-01T00:00:00"/>
    <s v="FY21"/>
    <s v="t"/>
    <n v="0.41599999999999998"/>
    <n v="0.13500000000000001"/>
    <n v="0"/>
    <n v="0.55100000000000005"/>
    <n v="3"/>
    <n v="1"/>
    <n v="0"/>
    <n v="4"/>
    <n v="75.489999999999995"/>
    <n v="24.5"/>
    <n v="0"/>
    <s v="Consolidation"/>
    <s v="CO2e and Base Measure"/>
    <n v="100"/>
    <n v="100"/>
    <n v="0.55000000000000004"/>
    <m/>
    <m/>
    <m/>
    <m/>
    <m/>
    <n v="0.71630000000000005"/>
    <m/>
    <n v="0.71630000000000005"/>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3-01T00:00:00"/>
    <s v="FY21"/>
    <s v="t"/>
    <n v="1.278"/>
    <n v="0"/>
    <n v="0"/>
    <n v="1.278"/>
    <n v="3"/>
    <n v="0"/>
    <n v="0"/>
    <n v="3"/>
    <n v="100"/>
    <n v="0"/>
    <n v="0"/>
    <s v="Consolidation"/>
    <s v="CO2e and Base Measure"/>
    <n v="100"/>
    <n v="100"/>
    <n v="1.28"/>
    <m/>
    <m/>
    <m/>
    <m/>
    <m/>
    <n v="1.6614"/>
    <m/>
    <n v="1.6614"/>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4-01T00:00:00"/>
    <s v="FY21"/>
    <s v="t"/>
    <n v="0"/>
    <n v="0"/>
    <n v="0.75600000000000001"/>
    <n v="0.75600000000000001"/>
    <n v="0"/>
    <n v="0"/>
    <n v="30"/>
    <n v="30"/>
    <n v="0"/>
    <n v="0"/>
    <n v="100"/>
    <s v="Consolidation"/>
    <s v="CO2e and Base Measure"/>
    <n v="100"/>
    <n v="100"/>
    <n v="0.76"/>
    <m/>
    <m/>
    <m/>
    <m/>
    <m/>
    <n v="0.98280000000000001"/>
    <m/>
    <n v="0.98280000000000001"/>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5-01T00:00:00"/>
    <s v="FY21"/>
    <s v="t"/>
    <n v="0"/>
    <n v="0"/>
    <n v="0.78120000000000001"/>
    <n v="0.78120000000000001"/>
    <n v="0"/>
    <n v="0"/>
    <n v="31"/>
    <n v="31"/>
    <n v="0"/>
    <n v="0"/>
    <n v="100"/>
    <s v="Consolidation"/>
    <s v="CO2e and Base Measure"/>
    <n v="100"/>
    <n v="100"/>
    <n v="0.78"/>
    <m/>
    <m/>
    <m/>
    <m/>
    <m/>
    <n v="1.0156000000000001"/>
    <m/>
    <n v="1.0156000000000001"/>
    <m/>
    <m/>
    <m/>
    <m/>
    <m/>
    <s v="AUD"/>
    <s v="13634307Waste - General [t] - Scope 3"/>
    <n v="13634307"/>
  </r>
  <r>
    <d v="2019-07-01T00:00:00"/>
    <d v="2021-06-30T00:00:00"/>
    <s v="Telstra"/>
    <s v="NETWORK"/>
    <s v="Network - InfraCo"/>
    <s v="NSW"/>
    <s v="Australia"/>
    <s v="Kensington"/>
    <s v="KENSINGTON EXCHANGE"/>
    <n v="423030361000"/>
    <s v="Waste"/>
    <x v="1"/>
    <x v="2"/>
    <s v="Account"/>
    <s v="Remondis General Waste"/>
    <m/>
    <s v="423030361000_WGENERALW"/>
    <s v="GENERAL WASTE"/>
    <s v="Remondis"/>
    <m/>
    <d v="2020-09-09T00:00:00"/>
    <d v="2020-10-01T00:00:00"/>
    <d v="2020-09-01T00:00:00"/>
    <s v="FY21"/>
    <s v="t"/>
    <n v="1"/>
    <n v="0.8"/>
    <n v="0"/>
    <n v="1.8"/>
    <n v="1"/>
    <n v="1"/>
    <n v="0"/>
    <n v="2"/>
    <n v="55.55"/>
    <n v="44.44"/>
    <n v="0"/>
    <s v="Consolidation"/>
    <s v="CO2e and Base Measure"/>
    <n v="100"/>
    <n v="100"/>
    <n v="1.8"/>
    <m/>
    <m/>
    <m/>
    <m/>
    <m/>
    <n v="2.34"/>
    <m/>
    <n v="2.34"/>
    <m/>
    <m/>
    <m/>
    <m/>
    <m/>
    <s v="AUD"/>
    <s v="13629324Waste - General [t] - Scope 3"/>
    <n v="13629324"/>
  </r>
  <r>
    <d v="2019-07-01T00:00:00"/>
    <d v="2021-06-30T00:00:00"/>
    <s v="Telstra"/>
    <s v="NETWORK"/>
    <s v="Network - InfraCo"/>
    <s v="NSW"/>
    <s v="Australia"/>
    <s v="Kensington"/>
    <s v="KENSINGTON EXCHANGE"/>
    <n v="423030361000"/>
    <s v="Waste"/>
    <x v="1"/>
    <x v="2"/>
    <s v="Account"/>
    <s v="Remondis General Waste"/>
    <m/>
    <s v="423030361000_WGENERALW"/>
    <s v="GENERAL WASTE"/>
    <s v="Remondis"/>
    <m/>
    <d v="2020-09-09T00:00:00"/>
    <d v="2020-10-01T00:00:00"/>
    <d v="2020-10-01T00:00:00"/>
    <s v="FY21"/>
    <s v="t"/>
    <n v="0"/>
    <n v="0"/>
    <n v="6.2100000000000002E-2"/>
    <n v="6.2100000000000002E-2"/>
    <n v="0"/>
    <n v="0"/>
    <n v="1"/>
    <n v="1"/>
    <n v="0"/>
    <n v="0"/>
    <n v="100"/>
    <s v="Consolidation"/>
    <s v="CO2e and Base Measure"/>
    <n v="100"/>
    <n v="100"/>
    <n v="0.06"/>
    <m/>
    <m/>
    <m/>
    <m/>
    <m/>
    <n v="8.0699999999999994E-2"/>
    <m/>
    <n v="8.0699999999999994E-2"/>
    <m/>
    <m/>
    <m/>
    <m/>
    <m/>
    <s v="AUD"/>
    <s v="13629324Waste - General [t] - Scope 3"/>
    <n v="13629324"/>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07-01T00:00:00"/>
    <s v="FY21"/>
    <s v="t"/>
    <n v="0"/>
    <n v="9.3200000000000005E-2"/>
    <n v="0"/>
    <n v="9.3200000000000005E-2"/>
    <n v="0"/>
    <n v="2"/>
    <n v="0"/>
    <n v="2"/>
    <n v="0"/>
    <n v="100"/>
    <n v="0"/>
    <s v="Consolidation"/>
    <s v="CO2e and Base Measure"/>
    <n v="100"/>
    <n v="100"/>
    <n v="0.09"/>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08-01T00:00:00"/>
    <s v="FY21"/>
    <s v="t"/>
    <n v="0"/>
    <n v="9.3200000000000005E-2"/>
    <n v="0"/>
    <n v="9.3200000000000005E-2"/>
    <n v="0"/>
    <n v="1"/>
    <n v="0"/>
    <n v="1"/>
    <n v="0"/>
    <n v="100"/>
    <n v="0"/>
    <s v="Consolidation"/>
    <s v="CO2e and Base Measure"/>
    <n v="100"/>
    <n v="100"/>
    <n v="0.09"/>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09-01T00:00:00"/>
    <s v="FY21"/>
    <s v="t"/>
    <n v="0"/>
    <n v="0.32619999999999999"/>
    <n v="0"/>
    <n v="0.32619999999999999"/>
    <n v="0"/>
    <n v="5"/>
    <n v="0"/>
    <n v="5"/>
    <n v="0"/>
    <n v="100"/>
    <n v="0"/>
    <s v="Consolidation"/>
    <s v="CO2e and Base Measure"/>
    <n v="100"/>
    <n v="100"/>
    <n v="0.33"/>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10-01T00:00:00"/>
    <s v="FY21"/>
    <s v="t"/>
    <n v="0"/>
    <n v="0.18640000000000001"/>
    <n v="0"/>
    <n v="0.18640000000000001"/>
    <n v="0"/>
    <n v="2"/>
    <n v="0"/>
    <n v="2"/>
    <n v="0"/>
    <n v="100"/>
    <n v="0"/>
    <s v="Consolidation"/>
    <s v="CO2e and Base Measure"/>
    <n v="100"/>
    <n v="100"/>
    <n v="0.19"/>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11-01T00:00:00"/>
    <s v="FY21"/>
    <s v="t"/>
    <n v="0"/>
    <n v="0.18640000000000001"/>
    <n v="0"/>
    <n v="0.18640000000000001"/>
    <n v="0"/>
    <n v="2"/>
    <n v="0"/>
    <n v="2"/>
    <n v="0"/>
    <n v="100"/>
    <n v="0"/>
    <s v="Consolidation"/>
    <s v="CO2e and Base Measure"/>
    <n v="100"/>
    <n v="100"/>
    <n v="0.19"/>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12-01T00:00:00"/>
    <s v="FY21"/>
    <s v="t"/>
    <n v="0"/>
    <n v="0"/>
    <n v="5.4999999999999997E-3"/>
    <n v="5.4999999999999997E-3"/>
    <n v="0"/>
    <n v="0"/>
    <n v="1"/>
    <n v="1"/>
    <n v="0"/>
    <n v="0"/>
    <n v="100"/>
    <s v="Consolidation"/>
    <s v="CO2e and Base Measure"/>
    <n v="100"/>
    <n v="100"/>
    <n v="0.01"/>
    <m/>
    <m/>
    <m/>
    <m/>
    <m/>
    <m/>
    <n v="0"/>
    <m/>
    <m/>
    <m/>
    <m/>
    <m/>
    <m/>
    <s v="AUD"/>
    <s v="13564472Waste Recycled - Cardboard [t]"/>
    <n v="13564472"/>
  </r>
  <r>
    <d v="2019-07-01T00:00:00"/>
    <d v="2021-06-30T00:00:00"/>
    <s v="Telstra"/>
    <s v="NETWORK"/>
    <s v="Network - InfraCo"/>
    <s v="NSW"/>
    <s v="Australia"/>
    <s v="Sydney"/>
    <s v="KENT STREET EXCHANGE"/>
    <n v="423030304200"/>
    <s v="Recycled Waste"/>
    <x v="0"/>
    <x v="1"/>
    <s v="Account"/>
    <s v="Remondis Electrical Comp. (E-Waste)"/>
    <m/>
    <s v="423030304200_RELECTRIC"/>
    <s v="ELECTRICAL COMP. E-WASTE"/>
    <s v="Remondis"/>
    <m/>
    <m/>
    <d v="2021-01-01T00:00:00"/>
    <d v="2020-07-01T00:00:00"/>
    <s v="FY21"/>
    <s v="t"/>
    <n v="0"/>
    <n v="0.25080000000000002"/>
    <n v="0"/>
    <n v="0.25080000000000002"/>
    <n v="0"/>
    <n v="1"/>
    <n v="0"/>
    <n v="1"/>
    <n v="0"/>
    <n v="100"/>
    <n v="0"/>
    <s v="Consolidation"/>
    <s v="CO2e and Base Measure"/>
    <n v="100"/>
    <n v="100"/>
    <n v="0.25"/>
    <m/>
    <m/>
    <m/>
    <m/>
    <m/>
    <m/>
    <m/>
    <m/>
    <m/>
    <m/>
    <m/>
    <m/>
    <m/>
    <s v="AUD"/>
    <s v="13564473Waste Recycled - E-waste [t]"/>
    <n v="13564473"/>
  </r>
  <r>
    <d v="2019-07-01T00:00:00"/>
    <d v="2021-06-30T00:00:00"/>
    <s v="Telstra"/>
    <s v="NETWORK"/>
    <s v="Network - InfraCo"/>
    <s v="NSW"/>
    <s v="Australia"/>
    <s v="Sydney"/>
    <s v="KENT STREET EXCHANGE"/>
    <n v="423030304200"/>
    <s v="Recycled Waste"/>
    <x v="0"/>
    <x v="1"/>
    <s v="Account"/>
    <s v="Remondis Electrical Comp. (E-Waste)"/>
    <m/>
    <s v="423030304200_RELECTRIC"/>
    <s v="ELECTRICAL COMP. E-WASTE"/>
    <s v="Remondis"/>
    <m/>
    <m/>
    <d v="2021-01-01T00:00:00"/>
    <d v="2020-09-01T00:00:00"/>
    <s v="FY21"/>
    <s v="t"/>
    <n v="0"/>
    <n v="0.25080000000000002"/>
    <n v="0"/>
    <n v="0.25080000000000002"/>
    <n v="0"/>
    <n v="1"/>
    <n v="0"/>
    <n v="1"/>
    <n v="0"/>
    <n v="100"/>
    <n v="0"/>
    <s v="Consolidation"/>
    <s v="CO2e and Base Measure"/>
    <n v="100"/>
    <n v="100"/>
    <n v="0.25"/>
    <m/>
    <m/>
    <m/>
    <m/>
    <m/>
    <m/>
    <m/>
    <m/>
    <m/>
    <m/>
    <m/>
    <m/>
    <m/>
    <s v="AUD"/>
    <s v="13564473Waste Recycled - E-waste [t]"/>
    <n v="13564473"/>
  </r>
  <r>
    <d v="2019-07-01T00:00:00"/>
    <d v="2021-06-30T00:00:00"/>
    <s v="Telstra"/>
    <s v="NETWORK"/>
    <s v="Network - InfraCo"/>
    <s v="NSW"/>
    <s v="Australia"/>
    <s v="Sydney"/>
    <s v="KENT STREET EXCHANGE"/>
    <n v="423030304200"/>
    <s v="Recycled Waste"/>
    <x v="0"/>
    <x v="1"/>
    <s v="Account"/>
    <s v="Remondis Electrical Comp. (E-Waste)"/>
    <m/>
    <s v="423030304200_RELECTRIC"/>
    <s v="ELECTRICAL COMP. E-WASTE"/>
    <s v="Remondis"/>
    <m/>
    <m/>
    <d v="2021-01-01T00:00:00"/>
    <d v="2020-12-01T00:00:00"/>
    <s v="FY21"/>
    <s v="t"/>
    <n v="0"/>
    <n v="0.25080000000000002"/>
    <n v="0"/>
    <n v="0.25080000000000002"/>
    <n v="0"/>
    <n v="1"/>
    <n v="0"/>
    <n v="1"/>
    <n v="0"/>
    <n v="100"/>
    <n v="0"/>
    <s v="Consolidation"/>
    <s v="CO2e and Base Measure"/>
    <n v="100"/>
    <n v="100"/>
    <n v="0.25"/>
    <m/>
    <m/>
    <m/>
    <m/>
    <m/>
    <m/>
    <m/>
    <m/>
    <m/>
    <m/>
    <m/>
    <m/>
    <m/>
    <s v="AUD"/>
    <s v="13564473Waste Recycled - E-waste [t]"/>
    <n v="13564473"/>
  </r>
  <r>
    <d v="2019-07-01T00:00:00"/>
    <d v="2021-06-30T00:00:00"/>
    <s v="Telstra"/>
    <s v="NETWORK"/>
    <s v="Network - InfraCo"/>
    <s v="NSW"/>
    <s v="Australia"/>
    <s v="Sydney"/>
    <s v="KENT STREET EXCHANGE"/>
    <n v="423030304200"/>
    <s v="Recycled Waste"/>
    <x v="0"/>
    <x v="1"/>
    <s v="Account"/>
    <s v="Remondis Electrical Comp. (E-Waste)"/>
    <m/>
    <s v="423030304200_RELECTRIC"/>
    <s v="ELECTRICAL COMP. E-WASTE"/>
    <s v="Remondis"/>
    <m/>
    <m/>
    <d v="2021-01-01T00:00:00"/>
    <d v="2021-01-01T00:00:00"/>
    <s v="FY21"/>
    <s v="t"/>
    <n v="0"/>
    <n v="0"/>
    <n v="4.1000000000000003E-3"/>
    <n v="4.1000000000000003E-3"/>
    <n v="0"/>
    <n v="0"/>
    <n v="1"/>
    <n v="1"/>
    <n v="0"/>
    <n v="0"/>
    <n v="100"/>
    <s v="Consolidation"/>
    <s v="CO2e and Base Measure"/>
    <n v="100"/>
    <n v="100"/>
    <n v="0"/>
    <m/>
    <m/>
    <m/>
    <m/>
    <m/>
    <m/>
    <m/>
    <m/>
    <m/>
    <m/>
    <m/>
    <m/>
    <m/>
    <s v="AUD"/>
    <s v="13564473Waste Recycled - E-waste [t]"/>
    <n v="13564473"/>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07-01T00:00:00"/>
    <s v="FY21"/>
    <s v="t"/>
    <n v="0.23300000000000001"/>
    <n v="0.2165"/>
    <n v="0"/>
    <n v="0.44950000000000001"/>
    <n v="4"/>
    <n v="2"/>
    <n v="0"/>
    <n v="6"/>
    <n v="51.83"/>
    <n v="48.16"/>
    <n v="0"/>
    <s v="Consolidation"/>
    <s v="CO2e and Base Measure"/>
    <n v="100"/>
    <n v="100"/>
    <n v="0.45"/>
    <m/>
    <m/>
    <m/>
    <m/>
    <m/>
    <n v="0.58440000000000003"/>
    <m/>
    <n v="0.58440000000000003"/>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08-01T00:00:00"/>
    <s v="FY21"/>
    <s v="t"/>
    <n v="0.254"/>
    <n v="0"/>
    <n v="0"/>
    <n v="0.254"/>
    <n v="12"/>
    <n v="0"/>
    <n v="0"/>
    <n v="12"/>
    <n v="100"/>
    <n v="0"/>
    <n v="0"/>
    <s v="Consolidation"/>
    <s v="CO2e and Base Measure"/>
    <n v="100"/>
    <n v="100"/>
    <n v="0.25"/>
    <m/>
    <m/>
    <m/>
    <m/>
    <m/>
    <n v="0.33019999999999999"/>
    <m/>
    <n v="0.33019999999999999"/>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09-01T00:00:00"/>
    <s v="FY21"/>
    <s v="t"/>
    <n v="0.73599999999999999"/>
    <n v="0"/>
    <n v="0"/>
    <n v="0.73599999999999999"/>
    <n v="13"/>
    <n v="0"/>
    <n v="0"/>
    <n v="13"/>
    <n v="100"/>
    <n v="0"/>
    <n v="0"/>
    <s v="Consolidation"/>
    <s v="CO2e and Base Measure"/>
    <n v="100"/>
    <n v="100"/>
    <n v="0.74"/>
    <m/>
    <m/>
    <m/>
    <m/>
    <m/>
    <n v="0.95679999999999998"/>
    <m/>
    <n v="0.95679999999999998"/>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10-01T00:00:00"/>
    <s v="FY21"/>
    <s v="t"/>
    <n v="0.71399999999999997"/>
    <n v="0"/>
    <n v="0"/>
    <n v="0.71399999999999997"/>
    <n v="13"/>
    <n v="0"/>
    <n v="0"/>
    <n v="13"/>
    <n v="100"/>
    <n v="0"/>
    <n v="0"/>
    <s v="Consolidation"/>
    <s v="CO2e and Base Measure"/>
    <n v="100"/>
    <n v="100"/>
    <n v="0.71"/>
    <m/>
    <m/>
    <m/>
    <m/>
    <m/>
    <n v="0.92820000000000003"/>
    <m/>
    <n v="0.92820000000000003"/>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11-01T00:00:00"/>
    <s v="FY21"/>
    <s v="t"/>
    <n v="0.35399999999999998"/>
    <n v="0.14430000000000001"/>
    <n v="0"/>
    <n v="0.49830000000000002"/>
    <n v="11"/>
    <n v="1"/>
    <n v="0"/>
    <n v="12"/>
    <n v="71.040000000000006"/>
    <n v="28.95"/>
    <n v="0"/>
    <s v="Consolidation"/>
    <s v="CO2e and Base Measure"/>
    <n v="100"/>
    <n v="100"/>
    <n v="0.5"/>
    <m/>
    <m/>
    <m/>
    <m/>
    <m/>
    <n v="0.64780000000000004"/>
    <m/>
    <n v="0.64780000000000004"/>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12-01T00:00:00"/>
    <s v="FY21"/>
    <s v="t"/>
    <n v="0"/>
    <n v="0.76449999999999996"/>
    <n v="0"/>
    <n v="0.76449999999999996"/>
    <n v="0"/>
    <n v="6"/>
    <n v="0"/>
    <n v="6"/>
    <n v="0"/>
    <n v="100"/>
    <n v="0"/>
    <s v="Consolidation"/>
    <s v="CO2e and Base Measure"/>
    <n v="100"/>
    <n v="100"/>
    <n v="0.76"/>
    <m/>
    <m/>
    <m/>
    <m/>
    <m/>
    <n v="0.99390000000000001"/>
    <m/>
    <n v="0.99390000000000001"/>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1-01-01T00:00:00"/>
    <s v="FY21"/>
    <s v="t"/>
    <n v="0"/>
    <n v="0"/>
    <n v="1.6899999999999998E-2"/>
    <n v="1.6899999999999998E-2"/>
    <n v="0"/>
    <n v="0"/>
    <n v="1"/>
    <n v="1"/>
    <n v="0"/>
    <n v="0"/>
    <n v="100"/>
    <s v="Consolidation"/>
    <s v="CO2e and Base Measure"/>
    <n v="100"/>
    <n v="100"/>
    <n v="0.02"/>
    <m/>
    <m/>
    <m/>
    <m/>
    <m/>
    <n v="2.1999999999999999E-2"/>
    <m/>
    <n v="2.1999999999999999E-2"/>
    <m/>
    <m/>
    <m/>
    <m/>
    <m/>
    <s v="AUD"/>
    <s v="13564474Waste - General [t] - Scope 3"/>
    <n v="13564474"/>
  </r>
  <r>
    <d v="2019-07-01T00:00:00"/>
    <d v="2021-06-30T00:00:00"/>
    <s v="Telstra"/>
    <s v="NETWORK"/>
    <s v="Network - InfraCo"/>
    <s v="NSW"/>
    <s v="Australia"/>
    <s v="Sydney"/>
    <s v="KENT STREET EXCHANGE"/>
    <n v="423030304200"/>
    <s v="Recycled Waste"/>
    <x v="0"/>
    <x v="1"/>
    <s v="Account"/>
    <s v="Remondis Media Destruction"/>
    <m/>
    <s v="423030304200_RMEDSECUR"/>
    <s v="MEDIA DESTRUCTION"/>
    <s v="Remondis"/>
    <m/>
    <m/>
    <d v="2021-01-01T00:00:00"/>
    <d v="2020-12-01T00:00:00"/>
    <s v="FY21"/>
    <s v="t"/>
    <n v="0"/>
    <n v="0.26400000000000001"/>
    <n v="0"/>
    <n v="0.26400000000000001"/>
    <n v="0"/>
    <n v="1"/>
    <n v="0"/>
    <n v="1"/>
    <n v="0"/>
    <n v="100"/>
    <n v="0"/>
    <s v="Consolidation"/>
    <s v="CO2e and Base Measure"/>
    <n v="100"/>
    <n v="100"/>
    <n v="0.26"/>
    <m/>
    <m/>
    <m/>
    <m/>
    <m/>
    <m/>
    <m/>
    <m/>
    <m/>
    <m/>
    <m/>
    <m/>
    <m/>
    <s v="AUD"/>
    <s v="13564476Waste Recycled - E-waste [t]"/>
    <n v="13564476"/>
  </r>
  <r>
    <d v="2019-07-01T00:00:00"/>
    <d v="2021-06-30T00:00:00"/>
    <s v="Telstra"/>
    <s v="NETWORK"/>
    <s v="Network - InfraCo"/>
    <s v="NSW"/>
    <s v="Australia"/>
    <s v="Sydney"/>
    <s v="KENT STREET EXCHANGE"/>
    <n v="423030304200"/>
    <s v="Recycled Waste"/>
    <x v="0"/>
    <x v="1"/>
    <s v="Account"/>
    <s v="Remondis Media Destruction"/>
    <m/>
    <s v="423030304200_RMEDSECUR"/>
    <s v="MEDIA DESTRUCTION"/>
    <s v="Remondis"/>
    <m/>
    <m/>
    <d v="2021-01-01T00:00:00"/>
    <d v="2021-01-01T00:00:00"/>
    <s v="FY21"/>
    <s v="t"/>
    <n v="0"/>
    <n v="0"/>
    <n v="8.8000000000000005E-3"/>
    <n v="8.8000000000000005E-3"/>
    <n v="0"/>
    <n v="0"/>
    <n v="1"/>
    <n v="1"/>
    <n v="0"/>
    <n v="0"/>
    <n v="100"/>
    <s v="Consolidation"/>
    <s v="CO2e and Base Measure"/>
    <n v="100"/>
    <n v="100"/>
    <n v="0.01"/>
    <m/>
    <m/>
    <m/>
    <m/>
    <m/>
    <m/>
    <m/>
    <m/>
    <m/>
    <m/>
    <m/>
    <m/>
    <m/>
    <s v="AUD"/>
    <s v="13564476Waste Recycled - E-waste [t]"/>
    <n v="135644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0-09-01T00:00:00"/>
    <s v="FY21"/>
    <s v="t"/>
    <n v="6.0000000000000001E-3"/>
    <n v="0"/>
    <n v="0"/>
    <n v="6.0000000000000001E-3"/>
    <n v="1"/>
    <n v="0"/>
    <n v="0"/>
    <n v="1"/>
    <n v="100"/>
    <n v="0"/>
    <n v="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0-10-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0-11-01T00:00:00"/>
    <s v="FY21"/>
    <s v="t"/>
    <n v="0"/>
    <n v="0"/>
    <n v="6.0000000000000001E-3"/>
    <n v="6.0000000000000001E-3"/>
    <n v="0"/>
    <n v="0"/>
    <n v="30"/>
    <n v="30"/>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0-12-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1-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2-01T00:00:00"/>
    <s v="FY21"/>
    <s v="t"/>
    <n v="0"/>
    <n v="0"/>
    <n v="5.5999999999999999E-3"/>
    <n v="5.5999999999999999E-3"/>
    <n v="0"/>
    <n v="0"/>
    <n v="28"/>
    <n v="28"/>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3-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4-01T00:00:00"/>
    <s v="FY21"/>
    <s v="t"/>
    <n v="0"/>
    <n v="0"/>
    <n v="6.0000000000000001E-3"/>
    <n v="6.0000000000000001E-3"/>
    <n v="0"/>
    <n v="0"/>
    <n v="30"/>
    <n v="30"/>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5-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1-01T00:00:00"/>
    <s v="FY21"/>
    <s v="t"/>
    <n v="0"/>
    <n v="0.495"/>
    <n v="0"/>
    <n v="0.495"/>
    <n v="0"/>
    <n v="3"/>
    <n v="0"/>
    <n v="3"/>
    <n v="0"/>
    <n v="100"/>
    <n v="0"/>
    <s v="Consolidation"/>
    <s v="CO2e and Base Measure"/>
    <n v="100"/>
    <n v="100"/>
    <n v="0.5"/>
    <m/>
    <m/>
    <m/>
    <m/>
    <m/>
    <n v="0.64349999999999996"/>
    <m/>
    <n v="0.64349999999999996"/>
    <m/>
    <m/>
    <m/>
    <m/>
    <m/>
    <s v="AUD"/>
    <s v="13634440Waste - General [t] - Scope 3"/>
    <n v="13634440"/>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2-01T00:00:00"/>
    <s v="FY21"/>
    <s v="t"/>
    <n v="0"/>
    <n v="0.495"/>
    <n v="0"/>
    <n v="0.495"/>
    <n v="0"/>
    <n v="4"/>
    <n v="0"/>
    <n v="4"/>
    <n v="0"/>
    <n v="100"/>
    <n v="0"/>
    <s v="Consolidation"/>
    <s v="CO2e and Base Measure"/>
    <n v="100"/>
    <n v="100"/>
    <n v="0.5"/>
    <m/>
    <m/>
    <m/>
    <m/>
    <m/>
    <n v="0.64349999999999996"/>
    <m/>
    <n v="0.64349999999999996"/>
    <m/>
    <m/>
    <m/>
    <m/>
    <m/>
    <s v="AUD"/>
    <s v="13634440Waste - General [t] - Scope 3"/>
    <n v="13634440"/>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3-01T00:00:00"/>
    <s v="FY21"/>
    <s v="t"/>
    <n v="0"/>
    <n v="0.69299999999999995"/>
    <n v="0"/>
    <n v="0.69299999999999995"/>
    <n v="0"/>
    <n v="5"/>
    <n v="0"/>
    <n v="5"/>
    <n v="0"/>
    <n v="100"/>
    <n v="0"/>
    <s v="Consolidation"/>
    <s v="CO2e and Base Measure"/>
    <n v="100"/>
    <n v="100"/>
    <n v="0.69"/>
    <m/>
    <m/>
    <m/>
    <m/>
    <m/>
    <n v="0.90090000000000003"/>
    <m/>
    <n v="0.90090000000000003"/>
    <m/>
    <m/>
    <m/>
    <m/>
    <m/>
    <s v="AUD"/>
    <s v="13634440Waste - General [t] - Scope 3"/>
    <n v="13634440"/>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4-01T00:00:00"/>
    <s v="FY21"/>
    <s v="t"/>
    <n v="0"/>
    <n v="0"/>
    <n v="0.56699999999999995"/>
    <n v="0.56699999999999995"/>
    <n v="0"/>
    <n v="0"/>
    <n v="30"/>
    <n v="30"/>
    <n v="0"/>
    <n v="0"/>
    <n v="100"/>
    <s v="Consolidation"/>
    <s v="CO2e and Base Measure"/>
    <n v="100"/>
    <n v="100"/>
    <n v="0.56999999999999995"/>
    <m/>
    <m/>
    <m/>
    <m/>
    <m/>
    <n v="0.73709999999999998"/>
    <m/>
    <n v="0.73709999999999998"/>
    <m/>
    <m/>
    <m/>
    <m/>
    <m/>
    <s v="AUD"/>
    <s v="13634440Waste - General [t] - Scope 3"/>
    <n v="13634440"/>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5-01T00:00:00"/>
    <s v="FY21"/>
    <s v="t"/>
    <n v="0"/>
    <n v="0"/>
    <n v="0.58589999999999998"/>
    <n v="0.58589999999999998"/>
    <n v="0"/>
    <n v="0"/>
    <n v="31"/>
    <n v="31"/>
    <n v="0"/>
    <n v="0"/>
    <n v="100"/>
    <s v="Consolidation"/>
    <s v="CO2e and Base Measure"/>
    <n v="100"/>
    <n v="100"/>
    <n v="0.59"/>
    <m/>
    <m/>
    <m/>
    <m/>
    <m/>
    <n v="0.76170000000000004"/>
    <m/>
    <n v="0.76170000000000004"/>
    <m/>
    <m/>
    <m/>
    <m/>
    <m/>
    <s v="AUD"/>
    <s v="13634440Waste - General [t] - Scope 3"/>
    <n v="13634440"/>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1-01T00:00:00"/>
    <s v="FY21"/>
    <s v="t"/>
    <n v="0"/>
    <n v="0.13750000000000001"/>
    <n v="0"/>
    <n v="0.13750000000000001"/>
    <n v="0"/>
    <n v="3"/>
    <n v="0"/>
    <n v="3"/>
    <n v="0"/>
    <n v="100"/>
    <n v="0"/>
    <s v="Consolidation"/>
    <s v="CO2e and Base Measure"/>
    <n v="100"/>
    <n v="100"/>
    <n v="0.14000000000000001"/>
    <m/>
    <m/>
    <m/>
    <m/>
    <m/>
    <m/>
    <m/>
    <m/>
    <m/>
    <m/>
    <m/>
    <m/>
    <m/>
    <s v="AUD"/>
    <s v="13634441Waste Recycled - Paper and Cardboard [t]"/>
    <n v="13634441"/>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2-01T00:00:00"/>
    <s v="FY21"/>
    <s v="t"/>
    <n v="0"/>
    <n v="5.5E-2"/>
    <n v="0"/>
    <n v="5.5E-2"/>
    <n v="0"/>
    <n v="2"/>
    <n v="0"/>
    <n v="2"/>
    <n v="0"/>
    <n v="100"/>
    <n v="0"/>
    <s v="Consolidation"/>
    <s v="CO2e and Base Measure"/>
    <n v="100"/>
    <n v="100"/>
    <n v="0.06"/>
    <m/>
    <m/>
    <m/>
    <m/>
    <m/>
    <m/>
    <m/>
    <m/>
    <m/>
    <m/>
    <m/>
    <m/>
    <m/>
    <s v="AUD"/>
    <s v="13634441Waste Recycled - Paper and Cardboard [t]"/>
    <n v="13634441"/>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3-01T00:00:00"/>
    <s v="FY21"/>
    <s v="t"/>
    <n v="0"/>
    <n v="0.11"/>
    <n v="0"/>
    <n v="0.11"/>
    <n v="0"/>
    <n v="2"/>
    <n v="0"/>
    <n v="2"/>
    <n v="0"/>
    <n v="100"/>
    <n v="0"/>
    <s v="Consolidation"/>
    <s v="CO2e and Base Measure"/>
    <n v="100"/>
    <n v="100"/>
    <n v="0.11"/>
    <m/>
    <m/>
    <m/>
    <m/>
    <m/>
    <m/>
    <m/>
    <m/>
    <m/>
    <m/>
    <m/>
    <m/>
    <m/>
    <s v="AUD"/>
    <s v="13634441Waste Recycled - Paper and Cardboard [t]"/>
    <n v="13634441"/>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4-01T00:00:00"/>
    <s v="FY21"/>
    <s v="t"/>
    <n v="0"/>
    <n v="0"/>
    <n v="0.10199999999999999"/>
    <n v="0.10199999999999999"/>
    <n v="0"/>
    <n v="0"/>
    <n v="30"/>
    <n v="30"/>
    <n v="0"/>
    <n v="0"/>
    <n v="100"/>
    <s v="Consolidation"/>
    <s v="CO2e and Base Measure"/>
    <n v="100"/>
    <n v="100"/>
    <n v="0.1"/>
    <m/>
    <m/>
    <m/>
    <m/>
    <m/>
    <m/>
    <m/>
    <m/>
    <m/>
    <m/>
    <m/>
    <m/>
    <m/>
    <s v="AUD"/>
    <s v="13634441Waste Recycled - Paper and Cardboard [t]"/>
    <n v="13634441"/>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5-01T00:00:00"/>
    <s v="FY21"/>
    <s v="t"/>
    <n v="0"/>
    <n v="0"/>
    <n v="0.10539999999999999"/>
    <n v="0.10539999999999999"/>
    <n v="0"/>
    <n v="0"/>
    <n v="31"/>
    <n v="31"/>
    <n v="0"/>
    <n v="0"/>
    <n v="100"/>
    <s v="Consolidation"/>
    <s v="CO2e and Base Measure"/>
    <n v="100"/>
    <n v="100"/>
    <n v="0.11"/>
    <m/>
    <m/>
    <m/>
    <m/>
    <m/>
    <m/>
    <m/>
    <m/>
    <m/>
    <m/>
    <m/>
    <m/>
    <m/>
    <s v="AUD"/>
    <s v="13634441Waste Recycled - Paper and Cardboard [t]"/>
    <n v="13634441"/>
  </r>
  <r>
    <d v="2019-07-01T00:00:00"/>
    <d v="2021-06-30T00:00:00"/>
    <s v="Telstra"/>
    <s v="NETWORK"/>
    <s v="Network - InfraCo"/>
    <s v="VIC"/>
    <s v="Australia"/>
    <s v="Kerang"/>
    <s v="KERANG EXCHANGE"/>
    <n v="423030601500"/>
    <s v="Waste"/>
    <x v="1"/>
    <x v="4"/>
    <s v="Account"/>
    <s v="Remondis Asbestos"/>
    <m/>
    <s v="4230306015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939Waste - Construction and Demolition [t]"/>
    <n v="13564939"/>
  </r>
  <r>
    <d v="2019-07-01T00:00:00"/>
    <d v="2021-06-30T00:00:00"/>
    <s v="Telstra"/>
    <s v="NETWORK"/>
    <s v="Network - InfraCo"/>
    <s v="VIC"/>
    <s v="Australia"/>
    <s v="Kerang"/>
    <s v="KERANG EXCHANGE"/>
    <n v="423030601500"/>
    <s v="Waste"/>
    <x v="1"/>
    <x v="4"/>
    <s v="Account"/>
    <s v="Remondis Asbestos"/>
    <m/>
    <s v="4230306015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939Waste - Construction and Demolition [t]"/>
    <n v="13564939"/>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1-01-01T00:00:00"/>
    <s v="FY21"/>
    <s v="t"/>
    <n v="0"/>
    <n v="0"/>
    <n v="5.4999999999999997E-3"/>
    <n v="5.4999999999999997E-3"/>
    <n v="0"/>
    <n v="0"/>
    <n v="1"/>
    <n v="1"/>
    <n v="0"/>
    <n v="0"/>
    <n v="100"/>
    <s v="Consolidation"/>
    <s v="CO2e and Base Measure"/>
    <n v="100"/>
    <n v="100"/>
    <n v="0.01"/>
    <m/>
    <m/>
    <m/>
    <m/>
    <m/>
    <n v="7.1999999999999998E-3"/>
    <m/>
    <n v="7.1999999999999998E-3"/>
    <m/>
    <m/>
    <m/>
    <m/>
    <m/>
    <s v="AUD"/>
    <s v="13564940Waste - General [t] - Scope 3"/>
    <n v="13564940"/>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1-01T00:00:00"/>
    <s v="FY21"/>
    <s v="t"/>
    <n v="8.5000000000000006E-2"/>
    <n v="0"/>
    <n v="0"/>
    <n v="8.5000000000000006E-2"/>
    <n v="1"/>
    <n v="0"/>
    <n v="0"/>
    <n v="1"/>
    <n v="100"/>
    <n v="0"/>
    <n v="0"/>
    <s v="Consolidation"/>
    <s v="CO2e and Base Measure"/>
    <n v="100"/>
    <n v="100"/>
    <n v="0.09"/>
    <m/>
    <m/>
    <m/>
    <m/>
    <m/>
    <n v="0.1105"/>
    <m/>
    <n v="0.1105"/>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2-01T00:00:00"/>
    <s v="FY21"/>
    <s v="t"/>
    <n v="0.115"/>
    <n v="0"/>
    <n v="0"/>
    <n v="0.115"/>
    <n v="1"/>
    <n v="0"/>
    <n v="0"/>
    <n v="1"/>
    <n v="100"/>
    <n v="0"/>
    <n v="0"/>
    <s v="Consolidation"/>
    <s v="CO2e and Base Measure"/>
    <n v="100"/>
    <n v="100"/>
    <n v="0.12"/>
    <m/>
    <m/>
    <m/>
    <m/>
    <m/>
    <n v="0.14949999999999999"/>
    <m/>
    <n v="0.14949999999999999"/>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3-01T00:00:00"/>
    <s v="FY21"/>
    <s v="t"/>
    <n v="0.14000000000000001"/>
    <n v="0"/>
    <n v="0"/>
    <n v="0.14000000000000001"/>
    <n v="1"/>
    <n v="0"/>
    <n v="0"/>
    <n v="1"/>
    <n v="100"/>
    <n v="0"/>
    <n v="0"/>
    <s v="Consolidation"/>
    <s v="CO2e and Base Measure"/>
    <n v="100"/>
    <n v="100"/>
    <n v="0.14000000000000001"/>
    <m/>
    <m/>
    <m/>
    <m/>
    <m/>
    <n v="0.182"/>
    <m/>
    <n v="0.182"/>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4-01T00:00:00"/>
    <s v="FY21"/>
    <s v="t"/>
    <n v="0"/>
    <n v="0"/>
    <n v="0.10199999999999999"/>
    <n v="0.10199999999999999"/>
    <n v="0"/>
    <n v="0"/>
    <n v="30"/>
    <n v="30"/>
    <n v="0"/>
    <n v="0"/>
    <n v="100"/>
    <s v="Consolidation"/>
    <s v="CO2e and Base Measure"/>
    <n v="100"/>
    <n v="100"/>
    <n v="0.1"/>
    <m/>
    <m/>
    <m/>
    <m/>
    <m/>
    <n v="0.1326"/>
    <m/>
    <n v="0.1326"/>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5-01T00:00:00"/>
    <s v="FY21"/>
    <s v="t"/>
    <n v="0"/>
    <n v="0"/>
    <n v="0.10539999999999999"/>
    <n v="0.10539999999999999"/>
    <n v="0"/>
    <n v="0"/>
    <n v="31"/>
    <n v="31"/>
    <n v="0"/>
    <n v="0"/>
    <n v="100"/>
    <s v="Consolidation"/>
    <s v="CO2e and Base Measure"/>
    <n v="100"/>
    <n v="100"/>
    <n v="0.11"/>
    <m/>
    <m/>
    <m/>
    <m/>
    <m/>
    <n v="0.13700000000000001"/>
    <m/>
    <n v="0.13700000000000001"/>
    <m/>
    <m/>
    <m/>
    <m/>
    <m/>
    <s v="AUD"/>
    <s v="13634143Waste - General [t] - Scope 3"/>
    <n v="13634143"/>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07-01T00:00:00"/>
    <s v="FY21"/>
    <s v="t"/>
    <n v="2.1"/>
    <n v="0"/>
    <n v="0"/>
    <n v="2.1"/>
    <n v="1"/>
    <n v="0"/>
    <n v="0"/>
    <n v="1"/>
    <n v="100"/>
    <n v="0"/>
    <n v="0"/>
    <s v="Consolidation"/>
    <s v="CO2e and Base Measure"/>
    <n v="100"/>
    <n v="100"/>
    <n v="2.1"/>
    <m/>
    <m/>
    <m/>
    <m/>
    <m/>
    <n v="2.73"/>
    <m/>
    <n v="2.73"/>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12-01T00:00:00"/>
    <s v="FY21"/>
    <s v="t"/>
    <n v="1.46"/>
    <n v="0"/>
    <n v="0"/>
    <n v="1.46"/>
    <n v="1"/>
    <n v="0"/>
    <n v="0"/>
    <n v="1"/>
    <n v="100"/>
    <n v="0"/>
    <n v="0"/>
    <s v="Consolidation"/>
    <s v="CO2e and Base Measure"/>
    <n v="100"/>
    <n v="100"/>
    <n v="1.46"/>
    <m/>
    <m/>
    <m/>
    <m/>
    <m/>
    <n v="1.8979999999999999"/>
    <m/>
    <n v="1.8979999999999999"/>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1-01-01T00:00:00"/>
    <s v="FY21"/>
    <s v="t"/>
    <n v="0"/>
    <n v="0"/>
    <n v="2.0400000000000001E-2"/>
    <n v="2.0400000000000001E-2"/>
    <n v="0"/>
    <n v="0"/>
    <n v="1"/>
    <n v="1"/>
    <n v="0"/>
    <n v="0"/>
    <n v="100"/>
    <s v="Consolidation"/>
    <s v="CO2e and Base Measure"/>
    <n v="100"/>
    <n v="100"/>
    <n v="0.02"/>
    <m/>
    <m/>
    <m/>
    <m/>
    <m/>
    <n v="2.6499999999999999E-2"/>
    <m/>
    <n v="2.6499999999999999E-2"/>
    <m/>
    <m/>
    <m/>
    <m/>
    <m/>
    <s v="AUD"/>
    <s v="13564950Waste - General [t] - Scope 3"/>
    <n v="13564950"/>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07-01T00:00:00"/>
    <s v="FY21"/>
    <s v="t"/>
    <n v="0.18"/>
    <n v="0"/>
    <n v="0"/>
    <n v="0.18"/>
    <n v="2"/>
    <n v="0"/>
    <n v="0"/>
    <n v="2"/>
    <n v="100"/>
    <n v="0"/>
    <n v="0"/>
    <s v="Consolidation"/>
    <s v="CO2e and Base Measure"/>
    <n v="100"/>
    <n v="100"/>
    <n v="0.18"/>
    <m/>
    <m/>
    <m/>
    <m/>
    <m/>
    <n v="0.23400000000000001"/>
    <m/>
    <n v="0.23400000000000001"/>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08-01T00:00:00"/>
    <s v="FY21"/>
    <s v="t"/>
    <n v="7.0000000000000007E-2"/>
    <n v="0"/>
    <n v="0"/>
    <n v="7.0000000000000007E-2"/>
    <n v="2"/>
    <n v="0"/>
    <n v="0"/>
    <n v="2"/>
    <n v="100"/>
    <n v="0"/>
    <n v="0"/>
    <s v="Consolidation"/>
    <s v="CO2e and Base Measure"/>
    <n v="100"/>
    <n v="100"/>
    <n v="7.0000000000000007E-2"/>
    <m/>
    <m/>
    <m/>
    <m/>
    <m/>
    <n v="9.0999999999999998E-2"/>
    <m/>
    <n v="9.0999999999999998E-2"/>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09-01T00:00:00"/>
    <s v="FY21"/>
    <s v="t"/>
    <n v="0.315"/>
    <n v="0"/>
    <n v="0"/>
    <n v="0.315"/>
    <n v="1"/>
    <n v="0"/>
    <n v="0"/>
    <n v="1"/>
    <n v="100"/>
    <n v="0"/>
    <n v="0"/>
    <s v="Consolidation"/>
    <s v="CO2e and Base Measure"/>
    <n v="100"/>
    <n v="100"/>
    <n v="0.32"/>
    <m/>
    <m/>
    <m/>
    <m/>
    <m/>
    <n v="0.40949999999999998"/>
    <m/>
    <n v="0.40949999999999998"/>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10-01T00:00:00"/>
    <s v="FY21"/>
    <s v="t"/>
    <n v="0.35"/>
    <n v="0"/>
    <n v="0"/>
    <n v="0.35"/>
    <n v="2"/>
    <n v="0"/>
    <n v="0"/>
    <n v="2"/>
    <n v="100"/>
    <n v="0"/>
    <n v="0"/>
    <s v="Consolidation"/>
    <s v="CO2e and Base Measure"/>
    <n v="100"/>
    <n v="100"/>
    <n v="0.35"/>
    <m/>
    <m/>
    <m/>
    <m/>
    <m/>
    <n v="0.45500000000000002"/>
    <m/>
    <n v="0.45500000000000002"/>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11-01T00:00:00"/>
    <s v="FY21"/>
    <s v="t"/>
    <n v="0.76"/>
    <n v="0"/>
    <n v="0"/>
    <n v="0.76"/>
    <n v="2"/>
    <n v="0"/>
    <n v="0"/>
    <n v="2"/>
    <n v="100"/>
    <n v="0"/>
    <n v="0"/>
    <s v="Consolidation"/>
    <s v="CO2e and Base Measure"/>
    <n v="100"/>
    <n v="100"/>
    <n v="0.76"/>
    <m/>
    <m/>
    <m/>
    <m/>
    <m/>
    <n v="0.98799999999999999"/>
    <m/>
    <n v="0.98799999999999999"/>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12-01T00:00:00"/>
    <s v="FY21"/>
    <s v="t"/>
    <n v="0"/>
    <n v="0"/>
    <n v="0.01"/>
    <n v="0.01"/>
    <n v="0"/>
    <n v="0"/>
    <n v="1"/>
    <n v="1"/>
    <n v="0"/>
    <n v="0"/>
    <n v="100"/>
    <s v="Consolidation"/>
    <s v="CO2e and Base Measure"/>
    <n v="100"/>
    <n v="100"/>
    <n v="0.01"/>
    <m/>
    <m/>
    <m/>
    <m/>
    <m/>
    <n v="1.2999999999999999E-2"/>
    <m/>
    <n v="1.2999999999999999E-2"/>
    <m/>
    <m/>
    <m/>
    <m/>
    <m/>
    <s v="AUD"/>
    <s v="13564723Waste - General [t] - Scope 3"/>
    <n v="13564723"/>
  </r>
  <r>
    <d v="2019-07-01T00:00:00"/>
    <d v="2021-06-30T00:00:00"/>
    <s v="Telstra"/>
    <s v="NETWORK"/>
    <s v="Network - InfraCo"/>
    <s v="VIC"/>
    <s v="Australia"/>
    <s v="Victoria"/>
    <s v="KILMORE EXCHANGE"/>
    <n v="423030602600"/>
    <s v="Waste"/>
    <x v="1"/>
    <x v="4"/>
    <s v="Account"/>
    <s v="Remondis Asbestos"/>
    <m/>
    <s v="4230306026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942Waste - Construction and Demolition [t]"/>
    <n v="13564942"/>
  </r>
  <r>
    <d v="2019-07-01T00:00:00"/>
    <d v="2021-06-30T00:00:00"/>
    <s v="Telstra"/>
    <s v="NETWORK"/>
    <s v="Network - InfraCo"/>
    <s v="VIC"/>
    <s v="Australia"/>
    <s v="Victoria"/>
    <s v="KILMORE EXCHANGE"/>
    <n v="423030602600"/>
    <s v="Waste"/>
    <x v="1"/>
    <x v="4"/>
    <s v="Account"/>
    <s v="Remondis Asbestos"/>
    <m/>
    <s v="4230306026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942Waste - Construction and Demolition [t]"/>
    <n v="13564942"/>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07-01T00:00:00"/>
    <s v="FY21"/>
    <s v="t"/>
    <n v="0"/>
    <n v="0.19500000000000001"/>
    <n v="0"/>
    <n v="0.19500000000000001"/>
    <n v="0"/>
    <n v="1"/>
    <n v="0"/>
    <n v="1"/>
    <n v="0"/>
    <n v="100"/>
    <n v="0"/>
    <s v="Consolidation"/>
    <s v="CO2e and Base Measure"/>
    <n v="100"/>
    <n v="100"/>
    <n v="0.2"/>
    <m/>
    <m/>
    <m/>
    <m/>
    <m/>
    <n v="0.2535"/>
    <m/>
    <n v="0.2535"/>
    <m/>
    <m/>
    <m/>
    <m/>
    <m/>
    <s v="AUD"/>
    <s v="13564943Waste - General [t] - Scope 3"/>
    <n v="13564943"/>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08-01T00:00:00"/>
    <s v="FY21"/>
    <s v="t"/>
    <n v="0"/>
    <n v="0.39"/>
    <n v="0"/>
    <n v="0.39"/>
    <n v="0"/>
    <n v="2"/>
    <n v="0"/>
    <n v="2"/>
    <n v="0"/>
    <n v="100"/>
    <n v="0"/>
    <s v="Consolidation"/>
    <s v="CO2e and Base Measure"/>
    <n v="100"/>
    <n v="100"/>
    <n v="0.39"/>
    <m/>
    <m/>
    <m/>
    <m/>
    <m/>
    <n v="0.50700000000000001"/>
    <m/>
    <n v="0.50700000000000001"/>
    <m/>
    <m/>
    <m/>
    <m/>
    <m/>
    <s v="AUD"/>
    <s v="13564943Waste - General [t] - Scope 3"/>
    <n v="13564943"/>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09-01T00:00:00"/>
    <s v="FY21"/>
    <s v="t"/>
    <n v="0"/>
    <n v="0.39"/>
    <n v="0"/>
    <n v="0.39"/>
    <n v="0"/>
    <n v="2"/>
    <n v="0"/>
    <n v="2"/>
    <n v="0"/>
    <n v="100"/>
    <n v="0"/>
    <s v="Consolidation"/>
    <s v="CO2e and Base Measure"/>
    <n v="100"/>
    <n v="100"/>
    <n v="0.39"/>
    <m/>
    <m/>
    <m/>
    <m/>
    <m/>
    <n v="0.50700000000000001"/>
    <m/>
    <n v="0.50700000000000001"/>
    <m/>
    <m/>
    <m/>
    <m/>
    <m/>
    <s v="AUD"/>
    <s v="13564943Waste - General [t] - Scope 3"/>
    <n v="13564943"/>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10-01T00:00:00"/>
    <s v="FY21"/>
    <s v="t"/>
    <n v="0"/>
    <n v="0.58499999999999996"/>
    <n v="0"/>
    <n v="0.58499999999999996"/>
    <n v="0"/>
    <n v="3"/>
    <n v="0"/>
    <n v="3"/>
    <n v="0"/>
    <n v="100"/>
    <n v="0"/>
    <s v="Consolidation"/>
    <s v="CO2e and Base Measure"/>
    <n v="100"/>
    <n v="100"/>
    <n v="0.59"/>
    <m/>
    <m/>
    <m/>
    <m/>
    <m/>
    <n v="0.76049999999999995"/>
    <m/>
    <n v="0.76049999999999995"/>
    <m/>
    <m/>
    <m/>
    <m/>
    <m/>
    <s v="AUD"/>
    <s v="13564943Waste - General [t] - Scope 3"/>
    <n v="13564943"/>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11-01T00:00:00"/>
    <s v="FY21"/>
    <s v="t"/>
    <n v="0"/>
    <n v="0"/>
    <n v="1.2800000000000001E-2"/>
    <n v="1.2800000000000001E-2"/>
    <n v="0"/>
    <n v="0"/>
    <n v="1"/>
    <n v="1"/>
    <n v="0"/>
    <n v="0"/>
    <n v="100"/>
    <s v="Consolidation"/>
    <s v="CO2e and Base Measure"/>
    <n v="100"/>
    <n v="100"/>
    <n v="0.01"/>
    <m/>
    <m/>
    <m/>
    <m/>
    <m/>
    <n v="1.66E-2"/>
    <m/>
    <n v="1.66E-2"/>
    <m/>
    <m/>
    <m/>
    <m/>
    <m/>
    <s v="AUD"/>
    <s v="13564943Waste - General [t] - Scope 3"/>
    <n v="13564943"/>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0-11-01T00:00:00"/>
    <s v="FY21"/>
    <s v="t"/>
    <n v="0.17399999999999999"/>
    <n v="0"/>
    <n v="0"/>
    <n v="0.17399999999999999"/>
    <n v="1"/>
    <n v="0"/>
    <n v="0"/>
    <n v="1"/>
    <n v="100"/>
    <n v="0"/>
    <n v="0"/>
    <s v="Consolidation"/>
    <s v="CO2e and Base Measure"/>
    <n v="100"/>
    <n v="100"/>
    <n v="0.17"/>
    <m/>
    <m/>
    <m/>
    <m/>
    <m/>
    <n v="0.22620000000000001"/>
    <m/>
    <n v="0.22620000000000001"/>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0-12-01T00:00:00"/>
    <s v="FY21"/>
    <s v="t"/>
    <n v="0.16600000000000001"/>
    <n v="0"/>
    <n v="0"/>
    <n v="0.16600000000000001"/>
    <n v="2"/>
    <n v="0"/>
    <n v="0"/>
    <n v="2"/>
    <n v="100"/>
    <n v="0"/>
    <n v="0"/>
    <s v="Consolidation"/>
    <s v="CO2e and Base Measure"/>
    <n v="100"/>
    <n v="100"/>
    <n v="0.17"/>
    <m/>
    <m/>
    <m/>
    <m/>
    <m/>
    <n v="0.21579999999999999"/>
    <m/>
    <n v="0.21579999999999999"/>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1-01T00:00:00"/>
    <s v="FY21"/>
    <s v="t"/>
    <n v="0.113"/>
    <n v="0"/>
    <n v="0"/>
    <n v="0.113"/>
    <n v="2"/>
    <n v="0"/>
    <n v="0"/>
    <n v="2"/>
    <n v="100"/>
    <n v="0"/>
    <n v="0"/>
    <s v="Consolidation"/>
    <s v="CO2e and Base Measure"/>
    <n v="100"/>
    <n v="100"/>
    <n v="0.11"/>
    <m/>
    <m/>
    <m/>
    <m/>
    <m/>
    <n v="0.1469"/>
    <m/>
    <n v="0.1469"/>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2-01T00:00:00"/>
    <s v="FY21"/>
    <s v="t"/>
    <n v="0.17299999999999999"/>
    <n v="0"/>
    <n v="0"/>
    <n v="0.17299999999999999"/>
    <n v="2"/>
    <n v="0"/>
    <n v="0"/>
    <n v="2"/>
    <n v="100"/>
    <n v="0"/>
    <n v="0"/>
    <s v="Consolidation"/>
    <s v="CO2e and Base Measure"/>
    <n v="100"/>
    <n v="100"/>
    <n v="0.17"/>
    <m/>
    <m/>
    <m/>
    <m/>
    <m/>
    <n v="0.22489999999999999"/>
    <m/>
    <n v="0.22489999999999999"/>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3-01T00:00:00"/>
    <s v="FY21"/>
    <s v="t"/>
    <n v="6.7000000000000004E-2"/>
    <n v="0"/>
    <n v="0"/>
    <n v="6.7000000000000004E-2"/>
    <n v="2"/>
    <n v="0"/>
    <n v="0"/>
    <n v="2"/>
    <n v="100"/>
    <n v="0"/>
    <n v="0"/>
    <s v="Consolidation"/>
    <s v="CO2e and Base Measure"/>
    <n v="100"/>
    <n v="100"/>
    <n v="7.0000000000000007E-2"/>
    <m/>
    <m/>
    <m/>
    <m/>
    <m/>
    <n v="8.7099999999999997E-2"/>
    <m/>
    <n v="8.7099999999999997E-2"/>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4-01T00:00:00"/>
    <s v="FY21"/>
    <s v="t"/>
    <n v="0"/>
    <n v="0"/>
    <n v="0.13800000000000001"/>
    <n v="0.13800000000000001"/>
    <n v="0"/>
    <n v="0"/>
    <n v="30"/>
    <n v="30"/>
    <n v="0"/>
    <n v="0"/>
    <n v="100"/>
    <s v="Consolidation"/>
    <s v="CO2e and Base Measure"/>
    <n v="100"/>
    <n v="100"/>
    <n v="0.14000000000000001"/>
    <m/>
    <m/>
    <m/>
    <m/>
    <m/>
    <n v="0.1794"/>
    <m/>
    <n v="0.1794"/>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5-01T00:00:00"/>
    <s v="FY21"/>
    <s v="t"/>
    <n v="0"/>
    <n v="0"/>
    <n v="0.1426"/>
    <n v="0.1426"/>
    <n v="0"/>
    <n v="0"/>
    <n v="31"/>
    <n v="31"/>
    <n v="0"/>
    <n v="0"/>
    <n v="100"/>
    <s v="Consolidation"/>
    <s v="CO2e and Base Measure"/>
    <n v="100"/>
    <n v="100"/>
    <n v="0.14000000000000001"/>
    <m/>
    <m/>
    <m/>
    <m/>
    <m/>
    <n v="0.18540000000000001"/>
    <m/>
    <n v="0.18540000000000001"/>
    <m/>
    <m/>
    <m/>
    <m/>
    <m/>
    <s v="AUD"/>
    <s v="13633980Waste - General [t] - Scope 3"/>
    <n v="13633980"/>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0-12-01T00:00:00"/>
    <s v="FY21"/>
    <s v="t"/>
    <n v="0"/>
    <n v="0.45"/>
    <n v="0"/>
    <n v="0.45"/>
    <n v="0"/>
    <n v="1"/>
    <n v="0"/>
    <n v="1"/>
    <n v="0"/>
    <n v="100"/>
    <n v="0"/>
    <s v="Consolidation"/>
    <s v="CO2e and Base Measure"/>
    <n v="100"/>
    <n v="100"/>
    <n v="0.45"/>
    <m/>
    <m/>
    <m/>
    <m/>
    <m/>
    <n v="0.58499999999999996"/>
    <m/>
    <n v="0.58499999999999996"/>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1-01T00:00:00"/>
    <s v="FY21"/>
    <s v="t"/>
    <n v="0"/>
    <n v="0"/>
    <n v="0.46500000000000002"/>
    <n v="0.46500000000000002"/>
    <n v="0"/>
    <n v="0"/>
    <n v="31"/>
    <n v="31"/>
    <n v="0"/>
    <n v="0"/>
    <n v="100"/>
    <s v="Consolidation"/>
    <s v="CO2e and Base Measure"/>
    <n v="100"/>
    <n v="100"/>
    <n v="0.47"/>
    <m/>
    <m/>
    <m/>
    <m/>
    <m/>
    <n v="0.60450000000000004"/>
    <m/>
    <n v="0.60450000000000004"/>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2-01T00:00:00"/>
    <s v="FY21"/>
    <s v="t"/>
    <n v="0"/>
    <n v="0"/>
    <n v="0.42"/>
    <n v="0.42"/>
    <n v="0"/>
    <n v="0"/>
    <n v="28"/>
    <n v="28"/>
    <n v="0"/>
    <n v="0"/>
    <n v="100"/>
    <s v="Consolidation"/>
    <s v="CO2e and Base Measure"/>
    <n v="100"/>
    <n v="100"/>
    <n v="0.42"/>
    <m/>
    <m/>
    <m/>
    <m/>
    <m/>
    <n v="0.54600000000000004"/>
    <m/>
    <n v="0.54600000000000004"/>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3-01T00:00:00"/>
    <s v="FY21"/>
    <s v="t"/>
    <n v="0"/>
    <n v="0"/>
    <n v="0.46500000000000002"/>
    <n v="0.46500000000000002"/>
    <n v="0"/>
    <n v="0"/>
    <n v="31"/>
    <n v="31"/>
    <n v="0"/>
    <n v="0"/>
    <n v="100"/>
    <s v="Consolidation"/>
    <s v="CO2e and Base Measure"/>
    <n v="100"/>
    <n v="100"/>
    <n v="0.47"/>
    <m/>
    <m/>
    <m/>
    <m/>
    <m/>
    <n v="0.60450000000000004"/>
    <m/>
    <n v="0.60450000000000004"/>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4-01T00:00:00"/>
    <s v="FY21"/>
    <s v="t"/>
    <n v="0"/>
    <n v="0"/>
    <n v="0.45"/>
    <n v="0.45"/>
    <n v="0"/>
    <n v="0"/>
    <n v="30"/>
    <n v="30"/>
    <n v="0"/>
    <n v="0"/>
    <n v="100"/>
    <s v="Consolidation"/>
    <s v="CO2e and Base Measure"/>
    <n v="100"/>
    <n v="100"/>
    <n v="0.45"/>
    <m/>
    <m/>
    <m/>
    <m/>
    <m/>
    <n v="0.58499999999999996"/>
    <m/>
    <n v="0.58499999999999996"/>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5-01T00:00:00"/>
    <s v="FY21"/>
    <s v="t"/>
    <n v="0"/>
    <n v="0"/>
    <n v="0.46500000000000002"/>
    <n v="0.46500000000000002"/>
    <n v="0"/>
    <n v="0"/>
    <n v="31"/>
    <n v="31"/>
    <n v="0"/>
    <n v="0"/>
    <n v="100"/>
    <s v="Consolidation"/>
    <s v="CO2e and Base Measure"/>
    <n v="100"/>
    <n v="100"/>
    <n v="0.47"/>
    <m/>
    <m/>
    <m/>
    <m/>
    <m/>
    <n v="0.60450000000000004"/>
    <m/>
    <n v="0.60450000000000004"/>
    <m/>
    <m/>
    <m/>
    <m/>
    <m/>
    <s v="AUD"/>
    <s v="13634144Waste - General [t] - Scope 3"/>
    <n v="13634144"/>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07-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08-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09-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10-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11-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12-01T00:00:00"/>
    <s v="FY21"/>
    <s v="t"/>
    <n v="0"/>
    <n v="0"/>
    <n v="4.3E-3"/>
    <n v="4.3E-3"/>
    <n v="0"/>
    <n v="0"/>
    <n v="1"/>
    <n v="1"/>
    <n v="0"/>
    <n v="0"/>
    <n v="100"/>
    <s v="Consolidation"/>
    <s v="CO2e and Base Measure"/>
    <n v="100"/>
    <n v="100"/>
    <n v="0"/>
    <m/>
    <m/>
    <m/>
    <m/>
    <m/>
    <n v="5.5999999999999999E-3"/>
    <m/>
    <n v="5.5999999999999999E-3"/>
    <m/>
    <m/>
    <m/>
    <m/>
    <m/>
    <s v="AUD"/>
    <s v="13564176Waste - General [t] - Scope 3"/>
    <n v="13564176"/>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0-12-01T00:00:00"/>
    <s v="FY21"/>
    <s v="t"/>
    <n v="0"/>
    <n v="0.27"/>
    <n v="0"/>
    <n v="0.27"/>
    <n v="0"/>
    <n v="3"/>
    <n v="0"/>
    <n v="3"/>
    <n v="0"/>
    <n v="100"/>
    <n v="0"/>
    <s v="Consolidation"/>
    <s v="CO2e and Base Measure"/>
    <n v="100"/>
    <n v="100"/>
    <n v="0.27"/>
    <m/>
    <m/>
    <m/>
    <m/>
    <m/>
    <n v="0.35099999999999998"/>
    <m/>
    <n v="0.35099999999999998"/>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1-01T00:00:00"/>
    <s v="FY21"/>
    <s v="t"/>
    <n v="0"/>
    <n v="0.45"/>
    <n v="0"/>
    <n v="0.45"/>
    <n v="0"/>
    <n v="5"/>
    <n v="0"/>
    <n v="5"/>
    <n v="0"/>
    <n v="100"/>
    <n v="0"/>
    <s v="Consolidation"/>
    <s v="CO2e and Base Measure"/>
    <n v="100"/>
    <n v="100"/>
    <n v="0.45"/>
    <m/>
    <m/>
    <m/>
    <m/>
    <m/>
    <n v="0.58499999999999996"/>
    <m/>
    <n v="0.58499999999999996"/>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2-01T00:00:00"/>
    <s v="FY21"/>
    <s v="t"/>
    <n v="0"/>
    <n v="0.36"/>
    <n v="0"/>
    <n v="0.36"/>
    <n v="0"/>
    <n v="4"/>
    <n v="0"/>
    <n v="4"/>
    <n v="0"/>
    <n v="100"/>
    <n v="0"/>
    <s v="Consolidation"/>
    <s v="CO2e and Base Measure"/>
    <n v="100"/>
    <n v="100"/>
    <n v="0.36"/>
    <m/>
    <m/>
    <m/>
    <m/>
    <m/>
    <n v="0.46800000000000003"/>
    <m/>
    <n v="0.46800000000000003"/>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3-01T00:00:00"/>
    <s v="FY21"/>
    <s v="t"/>
    <n v="0"/>
    <n v="0.36"/>
    <n v="0"/>
    <n v="0.36"/>
    <n v="0"/>
    <n v="4"/>
    <n v="0"/>
    <n v="4"/>
    <n v="0"/>
    <n v="100"/>
    <n v="0"/>
    <s v="Consolidation"/>
    <s v="CO2e and Base Measure"/>
    <n v="100"/>
    <n v="100"/>
    <n v="0.36"/>
    <m/>
    <m/>
    <m/>
    <m/>
    <m/>
    <n v="0.46800000000000003"/>
    <m/>
    <n v="0.46800000000000003"/>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4-01T00:00:00"/>
    <s v="FY21"/>
    <s v="t"/>
    <n v="0"/>
    <n v="0"/>
    <n v="0.36"/>
    <n v="0.36"/>
    <n v="0"/>
    <n v="0"/>
    <n v="30"/>
    <n v="30"/>
    <n v="0"/>
    <n v="0"/>
    <n v="100"/>
    <s v="Consolidation"/>
    <s v="CO2e and Base Measure"/>
    <n v="100"/>
    <n v="100"/>
    <n v="0.36"/>
    <m/>
    <m/>
    <m/>
    <m/>
    <m/>
    <n v="0.46800000000000003"/>
    <m/>
    <n v="0.46800000000000003"/>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5-01T00:00:00"/>
    <s v="FY21"/>
    <s v="t"/>
    <n v="0"/>
    <n v="0"/>
    <n v="0.372"/>
    <n v="0.372"/>
    <n v="0"/>
    <n v="0"/>
    <n v="31"/>
    <n v="31"/>
    <n v="0"/>
    <n v="0"/>
    <n v="100"/>
    <s v="Consolidation"/>
    <s v="CO2e and Base Measure"/>
    <n v="100"/>
    <n v="100"/>
    <n v="0.37"/>
    <m/>
    <m/>
    <m/>
    <m/>
    <m/>
    <n v="0.48359999999999997"/>
    <m/>
    <n v="0.48359999999999997"/>
    <m/>
    <m/>
    <m/>
    <m/>
    <m/>
    <s v="AUD"/>
    <s v="13634145Waste - General [t] - Scope 3"/>
    <n v="13634145"/>
  </r>
  <r>
    <d v="2019-07-01T00:00:00"/>
    <d v="2021-06-30T00:00:00"/>
    <s v="Telstra"/>
    <s v="NETWORK"/>
    <s v="Network - InfraCo"/>
    <s v="SA"/>
    <s v="Australia"/>
    <s v="Kingscote"/>
    <s v="KINGSCOTE EXCHANGE"/>
    <n v="423030685900"/>
    <s v="Waste"/>
    <x v="1"/>
    <x v="2"/>
    <s v="Account"/>
    <s v="Remondis General Waste"/>
    <m/>
    <s v="12562_WGENERALW"/>
    <s v="GENERAL WASTE"/>
    <s v="Remondis"/>
    <m/>
    <m/>
    <m/>
    <d v="2020-12-01T00:00:00"/>
    <s v="FY21"/>
    <s v="t"/>
    <n v="0"/>
    <n v="0.26"/>
    <n v="0"/>
    <n v="0.26"/>
    <n v="0"/>
    <n v="1"/>
    <n v="0"/>
    <n v="1"/>
    <n v="0"/>
    <n v="100"/>
    <n v="0"/>
    <s v="Consolidation"/>
    <s v="CO2e and Base Measure"/>
    <n v="100"/>
    <n v="100"/>
    <n v="0.26"/>
    <m/>
    <m/>
    <m/>
    <m/>
    <m/>
    <n v="0.33800000000000002"/>
    <m/>
    <n v="0.33800000000000002"/>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1-01T00:00:00"/>
    <s v="FY21"/>
    <s v="t"/>
    <n v="0"/>
    <n v="0"/>
    <n v="0.2697"/>
    <n v="0.2697"/>
    <n v="0"/>
    <n v="0"/>
    <n v="31"/>
    <n v="31"/>
    <n v="0"/>
    <n v="0"/>
    <n v="100"/>
    <s v="Consolidation"/>
    <s v="CO2e and Base Measure"/>
    <n v="100"/>
    <n v="100"/>
    <n v="0.27"/>
    <m/>
    <m/>
    <m/>
    <m/>
    <m/>
    <n v="0.35060000000000002"/>
    <m/>
    <n v="0.35060000000000002"/>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2-01T00:00:00"/>
    <s v="FY21"/>
    <s v="t"/>
    <n v="0"/>
    <n v="0"/>
    <n v="0.24360000000000001"/>
    <n v="0.24360000000000001"/>
    <n v="0"/>
    <n v="0"/>
    <n v="28"/>
    <n v="28"/>
    <n v="0"/>
    <n v="0"/>
    <n v="100"/>
    <s v="Consolidation"/>
    <s v="CO2e and Base Measure"/>
    <n v="100"/>
    <n v="100"/>
    <n v="0.24"/>
    <m/>
    <m/>
    <m/>
    <m/>
    <m/>
    <n v="0.31669999999999998"/>
    <m/>
    <n v="0.31669999999999998"/>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3-01T00:00:00"/>
    <s v="FY21"/>
    <s v="t"/>
    <n v="0"/>
    <n v="0"/>
    <n v="0.2697"/>
    <n v="0.2697"/>
    <n v="0"/>
    <n v="0"/>
    <n v="31"/>
    <n v="31"/>
    <n v="0"/>
    <n v="0"/>
    <n v="100"/>
    <s v="Consolidation"/>
    <s v="CO2e and Base Measure"/>
    <n v="100"/>
    <n v="100"/>
    <n v="0.27"/>
    <m/>
    <m/>
    <m/>
    <m/>
    <m/>
    <n v="0.35060000000000002"/>
    <m/>
    <n v="0.35060000000000002"/>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4-01T00:00:00"/>
    <s v="FY21"/>
    <s v="t"/>
    <n v="0"/>
    <n v="0"/>
    <n v="0.26100000000000001"/>
    <n v="0.26100000000000001"/>
    <n v="0"/>
    <n v="0"/>
    <n v="30"/>
    <n v="30"/>
    <n v="0"/>
    <n v="0"/>
    <n v="100"/>
    <s v="Consolidation"/>
    <s v="CO2e and Base Measure"/>
    <n v="100"/>
    <n v="100"/>
    <n v="0.26"/>
    <m/>
    <m/>
    <m/>
    <m/>
    <m/>
    <n v="0.33929999999999999"/>
    <m/>
    <n v="0.33929999999999999"/>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5-01T00:00:00"/>
    <s v="FY21"/>
    <s v="t"/>
    <n v="0"/>
    <n v="0"/>
    <n v="0.2697"/>
    <n v="0.2697"/>
    <n v="0"/>
    <n v="0"/>
    <n v="31"/>
    <n v="31"/>
    <n v="0"/>
    <n v="0"/>
    <n v="100"/>
    <s v="Consolidation"/>
    <s v="CO2e and Base Measure"/>
    <n v="100"/>
    <n v="100"/>
    <n v="0.27"/>
    <m/>
    <m/>
    <m/>
    <m/>
    <m/>
    <n v="0.35060000000000002"/>
    <m/>
    <n v="0.35060000000000002"/>
    <m/>
    <m/>
    <m/>
    <m/>
    <m/>
    <s v="AUD"/>
    <s v="13633411Waste - General [t] - Scope 3"/>
    <n v="13633411"/>
  </r>
  <r>
    <d v="2019-07-01T00:00:00"/>
    <d v="2021-06-30T00:00:00"/>
    <s v="Telstra"/>
    <s v="NETWORK"/>
    <s v="Network - InfraCo"/>
    <s v="NSW"/>
    <s v="Australia"/>
    <s v="Earlwood"/>
    <s v="KINGSGROVE EXCHANGE"/>
    <n v="423030361900"/>
    <s v="Waste"/>
    <x v="1"/>
    <x v="2"/>
    <s v="Account"/>
    <s v="Remondis General Waste"/>
    <m/>
    <s v="423030361900_WGENERALW"/>
    <s v="GENERAL WASTE"/>
    <s v="Remondis"/>
    <m/>
    <m/>
    <d v="2021-01-01T00:00:00"/>
    <d v="2020-12-01T00:00:00"/>
    <s v="FY21"/>
    <s v="t"/>
    <n v="0"/>
    <n v="0.1014"/>
    <n v="0"/>
    <n v="0.1014"/>
    <n v="0"/>
    <n v="2"/>
    <n v="0"/>
    <n v="2"/>
    <n v="0"/>
    <n v="100"/>
    <n v="0"/>
    <s v="Consolidation"/>
    <s v="CO2e and Base Measure"/>
    <n v="100"/>
    <n v="100"/>
    <n v="0.1"/>
    <m/>
    <m/>
    <m/>
    <m/>
    <m/>
    <n v="0.1318"/>
    <m/>
    <n v="0.1318"/>
    <m/>
    <m/>
    <m/>
    <m/>
    <m/>
    <s v="AUD"/>
    <s v="13564726Waste - General [t] - Scope 3"/>
    <n v="13564726"/>
  </r>
  <r>
    <d v="2019-07-01T00:00:00"/>
    <d v="2021-06-30T00:00:00"/>
    <s v="Telstra"/>
    <s v="NETWORK"/>
    <s v="Network - InfraCo"/>
    <s v="NSW"/>
    <s v="Australia"/>
    <s v="Earlwood"/>
    <s v="KINGSGROVE EXCHANGE"/>
    <n v="423030361900"/>
    <s v="Waste"/>
    <x v="1"/>
    <x v="2"/>
    <s v="Account"/>
    <s v="Remondis General Waste"/>
    <m/>
    <s v="423030361900_WGENERALW"/>
    <s v="GENERAL WASTE"/>
    <s v="Remondis"/>
    <m/>
    <m/>
    <d v="2021-01-01T00:00:00"/>
    <d v="2021-01-01T00:00:00"/>
    <s v="FY21"/>
    <s v="t"/>
    <n v="0"/>
    <n v="0"/>
    <n v="3.3999999999999998E-3"/>
    <n v="3.3999999999999998E-3"/>
    <n v="0"/>
    <n v="0"/>
    <n v="1"/>
    <n v="1"/>
    <n v="0"/>
    <n v="0"/>
    <n v="100"/>
    <s v="Consolidation"/>
    <s v="CO2e and Base Measure"/>
    <n v="100"/>
    <n v="100"/>
    <n v="0"/>
    <m/>
    <m/>
    <m/>
    <m/>
    <m/>
    <n v="4.4000000000000003E-3"/>
    <m/>
    <n v="4.4000000000000003E-3"/>
    <m/>
    <m/>
    <m/>
    <m/>
    <m/>
    <s v="AUD"/>
    <s v="13564726Waste - General [t] - Scope 3"/>
    <n v="13564726"/>
  </r>
  <r>
    <d v="2019-07-01T00:00:00"/>
    <d v="2021-06-30T00:00:00"/>
    <s v="Telstra"/>
    <s v="NETWORK"/>
    <s v="Network - InfraCo"/>
    <s v="WA"/>
    <s v="Australia"/>
    <s v="Hillarys"/>
    <s v="KINGSLEY EXCHANGE"/>
    <n v="423030870700"/>
    <s v="Recycled Waste"/>
    <x v="0"/>
    <x v="0"/>
    <s v="Account"/>
    <s v="Remondis Cardboard - Loose - Recycled"/>
    <m/>
    <s v="423030870700_RCARDBOAR"/>
    <s v="CARDBOARD - LOOSE - RECYCLED"/>
    <s v="Remondis"/>
    <m/>
    <m/>
    <d v="2020-11-01T00:00:00"/>
    <d v="2020-07-01T00:00:00"/>
    <s v="FY21"/>
    <s v="t"/>
    <n v="4.0000000000000001E-3"/>
    <n v="2.3300000000000001E-2"/>
    <n v="0"/>
    <n v="2.7300000000000001E-2"/>
    <n v="1"/>
    <n v="1"/>
    <n v="0"/>
    <n v="2"/>
    <n v="14.65"/>
    <n v="85.34"/>
    <n v="0"/>
    <s v="Consolidation"/>
    <s v="CO2e and Base Measure"/>
    <n v="100"/>
    <n v="100"/>
    <n v="0.03"/>
    <m/>
    <m/>
    <m/>
    <m/>
    <m/>
    <m/>
    <n v="0"/>
    <m/>
    <m/>
    <m/>
    <m/>
    <m/>
    <m/>
    <s v="AUD"/>
    <s v="13565402Waste Recycled - Cardboard [t]"/>
    <n v="13565402"/>
  </r>
  <r>
    <d v="2019-07-01T00:00:00"/>
    <d v="2021-06-30T00:00:00"/>
    <s v="Telstra"/>
    <s v="NETWORK"/>
    <s v="Network - InfraCo"/>
    <s v="WA"/>
    <s v="Australia"/>
    <s v="Hillarys"/>
    <s v="KINGSLEY EXCHANGE"/>
    <n v="423030870700"/>
    <s v="Recycled Waste"/>
    <x v="0"/>
    <x v="0"/>
    <s v="Account"/>
    <s v="Remondis Cardboard - Loose - Recycled"/>
    <m/>
    <s v="423030870700_RCARDBOAR"/>
    <s v="CARDBOARD - LOOSE - RECYCLED"/>
    <s v="Remondis"/>
    <m/>
    <m/>
    <d v="2020-11-01T00:00:00"/>
    <d v="2020-09-01T00:00:00"/>
    <s v="FY21"/>
    <s v="t"/>
    <n v="8.9999999999999993E-3"/>
    <n v="2.3300000000000001E-2"/>
    <n v="0"/>
    <n v="3.2300000000000002E-2"/>
    <n v="1"/>
    <n v="1"/>
    <n v="0"/>
    <n v="2"/>
    <n v="27.86"/>
    <n v="72.13"/>
    <n v="0"/>
    <s v="Consolidation"/>
    <s v="CO2e and Base Measure"/>
    <n v="100"/>
    <n v="100"/>
    <n v="0.03"/>
    <m/>
    <m/>
    <m/>
    <m/>
    <m/>
    <m/>
    <n v="0"/>
    <m/>
    <m/>
    <m/>
    <m/>
    <m/>
    <m/>
    <s v="AUD"/>
    <s v="13565402Waste Recycled - Cardboard [t]"/>
    <n v="13565402"/>
  </r>
  <r>
    <d v="2019-07-01T00:00:00"/>
    <d v="2021-06-30T00:00:00"/>
    <s v="Telstra"/>
    <s v="NETWORK"/>
    <s v="Network - InfraCo"/>
    <s v="WA"/>
    <s v="Australia"/>
    <s v="Hillarys"/>
    <s v="KINGSLEY EXCHANGE"/>
    <n v="423030870700"/>
    <s v="Recycled Waste"/>
    <x v="0"/>
    <x v="0"/>
    <s v="Account"/>
    <s v="Remondis Cardboard - Loose - Recycled"/>
    <m/>
    <s v="423030870700_RCARDBOAR"/>
    <s v="CARDBOARD - LOOSE - RECYCLED"/>
    <s v="Remondis"/>
    <m/>
    <m/>
    <d v="2020-11-01T00:00:00"/>
    <d v="2020-10-01T00:00:00"/>
    <s v="FY21"/>
    <s v="t"/>
    <n v="7.0000000000000001E-3"/>
    <n v="0"/>
    <n v="0"/>
    <n v="7.0000000000000001E-3"/>
    <n v="1"/>
    <n v="0"/>
    <n v="0"/>
    <n v="1"/>
    <n v="100"/>
    <n v="0"/>
    <n v="0"/>
    <s v="Consolidation"/>
    <s v="CO2e and Base Measure"/>
    <n v="100"/>
    <n v="100"/>
    <n v="0.01"/>
    <m/>
    <m/>
    <m/>
    <m/>
    <m/>
    <m/>
    <n v="0"/>
    <m/>
    <m/>
    <m/>
    <m/>
    <m/>
    <m/>
    <s v="AUD"/>
    <s v="13565402Waste Recycled - Cardboard [t]"/>
    <n v="13565402"/>
  </r>
  <r>
    <d v="2019-07-01T00:00:00"/>
    <d v="2021-06-30T00:00:00"/>
    <s v="Telstra"/>
    <s v="NETWORK"/>
    <s v="Network - InfraCo"/>
    <s v="WA"/>
    <s v="Australia"/>
    <s v="Hillarys"/>
    <s v="KINGSLEY EXCHANGE"/>
    <n v="423030870700"/>
    <s v="Recycled Waste"/>
    <x v="0"/>
    <x v="0"/>
    <s v="Account"/>
    <s v="Remondis Cardboard - Loose - Recycled"/>
    <m/>
    <s v="423030870700_RCARDBOAR"/>
    <s v="CARDBOARD - LOOSE - RECYCLED"/>
    <s v="Remondis"/>
    <m/>
    <m/>
    <d v="2020-11-01T00:00:00"/>
    <d v="2020-11-01T00:00:00"/>
    <s v="FY21"/>
    <s v="t"/>
    <n v="0"/>
    <n v="0"/>
    <n v="6.9999999999999999E-4"/>
    <n v="6.9999999999999999E-4"/>
    <n v="0"/>
    <n v="0"/>
    <n v="1"/>
    <n v="1"/>
    <n v="0"/>
    <n v="0"/>
    <n v="100"/>
    <s v="Consolidation"/>
    <s v="CO2e and Base Measure"/>
    <n v="100"/>
    <n v="100"/>
    <n v="0"/>
    <m/>
    <m/>
    <m/>
    <m/>
    <m/>
    <m/>
    <n v="0"/>
    <m/>
    <m/>
    <m/>
    <m/>
    <m/>
    <m/>
    <s v="AUD"/>
    <s v="13565402Waste Recycled - Cardboard [t]"/>
    <n v="13565402"/>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07-01T00:00:00"/>
    <s v="FY21"/>
    <s v="t"/>
    <n v="0.01"/>
    <n v="7.22E-2"/>
    <n v="0"/>
    <n v="8.2199999999999995E-2"/>
    <n v="1"/>
    <n v="1"/>
    <n v="0"/>
    <n v="2"/>
    <n v="12.16"/>
    <n v="87.83"/>
    <n v="0"/>
    <s v="Consolidation"/>
    <s v="CO2e and Base Measure"/>
    <n v="100"/>
    <n v="100"/>
    <n v="0.08"/>
    <m/>
    <m/>
    <m/>
    <m/>
    <m/>
    <n v="0.1069"/>
    <m/>
    <n v="0.1069"/>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08-01T00:00:00"/>
    <s v="FY21"/>
    <s v="t"/>
    <n v="0"/>
    <n v="7.22E-2"/>
    <n v="0"/>
    <n v="7.22E-2"/>
    <n v="0"/>
    <n v="1"/>
    <n v="0"/>
    <n v="1"/>
    <n v="0"/>
    <n v="100"/>
    <n v="0"/>
    <s v="Consolidation"/>
    <s v="CO2e and Base Measure"/>
    <n v="100"/>
    <n v="100"/>
    <n v="7.0000000000000007E-2"/>
    <m/>
    <m/>
    <m/>
    <m/>
    <m/>
    <n v="9.3899999999999997E-2"/>
    <m/>
    <n v="9.3899999999999997E-2"/>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09-01T00:00:00"/>
    <s v="FY21"/>
    <s v="t"/>
    <n v="3.2000000000000001E-2"/>
    <n v="7.22E-2"/>
    <n v="0"/>
    <n v="0.1042"/>
    <n v="2"/>
    <n v="1"/>
    <n v="0"/>
    <n v="3"/>
    <n v="30.71"/>
    <n v="69.28"/>
    <n v="0"/>
    <s v="Consolidation"/>
    <s v="CO2e and Base Measure"/>
    <n v="100"/>
    <n v="100"/>
    <n v="0.1"/>
    <m/>
    <m/>
    <m/>
    <m/>
    <m/>
    <n v="0.13550000000000001"/>
    <m/>
    <n v="0.13550000000000001"/>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10-01T00:00:00"/>
    <s v="FY21"/>
    <s v="t"/>
    <n v="2.8000000000000001E-2"/>
    <n v="7.22E-2"/>
    <n v="0"/>
    <n v="0.1002"/>
    <n v="1"/>
    <n v="1"/>
    <n v="0"/>
    <n v="2"/>
    <n v="27.94"/>
    <n v="72.05"/>
    <n v="0"/>
    <s v="Consolidation"/>
    <s v="CO2e and Base Measure"/>
    <n v="100"/>
    <n v="100"/>
    <n v="0.1"/>
    <m/>
    <m/>
    <m/>
    <m/>
    <m/>
    <n v="0.1303"/>
    <m/>
    <n v="0.1303"/>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11-01T00:00:00"/>
    <s v="FY21"/>
    <s v="t"/>
    <n v="2.4E-2"/>
    <n v="0"/>
    <n v="0"/>
    <n v="2.4E-2"/>
    <n v="2"/>
    <n v="0"/>
    <n v="0"/>
    <n v="2"/>
    <n v="100"/>
    <n v="0"/>
    <n v="0"/>
    <s v="Consolidation"/>
    <s v="CO2e and Base Measure"/>
    <n v="100"/>
    <n v="100"/>
    <n v="0.02"/>
    <m/>
    <m/>
    <m/>
    <m/>
    <m/>
    <n v="3.1199999999999999E-2"/>
    <m/>
    <n v="3.1199999999999999E-2"/>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12-01T00:00:00"/>
    <s v="FY21"/>
    <s v="t"/>
    <n v="0"/>
    <n v="0"/>
    <n v="2.3999999999999998E-3"/>
    <n v="2.3999999999999998E-3"/>
    <n v="0"/>
    <n v="0"/>
    <n v="1"/>
    <n v="1"/>
    <n v="0"/>
    <n v="0"/>
    <n v="100"/>
    <s v="Consolidation"/>
    <s v="CO2e and Base Measure"/>
    <n v="100"/>
    <n v="100"/>
    <n v="0"/>
    <m/>
    <m/>
    <m/>
    <m/>
    <m/>
    <n v="3.0999999999999999E-3"/>
    <m/>
    <n v="3.0999999999999999E-3"/>
    <m/>
    <m/>
    <m/>
    <m/>
    <m/>
    <s v="AUD"/>
    <s v="13565404Waste - General [t] - Scope 3"/>
    <n v="13565404"/>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34146Waste - General [t] - Scope 3"/>
    <n v="13634146"/>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0-12-01T00:00:00"/>
    <s v="FY21"/>
    <s v="t"/>
    <n v="0"/>
    <n v="2.75E-2"/>
    <n v="0"/>
    <n v="2.75E-2"/>
    <n v="0"/>
    <n v="1"/>
    <n v="0"/>
    <n v="1"/>
    <n v="0"/>
    <n v="100"/>
    <n v="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1-01T00:00:00"/>
    <s v="FY21"/>
    <s v="t"/>
    <n v="0"/>
    <n v="2.75E-2"/>
    <n v="0"/>
    <n v="2.75E-2"/>
    <n v="0"/>
    <n v="1"/>
    <n v="0"/>
    <n v="1"/>
    <n v="0"/>
    <n v="100"/>
    <n v="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2-01T00:00:00"/>
    <s v="FY21"/>
    <s v="t"/>
    <n v="0"/>
    <n v="2.75E-2"/>
    <n v="0"/>
    <n v="2.75E-2"/>
    <n v="0"/>
    <n v="1"/>
    <n v="0"/>
    <n v="1"/>
    <n v="0"/>
    <n v="100"/>
    <n v="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3-01T00:00:00"/>
    <s v="FY21"/>
    <s v="t"/>
    <n v="0"/>
    <n v="2.75E-2"/>
    <n v="0"/>
    <n v="2.75E-2"/>
    <n v="0"/>
    <n v="1"/>
    <n v="0"/>
    <n v="1"/>
    <n v="0"/>
    <n v="100"/>
    <n v="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4-01T00:00:00"/>
    <s v="FY21"/>
    <s v="t"/>
    <n v="0"/>
    <n v="0"/>
    <n v="2.7E-2"/>
    <n v="2.7E-2"/>
    <n v="0"/>
    <n v="0"/>
    <n v="30"/>
    <n v="30"/>
    <n v="0"/>
    <n v="0"/>
    <n v="10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5-01T00:00:00"/>
    <s v="FY21"/>
    <s v="t"/>
    <n v="0"/>
    <n v="0"/>
    <n v="2.7900000000000001E-2"/>
    <n v="2.7900000000000001E-2"/>
    <n v="0"/>
    <n v="0"/>
    <n v="31"/>
    <n v="31"/>
    <n v="0"/>
    <n v="0"/>
    <n v="100"/>
    <s v="Consolidation"/>
    <s v="CO2e and Base Measure"/>
    <n v="100"/>
    <n v="100"/>
    <n v="0.03"/>
    <m/>
    <m/>
    <m/>
    <m/>
    <m/>
    <m/>
    <m/>
    <m/>
    <m/>
    <m/>
    <m/>
    <m/>
    <m/>
    <s v="AUD"/>
    <s v="13634147Waste Recycled - Paper and Cardboard [t]"/>
    <n v="13634147"/>
  </r>
  <r>
    <d v="2019-07-01T00:00:00"/>
    <d v="2021-06-30T00:00:00"/>
    <s v="Telstra"/>
    <s v="NETWORK"/>
    <s v="Network - InfraCo"/>
    <s v="SA"/>
    <s v="Australia"/>
    <s v="Naracoorte"/>
    <s v="KINGSTON EXCHANGE"/>
    <n v="423030695300"/>
    <s v="Recycled Waste"/>
    <x v="0"/>
    <x v="5"/>
    <s v="Account"/>
    <s v="Remondis Construction &amp; Demolition - Recycled"/>
    <m/>
    <s v="423030695300_RCONSDEM"/>
    <s v="CONSTRUCTION &amp; DEMOLITION - RECYLED"/>
    <s v="Remondis"/>
    <m/>
    <d v="2020-08-11T00:00:00"/>
    <d v="2020-09-01T00:00:00"/>
    <d v="2020-08-01T00:00:00"/>
    <s v="FY21"/>
    <s v="t"/>
    <n v="1.68"/>
    <n v="0"/>
    <n v="0"/>
    <n v="1.68"/>
    <n v="1"/>
    <n v="0"/>
    <n v="0"/>
    <n v="1"/>
    <n v="100"/>
    <n v="0"/>
    <n v="0"/>
    <s v="Consolidation"/>
    <s v="CO2e and Base Measure"/>
    <n v="100"/>
    <n v="100"/>
    <n v="1.68"/>
    <m/>
    <m/>
    <m/>
    <m/>
    <m/>
    <m/>
    <m/>
    <m/>
    <m/>
    <m/>
    <m/>
    <m/>
    <m/>
    <s v="AUD"/>
    <s v="13625673Waste Recycled - Construction and Demolition [t]"/>
    <n v="13625673"/>
  </r>
  <r>
    <d v="2019-07-01T00:00:00"/>
    <d v="2021-06-30T00:00:00"/>
    <s v="Telstra"/>
    <s v="NETWORK"/>
    <s v="Network - InfraCo"/>
    <s v="SA"/>
    <s v="Australia"/>
    <s v="Naracoorte"/>
    <s v="KINGSTON EXCHANGE"/>
    <n v="423030695300"/>
    <s v="Recycled Waste"/>
    <x v="0"/>
    <x v="5"/>
    <s v="Account"/>
    <s v="Remondis Construction &amp; Demolition - Recycled"/>
    <m/>
    <s v="423030695300_RCONSDEM"/>
    <s v="CONSTRUCTION &amp; DEMOLITION - RECYLED"/>
    <s v="Remondis"/>
    <m/>
    <d v="2020-08-11T00:00:00"/>
    <d v="2020-09-01T00:00:00"/>
    <d v="2020-09-01T00:00:00"/>
    <s v="FY21"/>
    <s v="t"/>
    <n v="0"/>
    <n v="0"/>
    <n v="5.6000000000000001E-2"/>
    <n v="5.6000000000000001E-2"/>
    <n v="0"/>
    <n v="0"/>
    <n v="1"/>
    <n v="1"/>
    <n v="0"/>
    <n v="0"/>
    <n v="100"/>
    <s v="Consolidation"/>
    <s v="CO2e and Base Measure"/>
    <n v="100"/>
    <n v="100"/>
    <n v="0.06"/>
    <m/>
    <m/>
    <m/>
    <m/>
    <m/>
    <m/>
    <m/>
    <m/>
    <m/>
    <m/>
    <m/>
    <m/>
    <m/>
    <s v="AUD"/>
    <s v="13625673Waste Recycled - Construction and Demolition [t]"/>
    <n v="13625673"/>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1-01T00:00:00"/>
    <s v="FY21"/>
    <s v="t"/>
    <n v="0.06"/>
    <n v="0"/>
    <n v="0"/>
    <n v="0.06"/>
    <n v="1"/>
    <n v="0"/>
    <n v="0"/>
    <n v="1"/>
    <n v="100"/>
    <n v="0"/>
    <n v="0"/>
    <s v="Consolidation"/>
    <s v="CO2e and Base Measure"/>
    <n v="100"/>
    <n v="100"/>
    <n v="0.06"/>
    <m/>
    <m/>
    <m/>
    <m/>
    <m/>
    <n v="7.8E-2"/>
    <m/>
    <n v="7.8E-2"/>
    <m/>
    <m/>
    <m/>
    <m/>
    <m/>
    <s v="AUD"/>
    <s v="13634442Waste - General [t] - Scope 3"/>
    <n v="13634442"/>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42Waste - General [t] - Scope 3"/>
    <n v="13634442"/>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442Waste - General [t] - Scope 3"/>
    <n v="13634442"/>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4442Waste - General [t] - Scope 3"/>
    <n v="13634442"/>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5-01T00:00:00"/>
    <s v="FY21"/>
    <s v="t"/>
    <n v="0"/>
    <n v="0"/>
    <n v="8.9899999999999994E-2"/>
    <n v="8.9899999999999994E-2"/>
    <n v="0"/>
    <n v="0"/>
    <n v="31"/>
    <n v="31"/>
    <n v="0"/>
    <n v="0"/>
    <n v="100"/>
    <s v="Consolidation"/>
    <s v="CO2e and Base Measure"/>
    <n v="100"/>
    <n v="100"/>
    <n v="0.09"/>
    <m/>
    <m/>
    <m/>
    <m/>
    <m/>
    <n v="0.1169"/>
    <m/>
    <n v="0.1169"/>
    <m/>
    <m/>
    <m/>
    <m/>
    <m/>
    <s v="AUD"/>
    <s v="13634442Waste - General [t] - Scope 3"/>
    <n v="13634442"/>
  </r>
  <r>
    <d v="2019-07-01T00:00:00"/>
    <d v="2021-06-30T00:00:00"/>
    <s v="Telstra"/>
    <s v="NETWORK"/>
    <s v="Network - InfraCo"/>
    <s v="SA"/>
    <s v="Australia"/>
    <s v="Naracoorte"/>
    <s v="KINGSTON EXCHANGE"/>
    <n v="423030695300"/>
    <s v="Recycled Waste"/>
    <x v="0"/>
    <x v="0"/>
    <s v="Account"/>
    <s v="CLEANAWAY Cardboard"/>
    <m/>
    <s v="12612_Diversion_Cardboard"/>
    <s v="Cardboard"/>
    <s v="Cleanaway"/>
    <m/>
    <d v="2021-03-01T00:00:00"/>
    <m/>
    <d v="2021-03-01T00:00:00"/>
    <s v="FY21"/>
    <s v="t"/>
    <n v="0"/>
    <n v="3.7499999999999999E-2"/>
    <n v="0"/>
    <n v="3.7499999999999999E-2"/>
    <n v="0"/>
    <n v="1"/>
    <n v="0"/>
    <n v="1"/>
    <n v="0"/>
    <n v="100"/>
    <n v="0"/>
    <s v="Consolidation"/>
    <s v="CO2e and Base Measure"/>
    <n v="100"/>
    <n v="100"/>
    <n v="0.04"/>
    <m/>
    <m/>
    <m/>
    <m/>
    <m/>
    <m/>
    <m/>
    <m/>
    <m/>
    <m/>
    <m/>
    <m/>
    <m/>
    <s v="AUD"/>
    <s v="13641206Waste Recycled - Paper and Cardboard [t]"/>
    <n v="13641206"/>
  </r>
  <r>
    <d v="2019-07-01T00:00:00"/>
    <d v="2021-06-30T00:00:00"/>
    <s v="Telstra"/>
    <s v="NETWORK"/>
    <s v="Network - InfraCo"/>
    <s v="SA"/>
    <s v="Australia"/>
    <s v="Naracoorte"/>
    <s v="KINGSTON EXCHANGE"/>
    <n v="423030695300"/>
    <s v="Recycled Waste"/>
    <x v="0"/>
    <x v="0"/>
    <s v="Account"/>
    <s v="CLEANAWAY Cardboard"/>
    <m/>
    <s v="12612_Diversion_Cardboard"/>
    <s v="Cardboard"/>
    <s v="Cleanaway"/>
    <m/>
    <d v="2021-03-01T00:00:00"/>
    <m/>
    <d v="2021-04-01T00:00:00"/>
    <s v="FY21"/>
    <s v="t"/>
    <n v="0"/>
    <n v="0"/>
    <n v="3.9E-2"/>
    <n v="3.9E-2"/>
    <n v="0"/>
    <n v="0"/>
    <n v="30"/>
    <n v="30"/>
    <n v="0"/>
    <n v="0"/>
    <n v="100"/>
    <s v="Consolidation"/>
    <s v="CO2e and Base Measure"/>
    <n v="100"/>
    <n v="100"/>
    <n v="0.04"/>
    <m/>
    <m/>
    <m/>
    <m/>
    <m/>
    <m/>
    <m/>
    <m/>
    <m/>
    <m/>
    <m/>
    <m/>
    <m/>
    <s v="AUD"/>
    <s v="13641206Waste Recycled - Paper and Cardboard [t]"/>
    <n v="13641206"/>
  </r>
  <r>
    <d v="2019-07-01T00:00:00"/>
    <d v="2021-06-30T00:00:00"/>
    <s v="Telstra"/>
    <s v="NETWORK"/>
    <s v="Network - InfraCo"/>
    <s v="SA"/>
    <s v="Australia"/>
    <s v="Naracoorte"/>
    <s v="KINGSTON EXCHANGE"/>
    <n v="423030695300"/>
    <s v="Recycled Waste"/>
    <x v="0"/>
    <x v="0"/>
    <s v="Account"/>
    <s v="CLEANAWAY Cardboard"/>
    <m/>
    <s v="12612_Diversion_Cardboard"/>
    <s v="Cardboard"/>
    <s v="Cleanaway"/>
    <m/>
    <d v="2021-03-01T00:00:00"/>
    <m/>
    <d v="2021-05-01T00:00:00"/>
    <s v="FY21"/>
    <s v="t"/>
    <n v="0"/>
    <n v="0"/>
    <n v="4.0300000000000002E-2"/>
    <n v="4.0300000000000002E-2"/>
    <n v="0"/>
    <n v="0"/>
    <n v="31"/>
    <n v="31"/>
    <n v="0"/>
    <n v="0"/>
    <n v="100"/>
    <s v="Consolidation"/>
    <s v="CO2e and Base Measure"/>
    <n v="100"/>
    <n v="100"/>
    <n v="0.04"/>
    <m/>
    <m/>
    <m/>
    <m/>
    <m/>
    <m/>
    <m/>
    <m/>
    <m/>
    <m/>
    <m/>
    <m/>
    <m/>
    <s v="AUD"/>
    <s v="13641206Waste Recycled - Paper and Cardboard [t]"/>
    <n v="13641206"/>
  </r>
  <r>
    <d v="2019-07-01T00:00:00"/>
    <d v="2021-06-30T00:00:00"/>
    <s v="Telstra"/>
    <s v="NETWORK"/>
    <s v="Network - InfraCo"/>
    <s v="TAS"/>
    <s v="Australia"/>
    <s v="Kingston"/>
    <s v="KINGSTON EXCHANGE1"/>
    <n v="423030913700"/>
    <s v="Recycled Waste"/>
    <x v="0"/>
    <x v="0"/>
    <s v="Account"/>
    <s v="Remondis Cardboard - Loose - Recycled"/>
    <m/>
    <s v="4230309137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457Waste Recycled - Cardboard [t]"/>
    <n v="13565457"/>
  </r>
  <r>
    <d v="2019-07-01T00:00:00"/>
    <d v="2021-06-30T00:00:00"/>
    <s v="Telstra"/>
    <s v="NETWORK"/>
    <s v="Network - InfraCo"/>
    <s v="TAS"/>
    <s v="Australia"/>
    <s v="Kingston"/>
    <s v="KINGSTON EXCHANGE1"/>
    <n v="423030913700"/>
    <s v="Recycled Waste"/>
    <x v="0"/>
    <x v="0"/>
    <s v="Account"/>
    <s v="Remondis Cardboard - Loose - Recycled"/>
    <m/>
    <s v="423030913700_RCARDBOAR"/>
    <s v="CARDBOARD - LOOSE - RECYCLED"/>
    <s v="Remondis"/>
    <m/>
    <m/>
    <d v="2020-12-01T00:00:00"/>
    <d v="2020-11-01T00:00:00"/>
    <s v="FY21"/>
    <s v="t"/>
    <n v="0"/>
    <n v="0.126"/>
    <n v="0"/>
    <n v="0.126"/>
    <n v="0"/>
    <n v="1"/>
    <n v="0"/>
    <n v="1"/>
    <n v="0"/>
    <n v="100"/>
    <n v="0"/>
    <s v="Consolidation"/>
    <s v="CO2e and Base Measure"/>
    <n v="100"/>
    <n v="100"/>
    <n v="0.13"/>
    <m/>
    <m/>
    <m/>
    <m/>
    <m/>
    <m/>
    <n v="0"/>
    <m/>
    <m/>
    <m/>
    <m/>
    <m/>
    <m/>
    <s v="AUD"/>
    <s v="13565457Waste Recycled - Cardboard [t]"/>
    <n v="13565457"/>
  </r>
  <r>
    <d v="2019-07-01T00:00:00"/>
    <d v="2021-06-30T00:00:00"/>
    <s v="Telstra"/>
    <s v="NETWORK"/>
    <s v="Network - InfraCo"/>
    <s v="TAS"/>
    <s v="Australia"/>
    <s v="Kingston"/>
    <s v="KINGSTON EXCHANGE1"/>
    <n v="423030913700"/>
    <s v="Recycled Waste"/>
    <x v="0"/>
    <x v="0"/>
    <s v="Account"/>
    <s v="Remondis Cardboard - Loose - Recycled"/>
    <m/>
    <s v="423030913700_RCARDBOAR"/>
    <s v="CARDBOARD - LOOSE - RECYCLED"/>
    <s v="Remondis"/>
    <m/>
    <m/>
    <d v="2020-12-01T00:00:00"/>
    <d v="2020-12-01T00:00:00"/>
    <s v="FY21"/>
    <s v="t"/>
    <n v="0"/>
    <n v="0"/>
    <n v="1.6000000000000001E-3"/>
    <n v="1.6000000000000001E-3"/>
    <n v="0"/>
    <n v="0"/>
    <n v="1"/>
    <n v="1"/>
    <n v="0"/>
    <n v="0"/>
    <n v="100"/>
    <s v="Consolidation"/>
    <s v="CO2e and Base Measure"/>
    <n v="100"/>
    <n v="100"/>
    <n v="0"/>
    <m/>
    <m/>
    <m/>
    <m/>
    <m/>
    <m/>
    <n v="0"/>
    <m/>
    <m/>
    <m/>
    <m/>
    <m/>
    <m/>
    <s v="AUD"/>
    <s v="13565457Waste Recycled - Cardboard [t]"/>
    <n v="13565457"/>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12-01T00:00:00"/>
    <s v="FY21"/>
    <s v="t"/>
    <n v="0"/>
    <n v="0.58499999999999996"/>
    <n v="0"/>
    <n v="0.58499999999999996"/>
    <n v="0"/>
    <n v="3"/>
    <n v="0"/>
    <n v="3"/>
    <n v="0"/>
    <n v="100"/>
    <n v="0"/>
    <s v="Consolidation"/>
    <s v="CO2e and Base Measure"/>
    <n v="100"/>
    <n v="100"/>
    <n v="0.59"/>
    <m/>
    <m/>
    <m/>
    <m/>
    <m/>
    <n v="0.76049999999999995"/>
    <m/>
    <n v="0.76049999999999995"/>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1-01-01T00:00:00"/>
    <s v="FY21"/>
    <s v="t"/>
    <n v="0"/>
    <n v="0"/>
    <n v="1.46E-2"/>
    <n v="1.46E-2"/>
    <n v="0"/>
    <n v="0"/>
    <n v="1"/>
    <n v="1"/>
    <n v="0"/>
    <n v="0"/>
    <n v="100"/>
    <s v="Consolidation"/>
    <s v="CO2e and Base Measure"/>
    <n v="100"/>
    <n v="100"/>
    <n v="0.01"/>
    <m/>
    <m/>
    <m/>
    <m/>
    <m/>
    <n v="1.9E-2"/>
    <m/>
    <n v="1.9E-2"/>
    <m/>
    <m/>
    <m/>
    <m/>
    <m/>
    <s v="AUD"/>
    <s v="13565458Waste - General [t] - Scope 3"/>
    <n v="13565458"/>
  </r>
  <r>
    <d v="2019-07-01T00:00:00"/>
    <d v="2021-06-30T00:00:00"/>
    <s v="Telstra"/>
    <s v="NETWORK"/>
    <s v="Network - InfraCo"/>
    <s v="TAS"/>
    <s v="Australia"/>
    <s v="Kingston"/>
    <s v="KINGSTON EXCHANGE1"/>
    <n v="423030913700"/>
    <s v="Waste"/>
    <x v="1"/>
    <x v="2"/>
    <s v="Account"/>
    <s v="CLEANAWAY General"/>
    <m/>
    <s v="26946_Landfill_General"/>
    <s v="General"/>
    <s v="Cleanaway"/>
    <m/>
    <d v="2021-02-04T00:00:00"/>
    <m/>
    <d v="2021-02-01T00:00:00"/>
    <s v="FY21"/>
    <s v="t"/>
    <n v="0"/>
    <n v="9.9000000000000005E-2"/>
    <n v="0"/>
    <n v="9.9000000000000005E-2"/>
    <n v="0"/>
    <n v="2"/>
    <n v="0"/>
    <n v="2"/>
    <n v="0"/>
    <n v="100"/>
    <n v="0"/>
    <s v="Consolidation"/>
    <s v="CO2e and Base Measure"/>
    <n v="100"/>
    <n v="100"/>
    <n v="0.1"/>
    <m/>
    <m/>
    <m/>
    <m/>
    <m/>
    <n v="0.12870000000000001"/>
    <m/>
    <n v="0.12870000000000001"/>
    <m/>
    <m/>
    <m/>
    <m/>
    <m/>
    <s v="AUD"/>
    <s v="13639926Waste - General [t] - Scope 3"/>
    <n v="13639926"/>
  </r>
  <r>
    <d v="2019-07-01T00:00:00"/>
    <d v="2021-06-30T00:00:00"/>
    <s v="Telstra"/>
    <s v="NETWORK"/>
    <s v="Network - InfraCo"/>
    <s v="TAS"/>
    <s v="Australia"/>
    <s v="Kingston"/>
    <s v="KINGSTON EXCHANGE1"/>
    <n v="423030913700"/>
    <s v="Waste"/>
    <x v="1"/>
    <x v="2"/>
    <s v="Account"/>
    <s v="CLEANAWAY General"/>
    <m/>
    <s v="26946_Landfill_General"/>
    <s v="General"/>
    <s v="Cleanaway"/>
    <m/>
    <d v="2021-02-04T00:00:00"/>
    <m/>
    <d v="2021-03-01T00:00:00"/>
    <s v="FY21"/>
    <s v="t"/>
    <n v="0"/>
    <n v="9.9000000000000005E-2"/>
    <n v="0"/>
    <n v="9.9000000000000005E-2"/>
    <n v="0"/>
    <n v="2"/>
    <n v="0"/>
    <n v="2"/>
    <n v="0"/>
    <n v="100"/>
    <n v="0"/>
    <s v="Consolidation"/>
    <s v="CO2e and Base Measure"/>
    <n v="100"/>
    <n v="100"/>
    <n v="0.1"/>
    <m/>
    <m/>
    <m/>
    <m/>
    <m/>
    <n v="0.12870000000000001"/>
    <m/>
    <n v="0.12870000000000001"/>
    <m/>
    <m/>
    <m/>
    <m/>
    <m/>
    <s v="AUD"/>
    <s v="13639926Waste - General [t] - Scope 3"/>
    <n v="13639926"/>
  </r>
  <r>
    <d v="2019-07-01T00:00:00"/>
    <d v="2021-06-30T00:00:00"/>
    <s v="Telstra"/>
    <s v="NETWORK"/>
    <s v="Network - InfraCo"/>
    <s v="TAS"/>
    <s v="Australia"/>
    <s v="Kingston"/>
    <s v="KINGSTON EXCHANGE1"/>
    <n v="423030913700"/>
    <s v="Waste"/>
    <x v="1"/>
    <x v="2"/>
    <s v="Account"/>
    <s v="CLEANAWAY General"/>
    <m/>
    <s v="26946_Landfill_General"/>
    <s v="General"/>
    <s v="Cleanaway"/>
    <m/>
    <d v="2021-02-04T00:00:00"/>
    <m/>
    <d v="2021-04-01T00:00:00"/>
    <s v="FY21"/>
    <s v="t"/>
    <n v="0"/>
    <n v="0"/>
    <n v="0.10199999999999999"/>
    <n v="0.10199999999999999"/>
    <n v="0"/>
    <n v="0"/>
    <n v="30"/>
    <n v="30"/>
    <n v="0"/>
    <n v="0"/>
    <n v="100"/>
    <s v="Consolidation"/>
    <s v="CO2e and Base Measure"/>
    <n v="100"/>
    <n v="100"/>
    <n v="0.1"/>
    <m/>
    <m/>
    <m/>
    <m/>
    <m/>
    <n v="0.1326"/>
    <m/>
    <n v="0.1326"/>
    <m/>
    <m/>
    <m/>
    <m/>
    <m/>
    <s v="AUD"/>
    <s v="13639926Waste - General [t] - Scope 3"/>
    <n v="13639926"/>
  </r>
  <r>
    <d v="2019-07-01T00:00:00"/>
    <d v="2021-06-30T00:00:00"/>
    <s v="Telstra"/>
    <s v="NETWORK"/>
    <s v="Network - InfraCo"/>
    <s v="TAS"/>
    <s v="Australia"/>
    <s v="Kingston"/>
    <s v="KINGSTON EXCHANGE1"/>
    <n v="423030913700"/>
    <s v="Waste"/>
    <x v="1"/>
    <x v="2"/>
    <s v="Account"/>
    <s v="CLEANAWAY General"/>
    <m/>
    <s v="26946_Landfill_General"/>
    <s v="General"/>
    <s v="Cleanaway"/>
    <m/>
    <d v="2021-02-04T00:00:00"/>
    <m/>
    <d v="2021-05-01T00:00:00"/>
    <s v="FY21"/>
    <s v="t"/>
    <n v="0"/>
    <n v="0"/>
    <n v="0.10539999999999999"/>
    <n v="0.10539999999999999"/>
    <n v="0"/>
    <n v="0"/>
    <n v="31"/>
    <n v="31"/>
    <n v="0"/>
    <n v="0"/>
    <n v="100"/>
    <s v="Consolidation"/>
    <s v="CO2e and Base Measure"/>
    <n v="100"/>
    <n v="100"/>
    <n v="0.11"/>
    <m/>
    <m/>
    <m/>
    <m/>
    <m/>
    <n v="0.13700000000000001"/>
    <m/>
    <n v="0.13700000000000001"/>
    <m/>
    <m/>
    <m/>
    <m/>
    <m/>
    <s v="AUD"/>
    <s v="13639926Waste - General [t] - Scope 3"/>
    <n v="13639926"/>
  </r>
  <r>
    <d v="2019-07-01T00:00:00"/>
    <d v="2021-06-30T00:00:00"/>
    <s v="Telstra"/>
    <s v="NETWORK"/>
    <s v="Network - InfraCo"/>
    <s v="TAS"/>
    <s v="Australia"/>
    <s v="Kingston"/>
    <s v="KINGSTON EXCHANGE1"/>
    <n v="423030913700"/>
    <s v="Recycled Waste"/>
    <x v="0"/>
    <x v="0"/>
    <s v="Account"/>
    <s v="CLEANAWAY Cardboard"/>
    <m/>
    <s v="26946_Diversion_Cardboard"/>
    <s v="Cardboard"/>
    <s v="Cleanaway"/>
    <m/>
    <d v="2021-02-02T00:00:00"/>
    <m/>
    <d v="2021-02-01T00:00:00"/>
    <s v="FY21"/>
    <s v="t"/>
    <n v="0"/>
    <n v="5.5E-2"/>
    <n v="0"/>
    <n v="5.5E-2"/>
    <n v="0"/>
    <n v="2"/>
    <n v="0"/>
    <n v="2"/>
    <n v="0"/>
    <n v="100"/>
    <n v="0"/>
    <s v="Consolidation"/>
    <s v="CO2e and Base Measure"/>
    <n v="100"/>
    <n v="100"/>
    <n v="0.06"/>
    <m/>
    <m/>
    <m/>
    <m/>
    <m/>
    <m/>
    <m/>
    <m/>
    <m/>
    <m/>
    <m/>
    <m/>
    <m/>
    <s v="AUD"/>
    <s v="13639927Waste Recycled - Paper and Cardboard [t]"/>
    <n v="13639927"/>
  </r>
  <r>
    <d v="2019-07-01T00:00:00"/>
    <d v="2021-06-30T00:00:00"/>
    <s v="Telstra"/>
    <s v="NETWORK"/>
    <s v="Network - InfraCo"/>
    <s v="TAS"/>
    <s v="Australia"/>
    <s v="Kingston"/>
    <s v="KINGSTON EXCHANGE1"/>
    <n v="423030913700"/>
    <s v="Recycled Waste"/>
    <x v="0"/>
    <x v="0"/>
    <s v="Account"/>
    <s v="CLEANAWAY Cardboard"/>
    <m/>
    <s v="26946_Diversion_Cardboard"/>
    <s v="Cardboard"/>
    <s v="Cleanaway"/>
    <m/>
    <d v="2021-02-02T00:00:00"/>
    <m/>
    <d v="2021-03-01T00:00:00"/>
    <s v="FY21"/>
    <s v="t"/>
    <n v="0"/>
    <n v="5.5E-2"/>
    <n v="0"/>
    <n v="5.5E-2"/>
    <n v="0"/>
    <n v="2"/>
    <n v="0"/>
    <n v="2"/>
    <n v="0"/>
    <n v="100"/>
    <n v="0"/>
    <s v="Consolidation"/>
    <s v="CO2e and Base Measure"/>
    <n v="100"/>
    <n v="100"/>
    <n v="0.06"/>
    <m/>
    <m/>
    <m/>
    <m/>
    <m/>
    <m/>
    <m/>
    <m/>
    <m/>
    <m/>
    <m/>
    <m/>
    <m/>
    <s v="AUD"/>
    <s v="13639927Waste Recycled - Paper and Cardboard [t]"/>
    <n v="13639927"/>
  </r>
  <r>
    <d v="2019-07-01T00:00:00"/>
    <d v="2021-06-30T00:00:00"/>
    <s v="Telstra"/>
    <s v="NETWORK"/>
    <s v="Network - InfraCo"/>
    <s v="TAS"/>
    <s v="Australia"/>
    <s v="Kingston"/>
    <s v="KINGSTON EXCHANGE1"/>
    <n v="423030913700"/>
    <s v="Recycled Waste"/>
    <x v="0"/>
    <x v="0"/>
    <s v="Account"/>
    <s v="CLEANAWAY Cardboard"/>
    <m/>
    <s v="26946_Diversion_Cardboard"/>
    <s v="Cardboard"/>
    <s v="Cleanaway"/>
    <m/>
    <d v="2021-02-02T00:00:00"/>
    <m/>
    <d v="2021-04-01T00:00:00"/>
    <s v="FY21"/>
    <s v="t"/>
    <n v="0"/>
    <n v="0"/>
    <n v="5.7000000000000002E-2"/>
    <n v="5.7000000000000002E-2"/>
    <n v="0"/>
    <n v="0"/>
    <n v="30"/>
    <n v="30"/>
    <n v="0"/>
    <n v="0"/>
    <n v="100"/>
    <s v="Consolidation"/>
    <s v="CO2e and Base Measure"/>
    <n v="100"/>
    <n v="100"/>
    <n v="0.06"/>
    <m/>
    <m/>
    <m/>
    <m/>
    <m/>
    <m/>
    <m/>
    <m/>
    <m/>
    <m/>
    <m/>
    <m/>
    <m/>
    <s v="AUD"/>
    <s v="13639927Waste Recycled - Paper and Cardboard [t]"/>
    <n v="13639927"/>
  </r>
  <r>
    <d v="2019-07-01T00:00:00"/>
    <d v="2021-06-30T00:00:00"/>
    <s v="Telstra"/>
    <s v="NETWORK"/>
    <s v="Network - InfraCo"/>
    <s v="TAS"/>
    <s v="Australia"/>
    <s v="Kingston"/>
    <s v="KINGSTON EXCHANGE1"/>
    <n v="423030913700"/>
    <s v="Recycled Waste"/>
    <x v="0"/>
    <x v="0"/>
    <s v="Account"/>
    <s v="CLEANAWAY Cardboard"/>
    <m/>
    <s v="26946_Diversion_Cardboard"/>
    <s v="Cardboard"/>
    <s v="Cleanaway"/>
    <m/>
    <d v="2021-02-02T00:00:00"/>
    <m/>
    <d v="2021-05-01T00:00:00"/>
    <s v="FY21"/>
    <s v="t"/>
    <n v="0"/>
    <n v="0"/>
    <n v="5.8900000000000001E-2"/>
    <n v="5.8900000000000001E-2"/>
    <n v="0"/>
    <n v="0"/>
    <n v="31"/>
    <n v="31"/>
    <n v="0"/>
    <n v="0"/>
    <n v="100"/>
    <s v="Consolidation"/>
    <s v="CO2e and Base Measure"/>
    <n v="100"/>
    <n v="100"/>
    <n v="0.06"/>
    <m/>
    <m/>
    <m/>
    <m/>
    <m/>
    <m/>
    <m/>
    <m/>
    <m/>
    <m/>
    <m/>
    <m/>
    <m/>
    <s v="AUD"/>
    <s v="13639927Waste Recycled - Paper and Cardboard [t]"/>
    <n v="1363992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77Waste - General [t] - Scope 3"/>
    <n v="13564177"/>
  </r>
  <r>
    <d v="2019-07-01T00:00:00"/>
    <d v="2021-06-30T00:00:00"/>
    <s v="Telstra"/>
    <s v="NETWORK"/>
    <s v="Network - InfraCo"/>
    <s v="QLD"/>
    <s v="Australia"/>
    <s v="Townsville"/>
    <s v="KIRWAN EXCHANGE"/>
    <n v="423030104700"/>
    <s v="Waste"/>
    <x v="1"/>
    <x v="2"/>
    <s v="Account"/>
    <s v="CLEANAWAY General"/>
    <m/>
    <s v="56879_Landfill_General"/>
    <s v="General"/>
    <s v="Cleanaway"/>
    <m/>
    <d v="2021-02-09T00:00:00"/>
    <m/>
    <d v="2021-02-01T00:00:00"/>
    <s v="FY21"/>
    <s v="t"/>
    <n v="0.25"/>
    <n v="0"/>
    <n v="0"/>
    <n v="0.25"/>
    <n v="2"/>
    <n v="0"/>
    <n v="0"/>
    <n v="2"/>
    <n v="100"/>
    <n v="0"/>
    <n v="0"/>
    <s v="Consolidation"/>
    <s v="CO2e and Base Measure"/>
    <n v="100"/>
    <n v="100"/>
    <n v="0.25"/>
    <m/>
    <m/>
    <m/>
    <m/>
    <m/>
    <n v="0.32500000000000001"/>
    <m/>
    <n v="0.32500000000000001"/>
    <m/>
    <m/>
    <m/>
    <m/>
    <m/>
    <s v="AUD"/>
    <s v="13639935Waste - General [t] - Scope 3"/>
    <n v="13639935"/>
  </r>
  <r>
    <d v="2019-07-01T00:00:00"/>
    <d v="2021-06-30T00:00:00"/>
    <s v="Telstra"/>
    <s v="NETWORK"/>
    <s v="Network - InfraCo"/>
    <s v="QLD"/>
    <s v="Australia"/>
    <s v="Townsville"/>
    <s v="KIRWAN EXCHANGE"/>
    <n v="423030104700"/>
    <s v="Waste"/>
    <x v="1"/>
    <x v="2"/>
    <s v="Account"/>
    <s v="CLEANAWAY General"/>
    <m/>
    <s v="56879_Landfill_General"/>
    <s v="General"/>
    <s v="Cleanaway"/>
    <m/>
    <d v="2021-02-09T00:00:00"/>
    <m/>
    <d v="2021-03-01T00:00:00"/>
    <s v="FY21"/>
    <s v="t"/>
    <n v="0.184"/>
    <n v="0"/>
    <n v="0"/>
    <n v="0.184"/>
    <n v="2"/>
    <n v="0"/>
    <n v="0"/>
    <n v="2"/>
    <n v="100"/>
    <n v="0"/>
    <n v="0"/>
    <s v="Consolidation"/>
    <s v="CO2e and Base Measure"/>
    <n v="100"/>
    <n v="100"/>
    <n v="0.18"/>
    <m/>
    <m/>
    <m/>
    <m/>
    <m/>
    <n v="0.2392"/>
    <m/>
    <n v="0.2392"/>
    <m/>
    <m/>
    <m/>
    <m/>
    <m/>
    <s v="AUD"/>
    <s v="13639935Waste - General [t] - Scope 3"/>
    <n v="13639935"/>
  </r>
  <r>
    <d v="2019-07-01T00:00:00"/>
    <d v="2021-06-30T00:00:00"/>
    <s v="Telstra"/>
    <s v="NETWORK"/>
    <s v="Network - InfraCo"/>
    <s v="QLD"/>
    <s v="Australia"/>
    <s v="Townsville"/>
    <s v="KIRWAN EXCHANGE"/>
    <n v="423030104700"/>
    <s v="Waste"/>
    <x v="1"/>
    <x v="2"/>
    <s v="Account"/>
    <s v="CLEANAWAY General"/>
    <m/>
    <s v="56879_Landfill_General"/>
    <s v="General"/>
    <s v="Cleanaway"/>
    <m/>
    <d v="2021-02-09T00:00:00"/>
    <m/>
    <d v="2021-04-01T00:00:00"/>
    <s v="FY21"/>
    <s v="t"/>
    <n v="0"/>
    <n v="0"/>
    <n v="0.22500000000000001"/>
    <n v="0.22500000000000001"/>
    <n v="0"/>
    <n v="0"/>
    <n v="30"/>
    <n v="30"/>
    <n v="0"/>
    <n v="0"/>
    <n v="100"/>
    <s v="Consolidation"/>
    <s v="CO2e and Base Measure"/>
    <n v="100"/>
    <n v="100"/>
    <n v="0.23"/>
    <m/>
    <m/>
    <m/>
    <m/>
    <m/>
    <n v="0.29249999999999998"/>
    <m/>
    <n v="0.29249999999999998"/>
    <m/>
    <m/>
    <m/>
    <m/>
    <m/>
    <s v="AUD"/>
    <s v="13639935Waste - General [t] - Scope 3"/>
    <n v="13639935"/>
  </r>
  <r>
    <d v="2019-07-01T00:00:00"/>
    <d v="2021-06-30T00:00:00"/>
    <s v="Telstra"/>
    <s v="NETWORK"/>
    <s v="Network - InfraCo"/>
    <s v="QLD"/>
    <s v="Australia"/>
    <s v="Townsville"/>
    <s v="KIRWAN EXCHANGE"/>
    <n v="423030104700"/>
    <s v="Waste"/>
    <x v="1"/>
    <x v="2"/>
    <s v="Account"/>
    <s v="CLEANAWAY General"/>
    <m/>
    <s v="56879_Landfill_General"/>
    <s v="General"/>
    <s v="Cleanaway"/>
    <m/>
    <d v="2021-02-09T00:00:00"/>
    <m/>
    <d v="2021-05-01T00:00:00"/>
    <s v="FY21"/>
    <s v="t"/>
    <n v="0"/>
    <n v="0"/>
    <n v="0.23250000000000001"/>
    <n v="0.23250000000000001"/>
    <n v="0"/>
    <n v="0"/>
    <n v="31"/>
    <n v="31"/>
    <n v="0"/>
    <n v="0"/>
    <n v="100"/>
    <s v="Consolidation"/>
    <s v="CO2e and Base Measure"/>
    <n v="100"/>
    <n v="100"/>
    <n v="0.23"/>
    <m/>
    <m/>
    <m/>
    <m/>
    <m/>
    <n v="0.30230000000000001"/>
    <m/>
    <n v="0.30230000000000001"/>
    <m/>
    <m/>
    <m/>
    <m/>
    <m/>
    <s v="AUD"/>
    <s v="13639935Waste - General [t] - Scope 3"/>
    <n v="13639935"/>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0-12-01T00:00:00"/>
    <s v="FY21"/>
    <s v="t"/>
    <n v="0.64"/>
    <n v="0"/>
    <n v="0"/>
    <n v="0.64"/>
    <n v="1"/>
    <n v="0"/>
    <n v="0"/>
    <n v="1"/>
    <n v="100"/>
    <n v="0"/>
    <n v="0"/>
    <s v="Consolidation"/>
    <s v="CO2e and Base Measure"/>
    <n v="100"/>
    <n v="100"/>
    <n v="0.64"/>
    <m/>
    <m/>
    <m/>
    <m/>
    <m/>
    <n v="0.83199999999999996"/>
    <m/>
    <n v="0.83199999999999996"/>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1-01T00:00:00"/>
    <s v="FY21"/>
    <s v="t"/>
    <n v="0"/>
    <n v="0"/>
    <n v="0.6603"/>
    <n v="0.6603"/>
    <n v="0"/>
    <n v="0"/>
    <n v="31"/>
    <n v="31"/>
    <n v="0"/>
    <n v="0"/>
    <n v="100"/>
    <s v="Consolidation"/>
    <s v="CO2e and Base Measure"/>
    <n v="100"/>
    <n v="100"/>
    <n v="0.66"/>
    <m/>
    <m/>
    <m/>
    <m/>
    <m/>
    <n v="0.85840000000000005"/>
    <m/>
    <n v="0.85840000000000005"/>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2-01T00:00:00"/>
    <s v="FY21"/>
    <s v="t"/>
    <n v="0"/>
    <n v="0"/>
    <n v="0.59640000000000004"/>
    <n v="0.59640000000000004"/>
    <n v="0"/>
    <n v="0"/>
    <n v="28"/>
    <n v="28"/>
    <n v="0"/>
    <n v="0"/>
    <n v="100"/>
    <s v="Consolidation"/>
    <s v="CO2e and Base Measure"/>
    <n v="100"/>
    <n v="100"/>
    <n v="0.6"/>
    <m/>
    <m/>
    <m/>
    <m/>
    <m/>
    <n v="0.77529999999999999"/>
    <m/>
    <n v="0.77529999999999999"/>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3-01T00:00:00"/>
    <s v="FY21"/>
    <s v="t"/>
    <n v="0"/>
    <n v="0"/>
    <n v="0.6603"/>
    <n v="0.6603"/>
    <n v="0"/>
    <n v="0"/>
    <n v="31"/>
    <n v="31"/>
    <n v="0"/>
    <n v="0"/>
    <n v="100"/>
    <s v="Consolidation"/>
    <s v="CO2e and Base Measure"/>
    <n v="100"/>
    <n v="100"/>
    <n v="0.66"/>
    <m/>
    <m/>
    <m/>
    <m/>
    <m/>
    <n v="0.85840000000000005"/>
    <m/>
    <n v="0.85840000000000005"/>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4-01T00:00:00"/>
    <s v="FY21"/>
    <s v="t"/>
    <n v="0"/>
    <n v="0"/>
    <n v="0.63900000000000001"/>
    <n v="0.63900000000000001"/>
    <n v="0"/>
    <n v="0"/>
    <n v="30"/>
    <n v="30"/>
    <n v="0"/>
    <n v="0"/>
    <n v="100"/>
    <s v="Consolidation"/>
    <s v="CO2e and Base Measure"/>
    <n v="100"/>
    <n v="100"/>
    <n v="0.64"/>
    <m/>
    <m/>
    <m/>
    <m/>
    <m/>
    <n v="0.83069999999999999"/>
    <m/>
    <n v="0.83069999999999999"/>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5-01T00:00:00"/>
    <s v="FY21"/>
    <s v="t"/>
    <n v="0"/>
    <n v="0"/>
    <n v="0.6603"/>
    <n v="0.6603"/>
    <n v="0"/>
    <n v="0"/>
    <n v="31"/>
    <n v="31"/>
    <n v="0"/>
    <n v="0"/>
    <n v="100"/>
    <s v="Consolidation"/>
    <s v="CO2e and Base Measure"/>
    <n v="100"/>
    <n v="100"/>
    <n v="0.66"/>
    <m/>
    <m/>
    <m/>
    <m/>
    <m/>
    <n v="0.85840000000000005"/>
    <m/>
    <n v="0.85840000000000005"/>
    <m/>
    <m/>
    <m/>
    <m/>
    <m/>
    <s v="AUD"/>
    <s v="13634148Waste - General [t] - Scope 3"/>
    <n v="13634148"/>
  </r>
  <r>
    <d v="2019-07-01T00:00:00"/>
    <d v="2021-06-30T00:00:00"/>
    <s v="Telstra"/>
    <s v="NETWORK"/>
    <s v="Network - InfraCo"/>
    <s v="VIC"/>
    <s v="Australia"/>
    <s v="Armadale"/>
    <s v="KOOYONG EXCHANGE"/>
    <n v="423030603000"/>
    <s v="Waste"/>
    <x v="1"/>
    <x v="4"/>
    <s v="Account"/>
    <s v="Remondis Asbestos"/>
    <m/>
    <s v="423030603000_WASBESTOS"/>
    <s v="ASBESTOS"/>
    <s v="Remondis"/>
    <m/>
    <m/>
    <d v="2020-11-01T00:00:00"/>
    <d v="2020-10-01T00:00:00"/>
    <s v="FY21"/>
    <s v="t"/>
    <n v="8.5"/>
    <n v="0"/>
    <n v="0"/>
    <n v="8.5"/>
    <n v="1"/>
    <n v="0"/>
    <n v="0"/>
    <n v="1"/>
    <n v="100"/>
    <n v="0"/>
    <n v="0"/>
    <s v="Consolidation"/>
    <s v="CO2e and Base Measure"/>
    <n v="100"/>
    <n v="100"/>
    <n v="8.5"/>
    <m/>
    <m/>
    <m/>
    <m/>
    <m/>
    <n v="10.199999999999999"/>
    <m/>
    <n v="10.199999999999999"/>
    <m/>
    <m/>
    <m/>
    <m/>
    <m/>
    <s v="AUD"/>
    <s v="13564946Waste - Construction and Demolition [t]"/>
    <n v="13564946"/>
  </r>
  <r>
    <d v="2019-07-01T00:00:00"/>
    <d v="2021-06-30T00:00:00"/>
    <s v="Telstra"/>
    <s v="NETWORK"/>
    <s v="Network - InfraCo"/>
    <s v="VIC"/>
    <s v="Australia"/>
    <s v="Armadale"/>
    <s v="KOOYONG EXCHANGE"/>
    <n v="423030603000"/>
    <s v="Waste"/>
    <x v="1"/>
    <x v="4"/>
    <s v="Account"/>
    <s v="Remondis Asbestos"/>
    <m/>
    <s v="423030603000_WASBESTOS"/>
    <s v="ASBESTOS"/>
    <s v="Remondis"/>
    <m/>
    <m/>
    <d v="2020-11-01T00:00:00"/>
    <d v="2020-11-01T00:00:00"/>
    <s v="FY21"/>
    <s v="t"/>
    <n v="0"/>
    <n v="0"/>
    <n v="5.5899999999999998E-2"/>
    <n v="5.5899999999999998E-2"/>
    <n v="0"/>
    <n v="0"/>
    <n v="1"/>
    <n v="1"/>
    <n v="0"/>
    <n v="0"/>
    <n v="100"/>
    <s v="Consolidation"/>
    <s v="CO2e and Base Measure"/>
    <n v="100"/>
    <n v="100"/>
    <n v="0.06"/>
    <m/>
    <m/>
    <m/>
    <m/>
    <m/>
    <n v="6.7100000000000007E-2"/>
    <m/>
    <n v="6.7100000000000007E-2"/>
    <m/>
    <m/>
    <m/>
    <m/>
    <m/>
    <s v="AUD"/>
    <s v="13564946Waste - Construction and Demolition [t]"/>
    <n v="13564946"/>
  </r>
  <r>
    <d v="2019-07-01T00:00:00"/>
    <d v="2021-06-30T00:00:00"/>
    <s v="Telstra"/>
    <s v="NETWORK"/>
    <s v="Network - InfraCo"/>
    <s v="VIC"/>
    <s v="Australia"/>
    <s v="Armadale"/>
    <s v="KOOYONG EXCHANGE"/>
    <n v="423030603000"/>
    <s v="Waste"/>
    <x v="1"/>
    <x v="2"/>
    <s v="Account"/>
    <s v="Remondis General Waste"/>
    <m/>
    <s v="423030603000_WGENERALW"/>
    <s v="GENERAL WASTE"/>
    <s v="Remondis"/>
    <m/>
    <m/>
    <d v="2020-10-01T00:00:00"/>
    <d v="2020-07-01T00:00:00"/>
    <s v="FY21"/>
    <s v="t"/>
    <n v="0.22500000000000001"/>
    <n v="0"/>
    <n v="0"/>
    <n v="0.22500000000000001"/>
    <n v="2"/>
    <n v="0"/>
    <n v="0"/>
    <n v="2"/>
    <n v="100"/>
    <n v="0"/>
    <n v="0"/>
    <s v="Consolidation"/>
    <s v="CO2e and Base Measure"/>
    <n v="100"/>
    <n v="100"/>
    <n v="0.23"/>
    <m/>
    <m/>
    <m/>
    <m/>
    <m/>
    <n v="0.29249999999999998"/>
    <m/>
    <n v="0.29249999999999998"/>
    <m/>
    <m/>
    <m/>
    <m/>
    <m/>
    <s v="AUD"/>
    <s v="13564948Waste - General [t] - Scope 3"/>
    <n v="13564948"/>
  </r>
  <r>
    <d v="2019-07-01T00:00:00"/>
    <d v="2021-06-30T00:00:00"/>
    <s v="Telstra"/>
    <s v="NETWORK"/>
    <s v="Network - InfraCo"/>
    <s v="VIC"/>
    <s v="Australia"/>
    <s v="Armadale"/>
    <s v="KOOYONG EXCHANGE"/>
    <n v="423030603000"/>
    <s v="Waste"/>
    <x v="1"/>
    <x v="2"/>
    <s v="Account"/>
    <s v="Remondis General Waste"/>
    <m/>
    <s v="423030603000_WGENERALW"/>
    <s v="GENERAL WASTE"/>
    <s v="Remondis"/>
    <m/>
    <m/>
    <d v="2020-10-01T00:00:00"/>
    <d v="2020-08-01T00:00:00"/>
    <s v="FY21"/>
    <s v="t"/>
    <n v="0.45"/>
    <n v="0"/>
    <n v="0"/>
    <n v="0.45"/>
    <n v="2"/>
    <n v="0"/>
    <n v="0"/>
    <n v="2"/>
    <n v="100"/>
    <n v="0"/>
    <n v="0"/>
    <s v="Consolidation"/>
    <s v="CO2e and Base Measure"/>
    <n v="100"/>
    <n v="100"/>
    <n v="0.45"/>
    <m/>
    <m/>
    <m/>
    <m/>
    <m/>
    <n v="0.58499999999999996"/>
    <m/>
    <n v="0.58499999999999996"/>
    <m/>
    <m/>
    <m/>
    <m/>
    <m/>
    <s v="AUD"/>
    <s v="13564948Waste - General [t] - Scope 3"/>
    <n v="13564948"/>
  </r>
  <r>
    <d v="2019-07-01T00:00:00"/>
    <d v="2021-06-30T00:00:00"/>
    <s v="Telstra"/>
    <s v="NETWORK"/>
    <s v="Network - InfraCo"/>
    <s v="VIC"/>
    <s v="Australia"/>
    <s v="Armadale"/>
    <s v="KOOYONG EXCHANGE"/>
    <n v="423030603000"/>
    <s v="Waste"/>
    <x v="1"/>
    <x v="2"/>
    <s v="Account"/>
    <s v="Remondis General Waste"/>
    <m/>
    <s v="423030603000_WGENERALW"/>
    <s v="GENERAL WASTE"/>
    <s v="Remondis"/>
    <m/>
    <m/>
    <d v="2020-10-01T00:00:00"/>
    <d v="2020-09-01T00:00:00"/>
    <s v="FY21"/>
    <s v="t"/>
    <n v="0.13500000000000001"/>
    <n v="0.19500000000000001"/>
    <n v="0"/>
    <n v="0.33"/>
    <n v="1"/>
    <n v="1"/>
    <n v="0"/>
    <n v="2"/>
    <n v="40.9"/>
    <n v="59.09"/>
    <n v="0"/>
    <s v="Consolidation"/>
    <s v="CO2e and Base Measure"/>
    <n v="100"/>
    <n v="100"/>
    <n v="0.33"/>
    <m/>
    <m/>
    <m/>
    <m/>
    <m/>
    <n v="0.42899999999999999"/>
    <m/>
    <n v="0.42899999999999999"/>
    <m/>
    <m/>
    <m/>
    <m/>
    <m/>
    <s v="AUD"/>
    <s v="13564948Waste - General [t] - Scope 3"/>
    <n v="13564948"/>
  </r>
  <r>
    <d v="2019-07-01T00:00:00"/>
    <d v="2021-06-30T00:00:00"/>
    <s v="Telstra"/>
    <s v="NETWORK"/>
    <s v="Network - InfraCo"/>
    <s v="VIC"/>
    <s v="Australia"/>
    <s v="Armadale"/>
    <s v="KOOYONG EXCHANGE"/>
    <n v="423030603000"/>
    <s v="Waste"/>
    <x v="1"/>
    <x v="2"/>
    <s v="Account"/>
    <s v="Remondis General Waste"/>
    <m/>
    <s v="423030603000_WGENERALW"/>
    <s v="GENERAL WASTE"/>
    <s v="Remondis"/>
    <m/>
    <m/>
    <d v="2020-10-01T00:00:00"/>
    <d v="2020-10-01T00:00:00"/>
    <s v="FY21"/>
    <s v="t"/>
    <n v="0"/>
    <n v="0"/>
    <n v="1.0999999999999999E-2"/>
    <n v="1.0999999999999999E-2"/>
    <n v="0"/>
    <n v="0"/>
    <n v="1"/>
    <n v="1"/>
    <n v="0"/>
    <n v="0"/>
    <n v="100"/>
    <s v="Consolidation"/>
    <s v="CO2e and Base Measure"/>
    <n v="100"/>
    <n v="100"/>
    <n v="0.01"/>
    <m/>
    <m/>
    <m/>
    <m/>
    <m/>
    <n v="1.43E-2"/>
    <m/>
    <n v="1.43E-2"/>
    <m/>
    <m/>
    <m/>
    <m/>
    <m/>
    <s v="AUD"/>
    <s v="13564948Waste - General [t] - Scope 3"/>
    <n v="13564948"/>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64941Waste - General [t] - Scope 3"/>
    <n v="13564941"/>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0-12-01T00:00:00"/>
    <s v="FY21"/>
    <s v="t"/>
    <n v="0"/>
    <n v="0.20250000000000001"/>
    <n v="0"/>
    <n v="0.20250000000000001"/>
    <n v="0"/>
    <n v="3"/>
    <n v="0"/>
    <n v="3"/>
    <n v="0"/>
    <n v="100"/>
    <n v="0"/>
    <s v="Consolidation"/>
    <s v="CO2e and Base Measure"/>
    <n v="100"/>
    <n v="100"/>
    <n v="0.2"/>
    <m/>
    <m/>
    <m/>
    <m/>
    <m/>
    <n v="0.26329999999999998"/>
    <m/>
    <n v="0.26329999999999998"/>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4-01T00:00:00"/>
    <s v="FY21"/>
    <s v="t"/>
    <n v="0"/>
    <n v="0"/>
    <n v="0.11700000000000001"/>
    <n v="0.11700000000000001"/>
    <n v="0"/>
    <n v="0"/>
    <n v="30"/>
    <n v="30"/>
    <n v="0"/>
    <n v="0"/>
    <n v="100"/>
    <s v="Consolidation"/>
    <s v="CO2e and Base Measure"/>
    <n v="100"/>
    <n v="100"/>
    <n v="0.12"/>
    <m/>
    <m/>
    <m/>
    <m/>
    <m/>
    <n v="0.15210000000000001"/>
    <m/>
    <n v="0.15210000000000001"/>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5-01T00:00:00"/>
    <s v="FY21"/>
    <s v="t"/>
    <n v="0"/>
    <n v="0"/>
    <n v="0.12089999999999999"/>
    <n v="0.12089999999999999"/>
    <n v="0"/>
    <n v="0"/>
    <n v="31"/>
    <n v="31"/>
    <n v="0"/>
    <n v="0"/>
    <n v="100"/>
    <s v="Consolidation"/>
    <s v="CO2e and Base Measure"/>
    <n v="100"/>
    <n v="100"/>
    <n v="0.12"/>
    <m/>
    <m/>
    <m/>
    <m/>
    <m/>
    <n v="0.15720000000000001"/>
    <m/>
    <n v="0.15720000000000001"/>
    <m/>
    <m/>
    <m/>
    <m/>
    <m/>
    <s v="AUD"/>
    <s v="13634149Waste - General [t] - Scope 3"/>
    <n v="13634149"/>
  </r>
  <r>
    <d v="2019-07-01T00:00:00"/>
    <d v="2021-06-30T00:00:00"/>
    <s v="Telstra"/>
    <s v="NETWORK"/>
    <s v="Network - InfraCo"/>
    <s v="VIC"/>
    <s v="Australia"/>
    <s v="Korumburra"/>
    <s v="KORUMBURRA EXCHANGE"/>
    <n v="423030601800"/>
    <s v="Recycled Waste"/>
    <x v="0"/>
    <x v="1"/>
    <s v="Account"/>
    <s v="Remondis Electrical Comp. (E-Waste)"/>
    <m/>
    <s v="423030601800_RELECTRIC"/>
    <s v="ELECTRICAL COMP. (E-WASTE)"/>
    <s v="Remondis"/>
    <m/>
    <d v="2021-01-25T00:00:00"/>
    <d v="2021-01-25T00:00:00"/>
    <d v="2021-01-01T00:00:00"/>
    <s v="FY21"/>
    <s v="t"/>
    <n v="0"/>
    <n v="4.5600000000000002E-2"/>
    <n v="0"/>
    <n v="4.5600000000000002E-2"/>
    <n v="0"/>
    <n v="1"/>
    <n v="0"/>
    <n v="1"/>
    <n v="0"/>
    <n v="100"/>
    <n v="0"/>
    <s v="Consolidation"/>
    <s v="CO2e and Base Measure"/>
    <n v="100"/>
    <n v="100"/>
    <n v="0.05"/>
    <m/>
    <m/>
    <m/>
    <m/>
    <m/>
    <m/>
    <m/>
    <m/>
    <m/>
    <m/>
    <m/>
    <m/>
    <m/>
    <s v="AUD"/>
    <s v="13634604Waste Recycled - E-waste [t]"/>
    <n v="13634604"/>
  </r>
  <r>
    <d v="2019-07-01T00:00:00"/>
    <d v="2021-06-30T00:00:00"/>
    <s v="Telstra"/>
    <s v="NETWORK"/>
    <s v="Network - Telstra"/>
    <s v="NSW"/>
    <s v="Australia"/>
    <s v="City of Sydney"/>
    <s v="KURRAJONG RD PRESTONS"/>
    <n v="423034107900"/>
    <s v="Recycled Waste"/>
    <x v="0"/>
    <x v="0"/>
    <s v="Account"/>
    <s v="CLEANAWAY Cardboard"/>
    <m/>
    <s v="34107900_Diversion_Cardboard"/>
    <m/>
    <s v="Cleanaway"/>
    <m/>
    <d v="2021-03-30T00:00:00"/>
    <m/>
    <d v="2021-03-01T00:00:00"/>
    <s v="FY21"/>
    <s v="t"/>
    <n v="8.82"/>
    <n v="0"/>
    <n v="0"/>
    <n v="8.82"/>
    <n v="1"/>
    <n v="0"/>
    <n v="0"/>
    <n v="1"/>
    <n v="100"/>
    <n v="0"/>
    <n v="0"/>
    <s v="Consolidation"/>
    <s v="CO2e and Base Measure"/>
    <n v="100"/>
    <n v="100"/>
    <n v="8.82"/>
    <m/>
    <m/>
    <m/>
    <m/>
    <m/>
    <m/>
    <m/>
    <m/>
    <m/>
    <m/>
    <m/>
    <m/>
    <m/>
    <s v="AUD"/>
    <s v="13641257Waste Recycled - Paper and Cardboard [t]"/>
    <n v="13641257"/>
  </r>
  <r>
    <d v="2019-07-01T00:00:00"/>
    <d v="2021-06-30T00:00:00"/>
    <s v="Telstra"/>
    <s v="NETWORK"/>
    <s v="Network - Telstra"/>
    <s v="NSW"/>
    <s v="Australia"/>
    <s v="City of Sydney"/>
    <s v="KURRAJONG RD PRESTONS"/>
    <n v="423034107900"/>
    <s v="Recycled Waste"/>
    <x v="0"/>
    <x v="0"/>
    <s v="Account"/>
    <s v="CLEANAWAY Cardboard"/>
    <m/>
    <s v="34107900_Diversion_Cardboard"/>
    <m/>
    <s v="Cleanaway"/>
    <m/>
    <d v="2021-03-30T00:00:00"/>
    <m/>
    <d v="2021-04-01T00:00:00"/>
    <s v="FY21"/>
    <s v="t"/>
    <n v="0"/>
    <n v="0"/>
    <n v="8.82"/>
    <n v="8.82"/>
    <n v="0"/>
    <n v="0"/>
    <n v="30"/>
    <n v="30"/>
    <n v="0"/>
    <n v="0"/>
    <n v="100"/>
    <s v="Consolidation"/>
    <s v="CO2e and Base Measure"/>
    <n v="100"/>
    <n v="100"/>
    <n v="8.82"/>
    <m/>
    <m/>
    <m/>
    <m/>
    <m/>
    <m/>
    <m/>
    <m/>
    <m/>
    <m/>
    <m/>
    <m/>
    <m/>
    <s v="AUD"/>
    <s v="13641257Waste Recycled - Paper and Cardboard [t]"/>
    <n v="13641257"/>
  </r>
  <r>
    <d v="2019-07-01T00:00:00"/>
    <d v="2021-06-30T00:00:00"/>
    <s v="Telstra"/>
    <s v="NETWORK"/>
    <s v="Network - Telstra"/>
    <s v="NSW"/>
    <s v="Australia"/>
    <s v="City of Sydney"/>
    <s v="KURRAJONG RD PRESTONS"/>
    <n v="423034107900"/>
    <s v="Recycled Waste"/>
    <x v="0"/>
    <x v="0"/>
    <s v="Account"/>
    <s v="CLEANAWAY Cardboard"/>
    <m/>
    <s v="34107900_Diversion_Cardboard"/>
    <m/>
    <s v="Cleanaway"/>
    <m/>
    <d v="2021-03-30T00:00:00"/>
    <m/>
    <d v="2021-05-01T00:00:00"/>
    <s v="FY21"/>
    <s v="t"/>
    <n v="0"/>
    <n v="0"/>
    <n v="9.1140000000000008"/>
    <n v="9.1140000000000008"/>
    <n v="0"/>
    <n v="0"/>
    <n v="31"/>
    <n v="31"/>
    <n v="0"/>
    <n v="0"/>
    <n v="100"/>
    <s v="Consolidation"/>
    <s v="CO2e and Base Measure"/>
    <n v="100"/>
    <n v="100"/>
    <n v="9.11"/>
    <m/>
    <m/>
    <m/>
    <m/>
    <m/>
    <m/>
    <m/>
    <m/>
    <m/>
    <m/>
    <m/>
    <m/>
    <m/>
    <s v="AUD"/>
    <s v="13641257Waste Recycled - Paper and Cardboard [t]"/>
    <n v="13641257"/>
  </r>
  <r>
    <d v="2019-07-01T00:00:00"/>
    <d v="2021-06-30T00:00:00"/>
    <s v="Telstra"/>
    <s v="NETWORK"/>
    <s v="Network - InfraCo"/>
    <s v="NSW"/>
    <s v="Australia"/>
    <s v="Kurri Kurri"/>
    <s v="KURRI KURRI EXCHANGE"/>
    <n v="423030666200"/>
    <s v="Waste"/>
    <x v="1"/>
    <x v="2"/>
    <s v="Account"/>
    <s v="Remondis General Waste"/>
    <m/>
    <s v="423030666200_WGENERALW"/>
    <s v="GENERAL WASTE"/>
    <s v="Remondis"/>
    <m/>
    <d v="2020-07-31T00:00:00"/>
    <d v="2020-10-01T00:00:00"/>
    <d v="2020-07-01T00:00:00"/>
    <s v="FY21"/>
    <s v="t"/>
    <n v="0.27"/>
    <n v="0"/>
    <n v="0"/>
    <n v="0.27"/>
    <n v="1"/>
    <n v="0"/>
    <n v="0"/>
    <n v="1"/>
    <n v="100"/>
    <n v="0"/>
    <n v="0"/>
    <s v="Consolidation"/>
    <s v="CO2e and Base Measure"/>
    <n v="100"/>
    <n v="100"/>
    <n v="0.27"/>
    <m/>
    <m/>
    <m/>
    <m/>
    <m/>
    <n v="0.35099999999999998"/>
    <m/>
    <n v="0.35099999999999998"/>
    <m/>
    <m/>
    <m/>
    <m/>
    <m/>
    <s v="AUD"/>
    <s v="13614410Waste - General [t] - Scope 3"/>
    <n v="13614410"/>
  </r>
  <r>
    <d v="2019-07-01T00:00:00"/>
    <d v="2021-06-30T00:00:00"/>
    <s v="Telstra"/>
    <s v="NETWORK"/>
    <s v="Network - InfraCo"/>
    <s v="NSW"/>
    <s v="Australia"/>
    <s v="Kurri Kurri"/>
    <s v="KURRI KURRI EXCHANGE"/>
    <n v="423030666200"/>
    <s v="Waste"/>
    <x v="1"/>
    <x v="2"/>
    <s v="Account"/>
    <s v="Remondis General Waste"/>
    <m/>
    <s v="423030666200_WGENERALW"/>
    <s v="GENERAL WASTE"/>
    <s v="Remondis"/>
    <m/>
    <d v="2020-07-31T00:00:00"/>
    <d v="2020-10-01T00:00:00"/>
    <d v="2020-09-01T00:00:00"/>
    <s v="FY21"/>
    <s v="t"/>
    <n v="0"/>
    <n v="0.19500000000000001"/>
    <n v="0"/>
    <n v="0.19500000000000001"/>
    <n v="0"/>
    <n v="1"/>
    <n v="0"/>
    <n v="1"/>
    <n v="0"/>
    <n v="100"/>
    <n v="0"/>
    <s v="Consolidation"/>
    <s v="CO2e and Base Measure"/>
    <n v="100"/>
    <n v="100"/>
    <n v="0.2"/>
    <m/>
    <m/>
    <m/>
    <m/>
    <m/>
    <n v="0.2535"/>
    <m/>
    <n v="0.2535"/>
    <m/>
    <m/>
    <m/>
    <m/>
    <m/>
    <s v="AUD"/>
    <s v="13614410Waste - General [t] - Scope 3"/>
    <n v="13614410"/>
  </r>
  <r>
    <d v="2019-07-01T00:00:00"/>
    <d v="2021-06-30T00:00:00"/>
    <s v="Telstra"/>
    <s v="NETWORK"/>
    <s v="Network - InfraCo"/>
    <s v="NSW"/>
    <s v="Australia"/>
    <s v="Kurri Kurri"/>
    <s v="KURRI KURRI EXCHANGE"/>
    <n v="423030666200"/>
    <s v="Waste"/>
    <x v="1"/>
    <x v="2"/>
    <s v="Account"/>
    <s v="Remondis General Waste"/>
    <m/>
    <s v="423030666200_WGENERALW"/>
    <s v="GENERAL WASTE"/>
    <s v="Remondis"/>
    <m/>
    <d v="2020-07-31T00:00:00"/>
    <d v="2020-10-01T00:00:00"/>
    <d v="2020-10-01T00:00:00"/>
    <s v="FY21"/>
    <s v="t"/>
    <n v="0"/>
    <n v="0"/>
    <n v="5.1000000000000004E-3"/>
    <n v="5.1000000000000004E-3"/>
    <n v="0"/>
    <n v="0"/>
    <n v="1"/>
    <n v="1"/>
    <n v="0"/>
    <n v="0"/>
    <n v="100"/>
    <s v="Consolidation"/>
    <s v="CO2e and Base Measure"/>
    <n v="100"/>
    <n v="100"/>
    <n v="0.01"/>
    <m/>
    <m/>
    <m/>
    <m/>
    <m/>
    <n v="6.6E-3"/>
    <m/>
    <n v="6.6E-3"/>
    <m/>
    <m/>
    <m/>
    <m/>
    <m/>
    <s v="AUD"/>
    <s v="13614410Waste - General [t] - Scope 3"/>
    <n v="13614410"/>
  </r>
  <r>
    <d v="2019-07-01T00:00:00"/>
    <d v="2021-06-30T00:00:00"/>
    <s v="Telstra"/>
    <s v="NETWORK"/>
    <s v="Network - InfraCo"/>
    <s v="VIC"/>
    <s v="Australia"/>
    <s v="Kyabram"/>
    <s v="KYABRAM EXCHANGE"/>
    <n v="423030601300"/>
    <s v="Waste"/>
    <x v="1"/>
    <x v="4"/>
    <s v="Account"/>
    <s v="Remondis Asbestos"/>
    <m/>
    <s v="4230306013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937Waste - Construction and Demolition [t]"/>
    <n v="13564937"/>
  </r>
  <r>
    <d v="2019-07-01T00:00:00"/>
    <d v="2021-06-30T00:00:00"/>
    <s v="Telstra"/>
    <s v="NETWORK"/>
    <s v="Network - InfraCo"/>
    <s v="VIC"/>
    <s v="Australia"/>
    <s v="Kyabram"/>
    <s v="KYABRAM EXCHANGE"/>
    <n v="423030601300"/>
    <s v="Waste"/>
    <x v="1"/>
    <x v="4"/>
    <s v="Account"/>
    <s v="Remondis Asbestos"/>
    <m/>
    <s v="4230306013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937Waste - Construction and Demolition [t]"/>
    <n v="13564937"/>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12-01T00:00:00"/>
    <s v="FY21"/>
    <s v="t"/>
    <n v="0"/>
    <n v="0"/>
    <n v="4.7999999999999996E-3"/>
    <n v="4.7999999999999996E-3"/>
    <n v="0"/>
    <n v="0"/>
    <n v="1"/>
    <n v="1"/>
    <n v="0"/>
    <n v="0"/>
    <n v="100"/>
    <s v="Consolidation"/>
    <s v="CO2e and Base Measure"/>
    <n v="100"/>
    <n v="100"/>
    <n v="0"/>
    <m/>
    <m/>
    <m/>
    <m/>
    <m/>
    <n v="6.1999999999999998E-3"/>
    <m/>
    <n v="6.1999999999999998E-3"/>
    <m/>
    <m/>
    <m/>
    <m/>
    <m/>
    <s v="AUD"/>
    <s v="13564938Waste - General [t] - Scope 3"/>
    <n v="13564938"/>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0-12-01T00:00:00"/>
    <s v="FY21"/>
    <s v="t"/>
    <n v="3.5000000000000003E-2"/>
    <n v="0"/>
    <n v="0"/>
    <n v="3.5000000000000003E-2"/>
    <n v="1"/>
    <n v="0"/>
    <n v="0"/>
    <n v="1"/>
    <n v="100"/>
    <n v="0"/>
    <n v="0"/>
    <s v="Consolidation"/>
    <s v="CO2e and Base Measure"/>
    <n v="100"/>
    <n v="100"/>
    <n v="0.04"/>
    <m/>
    <m/>
    <m/>
    <m/>
    <m/>
    <n v="4.5499999999999999E-2"/>
    <m/>
    <n v="4.5499999999999999E-2"/>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1-01T00:00:00"/>
    <s v="FY21"/>
    <s v="t"/>
    <n v="0.08"/>
    <n v="0"/>
    <n v="0"/>
    <n v="0.08"/>
    <n v="1"/>
    <n v="0"/>
    <n v="0"/>
    <n v="1"/>
    <n v="100"/>
    <n v="0"/>
    <n v="0"/>
    <s v="Consolidation"/>
    <s v="CO2e and Base Measure"/>
    <n v="100"/>
    <n v="100"/>
    <n v="0.08"/>
    <m/>
    <m/>
    <m/>
    <m/>
    <m/>
    <n v="0.104"/>
    <m/>
    <n v="0.104"/>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2-01T00:00:00"/>
    <s v="FY21"/>
    <s v="t"/>
    <n v="0"/>
    <n v="0"/>
    <n v="5.3199999999999997E-2"/>
    <n v="5.3199999999999997E-2"/>
    <n v="0"/>
    <n v="0"/>
    <n v="28"/>
    <n v="28"/>
    <n v="0"/>
    <n v="0"/>
    <n v="100"/>
    <s v="Consolidation"/>
    <s v="CO2e and Base Measure"/>
    <n v="100"/>
    <n v="100"/>
    <n v="0.05"/>
    <m/>
    <m/>
    <m/>
    <m/>
    <m/>
    <n v="6.9199999999999998E-2"/>
    <m/>
    <n v="6.9199999999999998E-2"/>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3-01T00:00:00"/>
    <s v="FY21"/>
    <s v="t"/>
    <n v="0"/>
    <n v="0"/>
    <n v="5.8900000000000001E-2"/>
    <n v="5.8900000000000001E-2"/>
    <n v="0"/>
    <n v="0"/>
    <n v="31"/>
    <n v="31"/>
    <n v="0"/>
    <n v="0"/>
    <n v="100"/>
    <s v="Consolidation"/>
    <s v="CO2e and Base Measure"/>
    <n v="100"/>
    <n v="100"/>
    <n v="0.06"/>
    <m/>
    <m/>
    <m/>
    <m/>
    <m/>
    <n v="7.6600000000000001E-2"/>
    <m/>
    <n v="7.6600000000000001E-2"/>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4-01T00:00:00"/>
    <s v="FY21"/>
    <s v="t"/>
    <n v="0"/>
    <n v="0"/>
    <n v="5.7000000000000002E-2"/>
    <n v="5.7000000000000002E-2"/>
    <n v="0"/>
    <n v="0"/>
    <n v="30"/>
    <n v="30"/>
    <n v="0"/>
    <n v="0"/>
    <n v="100"/>
    <s v="Consolidation"/>
    <s v="CO2e and Base Measure"/>
    <n v="100"/>
    <n v="100"/>
    <n v="0.06"/>
    <m/>
    <m/>
    <m/>
    <m/>
    <m/>
    <n v="7.4099999999999999E-2"/>
    <m/>
    <n v="7.4099999999999999E-2"/>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5-01T00:00:00"/>
    <s v="FY21"/>
    <s v="t"/>
    <n v="0"/>
    <n v="0"/>
    <n v="5.8900000000000001E-2"/>
    <n v="5.8900000000000001E-2"/>
    <n v="0"/>
    <n v="0"/>
    <n v="31"/>
    <n v="31"/>
    <n v="0"/>
    <n v="0"/>
    <n v="100"/>
    <s v="Consolidation"/>
    <s v="CO2e and Base Measure"/>
    <n v="100"/>
    <n v="100"/>
    <n v="0.06"/>
    <m/>
    <m/>
    <m/>
    <m/>
    <m/>
    <n v="7.6600000000000001E-2"/>
    <m/>
    <n v="7.6600000000000001E-2"/>
    <m/>
    <m/>
    <m/>
    <m/>
    <m/>
    <s v="AUD"/>
    <s v="13634150Waste - General [t] - Scope 3"/>
    <n v="13634150"/>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143Waste - General [t] - Scope 3"/>
    <n v="13565143"/>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0-12-01T00:00:00"/>
    <s v="FY21"/>
    <s v="t"/>
    <n v="0.22800000000000001"/>
    <n v="0"/>
    <n v="0"/>
    <n v="0.22800000000000001"/>
    <n v="2"/>
    <n v="0"/>
    <n v="0"/>
    <n v="2"/>
    <n v="100"/>
    <n v="0"/>
    <n v="0"/>
    <s v="Consolidation"/>
    <s v="CO2e and Base Measure"/>
    <n v="100"/>
    <n v="100"/>
    <n v="0.23"/>
    <m/>
    <m/>
    <m/>
    <m/>
    <m/>
    <n v="0.2964"/>
    <m/>
    <n v="0.2964"/>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1-01T00:00:00"/>
    <s v="FY21"/>
    <s v="t"/>
    <n v="5.3999999999999999E-2"/>
    <n v="0"/>
    <n v="0"/>
    <n v="5.3999999999999999E-2"/>
    <n v="2"/>
    <n v="0"/>
    <n v="0"/>
    <n v="2"/>
    <n v="100"/>
    <n v="0"/>
    <n v="0"/>
    <s v="Consolidation"/>
    <s v="CO2e and Base Measure"/>
    <n v="100"/>
    <n v="100"/>
    <n v="0.05"/>
    <m/>
    <m/>
    <m/>
    <m/>
    <m/>
    <n v="7.0199999999999999E-2"/>
    <m/>
    <n v="7.0199999999999999E-2"/>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2-01T00:00:00"/>
    <s v="FY21"/>
    <s v="t"/>
    <n v="0.16600000000000001"/>
    <n v="0"/>
    <n v="0"/>
    <n v="0.16600000000000001"/>
    <n v="2"/>
    <n v="0"/>
    <n v="0"/>
    <n v="2"/>
    <n v="100"/>
    <n v="0"/>
    <n v="0"/>
    <s v="Consolidation"/>
    <s v="CO2e and Base Measure"/>
    <n v="100"/>
    <n v="100"/>
    <n v="0.17"/>
    <m/>
    <m/>
    <m/>
    <m/>
    <m/>
    <n v="0.21579999999999999"/>
    <m/>
    <n v="0.21579999999999999"/>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3-01T00:00:00"/>
    <s v="FY21"/>
    <s v="t"/>
    <n v="2.3E-2"/>
    <n v="0"/>
    <n v="0"/>
    <n v="2.3E-2"/>
    <n v="1"/>
    <n v="0"/>
    <n v="0"/>
    <n v="1"/>
    <n v="100"/>
    <n v="0"/>
    <n v="0"/>
    <s v="Consolidation"/>
    <s v="CO2e and Base Measure"/>
    <n v="100"/>
    <n v="100"/>
    <n v="0.02"/>
    <m/>
    <m/>
    <m/>
    <m/>
    <m/>
    <n v="2.9899999999999999E-2"/>
    <m/>
    <n v="2.9899999999999999E-2"/>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4-01T00:00:00"/>
    <s v="FY21"/>
    <s v="t"/>
    <n v="0"/>
    <n v="0"/>
    <n v="0.11700000000000001"/>
    <n v="0.11700000000000001"/>
    <n v="0"/>
    <n v="0"/>
    <n v="30"/>
    <n v="30"/>
    <n v="0"/>
    <n v="0"/>
    <n v="100"/>
    <s v="Consolidation"/>
    <s v="CO2e and Base Measure"/>
    <n v="100"/>
    <n v="100"/>
    <n v="0.12"/>
    <m/>
    <m/>
    <m/>
    <m/>
    <m/>
    <n v="0.15210000000000001"/>
    <m/>
    <n v="0.15210000000000001"/>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5-01T00:00:00"/>
    <s v="FY21"/>
    <s v="t"/>
    <n v="0"/>
    <n v="0"/>
    <n v="0.12089999999999999"/>
    <n v="0.12089999999999999"/>
    <n v="0"/>
    <n v="0"/>
    <n v="31"/>
    <n v="31"/>
    <n v="0"/>
    <n v="0"/>
    <n v="100"/>
    <s v="Consolidation"/>
    <s v="CO2e and Base Measure"/>
    <n v="100"/>
    <n v="100"/>
    <n v="0.12"/>
    <m/>
    <m/>
    <m/>
    <m/>
    <m/>
    <n v="0.15720000000000001"/>
    <m/>
    <n v="0.15720000000000001"/>
    <m/>
    <m/>
    <m/>
    <m/>
    <m/>
    <s v="AUD"/>
    <s v="13634151Waste - General [t] - Scope 3"/>
    <n v="13634151"/>
  </r>
  <r>
    <d v="2019-07-01T00:00:00"/>
    <d v="2021-06-30T00:00:00"/>
    <s v="Telstra"/>
    <s v="NETWORK"/>
    <s v="Network - InfraCo"/>
    <s v="NSW"/>
    <s v="Australia"/>
    <s v="Kyogle"/>
    <s v="KYOGLE EXCHANGE"/>
    <n v="423030363700"/>
    <s v="Waste"/>
    <x v="1"/>
    <x v="2"/>
    <s v="Account"/>
    <s v="Remondis General Waste"/>
    <m/>
    <s v="423030363700_WGENERALW"/>
    <s v="GENERAL WASTE"/>
    <s v="Remondis"/>
    <m/>
    <m/>
    <d v="2020-11-01T00:00:00"/>
    <d v="2020-10-01T00:00:00"/>
    <s v="FY21"/>
    <s v="t"/>
    <n v="0"/>
    <n v="9.7500000000000003E-2"/>
    <n v="0"/>
    <n v="9.7500000000000003E-2"/>
    <n v="0"/>
    <n v="1"/>
    <n v="0"/>
    <n v="1"/>
    <n v="0"/>
    <n v="100"/>
    <n v="0"/>
    <s v="Consolidation"/>
    <s v="CO2e and Base Measure"/>
    <n v="100"/>
    <n v="100"/>
    <n v="0.1"/>
    <m/>
    <m/>
    <m/>
    <m/>
    <m/>
    <n v="0.1268"/>
    <m/>
    <n v="0.1268"/>
    <m/>
    <m/>
    <m/>
    <m/>
    <m/>
    <s v="AUD"/>
    <s v="13564731Waste - General [t] - Scope 3"/>
    <n v="13564731"/>
  </r>
  <r>
    <d v="2019-07-01T00:00:00"/>
    <d v="2021-06-30T00:00:00"/>
    <s v="Telstra"/>
    <s v="NETWORK"/>
    <s v="Network - InfraCo"/>
    <s v="NSW"/>
    <s v="Australia"/>
    <s v="Kyogle"/>
    <s v="KYOGLE EXCHANGE"/>
    <n v="423030363700"/>
    <s v="Waste"/>
    <x v="1"/>
    <x v="2"/>
    <s v="Account"/>
    <s v="Remondis General Waste"/>
    <m/>
    <s v="423030363700_WGENERALW"/>
    <s v="GENERAL WASTE"/>
    <s v="Remondis"/>
    <m/>
    <m/>
    <d v="2020-11-01T00:00:00"/>
    <d v="2020-11-01T00:00:00"/>
    <s v="FY21"/>
    <s v="t"/>
    <n v="0"/>
    <n v="0"/>
    <n v="3.3E-3"/>
    <n v="3.3E-3"/>
    <n v="0"/>
    <n v="0"/>
    <n v="1"/>
    <n v="1"/>
    <n v="0"/>
    <n v="0"/>
    <n v="100"/>
    <s v="Consolidation"/>
    <s v="CO2e and Base Measure"/>
    <n v="100"/>
    <n v="100"/>
    <n v="0"/>
    <m/>
    <m/>
    <m/>
    <m/>
    <m/>
    <n v="4.3E-3"/>
    <m/>
    <n v="4.3E-3"/>
    <m/>
    <m/>
    <m/>
    <m/>
    <m/>
    <s v="AUD"/>
    <s v="13564731Waste - General [t] - Scope 3"/>
    <n v="13564731"/>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490Waste - General [t] - Scope 3"/>
    <n v="13634490"/>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90Waste - General [t] - Scope 3"/>
    <n v="13634490"/>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3-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90Waste - General [t] - Scope 3"/>
    <n v="13634490"/>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490Waste - General [t] - Scope 3"/>
    <n v="13634490"/>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90Waste - General [t] - Scope 3"/>
    <n v="13634490"/>
  </r>
  <r>
    <d v="2019-07-01T00:00:00"/>
    <d v="2021-06-30T00:00:00"/>
    <s v="Telstra"/>
    <s v="NETWORK"/>
    <s v="Network - InfraCo"/>
    <s v="NSW"/>
    <s v="Australia"/>
    <s v="Lakemba"/>
    <s v="LAKEMBA EXCHANGE"/>
    <n v="423030270800"/>
    <s v="Waste"/>
    <x v="1"/>
    <x v="2"/>
    <s v="Account"/>
    <s v="Remondis General Waste"/>
    <m/>
    <s v="423030270800_WGENERALW"/>
    <s v="GENERAL WASTE"/>
    <s v="Remondis"/>
    <m/>
    <d v="2020-09-16T00:00:00"/>
    <d v="2020-10-01T00:00:00"/>
    <d v="2020-09-01T00:00:00"/>
    <s v="FY21"/>
    <s v="t"/>
    <n v="2.46"/>
    <n v="1.19"/>
    <n v="0"/>
    <n v="3.65"/>
    <n v="2"/>
    <n v="2"/>
    <n v="0"/>
    <n v="4"/>
    <n v="67.39"/>
    <n v="32.6"/>
    <n v="0"/>
    <s v="Consolidation"/>
    <s v="CO2e and Base Measure"/>
    <n v="100"/>
    <n v="100"/>
    <n v="3.65"/>
    <m/>
    <m/>
    <m/>
    <m/>
    <m/>
    <n v="4.7450000000000001"/>
    <m/>
    <n v="4.7450000000000001"/>
    <m/>
    <m/>
    <m/>
    <m/>
    <m/>
    <s v="AUD"/>
    <s v="13629323Waste - General [t] - Scope 3"/>
    <n v="13629323"/>
  </r>
  <r>
    <d v="2019-07-01T00:00:00"/>
    <d v="2021-06-30T00:00:00"/>
    <s v="Telstra"/>
    <s v="NETWORK"/>
    <s v="Network - InfraCo"/>
    <s v="NSW"/>
    <s v="Australia"/>
    <s v="Lakemba"/>
    <s v="LAKEMBA EXCHANGE"/>
    <n v="423030270800"/>
    <s v="Waste"/>
    <x v="1"/>
    <x v="2"/>
    <s v="Account"/>
    <s v="Remondis General Waste"/>
    <m/>
    <s v="423030270800_WGENERALW"/>
    <s v="GENERAL WASTE"/>
    <s v="Remondis"/>
    <m/>
    <d v="2020-09-16T00:00:00"/>
    <d v="2020-10-01T00:00:00"/>
    <d v="2020-10-01T00:00:00"/>
    <s v="FY21"/>
    <s v="t"/>
    <n v="0"/>
    <n v="0"/>
    <n v="0.12590000000000001"/>
    <n v="0.12590000000000001"/>
    <n v="0"/>
    <n v="0"/>
    <n v="1"/>
    <n v="1"/>
    <n v="0"/>
    <n v="0"/>
    <n v="100"/>
    <s v="Consolidation"/>
    <s v="CO2e and Base Measure"/>
    <n v="100"/>
    <n v="100"/>
    <n v="0.13"/>
    <m/>
    <m/>
    <m/>
    <m/>
    <m/>
    <n v="0.16370000000000001"/>
    <m/>
    <n v="0.16370000000000001"/>
    <m/>
    <m/>
    <m/>
    <m/>
    <m/>
    <s v="AUD"/>
    <s v="13629323Waste - General [t] - Scope 3"/>
    <n v="13629323"/>
  </r>
  <r>
    <d v="2019-07-01T00:00:00"/>
    <d v="2021-06-30T00:00:00"/>
    <s v="Telstra"/>
    <s v="NETWORK"/>
    <s v="Network - InfraCo"/>
    <s v="NSW"/>
    <s v="Australia"/>
    <s v="Lakemba"/>
    <s v="LAKEMBA EXCHANGE"/>
    <n v="423030270800"/>
    <s v="Waste"/>
    <x v="1"/>
    <x v="4"/>
    <s v="Account"/>
    <s v="Remondis Asbestos"/>
    <m/>
    <s v="423030270800_WASBESTOS"/>
    <s v="ASBESTOS"/>
    <s v="Remondis"/>
    <m/>
    <d v="2020-10-20T00:00:00"/>
    <d v="2020-11-01T00:00:00"/>
    <d v="2020-10-01T00:00:00"/>
    <s v="FY21"/>
    <s v="t"/>
    <n v="1"/>
    <n v="0"/>
    <n v="0"/>
    <n v="1"/>
    <n v="1"/>
    <n v="0"/>
    <n v="0"/>
    <n v="1"/>
    <n v="100"/>
    <n v="0"/>
    <n v="0"/>
    <s v="Consolidation"/>
    <s v="CO2e and Base Measure"/>
    <n v="100"/>
    <n v="100"/>
    <n v="1"/>
    <m/>
    <m/>
    <m/>
    <m/>
    <m/>
    <n v="1.2"/>
    <m/>
    <n v="1.2"/>
    <m/>
    <m/>
    <m/>
    <m/>
    <m/>
    <s v="AUD"/>
    <s v="13631687Waste - Construction and Demolition [t]"/>
    <n v="13631687"/>
  </r>
  <r>
    <d v="2019-07-01T00:00:00"/>
    <d v="2021-06-30T00:00:00"/>
    <s v="Telstra"/>
    <s v="NETWORK"/>
    <s v="Network - InfraCo"/>
    <s v="NSW"/>
    <s v="Australia"/>
    <s v="Lakemba"/>
    <s v="LAKEMBA EXCHANGE"/>
    <n v="423030270800"/>
    <s v="Waste"/>
    <x v="1"/>
    <x v="4"/>
    <s v="Account"/>
    <s v="Remondis Asbestos"/>
    <m/>
    <s v="423030270800_WASBESTOS"/>
    <s v="ASBESTOS"/>
    <s v="Remondis"/>
    <m/>
    <d v="2020-10-20T00:00:00"/>
    <d v="2020-11-01T00:00:00"/>
    <d v="2020-11-01T00:00:00"/>
    <s v="FY21"/>
    <s v="t"/>
    <n v="0"/>
    <n v="0"/>
    <n v="3.3300000000000003E-2"/>
    <n v="3.3300000000000003E-2"/>
    <n v="0"/>
    <n v="0"/>
    <n v="1"/>
    <n v="1"/>
    <n v="0"/>
    <n v="0"/>
    <n v="100"/>
    <s v="Consolidation"/>
    <s v="CO2e and Base Measure"/>
    <n v="100"/>
    <n v="100"/>
    <n v="0.03"/>
    <m/>
    <m/>
    <m/>
    <m/>
    <m/>
    <n v="0.04"/>
    <m/>
    <n v="0.04"/>
    <m/>
    <m/>
    <m/>
    <m/>
    <m/>
    <s v="AUD"/>
    <s v="13631687Waste - Construction and Demolition [t]"/>
    <n v="13631687"/>
  </r>
  <r>
    <d v="2019-07-01T00:00:00"/>
    <d v="2021-06-30T00:00:00"/>
    <s v="Telstra"/>
    <s v="NETWORK"/>
    <s v="Network - InfraCo"/>
    <s v="VIC"/>
    <s v="Australia"/>
    <s v="Lakes Entrance"/>
    <s v="LAKES ENTRANCE EXCHANGE"/>
    <n v="423030789900"/>
    <s v="Waste"/>
    <x v="1"/>
    <x v="2"/>
    <s v="Account"/>
    <s v="Remondis General Waste"/>
    <m/>
    <s v="423030789900_WGENERALW"/>
    <s v="GENERAL WASTE"/>
    <s v="Remondis"/>
    <m/>
    <m/>
    <d v="2021-01-01T00:00:00"/>
    <d v="2020-12-01T00:00:00"/>
    <s v="FY21"/>
    <s v="t"/>
    <n v="0"/>
    <n v="0.12870000000000001"/>
    <n v="0"/>
    <n v="0.12870000000000001"/>
    <n v="0"/>
    <n v="1"/>
    <n v="0"/>
    <n v="1"/>
    <n v="0"/>
    <n v="100"/>
    <n v="0"/>
    <s v="Consolidation"/>
    <s v="CO2e and Base Measure"/>
    <n v="100"/>
    <n v="100"/>
    <n v="0.13"/>
    <m/>
    <m/>
    <m/>
    <m/>
    <m/>
    <n v="0.1673"/>
    <m/>
    <n v="0.1673"/>
    <m/>
    <m/>
    <m/>
    <m/>
    <m/>
    <s v="AUD"/>
    <s v="13565309Waste - General [t] - Scope 3"/>
    <n v="13565309"/>
  </r>
  <r>
    <d v="2019-07-01T00:00:00"/>
    <d v="2021-06-30T00:00:00"/>
    <s v="Telstra"/>
    <s v="NETWORK"/>
    <s v="Network - InfraCo"/>
    <s v="VIC"/>
    <s v="Australia"/>
    <s v="Lakes Entrance"/>
    <s v="LAKES ENTRANCE EXCHANGE"/>
    <n v="423030789900"/>
    <s v="Waste"/>
    <x v="1"/>
    <x v="2"/>
    <s v="Account"/>
    <s v="Remondis General Waste"/>
    <m/>
    <s v="423030789900_WGENERALW"/>
    <s v="GENERAL WASTE"/>
    <s v="Remondis"/>
    <m/>
    <m/>
    <d v="2021-01-01T00:00:00"/>
    <d v="2021-01-01T00:00:00"/>
    <s v="FY21"/>
    <s v="t"/>
    <n v="0"/>
    <n v="0"/>
    <n v="1.1999999999999999E-3"/>
    <n v="1.1999999999999999E-3"/>
    <n v="0"/>
    <n v="0"/>
    <n v="1"/>
    <n v="1"/>
    <n v="0"/>
    <n v="0"/>
    <n v="100"/>
    <s v="Consolidation"/>
    <s v="CO2e and Base Measure"/>
    <n v="100"/>
    <n v="100"/>
    <n v="0"/>
    <m/>
    <m/>
    <m/>
    <m/>
    <m/>
    <n v="1.6000000000000001E-3"/>
    <m/>
    <n v="1.6000000000000001E-3"/>
    <m/>
    <m/>
    <m/>
    <m/>
    <m/>
    <s v="AUD"/>
    <s v="13565309Waste - General [t] - Scope 3"/>
    <n v="13565309"/>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09-01T00:00:00"/>
    <s v="FY21"/>
    <s v="t"/>
    <n v="0"/>
    <n v="9.4500000000000001E-2"/>
    <n v="0"/>
    <n v="9.4500000000000001E-2"/>
    <n v="0"/>
    <n v="3"/>
    <n v="0"/>
    <n v="3"/>
    <n v="0"/>
    <n v="100"/>
    <n v="0"/>
    <s v="Consolidation"/>
    <s v="CO2e and Base Measure"/>
    <n v="100"/>
    <n v="100"/>
    <n v="0.09"/>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1-01-01T00:00:00"/>
    <s v="FY21"/>
    <s v="t"/>
    <n v="0"/>
    <n v="0"/>
    <n v="2.0999999999999999E-3"/>
    <n v="2.0999999999999999E-3"/>
    <n v="0"/>
    <n v="0"/>
    <n v="1"/>
    <n v="1"/>
    <n v="0"/>
    <n v="0"/>
    <n v="100"/>
    <s v="Consolidation"/>
    <s v="CO2e and Base Measure"/>
    <n v="100"/>
    <n v="100"/>
    <n v="0"/>
    <m/>
    <m/>
    <m/>
    <m/>
    <m/>
    <m/>
    <n v="0"/>
    <m/>
    <m/>
    <m/>
    <m/>
    <m/>
    <m/>
    <s v="AUD"/>
    <s v="13564178Waste Recycled - Cardboard [t]"/>
    <n v="13564178"/>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179Waste - General [t] - Scope 3"/>
    <n v="13564179"/>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0-12-01T00:00:00"/>
    <s v="FY21"/>
    <s v="t"/>
    <n v="0.308"/>
    <n v="0"/>
    <n v="0"/>
    <n v="0.308"/>
    <n v="1"/>
    <n v="0"/>
    <n v="0"/>
    <n v="1"/>
    <n v="100"/>
    <n v="0"/>
    <n v="0"/>
    <s v="Consolidation"/>
    <s v="CO2e and Base Measure"/>
    <n v="100"/>
    <n v="100"/>
    <n v="0.31"/>
    <m/>
    <m/>
    <m/>
    <m/>
    <m/>
    <n v="0.40039999999999998"/>
    <m/>
    <n v="0.40039999999999998"/>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3-01T00:00:00"/>
    <s v="FY21"/>
    <s v="t"/>
    <n v="0.24299999999999999"/>
    <n v="0"/>
    <n v="0"/>
    <n v="0.24299999999999999"/>
    <n v="1"/>
    <n v="0"/>
    <n v="0"/>
    <n v="1"/>
    <n v="100"/>
    <n v="0"/>
    <n v="0"/>
    <s v="Consolidation"/>
    <s v="CO2e and Base Measure"/>
    <n v="100"/>
    <n v="100"/>
    <n v="0.24"/>
    <m/>
    <m/>
    <m/>
    <m/>
    <m/>
    <n v="0.31590000000000001"/>
    <m/>
    <n v="0.31590000000000001"/>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4-01T00:00:00"/>
    <s v="FY21"/>
    <s v="t"/>
    <n v="0"/>
    <n v="0"/>
    <n v="0.17100000000000001"/>
    <n v="0.17100000000000001"/>
    <n v="0"/>
    <n v="0"/>
    <n v="30"/>
    <n v="30"/>
    <n v="0"/>
    <n v="0"/>
    <n v="100"/>
    <s v="Consolidation"/>
    <s v="CO2e and Base Measure"/>
    <n v="100"/>
    <n v="100"/>
    <n v="0.17"/>
    <m/>
    <m/>
    <m/>
    <m/>
    <m/>
    <n v="0.2223"/>
    <m/>
    <n v="0.2223"/>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5-01T00:00:00"/>
    <s v="FY21"/>
    <s v="t"/>
    <n v="0"/>
    <n v="0"/>
    <n v="0.1767"/>
    <n v="0.1767"/>
    <n v="0"/>
    <n v="0"/>
    <n v="31"/>
    <n v="31"/>
    <n v="0"/>
    <n v="0"/>
    <n v="100"/>
    <s v="Consolidation"/>
    <s v="CO2e and Base Measure"/>
    <n v="100"/>
    <n v="100"/>
    <n v="0.18"/>
    <m/>
    <m/>
    <m/>
    <m/>
    <m/>
    <n v="0.22969999999999999"/>
    <m/>
    <n v="0.22969999999999999"/>
    <m/>
    <m/>
    <m/>
    <m/>
    <m/>
    <s v="AUD"/>
    <s v="13634152Waste - General [t] - Scope 3"/>
    <n v="13634152"/>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0-12-01T00:00:00"/>
    <s v="FY21"/>
    <s v="t"/>
    <n v="0.28399999999999997"/>
    <n v="0"/>
    <n v="0"/>
    <n v="0.28399999999999997"/>
    <n v="1"/>
    <n v="0"/>
    <n v="0"/>
    <n v="1"/>
    <n v="100"/>
    <n v="0"/>
    <n v="0"/>
    <s v="Consolidation"/>
    <s v="CO2e and Base Measure"/>
    <n v="100"/>
    <n v="100"/>
    <n v="0.28000000000000003"/>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1-01T00:00:00"/>
    <s v="FY21"/>
    <s v="t"/>
    <n v="1.9E-2"/>
    <n v="0"/>
    <n v="0"/>
    <n v="1.9E-2"/>
    <n v="1"/>
    <n v="0"/>
    <n v="0"/>
    <n v="1"/>
    <n v="100"/>
    <n v="0"/>
    <n v="0"/>
    <s v="Consolidation"/>
    <s v="CO2e and Base Measure"/>
    <n v="100"/>
    <n v="100"/>
    <n v="0.02"/>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2-01T00:00:00"/>
    <s v="FY21"/>
    <s v="t"/>
    <n v="6.5000000000000002E-2"/>
    <n v="0"/>
    <n v="0"/>
    <n v="6.5000000000000002E-2"/>
    <n v="1"/>
    <n v="0"/>
    <n v="0"/>
    <n v="1"/>
    <n v="100"/>
    <n v="0"/>
    <n v="0"/>
    <s v="Consolidation"/>
    <s v="CO2e and Base Measure"/>
    <n v="100"/>
    <n v="100"/>
    <n v="7.0000000000000007E-2"/>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3-01T00:00:00"/>
    <s v="FY21"/>
    <s v="t"/>
    <n v="8.6999999999999994E-2"/>
    <n v="0"/>
    <n v="0"/>
    <n v="8.6999999999999994E-2"/>
    <n v="1"/>
    <n v="0"/>
    <n v="0"/>
    <n v="1"/>
    <n v="100"/>
    <n v="0"/>
    <n v="0"/>
    <s v="Consolidation"/>
    <s v="CO2e and Base Measure"/>
    <n v="100"/>
    <n v="100"/>
    <n v="0.09"/>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4-01T00:00:00"/>
    <s v="FY21"/>
    <s v="t"/>
    <n v="0"/>
    <n v="0"/>
    <n v="0.114"/>
    <n v="0.114"/>
    <n v="0"/>
    <n v="0"/>
    <n v="30"/>
    <n v="30"/>
    <n v="0"/>
    <n v="0"/>
    <n v="100"/>
    <s v="Consolidation"/>
    <s v="CO2e and Base Measure"/>
    <n v="100"/>
    <n v="100"/>
    <n v="0.11"/>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5-01T00:00:00"/>
    <s v="FY21"/>
    <s v="t"/>
    <n v="0"/>
    <n v="0"/>
    <n v="0.1178"/>
    <n v="0.1178"/>
    <n v="0"/>
    <n v="0"/>
    <n v="31"/>
    <n v="31"/>
    <n v="0"/>
    <n v="0"/>
    <n v="100"/>
    <s v="Consolidation"/>
    <s v="CO2e and Base Measure"/>
    <n v="100"/>
    <n v="100"/>
    <n v="0.12"/>
    <m/>
    <m/>
    <m/>
    <m/>
    <m/>
    <m/>
    <m/>
    <m/>
    <m/>
    <m/>
    <m/>
    <m/>
    <m/>
    <s v="AUD"/>
    <s v="13634153Waste Recycled - Paper and Cardboard [t]"/>
    <n v="13634153"/>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07-01T00:00:00"/>
    <s v="FY21"/>
    <s v="t"/>
    <n v="0"/>
    <n v="0.156"/>
    <n v="0"/>
    <n v="0.156"/>
    <n v="0"/>
    <n v="3"/>
    <n v="0"/>
    <n v="3"/>
    <n v="0"/>
    <n v="100"/>
    <n v="0"/>
    <s v="Consolidation"/>
    <s v="CO2e and Base Measure"/>
    <n v="100"/>
    <n v="100"/>
    <n v="0.16"/>
    <m/>
    <m/>
    <m/>
    <m/>
    <m/>
    <n v="0.20280000000000001"/>
    <m/>
    <n v="0.20280000000000001"/>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08-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09-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10-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11-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12-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1-01-01T00:00:00"/>
    <s v="FY21"/>
    <s v="t"/>
    <n v="0"/>
    <n v="0"/>
    <n v="3.7000000000000002E-3"/>
    <n v="3.7000000000000002E-3"/>
    <n v="0"/>
    <n v="0"/>
    <n v="1"/>
    <n v="1"/>
    <n v="0"/>
    <n v="0"/>
    <n v="100"/>
    <s v="Consolidation"/>
    <s v="CO2e and Base Measure"/>
    <n v="100"/>
    <n v="100"/>
    <n v="0"/>
    <m/>
    <m/>
    <m/>
    <m/>
    <m/>
    <n v="4.7999999999999996E-3"/>
    <m/>
    <n v="4.7999999999999996E-3"/>
    <m/>
    <m/>
    <m/>
    <m/>
    <m/>
    <s v="AUD"/>
    <s v="13564315Waste - General [t] - Scope 3"/>
    <n v="13564315"/>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0-12-01T00:00:00"/>
    <s v="FY21"/>
    <s v="t"/>
    <n v="6.5000000000000002E-2"/>
    <n v="0"/>
    <n v="0"/>
    <n v="6.5000000000000002E-2"/>
    <n v="2"/>
    <n v="0"/>
    <n v="0"/>
    <n v="2"/>
    <n v="100"/>
    <n v="0"/>
    <n v="0"/>
    <s v="Consolidation"/>
    <s v="CO2e and Base Measure"/>
    <n v="100"/>
    <n v="100"/>
    <n v="7.0000000000000007E-2"/>
    <m/>
    <m/>
    <m/>
    <m/>
    <m/>
    <n v="8.4500000000000006E-2"/>
    <m/>
    <n v="8.4500000000000006E-2"/>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1-01T00:00:00"/>
    <s v="FY21"/>
    <s v="t"/>
    <n v="2.1000000000000001E-2"/>
    <n v="4.9500000000000002E-2"/>
    <n v="0"/>
    <n v="7.0499999999999993E-2"/>
    <n v="1"/>
    <n v="1"/>
    <n v="0"/>
    <n v="2"/>
    <n v="29.78"/>
    <n v="70.209999999999994"/>
    <n v="0"/>
    <s v="Consolidation"/>
    <s v="CO2e and Base Measure"/>
    <n v="100"/>
    <n v="100"/>
    <n v="7.0000000000000007E-2"/>
    <m/>
    <m/>
    <m/>
    <m/>
    <m/>
    <n v="9.1700000000000004E-2"/>
    <m/>
    <n v="9.1700000000000004E-2"/>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2-01T00:00:00"/>
    <s v="FY21"/>
    <s v="t"/>
    <n v="0.08"/>
    <n v="4.9500000000000002E-2"/>
    <n v="0"/>
    <n v="0.1295"/>
    <n v="2"/>
    <n v="1"/>
    <n v="0"/>
    <n v="3"/>
    <n v="61.77"/>
    <n v="38.22"/>
    <n v="0"/>
    <s v="Consolidation"/>
    <s v="CO2e and Base Measure"/>
    <n v="100"/>
    <n v="100"/>
    <n v="0.13"/>
    <m/>
    <m/>
    <m/>
    <m/>
    <m/>
    <n v="0.16839999999999999"/>
    <m/>
    <n v="0.16839999999999999"/>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3-01T00:00:00"/>
    <s v="FY21"/>
    <s v="t"/>
    <n v="2.9000000000000001E-2"/>
    <n v="4.9500000000000002E-2"/>
    <n v="0"/>
    <n v="7.85E-2"/>
    <n v="1"/>
    <n v="1"/>
    <n v="0"/>
    <n v="2"/>
    <n v="36.94"/>
    <n v="63.05"/>
    <n v="0"/>
    <s v="Consolidation"/>
    <s v="CO2e and Base Measure"/>
    <n v="100"/>
    <n v="100"/>
    <n v="0.08"/>
    <m/>
    <m/>
    <m/>
    <m/>
    <m/>
    <n v="0.1021"/>
    <m/>
    <n v="0.1021"/>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5-01T00:00:00"/>
    <s v="FY21"/>
    <s v="t"/>
    <n v="0"/>
    <n v="0"/>
    <n v="8.9899999999999994E-2"/>
    <n v="8.9899999999999994E-2"/>
    <n v="0"/>
    <n v="0"/>
    <n v="31"/>
    <n v="31"/>
    <n v="0"/>
    <n v="0"/>
    <n v="100"/>
    <s v="Consolidation"/>
    <s v="CO2e and Base Measure"/>
    <n v="100"/>
    <n v="100"/>
    <n v="0.09"/>
    <m/>
    <m/>
    <m/>
    <m/>
    <m/>
    <n v="0.1169"/>
    <m/>
    <n v="0.1169"/>
    <m/>
    <m/>
    <m/>
    <m/>
    <m/>
    <s v="AUD"/>
    <s v="13634154Waste - General [t] - Scope 3"/>
    <n v="13634154"/>
  </r>
  <r>
    <d v="2019-07-01T00:00:00"/>
    <d v="2021-06-30T00:00:00"/>
    <s v="Telstra"/>
    <s v="NETWORK"/>
    <s v="Network - InfraCo"/>
    <s v="NSW"/>
    <s v="Australia"/>
    <s v="Leeton"/>
    <s v="LEETON EXCHANGE"/>
    <n v="423030271500"/>
    <s v="Waste"/>
    <x v="1"/>
    <x v="2"/>
    <s v="Account"/>
    <s v="Remondis General Waste"/>
    <m/>
    <s v="423030271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319Waste - General [t] - Scope 3"/>
    <n v="13564319"/>
  </r>
  <r>
    <d v="2019-07-01T00:00:00"/>
    <d v="2021-06-30T00:00:00"/>
    <s v="Telstra"/>
    <s v="NETWORK"/>
    <s v="Network - InfraCo"/>
    <s v="NSW"/>
    <s v="Australia"/>
    <s v="Leeton"/>
    <s v="LEETON EXCHANGE"/>
    <n v="423030271500"/>
    <s v="Waste"/>
    <x v="1"/>
    <x v="2"/>
    <s v="Account"/>
    <s v="Remondis General Waste"/>
    <m/>
    <s v="4230302715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319Waste - General [t] - Scope 3"/>
    <n v="13564319"/>
  </r>
  <r>
    <d v="2019-07-01T00:00:00"/>
    <d v="2021-06-30T00:00:00"/>
    <s v="Telstra"/>
    <s v="NETWORK"/>
    <s v="Network - InfraCo"/>
    <s v="NSW"/>
    <s v="Australia"/>
    <s v="Leeton"/>
    <s v="LEETON EXCHANGE"/>
    <n v="423030271500"/>
    <s v="Waste"/>
    <x v="1"/>
    <x v="2"/>
    <s v="Account"/>
    <s v="Remondis General Waste"/>
    <m/>
    <s v="423030271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19Waste - General [t] - Scope 3"/>
    <n v="13564319"/>
  </r>
  <r>
    <d v="2019-07-01T00:00:00"/>
    <d v="2021-06-30T00:00:00"/>
    <s v="Telstra"/>
    <s v="NETWORK"/>
    <s v="Network - InfraCo"/>
    <s v="NSW"/>
    <s v="Australia"/>
    <s v="Leeton"/>
    <s v="LEETON EXCHANGE"/>
    <n v="423030271500"/>
    <s v="Waste"/>
    <x v="1"/>
    <x v="2"/>
    <s v="Account"/>
    <s v="Remondis General Waste"/>
    <m/>
    <s v="4230302715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319Waste - General [t] - Scope 3"/>
    <n v="13564319"/>
  </r>
  <r>
    <d v="2019-07-01T00:00:00"/>
    <d v="2021-06-30T00:00:00"/>
    <s v="Telstra"/>
    <s v="NETWORK"/>
    <s v="Network - InfraCo"/>
    <s v="VIC"/>
    <s v="Australia"/>
    <s v="Leongatha"/>
    <s v="LEONGATHA EXCHANGE"/>
    <n v="423030610900"/>
    <s v="Waste"/>
    <x v="1"/>
    <x v="4"/>
    <s v="Account"/>
    <s v="Remondis Asbestos"/>
    <m/>
    <s v="423030610900_WASBESTOS"/>
    <s v="ASBESTOS"/>
    <s v="Remondis"/>
    <m/>
    <m/>
    <d v="2021-01-01T00:00:00"/>
    <d v="2020-12-01T00:00:00"/>
    <s v="FY21"/>
    <s v="t"/>
    <n v="0"/>
    <n v="0.55000000000000004"/>
    <n v="0"/>
    <n v="0.55000000000000004"/>
    <n v="0"/>
    <n v="1"/>
    <n v="0"/>
    <n v="1"/>
    <n v="0"/>
    <n v="100"/>
    <n v="0"/>
    <s v="Consolidation"/>
    <s v="CO2e and Base Measure"/>
    <n v="100"/>
    <n v="100"/>
    <n v="0.55000000000000004"/>
    <m/>
    <m/>
    <m/>
    <m/>
    <m/>
    <n v="0.66"/>
    <m/>
    <n v="0.66"/>
    <m/>
    <m/>
    <m/>
    <m/>
    <m/>
    <s v="AUD"/>
    <s v="13564973Waste - Construction and Demolition [t]"/>
    <n v="13564973"/>
  </r>
  <r>
    <d v="2019-07-01T00:00:00"/>
    <d v="2021-06-30T00:00:00"/>
    <s v="Telstra"/>
    <s v="NETWORK"/>
    <s v="Network - InfraCo"/>
    <s v="VIC"/>
    <s v="Australia"/>
    <s v="Leongatha"/>
    <s v="LEONGATHA EXCHANGE"/>
    <n v="423030610900"/>
    <s v="Waste"/>
    <x v="1"/>
    <x v="4"/>
    <s v="Account"/>
    <s v="Remondis Asbestos"/>
    <m/>
    <s v="423030610900_WASBESTOS"/>
    <s v="ASBESTOS"/>
    <s v="Remondis"/>
    <m/>
    <m/>
    <d v="2021-01-01T00:00:00"/>
    <d v="2021-01-01T00:00:00"/>
    <s v="FY21"/>
    <s v="t"/>
    <n v="0"/>
    <n v="0"/>
    <n v="1.83E-2"/>
    <n v="1.83E-2"/>
    <n v="0"/>
    <n v="0"/>
    <n v="1"/>
    <n v="1"/>
    <n v="0"/>
    <n v="0"/>
    <n v="100"/>
    <s v="Consolidation"/>
    <s v="CO2e and Base Measure"/>
    <n v="100"/>
    <n v="100"/>
    <n v="0.02"/>
    <m/>
    <m/>
    <m/>
    <m/>
    <m/>
    <n v="2.1999999999999999E-2"/>
    <m/>
    <n v="2.1999999999999999E-2"/>
    <m/>
    <m/>
    <m/>
    <m/>
    <m/>
    <s v="AUD"/>
    <s v="13564973Waste - Construction and Demolition [t]"/>
    <n v="13564973"/>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975Waste - General [t] - Scope 3"/>
    <n v="1356497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0-12-01T00:00:00"/>
    <s v="FY21"/>
    <s v="t"/>
    <n v="9.7000000000000003E-2"/>
    <n v="0"/>
    <n v="0"/>
    <n v="9.7000000000000003E-2"/>
    <n v="2"/>
    <n v="0"/>
    <n v="0"/>
    <n v="2"/>
    <n v="100"/>
    <n v="0"/>
    <n v="0"/>
    <s v="Consolidation"/>
    <s v="CO2e and Base Measure"/>
    <n v="100"/>
    <n v="100"/>
    <n v="0.1"/>
    <m/>
    <m/>
    <m/>
    <m/>
    <m/>
    <n v="0.12609999999999999"/>
    <m/>
    <n v="0.12609999999999999"/>
    <m/>
    <m/>
    <m/>
    <m/>
    <m/>
    <s v="AUD"/>
    <s v="13634155Waste - General [t] - Scope 3"/>
    <n v="1363415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1-02-01T00:00:00"/>
    <s v="FY21"/>
    <s v="t"/>
    <n v="8.6999999999999994E-2"/>
    <n v="0"/>
    <n v="0"/>
    <n v="8.6999999999999994E-2"/>
    <n v="1"/>
    <n v="0"/>
    <n v="0"/>
    <n v="1"/>
    <n v="100"/>
    <n v="0"/>
    <n v="0"/>
    <s v="Consolidation"/>
    <s v="CO2e and Base Measure"/>
    <n v="100"/>
    <n v="100"/>
    <n v="0.09"/>
    <m/>
    <m/>
    <m/>
    <m/>
    <m/>
    <n v="0.11310000000000001"/>
    <m/>
    <n v="0.11310000000000001"/>
    <m/>
    <m/>
    <m/>
    <m/>
    <m/>
    <s v="AUD"/>
    <s v="13634155Waste - General [t] - Scope 3"/>
    <n v="1363415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1-03-01T00:00:00"/>
    <s v="FY21"/>
    <s v="t"/>
    <n v="0"/>
    <n v="0"/>
    <n v="6.5100000000000005E-2"/>
    <n v="6.5100000000000005E-2"/>
    <n v="0"/>
    <n v="0"/>
    <n v="31"/>
    <n v="31"/>
    <n v="0"/>
    <n v="0"/>
    <n v="100"/>
    <s v="Consolidation"/>
    <s v="CO2e and Base Measure"/>
    <n v="100"/>
    <n v="100"/>
    <n v="7.0000000000000007E-2"/>
    <m/>
    <m/>
    <m/>
    <m/>
    <m/>
    <n v="8.4599999999999995E-2"/>
    <m/>
    <n v="8.4599999999999995E-2"/>
    <m/>
    <m/>
    <m/>
    <m/>
    <m/>
    <s v="AUD"/>
    <s v="13634155Waste - General [t] - Scope 3"/>
    <n v="1363415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1-04-01T00:00:00"/>
    <s v="FY21"/>
    <s v="t"/>
    <n v="0"/>
    <n v="0"/>
    <n v="6.3E-2"/>
    <n v="6.3E-2"/>
    <n v="0"/>
    <n v="0"/>
    <n v="30"/>
    <n v="30"/>
    <n v="0"/>
    <n v="0"/>
    <n v="100"/>
    <s v="Consolidation"/>
    <s v="CO2e and Base Measure"/>
    <n v="100"/>
    <n v="100"/>
    <n v="0.06"/>
    <m/>
    <m/>
    <m/>
    <m/>
    <m/>
    <n v="8.1900000000000001E-2"/>
    <m/>
    <n v="8.1900000000000001E-2"/>
    <m/>
    <m/>
    <m/>
    <m/>
    <m/>
    <s v="AUD"/>
    <s v="13634155Waste - General [t] - Scope 3"/>
    <n v="1363415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1-05-01T00:00:00"/>
    <s v="FY21"/>
    <s v="t"/>
    <n v="0"/>
    <n v="0"/>
    <n v="6.5100000000000005E-2"/>
    <n v="6.5100000000000005E-2"/>
    <n v="0"/>
    <n v="0"/>
    <n v="31"/>
    <n v="31"/>
    <n v="0"/>
    <n v="0"/>
    <n v="100"/>
    <s v="Consolidation"/>
    <s v="CO2e and Base Measure"/>
    <n v="100"/>
    <n v="100"/>
    <n v="7.0000000000000007E-2"/>
    <m/>
    <m/>
    <m/>
    <m/>
    <m/>
    <n v="8.4599999999999995E-2"/>
    <m/>
    <n v="8.4599999999999995E-2"/>
    <m/>
    <m/>
    <m/>
    <m/>
    <m/>
    <s v="AUD"/>
    <s v="13634155Waste - General [t] - Scope 3"/>
    <n v="13634155"/>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07-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08-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09-01T00:00:00"/>
    <s v="FY21"/>
    <s v="t"/>
    <n v="12.2799"/>
    <n v="0"/>
    <n v="0"/>
    <n v="12.2799"/>
    <n v="30"/>
    <n v="0"/>
    <n v="0"/>
    <n v="30"/>
    <n v="100"/>
    <n v="0"/>
    <n v="0"/>
    <s v="Consolidation"/>
    <s v="CO2e and Base Measure"/>
    <n v="100"/>
    <n v="100"/>
    <n v="12.28"/>
    <m/>
    <m/>
    <m/>
    <m/>
    <m/>
    <n v="15.963900000000001"/>
    <m/>
    <n v="15.963900000000001"/>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10-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11-01T00:00:00"/>
    <s v="FY21"/>
    <s v="t"/>
    <n v="12.2799"/>
    <n v="0"/>
    <n v="0"/>
    <n v="12.2799"/>
    <n v="30"/>
    <n v="0"/>
    <n v="0"/>
    <n v="30"/>
    <n v="100"/>
    <n v="0"/>
    <n v="0"/>
    <s v="Consolidation"/>
    <s v="CO2e and Base Measure"/>
    <n v="100"/>
    <n v="100"/>
    <n v="12.28"/>
    <m/>
    <m/>
    <m/>
    <m/>
    <m/>
    <n v="15.963900000000001"/>
    <m/>
    <n v="15.963900000000001"/>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12-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1-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2-01T00:00:00"/>
    <s v="FY21"/>
    <s v="t"/>
    <n v="11.4613"/>
    <n v="0"/>
    <n v="0"/>
    <n v="11.4613"/>
    <n v="28"/>
    <n v="0"/>
    <n v="0"/>
    <n v="28"/>
    <n v="100"/>
    <n v="0"/>
    <n v="0"/>
    <s v="Consolidation"/>
    <s v="CO2e and Base Measure"/>
    <n v="100"/>
    <n v="100"/>
    <n v="11.46"/>
    <m/>
    <m/>
    <m/>
    <m/>
    <m/>
    <n v="14.899699999999999"/>
    <m/>
    <n v="14.899699999999999"/>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3-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4-01T00:00:00"/>
    <s v="FY21"/>
    <s v="t"/>
    <n v="12.2799"/>
    <n v="0"/>
    <n v="0"/>
    <n v="12.2799"/>
    <n v="30"/>
    <n v="0"/>
    <n v="0"/>
    <n v="30"/>
    <n v="100"/>
    <n v="0"/>
    <n v="0"/>
    <s v="Consolidation"/>
    <s v="CO2e and Base Measure"/>
    <n v="100"/>
    <n v="100"/>
    <n v="12.28"/>
    <m/>
    <m/>
    <m/>
    <m/>
    <m/>
    <n v="15.963900000000001"/>
    <m/>
    <n v="15.963900000000001"/>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5-01T00:00:00"/>
    <s v="FY21"/>
    <s v="t"/>
    <n v="0"/>
    <n v="0"/>
    <n v="12.7317"/>
    <n v="12.7317"/>
    <n v="0"/>
    <n v="0"/>
    <n v="31"/>
    <n v="31"/>
    <n v="0"/>
    <n v="0"/>
    <n v="100"/>
    <s v="Consolidation"/>
    <s v="CO2e and Base Measure"/>
    <n v="100"/>
    <n v="100"/>
    <n v="12.73"/>
    <m/>
    <m/>
    <m/>
    <m/>
    <m/>
    <n v="16.551200000000001"/>
    <m/>
    <n v="16.551200000000001"/>
    <m/>
    <m/>
    <m/>
    <m/>
    <m/>
    <s v="AUD"/>
    <s v="13644416Waste - General [t] - Scope 3"/>
    <n v="13644416"/>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07-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08-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09-01T00:00:00"/>
    <s v="FY21"/>
    <s v="t"/>
    <n v="10.3916"/>
    <n v="0"/>
    <n v="0"/>
    <n v="10.3916"/>
    <n v="30"/>
    <n v="0"/>
    <n v="0"/>
    <n v="30"/>
    <n v="100"/>
    <n v="0"/>
    <n v="0"/>
    <s v="Consolidation"/>
    <s v="CO2e and Base Measure"/>
    <n v="100"/>
    <n v="100"/>
    <n v="10.39"/>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10-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11-01T00:00:00"/>
    <s v="FY21"/>
    <s v="t"/>
    <n v="10.3916"/>
    <n v="0"/>
    <n v="0"/>
    <n v="10.3916"/>
    <n v="30"/>
    <n v="0"/>
    <n v="0"/>
    <n v="30"/>
    <n v="100"/>
    <n v="0"/>
    <n v="0"/>
    <s v="Consolidation"/>
    <s v="CO2e and Base Measure"/>
    <n v="100"/>
    <n v="100"/>
    <n v="10.39"/>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12-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1-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2-01T00:00:00"/>
    <s v="FY21"/>
    <s v="t"/>
    <n v="9.6988000000000003"/>
    <n v="0"/>
    <n v="0"/>
    <n v="9.6988000000000003"/>
    <n v="28"/>
    <n v="0"/>
    <n v="0"/>
    <n v="28"/>
    <n v="100"/>
    <n v="0"/>
    <n v="0"/>
    <s v="Consolidation"/>
    <s v="CO2e and Base Measure"/>
    <n v="100"/>
    <n v="100"/>
    <n v="9.6999999999999993"/>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3-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4-01T00:00:00"/>
    <s v="FY21"/>
    <s v="t"/>
    <n v="10.3916"/>
    <n v="0"/>
    <n v="0"/>
    <n v="10.3916"/>
    <n v="30"/>
    <n v="0"/>
    <n v="0"/>
    <n v="30"/>
    <n v="100"/>
    <n v="0"/>
    <n v="0"/>
    <s v="Consolidation"/>
    <s v="CO2e and Base Measure"/>
    <n v="100"/>
    <n v="100"/>
    <n v="10.39"/>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5-01T00:00:00"/>
    <s v="FY21"/>
    <s v="t"/>
    <n v="0"/>
    <n v="0"/>
    <n v="10.772500000000001"/>
    <n v="10.772500000000001"/>
    <n v="0"/>
    <n v="0"/>
    <n v="31"/>
    <n v="31"/>
    <n v="0"/>
    <n v="0"/>
    <n v="100"/>
    <s v="Consolidation"/>
    <s v="CO2e and Base Measure"/>
    <n v="100"/>
    <n v="100"/>
    <n v="10.77"/>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07-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08-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09-01T00:00:00"/>
    <s v="FY21"/>
    <s v="t"/>
    <n v="1.2E-2"/>
    <n v="0"/>
    <n v="0"/>
    <n v="1.2E-2"/>
    <n v="30"/>
    <n v="0"/>
    <n v="0"/>
    <n v="30"/>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10-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11-01T00:00:00"/>
    <s v="FY21"/>
    <s v="t"/>
    <n v="1.2E-2"/>
    <n v="0"/>
    <n v="0"/>
    <n v="1.2E-2"/>
    <n v="30"/>
    <n v="0"/>
    <n v="0"/>
    <n v="30"/>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12-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1-01-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1-02-01T00:00:00"/>
    <s v="FY21"/>
    <s v="t"/>
    <n v="1.12E-2"/>
    <n v="0"/>
    <n v="0"/>
    <n v="1.12E-2"/>
    <n v="28"/>
    <n v="0"/>
    <n v="0"/>
    <n v="28"/>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1-03-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1-04-01T00:00:00"/>
    <s v="FY21"/>
    <s v="t"/>
    <n v="1.2E-2"/>
    <n v="0"/>
    <n v="0"/>
    <n v="1.2E-2"/>
    <n v="30"/>
    <n v="0"/>
    <n v="0"/>
    <n v="30"/>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07-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08-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09-01T00:00:00"/>
    <s v="FY21"/>
    <s v="kL"/>
    <n v="0.21360000000000001"/>
    <n v="0"/>
    <n v="0"/>
    <n v="0.21360000000000001"/>
    <n v="30"/>
    <n v="0"/>
    <n v="0"/>
    <n v="30"/>
    <n v="100"/>
    <n v="0"/>
    <n v="0"/>
    <s v="Consolidation"/>
    <s v="CO2e and Base Measure"/>
    <n v="100"/>
    <n v="100"/>
    <n v="0.21"/>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10-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11-01T00:00:00"/>
    <s v="FY21"/>
    <s v="kL"/>
    <n v="0.21360000000000001"/>
    <n v="0"/>
    <n v="0"/>
    <n v="0.21360000000000001"/>
    <n v="30"/>
    <n v="0"/>
    <n v="0"/>
    <n v="30"/>
    <n v="100"/>
    <n v="0"/>
    <n v="0"/>
    <s v="Consolidation"/>
    <s v="CO2e and Base Measure"/>
    <n v="100"/>
    <n v="100"/>
    <n v="0.21"/>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12-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1-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2-01T00:00:00"/>
    <s v="FY21"/>
    <s v="kL"/>
    <n v="0.19939999999999999"/>
    <n v="0"/>
    <n v="0"/>
    <n v="0.19939999999999999"/>
    <n v="28"/>
    <n v="0"/>
    <n v="0"/>
    <n v="28"/>
    <n v="100"/>
    <n v="0"/>
    <n v="0"/>
    <s v="Consolidation"/>
    <s v="CO2e and Base Measure"/>
    <n v="100"/>
    <n v="100"/>
    <n v="0.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3-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4-01T00:00:00"/>
    <s v="FY21"/>
    <s v="kL"/>
    <n v="0.21360000000000001"/>
    <n v="0"/>
    <n v="0"/>
    <n v="0.21360000000000001"/>
    <n v="30"/>
    <n v="0"/>
    <n v="0"/>
    <n v="30"/>
    <n v="100"/>
    <n v="0"/>
    <n v="0"/>
    <s v="Consolidation"/>
    <s v="CO2e and Base Measure"/>
    <n v="100"/>
    <n v="100"/>
    <n v="0.21"/>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5-01T00:00:00"/>
    <s v="FY21"/>
    <s v="kL"/>
    <n v="0"/>
    <n v="0"/>
    <n v="0.22009999999999999"/>
    <n v="0.22009999999999999"/>
    <n v="0"/>
    <n v="0"/>
    <n v="31"/>
    <n v="31"/>
    <n v="0"/>
    <n v="0"/>
    <n v="10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07-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08-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09-01T00:00:00"/>
    <s v="FY21"/>
    <s v="t"/>
    <n v="0.19969999999999999"/>
    <n v="0"/>
    <n v="0"/>
    <n v="0.19969999999999999"/>
    <n v="30"/>
    <n v="0"/>
    <n v="0"/>
    <n v="30"/>
    <n v="100"/>
    <n v="0"/>
    <n v="0"/>
    <s v="Consolidation"/>
    <s v="CO2e and Base Measure"/>
    <n v="100"/>
    <n v="100"/>
    <n v="0.2"/>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10-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11-01T00:00:00"/>
    <s v="FY21"/>
    <s v="t"/>
    <n v="0.19969999999999999"/>
    <n v="0"/>
    <n v="0"/>
    <n v="0.19969999999999999"/>
    <n v="30"/>
    <n v="0"/>
    <n v="0"/>
    <n v="30"/>
    <n v="100"/>
    <n v="0"/>
    <n v="0"/>
    <s v="Consolidation"/>
    <s v="CO2e and Base Measure"/>
    <n v="100"/>
    <n v="100"/>
    <n v="0.2"/>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12-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1-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2-01T00:00:00"/>
    <s v="FY21"/>
    <s v="t"/>
    <n v="0.18640000000000001"/>
    <n v="0"/>
    <n v="0"/>
    <n v="0.18640000000000001"/>
    <n v="28"/>
    <n v="0"/>
    <n v="0"/>
    <n v="28"/>
    <n v="100"/>
    <n v="0"/>
    <n v="0"/>
    <s v="Consolidation"/>
    <s v="CO2e and Base Measure"/>
    <n v="100"/>
    <n v="100"/>
    <n v="0.19"/>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3-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4-01T00:00:00"/>
    <s v="FY21"/>
    <s v="t"/>
    <n v="0.19969999999999999"/>
    <n v="0"/>
    <n v="0"/>
    <n v="0.19969999999999999"/>
    <n v="30"/>
    <n v="0"/>
    <n v="0"/>
    <n v="30"/>
    <n v="100"/>
    <n v="0"/>
    <n v="0"/>
    <s v="Consolidation"/>
    <s v="CO2e and Base Measure"/>
    <n v="100"/>
    <n v="100"/>
    <n v="0.2"/>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5-01T00:00:00"/>
    <s v="FY21"/>
    <s v="t"/>
    <n v="0"/>
    <n v="0"/>
    <n v="0.2077"/>
    <n v="0.2077"/>
    <n v="0"/>
    <n v="0"/>
    <n v="31"/>
    <n v="31"/>
    <n v="0"/>
    <n v="0"/>
    <n v="100"/>
    <s v="Consolidation"/>
    <s v="CO2e and Base Measure"/>
    <n v="100"/>
    <n v="100"/>
    <n v="0.21"/>
    <m/>
    <m/>
    <m/>
    <m/>
    <m/>
    <m/>
    <n v="0"/>
    <m/>
    <m/>
    <m/>
    <m/>
    <m/>
    <m/>
    <s v="AUD"/>
    <s v="13644420Waste Recycled - Commingled [t]"/>
    <n v="13644420"/>
  </r>
  <r>
    <d v="2019-07-01T00:00:00"/>
    <d v="2021-06-30T00:00:00"/>
    <s v="Telstra"/>
    <s v="NON-NETWORK"/>
    <s v="NON-NETWORK"/>
    <s v="VIC"/>
    <s v="Australia"/>
    <s v="East Melbourne"/>
    <s v="LEVEL 29 34"/>
    <n v="423031283200"/>
    <s v="Recycled Waste"/>
    <x v="0"/>
    <x v="1"/>
    <s v="Account"/>
    <s v="Remondis Batteries - Mixed Recycled"/>
    <m/>
    <s v="423031283200_RBATTERY."/>
    <s v="BATTERIES - MIXED RECYCLED"/>
    <s v="Remondis"/>
    <m/>
    <m/>
    <d v="2021-01-01T00:00:00"/>
    <d v="2020-12-01T00:00:00"/>
    <s v="FY21"/>
    <s v="t"/>
    <n v="0"/>
    <n v="6.4999999999999997E-3"/>
    <n v="0"/>
    <n v="6.4999999999999997E-3"/>
    <n v="0"/>
    <n v="1"/>
    <n v="0"/>
    <n v="1"/>
    <n v="0"/>
    <n v="100"/>
    <n v="0"/>
    <s v="Consolidation"/>
    <s v="CO2e and Base Measure"/>
    <n v="100"/>
    <n v="100"/>
    <n v="0.01"/>
    <m/>
    <m/>
    <m/>
    <m/>
    <m/>
    <m/>
    <m/>
    <m/>
    <m/>
    <m/>
    <m/>
    <m/>
    <m/>
    <s v="AUD"/>
    <s v="13565623Waste Recycled - E-waste [t]"/>
    <n v="13565623"/>
  </r>
  <r>
    <d v="2019-07-01T00:00:00"/>
    <d v="2021-06-30T00:00:00"/>
    <s v="Telstra"/>
    <s v="NON-NETWORK"/>
    <s v="NON-NETWORK"/>
    <s v="VIC"/>
    <s v="Australia"/>
    <s v="East Melbourne"/>
    <s v="LEVEL 29 34"/>
    <n v="423031283200"/>
    <s v="Recycled Waste"/>
    <x v="0"/>
    <x v="1"/>
    <s v="Account"/>
    <s v="Remondis Batteries - Mixed Recycled"/>
    <m/>
    <s v="423031283200_RBATTERY."/>
    <s v="BATTERIES - MIXED RECYCLED"/>
    <s v="Remondis"/>
    <m/>
    <m/>
    <d v="2021-01-01T00:00:00"/>
    <d v="2021-01-01T00:00:00"/>
    <s v="FY21"/>
    <s v="t"/>
    <n v="0"/>
    <n v="0"/>
    <n v="2.0000000000000001E-4"/>
    <n v="2.0000000000000001E-4"/>
    <n v="0"/>
    <n v="0"/>
    <n v="1"/>
    <n v="1"/>
    <n v="0"/>
    <n v="0"/>
    <n v="100"/>
    <s v="Consolidation"/>
    <s v="CO2e and Base Measure"/>
    <n v="100"/>
    <n v="100"/>
    <n v="0"/>
    <m/>
    <m/>
    <m/>
    <m/>
    <m/>
    <m/>
    <m/>
    <m/>
    <m/>
    <m/>
    <m/>
    <m/>
    <m/>
    <s v="AUD"/>
    <s v="13565623Waste Recycled - E-waste [t]"/>
    <n v="13565623"/>
  </r>
  <r>
    <d v="2019-07-01T00:00:00"/>
    <d v="2021-06-30T00:00:00"/>
    <s v="Telstra"/>
    <s v="NON-NETWORK"/>
    <s v="NON-NETWORK"/>
    <s v="VIC"/>
    <s v="Australia"/>
    <s v="East Melbourne"/>
    <s v="LEVEL 29 34"/>
    <n v="423031283200"/>
    <s v="Recycled Waste"/>
    <x v="0"/>
    <x v="0"/>
    <s v="Account"/>
    <s v="Remondis Cardboard - Loose - Recycled"/>
    <m/>
    <s v="423031283200_RCARDBOAR"/>
    <s v="CARDBOARD - LOOSE - RECYCLED"/>
    <s v="Remondis"/>
    <m/>
    <m/>
    <d v="2021-01-01T00:00:00"/>
    <d v="2020-12-01T00:00:00"/>
    <s v="FY21"/>
    <s v="t"/>
    <n v="0"/>
    <n v="0.01"/>
    <n v="0"/>
    <n v="0.01"/>
    <n v="0"/>
    <n v="2"/>
    <n v="0"/>
    <n v="2"/>
    <n v="0"/>
    <n v="100"/>
    <n v="0"/>
    <s v="Consolidation"/>
    <s v="CO2e and Base Measure"/>
    <n v="100"/>
    <n v="100"/>
    <n v="0.01"/>
    <m/>
    <m/>
    <m/>
    <m/>
    <m/>
    <m/>
    <n v="0"/>
    <m/>
    <m/>
    <m/>
    <m/>
    <m/>
    <m/>
    <s v="AUD"/>
    <s v="13565624Waste Recycled - Cardboard [t]"/>
    <n v="13565624"/>
  </r>
  <r>
    <d v="2019-07-01T00:00:00"/>
    <d v="2021-06-30T00:00:00"/>
    <s v="Telstra"/>
    <s v="NON-NETWORK"/>
    <s v="NON-NETWORK"/>
    <s v="VIC"/>
    <s v="Australia"/>
    <s v="East Melbourne"/>
    <s v="LEVEL 29 34"/>
    <n v="423031283200"/>
    <s v="Recycled Waste"/>
    <x v="0"/>
    <x v="0"/>
    <s v="Account"/>
    <s v="Remondis Cardboard - Loose - Recycled"/>
    <m/>
    <s v="423031283200_RCARDBOAR"/>
    <s v="CARDBOARD - LOOSE - RECYCLED"/>
    <s v="Remondis"/>
    <m/>
    <m/>
    <d v="2021-01-01T00:00:00"/>
    <d v="2021-01-01T00:00:00"/>
    <s v="FY21"/>
    <s v="t"/>
    <n v="0"/>
    <n v="0"/>
    <n v="2.9999999999999997E-4"/>
    <n v="2.9999999999999997E-4"/>
    <n v="0"/>
    <n v="0"/>
    <n v="1"/>
    <n v="1"/>
    <n v="0"/>
    <n v="0"/>
    <n v="100"/>
    <s v="Consolidation"/>
    <s v="CO2e and Base Measure"/>
    <n v="100"/>
    <n v="100"/>
    <n v="0"/>
    <m/>
    <m/>
    <m/>
    <m/>
    <m/>
    <m/>
    <n v="0"/>
    <m/>
    <m/>
    <m/>
    <m/>
    <m/>
    <m/>
    <s v="AUD"/>
    <s v="13565624Waste Recycled - Cardboard [t]"/>
    <n v="13565624"/>
  </r>
  <r>
    <d v="2019-07-01T00:00:00"/>
    <d v="2021-06-30T00:00:00"/>
    <s v="Telstra"/>
    <s v="NON-NETWORK"/>
    <s v="NON-NETWORK"/>
    <s v="VIC"/>
    <s v="Australia"/>
    <s v="East Melbourne"/>
    <s v="LEVEL 29 34"/>
    <n v="423031283200"/>
    <s v="Recycled Waste"/>
    <x v="0"/>
    <x v="1"/>
    <s v="Account"/>
    <s v="Remondis Electrical Comp. (E-Waste)"/>
    <m/>
    <s v="423031283200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565626Waste Recycled - E-waste [t]"/>
    <n v="13565626"/>
  </r>
  <r>
    <d v="2019-07-01T00:00:00"/>
    <d v="2021-06-30T00:00:00"/>
    <s v="Telstra"/>
    <s v="NON-NETWORK"/>
    <s v="NON-NETWORK"/>
    <s v="VIC"/>
    <s v="Australia"/>
    <s v="East Melbourne"/>
    <s v="LEVEL 29 34"/>
    <n v="423031283200"/>
    <s v="Recycled Waste"/>
    <x v="0"/>
    <x v="1"/>
    <s v="Account"/>
    <s v="Remondis Electrical Comp. (E-Waste)"/>
    <m/>
    <s v="423031283200_RELECTRIC"/>
    <s v="ELECTRICAL COMP. E-WASTE"/>
    <s v="Remondis"/>
    <m/>
    <m/>
    <d v="2021-01-01T00:00:00"/>
    <d v="2021-01-01T00:00:00"/>
    <s v="FY21"/>
    <s v="t"/>
    <n v="0"/>
    <n v="0"/>
    <n v="1.5E-3"/>
    <n v="1.5E-3"/>
    <n v="0"/>
    <n v="0"/>
    <n v="1"/>
    <n v="1"/>
    <n v="0"/>
    <n v="0"/>
    <n v="100"/>
    <s v="Consolidation"/>
    <s v="CO2e and Base Measure"/>
    <n v="100"/>
    <n v="100"/>
    <n v="0"/>
    <m/>
    <m/>
    <m/>
    <m/>
    <m/>
    <m/>
    <m/>
    <m/>
    <m/>
    <m/>
    <m/>
    <m/>
    <m/>
    <s v="AUD"/>
    <s v="13565626Waste Recycled - E-waste [t]"/>
    <n v="13565626"/>
  </r>
  <r>
    <d v="2019-07-01T00:00:00"/>
    <d v="2021-06-30T00:00:00"/>
    <s v="Telstra"/>
    <s v="NON-NETWORK"/>
    <s v="NON-NETWORK"/>
    <s v="VIC"/>
    <s v="Australia"/>
    <s v="East Melbourne"/>
    <s v="LEVEL 29 34"/>
    <n v="423031283200"/>
    <s v="Recycled Waste"/>
    <x v="0"/>
    <x v="1"/>
    <s v="Account"/>
    <s v="Remondis Fluoro Tubes - Recycled"/>
    <m/>
    <s v="423031283200_RFLUORO"/>
    <s v="FLUORO TUBES - RECYCLED"/>
    <s v="Remondis"/>
    <m/>
    <m/>
    <d v="2020-07-01T00:00:00"/>
    <d v="2020-07-01T00:00:00"/>
    <s v="FY21"/>
    <s v="t"/>
    <n v="0"/>
    <n v="0"/>
    <n v="7.6E-3"/>
    <n v="7.6E-3"/>
    <n v="0"/>
    <n v="0"/>
    <n v="1"/>
    <n v="1"/>
    <n v="0"/>
    <n v="0"/>
    <n v="100"/>
    <s v="Consolidation"/>
    <s v="CO2e and Base Measure"/>
    <n v="100"/>
    <n v="100"/>
    <n v="0.01"/>
    <m/>
    <m/>
    <m/>
    <m/>
    <m/>
    <m/>
    <m/>
    <m/>
    <m/>
    <m/>
    <m/>
    <m/>
    <m/>
    <s v="AUD"/>
    <s v="13565627Waste Recycled - E-waste [t]"/>
    <n v="13565627"/>
  </r>
  <r>
    <d v="2019-07-01T00:00:00"/>
    <d v="2021-06-30T00:00:00"/>
    <s v="Telstra"/>
    <s v="NON-NETWORK"/>
    <s v="NON-NETWORK"/>
    <s v="VIC"/>
    <s v="Australia"/>
    <s v="East Melbourne"/>
    <s v="LEVEL 29 34"/>
    <n v="423031283200"/>
    <s v="Waste"/>
    <x v="1"/>
    <x v="2"/>
    <s v="Account"/>
    <s v="Remondis General Waste"/>
    <m/>
    <s v="423031283200_WGENERALW"/>
    <s v="GENERAL WASTE"/>
    <s v="Remondis"/>
    <m/>
    <m/>
    <d v="2020-08-01T00:00:00"/>
    <d v="2020-07-01T00:00:00"/>
    <s v="FY21"/>
    <s v="t"/>
    <n v="1.4999999999999999E-2"/>
    <n v="0"/>
    <n v="0"/>
    <n v="1.4999999999999999E-2"/>
    <n v="1"/>
    <n v="0"/>
    <n v="0"/>
    <n v="1"/>
    <n v="100"/>
    <n v="0"/>
    <n v="0"/>
    <s v="Consolidation"/>
    <s v="CO2e and Base Measure"/>
    <n v="100"/>
    <n v="100"/>
    <n v="0.02"/>
    <m/>
    <m/>
    <m/>
    <m/>
    <m/>
    <n v="1.95E-2"/>
    <m/>
    <n v="1.95E-2"/>
    <m/>
    <m/>
    <m/>
    <m/>
    <m/>
    <s v="AUD"/>
    <s v="13565628Waste - General [t] - Scope 3"/>
    <n v="13565628"/>
  </r>
  <r>
    <d v="2019-07-01T00:00:00"/>
    <d v="2021-06-30T00:00:00"/>
    <s v="Telstra"/>
    <s v="NON-NETWORK"/>
    <s v="NON-NETWORK"/>
    <s v="VIC"/>
    <s v="Australia"/>
    <s v="East Melbourne"/>
    <s v="LEVEL 29 34"/>
    <n v="423031283200"/>
    <s v="Waste"/>
    <x v="1"/>
    <x v="2"/>
    <s v="Account"/>
    <s v="Remondis General Waste"/>
    <m/>
    <s v="423031283200_WGENERALW"/>
    <s v="GENERAL WASTE"/>
    <s v="Remondis"/>
    <m/>
    <m/>
    <d v="2020-08-01T00:00:00"/>
    <d v="2020-08-01T00:00:00"/>
    <s v="FY21"/>
    <s v="t"/>
    <n v="0"/>
    <n v="0"/>
    <n v="5.0000000000000001E-4"/>
    <n v="5.0000000000000001E-4"/>
    <n v="0"/>
    <n v="0"/>
    <n v="1"/>
    <n v="1"/>
    <n v="0"/>
    <n v="0"/>
    <n v="100"/>
    <s v="Consolidation"/>
    <s v="CO2e and Base Measure"/>
    <n v="100"/>
    <n v="100"/>
    <n v="0"/>
    <m/>
    <m/>
    <m/>
    <m/>
    <m/>
    <n v="6.9999999999999999E-4"/>
    <m/>
    <n v="6.9999999999999999E-4"/>
    <m/>
    <m/>
    <m/>
    <m/>
    <m/>
    <s v="AUD"/>
    <s v="13565628Waste - General [t] - Scope 3"/>
    <n v="13565628"/>
  </r>
  <r>
    <d v="2019-07-01T00:00:00"/>
    <d v="2021-06-30T00:00:00"/>
    <s v="Telstra"/>
    <s v="NETWORK"/>
    <s v="Network - InfraCo"/>
    <s v="NSW"/>
    <s v="Australia"/>
    <s v="Lidcombe"/>
    <s v="LIDCOMBE EXCHANGE"/>
    <n v="423030272400"/>
    <s v="Recycled Waste"/>
    <x v="0"/>
    <x v="5"/>
    <s v="Account"/>
    <s v="Remondis Metal - Mixed All"/>
    <m/>
    <s v="423030272400_RMETMIXED"/>
    <s v="METAL - MIXED ALL"/>
    <s v="Remondis"/>
    <m/>
    <d v="2020-07-16T00:00:00"/>
    <d v="2020-08-01T00:00:00"/>
    <d v="2020-07-01T00:00:00"/>
    <s v="FY21"/>
    <s v="t"/>
    <n v="2.4500000000000002"/>
    <n v="0"/>
    <n v="0"/>
    <n v="2.4500000000000002"/>
    <n v="1"/>
    <n v="0"/>
    <n v="0"/>
    <n v="1"/>
    <n v="100"/>
    <n v="0"/>
    <n v="0"/>
    <s v="Consolidation"/>
    <s v="CO2e and Base Measure"/>
    <n v="100"/>
    <n v="100"/>
    <n v="2.4500000000000002"/>
    <m/>
    <m/>
    <m/>
    <m/>
    <m/>
    <m/>
    <m/>
    <m/>
    <m/>
    <m/>
    <m/>
    <m/>
    <m/>
    <s v="AUD"/>
    <s v="13614412Waste Recycled - Construction and Demolition [t]"/>
    <n v="13614412"/>
  </r>
  <r>
    <d v="2019-07-01T00:00:00"/>
    <d v="2021-06-30T00:00:00"/>
    <s v="Telstra"/>
    <s v="NETWORK"/>
    <s v="Network - InfraCo"/>
    <s v="NSW"/>
    <s v="Australia"/>
    <s v="Lidcombe"/>
    <s v="LIDCOMBE EXCHANGE"/>
    <n v="423030272400"/>
    <s v="Recycled Waste"/>
    <x v="0"/>
    <x v="5"/>
    <s v="Account"/>
    <s v="Remondis Metal - Mixed All"/>
    <m/>
    <s v="423030272400_RMETMIXED"/>
    <s v="METAL - MIXED ALL"/>
    <s v="Remondis"/>
    <m/>
    <d v="2020-07-16T00:00:00"/>
    <d v="2020-08-01T00:00:00"/>
    <d v="2020-08-01T00:00:00"/>
    <s v="FY21"/>
    <s v="t"/>
    <n v="0"/>
    <n v="0"/>
    <n v="8.1699999999999995E-2"/>
    <n v="8.1699999999999995E-2"/>
    <n v="0"/>
    <n v="0"/>
    <n v="1"/>
    <n v="1"/>
    <n v="0"/>
    <n v="0"/>
    <n v="100"/>
    <s v="Consolidation"/>
    <s v="CO2e and Base Measure"/>
    <n v="100"/>
    <n v="100"/>
    <n v="0.08"/>
    <m/>
    <m/>
    <m/>
    <m/>
    <m/>
    <m/>
    <m/>
    <m/>
    <m/>
    <m/>
    <m/>
    <m/>
    <m/>
    <s v="AUD"/>
    <s v="13614412Waste Recycled - Construction and Demolition [t]"/>
    <n v="13614412"/>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07-01T00:00:00"/>
    <s v="FY21"/>
    <s v="t"/>
    <n v="1.48"/>
    <n v="0"/>
    <n v="0"/>
    <n v="1.48"/>
    <n v="1"/>
    <n v="0"/>
    <n v="0"/>
    <n v="1"/>
    <n v="100"/>
    <n v="0"/>
    <n v="0"/>
    <s v="Consolidation"/>
    <s v="CO2e and Base Measure"/>
    <n v="100"/>
    <n v="100"/>
    <n v="1.48"/>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08-01T00:00:00"/>
    <s v="FY21"/>
    <s v="t"/>
    <n v="3.92"/>
    <n v="7.5"/>
    <n v="0"/>
    <n v="11.42"/>
    <n v="1"/>
    <n v="1"/>
    <n v="0"/>
    <n v="2"/>
    <n v="34.32"/>
    <n v="65.67"/>
    <n v="0"/>
    <s v="Consolidation"/>
    <s v="CO2e and Base Measure"/>
    <n v="100"/>
    <n v="100"/>
    <n v="11.42"/>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09-01T00:00:00"/>
    <s v="FY21"/>
    <s v="t"/>
    <n v="0"/>
    <n v="1.5"/>
    <n v="0"/>
    <n v="1.5"/>
    <n v="0"/>
    <n v="1"/>
    <n v="0"/>
    <n v="1"/>
    <n v="0"/>
    <n v="100"/>
    <n v="0"/>
    <s v="Consolidation"/>
    <s v="CO2e and Base Measure"/>
    <n v="100"/>
    <n v="100"/>
    <n v="1.5"/>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10-01T00:00:00"/>
    <s v="FY21"/>
    <s v="t"/>
    <n v="7.22"/>
    <n v="0"/>
    <n v="0"/>
    <n v="7.22"/>
    <n v="1"/>
    <n v="0"/>
    <n v="0"/>
    <n v="1"/>
    <n v="100"/>
    <n v="0"/>
    <n v="0"/>
    <s v="Consolidation"/>
    <s v="CO2e and Base Measure"/>
    <n v="100"/>
    <n v="100"/>
    <n v="7.22"/>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11-01T00:00:00"/>
    <s v="FY21"/>
    <s v="t"/>
    <n v="1"/>
    <n v="0"/>
    <n v="0"/>
    <n v="1"/>
    <n v="1"/>
    <n v="0"/>
    <n v="0"/>
    <n v="1"/>
    <n v="100"/>
    <n v="0"/>
    <n v="0"/>
    <s v="Consolidation"/>
    <s v="CO2e and Base Measure"/>
    <n v="100"/>
    <n v="100"/>
    <n v="1"/>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12-01T00:00:00"/>
    <s v="FY21"/>
    <s v="t"/>
    <n v="0"/>
    <n v="0"/>
    <n v="0.14879999999999999"/>
    <n v="0.14879999999999999"/>
    <n v="0"/>
    <n v="0"/>
    <n v="1"/>
    <n v="1"/>
    <n v="0"/>
    <n v="0"/>
    <n v="100"/>
    <s v="Consolidation"/>
    <s v="CO2e and Base Measure"/>
    <n v="100"/>
    <n v="100"/>
    <n v="0.15"/>
    <m/>
    <m/>
    <m/>
    <m/>
    <m/>
    <m/>
    <m/>
    <m/>
    <m/>
    <m/>
    <m/>
    <m/>
    <m/>
    <s v="AUD"/>
    <s v="13614415Waste Recycled - Construction and Demolition [t]"/>
    <n v="1361441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12-01T00:00:00"/>
    <s v="FY21"/>
    <s v="t"/>
    <n v="0"/>
    <n v="0"/>
    <n v="1.9300000000000001E-2"/>
    <n v="1.9300000000000001E-2"/>
    <n v="0"/>
    <n v="0"/>
    <n v="1"/>
    <n v="1"/>
    <n v="0"/>
    <n v="0"/>
    <n v="100"/>
    <s v="Consolidation"/>
    <s v="CO2e and Base Measure"/>
    <n v="100"/>
    <n v="100"/>
    <n v="0.02"/>
    <m/>
    <m/>
    <m/>
    <m/>
    <m/>
    <n v="2.5100000000000001E-2"/>
    <m/>
    <n v="2.5100000000000001E-2"/>
    <m/>
    <m/>
    <m/>
    <m/>
    <m/>
    <s v="AUD"/>
    <s v="13565685Waste - General [t] - Scope 3"/>
    <n v="13565685"/>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07-01T00:00:00"/>
    <s v="FY21"/>
    <s v="t"/>
    <n v="0.23"/>
    <n v="0"/>
    <n v="0"/>
    <n v="0.23"/>
    <n v="3"/>
    <n v="0"/>
    <n v="0"/>
    <n v="3"/>
    <n v="100"/>
    <n v="0"/>
    <n v="0"/>
    <s v="Consolidation"/>
    <s v="CO2e and Base Measure"/>
    <n v="100"/>
    <n v="100"/>
    <n v="0.23"/>
    <m/>
    <m/>
    <m/>
    <m/>
    <m/>
    <n v="0.29899999999999999"/>
    <m/>
    <n v="0.29899999999999999"/>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08-01T00:00:00"/>
    <s v="FY21"/>
    <s v="t"/>
    <n v="0.16"/>
    <n v="0"/>
    <n v="0"/>
    <n v="0.16"/>
    <n v="1"/>
    <n v="0"/>
    <n v="0"/>
    <n v="1"/>
    <n v="100"/>
    <n v="0"/>
    <n v="0"/>
    <s v="Consolidation"/>
    <s v="CO2e and Base Measure"/>
    <n v="100"/>
    <n v="100"/>
    <n v="0.16"/>
    <m/>
    <m/>
    <m/>
    <m/>
    <m/>
    <n v="0.20799999999999999"/>
    <m/>
    <n v="0.20799999999999999"/>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09-01T00:00:00"/>
    <s v="FY21"/>
    <s v="t"/>
    <n v="0.12"/>
    <n v="0"/>
    <n v="0"/>
    <n v="0.12"/>
    <n v="1"/>
    <n v="0"/>
    <n v="0"/>
    <n v="1"/>
    <n v="100"/>
    <n v="0"/>
    <n v="0"/>
    <s v="Consolidation"/>
    <s v="CO2e and Base Measure"/>
    <n v="100"/>
    <n v="100"/>
    <n v="0.12"/>
    <m/>
    <m/>
    <m/>
    <m/>
    <m/>
    <n v="0.156"/>
    <m/>
    <n v="0.156"/>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10-01T00:00:00"/>
    <s v="FY21"/>
    <s v="t"/>
    <n v="0.13"/>
    <n v="0"/>
    <n v="0"/>
    <n v="0.13"/>
    <n v="2"/>
    <n v="0"/>
    <n v="0"/>
    <n v="2"/>
    <n v="100"/>
    <n v="0"/>
    <n v="0"/>
    <s v="Consolidation"/>
    <s v="CO2e and Base Measure"/>
    <n v="100"/>
    <n v="100"/>
    <n v="0.13"/>
    <m/>
    <m/>
    <m/>
    <m/>
    <m/>
    <n v="0.16900000000000001"/>
    <m/>
    <n v="0.16900000000000001"/>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11-01T00:00:00"/>
    <s v="FY21"/>
    <s v="t"/>
    <n v="0.12"/>
    <n v="0"/>
    <n v="0"/>
    <n v="0.12"/>
    <n v="2"/>
    <n v="0"/>
    <n v="0"/>
    <n v="2"/>
    <n v="100"/>
    <n v="0"/>
    <n v="0"/>
    <s v="Consolidation"/>
    <s v="CO2e and Base Measure"/>
    <n v="100"/>
    <n v="100"/>
    <n v="0.12"/>
    <m/>
    <m/>
    <m/>
    <m/>
    <m/>
    <n v="0.156"/>
    <m/>
    <n v="0.156"/>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12-01T00:00:00"/>
    <s v="FY21"/>
    <s v="t"/>
    <n v="0"/>
    <n v="0"/>
    <n v="4.5999999999999999E-3"/>
    <n v="4.5999999999999999E-3"/>
    <n v="0"/>
    <n v="0"/>
    <n v="1"/>
    <n v="1"/>
    <n v="0"/>
    <n v="0"/>
    <n v="100"/>
    <s v="Consolidation"/>
    <s v="CO2e and Base Measure"/>
    <n v="100"/>
    <n v="100"/>
    <n v="0"/>
    <m/>
    <m/>
    <m/>
    <m/>
    <m/>
    <n v="6.0000000000000001E-3"/>
    <m/>
    <n v="6.0000000000000001E-3"/>
    <m/>
    <m/>
    <m/>
    <m/>
    <m/>
    <s v="AUD"/>
    <s v="13564970Waste - General [t] - Scope 3"/>
    <n v="13564970"/>
  </r>
  <r>
    <d v="2019-07-01T00:00:00"/>
    <d v="2021-06-30T00:00:00"/>
    <s v="Telstra"/>
    <s v="NETWORK"/>
    <s v="Network - InfraCo"/>
    <s v="VIC"/>
    <s v="Australia"/>
    <s v="Montrose"/>
    <s v="LILYDALE EXCHANGE"/>
    <n v="423030607000"/>
    <s v="Recycled Waste"/>
    <x v="0"/>
    <x v="1"/>
    <s v="Account"/>
    <s v="Remondis Electrical Comp. (E-Waste)"/>
    <m/>
    <s v="423030607000_RELECTRIC"/>
    <s v="ELECTRICAL COMP. E-WASTE"/>
    <s v="Remondis"/>
    <m/>
    <m/>
    <d v="2020-09-01T00:00:00"/>
    <d v="2020-08-01T00:00:00"/>
    <s v="FY21"/>
    <s v="t"/>
    <n v="0"/>
    <n v="0.12540000000000001"/>
    <n v="0"/>
    <n v="0.12540000000000001"/>
    <n v="0"/>
    <n v="1"/>
    <n v="0"/>
    <n v="1"/>
    <n v="0"/>
    <n v="100"/>
    <n v="0"/>
    <s v="Consolidation"/>
    <s v="CO2e and Base Measure"/>
    <n v="100"/>
    <n v="100"/>
    <n v="0.13"/>
    <m/>
    <m/>
    <m/>
    <m/>
    <m/>
    <m/>
    <m/>
    <m/>
    <m/>
    <m/>
    <m/>
    <m/>
    <m/>
    <s v="AUD"/>
    <s v="13576231Waste Recycled - E-waste [t]"/>
    <n v="13576231"/>
  </r>
  <r>
    <d v="2019-07-01T00:00:00"/>
    <d v="2021-06-30T00:00:00"/>
    <s v="Telstra"/>
    <s v="NETWORK"/>
    <s v="Network - InfraCo"/>
    <s v="VIC"/>
    <s v="Australia"/>
    <s v="Montrose"/>
    <s v="LILYDALE EXCHANGE"/>
    <n v="423030607000"/>
    <s v="Recycled Waste"/>
    <x v="0"/>
    <x v="1"/>
    <s v="Account"/>
    <s v="Remondis Electrical Comp. (E-Waste)"/>
    <m/>
    <s v="423030607000_RELECTRIC"/>
    <s v="ELECTRICAL COMP. E-WASTE"/>
    <s v="Remondis"/>
    <m/>
    <m/>
    <d v="2020-09-01T00:00:00"/>
    <d v="2020-09-01T00:00:00"/>
    <s v="FY21"/>
    <s v="t"/>
    <n v="0"/>
    <n v="0"/>
    <n v="4.1999999999999997E-3"/>
    <n v="4.1999999999999997E-3"/>
    <n v="0"/>
    <n v="0"/>
    <n v="1"/>
    <n v="1"/>
    <n v="0"/>
    <n v="0"/>
    <n v="100"/>
    <s v="Consolidation"/>
    <s v="CO2e and Base Measure"/>
    <n v="100"/>
    <n v="100"/>
    <n v="0"/>
    <m/>
    <m/>
    <m/>
    <m/>
    <m/>
    <m/>
    <m/>
    <m/>
    <m/>
    <m/>
    <m/>
    <m/>
    <m/>
    <s v="AUD"/>
    <s v="13576231Waste Recycled - E-waste [t]"/>
    <n v="13576231"/>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0-12-01T00:00:00"/>
    <s v="FY21"/>
    <s v="t"/>
    <n v="4.7E-2"/>
    <n v="6.7500000000000004E-2"/>
    <n v="0"/>
    <n v="0.1145"/>
    <n v="1"/>
    <n v="1"/>
    <n v="0"/>
    <n v="2"/>
    <n v="41.04"/>
    <n v="58.95"/>
    <n v="0"/>
    <s v="Consolidation"/>
    <s v="CO2e and Base Measure"/>
    <n v="100"/>
    <n v="100"/>
    <n v="0.11"/>
    <m/>
    <m/>
    <m/>
    <m/>
    <m/>
    <n v="0.1489"/>
    <m/>
    <n v="0.1489"/>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1-01T00:00:00"/>
    <s v="FY21"/>
    <s v="t"/>
    <n v="0.184"/>
    <n v="6.7500000000000004E-2"/>
    <n v="0"/>
    <n v="0.2515"/>
    <n v="2"/>
    <n v="1"/>
    <n v="0"/>
    <n v="3"/>
    <n v="73.16"/>
    <n v="26.83"/>
    <n v="0"/>
    <s v="Consolidation"/>
    <s v="CO2e and Base Measure"/>
    <n v="100"/>
    <n v="100"/>
    <n v="0.25"/>
    <m/>
    <m/>
    <m/>
    <m/>
    <m/>
    <n v="0.32700000000000001"/>
    <m/>
    <n v="0.32700000000000001"/>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2-01T00:00:00"/>
    <s v="FY21"/>
    <s v="t"/>
    <n v="0.20399999999999999"/>
    <n v="0"/>
    <n v="0"/>
    <n v="0.20399999999999999"/>
    <n v="4"/>
    <n v="0"/>
    <n v="0"/>
    <n v="4"/>
    <n v="100"/>
    <n v="0"/>
    <n v="0"/>
    <s v="Consolidation"/>
    <s v="CO2e and Base Measure"/>
    <n v="100"/>
    <n v="100"/>
    <n v="0.2"/>
    <m/>
    <m/>
    <m/>
    <m/>
    <m/>
    <n v="0.26519999999999999"/>
    <m/>
    <n v="0.26519999999999999"/>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3-01T00:00:00"/>
    <s v="FY21"/>
    <s v="t"/>
    <n v="0.182"/>
    <n v="0"/>
    <n v="0"/>
    <n v="0.182"/>
    <n v="1"/>
    <n v="0"/>
    <n v="0"/>
    <n v="1"/>
    <n v="100"/>
    <n v="0"/>
    <n v="0"/>
    <s v="Consolidation"/>
    <s v="CO2e and Base Measure"/>
    <n v="100"/>
    <n v="100"/>
    <n v="0.18"/>
    <m/>
    <m/>
    <m/>
    <m/>
    <m/>
    <n v="0.2366"/>
    <m/>
    <n v="0.2366"/>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4-01T00:00:00"/>
    <s v="FY21"/>
    <s v="t"/>
    <n v="0"/>
    <n v="0"/>
    <n v="0.189"/>
    <n v="0.189"/>
    <n v="0"/>
    <n v="0"/>
    <n v="30"/>
    <n v="30"/>
    <n v="0"/>
    <n v="0"/>
    <n v="100"/>
    <s v="Consolidation"/>
    <s v="CO2e and Base Measure"/>
    <n v="100"/>
    <n v="100"/>
    <n v="0.19"/>
    <m/>
    <m/>
    <m/>
    <m/>
    <m/>
    <n v="0.2457"/>
    <m/>
    <n v="0.2457"/>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5-01T00:00:00"/>
    <s v="FY21"/>
    <s v="t"/>
    <n v="0"/>
    <n v="0"/>
    <n v="0.1953"/>
    <n v="0.1953"/>
    <n v="0"/>
    <n v="0"/>
    <n v="31"/>
    <n v="31"/>
    <n v="0"/>
    <n v="0"/>
    <n v="100"/>
    <s v="Consolidation"/>
    <s v="CO2e and Base Measure"/>
    <n v="100"/>
    <n v="100"/>
    <n v="0.2"/>
    <m/>
    <m/>
    <m/>
    <m/>
    <m/>
    <n v="0.25390000000000001"/>
    <m/>
    <n v="0.25390000000000001"/>
    <m/>
    <m/>
    <m/>
    <m/>
    <m/>
    <s v="AUD"/>
    <s v="13634156Waste - General [t] - Scope 3"/>
    <n v="13634156"/>
  </r>
  <r>
    <d v="2019-07-01T00:00:00"/>
    <d v="2021-06-30T00:00:00"/>
    <s v="Telstra"/>
    <s v="NETWORK"/>
    <s v="Network - InfraCo"/>
    <s v="NSW"/>
    <s v="Australia"/>
    <s v="Lindfield"/>
    <s v="LINDFIELD EXCHANGE"/>
    <n v="423030271300"/>
    <s v="Waste"/>
    <x v="1"/>
    <x v="2"/>
    <s v="Account"/>
    <s v="Remondis General Waste"/>
    <m/>
    <s v="423030271300_WGENERALW"/>
    <s v="GENERAL WASTE"/>
    <s v="Remondis"/>
    <m/>
    <d v="2020-06-11T00:00:00"/>
    <d v="2020-07-01T00:00:00"/>
    <d v="2020-07-01T00:00:00"/>
    <s v="FY21"/>
    <s v="t"/>
    <n v="0"/>
    <n v="0"/>
    <n v="1.8599999999999998E-2"/>
    <n v="1.8599999999999998E-2"/>
    <n v="0"/>
    <n v="0"/>
    <n v="1"/>
    <n v="1"/>
    <n v="0"/>
    <n v="0"/>
    <n v="100"/>
    <s v="Consolidation"/>
    <s v="CO2e and Base Measure"/>
    <n v="100"/>
    <n v="100"/>
    <n v="0.02"/>
    <m/>
    <m/>
    <m/>
    <m/>
    <m/>
    <n v="2.4199999999999999E-2"/>
    <m/>
    <n v="2.4199999999999999E-2"/>
    <m/>
    <m/>
    <m/>
    <m/>
    <m/>
    <s v="AUD"/>
    <s v="13612586Waste - General [t] - Scope 3"/>
    <n v="13612586"/>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0-12-01T00:00:00"/>
    <s v="FY21"/>
    <s v="t"/>
    <n v="0"/>
    <n v="0.27"/>
    <n v="0"/>
    <n v="0.27"/>
    <n v="0"/>
    <n v="2"/>
    <n v="0"/>
    <n v="2"/>
    <n v="0"/>
    <n v="100"/>
    <n v="0"/>
    <s v="Consolidation"/>
    <s v="CO2e and Base Measure"/>
    <n v="100"/>
    <n v="100"/>
    <n v="0.27"/>
    <m/>
    <m/>
    <m/>
    <m/>
    <m/>
    <n v="0.35099999999999998"/>
    <m/>
    <n v="0.35099999999999998"/>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1-01T00:00:00"/>
    <s v="FY21"/>
    <s v="t"/>
    <n v="0"/>
    <n v="0.27"/>
    <n v="0"/>
    <n v="0.27"/>
    <n v="0"/>
    <n v="2"/>
    <n v="0"/>
    <n v="2"/>
    <n v="0"/>
    <n v="100"/>
    <n v="0"/>
    <s v="Consolidation"/>
    <s v="CO2e and Base Measure"/>
    <n v="100"/>
    <n v="100"/>
    <n v="0.27"/>
    <m/>
    <m/>
    <m/>
    <m/>
    <m/>
    <n v="0.35099999999999998"/>
    <m/>
    <n v="0.35099999999999998"/>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2-01T00:00:00"/>
    <s v="FY21"/>
    <s v="t"/>
    <n v="0"/>
    <n v="0.27"/>
    <n v="0"/>
    <n v="0.27"/>
    <n v="0"/>
    <n v="2"/>
    <n v="0"/>
    <n v="2"/>
    <n v="0"/>
    <n v="100"/>
    <n v="0"/>
    <s v="Consolidation"/>
    <s v="CO2e and Base Measure"/>
    <n v="100"/>
    <n v="100"/>
    <n v="0.27"/>
    <m/>
    <m/>
    <m/>
    <m/>
    <m/>
    <n v="0.35099999999999998"/>
    <m/>
    <n v="0.35099999999999998"/>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3-01T00:00:00"/>
    <s v="FY21"/>
    <s v="t"/>
    <n v="0"/>
    <n v="0.40500000000000003"/>
    <n v="0"/>
    <n v="0.40500000000000003"/>
    <n v="0"/>
    <n v="3"/>
    <n v="0"/>
    <n v="3"/>
    <n v="0"/>
    <n v="100"/>
    <n v="0"/>
    <s v="Consolidation"/>
    <s v="CO2e and Base Measure"/>
    <n v="100"/>
    <n v="100"/>
    <n v="0.41"/>
    <m/>
    <m/>
    <m/>
    <m/>
    <m/>
    <n v="0.52649999999999997"/>
    <m/>
    <n v="0.52649999999999997"/>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4-01T00:00:00"/>
    <s v="FY21"/>
    <s v="t"/>
    <n v="0"/>
    <n v="0"/>
    <n v="0.30299999999999999"/>
    <n v="0.30299999999999999"/>
    <n v="0"/>
    <n v="0"/>
    <n v="30"/>
    <n v="30"/>
    <n v="0"/>
    <n v="0"/>
    <n v="100"/>
    <s v="Consolidation"/>
    <s v="CO2e and Base Measure"/>
    <n v="100"/>
    <n v="100"/>
    <n v="0.3"/>
    <m/>
    <m/>
    <m/>
    <m/>
    <m/>
    <n v="0.39389999999999997"/>
    <m/>
    <n v="0.39389999999999997"/>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5-01T00:00:00"/>
    <s v="FY21"/>
    <s v="t"/>
    <n v="0"/>
    <n v="0"/>
    <n v="0.31309999999999999"/>
    <n v="0.31309999999999999"/>
    <n v="0"/>
    <n v="0"/>
    <n v="31"/>
    <n v="31"/>
    <n v="0"/>
    <n v="0"/>
    <n v="100"/>
    <s v="Consolidation"/>
    <s v="CO2e and Base Measure"/>
    <n v="100"/>
    <n v="100"/>
    <n v="0.31"/>
    <m/>
    <m/>
    <m/>
    <m/>
    <m/>
    <n v="0.40699999999999997"/>
    <m/>
    <n v="0.40699999999999997"/>
    <m/>
    <m/>
    <m/>
    <m/>
    <m/>
    <s v="AUD"/>
    <s v="13634323Waste - General [t] - Scope 3"/>
    <n v="13634323"/>
  </r>
  <r>
    <d v="2019-07-01T00:00:00"/>
    <d v="2021-06-30T00:00:00"/>
    <s v="Telstra"/>
    <s v="NON-NETWORK"/>
    <s v="NON-NETWORK"/>
    <s v="QLD"/>
    <s v="Australia"/>
    <s v="Bowen Basin"/>
    <s v="LINE DEPOT PMS 1214"/>
    <n v="423030121400"/>
    <s v="Waste"/>
    <x v="1"/>
    <x v="2"/>
    <s v="Account"/>
    <s v="Remondis General Waste"/>
    <m/>
    <s v="423030121400_WGENERALW"/>
    <s v="GENERAL WASTE"/>
    <s v="Remondis"/>
    <m/>
    <m/>
    <d v="2020-09-01T00:00:00"/>
    <d v="2020-07-01T00:00:00"/>
    <s v="FY21"/>
    <s v="t"/>
    <n v="0"/>
    <n v="9.7500000000000003E-2"/>
    <n v="0"/>
    <n v="9.7500000000000003E-2"/>
    <n v="0"/>
    <n v="1"/>
    <n v="0"/>
    <n v="1"/>
    <n v="0"/>
    <n v="100"/>
    <n v="0"/>
    <s v="Consolidation"/>
    <s v="CO2e and Base Measure"/>
    <n v="100"/>
    <n v="100"/>
    <n v="0.1"/>
    <m/>
    <m/>
    <m/>
    <m/>
    <m/>
    <n v="0.1268"/>
    <m/>
    <n v="0.1268"/>
    <m/>
    <m/>
    <m/>
    <m/>
    <m/>
    <s v="AUD"/>
    <s v="13564188Waste - General [t] - Scope 3"/>
    <n v="13564188"/>
  </r>
  <r>
    <d v="2019-07-01T00:00:00"/>
    <d v="2021-06-30T00:00:00"/>
    <s v="Telstra"/>
    <s v="NON-NETWORK"/>
    <s v="NON-NETWORK"/>
    <s v="QLD"/>
    <s v="Australia"/>
    <s v="Bowen Basin"/>
    <s v="LINE DEPOT PMS 1214"/>
    <n v="423030121400"/>
    <s v="Waste"/>
    <x v="1"/>
    <x v="2"/>
    <s v="Account"/>
    <s v="Remondis General Waste"/>
    <m/>
    <s v="423030121400_WGENERALW"/>
    <s v="GENERAL WASTE"/>
    <s v="Remondis"/>
    <m/>
    <m/>
    <d v="2020-09-01T00:00:00"/>
    <d v="2020-08-01T00:00:00"/>
    <s v="FY21"/>
    <s v="t"/>
    <n v="1.84"/>
    <n v="0"/>
    <n v="0"/>
    <n v="1.84"/>
    <n v="1"/>
    <n v="0"/>
    <n v="0"/>
    <n v="1"/>
    <n v="100"/>
    <n v="0"/>
    <n v="0"/>
    <s v="Consolidation"/>
    <s v="CO2e and Base Measure"/>
    <n v="100"/>
    <n v="100"/>
    <n v="1.84"/>
    <m/>
    <m/>
    <m/>
    <m/>
    <m/>
    <n v="2.3919999999999999"/>
    <m/>
    <n v="2.3919999999999999"/>
    <m/>
    <m/>
    <m/>
    <m/>
    <m/>
    <s v="AUD"/>
    <s v="13564188Waste - General [t] - Scope 3"/>
    <n v="13564188"/>
  </r>
  <r>
    <d v="2019-07-01T00:00:00"/>
    <d v="2021-06-30T00:00:00"/>
    <s v="Telstra"/>
    <s v="NON-NETWORK"/>
    <s v="NON-NETWORK"/>
    <s v="QLD"/>
    <s v="Australia"/>
    <s v="Bowen Basin"/>
    <s v="LINE DEPOT PMS 1214"/>
    <n v="423030121400"/>
    <s v="Waste"/>
    <x v="1"/>
    <x v="2"/>
    <s v="Account"/>
    <s v="Remondis General Waste"/>
    <m/>
    <s v="423030121400_WGENERALW"/>
    <s v="GENERAL WASTE"/>
    <s v="Remondis"/>
    <m/>
    <m/>
    <d v="2020-09-01T00:00:00"/>
    <d v="2020-09-01T00:00:00"/>
    <s v="FY21"/>
    <s v="t"/>
    <n v="0"/>
    <n v="0"/>
    <n v="2.3400000000000001E-2"/>
    <n v="2.3400000000000001E-2"/>
    <n v="0"/>
    <n v="0"/>
    <n v="1"/>
    <n v="1"/>
    <n v="0"/>
    <n v="0"/>
    <n v="100"/>
    <s v="Consolidation"/>
    <s v="CO2e and Base Measure"/>
    <n v="100"/>
    <n v="100"/>
    <n v="0.02"/>
    <m/>
    <m/>
    <m/>
    <m/>
    <m/>
    <n v="3.04E-2"/>
    <m/>
    <n v="3.04E-2"/>
    <m/>
    <m/>
    <m/>
    <m/>
    <m/>
    <s v="AUD"/>
    <s v="13564188Waste - General [t] - Scope 3"/>
    <n v="13564188"/>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0-12-01T00:00:00"/>
    <s v="FY21"/>
    <s v="t"/>
    <n v="0.20899999999999999"/>
    <n v="6.7500000000000004E-2"/>
    <n v="0"/>
    <n v="0.27650000000000002"/>
    <n v="1"/>
    <n v="1"/>
    <n v="0"/>
    <n v="2"/>
    <n v="75.58"/>
    <n v="24.41"/>
    <n v="0"/>
    <s v="Consolidation"/>
    <s v="CO2e and Base Measure"/>
    <n v="100"/>
    <n v="100"/>
    <n v="0.28000000000000003"/>
    <m/>
    <m/>
    <m/>
    <m/>
    <m/>
    <n v="0.35949999999999999"/>
    <m/>
    <n v="0.35949999999999999"/>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1-01T00:00:00"/>
    <s v="FY21"/>
    <s v="t"/>
    <n v="4.9000000000000002E-2"/>
    <n v="6.7500000000000004E-2"/>
    <n v="0"/>
    <n v="0.11650000000000001"/>
    <n v="1"/>
    <n v="1"/>
    <n v="0"/>
    <n v="2"/>
    <n v="42.06"/>
    <n v="57.93"/>
    <n v="0"/>
    <s v="Consolidation"/>
    <s v="CO2e and Base Measure"/>
    <n v="100"/>
    <n v="100"/>
    <n v="0.12"/>
    <m/>
    <m/>
    <m/>
    <m/>
    <m/>
    <n v="0.1515"/>
    <m/>
    <n v="0.1515"/>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2-01T00:00:00"/>
    <s v="FY21"/>
    <s v="t"/>
    <n v="0.44500000000000001"/>
    <n v="0"/>
    <n v="0"/>
    <n v="0.44500000000000001"/>
    <n v="2"/>
    <n v="0"/>
    <n v="0"/>
    <n v="2"/>
    <n v="100"/>
    <n v="0"/>
    <n v="0"/>
    <s v="Consolidation"/>
    <s v="CO2e and Base Measure"/>
    <n v="100"/>
    <n v="100"/>
    <n v="0.45"/>
    <m/>
    <m/>
    <m/>
    <m/>
    <m/>
    <n v="0.57850000000000001"/>
    <m/>
    <n v="0.57850000000000001"/>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3-01T00:00:00"/>
    <s v="FY21"/>
    <s v="t"/>
    <n v="0"/>
    <n v="0"/>
    <n v="0.29139999999999999"/>
    <n v="0.29139999999999999"/>
    <n v="0"/>
    <n v="0"/>
    <n v="31"/>
    <n v="31"/>
    <n v="0"/>
    <n v="0"/>
    <n v="100"/>
    <s v="Consolidation"/>
    <s v="CO2e and Base Measure"/>
    <n v="100"/>
    <n v="100"/>
    <n v="0.28999999999999998"/>
    <m/>
    <m/>
    <m/>
    <m/>
    <m/>
    <n v="0.37880000000000003"/>
    <m/>
    <n v="0.37880000000000003"/>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4-01T00:00:00"/>
    <s v="FY21"/>
    <s v="t"/>
    <n v="0"/>
    <n v="0"/>
    <n v="0.28199999999999997"/>
    <n v="0.28199999999999997"/>
    <n v="0"/>
    <n v="0"/>
    <n v="30"/>
    <n v="30"/>
    <n v="0"/>
    <n v="0"/>
    <n v="100"/>
    <s v="Consolidation"/>
    <s v="CO2e and Base Measure"/>
    <n v="100"/>
    <n v="100"/>
    <n v="0.28000000000000003"/>
    <m/>
    <m/>
    <m/>
    <m/>
    <m/>
    <n v="0.36659999999999998"/>
    <m/>
    <n v="0.36659999999999998"/>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5-01T00:00:00"/>
    <s v="FY21"/>
    <s v="t"/>
    <n v="0"/>
    <n v="0"/>
    <n v="0.29139999999999999"/>
    <n v="0.29139999999999999"/>
    <n v="0"/>
    <n v="0"/>
    <n v="31"/>
    <n v="31"/>
    <n v="0"/>
    <n v="0"/>
    <n v="100"/>
    <s v="Consolidation"/>
    <s v="CO2e and Base Measure"/>
    <n v="100"/>
    <n v="100"/>
    <n v="0.28999999999999998"/>
    <m/>
    <m/>
    <m/>
    <m/>
    <m/>
    <n v="0.37880000000000003"/>
    <m/>
    <n v="0.37880000000000003"/>
    <m/>
    <m/>
    <m/>
    <m/>
    <m/>
    <s v="AUD"/>
    <s v="13634157Waste - General [t] - Scope 3"/>
    <n v="13634157"/>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0-12-01T00:00:00"/>
    <s v="FY21"/>
    <s v="t"/>
    <n v="0"/>
    <n v="3.7499999999999999E-2"/>
    <n v="0"/>
    <n v="3.7499999999999999E-2"/>
    <n v="0"/>
    <n v="1"/>
    <n v="0"/>
    <n v="1"/>
    <n v="0"/>
    <n v="100"/>
    <n v="0"/>
    <s v="Consolidation"/>
    <s v="CO2e and Base Measure"/>
    <n v="100"/>
    <n v="100"/>
    <n v="0.04"/>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1-01T00:00:00"/>
    <s v="FY21"/>
    <s v="t"/>
    <n v="0"/>
    <n v="3.7499999999999999E-2"/>
    <n v="0"/>
    <n v="3.7499999999999999E-2"/>
    <n v="0"/>
    <n v="1"/>
    <n v="0"/>
    <n v="1"/>
    <n v="0"/>
    <n v="100"/>
    <n v="0"/>
    <s v="Consolidation"/>
    <s v="CO2e and Base Measure"/>
    <n v="100"/>
    <n v="100"/>
    <n v="0.04"/>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2-01T00:00:00"/>
    <s v="FY21"/>
    <s v="t"/>
    <n v="0"/>
    <n v="7.4999999999999997E-2"/>
    <n v="0"/>
    <n v="7.4999999999999997E-2"/>
    <n v="0"/>
    <n v="2"/>
    <n v="0"/>
    <n v="2"/>
    <n v="0"/>
    <n v="100"/>
    <n v="0"/>
    <s v="Consolidation"/>
    <s v="CO2e and Base Measure"/>
    <n v="100"/>
    <n v="100"/>
    <n v="0.08"/>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3-01T00:00:00"/>
    <s v="FY21"/>
    <s v="t"/>
    <n v="0"/>
    <n v="3.7499999999999999E-2"/>
    <n v="0"/>
    <n v="3.7499999999999999E-2"/>
    <n v="0"/>
    <n v="1"/>
    <n v="0"/>
    <n v="1"/>
    <n v="0"/>
    <n v="100"/>
    <n v="0"/>
    <s v="Consolidation"/>
    <s v="CO2e and Base Measure"/>
    <n v="100"/>
    <n v="100"/>
    <n v="0.04"/>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4-01T00:00:00"/>
    <s v="FY21"/>
    <s v="t"/>
    <n v="0"/>
    <n v="0"/>
    <n v="4.8000000000000001E-2"/>
    <n v="4.8000000000000001E-2"/>
    <n v="0"/>
    <n v="0"/>
    <n v="30"/>
    <n v="30"/>
    <n v="0"/>
    <n v="0"/>
    <n v="100"/>
    <s v="Consolidation"/>
    <s v="CO2e and Base Measure"/>
    <n v="100"/>
    <n v="100"/>
    <n v="0.05"/>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5-01T00:00:00"/>
    <s v="FY21"/>
    <s v="t"/>
    <n v="0"/>
    <n v="0"/>
    <n v="4.9599999999999998E-2"/>
    <n v="4.9599999999999998E-2"/>
    <n v="0"/>
    <n v="0"/>
    <n v="31"/>
    <n v="31"/>
    <n v="0"/>
    <n v="0"/>
    <n v="100"/>
    <s v="Consolidation"/>
    <s v="CO2e and Base Measure"/>
    <n v="100"/>
    <n v="100"/>
    <n v="0.05"/>
    <m/>
    <m/>
    <m/>
    <m/>
    <m/>
    <m/>
    <m/>
    <m/>
    <m/>
    <m/>
    <m/>
    <m/>
    <m/>
    <s v="AUD"/>
    <s v="13634158Waste Recycled - Paper and Cardboard [t]"/>
    <n v="13634158"/>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323Waste - General [t] - Scope 3"/>
    <n v="13564323"/>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1-01T00:00:00"/>
    <s v="FY21"/>
    <s v="t"/>
    <n v="0.18"/>
    <n v="0.13500000000000001"/>
    <n v="0"/>
    <n v="0.315"/>
    <n v="1"/>
    <n v="1"/>
    <n v="0"/>
    <n v="2"/>
    <n v="57.14"/>
    <n v="42.85"/>
    <n v="0"/>
    <s v="Consolidation"/>
    <s v="CO2e and Base Measure"/>
    <n v="100"/>
    <n v="100"/>
    <n v="0.32"/>
    <m/>
    <m/>
    <m/>
    <m/>
    <m/>
    <n v="0.40949999999999998"/>
    <m/>
    <n v="0.40949999999999998"/>
    <m/>
    <m/>
    <m/>
    <m/>
    <m/>
    <s v="AUD"/>
    <s v="13634444Waste - General [t] - Scope 3"/>
    <n v="13634444"/>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2-01T00:00:00"/>
    <s v="FY21"/>
    <s v="t"/>
    <n v="0.14099999999999999"/>
    <n v="0"/>
    <n v="0"/>
    <n v="0.14099999999999999"/>
    <n v="2"/>
    <n v="0"/>
    <n v="0"/>
    <n v="2"/>
    <n v="100"/>
    <n v="0"/>
    <n v="0"/>
    <s v="Consolidation"/>
    <s v="CO2e and Base Measure"/>
    <n v="100"/>
    <n v="100"/>
    <n v="0.14000000000000001"/>
    <m/>
    <m/>
    <m/>
    <m/>
    <m/>
    <n v="0.18329999999999999"/>
    <m/>
    <n v="0.18329999999999999"/>
    <m/>
    <m/>
    <m/>
    <m/>
    <m/>
    <s v="AUD"/>
    <s v="13634444Waste - General [t] - Scope 3"/>
    <n v="13634444"/>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3-01T00:00:00"/>
    <s v="FY21"/>
    <s v="t"/>
    <n v="5.7000000000000002E-2"/>
    <n v="0"/>
    <n v="0"/>
    <n v="5.7000000000000002E-2"/>
    <n v="1"/>
    <n v="0"/>
    <n v="0"/>
    <n v="1"/>
    <n v="100"/>
    <n v="0"/>
    <n v="0"/>
    <s v="Consolidation"/>
    <s v="CO2e and Base Measure"/>
    <n v="100"/>
    <n v="100"/>
    <n v="0.06"/>
    <m/>
    <m/>
    <m/>
    <m/>
    <m/>
    <n v="7.4099999999999999E-2"/>
    <m/>
    <n v="7.4099999999999999E-2"/>
    <m/>
    <m/>
    <m/>
    <m/>
    <m/>
    <s v="AUD"/>
    <s v="13634444Waste - General [t] - Scope 3"/>
    <n v="13634444"/>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4-01T00:00:00"/>
    <s v="FY21"/>
    <s v="t"/>
    <n v="0"/>
    <n v="0"/>
    <n v="0.17399999999999999"/>
    <n v="0.17399999999999999"/>
    <n v="0"/>
    <n v="0"/>
    <n v="30"/>
    <n v="30"/>
    <n v="0"/>
    <n v="0"/>
    <n v="100"/>
    <s v="Consolidation"/>
    <s v="CO2e and Base Measure"/>
    <n v="100"/>
    <n v="100"/>
    <n v="0.17"/>
    <m/>
    <m/>
    <m/>
    <m/>
    <m/>
    <n v="0.22620000000000001"/>
    <m/>
    <n v="0.22620000000000001"/>
    <m/>
    <m/>
    <m/>
    <m/>
    <m/>
    <s v="AUD"/>
    <s v="13634444Waste - General [t] - Scope 3"/>
    <n v="13634444"/>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5-01T00:00:00"/>
    <s v="FY21"/>
    <s v="t"/>
    <n v="0"/>
    <n v="0"/>
    <n v="0.17979999999999999"/>
    <n v="0.17979999999999999"/>
    <n v="0"/>
    <n v="0"/>
    <n v="31"/>
    <n v="31"/>
    <n v="0"/>
    <n v="0"/>
    <n v="100"/>
    <s v="Consolidation"/>
    <s v="CO2e and Base Measure"/>
    <n v="100"/>
    <n v="100"/>
    <n v="0.18"/>
    <m/>
    <m/>
    <m/>
    <m/>
    <m/>
    <n v="0.23369999999999999"/>
    <m/>
    <n v="0.23369999999999999"/>
    <m/>
    <m/>
    <m/>
    <m/>
    <m/>
    <s v="AUD"/>
    <s v="13634444Waste - General [t] - Scope 3"/>
    <n v="13634444"/>
  </r>
  <r>
    <d v="2019-07-01T00:00:00"/>
    <d v="2021-06-30T00:00:00"/>
    <s v="Telstra"/>
    <s v="NETWORK"/>
    <s v="Network - InfraCo"/>
    <s v="NSW"/>
    <s v="Australia"/>
    <s v="Malabar"/>
    <s v="LITTLE BAY MS__RS"/>
    <n v="423031270100"/>
    <s v="Recycled Waste"/>
    <x v="0"/>
    <x v="1"/>
    <s v="Account"/>
    <s v="Remondis Electrical Comp. (E-Waste)"/>
    <m/>
    <s v="423031270100_RELECTRIC"/>
    <s v="ELECTRICAL COMP. E-WASTE"/>
    <s v="Remondis"/>
    <m/>
    <m/>
    <d v="2021-01-01T00:00:00"/>
    <d v="2020-09-01T00:00:00"/>
    <s v="FY21"/>
    <s v="t"/>
    <n v="0"/>
    <n v="0.25080000000000002"/>
    <n v="0"/>
    <n v="0.25080000000000002"/>
    <n v="0"/>
    <n v="1"/>
    <n v="0"/>
    <n v="1"/>
    <n v="0"/>
    <n v="100"/>
    <n v="0"/>
    <s v="Consolidation"/>
    <s v="CO2e and Base Measure"/>
    <n v="100"/>
    <n v="100"/>
    <n v="0.25"/>
    <m/>
    <m/>
    <m/>
    <m/>
    <m/>
    <m/>
    <m/>
    <m/>
    <m/>
    <m/>
    <m/>
    <m/>
    <m/>
    <s v="AUD"/>
    <s v="13576259Waste Recycled - E-waste [t]"/>
    <n v="13576259"/>
  </r>
  <r>
    <d v="2019-07-01T00:00:00"/>
    <d v="2021-06-30T00:00:00"/>
    <s v="Telstra"/>
    <s v="NETWORK"/>
    <s v="Network - InfraCo"/>
    <s v="NSW"/>
    <s v="Australia"/>
    <s v="Malabar"/>
    <s v="LITTLE BAY MS__RS"/>
    <n v="423031270100"/>
    <s v="Recycled Waste"/>
    <x v="0"/>
    <x v="1"/>
    <s v="Account"/>
    <s v="Remondis Electrical Comp. (E-Waste)"/>
    <m/>
    <s v="423031270100_RELECTRIC"/>
    <s v="ELECTRICAL COMP. E-WASTE"/>
    <s v="Remondis"/>
    <m/>
    <m/>
    <d v="2021-01-01T00:00:00"/>
    <d v="2020-12-01T00:00:00"/>
    <s v="FY21"/>
    <s v="t"/>
    <n v="0"/>
    <n v="0.25080000000000002"/>
    <n v="0"/>
    <n v="0.25080000000000002"/>
    <n v="0"/>
    <n v="1"/>
    <n v="0"/>
    <n v="1"/>
    <n v="0"/>
    <n v="100"/>
    <n v="0"/>
    <s v="Consolidation"/>
    <s v="CO2e and Base Measure"/>
    <n v="100"/>
    <n v="100"/>
    <n v="0.25"/>
    <m/>
    <m/>
    <m/>
    <m/>
    <m/>
    <m/>
    <m/>
    <m/>
    <m/>
    <m/>
    <m/>
    <m/>
    <m/>
    <s v="AUD"/>
    <s v="13576259Waste Recycled - E-waste [t]"/>
    <n v="13576259"/>
  </r>
  <r>
    <d v="2019-07-01T00:00:00"/>
    <d v="2021-06-30T00:00:00"/>
    <s v="Telstra"/>
    <s v="NETWORK"/>
    <s v="Network - InfraCo"/>
    <s v="NSW"/>
    <s v="Australia"/>
    <s v="Malabar"/>
    <s v="LITTLE BAY MS__RS"/>
    <n v="423031270100"/>
    <s v="Recycled Waste"/>
    <x v="0"/>
    <x v="1"/>
    <s v="Account"/>
    <s v="Remondis Electrical Comp. (E-Waste)"/>
    <m/>
    <s v="423031270100_RELECTRIC"/>
    <s v="ELECTRICAL COMP. E-WASTE"/>
    <s v="Remondis"/>
    <m/>
    <m/>
    <d v="2021-01-01T00:00:00"/>
    <d v="2021-01-01T00:00:00"/>
    <s v="FY21"/>
    <s v="t"/>
    <n v="0"/>
    <n v="0"/>
    <n v="4.1000000000000003E-3"/>
    <n v="4.1000000000000003E-3"/>
    <n v="0"/>
    <n v="0"/>
    <n v="1"/>
    <n v="1"/>
    <n v="0"/>
    <n v="0"/>
    <n v="100"/>
    <s v="Consolidation"/>
    <s v="CO2e and Base Measure"/>
    <n v="100"/>
    <n v="100"/>
    <n v="0"/>
    <m/>
    <m/>
    <m/>
    <m/>
    <m/>
    <m/>
    <m/>
    <m/>
    <m/>
    <m/>
    <m/>
    <m/>
    <m/>
    <s v="AUD"/>
    <s v="13576259Waste Recycled - E-waste [t]"/>
    <n v="13576259"/>
  </r>
  <r>
    <d v="2019-07-01T00:00:00"/>
    <d v="2021-06-30T00:00:00"/>
    <s v="Telstra"/>
    <s v="NETWORK"/>
    <s v="Network - InfraCo"/>
    <s v="NSW"/>
    <s v="Australia"/>
    <s v="Liverpool"/>
    <s v="LIVERPOOL EXCHANGE"/>
    <n v="423030274500"/>
    <s v="Waste"/>
    <x v="1"/>
    <x v="2"/>
    <s v="Account"/>
    <s v="Remondis General Waste"/>
    <m/>
    <s v="423030274500_WGENERALW"/>
    <s v="GENERAL WASTE"/>
    <s v="Remondis"/>
    <m/>
    <m/>
    <d v="2021-01-01T00:00:00"/>
    <d v="2020-07-01T00:00:00"/>
    <s v="FY21"/>
    <s v="t"/>
    <n v="0.105"/>
    <n v="0"/>
    <n v="0"/>
    <n v="0.105"/>
    <n v="1"/>
    <n v="0"/>
    <n v="0"/>
    <n v="1"/>
    <n v="100"/>
    <n v="0"/>
    <n v="0"/>
    <s v="Consolidation"/>
    <s v="CO2e and Base Measure"/>
    <n v="100"/>
    <n v="100"/>
    <n v="0.11"/>
    <m/>
    <m/>
    <m/>
    <m/>
    <m/>
    <n v="0.13650000000000001"/>
    <m/>
    <n v="0.13650000000000001"/>
    <m/>
    <m/>
    <m/>
    <m/>
    <m/>
    <s v="AUD"/>
    <s v="13564324Waste - General [t] - Scope 3"/>
    <n v="13564324"/>
  </r>
  <r>
    <d v="2019-07-01T00:00:00"/>
    <d v="2021-06-30T00:00:00"/>
    <s v="Telstra"/>
    <s v="NETWORK"/>
    <s v="Network - InfraCo"/>
    <s v="NSW"/>
    <s v="Australia"/>
    <s v="Liverpool"/>
    <s v="LIVERPOOL EXCHANGE"/>
    <n v="423030274500"/>
    <s v="Waste"/>
    <x v="1"/>
    <x v="2"/>
    <s v="Account"/>
    <s v="Remondis General Waste"/>
    <m/>
    <s v="423030274500_WGENERALW"/>
    <s v="GENERAL WASTE"/>
    <s v="Remondis"/>
    <m/>
    <m/>
    <d v="2021-01-01T00:00:00"/>
    <d v="2020-12-01T00:00:00"/>
    <s v="FY21"/>
    <s v="t"/>
    <n v="0.24"/>
    <n v="0"/>
    <n v="0"/>
    <n v="0.24"/>
    <n v="1"/>
    <n v="0"/>
    <n v="0"/>
    <n v="1"/>
    <n v="100"/>
    <n v="0"/>
    <n v="0"/>
    <s v="Consolidation"/>
    <s v="CO2e and Base Measure"/>
    <n v="100"/>
    <n v="100"/>
    <n v="0.24"/>
    <m/>
    <m/>
    <m/>
    <m/>
    <m/>
    <n v="0.312"/>
    <m/>
    <n v="0.312"/>
    <m/>
    <m/>
    <m/>
    <m/>
    <m/>
    <s v="AUD"/>
    <s v="13564324Waste - General [t] - Scope 3"/>
    <n v="13564324"/>
  </r>
  <r>
    <d v="2019-07-01T00:00:00"/>
    <d v="2021-06-30T00:00:00"/>
    <s v="Telstra"/>
    <s v="NETWORK"/>
    <s v="Network - InfraCo"/>
    <s v="NSW"/>
    <s v="Australia"/>
    <s v="Liverpool"/>
    <s v="LIVERPOOL EXCHANGE"/>
    <n v="423030274500"/>
    <s v="Waste"/>
    <x v="1"/>
    <x v="2"/>
    <s v="Account"/>
    <s v="Remondis General Waste"/>
    <m/>
    <s v="423030274500_WGENERALW"/>
    <s v="GENERAL WASTE"/>
    <s v="Remondis"/>
    <m/>
    <m/>
    <d v="2021-01-01T00:00:00"/>
    <d v="2021-01-01T00:00:00"/>
    <s v="FY21"/>
    <s v="t"/>
    <n v="0"/>
    <n v="0"/>
    <n v="3.5000000000000001E-3"/>
    <n v="3.5000000000000001E-3"/>
    <n v="0"/>
    <n v="0"/>
    <n v="1"/>
    <n v="1"/>
    <n v="0"/>
    <n v="0"/>
    <n v="100"/>
    <s v="Consolidation"/>
    <s v="CO2e and Base Measure"/>
    <n v="100"/>
    <n v="100"/>
    <n v="0"/>
    <m/>
    <m/>
    <m/>
    <m/>
    <m/>
    <n v="4.5999999999999999E-3"/>
    <m/>
    <n v="4.5999999999999999E-3"/>
    <m/>
    <m/>
    <m/>
    <m/>
    <m/>
    <s v="AUD"/>
    <s v="13564324Waste - General [t] - Scope 3"/>
    <n v="13564324"/>
  </r>
  <r>
    <d v="2019-07-01T00:00:00"/>
    <d v="2021-06-30T00:00:00"/>
    <s v="Telstra"/>
    <s v="NETWORK"/>
    <s v="Network - InfraCo"/>
    <s v="NSW"/>
    <s v="Australia"/>
    <s v="Liverpool"/>
    <s v="LIVERPOOL EXCHANGE"/>
    <n v="423030274500"/>
    <s v="Recycled Waste"/>
    <x v="0"/>
    <x v="5"/>
    <s v="Account"/>
    <s v="Remondis Construction &amp; Demolition - Recycled"/>
    <m/>
    <s v="423030274500_RCONSDEM"/>
    <s v="CONSTRUCTION &amp; DEMOLITION - RECYLED"/>
    <s v="Remondis"/>
    <m/>
    <d v="2020-06-03T00:00:00"/>
    <d v="2021-01-01T00:00:00"/>
    <d v="2020-12-01T00:00:00"/>
    <s v="FY21"/>
    <s v="t"/>
    <n v="4.08"/>
    <n v="0"/>
    <n v="0"/>
    <n v="4.08"/>
    <n v="1"/>
    <n v="0"/>
    <n v="0"/>
    <n v="1"/>
    <n v="100"/>
    <n v="0"/>
    <n v="0"/>
    <s v="Consolidation"/>
    <s v="CO2e and Base Measure"/>
    <n v="100"/>
    <n v="100"/>
    <n v="4.08"/>
    <m/>
    <m/>
    <m/>
    <m/>
    <m/>
    <m/>
    <m/>
    <m/>
    <m/>
    <m/>
    <m/>
    <m/>
    <m/>
    <s v="AUD"/>
    <s v="13612598Waste Recycled - Construction and Demolition [t]"/>
    <n v="13612598"/>
  </r>
  <r>
    <d v="2019-07-01T00:00:00"/>
    <d v="2021-06-30T00:00:00"/>
    <s v="Telstra"/>
    <s v="NETWORK"/>
    <s v="Network - InfraCo"/>
    <s v="NSW"/>
    <s v="Australia"/>
    <s v="Liverpool"/>
    <s v="LIVERPOOL EXCHANGE"/>
    <n v="423030274500"/>
    <s v="Recycled Waste"/>
    <x v="0"/>
    <x v="5"/>
    <s v="Account"/>
    <s v="Remondis Construction &amp; Demolition - Recycled"/>
    <m/>
    <s v="423030274500_RCONSDEM"/>
    <s v="CONSTRUCTION &amp; DEMOLITION - RECYLED"/>
    <s v="Remondis"/>
    <m/>
    <d v="2020-06-03T00:00:00"/>
    <d v="2021-01-01T00:00:00"/>
    <d v="2021-01-01T00:00:00"/>
    <s v="FY21"/>
    <s v="t"/>
    <n v="0"/>
    <n v="0"/>
    <n v="0.1305"/>
    <n v="0.1305"/>
    <n v="0"/>
    <n v="0"/>
    <n v="1"/>
    <n v="1"/>
    <n v="0"/>
    <n v="0"/>
    <n v="100"/>
    <s v="Consolidation"/>
    <s v="CO2e and Base Measure"/>
    <n v="100"/>
    <n v="100"/>
    <n v="0.13"/>
    <m/>
    <m/>
    <m/>
    <m/>
    <m/>
    <m/>
    <m/>
    <m/>
    <m/>
    <m/>
    <m/>
    <m/>
    <m/>
    <s v="AUD"/>
    <s v="13612598Waste Recycled - Construction and Demolition [t]"/>
    <n v="13612598"/>
  </r>
  <r>
    <d v="2019-07-01T00:00:00"/>
    <d v="2021-06-30T00:00:00"/>
    <s v="Telstra"/>
    <s v="NETWORK"/>
    <s v="Network - InfraCo"/>
    <s v="NSW"/>
    <s v="Australia"/>
    <s v="Liverpool"/>
    <s v="LIVERPOOL EXCHANGE"/>
    <n v="423030274500"/>
    <s v="Waste"/>
    <x v="1"/>
    <x v="2"/>
    <s v="Account"/>
    <s v="CLEANAWAY General"/>
    <m/>
    <s v="44005_Landfill_General"/>
    <s v="General"/>
    <s v="Cleanaway"/>
    <m/>
    <d v="2021-02-23T00:00:00"/>
    <m/>
    <d v="2021-02-01T00:00:00"/>
    <s v="FY21"/>
    <s v="t"/>
    <n v="0.24"/>
    <n v="0"/>
    <n v="0"/>
    <n v="0.24"/>
    <n v="1"/>
    <n v="0"/>
    <n v="0"/>
    <n v="1"/>
    <n v="100"/>
    <n v="0"/>
    <n v="0"/>
    <s v="Consolidation"/>
    <s v="CO2e and Base Measure"/>
    <n v="100"/>
    <n v="100"/>
    <n v="0.24"/>
    <m/>
    <m/>
    <m/>
    <m/>
    <m/>
    <n v="0.312"/>
    <m/>
    <n v="0.312"/>
    <m/>
    <m/>
    <m/>
    <m/>
    <m/>
    <s v="AUD"/>
    <s v="13639896Waste - General [t] - Scope 3"/>
    <n v="13639896"/>
  </r>
  <r>
    <d v="2019-07-01T00:00:00"/>
    <d v="2021-06-30T00:00:00"/>
    <s v="Telstra"/>
    <s v="NETWORK"/>
    <s v="Network - InfraCo"/>
    <s v="NSW"/>
    <s v="Australia"/>
    <s v="Liverpool"/>
    <s v="LIVERPOOL EXCHANGE"/>
    <n v="423030274500"/>
    <s v="Waste"/>
    <x v="1"/>
    <x v="2"/>
    <s v="Account"/>
    <s v="CLEANAWAY General"/>
    <m/>
    <s v="44005_Landfill_General"/>
    <s v="General"/>
    <s v="Cleanaway"/>
    <m/>
    <d v="2021-02-23T00:00:00"/>
    <m/>
    <d v="2021-03-01T00:00:00"/>
    <s v="FY21"/>
    <s v="t"/>
    <n v="0.08"/>
    <n v="0"/>
    <n v="0"/>
    <n v="0.08"/>
    <n v="1"/>
    <n v="0"/>
    <n v="0"/>
    <n v="1"/>
    <n v="100"/>
    <n v="0"/>
    <n v="0"/>
    <s v="Consolidation"/>
    <s v="CO2e and Base Measure"/>
    <n v="100"/>
    <n v="100"/>
    <n v="0.08"/>
    <m/>
    <m/>
    <m/>
    <m/>
    <m/>
    <n v="0.104"/>
    <m/>
    <n v="0.104"/>
    <m/>
    <m/>
    <m/>
    <m/>
    <m/>
    <s v="AUD"/>
    <s v="13639896Waste - General [t] - Scope 3"/>
    <n v="13639896"/>
  </r>
  <r>
    <d v="2019-07-01T00:00:00"/>
    <d v="2021-06-30T00:00:00"/>
    <s v="Telstra"/>
    <s v="NETWORK"/>
    <s v="Network - InfraCo"/>
    <s v="NSW"/>
    <s v="Australia"/>
    <s v="Liverpool"/>
    <s v="LIVERPOOL EXCHANGE"/>
    <n v="423030274500"/>
    <s v="Waste"/>
    <x v="1"/>
    <x v="2"/>
    <s v="Account"/>
    <s v="CLEANAWAY General"/>
    <m/>
    <s v="44005_Landfill_General"/>
    <s v="General"/>
    <s v="Cleanaway"/>
    <m/>
    <d v="2021-02-23T00:00:00"/>
    <m/>
    <d v="2021-04-01T00:00:00"/>
    <s v="FY21"/>
    <s v="t"/>
    <n v="0"/>
    <n v="0"/>
    <n v="0.16500000000000001"/>
    <n v="0.16500000000000001"/>
    <n v="0"/>
    <n v="0"/>
    <n v="30"/>
    <n v="30"/>
    <n v="0"/>
    <n v="0"/>
    <n v="100"/>
    <s v="Consolidation"/>
    <s v="CO2e and Base Measure"/>
    <n v="100"/>
    <n v="100"/>
    <n v="0.17"/>
    <m/>
    <m/>
    <m/>
    <m/>
    <m/>
    <n v="0.2145"/>
    <m/>
    <n v="0.2145"/>
    <m/>
    <m/>
    <m/>
    <m/>
    <m/>
    <s v="AUD"/>
    <s v="13639896Waste - General [t] - Scope 3"/>
    <n v="13639896"/>
  </r>
  <r>
    <d v="2019-07-01T00:00:00"/>
    <d v="2021-06-30T00:00:00"/>
    <s v="Telstra"/>
    <s v="NETWORK"/>
    <s v="Network - InfraCo"/>
    <s v="NSW"/>
    <s v="Australia"/>
    <s v="Liverpool"/>
    <s v="LIVERPOOL EXCHANGE"/>
    <n v="423030274500"/>
    <s v="Waste"/>
    <x v="1"/>
    <x v="2"/>
    <s v="Account"/>
    <s v="CLEANAWAY General"/>
    <m/>
    <s v="44005_Landfill_General"/>
    <s v="General"/>
    <s v="Cleanaway"/>
    <m/>
    <d v="2021-02-23T00:00:00"/>
    <m/>
    <d v="2021-05-01T00:00:00"/>
    <s v="FY21"/>
    <s v="t"/>
    <n v="0"/>
    <n v="0"/>
    <n v="0.17050000000000001"/>
    <n v="0.17050000000000001"/>
    <n v="0"/>
    <n v="0"/>
    <n v="31"/>
    <n v="31"/>
    <n v="0"/>
    <n v="0"/>
    <n v="100"/>
    <s v="Consolidation"/>
    <s v="CO2e and Base Measure"/>
    <n v="100"/>
    <n v="100"/>
    <n v="0.17"/>
    <m/>
    <m/>
    <m/>
    <m/>
    <m/>
    <n v="0.22170000000000001"/>
    <m/>
    <n v="0.22170000000000001"/>
    <m/>
    <m/>
    <m/>
    <m/>
    <m/>
    <s v="AUD"/>
    <s v="13639896Waste - General [t] - Scope 3"/>
    <n v="13639896"/>
  </r>
  <r>
    <d v="2019-07-01T00:00:00"/>
    <d v="2021-06-30T00:00:00"/>
    <s v="Telstra"/>
    <s v="NETWORK"/>
    <s v="Network - InfraCo"/>
    <s v="SA"/>
    <s v="Australia"/>
    <s v="Lobethal"/>
    <s v="LOBETHAL EXCHANGE"/>
    <n v="423030528900"/>
    <s v="Waste"/>
    <x v="1"/>
    <x v="2"/>
    <s v="Account"/>
    <s v="Remondis General Waste"/>
    <m/>
    <s v="423030528900_WGENERALW"/>
    <s v="GENERAL WASTE"/>
    <s v="Remondis"/>
    <m/>
    <m/>
    <d v="2020-08-01T00:00:00"/>
    <d v="2020-07-01T00:00:00"/>
    <s v="FY21"/>
    <s v="t"/>
    <n v="1.18"/>
    <n v="0"/>
    <n v="0"/>
    <n v="1.18"/>
    <n v="1"/>
    <n v="0"/>
    <n v="0"/>
    <n v="1"/>
    <n v="100"/>
    <n v="0"/>
    <n v="0"/>
    <s v="Consolidation"/>
    <s v="CO2e and Base Measure"/>
    <n v="100"/>
    <n v="100"/>
    <n v="1.18"/>
    <m/>
    <m/>
    <m/>
    <m/>
    <m/>
    <n v="1.534"/>
    <m/>
    <n v="1.534"/>
    <m/>
    <m/>
    <m/>
    <m/>
    <m/>
    <s v="AUD"/>
    <s v="13586289Waste - General [t] - Scope 3"/>
    <n v="13586289"/>
  </r>
  <r>
    <d v="2019-07-01T00:00:00"/>
    <d v="2021-06-30T00:00:00"/>
    <s v="Telstra"/>
    <s v="NETWORK"/>
    <s v="Network - InfraCo"/>
    <s v="SA"/>
    <s v="Australia"/>
    <s v="Lobethal"/>
    <s v="LOBETHAL EXCHANGE"/>
    <n v="423030528900"/>
    <s v="Waste"/>
    <x v="1"/>
    <x v="2"/>
    <s v="Account"/>
    <s v="Remondis General Waste"/>
    <m/>
    <s v="423030528900_WGENERALW"/>
    <s v="GENERAL WASTE"/>
    <s v="Remondis"/>
    <m/>
    <m/>
    <d v="2020-08-01T00:00:00"/>
    <d v="2020-08-01T00:00:00"/>
    <s v="FY21"/>
    <s v="t"/>
    <n v="0"/>
    <n v="0"/>
    <n v="3.9300000000000002E-2"/>
    <n v="3.9300000000000002E-2"/>
    <n v="0"/>
    <n v="0"/>
    <n v="1"/>
    <n v="1"/>
    <n v="0"/>
    <n v="0"/>
    <n v="100"/>
    <s v="Consolidation"/>
    <s v="CO2e and Base Measure"/>
    <n v="100"/>
    <n v="100"/>
    <n v="0.04"/>
    <m/>
    <m/>
    <m/>
    <m/>
    <m/>
    <n v="5.11E-2"/>
    <m/>
    <n v="5.11E-2"/>
    <m/>
    <m/>
    <m/>
    <m/>
    <m/>
    <s v="AUD"/>
    <s v="13586289Waste - General [t] - Scope 3"/>
    <n v="13586289"/>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07-01T00:00:00"/>
    <s v="FY21"/>
    <s v="t"/>
    <n v="7.0000000000000007E-2"/>
    <n v="9.7500000000000003E-2"/>
    <n v="0"/>
    <n v="0.16750000000000001"/>
    <n v="2"/>
    <n v="1"/>
    <n v="0"/>
    <n v="3"/>
    <n v="41.79"/>
    <n v="58.2"/>
    <n v="0"/>
    <s v="Consolidation"/>
    <s v="CO2e and Base Measure"/>
    <n v="100"/>
    <n v="100"/>
    <n v="0.17"/>
    <m/>
    <m/>
    <m/>
    <m/>
    <m/>
    <n v="0.21779999999999999"/>
    <m/>
    <n v="0.21779999999999999"/>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08-01T00:00:00"/>
    <s v="FY21"/>
    <s v="t"/>
    <n v="0.14000000000000001"/>
    <n v="0"/>
    <n v="0"/>
    <n v="0.14000000000000001"/>
    <n v="2"/>
    <n v="0"/>
    <n v="0"/>
    <n v="2"/>
    <n v="100"/>
    <n v="0"/>
    <n v="0"/>
    <s v="Consolidation"/>
    <s v="CO2e and Base Measure"/>
    <n v="100"/>
    <n v="100"/>
    <n v="0.14000000000000001"/>
    <m/>
    <m/>
    <m/>
    <m/>
    <m/>
    <n v="0.182"/>
    <m/>
    <n v="0.182"/>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09-01T00:00:00"/>
    <s v="FY21"/>
    <s v="t"/>
    <n v="0.09"/>
    <n v="0"/>
    <n v="0"/>
    <n v="0.09"/>
    <n v="2"/>
    <n v="0"/>
    <n v="0"/>
    <n v="2"/>
    <n v="100"/>
    <n v="0"/>
    <n v="0"/>
    <s v="Consolidation"/>
    <s v="CO2e and Base Measure"/>
    <n v="100"/>
    <n v="100"/>
    <n v="0.09"/>
    <m/>
    <m/>
    <m/>
    <m/>
    <m/>
    <n v="0.11700000000000001"/>
    <m/>
    <n v="0.11700000000000001"/>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10-01T00:00:00"/>
    <s v="FY21"/>
    <s v="t"/>
    <n v="0.16"/>
    <n v="0"/>
    <n v="0"/>
    <n v="0.16"/>
    <n v="2"/>
    <n v="0"/>
    <n v="0"/>
    <n v="2"/>
    <n v="100"/>
    <n v="0"/>
    <n v="0"/>
    <s v="Consolidation"/>
    <s v="CO2e and Base Measure"/>
    <n v="100"/>
    <n v="100"/>
    <n v="0.16"/>
    <m/>
    <m/>
    <m/>
    <m/>
    <m/>
    <n v="0.20799999999999999"/>
    <m/>
    <n v="0.20799999999999999"/>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11-01T00:00:00"/>
    <s v="FY21"/>
    <s v="t"/>
    <n v="0.26"/>
    <n v="0"/>
    <n v="0"/>
    <n v="0.26"/>
    <n v="2"/>
    <n v="0"/>
    <n v="0"/>
    <n v="2"/>
    <n v="100"/>
    <n v="0"/>
    <n v="0"/>
    <s v="Consolidation"/>
    <s v="CO2e and Base Measure"/>
    <n v="100"/>
    <n v="100"/>
    <n v="0.26"/>
    <m/>
    <m/>
    <m/>
    <m/>
    <m/>
    <n v="0.33800000000000002"/>
    <m/>
    <n v="0.33800000000000002"/>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12-01T00:00:00"/>
    <s v="FY21"/>
    <s v="t"/>
    <n v="0.09"/>
    <n v="9.7500000000000003E-2"/>
    <n v="0"/>
    <n v="0.1875"/>
    <n v="1"/>
    <n v="1"/>
    <n v="0"/>
    <n v="2"/>
    <n v="48"/>
    <n v="52"/>
    <n v="0"/>
    <s v="Consolidation"/>
    <s v="CO2e and Base Measure"/>
    <n v="100"/>
    <n v="100"/>
    <n v="0.19"/>
    <m/>
    <m/>
    <m/>
    <m/>
    <m/>
    <n v="0.24379999999999999"/>
    <m/>
    <n v="0.24379999999999999"/>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1-01-01T00:00:00"/>
    <s v="FY21"/>
    <s v="t"/>
    <n v="0"/>
    <n v="0"/>
    <n v="5.4000000000000003E-3"/>
    <n v="5.4000000000000003E-3"/>
    <n v="0"/>
    <n v="0"/>
    <n v="1"/>
    <n v="1"/>
    <n v="0"/>
    <n v="0"/>
    <n v="100"/>
    <s v="Consolidation"/>
    <s v="CO2e and Base Measure"/>
    <n v="100"/>
    <n v="100"/>
    <n v="0.01"/>
    <m/>
    <m/>
    <m/>
    <m/>
    <m/>
    <n v="7.0000000000000001E-3"/>
    <m/>
    <n v="7.0000000000000001E-3"/>
    <m/>
    <m/>
    <m/>
    <m/>
    <m/>
    <s v="AUD"/>
    <s v="13564184Waste - General [t] - Scope 3"/>
    <n v="13564184"/>
  </r>
  <r>
    <d v="2019-07-01T00:00:00"/>
    <d v="2021-06-30T00:00:00"/>
    <s v="Telstra"/>
    <s v="NETWORK"/>
    <s v="Network - InfraCo"/>
    <s v="QLD"/>
    <s v="Australia"/>
    <s v="Slacks Creek"/>
    <s v="LOGANHOLME EXCHANGE"/>
    <n v="423030114800"/>
    <s v="Waste"/>
    <x v="1"/>
    <x v="2"/>
    <s v="Account"/>
    <s v="CLEANAWAY General"/>
    <m/>
    <s v="56944_Landfill_General"/>
    <s v="General"/>
    <s v="Cleanaway"/>
    <m/>
    <d v="2021-02-19T00:00:00"/>
    <m/>
    <d v="2021-02-01T00:00:00"/>
    <s v="FY21"/>
    <s v="t"/>
    <n v="0.25"/>
    <n v="0"/>
    <n v="0"/>
    <n v="0.25"/>
    <n v="1"/>
    <n v="0"/>
    <n v="0"/>
    <n v="1"/>
    <n v="100"/>
    <n v="0"/>
    <n v="0"/>
    <s v="Consolidation"/>
    <s v="CO2e and Base Measure"/>
    <n v="100"/>
    <n v="100"/>
    <n v="0.25"/>
    <m/>
    <m/>
    <m/>
    <m/>
    <m/>
    <n v="0.32500000000000001"/>
    <m/>
    <n v="0.32500000000000001"/>
    <m/>
    <m/>
    <m/>
    <m/>
    <m/>
    <s v="AUD"/>
    <s v="13639932Waste - General [t] - Scope 3"/>
    <n v="13639932"/>
  </r>
  <r>
    <d v="2019-07-01T00:00:00"/>
    <d v="2021-06-30T00:00:00"/>
    <s v="Telstra"/>
    <s v="NETWORK"/>
    <s v="Network - InfraCo"/>
    <s v="QLD"/>
    <s v="Australia"/>
    <s v="Slacks Creek"/>
    <s v="LOGANHOLME EXCHANGE"/>
    <n v="423030114800"/>
    <s v="Waste"/>
    <x v="1"/>
    <x v="2"/>
    <s v="Account"/>
    <s v="CLEANAWAY General"/>
    <m/>
    <s v="56944_Landfill_General"/>
    <s v="General"/>
    <s v="Cleanaway"/>
    <m/>
    <d v="2021-02-19T00:00:00"/>
    <m/>
    <d v="2021-03-01T00:00:00"/>
    <s v="FY21"/>
    <s v="t"/>
    <n v="0"/>
    <n v="0"/>
    <n v="0.2883"/>
    <n v="0.2883"/>
    <n v="0"/>
    <n v="0"/>
    <n v="31"/>
    <n v="31"/>
    <n v="0"/>
    <n v="0"/>
    <n v="100"/>
    <s v="Consolidation"/>
    <s v="CO2e and Base Measure"/>
    <n v="100"/>
    <n v="100"/>
    <n v="0.28999999999999998"/>
    <m/>
    <m/>
    <m/>
    <m/>
    <m/>
    <n v="0.37480000000000002"/>
    <m/>
    <n v="0.37480000000000002"/>
    <m/>
    <m/>
    <m/>
    <m/>
    <m/>
    <s v="AUD"/>
    <s v="13639932Waste - General [t] - Scope 3"/>
    <n v="13639932"/>
  </r>
  <r>
    <d v="2019-07-01T00:00:00"/>
    <d v="2021-06-30T00:00:00"/>
    <s v="Telstra"/>
    <s v="NETWORK"/>
    <s v="Network - InfraCo"/>
    <s v="QLD"/>
    <s v="Australia"/>
    <s v="Slacks Creek"/>
    <s v="LOGANHOLME EXCHANGE"/>
    <n v="423030114800"/>
    <s v="Waste"/>
    <x v="1"/>
    <x v="2"/>
    <s v="Account"/>
    <s v="CLEANAWAY General"/>
    <m/>
    <s v="56944_Landfill_General"/>
    <s v="General"/>
    <s v="Cleanaway"/>
    <m/>
    <d v="2021-02-19T00:00:00"/>
    <m/>
    <d v="2021-04-01T00:00:00"/>
    <s v="FY21"/>
    <s v="t"/>
    <n v="0"/>
    <n v="0"/>
    <n v="0.27900000000000003"/>
    <n v="0.27900000000000003"/>
    <n v="0"/>
    <n v="0"/>
    <n v="30"/>
    <n v="30"/>
    <n v="0"/>
    <n v="0"/>
    <n v="100"/>
    <s v="Consolidation"/>
    <s v="CO2e and Base Measure"/>
    <n v="100"/>
    <n v="100"/>
    <n v="0.28000000000000003"/>
    <m/>
    <m/>
    <m/>
    <m/>
    <m/>
    <n v="0.36270000000000002"/>
    <m/>
    <n v="0.36270000000000002"/>
    <m/>
    <m/>
    <m/>
    <m/>
    <m/>
    <s v="AUD"/>
    <s v="13639932Waste - General [t] - Scope 3"/>
    <n v="13639932"/>
  </r>
  <r>
    <d v="2019-07-01T00:00:00"/>
    <d v="2021-06-30T00:00:00"/>
    <s v="Telstra"/>
    <s v="NETWORK"/>
    <s v="Network - InfraCo"/>
    <s v="QLD"/>
    <s v="Australia"/>
    <s v="Slacks Creek"/>
    <s v="LOGANHOLME EXCHANGE"/>
    <n v="423030114800"/>
    <s v="Waste"/>
    <x v="1"/>
    <x v="2"/>
    <s v="Account"/>
    <s v="CLEANAWAY General"/>
    <m/>
    <s v="56944_Landfill_General"/>
    <s v="General"/>
    <s v="Cleanaway"/>
    <m/>
    <d v="2021-02-19T00:00:00"/>
    <m/>
    <d v="2021-05-01T00:00:00"/>
    <s v="FY21"/>
    <s v="t"/>
    <n v="0"/>
    <n v="0"/>
    <n v="0.2883"/>
    <n v="0.2883"/>
    <n v="0"/>
    <n v="0"/>
    <n v="31"/>
    <n v="31"/>
    <n v="0"/>
    <n v="0"/>
    <n v="100"/>
    <s v="Consolidation"/>
    <s v="CO2e and Base Measure"/>
    <n v="100"/>
    <n v="100"/>
    <n v="0.28999999999999998"/>
    <m/>
    <m/>
    <m/>
    <m/>
    <m/>
    <n v="0.37480000000000002"/>
    <m/>
    <n v="0.37480000000000002"/>
    <m/>
    <m/>
    <m/>
    <m/>
    <m/>
    <s v="AUD"/>
    <s v="13639932Waste - General [t] - Scope 3"/>
    <n v="13639932"/>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08-01T00:00:00"/>
    <s v="FY21"/>
    <s v="t"/>
    <n v="0.26500000000000001"/>
    <n v="0"/>
    <n v="0"/>
    <n v="0.26500000000000001"/>
    <n v="2"/>
    <n v="0"/>
    <n v="0"/>
    <n v="2"/>
    <n v="100"/>
    <n v="0"/>
    <n v="0"/>
    <s v="Consolidation"/>
    <s v="CO2e and Base Measure"/>
    <n v="100"/>
    <n v="100"/>
    <n v="0.27"/>
    <m/>
    <m/>
    <m/>
    <m/>
    <m/>
    <n v="0.34449999999999997"/>
    <m/>
    <n v="0.34449999999999997"/>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09-01T00:00:00"/>
    <s v="FY21"/>
    <s v="t"/>
    <n v="2.0550000000000002"/>
    <n v="0"/>
    <n v="0"/>
    <n v="2.0550000000000002"/>
    <n v="3"/>
    <n v="0"/>
    <n v="0"/>
    <n v="3"/>
    <n v="100"/>
    <n v="0"/>
    <n v="0"/>
    <s v="Consolidation"/>
    <s v="CO2e and Base Measure"/>
    <n v="100"/>
    <n v="100"/>
    <n v="2.06"/>
    <m/>
    <m/>
    <m/>
    <m/>
    <m/>
    <n v="2.6715"/>
    <m/>
    <n v="2.6715"/>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10-01T00:00:00"/>
    <s v="FY21"/>
    <s v="t"/>
    <n v="0.42499999999999999"/>
    <n v="0"/>
    <n v="0"/>
    <n v="0.42499999999999999"/>
    <n v="2"/>
    <n v="0"/>
    <n v="0"/>
    <n v="2"/>
    <n v="100"/>
    <n v="0"/>
    <n v="0"/>
    <s v="Consolidation"/>
    <s v="CO2e and Base Measure"/>
    <n v="100"/>
    <n v="100"/>
    <n v="0.43"/>
    <m/>
    <m/>
    <m/>
    <m/>
    <m/>
    <n v="0.55249999999999999"/>
    <m/>
    <n v="0.55249999999999999"/>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11-01T00:00:00"/>
    <s v="FY21"/>
    <s v="t"/>
    <n v="0.21"/>
    <n v="0"/>
    <n v="0"/>
    <n v="0.21"/>
    <n v="2"/>
    <n v="0"/>
    <n v="0"/>
    <n v="2"/>
    <n v="100"/>
    <n v="0"/>
    <n v="0"/>
    <s v="Consolidation"/>
    <s v="CO2e and Base Measure"/>
    <n v="100"/>
    <n v="100"/>
    <n v="0.21"/>
    <m/>
    <m/>
    <m/>
    <m/>
    <m/>
    <n v="0.27300000000000002"/>
    <m/>
    <n v="0.27300000000000002"/>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1-01-01T00:00:00"/>
    <s v="FY21"/>
    <s v="t"/>
    <n v="0"/>
    <n v="0"/>
    <n v="2.0299999999999999E-2"/>
    <n v="2.0299999999999999E-2"/>
    <n v="0"/>
    <n v="0"/>
    <n v="1"/>
    <n v="1"/>
    <n v="0"/>
    <n v="0"/>
    <n v="100"/>
    <s v="Consolidation"/>
    <s v="CO2e and Base Measure"/>
    <n v="100"/>
    <n v="100"/>
    <n v="0.02"/>
    <m/>
    <m/>
    <m/>
    <m/>
    <m/>
    <n v="2.64E-2"/>
    <m/>
    <n v="2.64E-2"/>
    <m/>
    <m/>
    <m/>
    <m/>
    <m/>
    <s v="AUD"/>
    <s v="13564321Waste - General [t] - Scope 3"/>
    <n v="13564321"/>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1-01T00:00:00"/>
    <s v="FY21"/>
    <s v="t"/>
    <n v="0"/>
    <n v="0"/>
    <n v="0.13950000000000001"/>
    <n v="0.13950000000000001"/>
    <n v="0"/>
    <n v="0"/>
    <n v="31"/>
    <n v="31"/>
    <n v="0"/>
    <n v="0"/>
    <n v="100"/>
    <s v="Consolidation"/>
    <s v="CO2e and Base Measure"/>
    <n v="100"/>
    <n v="100"/>
    <n v="0.14000000000000001"/>
    <m/>
    <m/>
    <m/>
    <m/>
    <m/>
    <n v="0.18140000000000001"/>
    <m/>
    <n v="0.18140000000000001"/>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2-01T00:00:00"/>
    <s v="FY21"/>
    <s v="t"/>
    <n v="0"/>
    <n v="0"/>
    <n v="0.126"/>
    <n v="0.126"/>
    <n v="0"/>
    <n v="0"/>
    <n v="28"/>
    <n v="28"/>
    <n v="0"/>
    <n v="0"/>
    <n v="100"/>
    <s v="Consolidation"/>
    <s v="CO2e and Base Measure"/>
    <n v="100"/>
    <n v="100"/>
    <n v="0.13"/>
    <m/>
    <m/>
    <m/>
    <m/>
    <m/>
    <n v="0.1638"/>
    <m/>
    <n v="0.1638"/>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59Waste - General [t] - Scope 3"/>
    <n v="13634159"/>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485Waste - General [t] - Scope 3"/>
    <n v="13565485"/>
  </r>
  <r>
    <d v="2019-07-01T00:00:00"/>
    <d v="2021-06-30T00:00:00"/>
    <s v="Telstra"/>
    <s v="NETWORK"/>
    <s v="Network - InfraCo"/>
    <s v="QLD"/>
    <s v="Australia"/>
    <s v="Queensland"/>
    <s v="LONGREACH EXCHANGE"/>
    <n v="423030109700"/>
    <s v="Recycled Waste"/>
    <x v="0"/>
    <x v="1"/>
    <s v="Account"/>
    <s v="Remondis Batteries - Mixed Recycled"/>
    <m/>
    <s v="423030109700_RBATTERY."/>
    <s v="BATTERIES - MIXED RECYCLED"/>
    <s v="Remondis"/>
    <m/>
    <m/>
    <d v="2020-12-01T00:00:00"/>
    <d v="2020-11-01T00:00:00"/>
    <s v="FY21"/>
    <s v="t"/>
    <n v="0.627"/>
    <n v="0"/>
    <n v="0"/>
    <n v="0.627"/>
    <n v="1"/>
    <n v="0"/>
    <n v="0"/>
    <n v="1"/>
    <n v="100"/>
    <n v="0"/>
    <n v="0"/>
    <s v="Consolidation"/>
    <s v="CO2e and Base Measure"/>
    <n v="100"/>
    <n v="100"/>
    <n v="0.63"/>
    <m/>
    <m/>
    <m/>
    <m/>
    <m/>
    <m/>
    <m/>
    <m/>
    <m/>
    <m/>
    <m/>
    <m/>
    <m/>
    <s v="AUD"/>
    <s v="13564181Waste Recycled - E-waste [t]"/>
    <n v="13564181"/>
  </r>
  <r>
    <d v="2019-07-01T00:00:00"/>
    <d v="2021-06-30T00:00:00"/>
    <s v="Telstra"/>
    <s v="NETWORK"/>
    <s v="Network - InfraCo"/>
    <s v="QLD"/>
    <s v="Australia"/>
    <s v="Queensland"/>
    <s v="LONGREACH EXCHANGE"/>
    <n v="423030109700"/>
    <s v="Recycled Waste"/>
    <x v="0"/>
    <x v="1"/>
    <s v="Account"/>
    <s v="Remondis Batteries - Mixed Recycled"/>
    <m/>
    <s v="423030109700_RBATTERY."/>
    <s v="BATTERIES - MIXED RECYCLED"/>
    <s v="Remondis"/>
    <m/>
    <m/>
    <d v="2020-12-01T00:00:00"/>
    <d v="2020-12-01T00:00:00"/>
    <s v="FY21"/>
    <s v="t"/>
    <n v="0"/>
    <n v="0"/>
    <n v="2.1600000000000001E-2"/>
    <n v="2.1600000000000001E-2"/>
    <n v="0"/>
    <n v="0"/>
    <n v="1"/>
    <n v="1"/>
    <n v="0"/>
    <n v="0"/>
    <n v="100"/>
    <s v="Consolidation"/>
    <s v="CO2e and Base Measure"/>
    <n v="100"/>
    <n v="100"/>
    <n v="0.02"/>
    <m/>
    <m/>
    <m/>
    <m/>
    <m/>
    <m/>
    <m/>
    <m/>
    <m/>
    <m/>
    <m/>
    <m/>
    <m/>
    <s v="AUD"/>
    <s v="13564181Waste Recycled - E-waste [t]"/>
    <n v="13564181"/>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780Waste Recycled - Cardboard [t]"/>
    <n v="13564780"/>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780Waste Recycled - Cardboard [t]"/>
    <n v="13564780"/>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09-01T00:00:00"/>
    <s v="FY21"/>
    <s v="t"/>
    <n v="0"/>
    <n v="6.3E-2"/>
    <n v="0"/>
    <n v="6.3E-2"/>
    <n v="0"/>
    <n v="1"/>
    <n v="0"/>
    <n v="1"/>
    <n v="0"/>
    <n v="100"/>
    <n v="0"/>
    <s v="Consolidation"/>
    <s v="CO2e and Base Measure"/>
    <n v="100"/>
    <n v="100"/>
    <n v="0.06"/>
    <m/>
    <m/>
    <m/>
    <m/>
    <m/>
    <m/>
    <n v="0"/>
    <m/>
    <m/>
    <m/>
    <m/>
    <m/>
    <m/>
    <s v="AUD"/>
    <s v="13564780Waste Recycled - Cardboard [t]"/>
    <n v="13564780"/>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780Waste Recycled - Cardboard [t]"/>
    <n v="13564780"/>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4780Waste Recycled - Cardboard [t]"/>
    <n v="13564780"/>
  </r>
  <r>
    <d v="2019-07-01T00:00:00"/>
    <d v="2021-06-30T00:00:00"/>
    <s v="Telstra"/>
    <s v="NETWORK"/>
    <s v="Network - InfraCo"/>
    <s v="SA"/>
    <s v="Australia"/>
    <s v="Morphett Vale"/>
    <s v="LONSDALE EXCHANGE"/>
    <n v="423030529900"/>
    <s v="Waste"/>
    <x v="1"/>
    <x v="2"/>
    <s v="Account"/>
    <s v="Remondis General Waste"/>
    <m/>
    <s v="4230305299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783Waste - General [t] - Scope 3"/>
    <n v="13564783"/>
  </r>
  <r>
    <d v="2019-07-01T00:00:00"/>
    <d v="2021-06-30T00:00:00"/>
    <s v="Telstra"/>
    <s v="NETWORK"/>
    <s v="Network - InfraCo"/>
    <s v="SA"/>
    <s v="Australia"/>
    <s v="Morphett Vale"/>
    <s v="LONSDALE EXCHANGE"/>
    <n v="423030529900"/>
    <s v="Waste"/>
    <x v="1"/>
    <x v="2"/>
    <s v="Account"/>
    <s v="Remondis General Waste"/>
    <m/>
    <s v="4230305299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783Waste - General [t] - Scope 3"/>
    <n v="13564783"/>
  </r>
  <r>
    <d v="2019-07-01T00:00:00"/>
    <d v="2021-06-30T00:00:00"/>
    <s v="Telstra"/>
    <s v="NETWORK"/>
    <s v="Network - InfraCo"/>
    <s v="SA"/>
    <s v="Australia"/>
    <s v="Morphett Vale"/>
    <s v="LONSDALE EXCHANGE"/>
    <n v="423030529900"/>
    <s v="Waste"/>
    <x v="1"/>
    <x v="2"/>
    <s v="Account"/>
    <s v="Remondis General Waste"/>
    <m/>
    <s v="4230305299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783Waste - General [t] - Scope 3"/>
    <n v="13564783"/>
  </r>
  <r>
    <d v="2019-07-01T00:00:00"/>
    <d v="2021-06-30T00:00:00"/>
    <s v="Telstra"/>
    <s v="NETWORK"/>
    <s v="Network - InfraCo"/>
    <s v="SA"/>
    <s v="Australia"/>
    <s v="Morphett Vale"/>
    <s v="LONSDALE EXCHANGE"/>
    <n v="423030529900"/>
    <s v="Waste"/>
    <x v="1"/>
    <x v="2"/>
    <s v="Account"/>
    <s v="Remondis General Waste"/>
    <m/>
    <s v="423030529900_WGENERALW"/>
    <s v="GENERAL WASTE"/>
    <s v="Remondis"/>
    <m/>
    <m/>
    <d v="2020-12-01T00:00:00"/>
    <d v="2020-12-01T00:00:00"/>
    <s v="FY21"/>
    <s v="t"/>
    <n v="0"/>
    <n v="0"/>
    <n v="9.5999999999999992E-3"/>
    <n v="9.5999999999999992E-3"/>
    <n v="0"/>
    <n v="0"/>
    <n v="1"/>
    <n v="1"/>
    <n v="0"/>
    <n v="0"/>
    <n v="100"/>
    <s v="Consolidation"/>
    <s v="CO2e and Base Measure"/>
    <n v="100"/>
    <n v="100"/>
    <n v="0.01"/>
    <m/>
    <m/>
    <m/>
    <m/>
    <m/>
    <n v="1.2500000000000001E-2"/>
    <m/>
    <n v="1.2500000000000001E-2"/>
    <m/>
    <m/>
    <m/>
    <m/>
    <m/>
    <s v="AUD"/>
    <s v="13564783Waste - General [t] - Scope 3"/>
    <n v="13564783"/>
  </r>
  <r>
    <d v="2019-07-01T00:00:00"/>
    <d v="2021-06-30T00:00:00"/>
    <s v="Telstra"/>
    <s v="NETWORK"/>
    <s v="Network - InfraCo"/>
    <s v="SA"/>
    <s v="Australia"/>
    <s v="Morphett Vale"/>
    <s v="LONSDALE EXCHANGE"/>
    <n v="423030529900"/>
    <s v="Recycled Waste"/>
    <x v="0"/>
    <x v="1"/>
    <s v="Account"/>
    <s v="Remondis Electrical Comp. (E-Waste)"/>
    <m/>
    <s v="423030529900_RELECTRIC"/>
    <s v="ELECTRICAL COMP. E-WASTE"/>
    <s v="Remondis"/>
    <m/>
    <m/>
    <d v="2020-12-01T00:00:00"/>
    <d v="2020-11-01T00:00:00"/>
    <s v="FY21"/>
    <s v="t"/>
    <n v="0"/>
    <n v="4.5600000000000002E-2"/>
    <n v="0"/>
    <n v="4.5600000000000002E-2"/>
    <n v="0"/>
    <n v="1"/>
    <n v="0"/>
    <n v="1"/>
    <n v="0"/>
    <n v="100"/>
    <n v="0"/>
    <s v="Consolidation"/>
    <s v="CO2e and Base Measure"/>
    <n v="100"/>
    <n v="100"/>
    <n v="0.05"/>
    <m/>
    <m/>
    <m/>
    <m/>
    <m/>
    <m/>
    <m/>
    <m/>
    <m/>
    <m/>
    <m/>
    <m/>
    <m/>
    <s v="AUD"/>
    <s v="13576212Waste Recycled - E-waste [t]"/>
    <n v="13576212"/>
  </r>
  <r>
    <d v="2019-07-01T00:00:00"/>
    <d v="2021-06-30T00:00:00"/>
    <s v="Telstra"/>
    <s v="NETWORK"/>
    <s v="Network - InfraCo"/>
    <s v="SA"/>
    <s v="Australia"/>
    <s v="Morphett Vale"/>
    <s v="LONSDALE EXCHANGE"/>
    <n v="423030529900"/>
    <s v="Recycled Waste"/>
    <x v="0"/>
    <x v="1"/>
    <s v="Account"/>
    <s v="Remondis Electrical Comp. (E-Waste)"/>
    <m/>
    <s v="423030529900_RELECTRIC"/>
    <s v="ELECTRICAL COMP. E-WASTE"/>
    <s v="Remondis"/>
    <m/>
    <m/>
    <d v="2020-12-01T00:00:00"/>
    <d v="2020-12-01T00:00:00"/>
    <s v="FY21"/>
    <s v="t"/>
    <n v="0"/>
    <n v="0"/>
    <n v="1.6000000000000001E-3"/>
    <n v="1.6000000000000001E-3"/>
    <n v="0"/>
    <n v="0"/>
    <n v="1"/>
    <n v="1"/>
    <n v="0"/>
    <n v="0"/>
    <n v="100"/>
    <s v="Consolidation"/>
    <s v="CO2e and Base Measure"/>
    <n v="100"/>
    <n v="100"/>
    <n v="0"/>
    <m/>
    <m/>
    <m/>
    <m/>
    <m/>
    <m/>
    <m/>
    <m/>
    <m/>
    <m/>
    <m/>
    <m/>
    <m/>
    <s v="AUD"/>
    <s v="13576212Waste Recycled - E-waste [t]"/>
    <n v="13576212"/>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0-12-01T00:00:00"/>
    <s v="FY21"/>
    <s v="t"/>
    <n v="0.182"/>
    <n v="0"/>
    <n v="0"/>
    <n v="0.182"/>
    <n v="1"/>
    <n v="0"/>
    <n v="0"/>
    <n v="1"/>
    <n v="100"/>
    <n v="0"/>
    <n v="0"/>
    <s v="Consolidation"/>
    <s v="CO2e and Base Measure"/>
    <n v="100"/>
    <n v="100"/>
    <n v="0.18"/>
    <m/>
    <m/>
    <m/>
    <m/>
    <m/>
    <n v="0.2366"/>
    <m/>
    <n v="0.2366"/>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1-01T00:00:00"/>
    <s v="FY21"/>
    <s v="t"/>
    <n v="0.129"/>
    <n v="0"/>
    <n v="0"/>
    <n v="0.129"/>
    <n v="1"/>
    <n v="0"/>
    <n v="0"/>
    <n v="1"/>
    <n v="100"/>
    <n v="0"/>
    <n v="0"/>
    <s v="Consolidation"/>
    <s v="CO2e and Base Measure"/>
    <n v="100"/>
    <n v="100"/>
    <n v="0.13"/>
    <m/>
    <m/>
    <m/>
    <m/>
    <m/>
    <n v="0.16769999999999999"/>
    <m/>
    <n v="0.16769999999999999"/>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2-01T00:00:00"/>
    <s v="FY21"/>
    <s v="t"/>
    <n v="5.2999999999999999E-2"/>
    <n v="0"/>
    <n v="0"/>
    <n v="5.2999999999999999E-2"/>
    <n v="1"/>
    <n v="0"/>
    <n v="0"/>
    <n v="1"/>
    <n v="100"/>
    <n v="0"/>
    <n v="0"/>
    <s v="Consolidation"/>
    <s v="CO2e and Base Measure"/>
    <n v="100"/>
    <n v="100"/>
    <n v="0.05"/>
    <m/>
    <m/>
    <m/>
    <m/>
    <m/>
    <n v="6.8900000000000003E-2"/>
    <m/>
    <n v="6.8900000000000003E-2"/>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3-01T00:00:00"/>
    <s v="FY21"/>
    <s v="t"/>
    <n v="0.35499999999999998"/>
    <n v="0"/>
    <n v="0"/>
    <n v="0.35499999999999998"/>
    <n v="1"/>
    <n v="0"/>
    <n v="0"/>
    <n v="1"/>
    <n v="100"/>
    <n v="0"/>
    <n v="0"/>
    <s v="Consolidation"/>
    <s v="CO2e and Base Measure"/>
    <n v="100"/>
    <n v="100"/>
    <n v="0.36"/>
    <m/>
    <m/>
    <m/>
    <m/>
    <m/>
    <n v="0.46150000000000002"/>
    <m/>
    <n v="0.46150000000000002"/>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4-01T00:00:00"/>
    <s v="FY21"/>
    <s v="t"/>
    <n v="0"/>
    <n v="0"/>
    <n v="0.18"/>
    <n v="0.18"/>
    <n v="0"/>
    <n v="0"/>
    <n v="30"/>
    <n v="30"/>
    <n v="0"/>
    <n v="0"/>
    <n v="100"/>
    <s v="Consolidation"/>
    <s v="CO2e and Base Measure"/>
    <n v="100"/>
    <n v="100"/>
    <n v="0.18"/>
    <m/>
    <m/>
    <m/>
    <m/>
    <m/>
    <n v="0.23400000000000001"/>
    <m/>
    <n v="0.23400000000000001"/>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5-01T00:00:00"/>
    <s v="FY21"/>
    <s v="t"/>
    <n v="0"/>
    <n v="0"/>
    <n v="0.186"/>
    <n v="0.186"/>
    <n v="0"/>
    <n v="0"/>
    <n v="31"/>
    <n v="31"/>
    <n v="0"/>
    <n v="0"/>
    <n v="100"/>
    <s v="Consolidation"/>
    <s v="CO2e and Base Measure"/>
    <n v="100"/>
    <n v="100"/>
    <n v="0.19"/>
    <m/>
    <m/>
    <m/>
    <m/>
    <m/>
    <n v="0.24179999999999999"/>
    <m/>
    <n v="0.24179999999999999"/>
    <m/>
    <m/>
    <m/>
    <m/>
    <m/>
    <s v="AUD"/>
    <s v="13634160Waste - General [t] - Scope 3"/>
    <n v="13634160"/>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0-12-01T00:00:00"/>
    <s v="FY21"/>
    <s v="t"/>
    <n v="6.9000000000000006E-2"/>
    <n v="0"/>
    <n v="0"/>
    <n v="6.9000000000000006E-2"/>
    <n v="1"/>
    <n v="0"/>
    <n v="0"/>
    <n v="1"/>
    <n v="100"/>
    <n v="0"/>
    <n v="0"/>
    <s v="Consolidation"/>
    <s v="CO2e and Base Measure"/>
    <n v="100"/>
    <n v="100"/>
    <n v="7.0000000000000007E-2"/>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1-01T00:00:00"/>
    <s v="FY21"/>
    <s v="t"/>
    <n v="2.1000000000000001E-2"/>
    <n v="0"/>
    <n v="0"/>
    <n v="2.1000000000000001E-2"/>
    <n v="1"/>
    <n v="0"/>
    <n v="0"/>
    <n v="1"/>
    <n v="100"/>
    <n v="0"/>
    <n v="0"/>
    <s v="Consolidation"/>
    <s v="CO2e and Base Measure"/>
    <n v="100"/>
    <n v="100"/>
    <n v="0.02"/>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2-01T00:00:00"/>
    <s v="FY21"/>
    <s v="t"/>
    <n v="5.2999999999999999E-2"/>
    <n v="0"/>
    <n v="0"/>
    <n v="5.2999999999999999E-2"/>
    <n v="1"/>
    <n v="0"/>
    <n v="0"/>
    <n v="1"/>
    <n v="100"/>
    <n v="0"/>
    <n v="0"/>
    <s v="Consolidation"/>
    <s v="CO2e and Base Measure"/>
    <n v="100"/>
    <n v="100"/>
    <n v="0.05"/>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3-01T00:00:00"/>
    <s v="FY21"/>
    <s v="t"/>
    <n v="6.7000000000000004E-2"/>
    <n v="0"/>
    <n v="0"/>
    <n v="6.7000000000000004E-2"/>
    <n v="1"/>
    <n v="0"/>
    <n v="0"/>
    <n v="1"/>
    <n v="100"/>
    <n v="0"/>
    <n v="0"/>
    <s v="Consolidation"/>
    <s v="CO2e and Base Measure"/>
    <n v="100"/>
    <n v="100"/>
    <n v="7.0000000000000007E-2"/>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4-01T00:00:00"/>
    <s v="FY21"/>
    <s v="t"/>
    <n v="0"/>
    <n v="0"/>
    <n v="5.3999999999999999E-2"/>
    <n v="5.3999999999999999E-2"/>
    <n v="0"/>
    <n v="0"/>
    <n v="30"/>
    <n v="30"/>
    <n v="0"/>
    <n v="0"/>
    <n v="100"/>
    <s v="Consolidation"/>
    <s v="CO2e and Base Measure"/>
    <n v="100"/>
    <n v="100"/>
    <n v="0.05"/>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5-01T00:00:00"/>
    <s v="FY21"/>
    <s v="t"/>
    <n v="0"/>
    <n v="0"/>
    <n v="5.5800000000000002E-2"/>
    <n v="5.5800000000000002E-2"/>
    <n v="0"/>
    <n v="0"/>
    <n v="31"/>
    <n v="31"/>
    <n v="0"/>
    <n v="0"/>
    <n v="100"/>
    <s v="Consolidation"/>
    <s v="CO2e and Base Measure"/>
    <n v="100"/>
    <n v="100"/>
    <n v="0.06"/>
    <m/>
    <m/>
    <m/>
    <m/>
    <m/>
    <m/>
    <m/>
    <m/>
    <m/>
    <m/>
    <m/>
    <m/>
    <m/>
    <s v="AUD"/>
    <s v="13634161Waste Recycled - Paper and Cardboard [t]"/>
    <n v="13634161"/>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07-01T00:00:00"/>
    <s v="FY21"/>
    <s v="t"/>
    <n v="0"/>
    <n v="0.16309999999999999"/>
    <n v="0"/>
    <n v="0.16309999999999999"/>
    <n v="0"/>
    <n v="6"/>
    <n v="0"/>
    <n v="6"/>
    <n v="0"/>
    <n v="100"/>
    <n v="0"/>
    <s v="Consolidation"/>
    <s v="CO2e and Base Measure"/>
    <n v="100"/>
    <n v="100"/>
    <n v="0.16"/>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08-01T00:00:00"/>
    <s v="FY21"/>
    <s v="t"/>
    <n v="0"/>
    <n v="0.27960000000000002"/>
    <n v="0"/>
    <n v="0.27960000000000002"/>
    <n v="0"/>
    <n v="9"/>
    <n v="0"/>
    <n v="9"/>
    <n v="0"/>
    <n v="100"/>
    <n v="0"/>
    <s v="Consolidation"/>
    <s v="CO2e and Base Measure"/>
    <n v="100"/>
    <n v="100"/>
    <n v="0.28000000000000003"/>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09-01T00:00:00"/>
    <s v="FY21"/>
    <s v="t"/>
    <n v="0"/>
    <n v="0.16309999999999999"/>
    <n v="0"/>
    <n v="0.16309999999999999"/>
    <n v="0"/>
    <n v="5"/>
    <n v="0"/>
    <n v="5"/>
    <n v="0"/>
    <n v="100"/>
    <n v="0"/>
    <s v="Consolidation"/>
    <s v="CO2e and Base Measure"/>
    <n v="100"/>
    <n v="100"/>
    <n v="0.16"/>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10-01T00:00:00"/>
    <s v="FY21"/>
    <s v="t"/>
    <n v="0"/>
    <n v="0.2097"/>
    <n v="0"/>
    <n v="0.2097"/>
    <n v="0"/>
    <n v="7"/>
    <n v="0"/>
    <n v="7"/>
    <n v="0"/>
    <n v="100"/>
    <n v="0"/>
    <s v="Consolidation"/>
    <s v="CO2e and Base Measure"/>
    <n v="100"/>
    <n v="100"/>
    <n v="0.21"/>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11-01T00:00:00"/>
    <s v="FY21"/>
    <s v="t"/>
    <n v="0"/>
    <n v="0.18640000000000001"/>
    <n v="0"/>
    <n v="0.18640000000000001"/>
    <n v="0"/>
    <n v="7"/>
    <n v="0"/>
    <n v="7"/>
    <n v="0"/>
    <n v="100"/>
    <n v="0"/>
    <s v="Consolidation"/>
    <s v="CO2e and Base Measure"/>
    <n v="100"/>
    <n v="100"/>
    <n v="0.19"/>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12-01T00:00:00"/>
    <s v="FY21"/>
    <s v="t"/>
    <n v="0"/>
    <n v="4.6600000000000003E-2"/>
    <n v="0"/>
    <n v="4.6600000000000003E-2"/>
    <n v="0"/>
    <n v="1"/>
    <n v="0"/>
    <n v="1"/>
    <n v="0"/>
    <n v="100"/>
    <n v="0"/>
    <s v="Consolidation"/>
    <s v="CO2e and Base Measure"/>
    <n v="100"/>
    <n v="100"/>
    <n v="0.05"/>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1-01-01T00:00:00"/>
    <s v="FY21"/>
    <s v="t"/>
    <n v="0"/>
    <n v="0"/>
    <n v="6.1000000000000004E-3"/>
    <n v="6.1000000000000004E-3"/>
    <n v="0"/>
    <n v="0"/>
    <n v="1"/>
    <n v="1"/>
    <n v="0"/>
    <n v="0"/>
    <n v="100"/>
    <s v="Consolidation"/>
    <s v="CO2e and Base Measure"/>
    <n v="100"/>
    <n v="100"/>
    <n v="0.01"/>
    <m/>
    <m/>
    <m/>
    <m/>
    <m/>
    <m/>
    <n v="0"/>
    <m/>
    <m/>
    <m/>
    <m/>
    <m/>
    <m/>
    <s v="AUD"/>
    <s v="13565273Waste Recycled - Cardboard [t]"/>
    <n v="13565273"/>
  </r>
  <r>
    <d v="2019-07-01T00:00:00"/>
    <d v="2021-06-30T00:00:00"/>
    <s v="Telstra"/>
    <s v="NETWORK"/>
    <s v="Network - InfraCo"/>
    <s v="VIC"/>
    <s v="Australia"/>
    <s v="Melbourne"/>
    <s v="LONSDALE EXCHANGE1"/>
    <n v="423030785100"/>
    <s v="Recycled Waste"/>
    <x v="0"/>
    <x v="3"/>
    <s v="Account"/>
    <s v="Remondis Commingled - Recycled"/>
    <m/>
    <s v="423030785100_RCOMINGLE"/>
    <s v="COMMINGLED - RECYCLED"/>
    <s v="Remondis"/>
    <m/>
    <m/>
    <d v="2021-01-01T00:00:00"/>
    <d v="2020-10-01T00:00:00"/>
    <s v="FY21"/>
    <s v="t"/>
    <n v="0"/>
    <n v="7.1999999999999995E-2"/>
    <n v="0"/>
    <n v="7.1999999999999995E-2"/>
    <n v="0"/>
    <n v="1"/>
    <n v="0"/>
    <n v="1"/>
    <n v="0"/>
    <n v="100"/>
    <n v="0"/>
    <s v="Consolidation"/>
    <s v="CO2e and Base Measure"/>
    <n v="100"/>
    <n v="100"/>
    <n v="7.0000000000000007E-2"/>
    <m/>
    <m/>
    <m/>
    <m/>
    <m/>
    <m/>
    <n v="0"/>
    <m/>
    <m/>
    <m/>
    <m/>
    <m/>
    <m/>
    <s v="AUD"/>
    <s v="13565274Waste Recycled - Commingled [t]"/>
    <n v="13565274"/>
  </r>
  <r>
    <d v="2019-07-01T00:00:00"/>
    <d v="2021-06-30T00:00:00"/>
    <s v="Telstra"/>
    <s v="NETWORK"/>
    <s v="Network - InfraCo"/>
    <s v="VIC"/>
    <s v="Australia"/>
    <s v="Melbourne"/>
    <s v="LONSDALE EXCHANGE1"/>
    <n v="423030785100"/>
    <s v="Recycled Waste"/>
    <x v="0"/>
    <x v="3"/>
    <s v="Account"/>
    <s v="Remondis Commingled - Recycled"/>
    <m/>
    <s v="423030785100_RCOMINGLE"/>
    <s v="COMMINGLED - RECYCLED"/>
    <s v="Remondis"/>
    <m/>
    <m/>
    <d v="2021-01-01T00:00:00"/>
    <d v="2020-12-01T00:00:00"/>
    <s v="FY21"/>
    <s v="t"/>
    <n v="0"/>
    <n v="7.1999999999999995E-2"/>
    <n v="0"/>
    <n v="7.1999999999999995E-2"/>
    <n v="0"/>
    <n v="1"/>
    <n v="0"/>
    <n v="1"/>
    <n v="0"/>
    <n v="100"/>
    <n v="0"/>
    <s v="Consolidation"/>
    <s v="CO2e and Base Measure"/>
    <n v="100"/>
    <n v="100"/>
    <n v="7.0000000000000007E-2"/>
    <m/>
    <m/>
    <m/>
    <m/>
    <m/>
    <m/>
    <n v="0"/>
    <m/>
    <m/>
    <m/>
    <m/>
    <m/>
    <m/>
    <s v="AUD"/>
    <s v="13565274Waste Recycled - Commingled [t]"/>
    <n v="13565274"/>
  </r>
  <r>
    <d v="2019-07-01T00:00:00"/>
    <d v="2021-06-30T00:00:00"/>
    <s v="Telstra"/>
    <s v="NETWORK"/>
    <s v="Network - InfraCo"/>
    <s v="VIC"/>
    <s v="Australia"/>
    <s v="Melbourne"/>
    <s v="LONSDALE EXCHANGE1"/>
    <n v="423030785100"/>
    <s v="Recycled Waste"/>
    <x v="0"/>
    <x v="3"/>
    <s v="Account"/>
    <s v="Remondis Commingled - Recycled"/>
    <m/>
    <s v="423030785100_RCOMINGLE"/>
    <s v="COMMINGLED - RECYCLED"/>
    <s v="Remondis"/>
    <m/>
    <m/>
    <d v="2021-01-01T00:00:00"/>
    <d v="2021-01-01T00:00:00"/>
    <s v="FY21"/>
    <s v="t"/>
    <n v="0"/>
    <n v="0"/>
    <n v="1E-3"/>
    <n v="1E-3"/>
    <n v="0"/>
    <n v="0"/>
    <n v="1"/>
    <n v="1"/>
    <n v="0"/>
    <n v="0"/>
    <n v="100"/>
    <s v="Consolidation"/>
    <s v="CO2e and Base Measure"/>
    <n v="100"/>
    <n v="100"/>
    <n v="0"/>
    <m/>
    <m/>
    <m/>
    <m/>
    <m/>
    <m/>
    <n v="0"/>
    <m/>
    <m/>
    <m/>
    <m/>
    <m/>
    <m/>
    <s v="AUD"/>
    <s v="13565274Waste Recycled - Commingled [t]"/>
    <n v="13565274"/>
  </r>
  <r>
    <d v="2019-07-01T00:00:00"/>
    <d v="2021-06-30T00:00:00"/>
    <s v="Telstra"/>
    <s v="NETWORK"/>
    <s v="Network - InfraCo"/>
    <s v="VIC"/>
    <s v="Australia"/>
    <s v="Melbourne"/>
    <s v="LONSDALE EXCHANGE1"/>
    <n v="423030785100"/>
    <s v="Recycled Waste"/>
    <x v="0"/>
    <x v="1"/>
    <s v="Account"/>
    <s v="Remondis Electrical Comp. (E-Waste)"/>
    <m/>
    <s v="423030785100_RELECTRIC"/>
    <s v="ELECTRICAL COMP. E-WASTE"/>
    <s v="Remondis"/>
    <m/>
    <m/>
    <d v="2020-11-01T00:00:00"/>
    <d v="2020-07-01T00:00:00"/>
    <s v="FY21"/>
    <s v="t"/>
    <n v="0.152"/>
    <n v="0"/>
    <n v="0"/>
    <n v="0.152"/>
    <n v="1"/>
    <n v="0"/>
    <n v="0"/>
    <n v="1"/>
    <n v="100"/>
    <n v="0"/>
    <n v="0"/>
    <s v="Consolidation"/>
    <s v="CO2e and Base Measure"/>
    <n v="100"/>
    <n v="100"/>
    <n v="0.15"/>
    <m/>
    <m/>
    <m/>
    <m/>
    <m/>
    <m/>
    <m/>
    <m/>
    <m/>
    <m/>
    <m/>
    <m/>
    <m/>
    <s v="AUD"/>
    <s v="13565275Waste Recycled - E-waste [t]"/>
    <n v="13565275"/>
  </r>
  <r>
    <d v="2019-07-01T00:00:00"/>
    <d v="2021-06-30T00:00:00"/>
    <s v="Telstra"/>
    <s v="NETWORK"/>
    <s v="Network - InfraCo"/>
    <s v="VIC"/>
    <s v="Australia"/>
    <s v="Melbourne"/>
    <s v="LONSDALE EXCHANGE1"/>
    <n v="423030785100"/>
    <s v="Recycled Waste"/>
    <x v="0"/>
    <x v="1"/>
    <s v="Account"/>
    <s v="Remondis Electrical Comp. (E-Waste)"/>
    <m/>
    <s v="423030785100_RELECTRIC"/>
    <s v="ELECTRICAL COMP. E-WASTE"/>
    <s v="Remondis"/>
    <m/>
    <m/>
    <d v="2020-11-01T00:00:00"/>
    <d v="2020-10-01T00:00:00"/>
    <s v="FY21"/>
    <s v="t"/>
    <n v="0.217"/>
    <n v="0"/>
    <n v="0"/>
    <n v="0.217"/>
    <n v="1"/>
    <n v="0"/>
    <n v="0"/>
    <n v="1"/>
    <n v="100"/>
    <n v="0"/>
    <n v="0"/>
    <s v="Consolidation"/>
    <s v="CO2e and Base Measure"/>
    <n v="100"/>
    <n v="100"/>
    <n v="0.22"/>
    <m/>
    <m/>
    <m/>
    <m/>
    <m/>
    <m/>
    <m/>
    <m/>
    <m/>
    <m/>
    <m/>
    <m/>
    <m/>
    <s v="AUD"/>
    <s v="13565275Waste Recycled - E-waste [t]"/>
    <n v="13565275"/>
  </r>
  <r>
    <d v="2019-07-01T00:00:00"/>
    <d v="2021-06-30T00:00:00"/>
    <s v="Telstra"/>
    <s v="NETWORK"/>
    <s v="Network - InfraCo"/>
    <s v="VIC"/>
    <s v="Australia"/>
    <s v="Melbourne"/>
    <s v="LONSDALE EXCHANGE1"/>
    <n v="423030785100"/>
    <s v="Recycled Waste"/>
    <x v="0"/>
    <x v="1"/>
    <s v="Account"/>
    <s v="Remondis Electrical Comp. (E-Waste)"/>
    <m/>
    <s v="423030785100_RELECTRIC"/>
    <s v="ELECTRICAL COMP. E-WASTE"/>
    <s v="Remondis"/>
    <m/>
    <m/>
    <d v="2020-11-01T00:00:00"/>
    <d v="2020-11-01T00:00:00"/>
    <s v="FY21"/>
    <s v="t"/>
    <n v="0"/>
    <n v="0"/>
    <n v="5.4999999999999997E-3"/>
    <n v="5.4999999999999997E-3"/>
    <n v="0"/>
    <n v="0"/>
    <n v="1"/>
    <n v="1"/>
    <n v="0"/>
    <n v="0"/>
    <n v="100"/>
    <s v="Consolidation"/>
    <s v="CO2e and Base Measure"/>
    <n v="100"/>
    <n v="100"/>
    <n v="0.01"/>
    <m/>
    <m/>
    <m/>
    <m/>
    <m/>
    <m/>
    <m/>
    <m/>
    <m/>
    <m/>
    <m/>
    <m/>
    <m/>
    <s v="AUD"/>
    <s v="13565275Waste Recycled - E-waste [t]"/>
    <n v="13565275"/>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07-01T00:00:00"/>
    <s v="FY21"/>
    <s v="t"/>
    <n v="0"/>
    <n v="1.0104"/>
    <n v="0"/>
    <n v="1.0104"/>
    <n v="0"/>
    <n v="9"/>
    <n v="0"/>
    <n v="9"/>
    <n v="0"/>
    <n v="100"/>
    <n v="0"/>
    <s v="Consolidation"/>
    <s v="CO2e and Base Measure"/>
    <n v="100"/>
    <n v="100"/>
    <n v="1.01"/>
    <m/>
    <m/>
    <m/>
    <m/>
    <m/>
    <n v="1.3134999999999999"/>
    <m/>
    <n v="1.3134999999999999"/>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08-01T00:00:00"/>
    <s v="FY21"/>
    <s v="t"/>
    <n v="0"/>
    <n v="1.2267999999999999"/>
    <n v="0"/>
    <n v="1.2267999999999999"/>
    <n v="0"/>
    <n v="8"/>
    <n v="0"/>
    <n v="8"/>
    <n v="0"/>
    <n v="100"/>
    <n v="0"/>
    <s v="Consolidation"/>
    <s v="CO2e and Base Measure"/>
    <n v="100"/>
    <n v="100"/>
    <n v="1.23"/>
    <m/>
    <m/>
    <m/>
    <m/>
    <m/>
    <n v="1.5948"/>
    <m/>
    <n v="1.5948"/>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09-01T00:00:00"/>
    <s v="FY21"/>
    <s v="t"/>
    <n v="0"/>
    <n v="1.2265999999999999"/>
    <n v="0"/>
    <n v="1.2265999999999999"/>
    <n v="0"/>
    <n v="9"/>
    <n v="0"/>
    <n v="9"/>
    <n v="0"/>
    <n v="100"/>
    <n v="0"/>
    <s v="Consolidation"/>
    <s v="CO2e and Base Measure"/>
    <n v="100"/>
    <n v="100"/>
    <n v="1.23"/>
    <m/>
    <m/>
    <m/>
    <m/>
    <m/>
    <n v="1.5946"/>
    <m/>
    <n v="1.5946"/>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10-01T00:00:00"/>
    <s v="FY21"/>
    <s v="t"/>
    <n v="0"/>
    <n v="1.1547000000000001"/>
    <n v="0"/>
    <n v="1.1547000000000001"/>
    <n v="0"/>
    <n v="9"/>
    <n v="0"/>
    <n v="9"/>
    <n v="0"/>
    <n v="100"/>
    <n v="0"/>
    <s v="Consolidation"/>
    <s v="CO2e and Base Measure"/>
    <n v="100"/>
    <n v="100"/>
    <n v="1.1499999999999999"/>
    <m/>
    <m/>
    <m/>
    <m/>
    <m/>
    <n v="1.5011000000000001"/>
    <m/>
    <n v="1.5011000000000001"/>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11-01T00:00:00"/>
    <s v="FY21"/>
    <s v="t"/>
    <n v="2.2599999999999998"/>
    <n v="1.0103"/>
    <n v="0"/>
    <n v="3.2703000000000002"/>
    <n v="1"/>
    <n v="8"/>
    <n v="0"/>
    <n v="9"/>
    <n v="69.099999999999994"/>
    <n v="30.89"/>
    <n v="0"/>
    <s v="Consolidation"/>
    <s v="CO2e and Base Measure"/>
    <n v="100"/>
    <n v="100"/>
    <n v="3.27"/>
    <m/>
    <m/>
    <m/>
    <m/>
    <m/>
    <n v="4.2514000000000003"/>
    <m/>
    <n v="4.2514000000000003"/>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12-01T00:00:00"/>
    <s v="FY21"/>
    <s v="t"/>
    <n v="0"/>
    <n v="0.433"/>
    <n v="0"/>
    <n v="0.433"/>
    <n v="0"/>
    <n v="2"/>
    <n v="0"/>
    <n v="2"/>
    <n v="0"/>
    <n v="100"/>
    <n v="0"/>
    <s v="Consolidation"/>
    <s v="CO2e and Base Measure"/>
    <n v="100"/>
    <n v="100"/>
    <n v="0.43"/>
    <m/>
    <m/>
    <m/>
    <m/>
    <m/>
    <n v="0.56289999999999996"/>
    <m/>
    <n v="0.56289999999999996"/>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1-01-01T00:00:00"/>
    <s v="FY21"/>
    <s v="t"/>
    <n v="0"/>
    <n v="0"/>
    <n v="4.4499999999999998E-2"/>
    <n v="4.4499999999999998E-2"/>
    <n v="0"/>
    <n v="0"/>
    <n v="1"/>
    <n v="1"/>
    <n v="0"/>
    <n v="0"/>
    <n v="100"/>
    <s v="Consolidation"/>
    <s v="CO2e and Base Measure"/>
    <n v="100"/>
    <n v="100"/>
    <n v="0.04"/>
    <m/>
    <m/>
    <m/>
    <m/>
    <m/>
    <n v="5.79E-2"/>
    <m/>
    <n v="5.79E-2"/>
    <m/>
    <m/>
    <m/>
    <m/>
    <m/>
    <s v="AUD"/>
    <s v="13565277Waste - General [t] - Scope 3"/>
    <n v="13565277"/>
  </r>
  <r>
    <d v="2019-07-01T00:00:00"/>
    <d v="2021-06-30T00:00:00"/>
    <s v="Telstra"/>
    <s v="NETWORK"/>
    <s v="Network - InfraCo"/>
    <s v="VIC"/>
    <s v="Australia"/>
    <s v="Melbourne"/>
    <s v="LONSDALE EXCHANGE1"/>
    <n v="423030785100"/>
    <s v="Recycled Waste"/>
    <x v="0"/>
    <x v="5"/>
    <s v="Account"/>
    <s v="Remondis Metal - Mixed All"/>
    <m/>
    <s v="423030785100_RMETMIXED"/>
    <s v="METAL - MIXED ALL"/>
    <s v="Remondis"/>
    <m/>
    <m/>
    <d v="2021-01-01T00:00:00"/>
    <d v="2020-07-01T00:00:00"/>
    <s v="FY21"/>
    <s v="t"/>
    <n v="0.42499999999999999"/>
    <n v="0"/>
    <n v="0"/>
    <n v="0.42499999999999999"/>
    <n v="1"/>
    <n v="0"/>
    <n v="0"/>
    <n v="1"/>
    <n v="100"/>
    <n v="0"/>
    <n v="0"/>
    <s v="Consolidation"/>
    <s v="CO2e and Base Measure"/>
    <n v="100"/>
    <n v="100"/>
    <n v="0.43"/>
    <m/>
    <m/>
    <m/>
    <m/>
    <m/>
    <m/>
    <m/>
    <m/>
    <m/>
    <m/>
    <m/>
    <m/>
    <m/>
    <s v="AUD"/>
    <s v="13565278Waste Recycled - Construction and Demolition [t]"/>
    <n v="13565278"/>
  </r>
  <r>
    <d v="2019-07-01T00:00:00"/>
    <d v="2021-06-30T00:00:00"/>
    <s v="Telstra"/>
    <s v="NETWORK"/>
    <s v="Network - InfraCo"/>
    <s v="VIC"/>
    <s v="Australia"/>
    <s v="Melbourne"/>
    <s v="LONSDALE EXCHANGE1"/>
    <n v="423030785100"/>
    <s v="Recycled Waste"/>
    <x v="0"/>
    <x v="5"/>
    <s v="Account"/>
    <s v="Remondis Metal - Mixed All"/>
    <m/>
    <s v="423030785100_RMETMIXED"/>
    <s v="METAL - MIXED ALL"/>
    <s v="Remondis"/>
    <m/>
    <m/>
    <d v="2021-01-01T00:00:00"/>
    <d v="2020-10-01T00:00:00"/>
    <s v="FY21"/>
    <s v="t"/>
    <n v="0.22700000000000001"/>
    <n v="0"/>
    <n v="0"/>
    <n v="0.22700000000000001"/>
    <n v="1"/>
    <n v="0"/>
    <n v="0"/>
    <n v="1"/>
    <n v="100"/>
    <n v="0"/>
    <n v="0"/>
    <s v="Consolidation"/>
    <s v="CO2e and Base Measure"/>
    <n v="100"/>
    <n v="100"/>
    <n v="0.23"/>
    <m/>
    <m/>
    <m/>
    <m/>
    <m/>
    <m/>
    <m/>
    <m/>
    <m/>
    <m/>
    <m/>
    <m/>
    <m/>
    <s v="AUD"/>
    <s v="13565278Waste Recycled - Construction and Demolition [t]"/>
    <n v="13565278"/>
  </r>
  <r>
    <d v="2019-07-01T00:00:00"/>
    <d v="2021-06-30T00:00:00"/>
    <s v="Telstra"/>
    <s v="NETWORK"/>
    <s v="Network - InfraCo"/>
    <s v="VIC"/>
    <s v="Australia"/>
    <s v="Melbourne"/>
    <s v="LONSDALE EXCHANGE1"/>
    <n v="423030785100"/>
    <s v="Recycled Waste"/>
    <x v="0"/>
    <x v="5"/>
    <s v="Account"/>
    <s v="Remondis Metal - Mixed All"/>
    <m/>
    <s v="423030785100_RMETMIXED"/>
    <s v="METAL - MIXED ALL"/>
    <s v="Remondis"/>
    <m/>
    <m/>
    <d v="2021-01-01T00:00:00"/>
    <d v="2020-12-01T00:00:00"/>
    <s v="FY21"/>
    <s v="t"/>
    <n v="0"/>
    <n v="6.3"/>
    <n v="0"/>
    <n v="6.3"/>
    <n v="0"/>
    <n v="3"/>
    <n v="0"/>
    <n v="3"/>
    <n v="0"/>
    <n v="100"/>
    <n v="0"/>
    <s v="Consolidation"/>
    <s v="CO2e and Base Measure"/>
    <n v="100"/>
    <n v="100"/>
    <n v="6.3"/>
    <m/>
    <m/>
    <m/>
    <m/>
    <m/>
    <m/>
    <m/>
    <m/>
    <m/>
    <m/>
    <m/>
    <m/>
    <m/>
    <s v="AUD"/>
    <s v="13565278Waste Recycled - Construction and Demolition [t]"/>
    <n v="13565278"/>
  </r>
  <r>
    <d v="2019-07-01T00:00:00"/>
    <d v="2021-06-30T00:00:00"/>
    <s v="Telstra"/>
    <s v="NETWORK"/>
    <s v="Network - InfraCo"/>
    <s v="VIC"/>
    <s v="Australia"/>
    <s v="Melbourne"/>
    <s v="LONSDALE EXCHANGE1"/>
    <n v="423030785100"/>
    <s v="Recycled Waste"/>
    <x v="0"/>
    <x v="5"/>
    <s v="Account"/>
    <s v="Remondis Metal - Mixed All"/>
    <m/>
    <s v="423030785100_RMETMIXED"/>
    <s v="METAL - MIXED ALL"/>
    <s v="Remondis"/>
    <m/>
    <m/>
    <d v="2021-01-01T00:00:00"/>
    <d v="2021-01-01T00:00:00"/>
    <s v="FY21"/>
    <s v="t"/>
    <n v="0"/>
    <n v="0"/>
    <n v="3.4299999999999997E-2"/>
    <n v="3.4299999999999997E-2"/>
    <n v="0"/>
    <n v="0"/>
    <n v="1"/>
    <n v="1"/>
    <n v="0"/>
    <n v="0"/>
    <n v="100"/>
    <s v="Consolidation"/>
    <s v="CO2e and Base Measure"/>
    <n v="100"/>
    <n v="100"/>
    <n v="0.03"/>
    <m/>
    <m/>
    <m/>
    <m/>
    <m/>
    <m/>
    <m/>
    <m/>
    <m/>
    <m/>
    <m/>
    <m/>
    <m/>
    <s v="AUD"/>
    <s v="13565278Waste Recycled - Construction and Demolition [t]"/>
    <n v="13565278"/>
  </r>
  <r>
    <d v="2019-07-01T00:00:00"/>
    <d v="2021-06-30T00:00:00"/>
    <s v="Telstra"/>
    <s v="NETWORK"/>
    <s v="Network - InfraCo"/>
    <s v="VIC"/>
    <s v="Australia"/>
    <s v="Melbourne"/>
    <s v="LONSDALE EXCHANGE1"/>
    <n v="423030785100"/>
    <s v="Recycled Waste"/>
    <x v="0"/>
    <x v="6"/>
    <s v="Account"/>
    <s v="Remondis Pallet - Timber"/>
    <m/>
    <s v="423030785100_RPALLETTB"/>
    <s v="PALLET - TIMBER"/>
    <s v="Remondis"/>
    <m/>
    <m/>
    <d v="2020-09-01T00:00:00"/>
    <d v="2020-09-01T00:00:00"/>
    <s v="FY21"/>
    <s v="t"/>
    <n v="0"/>
    <n v="2.8000000000000001E-2"/>
    <n v="0"/>
    <n v="2.8000000000000001E-2"/>
    <n v="0"/>
    <n v="1"/>
    <n v="0"/>
    <n v="1"/>
    <n v="0"/>
    <n v="100"/>
    <n v="0"/>
    <s v="Consolidation"/>
    <s v="CO2e and Base Measure"/>
    <n v="100"/>
    <n v="100"/>
    <n v="0.03"/>
    <m/>
    <m/>
    <m/>
    <m/>
    <m/>
    <m/>
    <m/>
    <m/>
    <m/>
    <m/>
    <m/>
    <m/>
    <m/>
    <s v="AUD"/>
    <s v="13565279Waste Recycled - Other [t]"/>
    <n v="13565279"/>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0-12-01T00:00:00"/>
    <s v="FY21"/>
    <s v="t"/>
    <n v="0"/>
    <n v="9.9000000000000005E-2"/>
    <n v="0"/>
    <n v="9.9000000000000005E-2"/>
    <n v="0"/>
    <n v="2"/>
    <n v="0"/>
    <n v="2"/>
    <n v="0"/>
    <n v="100"/>
    <n v="0"/>
    <s v="Consolidation"/>
    <s v="CO2e and Base Measure"/>
    <n v="100"/>
    <n v="100"/>
    <n v="0.1"/>
    <m/>
    <m/>
    <m/>
    <m/>
    <m/>
    <n v="0.12870000000000001"/>
    <m/>
    <n v="0.12870000000000001"/>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1-01T00:00:00"/>
    <s v="FY21"/>
    <s v="t"/>
    <n v="0"/>
    <n v="0.69299999999999995"/>
    <n v="0"/>
    <n v="0.69299999999999995"/>
    <n v="0"/>
    <n v="6"/>
    <n v="0"/>
    <n v="6"/>
    <n v="0"/>
    <n v="100"/>
    <n v="0"/>
    <s v="Consolidation"/>
    <s v="CO2e and Base Measure"/>
    <n v="100"/>
    <n v="100"/>
    <n v="0.69"/>
    <m/>
    <m/>
    <m/>
    <m/>
    <m/>
    <n v="0.90090000000000003"/>
    <m/>
    <n v="0.90090000000000003"/>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2-01T00:00:00"/>
    <s v="FY21"/>
    <s v="t"/>
    <n v="2.3199999999999998"/>
    <n v="1.1879999999999999"/>
    <n v="0"/>
    <n v="3.508"/>
    <n v="1"/>
    <n v="8"/>
    <n v="0"/>
    <n v="9"/>
    <n v="66.13"/>
    <n v="33.86"/>
    <n v="0"/>
    <s v="Consolidation"/>
    <s v="CO2e and Base Measure"/>
    <n v="100"/>
    <n v="100"/>
    <n v="3.51"/>
    <m/>
    <m/>
    <m/>
    <m/>
    <m/>
    <n v="4.5603999999999996"/>
    <m/>
    <n v="4.5603999999999996"/>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3-01T00:00:00"/>
    <s v="FY21"/>
    <s v="t"/>
    <n v="0.74"/>
    <n v="1.1879999999999999"/>
    <n v="0"/>
    <n v="1.9279999999999999"/>
    <n v="1"/>
    <n v="8"/>
    <n v="0"/>
    <n v="9"/>
    <n v="38.380000000000003"/>
    <n v="61.61"/>
    <n v="0"/>
    <s v="Consolidation"/>
    <s v="CO2e and Base Measure"/>
    <n v="100"/>
    <n v="100"/>
    <n v="1.93"/>
    <m/>
    <m/>
    <m/>
    <m/>
    <m/>
    <n v="2.5064000000000002"/>
    <m/>
    <n v="2.5064000000000002"/>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4-01T00:00:00"/>
    <s v="FY21"/>
    <s v="t"/>
    <n v="0"/>
    <n v="0"/>
    <n v="1.5569999999999999"/>
    <n v="1.5569999999999999"/>
    <n v="0"/>
    <n v="0"/>
    <n v="30"/>
    <n v="30"/>
    <n v="0"/>
    <n v="0"/>
    <n v="100"/>
    <s v="Consolidation"/>
    <s v="CO2e and Base Measure"/>
    <n v="100"/>
    <n v="100"/>
    <n v="1.56"/>
    <m/>
    <m/>
    <m/>
    <m/>
    <m/>
    <n v="2.0240999999999998"/>
    <m/>
    <n v="2.0240999999999998"/>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5-01T00:00:00"/>
    <s v="FY21"/>
    <s v="t"/>
    <n v="0"/>
    <n v="0"/>
    <n v="1.6089"/>
    <n v="1.6089"/>
    <n v="0"/>
    <n v="0"/>
    <n v="31"/>
    <n v="31"/>
    <n v="0"/>
    <n v="0"/>
    <n v="100"/>
    <s v="Consolidation"/>
    <s v="CO2e and Base Measure"/>
    <n v="100"/>
    <n v="100"/>
    <n v="1.61"/>
    <m/>
    <m/>
    <m/>
    <m/>
    <m/>
    <n v="2.0916000000000001"/>
    <m/>
    <n v="2.0916000000000001"/>
    <m/>
    <m/>
    <m/>
    <m/>
    <m/>
    <s v="AUD"/>
    <s v="13634170Waste - General [t] - Scope 3"/>
    <n v="13634170"/>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0-12-01T00:00:00"/>
    <s v="FY21"/>
    <s v="t"/>
    <n v="0.20799999999999999"/>
    <n v="0"/>
    <n v="0"/>
    <n v="0.20799999999999999"/>
    <n v="1"/>
    <n v="0"/>
    <n v="0"/>
    <n v="1"/>
    <n v="100"/>
    <n v="0"/>
    <n v="0"/>
    <s v="Consolidation"/>
    <s v="CO2e and Base Measure"/>
    <n v="100"/>
    <n v="100"/>
    <n v="0.21"/>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1-01T00:00:00"/>
    <s v="FY21"/>
    <s v="t"/>
    <n v="1.0999999999999999E-2"/>
    <n v="0"/>
    <n v="0"/>
    <n v="1.0999999999999999E-2"/>
    <n v="1"/>
    <n v="0"/>
    <n v="0"/>
    <n v="1"/>
    <n v="100"/>
    <n v="0"/>
    <n v="0"/>
    <s v="Consolidation"/>
    <s v="CO2e and Base Measure"/>
    <n v="100"/>
    <n v="100"/>
    <n v="0.01"/>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2-01T00:00:00"/>
    <s v="FY21"/>
    <s v="t"/>
    <n v="0.153"/>
    <n v="7.4999999999999997E-2"/>
    <n v="0"/>
    <n v="0.22800000000000001"/>
    <n v="2"/>
    <n v="1"/>
    <n v="0"/>
    <n v="3"/>
    <n v="67.099999999999994"/>
    <n v="32.89"/>
    <n v="0"/>
    <s v="Consolidation"/>
    <s v="CO2e and Base Measure"/>
    <n v="100"/>
    <n v="100"/>
    <n v="0.23"/>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3-01T00:00:00"/>
    <s v="FY21"/>
    <s v="t"/>
    <n v="0.20699999999999999"/>
    <n v="0.22500000000000001"/>
    <n v="0"/>
    <n v="0.432"/>
    <n v="1"/>
    <n v="2"/>
    <n v="0"/>
    <n v="3"/>
    <n v="47.91"/>
    <n v="52.08"/>
    <n v="0"/>
    <s v="Consolidation"/>
    <s v="CO2e and Base Measure"/>
    <n v="100"/>
    <n v="100"/>
    <n v="0.43"/>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4-01T00:00:00"/>
    <s v="FY21"/>
    <s v="t"/>
    <n v="0"/>
    <n v="0"/>
    <n v="0.219"/>
    <n v="0.219"/>
    <n v="0"/>
    <n v="0"/>
    <n v="30"/>
    <n v="30"/>
    <n v="0"/>
    <n v="0"/>
    <n v="100"/>
    <s v="Consolidation"/>
    <s v="CO2e and Base Measure"/>
    <n v="100"/>
    <n v="100"/>
    <n v="0.22"/>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5-01T00:00:00"/>
    <s v="FY21"/>
    <s v="t"/>
    <n v="0"/>
    <n v="0"/>
    <n v="0.2263"/>
    <n v="0.2263"/>
    <n v="0"/>
    <n v="0"/>
    <n v="31"/>
    <n v="31"/>
    <n v="0"/>
    <n v="0"/>
    <n v="100"/>
    <s v="Consolidation"/>
    <s v="CO2e and Base Measure"/>
    <n v="100"/>
    <n v="100"/>
    <n v="0.23"/>
    <m/>
    <m/>
    <m/>
    <m/>
    <m/>
    <m/>
    <m/>
    <m/>
    <m/>
    <m/>
    <m/>
    <m/>
    <m/>
    <s v="AUD"/>
    <s v="13634171Waste Recycled - Paper and Cardboard [t]"/>
    <n v="13634171"/>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07-01T00:00:00"/>
    <s v="FY21"/>
    <s v="t"/>
    <n v="0"/>
    <n v="1.7549999999999999"/>
    <n v="0"/>
    <n v="1.7549999999999999"/>
    <n v="0"/>
    <n v="9"/>
    <n v="0"/>
    <n v="9"/>
    <n v="0"/>
    <n v="100"/>
    <n v="0"/>
    <s v="Consolidation"/>
    <s v="CO2e and Base Measure"/>
    <n v="100"/>
    <n v="100"/>
    <n v="1.76"/>
    <m/>
    <m/>
    <m/>
    <m/>
    <m/>
    <n v="2.2814999999999999"/>
    <m/>
    <n v="2.2814999999999999"/>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08-01T00:00:00"/>
    <s v="FY21"/>
    <s v="t"/>
    <n v="0"/>
    <n v="1.56"/>
    <n v="0"/>
    <n v="1.56"/>
    <n v="0"/>
    <n v="8"/>
    <n v="0"/>
    <n v="8"/>
    <n v="0"/>
    <n v="100"/>
    <n v="0"/>
    <s v="Consolidation"/>
    <s v="CO2e and Base Measure"/>
    <n v="100"/>
    <n v="100"/>
    <n v="1.56"/>
    <m/>
    <m/>
    <m/>
    <m/>
    <m/>
    <n v="2.028"/>
    <m/>
    <n v="2.028"/>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09-01T00:00:00"/>
    <s v="FY21"/>
    <s v="t"/>
    <n v="0"/>
    <n v="1.7549999999999999"/>
    <n v="0"/>
    <n v="1.7549999999999999"/>
    <n v="0"/>
    <n v="9"/>
    <n v="0"/>
    <n v="9"/>
    <n v="0"/>
    <n v="100"/>
    <n v="0"/>
    <s v="Consolidation"/>
    <s v="CO2e and Base Measure"/>
    <n v="100"/>
    <n v="100"/>
    <n v="1.76"/>
    <m/>
    <m/>
    <m/>
    <m/>
    <m/>
    <n v="2.2814999999999999"/>
    <m/>
    <n v="2.2814999999999999"/>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10-01T00:00:00"/>
    <s v="FY21"/>
    <s v="t"/>
    <n v="0"/>
    <n v="1.7549999999999999"/>
    <n v="0"/>
    <n v="1.7549999999999999"/>
    <n v="0"/>
    <n v="9"/>
    <n v="0"/>
    <n v="9"/>
    <n v="0"/>
    <n v="100"/>
    <n v="0"/>
    <s v="Consolidation"/>
    <s v="CO2e and Base Measure"/>
    <n v="100"/>
    <n v="100"/>
    <n v="1.76"/>
    <m/>
    <m/>
    <m/>
    <m/>
    <m/>
    <n v="2.2814999999999999"/>
    <m/>
    <n v="2.2814999999999999"/>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11-01T00:00:00"/>
    <s v="FY21"/>
    <s v="t"/>
    <n v="0"/>
    <n v="1.56"/>
    <n v="0"/>
    <n v="1.56"/>
    <n v="0"/>
    <n v="8"/>
    <n v="0"/>
    <n v="8"/>
    <n v="0"/>
    <n v="100"/>
    <n v="0"/>
    <s v="Consolidation"/>
    <s v="CO2e and Base Measure"/>
    <n v="100"/>
    <n v="100"/>
    <n v="1.56"/>
    <m/>
    <m/>
    <m/>
    <m/>
    <m/>
    <n v="2.028"/>
    <m/>
    <n v="2.028"/>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12-01T00:00:00"/>
    <s v="FY21"/>
    <s v="t"/>
    <n v="0"/>
    <n v="0"/>
    <n v="5.4600000000000003E-2"/>
    <n v="5.4600000000000003E-2"/>
    <n v="0"/>
    <n v="0"/>
    <n v="1"/>
    <n v="1"/>
    <n v="0"/>
    <n v="0"/>
    <n v="100"/>
    <s v="Consolidation"/>
    <s v="CO2e and Base Measure"/>
    <n v="100"/>
    <n v="100"/>
    <n v="0.05"/>
    <m/>
    <m/>
    <m/>
    <m/>
    <m/>
    <n v="7.0999999999999994E-2"/>
    <m/>
    <n v="7.0999999999999994E-2"/>
    <m/>
    <m/>
    <m/>
    <m/>
    <m/>
    <s v="AUD"/>
    <s v="13565539Waste - General [t] - Scope 3"/>
    <n v="135655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0-12-01T00:00:00"/>
    <s v="FY21"/>
    <s v="t"/>
    <n v="0.23499999999999999"/>
    <n v="0"/>
    <n v="0"/>
    <n v="0.23499999999999999"/>
    <n v="1"/>
    <n v="0"/>
    <n v="0"/>
    <n v="1"/>
    <n v="100"/>
    <n v="0"/>
    <n v="0"/>
    <s v="Consolidation"/>
    <s v="CO2e and Base Measure"/>
    <n v="100"/>
    <n v="100"/>
    <n v="0.24"/>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1-01T00:00:00"/>
    <s v="FY21"/>
    <s v="t"/>
    <n v="0"/>
    <n v="0"/>
    <n v="0.24179999999999999"/>
    <n v="0.24179999999999999"/>
    <n v="0"/>
    <n v="0"/>
    <n v="31"/>
    <n v="31"/>
    <n v="0"/>
    <n v="0"/>
    <n v="100"/>
    <s v="Consolidation"/>
    <s v="CO2e and Base Measure"/>
    <n v="100"/>
    <n v="100"/>
    <n v="0.24"/>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2-01T00:00:00"/>
    <s v="FY21"/>
    <s v="t"/>
    <n v="0"/>
    <n v="0"/>
    <n v="0.21840000000000001"/>
    <n v="0.21840000000000001"/>
    <n v="0"/>
    <n v="0"/>
    <n v="28"/>
    <n v="28"/>
    <n v="0"/>
    <n v="0"/>
    <n v="100"/>
    <s v="Consolidation"/>
    <s v="CO2e and Base Measure"/>
    <n v="100"/>
    <n v="100"/>
    <n v="0.22"/>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3-01T00:00:00"/>
    <s v="FY21"/>
    <s v="t"/>
    <n v="0"/>
    <n v="0"/>
    <n v="0.24179999999999999"/>
    <n v="0.24179999999999999"/>
    <n v="0"/>
    <n v="0"/>
    <n v="31"/>
    <n v="31"/>
    <n v="0"/>
    <n v="0"/>
    <n v="100"/>
    <s v="Consolidation"/>
    <s v="CO2e and Base Measure"/>
    <n v="100"/>
    <n v="100"/>
    <n v="0.24"/>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4-01T00:00:00"/>
    <s v="FY21"/>
    <s v="t"/>
    <n v="0"/>
    <n v="0"/>
    <n v="0.23400000000000001"/>
    <n v="0.23400000000000001"/>
    <n v="0"/>
    <n v="0"/>
    <n v="30"/>
    <n v="30"/>
    <n v="0"/>
    <n v="0"/>
    <n v="100"/>
    <s v="Consolidation"/>
    <s v="CO2e and Base Measure"/>
    <n v="100"/>
    <n v="100"/>
    <n v="0.23"/>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5-01T00:00:00"/>
    <s v="FY21"/>
    <s v="t"/>
    <n v="0"/>
    <n v="0"/>
    <n v="0.24179999999999999"/>
    <n v="0.24179999999999999"/>
    <n v="0"/>
    <n v="0"/>
    <n v="31"/>
    <n v="31"/>
    <n v="0"/>
    <n v="0"/>
    <n v="100"/>
    <s v="Consolidation"/>
    <s v="CO2e and Base Measure"/>
    <n v="100"/>
    <n v="100"/>
    <n v="0.24"/>
    <m/>
    <m/>
    <m/>
    <m/>
    <m/>
    <m/>
    <m/>
    <m/>
    <m/>
    <m/>
    <m/>
    <m/>
    <m/>
    <s v="AUD"/>
    <s v="13633439Waste Recycled - E-waste [t]"/>
    <n v="13633439"/>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0-12-01T00:00:00"/>
    <s v="FY21"/>
    <s v="t"/>
    <n v="0.11899999999999999"/>
    <n v="0.40500000000000003"/>
    <n v="0"/>
    <n v="0.52400000000000002"/>
    <n v="4"/>
    <n v="3"/>
    <n v="0"/>
    <n v="7"/>
    <n v="22.7"/>
    <n v="77.290000000000006"/>
    <n v="0"/>
    <s v="Consolidation"/>
    <s v="CO2e and Base Measure"/>
    <n v="100"/>
    <n v="100"/>
    <n v="0.52"/>
    <m/>
    <m/>
    <m/>
    <m/>
    <m/>
    <n v="0.68120000000000003"/>
    <m/>
    <n v="0.68120000000000003"/>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1-01T00:00:00"/>
    <s v="FY21"/>
    <s v="t"/>
    <n v="0.13400000000000001"/>
    <n v="0.67500000000000004"/>
    <n v="0"/>
    <n v="0.80900000000000005"/>
    <n v="3"/>
    <n v="5"/>
    <n v="0"/>
    <n v="8"/>
    <n v="16.559999999999999"/>
    <n v="83.43"/>
    <n v="0"/>
    <s v="Consolidation"/>
    <s v="CO2e and Base Measure"/>
    <n v="100"/>
    <n v="100"/>
    <n v="0.81"/>
    <m/>
    <m/>
    <m/>
    <m/>
    <m/>
    <n v="1.0517000000000001"/>
    <m/>
    <n v="1.0517000000000001"/>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2-01T00:00:00"/>
    <s v="FY21"/>
    <s v="t"/>
    <n v="0.19500000000000001"/>
    <n v="0.40500000000000003"/>
    <n v="0"/>
    <n v="0.6"/>
    <n v="5"/>
    <n v="3"/>
    <n v="0"/>
    <n v="8"/>
    <n v="32.5"/>
    <n v="67.5"/>
    <n v="0"/>
    <s v="Consolidation"/>
    <s v="CO2e and Base Measure"/>
    <n v="100"/>
    <n v="100"/>
    <n v="0.6"/>
    <m/>
    <m/>
    <m/>
    <m/>
    <m/>
    <n v="0.78"/>
    <m/>
    <n v="0.78"/>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3-01T00:00:00"/>
    <s v="FY21"/>
    <s v="t"/>
    <n v="0.74"/>
    <n v="0.13500000000000001"/>
    <n v="0"/>
    <n v="0.875"/>
    <n v="8"/>
    <n v="1"/>
    <n v="0"/>
    <n v="9"/>
    <n v="84.57"/>
    <n v="15.42"/>
    <n v="0"/>
    <s v="Consolidation"/>
    <s v="CO2e and Base Measure"/>
    <n v="100"/>
    <n v="100"/>
    <n v="0.88"/>
    <m/>
    <m/>
    <m/>
    <m/>
    <m/>
    <n v="1.1375"/>
    <m/>
    <n v="1.1375"/>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4-01T00:00:00"/>
    <s v="FY21"/>
    <s v="t"/>
    <n v="0"/>
    <n v="0"/>
    <n v="0.70199999999999996"/>
    <n v="0.70199999999999996"/>
    <n v="0"/>
    <n v="0"/>
    <n v="30"/>
    <n v="30"/>
    <n v="0"/>
    <n v="0"/>
    <n v="100"/>
    <s v="Consolidation"/>
    <s v="CO2e and Base Measure"/>
    <n v="100"/>
    <n v="100"/>
    <n v="0.7"/>
    <m/>
    <m/>
    <m/>
    <m/>
    <m/>
    <n v="0.91259999999999997"/>
    <m/>
    <n v="0.91259999999999997"/>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5-01T00:00:00"/>
    <s v="FY21"/>
    <s v="t"/>
    <n v="0"/>
    <n v="0"/>
    <n v="0.72540000000000004"/>
    <n v="0.72540000000000004"/>
    <n v="0"/>
    <n v="0"/>
    <n v="31"/>
    <n v="31"/>
    <n v="0"/>
    <n v="0"/>
    <n v="100"/>
    <s v="Consolidation"/>
    <s v="CO2e and Base Measure"/>
    <n v="100"/>
    <n v="100"/>
    <n v="0.73"/>
    <m/>
    <m/>
    <m/>
    <m/>
    <m/>
    <n v="0.94299999999999995"/>
    <m/>
    <n v="0.94299999999999995"/>
    <m/>
    <m/>
    <m/>
    <m/>
    <m/>
    <s v="AUD"/>
    <s v="13634383Waste - General [t] - Scope 3"/>
    <n v="136343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183Waste - General [t] - Scope 3"/>
    <n v="13564183"/>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62Waste - General [t] - Scope 3"/>
    <n v="13634162"/>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1-02-01T00:00:00"/>
    <s v="FY21"/>
    <s v="t"/>
    <n v="0.11700000000000001"/>
    <n v="0"/>
    <n v="0"/>
    <n v="0.11700000000000001"/>
    <n v="1"/>
    <n v="0"/>
    <n v="0"/>
    <n v="1"/>
    <n v="100"/>
    <n v="0"/>
    <n v="0"/>
    <s v="Consolidation"/>
    <s v="CO2e and Base Measure"/>
    <n v="100"/>
    <n v="100"/>
    <n v="0.12"/>
    <m/>
    <m/>
    <m/>
    <m/>
    <m/>
    <n v="0.15210000000000001"/>
    <m/>
    <n v="0.15210000000000001"/>
    <m/>
    <m/>
    <m/>
    <m/>
    <m/>
    <s v="AUD"/>
    <s v="13634162Waste - General [t] - Scope 3"/>
    <n v="13634162"/>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162Waste - General [t] - Scope 3"/>
    <n v="13634162"/>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1-04-01T00:00:00"/>
    <s v="FY21"/>
    <s v="t"/>
    <n v="0"/>
    <n v="0"/>
    <n v="9.6000000000000002E-2"/>
    <n v="9.6000000000000002E-2"/>
    <n v="0"/>
    <n v="0"/>
    <n v="30"/>
    <n v="30"/>
    <n v="0"/>
    <n v="0"/>
    <n v="100"/>
    <s v="Consolidation"/>
    <s v="CO2e and Base Measure"/>
    <n v="100"/>
    <n v="100"/>
    <n v="0.1"/>
    <m/>
    <m/>
    <m/>
    <m/>
    <m/>
    <n v="0.12479999999999999"/>
    <m/>
    <n v="0.12479999999999999"/>
    <m/>
    <m/>
    <m/>
    <m/>
    <m/>
    <s v="AUD"/>
    <s v="13634162Waste - General [t] - Scope 3"/>
    <n v="13634162"/>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1-05-01T00:00:00"/>
    <s v="FY21"/>
    <s v="t"/>
    <n v="0"/>
    <n v="0"/>
    <n v="9.9199999999999997E-2"/>
    <n v="9.9199999999999997E-2"/>
    <n v="0"/>
    <n v="0"/>
    <n v="31"/>
    <n v="31"/>
    <n v="0"/>
    <n v="0"/>
    <n v="100"/>
    <s v="Consolidation"/>
    <s v="CO2e and Base Measure"/>
    <n v="100"/>
    <n v="100"/>
    <n v="0.1"/>
    <m/>
    <m/>
    <m/>
    <m/>
    <m/>
    <n v="0.129"/>
    <m/>
    <n v="0.129"/>
    <m/>
    <m/>
    <m/>
    <m/>
    <m/>
    <s v="AUD"/>
    <s v="13634162Waste - General [t] - Scope 3"/>
    <n v="13634162"/>
  </r>
  <r>
    <d v="2019-07-01T00:00:00"/>
    <d v="2021-06-30T00:00:00"/>
    <s v="Telstra"/>
    <s v="NETWORK"/>
    <s v="Network - InfraCo"/>
    <s v="TAS"/>
    <s v="Australia"/>
    <s v="Goodwood"/>
    <s v="LUTANA CMTS"/>
    <n v="423031802100"/>
    <s v="Recycled Waste"/>
    <x v="0"/>
    <x v="5"/>
    <s v="Account"/>
    <s v="Remondis Metal - Mixed All"/>
    <m/>
    <s v="423031802100_RMETMIXED"/>
    <s v="METAL - MIXED ALL"/>
    <s v="Remondis"/>
    <m/>
    <m/>
    <d v="2020-12-01T00:00:00"/>
    <d v="2020-11-01T00:00:00"/>
    <s v="FY21"/>
    <s v="t"/>
    <n v="0.25600000000000001"/>
    <n v="0"/>
    <n v="0"/>
    <n v="0.25600000000000001"/>
    <n v="1"/>
    <n v="0"/>
    <n v="0"/>
    <n v="1"/>
    <n v="100"/>
    <n v="0"/>
    <n v="0"/>
    <s v="Consolidation"/>
    <s v="CO2e and Base Measure"/>
    <n v="100"/>
    <n v="100"/>
    <n v="0.26"/>
    <m/>
    <m/>
    <m/>
    <m/>
    <m/>
    <m/>
    <m/>
    <m/>
    <m/>
    <m/>
    <m/>
    <m/>
    <m/>
    <s v="AUD"/>
    <s v="13565829Waste Recycled - Construction and Demolition [t]"/>
    <n v="13565829"/>
  </r>
  <r>
    <d v="2019-07-01T00:00:00"/>
    <d v="2021-06-30T00:00:00"/>
    <s v="Telstra"/>
    <s v="NETWORK"/>
    <s v="Network - InfraCo"/>
    <s v="TAS"/>
    <s v="Australia"/>
    <s v="Goodwood"/>
    <s v="LUTANA CMTS"/>
    <n v="423031802100"/>
    <s v="Recycled Waste"/>
    <x v="0"/>
    <x v="5"/>
    <s v="Account"/>
    <s v="Remondis Metal - Mixed All"/>
    <m/>
    <s v="423031802100_RMETMIXED"/>
    <s v="METAL - MIXED ALL"/>
    <s v="Remondis"/>
    <m/>
    <m/>
    <d v="2020-12-01T00:00:00"/>
    <d v="2020-12-01T00:00:00"/>
    <s v="FY21"/>
    <s v="t"/>
    <n v="0"/>
    <n v="0"/>
    <n v="8.8000000000000005E-3"/>
    <n v="8.8000000000000005E-3"/>
    <n v="0"/>
    <n v="0"/>
    <n v="1"/>
    <n v="1"/>
    <n v="0"/>
    <n v="0"/>
    <n v="100"/>
    <s v="Consolidation"/>
    <s v="CO2e and Base Measure"/>
    <n v="100"/>
    <n v="100"/>
    <n v="0.01"/>
    <m/>
    <m/>
    <m/>
    <m/>
    <m/>
    <m/>
    <m/>
    <m/>
    <m/>
    <m/>
    <m/>
    <m/>
    <m/>
    <s v="AUD"/>
    <s v="13565829Waste Recycled - Construction and Demolition [t]"/>
    <n v="13565829"/>
  </r>
  <r>
    <d v="2019-07-01T00:00:00"/>
    <d v="2021-06-30T00:00:00"/>
    <s v="Telstra"/>
    <s v="NETWORK"/>
    <s v="Network - InfraCo"/>
    <s v="TAS"/>
    <s v="Australia"/>
    <s v="Goodwood"/>
    <s v="LUTANA CMTS"/>
    <n v="423031802100"/>
    <s v="Waste"/>
    <x v="1"/>
    <x v="4"/>
    <s v="Account"/>
    <s v="Remondis Asbestos"/>
    <m/>
    <s v="423031802100_WASBESTOS"/>
    <s v="ASBESTOS"/>
    <s v="Remondis"/>
    <m/>
    <m/>
    <d v="2020-12-01T00:00:00"/>
    <d v="2020-11-01T00:00:00"/>
    <s v="FY21"/>
    <s v="t"/>
    <n v="1.1399999999999999"/>
    <n v="0"/>
    <n v="0"/>
    <n v="1.1399999999999999"/>
    <n v="1"/>
    <n v="0"/>
    <n v="0"/>
    <n v="1"/>
    <n v="100"/>
    <n v="0"/>
    <n v="0"/>
    <s v="Consolidation"/>
    <s v="CO2e and Base Measure"/>
    <n v="100"/>
    <n v="100"/>
    <n v="1.1399999999999999"/>
    <m/>
    <m/>
    <m/>
    <m/>
    <m/>
    <n v="1.3680000000000001"/>
    <m/>
    <n v="1.3680000000000001"/>
    <m/>
    <m/>
    <m/>
    <m/>
    <m/>
    <s v="AUD"/>
    <s v="13576279Waste - Construction and Demolition [t]"/>
    <n v="13576279"/>
  </r>
  <r>
    <d v="2019-07-01T00:00:00"/>
    <d v="2021-06-30T00:00:00"/>
    <s v="Telstra"/>
    <s v="NETWORK"/>
    <s v="Network - InfraCo"/>
    <s v="TAS"/>
    <s v="Australia"/>
    <s v="Goodwood"/>
    <s v="LUTANA CMTS"/>
    <n v="423031802100"/>
    <s v="Waste"/>
    <x v="1"/>
    <x v="4"/>
    <s v="Account"/>
    <s v="Remondis Asbestos"/>
    <m/>
    <s v="423031802100_WASBESTOS"/>
    <s v="ASBESTOS"/>
    <s v="Remondis"/>
    <m/>
    <m/>
    <d v="2020-12-01T00:00:00"/>
    <d v="2020-12-01T00:00:00"/>
    <s v="FY21"/>
    <s v="t"/>
    <n v="0"/>
    <n v="0"/>
    <n v="3.9300000000000002E-2"/>
    <n v="3.9300000000000002E-2"/>
    <n v="0"/>
    <n v="0"/>
    <n v="1"/>
    <n v="1"/>
    <n v="0"/>
    <n v="0"/>
    <n v="100"/>
    <s v="Consolidation"/>
    <s v="CO2e and Base Measure"/>
    <n v="100"/>
    <n v="100"/>
    <n v="0.04"/>
    <m/>
    <m/>
    <m/>
    <m/>
    <m/>
    <n v="4.7199999999999999E-2"/>
    <m/>
    <n v="4.7199999999999999E-2"/>
    <m/>
    <m/>
    <m/>
    <m/>
    <m/>
    <s v="AUD"/>
    <s v="13576279Waste - Construction and Demolition [t]"/>
    <n v="13576279"/>
  </r>
  <r>
    <d v="2019-07-01T00:00:00"/>
    <d v="2021-06-30T00:00:00"/>
    <s v="Telstra"/>
    <s v="NETWORK"/>
    <s v="Network - InfraCo"/>
    <s v="VIC"/>
    <s v="Australia"/>
    <s v="Narre Warren"/>
    <s v="LYNDHURST EXCHANGE2"/>
    <n v="423030604600"/>
    <s v="Waste"/>
    <x v="1"/>
    <x v="2"/>
    <s v="Account"/>
    <s v="Remondis General Waste"/>
    <m/>
    <s v="423030604600_WGENERALW"/>
    <s v="GENERAL WASTE"/>
    <s v="Remondis"/>
    <m/>
    <m/>
    <d v="2020-10-01T00:00:00"/>
    <d v="2020-07-01T00:00:00"/>
    <s v="FY21"/>
    <s v="t"/>
    <n v="0.70499999999999996"/>
    <n v="0"/>
    <n v="0"/>
    <n v="0.70499999999999996"/>
    <n v="3"/>
    <n v="0"/>
    <n v="0"/>
    <n v="3"/>
    <n v="100"/>
    <n v="0"/>
    <n v="0"/>
    <s v="Consolidation"/>
    <s v="CO2e and Base Measure"/>
    <n v="100"/>
    <n v="100"/>
    <n v="0.71"/>
    <m/>
    <m/>
    <m/>
    <m/>
    <m/>
    <n v="0.91649999999999998"/>
    <m/>
    <n v="0.91649999999999998"/>
    <m/>
    <m/>
    <m/>
    <m/>
    <m/>
    <s v="AUD"/>
    <s v="13564966Waste - General [t] - Scope 3"/>
    <n v="13564966"/>
  </r>
  <r>
    <d v="2019-07-01T00:00:00"/>
    <d v="2021-06-30T00:00:00"/>
    <s v="Telstra"/>
    <s v="NETWORK"/>
    <s v="Network - InfraCo"/>
    <s v="VIC"/>
    <s v="Australia"/>
    <s v="Narre Warren"/>
    <s v="LYNDHURST EXCHANGE2"/>
    <n v="423030604600"/>
    <s v="Waste"/>
    <x v="1"/>
    <x v="2"/>
    <s v="Account"/>
    <s v="Remondis General Waste"/>
    <m/>
    <s v="423030604600_WGENERALW"/>
    <s v="GENERAL WASTE"/>
    <s v="Remondis"/>
    <m/>
    <m/>
    <d v="2020-10-01T00:00:00"/>
    <d v="2020-08-01T00:00:00"/>
    <s v="FY21"/>
    <s v="t"/>
    <n v="5.0000000000000001E-3"/>
    <n v="0.29249999999999998"/>
    <n v="0"/>
    <n v="0.29749999999999999"/>
    <n v="1"/>
    <n v="1"/>
    <n v="0"/>
    <n v="2"/>
    <n v="1.68"/>
    <n v="98.31"/>
    <n v="0"/>
    <s v="Consolidation"/>
    <s v="CO2e and Base Measure"/>
    <n v="100"/>
    <n v="100"/>
    <n v="0.3"/>
    <m/>
    <m/>
    <m/>
    <m/>
    <m/>
    <n v="0.38679999999999998"/>
    <m/>
    <n v="0.38679999999999998"/>
    <m/>
    <m/>
    <m/>
    <m/>
    <m/>
    <s v="AUD"/>
    <s v="13564966Waste - General [t] - Scope 3"/>
    <n v="13564966"/>
  </r>
  <r>
    <d v="2019-07-01T00:00:00"/>
    <d v="2021-06-30T00:00:00"/>
    <s v="Telstra"/>
    <s v="NETWORK"/>
    <s v="Network - InfraCo"/>
    <s v="VIC"/>
    <s v="Australia"/>
    <s v="Narre Warren"/>
    <s v="LYNDHURST EXCHANGE2"/>
    <n v="423030604600"/>
    <s v="Waste"/>
    <x v="1"/>
    <x v="2"/>
    <s v="Account"/>
    <s v="Remondis General Waste"/>
    <m/>
    <s v="423030604600_WGENERALW"/>
    <s v="GENERAL WASTE"/>
    <s v="Remondis"/>
    <m/>
    <m/>
    <d v="2020-10-01T00:00:00"/>
    <d v="2020-09-01T00:00:00"/>
    <s v="FY21"/>
    <s v="t"/>
    <n v="0.17"/>
    <n v="0.29249999999999998"/>
    <n v="0"/>
    <n v="0.46250000000000002"/>
    <n v="1"/>
    <n v="1"/>
    <n v="0"/>
    <n v="2"/>
    <n v="36.75"/>
    <n v="63.24"/>
    <n v="0"/>
    <s v="Consolidation"/>
    <s v="CO2e and Base Measure"/>
    <n v="100"/>
    <n v="100"/>
    <n v="0.46"/>
    <m/>
    <m/>
    <m/>
    <m/>
    <m/>
    <n v="0.60129999999999995"/>
    <m/>
    <n v="0.60129999999999995"/>
    <m/>
    <m/>
    <m/>
    <m/>
    <m/>
    <s v="AUD"/>
    <s v="13564966Waste - General [t] - Scope 3"/>
    <n v="13564966"/>
  </r>
  <r>
    <d v="2019-07-01T00:00:00"/>
    <d v="2021-06-30T00:00:00"/>
    <s v="Telstra"/>
    <s v="NETWORK"/>
    <s v="Network - InfraCo"/>
    <s v="VIC"/>
    <s v="Australia"/>
    <s v="Narre Warren"/>
    <s v="LYNDHURST EXCHANGE2"/>
    <n v="423030604600"/>
    <s v="Waste"/>
    <x v="1"/>
    <x v="2"/>
    <s v="Account"/>
    <s v="Remondis General Waste"/>
    <m/>
    <s v="423030604600_WGENERALW"/>
    <s v="GENERAL WASTE"/>
    <s v="Remondis"/>
    <m/>
    <m/>
    <d v="2020-10-01T00:00:00"/>
    <d v="2020-10-01T00:00:00"/>
    <s v="FY21"/>
    <s v="t"/>
    <n v="0"/>
    <n v="0"/>
    <n v="1.7600000000000001E-2"/>
    <n v="1.7600000000000001E-2"/>
    <n v="0"/>
    <n v="0"/>
    <n v="1"/>
    <n v="1"/>
    <n v="0"/>
    <n v="0"/>
    <n v="100"/>
    <s v="Consolidation"/>
    <s v="CO2e and Base Measure"/>
    <n v="100"/>
    <n v="100"/>
    <n v="0.02"/>
    <m/>
    <m/>
    <m/>
    <m/>
    <m/>
    <n v="2.29E-2"/>
    <m/>
    <n v="2.29E-2"/>
    <m/>
    <m/>
    <m/>
    <m/>
    <m/>
    <s v="AUD"/>
    <s v="13564966Waste - General [t] - Scope 3"/>
    <n v="13564966"/>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0-12-01T00:00:00"/>
    <s v="FY21"/>
    <s v="t"/>
    <n v="2.8000000000000001E-2"/>
    <n v="0"/>
    <n v="0"/>
    <n v="2.8000000000000001E-2"/>
    <n v="1"/>
    <n v="0"/>
    <n v="0"/>
    <n v="1"/>
    <n v="100"/>
    <n v="0"/>
    <n v="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1-01T00:00:00"/>
    <s v="FY21"/>
    <s v="t"/>
    <n v="0"/>
    <n v="0"/>
    <n v="2.7900000000000001E-2"/>
    <n v="2.7900000000000001E-2"/>
    <n v="0"/>
    <n v="0"/>
    <n v="31"/>
    <n v="31"/>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2-01T00:00:00"/>
    <s v="FY21"/>
    <s v="t"/>
    <n v="0"/>
    <n v="0"/>
    <n v="2.52E-2"/>
    <n v="2.52E-2"/>
    <n v="0"/>
    <n v="0"/>
    <n v="28"/>
    <n v="28"/>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3-01T00:00:00"/>
    <s v="FY21"/>
    <s v="t"/>
    <n v="0"/>
    <n v="0"/>
    <n v="2.7900000000000001E-2"/>
    <n v="2.7900000000000001E-2"/>
    <n v="0"/>
    <n v="0"/>
    <n v="31"/>
    <n v="31"/>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4-01T00:00:00"/>
    <s v="FY21"/>
    <s v="t"/>
    <n v="0"/>
    <n v="0"/>
    <n v="2.7E-2"/>
    <n v="2.7E-2"/>
    <n v="0"/>
    <n v="0"/>
    <n v="30"/>
    <n v="30"/>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5-01T00:00:00"/>
    <s v="FY21"/>
    <s v="t"/>
    <n v="0"/>
    <n v="0"/>
    <n v="2.7900000000000001E-2"/>
    <n v="2.7900000000000001E-2"/>
    <n v="0"/>
    <n v="0"/>
    <n v="31"/>
    <n v="31"/>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07-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08-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09-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10-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11-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12-01T00:00:00"/>
    <s v="FY21"/>
    <s v="t"/>
    <n v="0"/>
    <n v="0"/>
    <n v="8.6999999999999994E-3"/>
    <n v="8.6999999999999994E-3"/>
    <n v="0"/>
    <n v="0"/>
    <n v="1"/>
    <n v="1"/>
    <n v="0"/>
    <n v="0"/>
    <n v="100"/>
    <s v="Consolidation"/>
    <s v="CO2e and Base Measure"/>
    <n v="100"/>
    <n v="100"/>
    <n v="0.01"/>
    <m/>
    <m/>
    <m/>
    <m/>
    <m/>
    <m/>
    <n v="0"/>
    <m/>
    <m/>
    <m/>
    <m/>
    <m/>
    <m/>
    <s v="AUD"/>
    <s v="13564194Waste Recycled - Cardboard [t]"/>
    <n v="13564194"/>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07-01T00:00:00"/>
    <s v="FY21"/>
    <s v="t"/>
    <n v="0"/>
    <n v="0.78"/>
    <n v="0"/>
    <n v="0.78"/>
    <n v="0"/>
    <n v="4"/>
    <n v="0"/>
    <n v="4"/>
    <n v="0"/>
    <n v="100"/>
    <n v="0"/>
    <s v="Consolidation"/>
    <s v="CO2e and Base Measure"/>
    <n v="100"/>
    <n v="100"/>
    <n v="0.78"/>
    <m/>
    <m/>
    <m/>
    <m/>
    <m/>
    <n v="1.014"/>
    <m/>
    <n v="1.014"/>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08-01T00:00:00"/>
    <s v="FY21"/>
    <s v="t"/>
    <n v="0"/>
    <n v="0.78"/>
    <n v="0"/>
    <n v="0.78"/>
    <n v="0"/>
    <n v="4"/>
    <n v="0"/>
    <n v="4"/>
    <n v="0"/>
    <n v="100"/>
    <n v="0"/>
    <s v="Consolidation"/>
    <s v="CO2e and Base Measure"/>
    <n v="100"/>
    <n v="100"/>
    <n v="0.78"/>
    <m/>
    <m/>
    <m/>
    <m/>
    <m/>
    <n v="1.014"/>
    <m/>
    <n v="1.014"/>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09-01T00:00:00"/>
    <s v="FY21"/>
    <s v="t"/>
    <n v="0"/>
    <n v="0.78"/>
    <n v="0"/>
    <n v="0.78"/>
    <n v="0"/>
    <n v="4"/>
    <n v="0"/>
    <n v="4"/>
    <n v="0"/>
    <n v="100"/>
    <n v="0"/>
    <s v="Consolidation"/>
    <s v="CO2e and Base Measure"/>
    <n v="100"/>
    <n v="100"/>
    <n v="0.78"/>
    <m/>
    <m/>
    <m/>
    <m/>
    <m/>
    <n v="1.014"/>
    <m/>
    <n v="1.014"/>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12-01T00:00:00"/>
    <s v="FY21"/>
    <s v="t"/>
    <n v="0"/>
    <n v="0"/>
    <n v="2.5700000000000001E-2"/>
    <n v="2.5700000000000001E-2"/>
    <n v="0"/>
    <n v="0"/>
    <n v="1"/>
    <n v="1"/>
    <n v="0"/>
    <n v="0"/>
    <n v="100"/>
    <s v="Consolidation"/>
    <s v="CO2e and Base Measure"/>
    <n v="100"/>
    <n v="100"/>
    <n v="0.03"/>
    <m/>
    <m/>
    <m/>
    <m/>
    <m/>
    <n v="3.3399999999999999E-2"/>
    <m/>
    <n v="3.3399999999999999E-2"/>
    <m/>
    <m/>
    <m/>
    <m/>
    <m/>
    <s v="AUD"/>
    <s v="13564196Waste - General [t] - Scope 3"/>
    <n v="13564196"/>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0-12-01T00:00:00"/>
    <s v="FY21"/>
    <s v="t"/>
    <n v="0.32300000000000001"/>
    <n v="0"/>
    <n v="0"/>
    <n v="0.32300000000000001"/>
    <n v="2"/>
    <n v="0"/>
    <n v="0"/>
    <n v="2"/>
    <n v="100"/>
    <n v="0"/>
    <n v="0"/>
    <s v="Consolidation"/>
    <s v="CO2e and Base Measure"/>
    <n v="100"/>
    <n v="100"/>
    <n v="0.32"/>
    <m/>
    <m/>
    <m/>
    <m/>
    <m/>
    <n v="0.4199"/>
    <m/>
    <n v="0.4199"/>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1-01T00:00:00"/>
    <s v="FY21"/>
    <s v="t"/>
    <n v="0.48099999999999998"/>
    <n v="0"/>
    <n v="0"/>
    <n v="0.48099999999999998"/>
    <n v="3"/>
    <n v="0"/>
    <n v="0"/>
    <n v="3"/>
    <n v="100"/>
    <n v="0"/>
    <n v="0"/>
    <s v="Consolidation"/>
    <s v="CO2e and Base Measure"/>
    <n v="100"/>
    <n v="100"/>
    <n v="0.48"/>
    <m/>
    <m/>
    <m/>
    <m/>
    <m/>
    <n v="0.62529999999999997"/>
    <m/>
    <n v="0.62529999999999997"/>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2-01T00:00:00"/>
    <s v="FY21"/>
    <s v="t"/>
    <n v="0.09"/>
    <n v="0"/>
    <n v="0"/>
    <n v="0.09"/>
    <n v="2"/>
    <n v="0"/>
    <n v="0"/>
    <n v="2"/>
    <n v="100"/>
    <n v="0"/>
    <n v="0"/>
    <s v="Consolidation"/>
    <s v="CO2e and Base Measure"/>
    <n v="100"/>
    <n v="100"/>
    <n v="0.09"/>
    <m/>
    <m/>
    <m/>
    <m/>
    <m/>
    <n v="0.11700000000000001"/>
    <m/>
    <n v="0.11700000000000001"/>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3-01T00:00:00"/>
    <s v="FY21"/>
    <s v="t"/>
    <n v="0.29099999999999998"/>
    <n v="0"/>
    <n v="0"/>
    <n v="0.29099999999999998"/>
    <n v="2"/>
    <n v="0"/>
    <n v="0"/>
    <n v="2"/>
    <n v="100"/>
    <n v="0"/>
    <n v="0"/>
    <s v="Consolidation"/>
    <s v="CO2e and Base Measure"/>
    <n v="100"/>
    <n v="100"/>
    <n v="0.28999999999999998"/>
    <m/>
    <m/>
    <m/>
    <m/>
    <m/>
    <n v="0.37830000000000003"/>
    <m/>
    <n v="0.37830000000000003"/>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4-01T00:00:00"/>
    <s v="FY21"/>
    <s v="t"/>
    <n v="0"/>
    <n v="0"/>
    <n v="0.29699999999999999"/>
    <n v="0.29699999999999999"/>
    <n v="0"/>
    <n v="0"/>
    <n v="30"/>
    <n v="30"/>
    <n v="0"/>
    <n v="0"/>
    <n v="100"/>
    <s v="Consolidation"/>
    <s v="CO2e and Base Measure"/>
    <n v="100"/>
    <n v="100"/>
    <n v="0.3"/>
    <m/>
    <m/>
    <m/>
    <m/>
    <m/>
    <n v="0.3861"/>
    <m/>
    <n v="0.3861"/>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5-01T00:00:00"/>
    <s v="FY21"/>
    <s v="t"/>
    <n v="0"/>
    <n v="0"/>
    <n v="0.30690000000000001"/>
    <n v="0.30690000000000001"/>
    <n v="0"/>
    <n v="0"/>
    <n v="31"/>
    <n v="31"/>
    <n v="0"/>
    <n v="0"/>
    <n v="100"/>
    <s v="Consolidation"/>
    <s v="CO2e and Base Measure"/>
    <n v="100"/>
    <n v="100"/>
    <n v="0.31"/>
    <m/>
    <m/>
    <m/>
    <m/>
    <m/>
    <n v="0.39900000000000002"/>
    <m/>
    <n v="0.39900000000000002"/>
    <m/>
    <m/>
    <m/>
    <m/>
    <m/>
    <s v="AUD"/>
    <s v="13634163Waste - General [t] - Scope 3"/>
    <n v="13634163"/>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1-01T00:00:00"/>
    <s v="FY21"/>
    <s v="t"/>
    <n v="0"/>
    <n v="7.4999999999999997E-2"/>
    <n v="0"/>
    <n v="7.4999999999999997E-2"/>
    <n v="0"/>
    <n v="1"/>
    <n v="0"/>
    <n v="1"/>
    <n v="0"/>
    <n v="100"/>
    <n v="0"/>
    <s v="Consolidation"/>
    <s v="CO2e and Base Measure"/>
    <n v="100"/>
    <n v="100"/>
    <n v="0.08"/>
    <m/>
    <m/>
    <m/>
    <m/>
    <m/>
    <m/>
    <m/>
    <m/>
    <m/>
    <m/>
    <m/>
    <m/>
    <m/>
    <s v="AUD"/>
    <s v="13634445Waste Recycled - Paper and Cardboard [t]"/>
    <n v="13634445"/>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2-01T00:00:00"/>
    <s v="FY21"/>
    <s v="t"/>
    <n v="5.7000000000000002E-2"/>
    <n v="0"/>
    <n v="0"/>
    <n v="5.7000000000000002E-2"/>
    <n v="1"/>
    <n v="0"/>
    <n v="0"/>
    <n v="1"/>
    <n v="100"/>
    <n v="0"/>
    <n v="0"/>
    <s v="Consolidation"/>
    <s v="CO2e and Base Measure"/>
    <n v="100"/>
    <n v="100"/>
    <n v="0.06"/>
    <m/>
    <m/>
    <m/>
    <m/>
    <m/>
    <m/>
    <m/>
    <m/>
    <m/>
    <m/>
    <m/>
    <m/>
    <m/>
    <s v="AUD"/>
    <s v="13634445Waste Recycled - Paper and Cardboard [t]"/>
    <n v="13634445"/>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3-01T00:00:00"/>
    <s v="FY21"/>
    <s v="t"/>
    <n v="0"/>
    <n v="7.4999999999999997E-2"/>
    <n v="0"/>
    <n v="7.4999999999999997E-2"/>
    <n v="0"/>
    <n v="1"/>
    <n v="0"/>
    <n v="1"/>
    <n v="0"/>
    <n v="100"/>
    <n v="0"/>
    <s v="Consolidation"/>
    <s v="CO2e and Base Measure"/>
    <n v="100"/>
    <n v="100"/>
    <n v="0.08"/>
    <m/>
    <m/>
    <m/>
    <m/>
    <m/>
    <m/>
    <m/>
    <m/>
    <m/>
    <m/>
    <m/>
    <m/>
    <m/>
    <s v="AUD"/>
    <s v="13634445Waste Recycled - Paper and Cardboard [t]"/>
    <n v="13634445"/>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4-01T00:00:00"/>
    <s v="FY21"/>
    <s v="t"/>
    <n v="0"/>
    <n v="0"/>
    <n v="6.9000000000000006E-2"/>
    <n v="6.9000000000000006E-2"/>
    <n v="0"/>
    <n v="0"/>
    <n v="30"/>
    <n v="30"/>
    <n v="0"/>
    <n v="0"/>
    <n v="100"/>
    <s v="Consolidation"/>
    <s v="CO2e and Base Measure"/>
    <n v="100"/>
    <n v="100"/>
    <n v="7.0000000000000007E-2"/>
    <m/>
    <m/>
    <m/>
    <m/>
    <m/>
    <m/>
    <m/>
    <m/>
    <m/>
    <m/>
    <m/>
    <m/>
    <m/>
    <s v="AUD"/>
    <s v="13634445Waste Recycled - Paper and Cardboard [t]"/>
    <n v="13634445"/>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5-01T00:00:00"/>
    <s v="FY21"/>
    <s v="t"/>
    <n v="0"/>
    <n v="0"/>
    <n v="7.1300000000000002E-2"/>
    <n v="7.1300000000000002E-2"/>
    <n v="0"/>
    <n v="0"/>
    <n v="31"/>
    <n v="31"/>
    <n v="0"/>
    <n v="0"/>
    <n v="100"/>
    <s v="Consolidation"/>
    <s v="CO2e and Base Measure"/>
    <n v="100"/>
    <n v="100"/>
    <n v="7.0000000000000007E-2"/>
    <m/>
    <m/>
    <m/>
    <m/>
    <m/>
    <m/>
    <m/>
    <m/>
    <m/>
    <m/>
    <m/>
    <m/>
    <m/>
    <s v="AUD"/>
    <s v="13634445Waste Recycled - Paper and Cardboard [t]"/>
    <n v="13634445"/>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07-01T00:00:00"/>
    <s v="FY21"/>
    <s v="t"/>
    <n v="0"/>
    <n v="0.13"/>
    <n v="0"/>
    <n v="0.13"/>
    <n v="0"/>
    <n v="2"/>
    <n v="0"/>
    <n v="2"/>
    <n v="0"/>
    <n v="100"/>
    <n v="0"/>
    <s v="Consolidation"/>
    <s v="CO2e and Base Measure"/>
    <n v="100"/>
    <n v="100"/>
    <n v="0.13"/>
    <m/>
    <m/>
    <m/>
    <m/>
    <m/>
    <n v="0.16900000000000001"/>
    <m/>
    <n v="0.16900000000000001"/>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08-01T00:00:00"/>
    <s v="FY21"/>
    <s v="t"/>
    <n v="0"/>
    <n v="0.13"/>
    <n v="0"/>
    <n v="0.13"/>
    <n v="0"/>
    <n v="2"/>
    <n v="0"/>
    <n v="2"/>
    <n v="0"/>
    <n v="100"/>
    <n v="0"/>
    <s v="Consolidation"/>
    <s v="CO2e and Base Measure"/>
    <n v="100"/>
    <n v="100"/>
    <n v="0.13"/>
    <m/>
    <m/>
    <m/>
    <m/>
    <m/>
    <n v="0.16900000000000001"/>
    <m/>
    <n v="0.16900000000000001"/>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09-01T00:00:00"/>
    <s v="FY21"/>
    <s v="t"/>
    <n v="0"/>
    <n v="0.13"/>
    <n v="0"/>
    <n v="0.13"/>
    <n v="0"/>
    <n v="2"/>
    <n v="0"/>
    <n v="2"/>
    <n v="0"/>
    <n v="100"/>
    <n v="0"/>
    <s v="Consolidation"/>
    <s v="CO2e and Base Measure"/>
    <n v="100"/>
    <n v="100"/>
    <n v="0.13"/>
    <m/>
    <m/>
    <m/>
    <m/>
    <m/>
    <n v="0.16900000000000001"/>
    <m/>
    <n v="0.16900000000000001"/>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10-01T00:00:00"/>
    <s v="FY21"/>
    <s v="t"/>
    <n v="0"/>
    <n v="0.13"/>
    <n v="0"/>
    <n v="0.13"/>
    <n v="0"/>
    <n v="2"/>
    <n v="0"/>
    <n v="2"/>
    <n v="0"/>
    <n v="100"/>
    <n v="0"/>
    <s v="Consolidation"/>
    <s v="CO2e and Base Measure"/>
    <n v="100"/>
    <n v="100"/>
    <n v="0.13"/>
    <m/>
    <m/>
    <m/>
    <m/>
    <m/>
    <n v="0.16900000000000001"/>
    <m/>
    <n v="0.16900000000000001"/>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11-01T00:00:00"/>
    <s v="FY21"/>
    <s v="t"/>
    <n v="0"/>
    <n v="0.19500000000000001"/>
    <n v="0"/>
    <n v="0.19500000000000001"/>
    <n v="0"/>
    <n v="3"/>
    <n v="0"/>
    <n v="3"/>
    <n v="0"/>
    <n v="100"/>
    <n v="0"/>
    <s v="Consolidation"/>
    <s v="CO2e and Base Measure"/>
    <n v="100"/>
    <n v="100"/>
    <n v="0.2"/>
    <m/>
    <m/>
    <m/>
    <m/>
    <m/>
    <n v="0.2535"/>
    <m/>
    <n v="0.2535"/>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12-01T00:00:00"/>
    <s v="FY21"/>
    <s v="t"/>
    <n v="0"/>
    <n v="0"/>
    <n v="5.0000000000000001E-3"/>
    <n v="5.0000000000000001E-3"/>
    <n v="0"/>
    <n v="0"/>
    <n v="1"/>
    <n v="1"/>
    <n v="0"/>
    <n v="0"/>
    <n v="100"/>
    <s v="Consolidation"/>
    <s v="CO2e and Base Measure"/>
    <n v="100"/>
    <n v="100"/>
    <n v="0.01"/>
    <m/>
    <m/>
    <m/>
    <m/>
    <m/>
    <n v="6.4999999999999997E-3"/>
    <m/>
    <n v="6.4999999999999997E-3"/>
    <m/>
    <m/>
    <m/>
    <m/>
    <m/>
    <s v="AUD"/>
    <s v="13564326Waste - General [t] - Scope 3"/>
    <n v="13564326"/>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0-12-01T00:00:00"/>
    <s v="FY21"/>
    <s v="t"/>
    <n v="0.34899999999999998"/>
    <n v="0"/>
    <n v="0"/>
    <n v="0.34899999999999998"/>
    <n v="1"/>
    <n v="0"/>
    <n v="0"/>
    <n v="1"/>
    <n v="100"/>
    <n v="0"/>
    <n v="0"/>
    <s v="Consolidation"/>
    <s v="CO2e and Base Measure"/>
    <n v="100"/>
    <n v="100"/>
    <n v="0.35"/>
    <m/>
    <m/>
    <m/>
    <m/>
    <m/>
    <n v="0.45369999999999999"/>
    <m/>
    <n v="0.45369999999999999"/>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1-01T00:00:00"/>
    <s v="FY21"/>
    <s v="t"/>
    <n v="0.28899999999999998"/>
    <n v="0"/>
    <n v="0"/>
    <n v="0.28899999999999998"/>
    <n v="2"/>
    <n v="0"/>
    <n v="0"/>
    <n v="2"/>
    <n v="100"/>
    <n v="0"/>
    <n v="0"/>
    <s v="Consolidation"/>
    <s v="CO2e and Base Measure"/>
    <n v="100"/>
    <n v="100"/>
    <n v="0.28999999999999998"/>
    <m/>
    <m/>
    <m/>
    <m/>
    <m/>
    <n v="0.37569999999999998"/>
    <m/>
    <n v="0.37569999999999998"/>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2-01T00:00:00"/>
    <s v="FY21"/>
    <s v="t"/>
    <n v="6.7000000000000004E-2"/>
    <n v="0"/>
    <n v="0"/>
    <n v="6.7000000000000004E-2"/>
    <n v="2"/>
    <n v="0"/>
    <n v="0"/>
    <n v="2"/>
    <n v="100"/>
    <n v="0"/>
    <n v="0"/>
    <s v="Consolidation"/>
    <s v="CO2e and Base Measure"/>
    <n v="100"/>
    <n v="100"/>
    <n v="7.0000000000000007E-2"/>
    <m/>
    <m/>
    <m/>
    <m/>
    <m/>
    <n v="8.7099999999999997E-2"/>
    <m/>
    <n v="8.7099999999999997E-2"/>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3-01T00:00:00"/>
    <s v="FY21"/>
    <s v="t"/>
    <n v="0"/>
    <n v="0"/>
    <n v="0.24490000000000001"/>
    <n v="0.24490000000000001"/>
    <n v="0"/>
    <n v="0"/>
    <n v="31"/>
    <n v="31"/>
    <n v="0"/>
    <n v="0"/>
    <n v="100"/>
    <s v="Consolidation"/>
    <s v="CO2e and Base Measure"/>
    <n v="100"/>
    <n v="100"/>
    <n v="0.24"/>
    <m/>
    <m/>
    <m/>
    <m/>
    <m/>
    <n v="0.31840000000000002"/>
    <m/>
    <n v="0.31840000000000002"/>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4-01T00:00:00"/>
    <s v="FY21"/>
    <s v="t"/>
    <n v="0"/>
    <n v="0"/>
    <n v="0.23699999999999999"/>
    <n v="0.23699999999999999"/>
    <n v="0"/>
    <n v="0"/>
    <n v="30"/>
    <n v="30"/>
    <n v="0"/>
    <n v="0"/>
    <n v="100"/>
    <s v="Consolidation"/>
    <s v="CO2e and Base Measure"/>
    <n v="100"/>
    <n v="100"/>
    <n v="0.24"/>
    <m/>
    <m/>
    <m/>
    <m/>
    <m/>
    <n v="0.30809999999999998"/>
    <m/>
    <n v="0.30809999999999998"/>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5-01T00:00:00"/>
    <s v="FY21"/>
    <s v="t"/>
    <n v="0"/>
    <n v="0"/>
    <n v="0.24490000000000001"/>
    <n v="0.24490000000000001"/>
    <n v="0"/>
    <n v="0"/>
    <n v="31"/>
    <n v="31"/>
    <n v="0"/>
    <n v="0"/>
    <n v="100"/>
    <s v="Consolidation"/>
    <s v="CO2e and Base Measure"/>
    <n v="100"/>
    <n v="100"/>
    <n v="0.24"/>
    <m/>
    <m/>
    <m/>
    <m/>
    <m/>
    <n v="0.31840000000000002"/>
    <m/>
    <n v="0.31840000000000002"/>
    <m/>
    <m/>
    <m/>
    <m/>
    <m/>
    <s v="AUD"/>
    <s v="13634164Waste - General [t] - Scope 3"/>
    <n v="13634164"/>
  </r>
  <r>
    <d v="2019-07-01T00:00:00"/>
    <d v="2021-06-30T00:00:00"/>
    <s v="Telstra"/>
    <s v="NETWORK"/>
    <s v="Network - InfraCo"/>
    <s v="NSW"/>
    <s v="Australia"/>
    <s v="Maclean"/>
    <s v="MACLEAN EXCHANGE"/>
    <n v="423030275000"/>
    <s v="Recycled Waste"/>
    <x v="0"/>
    <x v="1"/>
    <s v="Account"/>
    <s v="Remondis Electrical Comp. (E-Waste)"/>
    <m/>
    <s v="423030275000_RELECTRIC"/>
    <s v="ELECTRICAL COMP. E-WASTE"/>
    <s v="Remondis"/>
    <m/>
    <m/>
    <d v="2020-10-01T00:00:00"/>
    <d v="2020-09-01T00:00:00"/>
    <s v="FY21"/>
    <s v="t"/>
    <n v="0.12"/>
    <n v="0"/>
    <n v="0"/>
    <n v="0.12"/>
    <n v="1"/>
    <n v="0"/>
    <n v="0"/>
    <n v="1"/>
    <n v="100"/>
    <n v="0"/>
    <n v="0"/>
    <s v="Consolidation"/>
    <s v="CO2e and Base Measure"/>
    <n v="100"/>
    <n v="100"/>
    <n v="0.12"/>
    <m/>
    <m/>
    <m/>
    <m/>
    <m/>
    <m/>
    <m/>
    <m/>
    <m/>
    <m/>
    <m/>
    <m/>
    <m/>
    <s v="AUD"/>
    <s v="13564327Waste Recycled - E-waste [t]"/>
    <n v="13564327"/>
  </r>
  <r>
    <d v="2019-07-01T00:00:00"/>
    <d v="2021-06-30T00:00:00"/>
    <s v="Telstra"/>
    <s v="NETWORK"/>
    <s v="Network - InfraCo"/>
    <s v="NSW"/>
    <s v="Australia"/>
    <s v="Maclean"/>
    <s v="MACLEAN EXCHANGE"/>
    <n v="423030275000"/>
    <s v="Recycled Waste"/>
    <x v="0"/>
    <x v="1"/>
    <s v="Account"/>
    <s v="Remondis Electrical Comp. (E-Waste)"/>
    <m/>
    <s v="423030275000_RELECTRIC"/>
    <s v="ELECTRICAL COMP. E-WASTE"/>
    <s v="Remondis"/>
    <m/>
    <m/>
    <d v="2020-10-01T00:00:00"/>
    <d v="2020-10-01T00:00:00"/>
    <s v="FY21"/>
    <s v="t"/>
    <n v="0"/>
    <n v="0"/>
    <n v="4.1000000000000003E-3"/>
    <n v="4.1000000000000003E-3"/>
    <n v="0"/>
    <n v="0"/>
    <n v="1"/>
    <n v="1"/>
    <n v="0"/>
    <n v="0"/>
    <n v="100"/>
    <s v="Consolidation"/>
    <s v="CO2e and Base Measure"/>
    <n v="100"/>
    <n v="100"/>
    <n v="0"/>
    <m/>
    <m/>
    <m/>
    <m/>
    <m/>
    <m/>
    <m/>
    <m/>
    <m/>
    <m/>
    <m/>
    <m/>
    <m/>
    <s v="AUD"/>
    <s v="13564327Waste Recycled - E-waste [t]"/>
    <n v="13564327"/>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1-01-01T00:00:00"/>
    <s v="FY21"/>
    <s v="t"/>
    <n v="0"/>
    <n v="0"/>
    <n v="4.3E-3"/>
    <n v="4.3E-3"/>
    <n v="0"/>
    <n v="0"/>
    <n v="1"/>
    <n v="1"/>
    <n v="0"/>
    <n v="0"/>
    <n v="100"/>
    <s v="Consolidation"/>
    <s v="CO2e and Base Measure"/>
    <n v="100"/>
    <n v="100"/>
    <n v="0"/>
    <m/>
    <m/>
    <m/>
    <m/>
    <m/>
    <n v="5.5999999999999999E-3"/>
    <m/>
    <n v="5.5999999999999999E-3"/>
    <m/>
    <m/>
    <m/>
    <m/>
    <m/>
    <s v="AUD"/>
    <s v="13564328Waste - General [t] - Scope 3"/>
    <n v="13564328"/>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0-12-01T00:00:00"/>
    <s v="FY21"/>
    <s v="t"/>
    <n v="0.189"/>
    <n v="0"/>
    <n v="0"/>
    <n v="0.189"/>
    <n v="1"/>
    <n v="0"/>
    <n v="0"/>
    <n v="1"/>
    <n v="100"/>
    <n v="0"/>
    <n v="0"/>
    <s v="Consolidation"/>
    <s v="CO2e and Base Measure"/>
    <n v="100"/>
    <n v="100"/>
    <n v="0.19"/>
    <m/>
    <m/>
    <m/>
    <m/>
    <m/>
    <n v="0.2457"/>
    <m/>
    <n v="0.2457"/>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1-01T00:00:00"/>
    <s v="FY21"/>
    <s v="t"/>
    <n v="7.9000000000000001E-2"/>
    <n v="0"/>
    <n v="0"/>
    <n v="7.9000000000000001E-2"/>
    <n v="1"/>
    <n v="0"/>
    <n v="0"/>
    <n v="1"/>
    <n v="100"/>
    <n v="0"/>
    <n v="0"/>
    <s v="Consolidation"/>
    <s v="CO2e and Base Measure"/>
    <n v="100"/>
    <n v="100"/>
    <n v="0.08"/>
    <m/>
    <m/>
    <m/>
    <m/>
    <m/>
    <n v="0.1027"/>
    <m/>
    <n v="0.1027"/>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2-01T00:00:00"/>
    <s v="FY21"/>
    <s v="t"/>
    <n v="0.34899999999999998"/>
    <n v="0"/>
    <n v="0"/>
    <n v="0.34899999999999998"/>
    <n v="2"/>
    <n v="0"/>
    <n v="0"/>
    <n v="2"/>
    <n v="100"/>
    <n v="0"/>
    <n v="0"/>
    <s v="Consolidation"/>
    <s v="CO2e and Base Measure"/>
    <n v="100"/>
    <n v="100"/>
    <n v="0.35"/>
    <m/>
    <m/>
    <m/>
    <m/>
    <m/>
    <n v="0.45369999999999999"/>
    <m/>
    <n v="0.45369999999999999"/>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3-01T00:00:00"/>
    <s v="FY21"/>
    <s v="t"/>
    <n v="4.9000000000000002E-2"/>
    <n v="0"/>
    <n v="0"/>
    <n v="4.9000000000000002E-2"/>
    <n v="1"/>
    <n v="0"/>
    <n v="0"/>
    <n v="1"/>
    <n v="100"/>
    <n v="0"/>
    <n v="0"/>
    <s v="Consolidation"/>
    <s v="CO2e and Base Measure"/>
    <n v="100"/>
    <n v="100"/>
    <n v="0.05"/>
    <m/>
    <m/>
    <m/>
    <m/>
    <m/>
    <n v="6.3700000000000007E-2"/>
    <m/>
    <n v="6.3700000000000007E-2"/>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4-01T00:00:00"/>
    <s v="FY21"/>
    <s v="t"/>
    <n v="0"/>
    <n v="0"/>
    <n v="0.16800000000000001"/>
    <n v="0.16800000000000001"/>
    <n v="0"/>
    <n v="0"/>
    <n v="30"/>
    <n v="30"/>
    <n v="0"/>
    <n v="0"/>
    <n v="100"/>
    <s v="Consolidation"/>
    <s v="CO2e and Base Measure"/>
    <n v="100"/>
    <n v="100"/>
    <n v="0.17"/>
    <m/>
    <m/>
    <m/>
    <m/>
    <m/>
    <n v="0.21840000000000001"/>
    <m/>
    <n v="0.21840000000000001"/>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5-01T00:00:00"/>
    <s v="FY21"/>
    <s v="t"/>
    <n v="0"/>
    <n v="0"/>
    <n v="0.1736"/>
    <n v="0.1736"/>
    <n v="0"/>
    <n v="0"/>
    <n v="31"/>
    <n v="31"/>
    <n v="0"/>
    <n v="0"/>
    <n v="100"/>
    <s v="Consolidation"/>
    <s v="CO2e and Base Measure"/>
    <n v="100"/>
    <n v="100"/>
    <n v="0.17"/>
    <m/>
    <m/>
    <m/>
    <m/>
    <m/>
    <n v="0.22570000000000001"/>
    <m/>
    <n v="0.22570000000000001"/>
    <m/>
    <m/>
    <m/>
    <m/>
    <m/>
    <s v="AUD"/>
    <s v="13634165Waste - General [t] - Scope 3"/>
    <n v="13634165"/>
  </r>
  <r>
    <d v="2019-07-01T00:00:00"/>
    <d v="2021-06-30T00:00:00"/>
    <s v="Telstra"/>
    <s v="NETWORK"/>
    <s v="Network - InfraCo"/>
    <s v="WA"/>
    <s v="Australia"/>
    <s v="Maddington"/>
    <s v="MADDINGTON EXCHANGE"/>
    <n v="423030833800"/>
    <s v="Waste"/>
    <x v="1"/>
    <x v="2"/>
    <s v="Account"/>
    <s v="Remondis General Waste"/>
    <m/>
    <s v="423030833800_WGENERALW"/>
    <s v="GENERAL WASTE"/>
    <s v="Remondis"/>
    <m/>
    <m/>
    <d v="2020-07-01T00:00:00"/>
    <d v="2020-07-01T00:00:00"/>
    <s v="FY21"/>
    <s v="t"/>
    <n v="0"/>
    <n v="0"/>
    <n v="6.7000000000000002E-3"/>
    <n v="6.7000000000000002E-3"/>
    <n v="0"/>
    <n v="0"/>
    <n v="1"/>
    <n v="1"/>
    <n v="0"/>
    <n v="0"/>
    <n v="100"/>
    <s v="Consolidation"/>
    <s v="CO2e and Base Measure"/>
    <n v="100"/>
    <n v="100"/>
    <n v="0.01"/>
    <m/>
    <m/>
    <m/>
    <m/>
    <m/>
    <n v="8.6999999999999994E-3"/>
    <m/>
    <n v="8.6999999999999994E-3"/>
    <m/>
    <m/>
    <m/>
    <m/>
    <m/>
    <s v="AUD"/>
    <s v="13565345Waste - General [t] - Scope 3"/>
    <n v="13565345"/>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07-01T00:00:00"/>
    <s v="FY21"/>
    <s v="t"/>
    <n v="0"/>
    <n v="0.11650000000000001"/>
    <n v="0"/>
    <n v="0.11650000000000001"/>
    <n v="0"/>
    <n v="5"/>
    <n v="0"/>
    <n v="5"/>
    <n v="0"/>
    <n v="100"/>
    <n v="0"/>
    <s v="Consolidation"/>
    <s v="CO2e and Base Measure"/>
    <n v="100"/>
    <n v="100"/>
    <n v="0.12"/>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08-01T00:00:00"/>
    <s v="FY21"/>
    <s v="t"/>
    <n v="0"/>
    <n v="9.3200000000000005E-2"/>
    <n v="0"/>
    <n v="9.3200000000000005E-2"/>
    <n v="0"/>
    <n v="4"/>
    <n v="0"/>
    <n v="4"/>
    <n v="0"/>
    <n v="100"/>
    <n v="0"/>
    <s v="Consolidation"/>
    <s v="CO2e and Base Measure"/>
    <n v="100"/>
    <n v="100"/>
    <n v="0.09"/>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09-01T00:00:00"/>
    <s v="FY21"/>
    <s v="t"/>
    <n v="0"/>
    <n v="9.3200000000000005E-2"/>
    <n v="0"/>
    <n v="9.3200000000000005E-2"/>
    <n v="0"/>
    <n v="4"/>
    <n v="0"/>
    <n v="4"/>
    <n v="0"/>
    <n v="100"/>
    <n v="0"/>
    <s v="Consolidation"/>
    <s v="CO2e and Base Measure"/>
    <n v="100"/>
    <n v="100"/>
    <n v="0.09"/>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10-01T00:00:00"/>
    <s v="FY21"/>
    <s v="t"/>
    <n v="0"/>
    <n v="0.11650000000000001"/>
    <n v="0"/>
    <n v="0.11650000000000001"/>
    <n v="0"/>
    <n v="5"/>
    <n v="0"/>
    <n v="5"/>
    <n v="0"/>
    <n v="100"/>
    <n v="0"/>
    <s v="Consolidation"/>
    <s v="CO2e and Base Measure"/>
    <n v="100"/>
    <n v="100"/>
    <n v="0.12"/>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11-01T00:00:00"/>
    <s v="FY21"/>
    <s v="t"/>
    <n v="0"/>
    <n v="9.3200000000000005E-2"/>
    <n v="0"/>
    <n v="9.3200000000000005E-2"/>
    <n v="0"/>
    <n v="4"/>
    <n v="0"/>
    <n v="4"/>
    <n v="0"/>
    <n v="100"/>
    <n v="0"/>
    <s v="Consolidation"/>
    <s v="CO2e and Base Measure"/>
    <n v="100"/>
    <n v="100"/>
    <n v="0.09"/>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12-01T00:00:00"/>
    <s v="FY21"/>
    <s v="t"/>
    <n v="0"/>
    <n v="0"/>
    <n v="3.3E-3"/>
    <n v="3.3E-3"/>
    <n v="0"/>
    <n v="0"/>
    <n v="1"/>
    <n v="1"/>
    <n v="0"/>
    <n v="0"/>
    <n v="100"/>
    <s v="Consolidation"/>
    <s v="CO2e and Base Measure"/>
    <n v="100"/>
    <n v="100"/>
    <n v="0"/>
    <m/>
    <m/>
    <m/>
    <m/>
    <m/>
    <m/>
    <n v="0"/>
    <m/>
    <m/>
    <m/>
    <m/>
    <m/>
    <m/>
    <s v="AUD"/>
    <s v="13564996Waste Recycled - Cardboard [t]"/>
    <n v="13564996"/>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07-01T00:00:00"/>
    <s v="FY21"/>
    <s v="t"/>
    <n v="0"/>
    <n v="0.28860000000000002"/>
    <n v="0"/>
    <n v="0.28860000000000002"/>
    <n v="0"/>
    <n v="2"/>
    <n v="0"/>
    <n v="2"/>
    <n v="0"/>
    <n v="100"/>
    <n v="0"/>
    <s v="Consolidation"/>
    <s v="CO2e and Base Measure"/>
    <n v="100"/>
    <n v="100"/>
    <n v="0.28999999999999998"/>
    <m/>
    <m/>
    <m/>
    <m/>
    <m/>
    <n v="0.37519999999999998"/>
    <m/>
    <n v="0.37519999999999998"/>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08-01T00:00:00"/>
    <s v="FY21"/>
    <s v="t"/>
    <n v="0"/>
    <n v="0.14430000000000001"/>
    <n v="0"/>
    <n v="0.14430000000000001"/>
    <n v="0"/>
    <n v="1"/>
    <n v="0"/>
    <n v="1"/>
    <n v="0"/>
    <n v="100"/>
    <n v="0"/>
    <s v="Consolidation"/>
    <s v="CO2e and Base Measure"/>
    <n v="100"/>
    <n v="100"/>
    <n v="0.14000000000000001"/>
    <m/>
    <m/>
    <m/>
    <m/>
    <m/>
    <n v="0.18759999999999999"/>
    <m/>
    <n v="0.18759999999999999"/>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09-01T00:00:00"/>
    <s v="FY21"/>
    <s v="t"/>
    <n v="0"/>
    <n v="0.36080000000000001"/>
    <n v="0"/>
    <n v="0.36080000000000001"/>
    <n v="0"/>
    <n v="2"/>
    <n v="0"/>
    <n v="2"/>
    <n v="0"/>
    <n v="100"/>
    <n v="0"/>
    <s v="Consolidation"/>
    <s v="CO2e and Base Measure"/>
    <n v="100"/>
    <n v="100"/>
    <n v="0.36"/>
    <m/>
    <m/>
    <m/>
    <m/>
    <m/>
    <n v="0.46899999999999997"/>
    <m/>
    <n v="0.46899999999999997"/>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10-01T00:00:00"/>
    <s v="FY21"/>
    <s v="t"/>
    <n v="0"/>
    <n v="7.22E-2"/>
    <n v="0"/>
    <n v="7.22E-2"/>
    <n v="0"/>
    <n v="1"/>
    <n v="0"/>
    <n v="1"/>
    <n v="0"/>
    <n v="100"/>
    <n v="0"/>
    <s v="Consolidation"/>
    <s v="CO2e and Base Measure"/>
    <n v="100"/>
    <n v="100"/>
    <n v="7.0000000000000007E-2"/>
    <m/>
    <m/>
    <m/>
    <m/>
    <m/>
    <n v="9.3899999999999997E-2"/>
    <m/>
    <n v="9.3899999999999997E-2"/>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11-01T00:00:00"/>
    <s v="FY21"/>
    <s v="t"/>
    <n v="3.28"/>
    <n v="0.28860000000000002"/>
    <n v="0"/>
    <n v="3.5686"/>
    <n v="1"/>
    <n v="2"/>
    <n v="0"/>
    <n v="3"/>
    <n v="91.91"/>
    <n v="8.08"/>
    <n v="0"/>
    <s v="Consolidation"/>
    <s v="CO2e and Base Measure"/>
    <n v="100"/>
    <n v="100"/>
    <n v="3.57"/>
    <m/>
    <m/>
    <m/>
    <m/>
    <m/>
    <n v="4.6391999999999998"/>
    <m/>
    <n v="4.6391999999999998"/>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1-01-01T00:00:00"/>
    <s v="FY21"/>
    <s v="t"/>
    <n v="0"/>
    <n v="0"/>
    <n v="2.2200000000000001E-2"/>
    <n v="2.2200000000000001E-2"/>
    <n v="0"/>
    <n v="0"/>
    <n v="1"/>
    <n v="1"/>
    <n v="0"/>
    <n v="0"/>
    <n v="100"/>
    <s v="Consolidation"/>
    <s v="CO2e and Base Measure"/>
    <n v="100"/>
    <n v="100"/>
    <n v="0.02"/>
    <m/>
    <m/>
    <m/>
    <m/>
    <m/>
    <n v="2.8899999999999999E-2"/>
    <m/>
    <n v="2.8899999999999999E-2"/>
    <m/>
    <m/>
    <m/>
    <m/>
    <m/>
    <s v="AUD"/>
    <s v="13564999Waste - General [t] - Scope 3"/>
    <n v="13564999"/>
  </r>
  <r>
    <d v="2019-07-01T00:00:00"/>
    <d v="2021-06-30T00:00:00"/>
    <s v="Telstra"/>
    <s v="NETWORK"/>
    <s v="Network - InfraCo"/>
    <s v="VIC"/>
    <s v="Australia"/>
    <s v="Sunshine"/>
    <s v="MAIDSTONE EXCHANGE"/>
    <n v="423030621600"/>
    <s v="Recycled Waste"/>
    <x v="0"/>
    <x v="5"/>
    <s v="Account"/>
    <s v="Remondis Metal - Mixed All"/>
    <m/>
    <s v="423030621600_RMETMIXED"/>
    <s v="METAL - MIXED ALL"/>
    <s v="Remondis"/>
    <m/>
    <m/>
    <d v="2021-01-01T00:00:00"/>
    <d v="2020-12-01T00:00:00"/>
    <s v="FY21"/>
    <s v="t"/>
    <n v="0"/>
    <n v="0.45"/>
    <n v="0"/>
    <n v="0.45"/>
    <n v="0"/>
    <n v="1"/>
    <n v="0"/>
    <n v="1"/>
    <n v="0"/>
    <n v="100"/>
    <n v="0"/>
    <s v="Consolidation"/>
    <s v="CO2e and Base Measure"/>
    <n v="100"/>
    <n v="100"/>
    <n v="0.45"/>
    <m/>
    <m/>
    <m/>
    <m/>
    <m/>
    <m/>
    <m/>
    <m/>
    <m/>
    <m/>
    <m/>
    <m/>
    <m/>
    <s v="AUD"/>
    <s v="13565000Waste Recycled - Construction and Demolition [t]"/>
    <n v="13565000"/>
  </r>
  <r>
    <d v="2019-07-01T00:00:00"/>
    <d v="2021-06-30T00:00:00"/>
    <s v="Telstra"/>
    <s v="NETWORK"/>
    <s v="Network - InfraCo"/>
    <s v="VIC"/>
    <s v="Australia"/>
    <s v="Sunshine"/>
    <s v="MAIDSTONE EXCHANGE"/>
    <n v="423030621600"/>
    <s v="Recycled Waste"/>
    <x v="0"/>
    <x v="5"/>
    <s v="Account"/>
    <s v="Remondis Metal - Mixed All"/>
    <m/>
    <s v="423030621600_RMETMIXED"/>
    <s v="METAL - MIXED ALL"/>
    <s v="Remondis"/>
    <m/>
    <m/>
    <d v="2021-01-01T00:00:00"/>
    <d v="2021-01-01T00:00:00"/>
    <s v="FY21"/>
    <s v="t"/>
    <n v="0"/>
    <n v="0"/>
    <n v="1.4999999999999999E-2"/>
    <n v="1.4999999999999999E-2"/>
    <n v="0"/>
    <n v="0"/>
    <n v="1"/>
    <n v="1"/>
    <n v="0"/>
    <n v="0"/>
    <n v="100"/>
    <s v="Consolidation"/>
    <s v="CO2e and Base Measure"/>
    <n v="100"/>
    <n v="100"/>
    <n v="0.02"/>
    <m/>
    <m/>
    <m/>
    <m/>
    <m/>
    <m/>
    <m/>
    <m/>
    <m/>
    <m/>
    <m/>
    <m/>
    <m/>
    <s v="AUD"/>
    <s v="13565000Waste Recycled - Construction and Demolition [t]"/>
    <n v="13565000"/>
  </r>
  <r>
    <d v="2019-07-01T00:00:00"/>
    <d v="2021-06-30T00:00:00"/>
    <s v="Telstra"/>
    <s v="NETWORK"/>
    <s v="Network - InfraCo"/>
    <s v="VIC"/>
    <s v="Australia"/>
    <s v="Sunshine"/>
    <s v="MAIDSTONE EXCHANGE"/>
    <n v="423030621600"/>
    <s v="Waste"/>
    <x v="1"/>
    <x v="2"/>
    <s v="Account"/>
    <s v="CLEANAWAY General"/>
    <m/>
    <s v="25762_Landfill_General"/>
    <s v="General"/>
    <s v="Cleanaway"/>
    <m/>
    <d v="2021-02-22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9897Waste - General [t] - Scope 3"/>
    <n v="13639897"/>
  </r>
  <r>
    <d v="2019-07-01T00:00:00"/>
    <d v="2021-06-30T00:00:00"/>
    <s v="Telstra"/>
    <s v="NETWORK"/>
    <s v="Network - InfraCo"/>
    <s v="VIC"/>
    <s v="Australia"/>
    <s v="Sunshine"/>
    <s v="MAIDSTONE EXCHANGE"/>
    <n v="423030621600"/>
    <s v="Waste"/>
    <x v="1"/>
    <x v="2"/>
    <s v="Account"/>
    <s v="CLEANAWAY General"/>
    <m/>
    <s v="25762_Landfill_General"/>
    <s v="General"/>
    <s v="Cleanaway"/>
    <m/>
    <d v="2021-02-22T00:00:00"/>
    <m/>
    <d v="2021-03-01T00:00:00"/>
    <s v="FY21"/>
    <s v="t"/>
    <n v="0.12"/>
    <n v="0"/>
    <n v="0"/>
    <n v="0.12"/>
    <n v="1"/>
    <n v="0"/>
    <n v="0"/>
    <n v="1"/>
    <n v="100"/>
    <n v="0"/>
    <n v="0"/>
    <s v="Consolidation"/>
    <s v="CO2e and Base Measure"/>
    <n v="100"/>
    <n v="100"/>
    <n v="0.12"/>
    <m/>
    <m/>
    <m/>
    <m/>
    <m/>
    <n v="0.156"/>
    <m/>
    <n v="0.156"/>
    <m/>
    <m/>
    <m/>
    <m/>
    <m/>
    <s v="AUD"/>
    <s v="13639897Waste - General [t] - Scope 3"/>
    <n v="13639897"/>
  </r>
  <r>
    <d v="2019-07-01T00:00:00"/>
    <d v="2021-06-30T00:00:00"/>
    <s v="Telstra"/>
    <s v="NETWORK"/>
    <s v="Network - InfraCo"/>
    <s v="VIC"/>
    <s v="Australia"/>
    <s v="Sunshine"/>
    <s v="MAIDSTONE EXCHANGE"/>
    <n v="423030621600"/>
    <s v="Waste"/>
    <x v="1"/>
    <x v="2"/>
    <s v="Account"/>
    <s v="CLEANAWAY General"/>
    <m/>
    <s v="25762_Landfill_General"/>
    <s v="General"/>
    <s v="Cleanaway"/>
    <m/>
    <d v="2021-02-22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9897Waste - General [t] - Scope 3"/>
    <n v="13639897"/>
  </r>
  <r>
    <d v="2019-07-01T00:00:00"/>
    <d v="2021-06-30T00:00:00"/>
    <s v="Telstra"/>
    <s v="NETWORK"/>
    <s v="Network - InfraCo"/>
    <s v="VIC"/>
    <s v="Australia"/>
    <s v="Sunshine"/>
    <s v="MAIDSTONE EXCHANGE"/>
    <n v="423030621600"/>
    <s v="Waste"/>
    <x v="1"/>
    <x v="2"/>
    <s v="Account"/>
    <s v="CLEANAWAY General"/>
    <m/>
    <s v="25762_Landfill_General"/>
    <s v="General"/>
    <s v="Cleanaway"/>
    <m/>
    <d v="2021-02-22T00:00:00"/>
    <m/>
    <d v="2021-05-01T00:00:00"/>
    <s v="FY21"/>
    <s v="t"/>
    <n v="0"/>
    <n v="0"/>
    <n v="8.9899999999999994E-2"/>
    <n v="8.9899999999999994E-2"/>
    <n v="0"/>
    <n v="0"/>
    <n v="31"/>
    <n v="31"/>
    <n v="0"/>
    <n v="0"/>
    <n v="100"/>
    <s v="Consolidation"/>
    <s v="CO2e and Base Measure"/>
    <n v="100"/>
    <n v="100"/>
    <n v="0.09"/>
    <m/>
    <m/>
    <m/>
    <m/>
    <m/>
    <n v="0.1169"/>
    <m/>
    <n v="0.1169"/>
    <m/>
    <m/>
    <m/>
    <m/>
    <m/>
    <s v="AUD"/>
    <s v="13639897Waste - General [t] - Scope 3"/>
    <n v="13639897"/>
  </r>
  <r>
    <d v="2019-07-01T00:00:00"/>
    <d v="2021-06-30T00:00:00"/>
    <s v="Telstra"/>
    <s v="NETWORK"/>
    <s v="Network - InfraCo"/>
    <s v="VIC"/>
    <s v="Australia"/>
    <s v="Sunshine"/>
    <s v="MAIDSTONE EXCHANGE"/>
    <n v="423030621600"/>
    <s v="Recycled Waste"/>
    <x v="0"/>
    <x v="0"/>
    <s v="Account"/>
    <s v="CLEANAWAY Cardboard"/>
    <m/>
    <s v="25762_Diversion_Cardboard"/>
    <s v="Cardboard"/>
    <s v="Cleanaway"/>
    <m/>
    <d v="2021-02-22T00:00:00"/>
    <m/>
    <d v="2021-02-01T00:00:00"/>
    <s v="FY21"/>
    <s v="t"/>
    <n v="0"/>
    <n v="2.75E-2"/>
    <n v="0"/>
    <n v="2.75E-2"/>
    <n v="0"/>
    <n v="1"/>
    <n v="0"/>
    <n v="1"/>
    <n v="0"/>
    <n v="100"/>
    <n v="0"/>
    <s v="Consolidation"/>
    <s v="CO2e and Base Measure"/>
    <n v="100"/>
    <n v="100"/>
    <n v="0.03"/>
    <m/>
    <m/>
    <m/>
    <m/>
    <m/>
    <m/>
    <m/>
    <m/>
    <m/>
    <m/>
    <m/>
    <m/>
    <m/>
    <s v="AUD"/>
    <s v="13639898Waste Recycled - Paper and Cardboard [t]"/>
    <n v="13639898"/>
  </r>
  <r>
    <d v="2019-07-01T00:00:00"/>
    <d v="2021-06-30T00:00:00"/>
    <s v="Telstra"/>
    <s v="NETWORK"/>
    <s v="Network - InfraCo"/>
    <s v="VIC"/>
    <s v="Australia"/>
    <s v="Sunshine"/>
    <s v="MAIDSTONE EXCHANGE"/>
    <n v="423030621600"/>
    <s v="Recycled Waste"/>
    <x v="0"/>
    <x v="0"/>
    <s v="Account"/>
    <s v="CLEANAWAY Cardboard"/>
    <m/>
    <s v="25762_Diversion_Cardboard"/>
    <s v="Cardboard"/>
    <s v="Cleanaway"/>
    <m/>
    <d v="2021-02-22T00:00:00"/>
    <m/>
    <d v="2021-03-01T00:00:00"/>
    <s v="FY21"/>
    <s v="t"/>
    <n v="0"/>
    <n v="5.5E-2"/>
    <n v="0"/>
    <n v="5.5E-2"/>
    <n v="0"/>
    <n v="2"/>
    <n v="0"/>
    <n v="2"/>
    <n v="0"/>
    <n v="100"/>
    <n v="0"/>
    <s v="Consolidation"/>
    <s v="CO2e and Base Measure"/>
    <n v="100"/>
    <n v="100"/>
    <n v="0.06"/>
    <m/>
    <m/>
    <m/>
    <m/>
    <m/>
    <m/>
    <m/>
    <m/>
    <m/>
    <m/>
    <m/>
    <m/>
    <m/>
    <s v="AUD"/>
    <s v="13639898Waste Recycled - Paper and Cardboard [t]"/>
    <n v="13639898"/>
  </r>
  <r>
    <d v="2019-07-01T00:00:00"/>
    <d v="2021-06-30T00:00:00"/>
    <s v="Telstra"/>
    <s v="NETWORK"/>
    <s v="Network - InfraCo"/>
    <s v="VIC"/>
    <s v="Australia"/>
    <s v="Sunshine"/>
    <s v="MAIDSTONE EXCHANGE"/>
    <n v="423030621600"/>
    <s v="Recycled Waste"/>
    <x v="0"/>
    <x v="0"/>
    <s v="Account"/>
    <s v="CLEANAWAY Cardboard"/>
    <m/>
    <s v="25762_Diversion_Cardboard"/>
    <s v="Cardboard"/>
    <s v="Cleanaway"/>
    <m/>
    <d v="2021-02-22T00:00:00"/>
    <m/>
    <d v="2021-04-01T00:00:00"/>
    <s v="FY21"/>
    <s v="t"/>
    <n v="0"/>
    <n v="0"/>
    <n v="4.2000000000000003E-2"/>
    <n v="4.2000000000000003E-2"/>
    <n v="0"/>
    <n v="0"/>
    <n v="30"/>
    <n v="30"/>
    <n v="0"/>
    <n v="0"/>
    <n v="100"/>
    <s v="Consolidation"/>
    <s v="CO2e and Base Measure"/>
    <n v="100"/>
    <n v="100"/>
    <n v="0.04"/>
    <m/>
    <m/>
    <m/>
    <m/>
    <m/>
    <m/>
    <m/>
    <m/>
    <m/>
    <m/>
    <m/>
    <m/>
    <m/>
    <s v="AUD"/>
    <s v="13639898Waste Recycled - Paper and Cardboard [t]"/>
    <n v="13639898"/>
  </r>
  <r>
    <d v="2019-07-01T00:00:00"/>
    <d v="2021-06-30T00:00:00"/>
    <s v="Telstra"/>
    <s v="NETWORK"/>
    <s v="Network - InfraCo"/>
    <s v="VIC"/>
    <s v="Australia"/>
    <s v="Sunshine"/>
    <s v="MAIDSTONE EXCHANGE"/>
    <n v="423030621600"/>
    <s v="Recycled Waste"/>
    <x v="0"/>
    <x v="0"/>
    <s v="Account"/>
    <s v="CLEANAWAY Cardboard"/>
    <m/>
    <s v="25762_Diversion_Cardboard"/>
    <s v="Cardboard"/>
    <s v="Cleanaway"/>
    <m/>
    <d v="2021-02-22T00:00:00"/>
    <m/>
    <d v="2021-05-01T00:00:00"/>
    <s v="FY21"/>
    <s v="t"/>
    <n v="0"/>
    <n v="0"/>
    <n v="4.3400000000000001E-2"/>
    <n v="4.3400000000000001E-2"/>
    <n v="0"/>
    <n v="0"/>
    <n v="31"/>
    <n v="31"/>
    <n v="0"/>
    <n v="0"/>
    <n v="100"/>
    <s v="Consolidation"/>
    <s v="CO2e and Base Measure"/>
    <n v="100"/>
    <n v="100"/>
    <n v="0.04"/>
    <m/>
    <m/>
    <m/>
    <m/>
    <m/>
    <m/>
    <m/>
    <m/>
    <m/>
    <m/>
    <m/>
    <m/>
    <m/>
    <s v="AUD"/>
    <s v="13639898Waste Recycled - Paper and Cardboard [t]"/>
    <n v="13639898"/>
  </r>
  <r>
    <d v="2019-07-01T00:00:00"/>
    <d v="2021-06-30T00:00:00"/>
    <s v="Telstra"/>
    <s v="NETWORK"/>
    <s v="Network - InfraCo"/>
    <s v="WA"/>
    <s v="Australia"/>
    <s v="Mandurah"/>
    <s v="MANDURAH EXCHANGE"/>
    <n v="423030864300"/>
    <s v="Waste"/>
    <x v="1"/>
    <x v="2"/>
    <s v="Account"/>
    <s v="Remondis General Waste"/>
    <m/>
    <s v="423030864300_WGENERALW"/>
    <s v="GENERAL WASTE"/>
    <s v="Remondis"/>
    <m/>
    <m/>
    <d v="2020-11-01T00:00:00"/>
    <d v="2020-07-01T00:00:00"/>
    <s v="FY21"/>
    <s v="t"/>
    <n v="0"/>
    <n v="0.39"/>
    <n v="0"/>
    <n v="0.39"/>
    <n v="0"/>
    <n v="2"/>
    <n v="0"/>
    <n v="2"/>
    <n v="0"/>
    <n v="100"/>
    <n v="0"/>
    <s v="Consolidation"/>
    <s v="CO2e and Base Measure"/>
    <n v="100"/>
    <n v="100"/>
    <n v="0.39"/>
    <m/>
    <m/>
    <m/>
    <m/>
    <m/>
    <n v="0.50700000000000001"/>
    <m/>
    <n v="0.50700000000000001"/>
    <m/>
    <m/>
    <m/>
    <m/>
    <m/>
    <s v="AUD"/>
    <s v="13565383Waste - General [t] - Scope 3"/>
    <n v="13565383"/>
  </r>
  <r>
    <d v="2019-07-01T00:00:00"/>
    <d v="2021-06-30T00:00:00"/>
    <s v="Telstra"/>
    <s v="NETWORK"/>
    <s v="Network - InfraCo"/>
    <s v="WA"/>
    <s v="Australia"/>
    <s v="Mandurah"/>
    <s v="MANDURAH EXCHANGE"/>
    <n v="423030864300"/>
    <s v="Waste"/>
    <x v="1"/>
    <x v="2"/>
    <s v="Account"/>
    <s v="Remondis General Waste"/>
    <m/>
    <s v="423030864300_WGENERALW"/>
    <s v="GENERAL WASTE"/>
    <s v="Remondis"/>
    <m/>
    <m/>
    <d v="2020-11-01T00:00:00"/>
    <d v="2020-09-01T00:00:00"/>
    <s v="FY21"/>
    <s v="t"/>
    <n v="0"/>
    <n v="0.39"/>
    <n v="0"/>
    <n v="0.39"/>
    <n v="0"/>
    <n v="2"/>
    <n v="0"/>
    <n v="2"/>
    <n v="0"/>
    <n v="100"/>
    <n v="0"/>
    <s v="Consolidation"/>
    <s v="CO2e and Base Measure"/>
    <n v="100"/>
    <n v="100"/>
    <n v="0.39"/>
    <m/>
    <m/>
    <m/>
    <m/>
    <m/>
    <n v="0.50700000000000001"/>
    <m/>
    <n v="0.50700000000000001"/>
    <m/>
    <m/>
    <m/>
    <m/>
    <m/>
    <s v="AUD"/>
    <s v="13565383Waste - General [t] - Scope 3"/>
    <n v="13565383"/>
  </r>
  <r>
    <d v="2019-07-01T00:00:00"/>
    <d v="2021-06-30T00:00:00"/>
    <s v="Telstra"/>
    <s v="NETWORK"/>
    <s v="Network - InfraCo"/>
    <s v="WA"/>
    <s v="Australia"/>
    <s v="Mandurah"/>
    <s v="MANDURAH EXCHANGE"/>
    <n v="423030864300"/>
    <s v="Waste"/>
    <x v="1"/>
    <x v="2"/>
    <s v="Account"/>
    <s v="Remondis General Waste"/>
    <m/>
    <s v="423030864300_WGENERALW"/>
    <s v="GENERAL WASTE"/>
    <s v="Remondis"/>
    <m/>
    <m/>
    <d v="2020-11-01T00:00:00"/>
    <d v="2020-10-01T00:00:00"/>
    <s v="FY21"/>
    <s v="t"/>
    <n v="0"/>
    <n v="0.39"/>
    <n v="0"/>
    <n v="0.39"/>
    <n v="0"/>
    <n v="2"/>
    <n v="0"/>
    <n v="2"/>
    <n v="0"/>
    <n v="100"/>
    <n v="0"/>
    <s v="Consolidation"/>
    <s v="CO2e and Base Measure"/>
    <n v="100"/>
    <n v="100"/>
    <n v="0.39"/>
    <m/>
    <m/>
    <m/>
    <m/>
    <m/>
    <n v="0.50700000000000001"/>
    <m/>
    <n v="0.50700000000000001"/>
    <m/>
    <m/>
    <m/>
    <m/>
    <m/>
    <s v="AUD"/>
    <s v="13565383Waste - General [t] - Scope 3"/>
    <n v="13565383"/>
  </r>
  <r>
    <d v="2019-07-01T00:00:00"/>
    <d v="2021-06-30T00:00:00"/>
    <s v="Telstra"/>
    <s v="NETWORK"/>
    <s v="Network - InfraCo"/>
    <s v="WA"/>
    <s v="Australia"/>
    <s v="Mandurah"/>
    <s v="MANDURAH EXCHANGE"/>
    <n v="423030864300"/>
    <s v="Waste"/>
    <x v="1"/>
    <x v="2"/>
    <s v="Account"/>
    <s v="Remondis General Waste"/>
    <m/>
    <s v="423030864300_WGENERALW"/>
    <s v="GENERAL WASTE"/>
    <s v="Remondis"/>
    <m/>
    <m/>
    <d v="2020-11-01T00:00:00"/>
    <d v="2020-11-01T00:00:00"/>
    <s v="FY21"/>
    <s v="t"/>
    <n v="0"/>
    <n v="0"/>
    <n v="1.03E-2"/>
    <n v="1.03E-2"/>
    <n v="0"/>
    <n v="0"/>
    <n v="1"/>
    <n v="1"/>
    <n v="0"/>
    <n v="0"/>
    <n v="100"/>
    <s v="Consolidation"/>
    <s v="CO2e and Base Measure"/>
    <n v="100"/>
    <n v="100"/>
    <n v="0.01"/>
    <m/>
    <m/>
    <m/>
    <m/>
    <m/>
    <n v="1.34E-2"/>
    <m/>
    <n v="1.34E-2"/>
    <m/>
    <m/>
    <m/>
    <m/>
    <m/>
    <s v="AUD"/>
    <s v="13565383Waste - General [t] - Scope 3"/>
    <n v="13565383"/>
  </r>
  <r>
    <d v="2019-07-01T00:00:00"/>
    <d v="2021-06-30T00:00:00"/>
    <s v="Telstra"/>
    <s v="NETWORK"/>
    <s v="Network - InfraCo"/>
    <s v="WA"/>
    <s v="Australia"/>
    <s v="Mandurah"/>
    <s v="MANDURAH EXCHANGE"/>
    <n v="423030864300"/>
    <s v="Recycled Waste"/>
    <x v="0"/>
    <x v="5"/>
    <s v="Account"/>
    <s v="Remondis Construction &amp; Demolition - Recycled"/>
    <m/>
    <s v="423030864300_RCONSDEM"/>
    <s v="CONSTRUCTION &amp; DEMOLITION - RECYLED"/>
    <s v="Remondis"/>
    <m/>
    <d v="2020-06-24T00:00:00"/>
    <d v="2020-07-01T00:00:00"/>
    <d v="2020-07-01T00:00:00"/>
    <s v="FY21"/>
    <s v="t"/>
    <n v="0"/>
    <n v="0"/>
    <n v="3.4500000000000003E-2"/>
    <n v="3.4500000000000003E-2"/>
    <n v="0"/>
    <n v="0"/>
    <n v="1"/>
    <n v="1"/>
    <n v="0"/>
    <n v="0"/>
    <n v="100"/>
    <s v="Consolidation"/>
    <s v="CO2e and Base Measure"/>
    <n v="100"/>
    <n v="100"/>
    <n v="0.03"/>
    <m/>
    <m/>
    <m/>
    <m/>
    <m/>
    <m/>
    <m/>
    <m/>
    <m/>
    <m/>
    <m/>
    <m/>
    <m/>
    <s v="AUD"/>
    <s v="13612604Waste Recycled - Construction and Demolition [t]"/>
    <n v="13612604"/>
  </r>
  <r>
    <d v="2019-07-01T00:00:00"/>
    <d v="2021-06-30T00:00:00"/>
    <s v="Telstra"/>
    <s v="NETWORK"/>
    <s v="Network - InfraCo"/>
    <s v="VIC"/>
    <s v="Australia"/>
    <s v="Mansfield"/>
    <s v="MANSFIELD EXCHANGE RT __ TOC"/>
    <n v="423030738400"/>
    <s v="Waste"/>
    <x v="1"/>
    <x v="4"/>
    <s v="Account"/>
    <s v="Remondis Asbestos"/>
    <m/>
    <s v="4230307384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5164Waste - Construction and Demolition [t]"/>
    <n v="13565164"/>
  </r>
  <r>
    <d v="2019-07-01T00:00:00"/>
    <d v="2021-06-30T00:00:00"/>
    <s v="Telstra"/>
    <s v="NETWORK"/>
    <s v="Network - InfraCo"/>
    <s v="VIC"/>
    <s v="Australia"/>
    <s v="Mansfield"/>
    <s v="MANSFIELD EXCHANGE RT __ TOC"/>
    <n v="423030738400"/>
    <s v="Waste"/>
    <x v="1"/>
    <x v="4"/>
    <s v="Account"/>
    <s v="Remondis Asbestos"/>
    <m/>
    <s v="4230307384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5164Waste - Construction and Demolition [t]"/>
    <n v="13565164"/>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165Waste - General [t] - Scope 3"/>
    <n v="13565165"/>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0-12-01T00:00:00"/>
    <s v="FY21"/>
    <s v="t"/>
    <n v="0.33700000000000002"/>
    <n v="0"/>
    <n v="0"/>
    <n v="0.33700000000000002"/>
    <n v="1"/>
    <n v="0"/>
    <n v="0"/>
    <n v="1"/>
    <n v="100"/>
    <n v="0"/>
    <n v="0"/>
    <s v="Consolidation"/>
    <s v="CO2e and Base Measure"/>
    <n v="100"/>
    <n v="100"/>
    <n v="0.34"/>
    <m/>
    <m/>
    <m/>
    <m/>
    <m/>
    <n v="0.43809999999999999"/>
    <m/>
    <n v="0.43809999999999999"/>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1-01T00:00:00"/>
    <s v="FY21"/>
    <s v="t"/>
    <n v="0.17599999999999999"/>
    <n v="0"/>
    <n v="0"/>
    <n v="0.17599999999999999"/>
    <n v="1"/>
    <n v="0"/>
    <n v="0"/>
    <n v="1"/>
    <n v="100"/>
    <n v="0"/>
    <n v="0"/>
    <s v="Consolidation"/>
    <s v="CO2e and Base Measure"/>
    <n v="100"/>
    <n v="100"/>
    <n v="0.18"/>
    <m/>
    <m/>
    <m/>
    <m/>
    <m/>
    <n v="0.2288"/>
    <m/>
    <n v="0.2288"/>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2-01T00:00:00"/>
    <s v="FY21"/>
    <s v="t"/>
    <n v="0"/>
    <n v="0"/>
    <n v="0.23519999999999999"/>
    <n v="0.23519999999999999"/>
    <n v="0"/>
    <n v="0"/>
    <n v="28"/>
    <n v="28"/>
    <n v="0"/>
    <n v="0"/>
    <n v="100"/>
    <s v="Consolidation"/>
    <s v="CO2e and Base Measure"/>
    <n v="100"/>
    <n v="100"/>
    <n v="0.24"/>
    <m/>
    <m/>
    <m/>
    <m/>
    <m/>
    <n v="0.30580000000000002"/>
    <m/>
    <n v="0.30580000000000002"/>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3-01T00:00:00"/>
    <s v="FY21"/>
    <s v="t"/>
    <n v="0"/>
    <n v="0"/>
    <n v="0.26040000000000002"/>
    <n v="0.26040000000000002"/>
    <n v="0"/>
    <n v="0"/>
    <n v="31"/>
    <n v="31"/>
    <n v="0"/>
    <n v="0"/>
    <n v="100"/>
    <s v="Consolidation"/>
    <s v="CO2e and Base Measure"/>
    <n v="100"/>
    <n v="100"/>
    <n v="0.26"/>
    <m/>
    <m/>
    <m/>
    <m/>
    <m/>
    <n v="0.33850000000000002"/>
    <m/>
    <n v="0.33850000000000002"/>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4-01T00:00:00"/>
    <s v="FY21"/>
    <s v="t"/>
    <n v="0"/>
    <n v="0"/>
    <n v="0.252"/>
    <n v="0.252"/>
    <n v="0"/>
    <n v="0"/>
    <n v="30"/>
    <n v="30"/>
    <n v="0"/>
    <n v="0"/>
    <n v="100"/>
    <s v="Consolidation"/>
    <s v="CO2e and Base Measure"/>
    <n v="100"/>
    <n v="100"/>
    <n v="0.25"/>
    <m/>
    <m/>
    <m/>
    <m/>
    <m/>
    <n v="0.3276"/>
    <m/>
    <n v="0.3276"/>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5-01T00:00:00"/>
    <s v="FY21"/>
    <s v="t"/>
    <n v="0"/>
    <n v="0"/>
    <n v="0.26040000000000002"/>
    <n v="0.26040000000000002"/>
    <n v="0"/>
    <n v="0"/>
    <n v="31"/>
    <n v="31"/>
    <n v="0"/>
    <n v="0"/>
    <n v="100"/>
    <s v="Consolidation"/>
    <s v="CO2e and Base Measure"/>
    <n v="100"/>
    <n v="100"/>
    <n v="0.26"/>
    <m/>
    <m/>
    <m/>
    <m/>
    <m/>
    <n v="0.33850000000000002"/>
    <m/>
    <n v="0.33850000000000002"/>
    <m/>
    <m/>
    <m/>
    <m/>
    <m/>
    <s v="AUD"/>
    <s v="13634166Waste - General [t] - Scope 3"/>
    <n v="13634166"/>
  </r>
  <r>
    <d v="2019-07-01T00:00:00"/>
    <d v="2021-06-30T00:00:00"/>
    <s v="Telstra"/>
    <s v="NETWORK"/>
    <s v="Network - InfraCo"/>
    <s v="ACT"/>
    <s v="Australia"/>
    <s v="Manuka Oval"/>
    <s v="MANUKA EXCHANGE"/>
    <n v="423030277700"/>
    <s v="Recycled Waste"/>
    <x v="0"/>
    <x v="5"/>
    <s v="Account"/>
    <s v="Remondis Construction &amp; Demolition - Recycled"/>
    <m/>
    <s v="423030277700_RCONSDEM"/>
    <s v="CONSTRUCTION &amp; DEMOLITION - RECYLED"/>
    <s v="Remondis"/>
    <m/>
    <d v="2020-06-19T00:00:00"/>
    <d v="2020-08-01T00:00:00"/>
    <d v="2020-07-01T00:00:00"/>
    <s v="FY21"/>
    <s v="t"/>
    <n v="2.02"/>
    <n v="0"/>
    <n v="0"/>
    <n v="2.02"/>
    <n v="1"/>
    <n v="0"/>
    <n v="0"/>
    <n v="1"/>
    <n v="100"/>
    <n v="0"/>
    <n v="0"/>
    <s v="Consolidation"/>
    <s v="CO2e and Base Measure"/>
    <n v="100"/>
    <n v="100"/>
    <n v="2.02"/>
    <m/>
    <m/>
    <m/>
    <m/>
    <m/>
    <m/>
    <m/>
    <m/>
    <m/>
    <m/>
    <m/>
    <m/>
    <m/>
    <s v="AUD"/>
    <s v="13612599Waste Recycled - Construction and Demolition [t]"/>
    <n v="13612599"/>
  </r>
  <r>
    <d v="2019-07-01T00:00:00"/>
    <d v="2021-06-30T00:00:00"/>
    <s v="Telstra"/>
    <s v="NETWORK"/>
    <s v="Network - InfraCo"/>
    <s v="ACT"/>
    <s v="Australia"/>
    <s v="Manuka Oval"/>
    <s v="MANUKA EXCHANGE"/>
    <n v="423030277700"/>
    <s v="Recycled Waste"/>
    <x v="0"/>
    <x v="5"/>
    <s v="Account"/>
    <s v="Remondis Construction &amp; Demolition - Recycled"/>
    <m/>
    <s v="423030277700_RCONSDEM"/>
    <s v="CONSTRUCTION &amp; DEMOLITION - RECYLED"/>
    <s v="Remondis"/>
    <m/>
    <d v="2020-06-19T00:00:00"/>
    <d v="2020-08-01T00:00:00"/>
    <d v="2020-08-01T00:00:00"/>
    <s v="FY21"/>
    <s v="t"/>
    <n v="0"/>
    <n v="0"/>
    <n v="6.3E-2"/>
    <n v="6.3E-2"/>
    <n v="0"/>
    <n v="0"/>
    <n v="1"/>
    <n v="1"/>
    <n v="0"/>
    <n v="0"/>
    <n v="100"/>
    <s v="Consolidation"/>
    <s v="CO2e and Base Measure"/>
    <n v="100"/>
    <n v="100"/>
    <n v="0.06"/>
    <m/>
    <m/>
    <m/>
    <m/>
    <m/>
    <m/>
    <m/>
    <m/>
    <m/>
    <m/>
    <m/>
    <m/>
    <m/>
    <s v="AUD"/>
    <s v="13612599Waste Recycled - Construction and Demolition [t]"/>
    <n v="13612599"/>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290Waste - General [t] - Scope 3"/>
    <n v="13564290"/>
  </r>
  <r>
    <d v="2019-07-01T00:00:00"/>
    <d v="2021-06-30T00:00:00"/>
    <s v="Telstra"/>
    <s v="NETWORK"/>
    <s v="Network - InfraCo"/>
    <s v="WA"/>
    <s v="Australia"/>
    <s v="Margaret River"/>
    <s v="MARGARET RIVER EXCHANGE"/>
    <n v="423030831400"/>
    <s v="Waste"/>
    <x v="1"/>
    <x v="2"/>
    <s v="Account"/>
    <s v="Remondis General Waste"/>
    <m/>
    <s v="4230308314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5340Waste - General [t] - Scope 3"/>
    <n v="13565340"/>
  </r>
  <r>
    <d v="2019-07-01T00:00:00"/>
    <d v="2021-06-30T00:00:00"/>
    <s v="Telstra"/>
    <s v="NETWORK"/>
    <s v="Network - InfraCo"/>
    <s v="WA"/>
    <s v="Australia"/>
    <s v="Margaret River"/>
    <s v="MARGARET RIVER EXCHANGE"/>
    <n v="423030831400"/>
    <s v="Waste"/>
    <x v="1"/>
    <x v="2"/>
    <s v="Account"/>
    <s v="Remondis General Waste"/>
    <m/>
    <s v="423030831400_WGENERALW"/>
    <s v="GENERAL WASTE"/>
    <s v="Remondis"/>
    <m/>
    <m/>
    <d v="2020-09-01T00:00:00"/>
    <d v="2020-09-01T00:00:00"/>
    <s v="FY21"/>
    <s v="t"/>
    <n v="0"/>
    <n v="0"/>
    <n v="6.4999999999999997E-3"/>
    <n v="6.4999999999999997E-3"/>
    <n v="0"/>
    <n v="0"/>
    <n v="1"/>
    <n v="1"/>
    <n v="0"/>
    <n v="0"/>
    <n v="100"/>
    <s v="Consolidation"/>
    <s v="CO2e and Base Measure"/>
    <n v="100"/>
    <n v="100"/>
    <n v="0.01"/>
    <m/>
    <m/>
    <m/>
    <m/>
    <m/>
    <n v="8.5000000000000006E-3"/>
    <m/>
    <n v="8.5000000000000006E-3"/>
    <m/>
    <m/>
    <m/>
    <m/>
    <m/>
    <s v="AUD"/>
    <s v="13565340Waste - General [t] - Scope 3"/>
    <n v="13565340"/>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1-01T00:00:00"/>
    <s v="FY21"/>
    <s v="t"/>
    <n v="0"/>
    <n v="0"/>
    <n v="0.13950000000000001"/>
    <n v="0.13950000000000001"/>
    <n v="0"/>
    <n v="0"/>
    <n v="31"/>
    <n v="31"/>
    <n v="0"/>
    <n v="0"/>
    <n v="100"/>
    <s v="Consolidation"/>
    <s v="CO2e and Base Measure"/>
    <n v="100"/>
    <n v="100"/>
    <n v="0.14000000000000001"/>
    <m/>
    <m/>
    <m/>
    <m/>
    <m/>
    <n v="0.18140000000000001"/>
    <m/>
    <n v="0.18140000000000001"/>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2-01T00:00:00"/>
    <s v="FY21"/>
    <s v="t"/>
    <n v="0"/>
    <n v="0"/>
    <n v="0.126"/>
    <n v="0.126"/>
    <n v="0"/>
    <n v="0"/>
    <n v="28"/>
    <n v="28"/>
    <n v="0"/>
    <n v="0"/>
    <n v="100"/>
    <s v="Consolidation"/>
    <s v="CO2e and Base Measure"/>
    <n v="100"/>
    <n v="100"/>
    <n v="0.13"/>
    <m/>
    <m/>
    <m/>
    <m/>
    <m/>
    <n v="0.1638"/>
    <m/>
    <n v="0.1638"/>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67Waste - General [t] - Scope 3"/>
    <n v="13634167"/>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07-01T00:00:00"/>
    <s v="FY21"/>
    <s v="t"/>
    <n v="0.29499999999999998"/>
    <n v="0"/>
    <n v="0"/>
    <n v="0.29499999999999998"/>
    <n v="2"/>
    <n v="0"/>
    <n v="0"/>
    <n v="2"/>
    <n v="100"/>
    <n v="0"/>
    <n v="0"/>
    <s v="Consolidation"/>
    <s v="CO2e and Base Measure"/>
    <n v="100"/>
    <n v="100"/>
    <n v="0.3"/>
    <m/>
    <m/>
    <m/>
    <m/>
    <m/>
    <n v="0.38350000000000001"/>
    <m/>
    <n v="0.38350000000000001"/>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08-01T00:00:00"/>
    <s v="FY21"/>
    <s v="t"/>
    <n v="0.439"/>
    <n v="0"/>
    <n v="0"/>
    <n v="0.439"/>
    <n v="1"/>
    <n v="0"/>
    <n v="0"/>
    <n v="1"/>
    <n v="100"/>
    <n v="0"/>
    <n v="0"/>
    <s v="Consolidation"/>
    <s v="CO2e and Base Measure"/>
    <n v="100"/>
    <n v="100"/>
    <n v="0.44"/>
    <m/>
    <m/>
    <m/>
    <m/>
    <m/>
    <n v="0.57069999999999999"/>
    <m/>
    <n v="0.57069999999999999"/>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09-01T00:00:00"/>
    <s v="FY21"/>
    <s v="t"/>
    <n v="0.32900000000000001"/>
    <n v="0.19500000000000001"/>
    <n v="0"/>
    <n v="0.52400000000000002"/>
    <n v="1"/>
    <n v="1"/>
    <n v="0"/>
    <n v="2"/>
    <n v="62.78"/>
    <n v="37.21"/>
    <n v="0"/>
    <s v="Consolidation"/>
    <s v="CO2e and Base Measure"/>
    <n v="100"/>
    <n v="100"/>
    <n v="0.52"/>
    <m/>
    <m/>
    <m/>
    <m/>
    <m/>
    <n v="0.68120000000000003"/>
    <m/>
    <n v="0.68120000000000003"/>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10-01T00:00:00"/>
    <s v="FY21"/>
    <s v="t"/>
    <n v="0.61499999999999999"/>
    <n v="0"/>
    <n v="0"/>
    <n v="0.61499999999999999"/>
    <n v="3"/>
    <n v="0"/>
    <n v="0"/>
    <n v="3"/>
    <n v="100"/>
    <n v="0"/>
    <n v="0"/>
    <s v="Consolidation"/>
    <s v="CO2e and Base Measure"/>
    <n v="100"/>
    <n v="100"/>
    <n v="0.62"/>
    <m/>
    <m/>
    <m/>
    <m/>
    <m/>
    <n v="0.79949999999999999"/>
    <m/>
    <n v="0.79949999999999999"/>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11-01T00:00:00"/>
    <s v="FY21"/>
    <s v="t"/>
    <n v="0.42"/>
    <n v="0"/>
    <n v="0"/>
    <n v="0.42"/>
    <n v="2"/>
    <n v="0"/>
    <n v="0"/>
    <n v="2"/>
    <n v="100"/>
    <n v="0"/>
    <n v="0"/>
    <s v="Consolidation"/>
    <s v="CO2e and Base Measure"/>
    <n v="100"/>
    <n v="100"/>
    <n v="0.42"/>
    <m/>
    <m/>
    <m/>
    <m/>
    <m/>
    <n v="0.54600000000000004"/>
    <m/>
    <n v="0.54600000000000004"/>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1-01-01T00:00:00"/>
    <s v="FY21"/>
    <s v="t"/>
    <n v="0"/>
    <n v="0"/>
    <n v="1.9099999999999999E-2"/>
    <n v="1.9099999999999999E-2"/>
    <n v="0"/>
    <n v="0"/>
    <n v="1"/>
    <n v="1"/>
    <n v="0"/>
    <n v="0"/>
    <n v="100"/>
    <s v="Consolidation"/>
    <s v="CO2e and Base Measure"/>
    <n v="100"/>
    <n v="100"/>
    <n v="0.02"/>
    <m/>
    <m/>
    <m/>
    <m/>
    <m/>
    <n v="2.4799999999999999E-2"/>
    <m/>
    <n v="2.4799999999999999E-2"/>
    <m/>
    <m/>
    <m/>
    <m/>
    <m/>
    <s v="AUD"/>
    <s v="13564336Waste - General [t] - Scope 3"/>
    <n v="13564336"/>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0-12-01T00:00:00"/>
    <s v="FY21"/>
    <s v="t"/>
    <n v="0.19400000000000001"/>
    <n v="6.7500000000000004E-2"/>
    <n v="0"/>
    <n v="0.26150000000000001"/>
    <n v="3"/>
    <n v="1"/>
    <n v="0"/>
    <n v="4"/>
    <n v="74.180000000000007"/>
    <n v="25.81"/>
    <n v="0"/>
    <s v="Consolidation"/>
    <s v="CO2e and Base Measure"/>
    <n v="100"/>
    <n v="100"/>
    <n v="0.26"/>
    <m/>
    <m/>
    <m/>
    <m/>
    <m/>
    <n v="0.34"/>
    <m/>
    <n v="0.34"/>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1-01T00:00:00"/>
    <s v="FY21"/>
    <s v="t"/>
    <n v="0.25800000000000001"/>
    <n v="0"/>
    <n v="0"/>
    <n v="0.25800000000000001"/>
    <n v="3"/>
    <n v="0"/>
    <n v="0"/>
    <n v="3"/>
    <n v="100"/>
    <n v="0"/>
    <n v="0"/>
    <s v="Consolidation"/>
    <s v="CO2e and Base Measure"/>
    <n v="100"/>
    <n v="100"/>
    <n v="0.26"/>
    <m/>
    <m/>
    <m/>
    <m/>
    <m/>
    <n v="0.33539999999999998"/>
    <m/>
    <n v="0.33539999999999998"/>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2-01T00:00:00"/>
    <s v="FY21"/>
    <s v="t"/>
    <n v="0.68799999999999994"/>
    <n v="0"/>
    <n v="0"/>
    <n v="0.68799999999999994"/>
    <n v="4"/>
    <n v="0"/>
    <n v="0"/>
    <n v="4"/>
    <n v="100"/>
    <n v="0"/>
    <n v="0"/>
    <s v="Consolidation"/>
    <s v="CO2e and Base Measure"/>
    <n v="100"/>
    <n v="100"/>
    <n v="0.69"/>
    <m/>
    <m/>
    <m/>
    <m/>
    <m/>
    <n v="0.89439999999999997"/>
    <m/>
    <n v="0.89439999999999997"/>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3-01T00:00:00"/>
    <s v="FY21"/>
    <s v="t"/>
    <n v="0.54700000000000004"/>
    <n v="6.7500000000000004E-2"/>
    <n v="0"/>
    <n v="0.61450000000000005"/>
    <n v="4"/>
    <n v="1"/>
    <n v="0"/>
    <n v="5"/>
    <n v="89.01"/>
    <n v="10.98"/>
    <n v="0"/>
    <s v="Consolidation"/>
    <s v="CO2e and Base Measure"/>
    <n v="100"/>
    <n v="100"/>
    <n v="0.61"/>
    <m/>
    <m/>
    <m/>
    <m/>
    <m/>
    <n v="0.79890000000000005"/>
    <m/>
    <n v="0.79890000000000005"/>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4-01T00:00:00"/>
    <s v="FY21"/>
    <s v="t"/>
    <n v="0"/>
    <n v="0"/>
    <n v="0.45600000000000002"/>
    <n v="0.45600000000000002"/>
    <n v="0"/>
    <n v="0"/>
    <n v="30"/>
    <n v="30"/>
    <n v="0"/>
    <n v="0"/>
    <n v="100"/>
    <s v="Consolidation"/>
    <s v="CO2e and Base Measure"/>
    <n v="100"/>
    <n v="100"/>
    <n v="0.46"/>
    <m/>
    <m/>
    <m/>
    <m/>
    <m/>
    <n v="0.59279999999999999"/>
    <m/>
    <n v="0.59279999999999999"/>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5-01T00:00:00"/>
    <s v="FY21"/>
    <s v="t"/>
    <n v="0"/>
    <n v="0"/>
    <n v="0.47120000000000001"/>
    <n v="0.47120000000000001"/>
    <n v="0"/>
    <n v="0"/>
    <n v="31"/>
    <n v="31"/>
    <n v="0"/>
    <n v="0"/>
    <n v="100"/>
    <s v="Consolidation"/>
    <s v="CO2e and Base Measure"/>
    <n v="100"/>
    <n v="100"/>
    <n v="0.47"/>
    <m/>
    <m/>
    <m/>
    <m/>
    <m/>
    <n v="0.61260000000000003"/>
    <m/>
    <n v="0.61260000000000003"/>
    <m/>
    <m/>
    <m/>
    <m/>
    <m/>
    <s v="AUD"/>
    <s v="13634168Waste - General [t] - Scope 3"/>
    <n v="13634168"/>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07-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08-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09-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11-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1-01-01T00:00:00"/>
    <s v="FY21"/>
    <s v="t"/>
    <n v="0"/>
    <n v="0"/>
    <n v="1E-3"/>
    <n v="1E-3"/>
    <n v="0"/>
    <n v="0"/>
    <n v="1"/>
    <n v="1"/>
    <n v="0"/>
    <n v="0"/>
    <n v="100"/>
    <s v="Consolidation"/>
    <s v="CO2e and Base Measure"/>
    <n v="100"/>
    <n v="100"/>
    <n v="0"/>
    <m/>
    <m/>
    <m/>
    <m/>
    <m/>
    <m/>
    <n v="0"/>
    <m/>
    <m/>
    <m/>
    <m/>
    <m/>
    <m/>
    <s v="AUD"/>
    <s v="13564223Waste Recycled - Cardboard [t]"/>
    <n v="13564223"/>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225Waste - General [t] - Scope 3"/>
    <n v="13564225"/>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0-12-01T00:00:00"/>
    <s v="FY21"/>
    <s v="t"/>
    <n v="0.215"/>
    <n v="0"/>
    <n v="0"/>
    <n v="0.215"/>
    <n v="2"/>
    <n v="0"/>
    <n v="0"/>
    <n v="2"/>
    <n v="100"/>
    <n v="0"/>
    <n v="0"/>
    <s v="Consolidation"/>
    <s v="CO2e and Base Measure"/>
    <n v="100"/>
    <n v="100"/>
    <n v="0.22"/>
    <m/>
    <m/>
    <m/>
    <m/>
    <m/>
    <n v="0.27950000000000003"/>
    <m/>
    <n v="0.27950000000000003"/>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1-01T00:00:00"/>
    <s v="FY21"/>
    <s v="t"/>
    <n v="8.5000000000000006E-2"/>
    <n v="0"/>
    <n v="0"/>
    <n v="8.5000000000000006E-2"/>
    <n v="2"/>
    <n v="0"/>
    <n v="0"/>
    <n v="2"/>
    <n v="100"/>
    <n v="0"/>
    <n v="0"/>
    <s v="Consolidation"/>
    <s v="CO2e and Base Measure"/>
    <n v="100"/>
    <n v="100"/>
    <n v="0.09"/>
    <m/>
    <m/>
    <m/>
    <m/>
    <m/>
    <n v="0.1105"/>
    <m/>
    <n v="0.1105"/>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2-01T00:00:00"/>
    <s v="FY21"/>
    <s v="t"/>
    <n v="0.23400000000000001"/>
    <n v="0"/>
    <n v="0"/>
    <n v="0.23400000000000001"/>
    <n v="2"/>
    <n v="0"/>
    <n v="0"/>
    <n v="2"/>
    <n v="100"/>
    <n v="0"/>
    <n v="0"/>
    <s v="Consolidation"/>
    <s v="CO2e and Base Measure"/>
    <n v="100"/>
    <n v="100"/>
    <n v="0.23"/>
    <m/>
    <m/>
    <m/>
    <m/>
    <m/>
    <n v="0.30420000000000003"/>
    <m/>
    <n v="0.30420000000000003"/>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3-01T00:00:00"/>
    <s v="FY21"/>
    <s v="t"/>
    <n v="4.9000000000000002E-2"/>
    <n v="6.7500000000000004E-2"/>
    <n v="0"/>
    <n v="0.11650000000000001"/>
    <n v="1"/>
    <n v="1"/>
    <n v="0"/>
    <n v="2"/>
    <n v="42.06"/>
    <n v="57.93"/>
    <n v="0"/>
    <s v="Consolidation"/>
    <s v="CO2e and Base Measure"/>
    <n v="100"/>
    <n v="100"/>
    <n v="0.12"/>
    <m/>
    <m/>
    <m/>
    <m/>
    <m/>
    <n v="0.1515"/>
    <m/>
    <n v="0.1515"/>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4-01T00:00:00"/>
    <s v="FY21"/>
    <s v="t"/>
    <n v="0"/>
    <n v="0"/>
    <n v="0.16200000000000001"/>
    <n v="0.16200000000000001"/>
    <n v="0"/>
    <n v="0"/>
    <n v="30"/>
    <n v="30"/>
    <n v="0"/>
    <n v="0"/>
    <n v="100"/>
    <s v="Consolidation"/>
    <s v="CO2e and Base Measure"/>
    <n v="100"/>
    <n v="100"/>
    <n v="0.16"/>
    <m/>
    <m/>
    <m/>
    <m/>
    <m/>
    <n v="0.21060000000000001"/>
    <m/>
    <n v="0.21060000000000001"/>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5-01T00:00:00"/>
    <s v="FY21"/>
    <s v="t"/>
    <n v="0"/>
    <n v="0"/>
    <n v="0.16739999999999999"/>
    <n v="0.16739999999999999"/>
    <n v="0"/>
    <n v="0"/>
    <n v="31"/>
    <n v="31"/>
    <n v="0"/>
    <n v="0"/>
    <n v="100"/>
    <s v="Consolidation"/>
    <s v="CO2e and Base Measure"/>
    <n v="100"/>
    <n v="100"/>
    <n v="0.17"/>
    <m/>
    <m/>
    <m/>
    <m/>
    <m/>
    <n v="0.21759999999999999"/>
    <m/>
    <n v="0.21759999999999999"/>
    <m/>
    <m/>
    <m/>
    <m/>
    <m/>
    <s v="AUD"/>
    <s v="13634169Waste - General [t] - Scope 3"/>
    <n v="13634169"/>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07-01T00:00:00"/>
    <s v="FY21"/>
    <s v="t"/>
    <n v="0"/>
    <n v="0.12870000000000001"/>
    <n v="0"/>
    <n v="0.12870000000000001"/>
    <n v="0"/>
    <n v="3"/>
    <n v="0"/>
    <n v="3"/>
    <n v="0"/>
    <n v="100"/>
    <n v="0"/>
    <s v="Consolidation"/>
    <s v="CO2e and Base Measure"/>
    <n v="100"/>
    <n v="100"/>
    <n v="0.13"/>
    <m/>
    <m/>
    <m/>
    <m/>
    <m/>
    <n v="0.1673"/>
    <m/>
    <n v="0.1673"/>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08-01T00:00:00"/>
    <s v="FY21"/>
    <s v="t"/>
    <n v="0"/>
    <n v="8.5800000000000001E-2"/>
    <n v="0"/>
    <n v="8.5800000000000001E-2"/>
    <n v="0"/>
    <n v="2"/>
    <n v="0"/>
    <n v="2"/>
    <n v="0"/>
    <n v="100"/>
    <n v="0"/>
    <s v="Consolidation"/>
    <s v="CO2e and Base Measure"/>
    <n v="100"/>
    <n v="100"/>
    <n v="0.09"/>
    <m/>
    <m/>
    <m/>
    <m/>
    <m/>
    <n v="0.1115"/>
    <m/>
    <n v="0.1115"/>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09-01T00:00:00"/>
    <s v="FY21"/>
    <s v="t"/>
    <n v="0"/>
    <n v="8.5800000000000001E-2"/>
    <n v="0"/>
    <n v="8.5800000000000001E-2"/>
    <n v="0"/>
    <n v="2"/>
    <n v="0"/>
    <n v="2"/>
    <n v="0"/>
    <n v="100"/>
    <n v="0"/>
    <s v="Consolidation"/>
    <s v="CO2e and Base Measure"/>
    <n v="100"/>
    <n v="100"/>
    <n v="0.09"/>
    <m/>
    <m/>
    <m/>
    <m/>
    <m/>
    <n v="0.1115"/>
    <m/>
    <n v="0.1115"/>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10-01T00:00:00"/>
    <s v="FY21"/>
    <s v="t"/>
    <n v="0"/>
    <n v="8.5800000000000001E-2"/>
    <n v="0"/>
    <n v="8.5800000000000001E-2"/>
    <n v="0"/>
    <n v="2"/>
    <n v="0"/>
    <n v="2"/>
    <n v="0"/>
    <n v="100"/>
    <n v="0"/>
    <s v="Consolidation"/>
    <s v="CO2e and Base Measure"/>
    <n v="100"/>
    <n v="100"/>
    <n v="0.09"/>
    <m/>
    <m/>
    <m/>
    <m/>
    <m/>
    <n v="0.1115"/>
    <m/>
    <n v="0.1115"/>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11-01T00:00:00"/>
    <s v="FY21"/>
    <s v="t"/>
    <n v="0"/>
    <n v="8.5800000000000001E-2"/>
    <n v="0"/>
    <n v="8.5800000000000001E-2"/>
    <n v="0"/>
    <n v="2"/>
    <n v="0"/>
    <n v="2"/>
    <n v="0"/>
    <n v="100"/>
    <n v="0"/>
    <s v="Consolidation"/>
    <s v="CO2e and Base Measure"/>
    <n v="100"/>
    <n v="100"/>
    <n v="0.09"/>
    <m/>
    <m/>
    <m/>
    <m/>
    <m/>
    <n v="0.1115"/>
    <m/>
    <n v="0.1115"/>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12-01T00:00:00"/>
    <s v="FY21"/>
    <s v="t"/>
    <n v="0"/>
    <n v="0"/>
    <n v="3.0999999999999999E-3"/>
    <n v="3.0999999999999999E-3"/>
    <n v="0"/>
    <n v="0"/>
    <n v="1"/>
    <n v="1"/>
    <n v="0"/>
    <n v="0"/>
    <n v="100"/>
    <s v="Consolidation"/>
    <s v="CO2e and Base Measure"/>
    <n v="100"/>
    <n v="100"/>
    <n v="0"/>
    <m/>
    <m/>
    <m/>
    <m/>
    <m/>
    <n v="4.0000000000000001E-3"/>
    <m/>
    <n v="4.0000000000000001E-3"/>
    <m/>
    <m/>
    <m/>
    <m/>
    <m/>
    <s v="AUD"/>
    <s v="13565941Waste - General [t] - Scope 3"/>
    <n v="13565941"/>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0-08-01T00:00:00"/>
    <s v="FY21"/>
    <s v="t"/>
    <n v="0.249"/>
    <n v="0"/>
    <n v="0"/>
    <n v="0.249"/>
    <n v="1"/>
    <n v="0"/>
    <n v="0"/>
    <n v="1"/>
    <n v="100"/>
    <n v="0"/>
    <n v="0"/>
    <s v="Consolidation"/>
    <s v="CO2e and Base Measure"/>
    <n v="100"/>
    <n v="100"/>
    <n v="0.25"/>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0-12-01T00:00:00"/>
    <s v="FY21"/>
    <s v="t"/>
    <n v="0"/>
    <n v="0.3"/>
    <n v="0"/>
    <n v="0.3"/>
    <n v="0"/>
    <n v="1"/>
    <n v="0"/>
    <n v="1"/>
    <n v="0"/>
    <n v="100"/>
    <n v="0"/>
    <s v="Consolidation"/>
    <s v="CO2e and Base Measure"/>
    <n v="100"/>
    <n v="100"/>
    <n v="0.3"/>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1-01T00:00:00"/>
    <s v="FY21"/>
    <s v="t"/>
    <n v="0"/>
    <n v="0"/>
    <n v="0.1116"/>
    <n v="0.1116"/>
    <n v="0"/>
    <n v="0"/>
    <n v="31"/>
    <n v="31"/>
    <n v="0"/>
    <n v="0"/>
    <n v="100"/>
    <s v="Consolidation"/>
    <s v="CO2e and Base Measure"/>
    <n v="100"/>
    <n v="100"/>
    <n v="0.11"/>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2-01T00:00:00"/>
    <s v="FY21"/>
    <s v="t"/>
    <n v="0"/>
    <n v="0"/>
    <n v="0.1008"/>
    <n v="0.1008"/>
    <n v="0"/>
    <n v="0"/>
    <n v="28"/>
    <n v="28"/>
    <n v="0"/>
    <n v="0"/>
    <n v="100"/>
    <s v="Consolidation"/>
    <s v="CO2e and Base Measure"/>
    <n v="100"/>
    <n v="100"/>
    <n v="0.1"/>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3-01T00:00:00"/>
    <s v="FY21"/>
    <s v="t"/>
    <n v="0"/>
    <n v="0"/>
    <n v="0.1116"/>
    <n v="0.1116"/>
    <n v="0"/>
    <n v="0"/>
    <n v="31"/>
    <n v="31"/>
    <n v="0"/>
    <n v="0"/>
    <n v="100"/>
    <s v="Consolidation"/>
    <s v="CO2e and Base Measure"/>
    <n v="100"/>
    <n v="100"/>
    <n v="0.11"/>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4-01T00:00:00"/>
    <s v="FY21"/>
    <s v="t"/>
    <n v="0"/>
    <n v="0"/>
    <n v="0.108"/>
    <n v="0.108"/>
    <n v="0"/>
    <n v="0"/>
    <n v="30"/>
    <n v="30"/>
    <n v="0"/>
    <n v="0"/>
    <n v="100"/>
    <s v="Consolidation"/>
    <s v="CO2e and Base Measure"/>
    <n v="100"/>
    <n v="100"/>
    <n v="0.11"/>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5-01T00:00:00"/>
    <s v="FY21"/>
    <s v="t"/>
    <n v="0"/>
    <n v="0"/>
    <n v="0.1116"/>
    <n v="0.1116"/>
    <n v="0"/>
    <n v="0"/>
    <n v="31"/>
    <n v="31"/>
    <n v="0"/>
    <n v="0"/>
    <n v="100"/>
    <s v="Consolidation"/>
    <s v="CO2e and Base Measure"/>
    <n v="100"/>
    <n v="100"/>
    <n v="0.11"/>
    <m/>
    <m/>
    <m/>
    <m/>
    <m/>
    <m/>
    <m/>
    <m/>
    <m/>
    <m/>
    <m/>
    <m/>
    <m/>
    <s v="AUD"/>
    <s v="13565942Waste Recycled - Construction and Demolition [t]"/>
    <n v="13565942"/>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07-01T00:00:00"/>
    <s v="FY21"/>
    <s v="t"/>
    <n v="0"/>
    <n v="0.12"/>
    <n v="0"/>
    <n v="0.12"/>
    <n v="0"/>
    <n v="1"/>
    <n v="0"/>
    <n v="1"/>
    <n v="0"/>
    <n v="100"/>
    <n v="0"/>
    <s v="Consolidation"/>
    <s v="CO2e and Base Measure"/>
    <n v="100"/>
    <n v="100"/>
    <n v="0.12"/>
    <m/>
    <m/>
    <m/>
    <m/>
    <m/>
    <n v="0.14399999999999999"/>
    <m/>
    <n v="0.14399999999999999"/>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08-01T00:00:00"/>
    <s v="FY21"/>
    <s v="t"/>
    <n v="0.08"/>
    <n v="0.12"/>
    <n v="0"/>
    <n v="0.2"/>
    <n v="1"/>
    <n v="1"/>
    <n v="0"/>
    <n v="2"/>
    <n v="40"/>
    <n v="60"/>
    <n v="0"/>
    <s v="Consolidation"/>
    <s v="CO2e and Base Measure"/>
    <n v="100"/>
    <n v="100"/>
    <n v="0.2"/>
    <m/>
    <m/>
    <m/>
    <m/>
    <m/>
    <n v="0.24"/>
    <m/>
    <n v="0.24"/>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09-01T00:00:00"/>
    <s v="FY21"/>
    <s v="t"/>
    <n v="0.1"/>
    <n v="0.12"/>
    <n v="0"/>
    <n v="0.22"/>
    <n v="1"/>
    <n v="1"/>
    <n v="0"/>
    <n v="2"/>
    <n v="45.45"/>
    <n v="54.54"/>
    <n v="0"/>
    <s v="Consolidation"/>
    <s v="CO2e and Base Measure"/>
    <n v="100"/>
    <n v="100"/>
    <n v="0.22"/>
    <m/>
    <m/>
    <m/>
    <m/>
    <m/>
    <n v="0.26400000000000001"/>
    <m/>
    <n v="0.26400000000000001"/>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10-01T00:00:00"/>
    <s v="FY21"/>
    <s v="t"/>
    <n v="0"/>
    <n v="0.12"/>
    <n v="0"/>
    <n v="0.12"/>
    <n v="0"/>
    <n v="1"/>
    <n v="0"/>
    <n v="1"/>
    <n v="0"/>
    <n v="100"/>
    <n v="0"/>
    <s v="Consolidation"/>
    <s v="CO2e and Base Measure"/>
    <n v="100"/>
    <n v="100"/>
    <n v="0.12"/>
    <m/>
    <m/>
    <m/>
    <m/>
    <m/>
    <n v="0.14399999999999999"/>
    <m/>
    <n v="0.14399999999999999"/>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12-01T00:00:00"/>
    <s v="FY21"/>
    <s v="t"/>
    <n v="0.08"/>
    <n v="0.12"/>
    <n v="0"/>
    <n v="0.2"/>
    <n v="1"/>
    <n v="1"/>
    <n v="0"/>
    <n v="2"/>
    <n v="40"/>
    <n v="60"/>
    <n v="0"/>
    <s v="Consolidation"/>
    <s v="CO2e and Base Measure"/>
    <n v="100"/>
    <n v="100"/>
    <n v="0.2"/>
    <m/>
    <m/>
    <m/>
    <m/>
    <m/>
    <n v="0.24"/>
    <m/>
    <n v="0.24"/>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1-01-01T00:00:00"/>
    <s v="FY21"/>
    <s v="t"/>
    <n v="0"/>
    <n v="0"/>
    <n v="6.4999999999999997E-3"/>
    <n v="6.4999999999999997E-3"/>
    <n v="0"/>
    <n v="0"/>
    <n v="1"/>
    <n v="1"/>
    <n v="0"/>
    <n v="0"/>
    <n v="100"/>
    <s v="Consolidation"/>
    <s v="CO2e and Base Measure"/>
    <n v="100"/>
    <n v="100"/>
    <n v="0.01"/>
    <m/>
    <m/>
    <m/>
    <m/>
    <m/>
    <n v="7.7999999999999996E-3"/>
    <m/>
    <n v="7.7999999999999996E-3"/>
    <m/>
    <m/>
    <m/>
    <m/>
    <m/>
    <s v="AUD"/>
    <s v="13564220Waste - Construction and Demolition [t]"/>
    <n v="13564220"/>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11-01T00:00:00"/>
    <s v="FY21"/>
    <s v="t"/>
    <n v="0"/>
    <n v="0.189"/>
    <n v="0"/>
    <n v="0.189"/>
    <n v="0"/>
    <n v="3"/>
    <n v="0"/>
    <n v="3"/>
    <n v="0"/>
    <n v="100"/>
    <n v="0"/>
    <s v="Consolidation"/>
    <s v="CO2e and Base Measure"/>
    <n v="100"/>
    <n v="100"/>
    <n v="0.19"/>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12-01T00:00:00"/>
    <s v="FY21"/>
    <s v="t"/>
    <n v="0"/>
    <n v="0"/>
    <n v="4.7999999999999996E-3"/>
    <n v="4.7999999999999996E-3"/>
    <n v="0"/>
    <n v="0"/>
    <n v="1"/>
    <n v="1"/>
    <n v="0"/>
    <n v="0"/>
    <n v="100"/>
    <s v="Consolidation"/>
    <s v="CO2e and Base Measure"/>
    <n v="100"/>
    <n v="100"/>
    <n v="0"/>
    <m/>
    <m/>
    <m/>
    <m/>
    <m/>
    <m/>
    <n v="0"/>
    <m/>
    <m/>
    <m/>
    <m/>
    <m/>
    <m/>
    <s v="AUD"/>
    <s v="13564221Waste Recycled - Cardboard [t]"/>
    <n v="13564221"/>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222Waste - General [t] - Scope 3"/>
    <n v="13564222"/>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1-01T00:00:00"/>
    <s v="FY21"/>
    <s v="t"/>
    <n v="0"/>
    <n v="7.4999999999999997E-2"/>
    <n v="0"/>
    <n v="7.4999999999999997E-2"/>
    <n v="0"/>
    <n v="1"/>
    <n v="0"/>
    <n v="1"/>
    <n v="0"/>
    <n v="100"/>
    <n v="0"/>
    <s v="Consolidation"/>
    <s v="CO2e and Base Measure"/>
    <n v="100"/>
    <n v="100"/>
    <n v="0.08"/>
    <m/>
    <m/>
    <m/>
    <m/>
    <m/>
    <m/>
    <m/>
    <m/>
    <m/>
    <m/>
    <m/>
    <m/>
    <m/>
    <s v="AUD"/>
    <s v="13634498Waste Recycled - Paper and Cardboard [t]"/>
    <n v="13634498"/>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2-01T00:00:00"/>
    <s v="FY21"/>
    <s v="t"/>
    <n v="6.9000000000000006E-2"/>
    <n v="0"/>
    <n v="0"/>
    <n v="6.9000000000000006E-2"/>
    <n v="1"/>
    <n v="0"/>
    <n v="0"/>
    <n v="1"/>
    <n v="100"/>
    <n v="0"/>
    <n v="0"/>
    <s v="Consolidation"/>
    <s v="CO2e and Base Measure"/>
    <n v="100"/>
    <n v="100"/>
    <n v="7.0000000000000007E-2"/>
    <m/>
    <m/>
    <m/>
    <m/>
    <m/>
    <m/>
    <m/>
    <m/>
    <m/>
    <m/>
    <m/>
    <m/>
    <m/>
    <s v="AUD"/>
    <s v="13634498Waste Recycled - Paper and Cardboard [t]"/>
    <n v="13634498"/>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3-01T00:00:00"/>
    <s v="FY21"/>
    <s v="t"/>
    <n v="0.189"/>
    <n v="7.4999999999999997E-2"/>
    <n v="0"/>
    <n v="0.26400000000000001"/>
    <n v="2"/>
    <n v="1"/>
    <n v="0"/>
    <n v="3"/>
    <n v="71.59"/>
    <n v="28.4"/>
    <n v="0"/>
    <s v="Consolidation"/>
    <s v="CO2e and Base Measure"/>
    <n v="100"/>
    <n v="100"/>
    <n v="0.26"/>
    <m/>
    <m/>
    <m/>
    <m/>
    <m/>
    <m/>
    <m/>
    <m/>
    <m/>
    <m/>
    <m/>
    <m/>
    <m/>
    <s v="AUD"/>
    <s v="13634498Waste Recycled - Paper and Cardboard [t]"/>
    <n v="13634498"/>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4-01T00:00:00"/>
    <s v="FY21"/>
    <s v="t"/>
    <n v="0"/>
    <n v="0"/>
    <n v="0.13800000000000001"/>
    <n v="0.13800000000000001"/>
    <n v="0"/>
    <n v="0"/>
    <n v="30"/>
    <n v="30"/>
    <n v="0"/>
    <n v="0"/>
    <n v="100"/>
    <s v="Consolidation"/>
    <s v="CO2e and Base Measure"/>
    <n v="100"/>
    <n v="100"/>
    <n v="0.14000000000000001"/>
    <m/>
    <m/>
    <m/>
    <m/>
    <m/>
    <m/>
    <m/>
    <m/>
    <m/>
    <m/>
    <m/>
    <m/>
    <m/>
    <s v="AUD"/>
    <s v="13634498Waste Recycled - Paper and Cardboard [t]"/>
    <n v="13634498"/>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5-01T00:00:00"/>
    <s v="FY21"/>
    <s v="t"/>
    <n v="0"/>
    <n v="0"/>
    <n v="0.1426"/>
    <n v="0.1426"/>
    <n v="0"/>
    <n v="0"/>
    <n v="31"/>
    <n v="31"/>
    <n v="0"/>
    <n v="0"/>
    <n v="100"/>
    <s v="Consolidation"/>
    <s v="CO2e and Base Measure"/>
    <n v="100"/>
    <n v="100"/>
    <n v="0.14000000000000001"/>
    <m/>
    <m/>
    <m/>
    <m/>
    <m/>
    <m/>
    <m/>
    <m/>
    <m/>
    <m/>
    <m/>
    <m/>
    <m/>
    <s v="AUD"/>
    <s v="13634498Waste Recycled - Paper and Cardboard [t]"/>
    <n v="13634498"/>
  </r>
  <r>
    <d v="2019-07-01T00:00:00"/>
    <d v="2021-06-30T00:00:00"/>
    <s v="Telstra"/>
    <s v="NETWORK"/>
    <s v="Network - InfraCo"/>
    <s v="QLD"/>
    <s v="Australia"/>
    <s v="Maryborough"/>
    <s v="MARYBOROUGH RT2"/>
    <n v="423030156000"/>
    <s v="Waste"/>
    <x v="1"/>
    <x v="2"/>
    <s v="Account"/>
    <s v="CLEANAWAY General"/>
    <m/>
    <s v="57194_Landfill_General"/>
    <s v="General"/>
    <s v="Cleanaway"/>
    <m/>
    <d v="2021-02-03T00:00:00"/>
    <m/>
    <d v="2021-02-01T00:00:00"/>
    <s v="FY21"/>
    <s v="t"/>
    <n v="0.41"/>
    <n v="0"/>
    <n v="0"/>
    <n v="0.41"/>
    <n v="3"/>
    <n v="0"/>
    <n v="0"/>
    <n v="3"/>
    <n v="100"/>
    <n v="0"/>
    <n v="0"/>
    <s v="Consolidation"/>
    <s v="CO2e and Base Measure"/>
    <n v="100"/>
    <n v="100"/>
    <n v="0.41"/>
    <m/>
    <m/>
    <m/>
    <m/>
    <m/>
    <n v="0.53300000000000003"/>
    <m/>
    <n v="0.53300000000000003"/>
    <m/>
    <m/>
    <m/>
    <m/>
    <m/>
    <s v="AUD"/>
    <s v="13639925Waste - General [t] - Scope 3"/>
    <n v="13639925"/>
  </r>
  <r>
    <d v="2019-07-01T00:00:00"/>
    <d v="2021-06-30T00:00:00"/>
    <s v="Telstra"/>
    <s v="NETWORK"/>
    <s v="Network - InfraCo"/>
    <s v="QLD"/>
    <s v="Australia"/>
    <s v="Maryborough"/>
    <s v="MARYBOROUGH RT2"/>
    <n v="423030156000"/>
    <s v="Waste"/>
    <x v="1"/>
    <x v="2"/>
    <s v="Account"/>
    <s v="CLEANAWAY General"/>
    <m/>
    <s v="57194_Landfill_General"/>
    <s v="General"/>
    <s v="Cleanaway"/>
    <m/>
    <d v="2021-02-03T00:00:00"/>
    <m/>
    <d v="2021-03-01T00:00:00"/>
    <s v="FY21"/>
    <s v="t"/>
    <n v="0.35"/>
    <n v="0.27"/>
    <n v="0"/>
    <n v="0.62"/>
    <n v="2"/>
    <n v="2"/>
    <n v="0"/>
    <n v="4"/>
    <n v="56.45"/>
    <n v="43.54"/>
    <n v="0"/>
    <s v="Consolidation"/>
    <s v="CO2e and Base Measure"/>
    <n v="100"/>
    <n v="100"/>
    <n v="0.62"/>
    <m/>
    <m/>
    <m/>
    <m/>
    <m/>
    <n v="0.80600000000000005"/>
    <m/>
    <n v="0.80600000000000005"/>
    <m/>
    <m/>
    <m/>
    <m/>
    <m/>
    <s v="AUD"/>
    <s v="13639925Waste - General [t] - Scope 3"/>
    <n v="13639925"/>
  </r>
  <r>
    <d v="2019-07-01T00:00:00"/>
    <d v="2021-06-30T00:00:00"/>
    <s v="Telstra"/>
    <s v="NETWORK"/>
    <s v="Network - InfraCo"/>
    <s v="QLD"/>
    <s v="Australia"/>
    <s v="Maryborough"/>
    <s v="MARYBOROUGH RT2"/>
    <n v="423030156000"/>
    <s v="Waste"/>
    <x v="1"/>
    <x v="2"/>
    <s v="Account"/>
    <s v="CLEANAWAY General"/>
    <m/>
    <s v="57194_Landfill_General"/>
    <s v="General"/>
    <s v="Cleanaway"/>
    <m/>
    <d v="2021-02-03T00:00:00"/>
    <m/>
    <d v="2021-04-01T00:00:00"/>
    <s v="FY21"/>
    <s v="t"/>
    <n v="0"/>
    <n v="0"/>
    <n v="0.53400000000000003"/>
    <n v="0.53400000000000003"/>
    <n v="0"/>
    <n v="0"/>
    <n v="30"/>
    <n v="30"/>
    <n v="0"/>
    <n v="0"/>
    <n v="100"/>
    <s v="Consolidation"/>
    <s v="CO2e and Base Measure"/>
    <n v="100"/>
    <n v="100"/>
    <n v="0.53"/>
    <m/>
    <m/>
    <m/>
    <m/>
    <m/>
    <n v="0.69420000000000004"/>
    <m/>
    <n v="0.69420000000000004"/>
    <m/>
    <m/>
    <m/>
    <m/>
    <m/>
    <s v="AUD"/>
    <s v="13639925Waste - General [t] - Scope 3"/>
    <n v="13639925"/>
  </r>
  <r>
    <d v="2019-07-01T00:00:00"/>
    <d v="2021-06-30T00:00:00"/>
    <s v="Telstra"/>
    <s v="NETWORK"/>
    <s v="Network - InfraCo"/>
    <s v="QLD"/>
    <s v="Australia"/>
    <s v="Maryborough"/>
    <s v="MARYBOROUGH RT2"/>
    <n v="423030156000"/>
    <s v="Waste"/>
    <x v="1"/>
    <x v="2"/>
    <s v="Account"/>
    <s v="CLEANAWAY General"/>
    <m/>
    <s v="57194_Landfill_General"/>
    <s v="General"/>
    <s v="Cleanaway"/>
    <m/>
    <d v="2021-02-03T00:00:00"/>
    <m/>
    <d v="2021-05-01T00:00:00"/>
    <s v="FY21"/>
    <s v="t"/>
    <n v="0"/>
    <n v="0"/>
    <n v="0.55179999999999996"/>
    <n v="0.55179999999999996"/>
    <n v="0"/>
    <n v="0"/>
    <n v="31"/>
    <n v="31"/>
    <n v="0"/>
    <n v="0"/>
    <n v="100"/>
    <s v="Consolidation"/>
    <s v="CO2e and Base Measure"/>
    <n v="100"/>
    <n v="100"/>
    <n v="0.55000000000000004"/>
    <m/>
    <m/>
    <m/>
    <m/>
    <m/>
    <n v="0.71730000000000005"/>
    <m/>
    <n v="0.71730000000000005"/>
    <m/>
    <m/>
    <m/>
    <m/>
    <m/>
    <s v="AUD"/>
    <s v="13639925Waste - General [t] - Scope 3"/>
    <n v="13639925"/>
  </r>
  <r>
    <d v="2019-07-01T00:00:00"/>
    <d v="2021-06-30T00:00:00"/>
    <s v="Telstra"/>
    <s v="NETWORK"/>
    <s v="Network - InfraCo"/>
    <s v="NSW"/>
    <s v="Australia"/>
    <s v="Mascot"/>
    <s v="MASCOT EXCHANGE"/>
    <n v="423030277900"/>
    <s v="Waste"/>
    <x v="1"/>
    <x v="2"/>
    <s v="Account"/>
    <s v="Remondis General Waste"/>
    <m/>
    <s v="423030277900_WGENERALW"/>
    <s v="GENERAL WASTE"/>
    <s v="Remondis"/>
    <m/>
    <m/>
    <d v="2020-07-01T00:00:00"/>
    <d v="2020-07-01T00:00:00"/>
    <s v="FY21"/>
    <s v="t"/>
    <n v="0"/>
    <n v="0"/>
    <n v="1.4500000000000001E-2"/>
    <n v="1.4500000000000001E-2"/>
    <n v="0"/>
    <n v="0"/>
    <n v="1"/>
    <n v="1"/>
    <n v="0"/>
    <n v="0"/>
    <n v="100"/>
    <s v="Consolidation"/>
    <s v="CO2e and Base Measure"/>
    <n v="100"/>
    <n v="100"/>
    <n v="0.01"/>
    <m/>
    <m/>
    <m/>
    <m/>
    <m/>
    <n v="1.89E-2"/>
    <m/>
    <n v="1.89E-2"/>
    <m/>
    <m/>
    <m/>
    <m/>
    <m/>
    <s v="AUD"/>
    <s v="13564339Waste - General [t] - Scope 3"/>
    <n v="13564339"/>
  </r>
  <r>
    <d v="2019-07-01T00:00:00"/>
    <d v="2021-06-30T00:00:00"/>
    <s v="Telstra"/>
    <s v="NETWORK"/>
    <s v="Network - InfraCo"/>
    <s v="NSW"/>
    <s v="Australia"/>
    <s v="Matraville"/>
    <s v="MATRAVILLE EXCHANGE"/>
    <n v="423030278400"/>
    <s v="Waste"/>
    <x v="1"/>
    <x v="2"/>
    <s v="Account"/>
    <s v="Remondis General Waste"/>
    <m/>
    <s v="423030278400_WGENERALW"/>
    <s v="GENERAL WASTE"/>
    <s v="Remondis"/>
    <m/>
    <d v="2020-06-15T00:00:00"/>
    <d v="2020-07-01T00:00:00"/>
    <d v="2020-07-01T00:00:00"/>
    <s v="FY21"/>
    <s v="t"/>
    <n v="0"/>
    <n v="0"/>
    <n v="2.3400000000000001E-2"/>
    <n v="2.3400000000000001E-2"/>
    <n v="0"/>
    <n v="0"/>
    <n v="1"/>
    <n v="1"/>
    <n v="0"/>
    <n v="0"/>
    <n v="100"/>
    <s v="Consolidation"/>
    <s v="CO2e and Base Measure"/>
    <n v="100"/>
    <n v="100"/>
    <n v="0.02"/>
    <m/>
    <m/>
    <m/>
    <m/>
    <m/>
    <n v="3.04E-2"/>
    <m/>
    <n v="3.04E-2"/>
    <m/>
    <m/>
    <m/>
    <m/>
    <m/>
    <s v="AUD"/>
    <s v="13612587Waste - General [t] - Scope 3"/>
    <n v="13612587"/>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07-01T00:00:00"/>
    <s v="FY21"/>
    <s v="t"/>
    <n v="0.05"/>
    <n v="0"/>
    <n v="0"/>
    <n v="0.05"/>
    <n v="1"/>
    <n v="0"/>
    <n v="0"/>
    <n v="1"/>
    <n v="100"/>
    <n v="0"/>
    <n v="0"/>
    <s v="Consolidation"/>
    <s v="CO2e and Base Measure"/>
    <n v="100"/>
    <n v="100"/>
    <n v="0.05"/>
    <m/>
    <m/>
    <m/>
    <m/>
    <m/>
    <n v="6.5000000000000002E-2"/>
    <m/>
    <n v="6.5000000000000002E-2"/>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08-01T00:00:00"/>
    <s v="FY21"/>
    <s v="t"/>
    <n v="0.115"/>
    <n v="0"/>
    <n v="0"/>
    <n v="0.115"/>
    <n v="1"/>
    <n v="0"/>
    <n v="0"/>
    <n v="1"/>
    <n v="100"/>
    <n v="0"/>
    <n v="0"/>
    <s v="Consolidation"/>
    <s v="CO2e and Base Measure"/>
    <n v="100"/>
    <n v="100"/>
    <n v="0.12"/>
    <m/>
    <m/>
    <m/>
    <m/>
    <m/>
    <n v="0.14949999999999999"/>
    <m/>
    <n v="0.14949999999999999"/>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09-01T00:00:00"/>
    <s v="FY21"/>
    <s v="t"/>
    <n v="0.16"/>
    <n v="0"/>
    <n v="0"/>
    <n v="0.16"/>
    <n v="2"/>
    <n v="0"/>
    <n v="0"/>
    <n v="2"/>
    <n v="100"/>
    <n v="0"/>
    <n v="0"/>
    <s v="Consolidation"/>
    <s v="CO2e and Base Measure"/>
    <n v="100"/>
    <n v="100"/>
    <n v="0.16"/>
    <m/>
    <m/>
    <m/>
    <m/>
    <m/>
    <n v="0.20799999999999999"/>
    <m/>
    <n v="0.20799999999999999"/>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10-01T00:00:00"/>
    <s v="FY21"/>
    <s v="t"/>
    <n v="0.21"/>
    <n v="0"/>
    <n v="0"/>
    <n v="0.21"/>
    <n v="1"/>
    <n v="0"/>
    <n v="0"/>
    <n v="1"/>
    <n v="100"/>
    <n v="0"/>
    <n v="0"/>
    <s v="Consolidation"/>
    <s v="CO2e and Base Measure"/>
    <n v="100"/>
    <n v="100"/>
    <n v="0.21"/>
    <m/>
    <m/>
    <m/>
    <m/>
    <m/>
    <n v="0.27300000000000002"/>
    <m/>
    <n v="0.27300000000000002"/>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11-01T00:00:00"/>
    <s v="FY21"/>
    <s v="t"/>
    <n v="0.03"/>
    <n v="0"/>
    <n v="0"/>
    <n v="0.03"/>
    <n v="1"/>
    <n v="0"/>
    <n v="0"/>
    <n v="1"/>
    <n v="100"/>
    <n v="0"/>
    <n v="0"/>
    <s v="Consolidation"/>
    <s v="CO2e and Base Measure"/>
    <n v="100"/>
    <n v="100"/>
    <n v="0.03"/>
    <m/>
    <m/>
    <m/>
    <m/>
    <m/>
    <n v="3.9E-2"/>
    <m/>
    <n v="3.9E-2"/>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1-01-01T00:00:00"/>
    <s v="FY21"/>
    <s v="t"/>
    <n v="0"/>
    <n v="0"/>
    <n v="3.5999999999999999E-3"/>
    <n v="3.5999999999999999E-3"/>
    <n v="0"/>
    <n v="0"/>
    <n v="1"/>
    <n v="1"/>
    <n v="0"/>
    <n v="0"/>
    <n v="100"/>
    <s v="Consolidation"/>
    <s v="CO2e and Base Measure"/>
    <n v="100"/>
    <n v="100"/>
    <n v="0"/>
    <m/>
    <m/>
    <m/>
    <m/>
    <m/>
    <n v="4.7000000000000002E-3"/>
    <m/>
    <n v="4.7000000000000002E-3"/>
    <m/>
    <m/>
    <m/>
    <m/>
    <m/>
    <s v="AUD"/>
    <s v="13564304Waste - General [t] - Scope 3"/>
    <n v="13564304"/>
  </r>
  <r>
    <d v="2019-07-01T00:00:00"/>
    <d v="2021-06-30T00:00:00"/>
    <s v="Telstra"/>
    <s v="NETWORK"/>
    <s v="Network - Telstra/InfraCo Split"/>
    <s v="VIC"/>
    <s v="Australia"/>
    <s v="Melbourne"/>
    <s v="MELBOURNE 246 BOURKE ST"/>
    <n v="423031902000"/>
    <s v="Waste"/>
    <x v="1"/>
    <x v="2"/>
    <s v="Account"/>
    <s v="Remondis General Waste"/>
    <m/>
    <s v="423031902000_WGENERALW"/>
    <s v="GENERAL WASTE"/>
    <s v="Remondis"/>
    <m/>
    <m/>
    <d v="2020-08-01T00:00:00"/>
    <d v="2020-07-01T00:00:00"/>
    <s v="FY21"/>
    <s v="t"/>
    <n v="0"/>
    <n v="4.2900000000000001E-2"/>
    <n v="0"/>
    <n v="4.2900000000000001E-2"/>
    <n v="0"/>
    <n v="1"/>
    <n v="0"/>
    <n v="1"/>
    <n v="0"/>
    <n v="100"/>
    <n v="0"/>
    <s v="Consolidation"/>
    <s v="CO2e and Base Measure"/>
    <n v="100"/>
    <n v="100"/>
    <n v="0.04"/>
    <m/>
    <m/>
    <m/>
    <m/>
    <m/>
    <n v="5.5800000000000002E-2"/>
    <m/>
    <n v="5.5800000000000002E-2"/>
    <m/>
    <m/>
    <m/>
    <m/>
    <m/>
    <s v="AUD"/>
    <s v="13565856Waste - General [t] - Scope 3"/>
    <n v="13565856"/>
  </r>
  <r>
    <d v="2019-07-01T00:00:00"/>
    <d v="2021-06-30T00:00:00"/>
    <s v="Telstra"/>
    <s v="NETWORK"/>
    <s v="Network - Telstra/InfraCo Split"/>
    <s v="VIC"/>
    <s v="Australia"/>
    <s v="Melbourne"/>
    <s v="MELBOURNE 246 BOURKE ST"/>
    <n v="423031902000"/>
    <s v="Waste"/>
    <x v="1"/>
    <x v="2"/>
    <s v="Account"/>
    <s v="Remondis General Waste"/>
    <m/>
    <s v="423031902000_WGENERALW"/>
    <s v="GENERAL WASTE"/>
    <s v="Remondis"/>
    <m/>
    <m/>
    <d v="2020-08-01T00:00:00"/>
    <d v="2020-08-01T00:00:00"/>
    <s v="FY21"/>
    <s v="t"/>
    <n v="0"/>
    <n v="0"/>
    <n v="1.4E-3"/>
    <n v="1.4E-3"/>
    <n v="0"/>
    <n v="0"/>
    <n v="1"/>
    <n v="1"/>
    <n v="0"/>
    <n v="0"/>
    <n v="100"/>
    <s v="Consolidation"/>
    <s v="CO2e and Base Measure"/>
    <n v="100"/>
    <n v="100"/>
    <n v="0"/>
    <m/>
    <m/>
    <m/>
    <m/>
    <m/>
    <n v="1.8E-3"/>
    <m/>
    <n v="1.8E-3"/>
    <m/>
    <m/>
    <m/>
    <m/>
    <m/>
    <s v="AUD"/>
    <s v="13565856Waste - General [t] - Scope 3"/>
    <n v="13565856"/>
  </r>
  <r>
    <d v="2019-07-01T00:00:00"/>
    <d v="2021-06-30T00:00:00"/>
    <s v="Telstra"/>
    <s v="NETWORK"/>
    <s v="Network - Telstra/InfraCo Split"/>
    <s v="VIC"/>
    <s v="Australia"/>
    <s v="Melbourne"/>
    <s v="MELBOURNE 246 BOURKE ST"/>
    <n v="423031902000"/>
    <s v="Recycled Waste"/>
    <x v="0"/>
    <x v="1"/>
    <s v="Account"/>
    <s v="Remondis Electrical Comp. (E-Waste)"/>
    <m/>
    <s v="423031902000_RELECTRIC"/>
    <s v="ELECTRICAL COMP. E-WASTE"/>
    <s v="Remondis"/>
    <m/>
    <m/>
    <d v="2021-01-01T00:00:00"/>
    <d v="2020-10-01T00:00:00"/>
    <s v="FY21"/>
    <s v="t"/>
    <n v="0"/>
    <n v="9.1200000000000003E-2"/>
    <n v="0"/>
    <n v="9.1200000000000003E-2"/>
    <n v="0"/>
    <n v="1"/>
    <n v="0"/>
    <n v="1"/>
    <n v="0"/>
    <n v="100"/>
    <n v="0"/>
    <s v="Consolidation"/>
    <s v="CO2e and Base Measure"/>
    <n v="100"/>
    <n v="100"/>
    <n v="0.09"/>
    <m/>
    <m/>
    <m/>
    <m/>
    <m/>
    <m/>
    <m/>
    <m/>
    <m/>
    <m/>
    <m/>
    <m/>
    <m/>
    <s v="AUD"/>
    <s v="13576283Waste Recycled - E-waste [t]"/>
    <n v="13576283"/>
  </r>
  <r>
    <d v="2019-07-01T00:00:00"/>
    <d v="2021-06-30T00:00:00"/>
    <s v="Telstra"/>
    <s v="NETWORK"/>
    <s v="Network - Telstra/InfraCo Split"/>
    <s v="VIC"/>
    <s v="Australia"/>
    <s v="Melbourne"/>
    <s v="MELBOURNE 246 BOURKE ST"/>
    <n v="423031902000"/>
    <s v="Recycled Waste"/>
    <x v="0"/>
    <x v="1"/>
    <s v="Account"/>
    <s v="Remondis Electrical Comp. (E-Waste)"/>
    <m/>
    <s v="423031902000_RELECTRIC"/>
    <s v="ELECTRICAL COMP. E-WASTE"/>
    <s v="Remondis"/>
    <m/>
    <m/>
    <d v="2021-01-01T00:00:00"/>
    <d v="2020-11-01T00:00:00"/>
    <s v="FY21"/>
    <s v="t"/>
    <n v="0"/>
    <n v="9.1200000000000003E-2"/>
    <n v="0"/>
    <n v="9.1200000000000003E-2"/>
    <n v="0"/>
    <n v="1"/>
    <n v="0"/>
    <n v="1"/>
    <n v="0"/>
    <n v="100"/>
    <n v="0"/>
    <s v="Consolidation"/>
    <s v="CO2e and Base Measure"/>
    <n v="100"/>
    <n v="100"/>
    <n v="0.09"/>
    <m/>
    <m/>
    <m/>
    <m/>
    <m/>
    <m/>
    <m/>
    <m/>
    <m/>
    <m/>
    <m/>
    <m/>
    <m/>
    <s v="AUD"/>
    <s v="13576283Waste Recycled - E-waste [t]"/>
    <n v="13576283"/>
  </r>
  <r>
    <d v="2019-07-01T00:00:00"/>
    <d v="2021-06-30T00:00:00"/>
    <s v="Telstra"/>
    <s v="NETWORK"/>
    <s v="Network - Telstra/InfraCo Split"/>
    <s v="VIC"/>
    <s v="Australia"/>
    <s v="Melbourne"/>
    <s v="MELBOURNE 246 BOURKE ST"/>
    <n v="423031902000"/>
    <s v="Recycled Waste"/>
    <x v="0"/>
    <x v="1"/>
    <s v="Account"/>
    <s v="Remondis Electrical Comp. (E-Waste)"/>
    <m/>
    <s v="423031902000_RELECTRIC"/>
    <s v="ELECTRICAL COMP. E-WASTE"/>
    <s v="Remondis"/>
    <m/>
    <m/>
    <d v="2021-01-01T00:00:00"/>
    <d v="2020-12-01T00:00:00"/>
    <s v="FY21"/>
    <s v="t"/>
    <n v="0"/>
    <n v="9.1200000000000003E-2"/>
    <n v="0"/>
    <n v="9.1200000000000003E-2"/>
    <n v="0"/>
    <n v="1"/>
    <n v="0"/>
    <n v="1"/>
    <n v="0"/>
    <n v="100"/>
    <n v="0"/>
    <s v="Consolidation"/>
    <s v="CO2e and Base Measure"/>
    <n v="100"/>
    <n v="100"/>
    <n v="0.09"/>
    <m/>
    <m/>
    <m/>
    <m/>
    <m/>
    <m/>
    <m/>
    <m/>
    <m/>
    <m/>
    <m/>
    <m/>
    <m/>
    <s v="AUD"/>
    <s v="13576283Waste Recycled - E-waste [t]"/>
    <n v="13576283"/>
  </r>
  <r>
    <d v="2019-07-01T00:00:00"/>
    <d v="2021-06-30T00:00:00"/>
    <s v="Telstra"/>
    <s v="NETWORK"/>
    <s v="Network - Telstra/InfraCo Split"/>
    <s v="VIC"/>
    <s v="Australia"/>
    <s v="Melbourne"/>
    <s v="MELBOURNE 246 BOURKE ST"/>
    <n v="423031902000"/>
    <s v="Recycled Waste"/>
    <x v="0"/>
    <x v="1"/>
    <s v="Account"/>
    <s v="Remondis Electrical Comp. (E-Waste)"/>
    <m/>
    <s v="423031902000_RELECTRIC"/>
    <s v="ELECTRICAL COMP. E-WASTE"/>
    <s v="Remondis"/>
    <m/>
    <m/>
    <d v="2021-01-01T00:00:00"/>
    <d v="2021-01-01T00:00:00"/>
    <s v="FY21"/>
    <s v="t"/>
    <n v="0"/>
    <n v="0"/>
    <n v="2.0999999999999999E-3"/>
    <n v="2.0999999999999999E-3"/>
    <n v="0"/>
    <n v="0"/>
    <n v="1"/>
    <n v="1"/>
    <n v="0"/>
    <n v="0"/>
    <n v="100"/>
    <s v="Consolidation"/>
    <s v="CO2e and Base Measure"/>
    <n v="100"/>
    <n v="100"/>
    <n v="0"/>
    <m/>
    <m/>
    <m/>
    <m/>
    <m/>
    <m/>
    <m/>
    <m/>
    <m/>
    <m/>
    <m/>
    <m/>
    <m/>
    <s v="AUD"/>
    <s v="13576283Waste Recycled - E-waste [t]"/>
    <n v="13576283"/>
  </r>
  <r>
    <d v="2019-07-01T00:00:00"/>
    <d v="2021-06-30T00:00:00"/>
    <s v="Telstra"/>
    <s v="NON-NETWORK"/>
    <s v="NON-NETWORK"/>
    <s v="VIC"/>
    <s v="Australia"/>
    <s v="Melbourne"/>
    <s v="MELBOURNE CONF 242 EXHIBITION ST"/>
    <n v="423031591800"/>
    <s v="Recycled Waste"/>
    <x v="0"/>
    <x v="0"/>
    <s v="Account"/>
    <s v="Remondis Cardboard - Loose - Recycled"/>
    <m/>
    <s v="423031591800_RCARDBOAR"/>
    <s v="CARDBOARD - LOOSE - RECYCLED"/>
    <s v="Remondis"/>
    <m/>
    <m/>
    <d v="2021-01-01T00:00:00"/>
    <d v="2020-10-01T00:00:00"/>
    <s v="FY21"/>
    <s v="t"/>
    <n v="0"/>
    <n v="1.3899999999999999E-2"/>
    <n v="0"/>
    <n v="1.3899999999999999E-2"/>
    <n v="0"/>
    <n v="1"/>
    <n v="0"/>
    <n v="1"/>
    <n v="0"/>
    <n v="100"/>
    <n v="0"/>
    <s v="Consolidation"/>
    <s v="CO2e and Base Measure"/>
    <n v="100"/>
    <n v="100"/>
    <n v="0.01"/>
    <m/>
    <m/>
    <m/>
    <m/>
    <m/>
    <m/>
    <n v="0"/>
    <m/>
    <m/>
    <m/>
    <m/>
    <m/>
    <m/>
    <s v="AUD"/>
    <s v="13565699Waste Recycled - Cardboard [t]"/>
    <n v="13565699"/>
  </r>
  <r>
    <d v="2019-07-01T00:00:00"/>
    <d v="2021-06-30T00:00:00"/>
    <s v="Telstra"/>
    <s v="NON-NETWORK"/>
    <s v="NON-NETWORK"/>
    <s v="VIC"/>
    <s v="Australia"/>
    <s v="Melbourne"/>
    <s v="MELBOURNE CONF 242 EXHIBITION ST"/>
    <n v="423031591800"/>
    <s v="Recycled Waste"/>
    <x v="0"/>
    <x v="0"/>
    <s v="Account"/>
    <s v="Remondis Cardboard - Loose - Recycled"/>
    <m/>
    <s v="423031591800_RCARDBOAR"/>
    <s v="CARDBOARD - LOOSE - RECYCLED"/>
    <s v="Remondis"/>
    <m/>
    <m/>
    <d v="2021-01-01T00:00:00"/>
    <d v="2020-12-01T00:00:00"/>
    <s v="FY21"/>
    <s v="t"/>
    <n v="0"/>
    <n v="9.3200000000000005E-2"/>
    <n v="0"/>
    <n v="9.3200000000000005E-2"/>
    <n v="0"/>
    <n v="1"/>
    <n v="0"/>
    <n v="1"/>
    <n v="0"/>
    <n v="100"/>
    <n v="0"/>
    <s v="Consolidation"/>
    <s v="CO2e and Base Measure"/>
    <n v="100"/>
    <n v="100"/>
    <n v="0.09"/>
    <m/>
    <m/>
    <m/>
    <m/>
    <m/>
    <m/>
    <n v="0"/>
    <m/>
    <m/>
    <m/>
    <m/>
    <m/>
    <m/>
    <s v="AUD"/>
    <s v="13565699Waste Recycled - Cardboard [t]"/>
    <n v="13565699"/>
  </r>
  <r>
    <d v="2019-07-01T00:00:00"/>
    <d v="2021-06-30T00:00:00"/>
    <s v="Telstra"/>
    <s v="NON-NETWORK"/>
    <s v="NON-NETWORK"/>
    <s v="VIC"/>
    <s v="Australia"/>
    <s v="Melbourne"/>
    <s v="MELBOURNE CONF 242 EXHIBITION ST"/>
    <n v="423031591800"/>
    <s v="Recycled Waste"/>
    <x v="0"/>
    <x v="0"/>
    <s v="Account"/>
    <s v="Remondis Cardboard - Loose - Recycled"/>
    <m/>
    <s v="423031591800_RCARDBOAR"/>
    <s v="CARDBOARD - LOOSE - RECYCLED"/>
    <s v="Remondis"/>
    <m/>
    <m/>
    <d v="2021-01-01T00:00:00"/>
    <d v="2021-01-01T00:00:00"/>
    <s v="FY21"/>
    <s v="t"/>
    <n v="0"/>
    <n v="0"/>
    <n v="1.1999999999999999E-3"/>
    <n v="1.1999999999999999E-3"/>
    <n v="0"/>
    <n v="0"/>
    <n v="1"/>
    <n v="1"/>
    <n v="0"/>
    <n v="0"/>
    <n v="100"/>
    <s v="Consolidation"/>
    <s v="CO2e and Base Measure"/>
    <n v="100"/>
    <n v="100"/>
    <n v="0"/>
    <m/>
    <m/>
    <m/>
    <m/>
    <m/>
    <m/>
    <n v="0"/>
    <m/>
    <m/>
    <m/>
    <m/>
    <m/>
    <m/>
    <s v="AUD"/>
    <s v="13565699Waste Recycled - Cardboard [t]"/>
    <n v="13565699"/>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0-07-01T00:00:00"/>
    <s v="FY21"/>
    <s v="t"/>
    <n v="0"/>
    <n v="6.6000000000000003E-2"/>
    <n v="0"/>
    <n v="6.6000000000000003E-2"/>
    <n v="0"/>
    <n v="1"/>
    <n v="0"/>
    <n v="1"/>
    <n v="0"/>
    <n v="100"/>
    <n v="0"/>
    <s v="Consolidation"/>
    <s v="CO2e and Base Measure"/>
    <n v="100"/>
    <n v="100"/>
    <n v="7.0000000000000007E-2"/>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0-10-01T00:00:00"/>
    <s v="FY21"/>
    <s v="t"/>
    <n v="0"/>
    <n v="0.13200000000000001"/>
    <n v="0"/>
    <n v="0.13200000000000001"/>
    <n v="0"/>
    <n v="2"/>
    <n v="0"/>
    <n v="2"/>
    <n v="0"/>
    <n v="100"/>
    <n v="0"/>
    <s v="Consolidation"/>
    <s v="CO2e and Base Measure"/>
    <n v="100"/>
    <n v="100"/>
    <n v="0.13"/>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0-11-01T00:00:00"/>
    <s v="FY21"/>
    <s v="t"/>
    <n v="0"/>
    <n v="0.13200000000000001"/>
    <n v="0"/>
    <n v="0.13200000000000001"/>
    <n v="0"/>
    <n v="2"/>
    <n v="0"/>
    <n v="2"/>
    <n v="0"/>
    <n v="100"/>
    <n v="0"/>
    <s v="Consolidation"/>
    <s v="CO2e and Base Measure"/>
    <n v="100"/>
    <n v="100"/>
    <n v="0.13"/>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0-12-01T00:00:00"/>
    <s v="FY21"/>
    <s v="t"/>
    <n v="0"/>
    <n v="0.13200000000000001"/>
    <n v="0"/>
    <n v="0.13200000000000001"/>
    <n v="0"/>
    <n v="2"/>
    <n v="0"/>
    <n v="2"/>
    <n v="0"/>
    <n v="100"/>
    <n v="0"/>
    <s v="Consolidation"/>
    <s v="CO2e and Base Measure"/>
    <n v="100"/>
    <n v="100"/>
    <n v="0.13"/>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1-01-01T00:00:00"/>
    <s v="FY21"/>
    <s v="t"/>
    <n v="0"/>
    <n v="0"/>
    <n v="2.5000000000000001E-3"/>
    <n v="2.5000000000000001E-3"/>
    <n v="0"/>
    <n v="0"/>
    <n v="1"/>
    <n v="1"/>
    <n v="0"/>
    <n v="0"/>
    <n v="100"/>
    <s v="Consolidation"/>
    <s v="CO2e and Base Measure"/>
    <n v="100"/>
    <n v="100"/>
    <n v="0"/>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1"/>
    <s v="Account"/>
    <s v="Remondis Electrical Comp. (E-Waste)"/>
    <m/>
    <s v="423031591800_RELECTRIC"/>
    <s v="ELECTRICAL COMP. E-WASTE"/>
    <s v="Remondis"/>
    <m/>
    <m/>
    <d v="2021-01-01T00:00:00"/>
    <d v="2020-10-01T00:00:00"/>
    <s v="FY21"/>
    <s v="t"/>
    <n v="0"/>
    <n v="0.25080000000000002"/>
    <n v="0"/>
    <n v="0.25080000000000002"/>
    <n v="0"/>
    <n v="2"/>
    <n v="0"/>
    <n v="2"/>
    <n v="0"/>
    <n v="100"/>
    <n v="0"/>
    <s v="Consolidation"/>
    <s v="CO2e and Base Measure"/>
    <n v="100"/>
    <n v="100"/>
    <n v="0.25"/>
    <m/>
    <m/>
    <m/>
    <m/>
    <m/>
    <m/>
    <m/>
    <m/>
    <m/>
    <m/>
    <m/>
    <m/>
    <m/>
    <s v="AUD"/>
    <s v="13565701Waste Recycled - E-waste [t]"/>
    <n v="13565701"/>
  </r>
  <r>
    <d v="2019-07-01T00:00:00"/>
    <d v="2021-06-30T00:00:00"/>
    <s v="Telstra"/>
    <s v="NON-NETWORK"/>
    <s v="NON-NETWORK"/>
    <s v="VIC"/>
    <s v="Australia"/>
    <s v="Melbourne"/>
    <s v="MELBOURNE CONF 242 EXHIBITION ST"/>
    <n v="423031591800"/>
    <s v="Recycled Waste"/>
    <x v="0"/>
    <x v="1"/>
    <s v="Account"/>
    <s v="Remondis Electrical Comp. (E-Waste)"/>
    <m/>
    <s v="423031591800_RELECTRIC"/>
    <s v="ELECTRICAL COMP. E-WASTE"/>
    <s v="Remondis"/>
    <m/>
    <m/>
    <d v="2021-01-01T00:00:00"/>
    <d v="2020-11-01T00:00:00"/>
    <s v="FY21"/>
    <s v="t"/>
    <n v="0.89900000000000002"/>
    <n v="0"/>
    <n v="0"/>
    <n v="0.89900000000000002"/>
    <n v="1"/>
    <n v="0"/>
    <n v="0"/>
    <n v="1"/>
    <n v="100"/>
    <n v="0"/>
    <n v="0"/>
    <s v="Consolidation"/>
    <s v="CO2e and Base Measure"/>
    <n v="100"/>
    <n v="100"/>
    <n v="0.9"/>
    <m/>
    <m/>
    <m/>
    <m/>
    <m/>
    <m/>
    <m/>
    <m/>
    <m/>
    <m/>
    <m/>
    <m/>
    <m/>
    <s v="AUD"/>
    <s v="13565701Waste Recycled - E-waste [t]"/>
    <n v="13565701"/>
  </r>
  <r>
    <d v="2019-07-01T00:00:00"/>
    <d v="2021-06-30T00:00:00"/>
    <s v="Telstra"/>
    <s v="NON-NETWORK"/>
    <s v="NON-NETWORK"/>
    <s v="VIC"/>
    <s v="Australia"/>
    <s v="Melbourne"/>
    <s v="MELBOURNE CONF 242 EXHIBITION ST"/>
    <n v="423031591800"/>
    <s v="Recycled Waste"/>
    <x v="0"/>
    <x v="1"/>
    <s v="Account"/>
    <s v="Remondis Electrical Comp. (E-Waste)"/>
    <m/>
    <s v="423031591800_RELECTRIC"/>
    <s v="ELECTRICAL COMP. E-WASTE"/>
    <s v="Remondis"/>
    <m/>
    <m/>
    <d v="2021-01-01T00:00:00"/>
    <d v="2020-12-01T00:00:00"/>
    <s v="FY21"/>
    <s v="t"/>
    <n v="0"/>
    <n v="0.85499999999999998"/>
    <n v="0"/>
    <n v="0.85499999999999998"/>
    <n v="0"/>
    <n v="8"/>
    <n v="0"/>
    <n v="8"/>
    <n v="0"/>
    <n v="100"/>
    <n v="0"/>
    <s v="Consolidation"/>
    <s v="CO2e and Base Measure"/>
    <n v="100"/>
    <n v="100"/>
    <n v="0.86"/>
    <m/>
    <m/>
    <m/>
    <m/>
    <m/>
    <m/>
    <m/>
    <m/>
    <m/>
    <m/>
    <m/>
    <m/>
    <m/>
    <s v="AUD"/>
    <s v="13565701Waste Recycled - E-waste [t]"/>
    <n v="13565701"/>
  </r>
  <r>
    <d v="2019-07-01T00:00:00"/>
    <d v="2021-06-30T00:00:00"/>
    <s v="Telstra"/>
    <s v="NON-NETWORK"/>
    <s v="NON-NETWORK"/>
    <s v="VIC"/>
    <s v="Australia"/>
    <s v="Melbourne"/>
    <s v="MELBOURNE CONF 242 EXHIBITION ST"/>
    <n v="423031591800"/>
    <s v="Recycled Waste"/>
    <x v="0"/>
    <x v="1"/>
    <s v="Account"/>
    <s v="Remondis Electrical Comp. (E-Waste)"/>
    <m/>
    <s v="423031591800_RELECTRIC"/>
    <s v="ELECTRICAL COMP. E-WASTE"/>
    <s v="Remondis"/>
    <m/>
    <m/>
    <d v="2021-01-01T00:00:00"/>
    <d v="2021-01-01T00:00:00"/>
    <s v="FY21"/>
    <s v="t"/>
    <n v="0"/>
    <n v="0"/>
    <n v="0.01"/>
    <n v="0.01"/>
    <n v="0"/>
    <n v="0"/>
    <n v="1"/>
    <n v="1"/>
    <n v="0"/>
    <n v="0"/>
    <n v="100"/>
    <s v="Consolidation"/>
    <s v="CO2e and Base Measure"/>
    <n v="100"/>
    <n v="100"/>
    <n v="0.01"/>
    <m/>
    <m/>
    <m/>
    <m/>
    <m/>
    <m/>
    <m/>
    <m/>
    <m/>
    <m/>
    <m/>
    <m/>
    <m/>
    <s v="AUD"/>
    <s v="13565701Waste Recycled - E-waste [t]"/>
    <n v="13565701"/>
  </r>
  <r>
    <d v="2019-07-01T00:00:00"/>
    <d v="2021-06-30T00:00:00"/>
    <s v="Telstra"/>
    <s v="NON-NETWORK"/>
    <s v="NON-NETWORK"/>
    <s v="VIC"/>
    <s v="Australia"/>
    <s v="Melbourne"/>
    <s v="MELBOURNE CONF 242 EXHIBITION ST"/>
    <n v="423031591800"/>
    <s v="Waste"/>
    <x v="1"/>
    <x v="2"/>
    <s v="Account"/>
    <s v="Remondis General Waste"/>
    <m/>
    <s v="423031591800_WGENERALW"/>
    <s v="GENERAL WASTE"/>
    <s v="Remondis"/>
    <m/>
    <m/>
    <d v="2021-01-01T00:00:00"/>
    <d v="2020-07-01T00:00:00"/>
    <s v="FY21"/>
    <s v="t"/>
    <n v="0"/>
    <n v="4.2900000000000001E-2"/>
    <n v="0"/>
    <n v="4.2900000000000001E-2"/>
    <n v="0"/>
    <n v="1"/>
    <n v="0"/>
    <n v="1"/>
    <n v="0"/>
    <n v="100"/>
    <n v="0"/>
    <s v="Consolidation"/>
    <s v="CO2e and Base Measure"/>
    <n v="100"/>
    <n v="100"/>
    <n v="0.04"/>
    <m/>
    <m/>
    <m/>
    <m/>
    <m/>
    <n v="5.5800000000000002E-2"/>
    <m/>
    <n v="5.5800000000000002E-2"/>
    <m/>
    <m/>
    <m/>
    <m/>
    <m/>
    <s v="AUD"/>
    <s v="13565704Waste - General [t] - Scope 3"/>
    <n v="13565704"/>
  </r>
  <r>
    <d v="2019-07-01T00:00:00"/>
    <d v="2021-06-30T00:00:00"/>
    <s v="Telstra"/>
    <s v="NON-NETWORK"/>
    <s v="NON-NETWORK"/>
    <s v="VIC"/>
    <s v="Australia"/>
    <s v="Melbourne"/>
    <s v="MELBOURNE CONF 242 EXHIBITION ST"/>
    <n v="423031591800"/>
    <s v="Waste"/>
    <x v="1"/>
    <x v="2"/>
    <s v="Account"/>
    <s v="Remondis General Waste"/>
    <m/>
    <s v="423031591800_WGENERALW"/>
    <s v="GENERAL WASTE"/>
    <s v="Remondis"/>
    <m/>
    <m/>
    <d v="2021-01-01T00:00:00"/>
    <d v="2020-10-01T00:00:00"/>
    <s v="FY21"/>
    <s v="t"/>
    <n v="0"/>
    <n v="7.22E-2"/>
    <n v="0"/>
    <n v="7.22E-2"/>
    <n v="0"/>
    <n v="1"/>
    <n v="0"/>
    <n v="1"/>
    <n v="0"/>
    <n v="100"/>
    <n v="0"/>
    <s v="Consolidation"/>
    <s v="CO2e and Base Measure"/>
    <n v="100"/>
    <n v="100"/>
    <n v="7.0000000000000007E-2"/>
    <m/>
    <m/>
    <m/>
    <m/>
    <m/>
    <n v="9.3899999999999997E-2"/>
    <m/>
    <n v="9.3899999999999997E-2"/>
    <m/>
    <m/>
    <m/>
    <m/>
    <m/>
    <s v="AUD"/>
    <s v="13565704Waste - General [t] - Scope 3"/>
    <n v="13565704"/>
  </r>
  <r>
    <d v="2019-07-01T00:00:00"/>
    <d v="2021-06-30T00:00:00"/>
    <s v="Telstra"/>
    <s v="NON-NETWORK"/>
    <s v="NON-NETWORK"/>
    <s v="VIC"/>
    <s v="Australia"/>
    <s v="Melbourne"/>
    <s v="MELBOURNE CONF 242 EXHIBITION ST"/>
    <n v="423031591800"/>
    <s v="Waste"/>
    <x v="1"/>
    <x v="2"/>
    <s v="Account"/>
    <s v="Remondis General Waste"/>
    <m/>
    <s v="423031591800_WGENERALW"/>
    <s v="GENERAL WASTE"/>
    <s v="Remondis"/>
    <m/>
    <m/>
    <d v="2021-01-01T00:00:00"/>
    <d v="2020-12-01T00:00:00"/>
    <s v="FY21"/>
    <s v="t"/>
    <n v="0"/>
    <n v="0.1716"/>
    <n v="0"/>
    <n v="0.1716"/>
    <n v="0"/>
    <n v="3"/>
    <n v="0"/>
    <n v="3"/>
    <n v="0"/>
    <n v="100"/>
    <n v="0"/>
    <s v="Consolidation"/>
    <s v="CO2e and Base Measure"/>
    <n v="100"/>
    <n v="100"/>
    <n v="0.17"/>
    <m/>
    <m/>
    <m/>
    <m/>
    <m/>
    <n v="0.22309999999999999"/>
    <m/>
    <n v="0.22309999999999999"/>
    <m/>
    <m/>
    <m/>
    <m/>
    <m/>
    <s v="AUD"/>
    <s v="13565704Waste - General [t] - Scope 3"/>
    <n v="13565704"/>
  </r>
  <r>
    <d v="2019-07-01T00:00:00"/>
    <d v="2021-06-30T00:00:00"/>
    <s v="Telstra"/>
    <s v="NON-NETWORK"/>
    <s v="NON-NETWORK"/>
    <s v="VIC"/>
    <s v="Australia"/>
    <s v="Melbourne"/>
    <s v="MELBOURNE CONF 242 EXHIBITION ST"/>
    <n v="423031591800"/>
    <s v="Waste"/>
    <x v="1"/>
    <x v="2"/>
    <s v="Account"/>
    <s v="Remondis General Waste"/>
    <m/>
    <s v="423031591800_WGENERALW"/>
    <s v="GENERAL WASTE"/>
    <s v="Remondis"/>
    <m/>
    <m/>
    <d v="2021-01-01T00:00:00"/>
    <d v="2021-01-01T00:00:00"/>
    <s v="FY21"/>
    <s v="t"/>
    <n v="0"/>
    <n v="0"/>
    <n v="1.5E-3"/>
    <n v="1.5E-3"/>
    <n v="0"/>
    <n v="0"/>
    <n v="1"/>
    <n v="1"/>
    <n v="0"/>
    <n v="0"/>
    <n v="100"/>
    <s v="Consolidation"/>
    <s v="CO2e and Base Measure"/>
    <n v="100"/>
    <n v="100"/>
    <n v="0"/>
    <m/>
    <m/>
    <m/>
    <m/>
    <m/>
    <n v="2E-3"/>
    <m/>
    <n v="2E-3"/>
    <m/>
    <m/>
    <m/>
    <m/>
    <m/>
    <s v="AUD"/>
    <s v="13565704Waste - General [t] - Scope 3"/>
    <n v="13565704"/>
  </r>
  <r>
    <d v="2019-07-01T00:00:00"/>
    <d v="2021-06-30T00:00:00"/>
    <s v="Telstra"/>
    <s v="NON-NETWORK"/>
    <s v="NON-NETWORK"/>
    <s v="VIC"/>
    <s v="Australia"/>
    <s v="Melbourne"/>
    <s v="MELBOURNE CONF 242 EXHIBITION ST"/>
    <n v="423031591800"/>
    <s v="Waste"/>
    <x v="1"/>
    <x v="2"/>
    <s v="Account"/>
    <s v="Remondis Polystyrene - Landfill"/>
    <m/>
    <s v="423031591800_WPOLYSTYR"/>
    <s v="POLYSTYRENE - LANDFILL"/>
    <s v="Remondis"/>
    <m/>
    <m/>
    <d v="2020-09-01T00:00:00"/>
    <d v="2020-07-01T00:00:00"/>
    <s v="FY21"/>
    <s v="t"/>
    <n v="0"/>
    <n v="1.2E-2"/>
    <n v="0"/>
    <n v="1.2E-2"/>
    <n v="0"/>
    <n v="2"/>
    <n v="0"/>
    <n v="2"/>
    <n v="0"/>
    <n v="100"/>
    <n v="0"/>
    <s v="Consolidation"/>
    <s v="CO2e and Base Measure"/>
    <n v="100"/>
    <n v="100"/>
    <n v="0.01"/>
    <m/>
    <m/>
    <m/>
    <m/>
    <m/>
    <n v="1.5599999999999999E-2"/>
    <m/>
    <n v="1.5599999999999999E-2"/>
    <m/>
    <m/>
    <m/>
    <m/>
    <m/>
    <s v="AUD"/>
    <s v="13565705Waste - General [t] - Scope 3"/>
    <n v="13565705"/>
  </r>
  <r>
    <d v="2019-07-01T00:00:00"/>
    <d v="2021-06-30T00:00:00"/>
    <s v="Telstra"/>
    <s v="NON-NETWORK"/>
    <s v="NON-NETWORK"/>
    <s v="VIC"/>
    <s v="Australia"/>
    <s v="Melbourne"/>
    <s v="MELBOURNE CONF 242 EXHIBITION ST"/>
    <n v="423031591800"/>
    <s v="Waste"/>
    <x v="1"/>
    <x v="2"/>
    <s v="Account"/>
    <s v="Remondis Polystyrene - Landfill"/>
    <m/>
    <s v="423031591800_WPOLYSTYR"/>
    <s v="POLYSTYRENE - LANDFILL"/>
    <s v="Remondis"/>
    <m/>
    <m/>
    <d v="2020-09-01T00:00:00"/>
    <d v="2020-08-01T00:00:00"/>
    <s v="FY21"/>
    <s v="t"/>
    <n v="0"/>
    <n v="6.0000000000000001E-3"/>
    <n v="0"/>
    <n v="6.0000000000000001E-3"/>
    <n v="0"/>
    <n v="1"/>
    <n v="0"/>
    <n v="1"/>
    <n v="0"/>
    <n v="100"/>
    <n v="0"/>
    <s v="Consolidation"/>
    <s v="CO2e and Base Measure"/>
    <n v="100"/>
    <n v="100"/>
    <n v="0.01"/>
    <m/>
    <m/>
    <m/>
    <m/>
    <m/>
    <n v="7.7999999999999996E-3"/>
    <m/>
    <n v="7.7999999999999996E-3"/>
    <m/>
    <m/>
    <m/>
    <m/>
    <m/>
    <s v="AUD"/>
    <s v="13565705Waste - General [t] - Scope 3"/>
    <n v="13565705"/>
  </r>
  <r>
    <d v="2019-07-01T00:00:00"/>
    <d v="2021-06-30T00:00:00"/>
    <s v="Telstra"/>
    <s v="NON-NETWORK"/>
    <s v="NON-NETWORK"/>
    <s v="VIC"/>
    <s v="Australia"/>
    <s v="Melbourne"/>
    <s v="MELBOURNE CONF 242 EXHIBITION ST"/>
    <n v="423031591800"/>
    <s v="Waste"/>
    <x v="1"/>
    <x v="2"/>
    <s v="Account"/>
    <s v="Remondis Polystyrene - Landfill"/>
    <m/>
    <s v="423031591800_WPOLYSTYR"/>
    <s v="POLYSTYRENE - LANDFILL"/>
    <s v="Remondis"/>
    <m/>
    <m/>
    <d v="2020-09-01T00:00:00"/>
    <d v="2020-09-01T00:00:00"/>
    <s v="FY21"/>
    <s v="t"/>
    <n v="0"/>
    <n v="0"/>
    <n v="2.9999999999999997E-4"/>
    <n v="2.9999999999999997E-4"/>
    <n v="0"/>
    <n v="0"/>
    <n v="1"/>
    <n v="1"/>
    <n v="0"/>
    <n v="0"/>
    <n v="100"/>
    <s v="Consolidation"/>
    <s v="CO2e and Base Measure"/>
    <n v="100"/>
    <n v="100"/>
    <n v="0"/>
    <m/>
    <m/>
    <m/>
    <m/>
    <m/>
    <n v="4.0000000000000002E-4"/>
    <m/>
    <n v="4.0000000000000002E-4"/>
    <m/>
    <m/>
    <m/>
    <m/>
    <m/>
    <s v="AUD"/>
    <s v="13565705Waste - General [t] - Scope 3"/>
    <n v="13565705"/>
  </r>
  <r>
    <d v="2019-07-01T00:00:00"/>
    <d v="2021-06-30T00:00:00"/>
    <s v="Telstra"/>
    <s v="NON-NETWORK"/>
    <s v="NON-NETWORK"/>
    <s v="VIC"/>
    <s v="Australia"/>
    <s v="Melbourne"/>
    <s v="MELBOURNE CONF 242 EXHIBITION ST"/>
    <n v="423031591800"/>
    <s v="Recycled Waste"/>
    <x v="0"/>
    <x v="0"/>
    <s v="Account"/>
    <s v="Remondis Security Destruction"/>
    <m/>
    <s v="423031591800_RPAPSECUR"/>
    <s v="SECURITY DESTRUCTION"/>
    <s v="Remondis"/>
    <m/>
    <m/>
    <d v="2021-01-01T00:00:00"/>
    <d v="2020-12-01T00:00:00"/>
    <s v="FY21"/>
    <s v="t"/>
    <n v="0"/>
    <n v="0.59040000000000004"/>
    <n v="0"/>
    <n v="0.59040000000000004"/>
    <n v="0"/>
    <n v="4"/>
    <n v="0"/>
    <n v="4"/>
    <n v="0"/>
    <n v="100"/>
    <n v="0"/>
    <s v="Consolidation"/>
    <s v="CO2e and Base Measure"/>
    <n v="100"/>
    <n v="100"/>
    <n v="0.59"/>
    <m/>
    <m/>
    <m/>
    <m/>
    <m/>
    <m/>
    <n v="0"/>
    <m/>
    <m/>
    <m/>
    <m/>
    <m/>
    <m/>
    <s v="AUD"/>
    <s v="13565706Waste Recycled - Cardboard [t]"/>
    <n v="13565706"/>
  </r>
  <r>
    <d v="2019-07-01T00:00:00"/>
    <d v="2021-06-30T00:00:00"/>
    <s v="Telstra"/>
    <s v="NON-NETWORK"/>
    <s v="NON-NETWORK"/>
    <s v="VIC"/>
    <s v="Australia"/>
    <s v="Melbourne"/>
    <s v="MELBOURNE CONF 242 EXHIBITION ST"/>
    <n v="423031591800"/>
    <s v="Recycled Waste"/>
    <x v="0"/>
    <x v="0"/>
    <s v="Account"/>
    <s v="Remondis Security Destruction"/>
    <m/>
    <s v="423031591800_RPAPSECUR"/>
    <s v="SECURITY DESTRUCTION"/>
    <s v="Remondis"/>
    <m/>
    <m/>
    <d v="2021-01-01T00:00:00"/>
    <d v="2021-01-01T00:00:00"/>
    <s v="FY21"/>
    <s v="t"/>
    <n v="0"/>
    <n v="0"/>
    <n v="3.0999999999999999E-3"/>
    <n v="3.0999999999999999E-3"/>
    <n v="0"/>
    <n v="0"/>
    <n v="1"/>
    <n v="1"/>
    <n v="0"/>
    <n v="0"/>
    <n v="100"/>
    <s v="Consolidation"/>
    <s v="CO2e and Base Measure"/>
    <n v="100"/>
    <n v="100"/>
    <n v="0"/>
    <m/>
    <m/>
    <m/>
    <m/>
    <m/>
    <m/>
    <n v="0"/>
    <m/>
    <m/>
    <m/>
    <m/>
    <m/>
    <m/>
    <s v="AUD"/>
    <s v="13565706Waste Recycled - Cardboard [t]"/>
    <n v="13565706"/>
  </r>
  <r>
    <d v="2019-07-01T00:00:00"/>
    <d v="2021-06-30T00:00:00"/>
    <s v="Telstra"/>
    <s v="NETWORK"/>
    <s v="Network - InfraCo"/>
    <s v="VIC"/>
    <s v="Australia"/>
    <s v="Melton"/>
    <s v="MELTON EXCHANGE"/>
    <n v="423030631000"/>
    <s v="Waste"/>
    <x v="1"/>
    <x v="2"/>
    <s v="Account"/>
    <s v="Remondis General Waste"/>
    <m/>
    <s v="423030631000_WGENERALW"/>
    <s v="GENERAL WASTE"/>
    <s v="Remondis"/>
    <m/>
    <m/>
    <d v="2020-10-01T00:00:00"/>
    <d v="2020-07-01T00:00:00"/>
    <s v="FY21"/>
    <s v="t"/>
    <n v="0"/>
    <n v="0.78"/>
    <n v="0"/>
    <n v="0.78"/>
    <n v="0"/>
    <n v="3"/>
    <n v="0"/>
    <n v="3"/>
    <n v="0"/>
    <n v="100"/>
    <n v="0"/>
    <s v="Consolidation"/>
    <s v="CO2e and Base Measure"/>
    <n v="100"/>
    <n v="100"/>
    <n v="0.78"/>
    <m/>
    <m/>
    <m/>
    <m/>
    <m/>
    <n v="1.014"/>
    <m/>
    <n v="1.014"/>
    <m/>
    <m/>
    <m/>
    <m/>
    <m/>
    <s v="AUD"/>
    <s v="13565020Waste - General [t] - Scope 3"/>
    <n v="13565020"/>
  </r>
  <r>
    <d v="2019-07-01T00:00:00"/>
    <d v="2021-06-30T00:00:00"/>
    <s v="Telstra"/>
    <s v="NETWORK"/>
    <s v="Network - InfraCo"/>
    <s v="VIC"/>
    <s v="Australia"/>
    <s v="Melton"/>
    <s v="MELTON EXCHANGE"/>
    <n v="423030631000"/>
    <s v="Waste"/>
    <x v="1"/>
    <x v="2"/>
    <s v="Account"/>
    <s v="Remondis General Waste"/>
    <m/>
    <s v="423030631000_WGENERALW"/>
    <s v="GENERAL WASTE"/>
    <s v="Remondis"/>
    <m/>
    <m/>
    <d v="2020-10-01T00:00:00"/>
    <d v="2020-08-01T00:00:00"/>
    <s v="FY21"/>
    <s v="t"/>
    <n v="0"/>
    <n v="0.58499999999999996"/>
    <n v="0"/>
    <n v="0.58499999999999996"/>
    <n v="0"/>
    <n v="2"/>
    <n v="0"/>
    <n v="2"/>
    <n v="0"/>
    <n v="100"/>
    <n v="0"/>
    <s v="Consolidation"/>
    <s v="CO2e and Base Measure"/>
    <n v="100"/>
    <n v="100"/>
    <n v="0.59"/>
    <m/>
    <m/>
    <m/>
    <m/>
    <m/>
    <n v="0.76049999999999995"/>
    <m/>
    <n v="0.76049999999999995"/>
    <m/>
    <m/>
    <m/>
    <m/>
    <m/>
    <s v="AUD"/>
    <s v="13565020Waste - General [t] - Scope 3"/>
    <n v="13565020"/>
  </r>
  <r>
    <d v="2019-07-01T00:00:00"/>
    <d v="2021-06-30T00:00:00"/>
    <s v="Telstra"/>
    <s v="NETWORK"/>
    <s v="Network - InfraCo"/>
    <s v="VIC"/>
    <s v="Australia"/>
    <s v="Melton"/>
    <s v="MELTON EXCHANGE"/>
    <n v="423030631000"/>
    <s v="Waste"/>
    <x v="1"/>
    <x v="2"/>
    <s v="Account"/>
    <s v="Remondis General Waste"/>
    <m/>
    <s v="423030631000_WGENERALW"/>
    <s v="GENERAL WASTE"/>
    <s v="Remondis"/>
    <m/>
    <m/>
    <d v="2020-10-01T00:00:00"/>
    <d v="2020-09-01T00:00:00"/>
    <s v="FY21"/>
    <s v="t"/>
    <n v="0"/>
    <n v="0.39"/>
    <n v="0"/>
    <n v="0.39"/>
    <n v="0"/>
    <n v="1"/>
    <n v="0"/>
    <n v="1"/>
    <n v="0"/>
    <n v="100"/>
    <n v="0"/>
    <s v="Consolidation"/>
    <s v="CO2e and Base Measure"/>
    <n v="100"/>
    <n v="100"/>
    <n v="0.39"/>
    <m/>
    <m/>
    <m/>
    <m/>
    <m/>
    <n v="0.50700000000000001"/>
    <m/>
    <n v="0.50700000000000001"/>
    <m/>
    <m/>
    <m/>
    <m/>
    <m/>
    <s v="AUD"/>
    <s v="13565020Waste - General [t] - Scope 3"/>
    <n v="13565020"/>
  </r>
  <r>
    <d v="2019-07-01T00:00:00"/>
    <d v="2021-06-30T00:00:00"/>
    <s v="Telstra"/>
    <s v="NETWORK"/>
    <s v="Network - InfraCo"/>
    <s v="VIC"/>
    <s v="Australia"/>
    <s v="Melton"/>
    <s v="MELTON EXCHANGE"/>
    <n v="423030631000"/>
    <s v="Waste"/>
    <x v="1"/>
    <x v="2"/>
    <s v="Account"/>
    <s v="Remondis General Waste"/>
    <m/>
    <s v="423030631000_WGENERALW"/>
    <s v="GENERAL WASTE"/>
    <s v="Remondis"/>
    <m/>
    <m/>
    <d v="2020-10-01T00:00:00"/>
    <d v="2020-10-01T00:00:00"/>
    <s v="FY21"/>
    <s v="t"/>
    <n v="0"/>
    <n v="0"/>
    <n v="1.77E-2"/>
    <n v="1.77E-2"/>
    <n v="0"/>
    <n v="0"/>
    <n v="1"/>
    <n v="1"/>
    <n v="0"/>
    <n v="0"/>
    <n v="100"/>
    <s v="Consolidation"/>
    <s v="CO2e and Base Measure"/>
    <n v="100"/>
    <n v="100"/>
    <n v="0.02"/>
    <m/>
    <m/>
    <m/>
    <m/>
    <m/>
    <n v="2.3E-2"/>
    <m/>
    <n v="2.3E-2"/>
    <m/>
    <m/>
    <m/>
    <m/>
    <m/>
    <s v="AUD"/>
    <s v="13565020Waste - General [t] - Scope 3"/>
    <n v="13565020"/>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1-01T00:00:00"/>
    <s v="FY21"/>
    <s v="t"/>
    <n v="0.35"/>
    <n v="0"/>
    <n v="0"/>
    <n v="0.35"/>
    <n v="1"/>
    <n v="0"/>
    <n v="0"/>
    <n v="1"/>
    <n v="100"/>
    <n v="0"/>
    <n v="0"/>
    <s v="Consolidation"/>
    <s v="CO2e and Base Measure"/>
    <n v="100"/>
    <n v="100"/>
    <n v="0.35"/>
    <m/>
    <m/>
    <m/>
    <m/>
    <m/>
    <n v="0.45500000000000002"/>
    <m/>
    <n v="0.45500000000000002"/>
    <m/>
    <m/>
    <m/>
    <m/>
    <m/>
    <s v="AUD"/>
    <s v="13634446Waste - General [t] - Scope 3"/>
    <n v="13634446"/>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2-01T00:00:00"/>
    <s v="FY21"/>
    <s v="t"/>
    <n v="0.14699999999999999"/>
    <n v="0"/>
    <n v="0"/>
    <n v="0.14699999999999999"/>
    <n v="1"/>
    <n v="0"/>
    <n v="0"/>
    <n v="1"/>
    <n v="100"/>
    <n v="0"/>
    <n v="0"/>
    <s v="Consolidation"/>
    <s v="CO2e and Base Measure"/>
    <n v="100"/>
    <n v="100"/>
    <n v="0.15"/>
    <m/>
    <m/>
    <m/>
    <m/>
    <m/>
    <n v="0.19109999999999999"/>
    <m/>
    <n v="0.19109999999999999"/>
    <m/>
    <m/>
    <m/>
    <m/>
    <m/>
    <s v="AUD"/>
    <s v="13634446Waste - General [t] - Scope 3"/>
    <n v="13634446"/>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3-01T00:00:00"/>
    <s v="FY21"/>
    <s v="t"/>
    <n v="0.16300000000000001"/>
    <n v="0"/>
    <n v="0"/>
    <n v="0.16300000000000001"/>
    <n v="1"/>
    <n v="0"/>
    <n v="0"/>
    <n v="1"/>
    <n v="100"/>
    <n v="0"/>
    <n v="0"/>
    <s v="Consolidation"/>
    <s v="CO2e and Base Measure"/>
    <n v="100"/>
    <n v="100"/>
    <n v="0.16"/>
    <m/>
    <m/>
    <m/>
    <m/>
    <m/>
    <n v="0.21190000000000001"/>
    <m/>
    <n v="0.21190000000000001"/>
    <m/>
    <m/>
    <m/>
    <m/>
    <m/>
    <s v="AUD"/>
    <s v="13634446Waste - General [t] - Scope 3"/>
    <n v="13634446"/>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4-01T00:00:00"/>
    <s v="FY21"/>
    <s v="t"/>
    <n v="0"/>
    <n v="0"/>
    <n v="0.222"/>
    <n v="0.222"/>
    <n v="0"/>
    <n v="0"/>
    <n v="30"/>
    <n v="30"/>
    <n v="0"/>
    <n v="0"/>
    <n v="100"/>
    <s v="Consolidation"/>
    <s v="CO2e and Base Measure"/>
    <n v="100"/>
    <n v="100"/>
    <n v="0.22"/>
    <m/>
    <m/>
    <m/>
    <m/>
    <m/>
    <n v="0.28860000000000002"/>
    <m/>
    <n v="0.28860000000000002"/>
    <m/>
    <m/>
    <m/>
    <m/>
    <m/>
    <s v="AUD"/>
    <s v="13634446Waste - General [t] - Scope 3"/>
    <n v="13634446"/>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5-01T00:00:00"/>
    <s v="FY21"/>
    <s v="t"/>
    <n v="0"/>
    <n v="0"/>
    <n v="0.22939999999999999"/>
    <n v="0.22939999999999999"/>
    <n v="0"/>
    <n v="0"/>
    <n v="31"/>
    <n v="31"/>
    <n v="0"/>
    <n v="0"/>
    <n v="100"/>
    <s v="Consolidation"/>
    <s v="CO2e and Base Measure"/>
    <n v="100"/>
    <n v="100"/>
    <n v="0.23"/>
    <m/>
    <m/>
    <m/>
    <m/>
    <m/>
    <n v="0.29820000000000002"/>
    <m/>
    <n v="0.29820000000000002"/>
    <m/>
    <m/>
    <m/>
    <m/>
    <m/>
    <s v="AUD"/>
    <s v="13634446Waste - General [t] - Scope 3"/>
    <n v="13634446"/>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07-01T00:00:00"/>
    <s v="FY21"/>
    <s v="t"/>
    <n v="0.19500000000000001"/>
    <n v="0"/>
    <n v="0"/>
    <n v="0.19500000000000001"/>
    <n v="2"/>
    <n v="0"/>
    <n v="0"/>
    <n v="2"/>
    <n v="100"/>
    <n v="0"/>
    <n v="0"/>
    <s v="Consolidation"/>
    <s v="CO2e and Base Measure"/>
    <n v="100"/>
    <n v="100"/>
    <n v="0.2"/>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08-01T00:00:00"/>
    <s v="FY21"/>
    <s v="t"/>
    <n v="7.0000000000000007E-2"/>
    <n v="0"/>
    <n v="0"/>
    <n v="7.0000000000000007E-2"/>
    <n v="2"/>
    <n v="0"/>
    <n v="0"/>
    <n v="2"/>
    <n v="100"/>
    <n v="0"/>
    <n v="0"/>
    <s v="Consolidation"/>
    <s v="CO2e and Base Measure"/>
    <n v="100"/>
    <n v="100"/>
    <n v="7.0000000000000007E-2"/>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09-01T00:00:00"/>
    <s v="FY21"/>
    <s v="t"/>
    <n v="0.05"/>
    <n v="6.3E-2"/>
    <n v="0"/>
    <n v="0.113"/>
    <n v="1"/>
    <n v="1"/>
    <n v="0"/>
    <n v="2"/>
    <n v="44.24"/>
    <n v="55.75"/>
    <n v="0"/>
    <s v="Consolidation"/>
    <s v="CO2e and Base Measure"/>
    <n v="100"/>
    <n v="100"/>
    <n v="0.11"/>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10-01T00:00:00"/>
    <s v="FY21"/>
    <s v="t"/>
    <n v="3.5000000000000003E-2"/>
    <n v="0"/>
    <n v="0"/>
    <n v="3.5000000000000003E-2"/>
    <n v="2"/>
    <n v="0"/>
    <n v="0"/>
    <n v="2"/>
    <n v="100"/>
    <n v="0"/>
    <n v="0"/>
    <s v="Consolidation"/>
    <s v="CO2e and Base Measure"/>
    <n v="100"/>
    <n v="100"/>
    <n v="0.04"/>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11-01T00:00:00"/>
    <s v="FY21"/>
    <s v="t"/>
    <n v="0.23499999999999999"/>
    <n v="0"/>
    <n v="0"/>
    <n v="0.23499999999999999"/>
    <n v="2"/>
    <n v="0"/>
    <n v="0"/>
    <n v="2"/>
    <n v="100"/>
    <n v="0"/>
    <n v="0"/>
    <s v="Consolidation"/>
    <s v="CO2e and Base Measure"/>
    <n v="100"/>
    <n v="100"/>
    <n v="0.24"/>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342Waste Recycled - Cardboard [t]"/>
    <n v="13564342"/>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07-01T00:00:00"/>
    <s v="FY21"/>
    <s v="t"/>
    <n v="0.91"/>
    <n v="0"/>
    <n v="0"/>
    <n v="0.91"/>
    <n v="2"/>
    <n v="0"/>
    <n v="0"/>
    <n v="2"/>
    <n v="100"/>
    <n v="0"/>
    <n v="0"/>
    <s v="Consolidation"/>
    <s v="CO2e and Base Measure"/>
    <n v="100"/>
    <n v="100"/>
    <n v="0.91"/>
    <m/>
    <m/>
    <m/>
    <m/>
    <m/>
    <n v="1.1830000000000001"/>
    <m/>
    <n v="1.1830000000000001"/>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08-01T00:00:00"/>
    <s v="FY21"/>
    <s v="t"/>
    <n v="0.56000000000000005"/>
    <n v="0"/>
    <n v="0"/>
    <n v="0.56000000000000005"/>
    <n v="2"/>
    <n v="0"/>
    <n v="0"/>
    <n v="2"/>
    <n v="100"/>
    <n v="0"/>
    <n v="0"/>
    <s v="Consolidation"/>
    <s v="CO2e and Base Measure"/>
    <n v="100"/>
    <n v="100"/>
    <n v="0.56000000000000005"/>
    <m/>
    <m/>
    <m/>
    <m/>
    <m/>
    <n v="0.72799999999999998"/>
    <m/>
    <n v="0.72799999999999998"/>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09-01T00:00:00"/>
    <s v="FY21"/>
    <s v="t"/>
    <n v="2.4750000000000001"/>
    <n v="0.8"/>
    <n v="0"/>
    <n v="3.2749999999999999"/>
    <n v="3"/>
    <n v="1"/>
    <n v="0"/>
    <n v="4"/>
    <n v="75.569999999999993"/>
    <n v="24.42"/>
    <n v="0"/>
    <s v="Consolidation"/>
    <s v="CO2e and Base Measure"/>
    <n v="100"/>
    <n v="100"/>
    <n v="3.28"/>
    <m/>
    <m/>
    <m/>
    <m/>
    <m/>
    <n v="4.2575000000000003"/>
    <m/>
    <n v="4.2575000000000003"/>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10-01T00:00:00"/>
    <s v="FY21"/>
    <s v="t"/>
    <n v="1.7549999999999999"/>
    <n v="0"/>
    <n v="0"/>
    <n v="1.7549999999999999"/>
    <n v="2"/>
    <n v="0"/>
    <n v="0"/>
    <n v="2"/>
    <n v="100"/>
    <n v="0"/>
    <n v="0"/>
    <s v="Consolidation"/>
    <s v="CO2e and Base Measure"/>
    <n v="100"/>
    <n v="100"/>
    <n v="1.76"/>
    <m/>
    <m/>
    <m/>
    <m/>
    <m/>
    <n v="2.2814999999999999"/>
    <m/>
    <n v="2.2814999999999999"/>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11-01T00:00:00"/>
    <s v="FY21"/>
    <s v="t"/>
    <n v="0.89500000000000002"/>
    <n v="0"/>
    <n v="0"/>
    <n v="0.89500000000000002"/>
    <n v="2"/>
    <n v="0"/>
    <n v="0"/>
    <n v="2"/>
    <n v="100"/>
    <n v="0"/>
    <n v="0"/>
    <s v="Consolidation"/>
    <s v="CO2e and Base Measure"/>
    <n v="100"/>
    <n v="100"/>
    <n v="0.9"/>
    <m/>
    <m/>
    <m/>
    <m/>
    <m/>
    <n v="1.1635"/>
    <m/>
    <n v="1.1635"/>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1-01-01T00:00:00"/>
    <s v="FY21"/>
    <s v="t"/>
    <n v="0"/>
    <n v="0"/>
    <n v="3.8300000000000001E-2"/>
    <n v="3.8300000000000001E-2"/>
    <n v="0"/>
    <n v="0"/>
    <n v="1"/>
    <n v="1"/>
    <n v="0"/>
    <n v="0"/>
    <n v="100"/>
    <s v="Consolidation"/>
    <s v="CO2e and Base Measure"/>
    <n v="100"/>
    <n v="100"/>
    <n v="0.04"/>
    <m/>
    <m/>
    <m/>
    <m/>
    <m/>
    <n v="4.9799999999999997E-2"/>
    <m/>
    <n v="4.9799999999999997E-2"/>
    <m/>
    <m/>
    <m/>
    <m/>
    <m/>
    <s v="AUD"/>
    <s v="13564343Waste - General [t] - Scope 3"/>
    <n v="13564343"/>
  </r>
  <r>
    <d v="2019-07-01T00:00:00"/>
    <d v="2021-06-30T00:00:00"/>
    <s v="Telstra"/>
    <s v="NETWORK"/>
    <s v="Network - InfraCo"/>
    <s v="NSW"/>
    <s v="Australia"/>
    <s v="Menai"/>
    <s v="MENAI EXCHANGE"/>
    <n v="423030279100"/>
    <s v="Waste"/>
    <x v="1"/>
    <x v="2"/>
    <s v="Account"/>
    <s v="CLEANAWAY General"/>
    <m/>
    <s v="44022_Landfill_General"/>
    <s v="General"/>
    <s v="Cleanaway"/>
    <m/>
    <d v="2021-02-01T00:00:00"/>
    <m/>
    <d v="2021-02-01T00:00:00"/>
    <s v="FY21"/>
    <s v="t"/>
    <n v="0.82199999999999995"/>
    <n v="0"/>
    <n v="0"/>
    <n v="0.82199999999999995"/>
    <n v="2"/>
    <n v="0"/>
    <n v="0"/>
    <n v="2"/>
    <n v="100"/>
    <n v="0"/>
    <n v="0"/>
    <s v="Consolidation"/>
    <s v="CO2e and Base Measure"/>
    <n v="100"/>
    <n v="100"/>
    <n v="0.82"/>
    <m/>
    <m/>
    <m/>
    <m/>
    <m/>
    <n v="1.0686"/>
    <m/>
    <n v="1.0686"/>
    <m/>
    <m/>
    <m/>
    <m/>
    <m/>
    <s v="AUD"/>
    <s v="13639899Waste - General [t] - Scope 3"/>
    <n v="13639899"/>
  </r>
  <r>
    <d v="2019-07-01T00:00:00"/>
    <d v="2021-06-30T00:00:00"/>
    <s v="Telstra"/>
    <s v="NETWORK"/>
    <s v="Network - InfraCo"/>
    <s v="NSW"/>
    <s v="Australia"/>
    <s v="Menai"/>
    <s v="MENAI EXCHANGE"/>
    <n v="423030279100"/>
    <s v="Waste"/>
    <x v="1"/>
    <x v="2"/>
    <s v="Account"/>
    <s v="CLEANAWAY General"/>
    <m/>
    <s v="44022_Landfill_General"/>
    <s v="General"/>
    <s v="Cleanaway"/>
    <m/>
    <d v="2021-02-01T00:00:00"/>
    <m/>
    <d v="2021-03-01T00:00:00"/>
    <s v="FY21"/>
    <s v="t"/>
    <n v="3.9E-2"/>
    <n v="0"/>
    <n v="0"/>
    <n v="3.9E-2"/>
    <n v="1"/>
    <n v="0"/>
    <n v="0"/>
    <n v="1"/>
    <n v="100"/>
    <n v="0"/>
    <n v="0"/>
    <s v="Consolidation"/>
    <s v="CO2e and Base Measure"/>
    <n v="100"/>
    <n v="100"/>
    <n v="0.04"/>
    <m/>
    <m/>
    <m/>
    <m/>
    <m/>
    <n v="5.0700000000000002E-2"/>
    <m/>
    <n v="5.0700000000000002E-2"/>
    <m/>
    <m/>
    <m/>
    <m/>
    <m/>
    <s v="AUD"/>
    <s v="13639899Waste - General [t] - Scope 3"/>
    <n v="13639899"/>
  </r>
  <r>
    <d v="2019-07-01T00:00:00"/>
    <d v="2021-06-30T00:00:00"/>
    <s v="Telstra"/>
    <s v="NETWORK"/>
    <s v="Network - InfraCo"/>
    <s v="NSW"/>
    <s v="Australia"/>
    <s v="Menai"/>
    <s v="MENAI EXCHANGE"/>
    <n v="423030279100"/>
    <s v="Waste"/>
    <x v="1"/>
    <x v="2"/>
    <s v="Account"/>
    <s v="CLEANAWAY General"/>
    <m/>
    <s v="44022_Landfill_General"/>
    <s v="General"/>
    <s v="Cleanaway"/>
    <m/>
    <d v="2021-02-01T00:00:00"/>
    <m/>
    <d v="2021-04-01T00:00:00"/>
    <s v="FY21"/>
    <s v="t"/>
    <n v="0"/>
    <n v="0"/>
    <n v="0.44400000000000001"/>
    <n v="0.44400000000000001"/>
    <n v="0"/>
    <n v="0"/>
    <n v="30"/>
    <n v="30"/>
    <n v="0"/>
    <n v="0"/>
    <n v="100"/>
    <s v="Consolidation"/>
    <s v="CO2e and Base Measure"/>
    <n v="100"/>
    <n v="100"/>
    <n v="0.44"/>
    <m/>
    <m/>
    <m/>
    <m/>
    <m/>
    <n v="0.57720000000000005"/>
    <m/>
    <n v="0.57720000000000005"/>
    <m/>
    <m/>
    <m/>
    <m/>
    <m/>
    <s v="AUD"/>
    <s v="13639899Waste - General [t] - Scope 3"/>
    <n v="13639899"/>
  </r>
  <r>
    <d v="2019-07-01T00:00:00"/>
    <d v="2021-06-30T00:00:00"/>
    <s v="Telstra"/>
    <s v="NETWORK"/>
    <s v="Network - InfraCo"/>
    <s v="NSW"/>
    <s v="Australia"/>
    <s v="Menai"/>
    <s v="MENAI EXCHANGE"/>
    <n v="423030279100"/>
    <s v="Waste"/>
    <x v="1"/>
    <x v="2"/>
    <s v="Account"/>
    <s v="CLEANAWAY General"/>
    <m/>
    <s v="44022_Landfill_General"/>
    <s v="General"/>
    <s v="Cleanaway"/>
    <m/>
    <d v="2021-02-01T00:00:00"/>
    <m/>
    <d v="2021-05-01T00:00:00"/>
    <s v="FY21"/>
    <s v="t"/>
    <n v="0"/>
    <n v="0"/>
    <n v="0.45879999999999999"/>
    <n v="0.45879999999999999"/>
    <n v="0"/>
    <n v="0"/>
    <n v="31"/>
    <n v="31"/>
    <n v="0"/>
    <n v="0"/>
    <n v="100"/>
    <s v="Consolidation"/>
    <s v="CO2e and Base Measure"/>
    <n v="100"/>
    <n v="100"/>
    <n v="0.46"/>
    <m/>
    <m/>
    <m/>
    <m/>
    <m/>
    <n v="0.59640000000000004"/>
    <m/>
    <n v="0.59640000000000004"/>
    <m/>
    <m/>
    <m/>
    <m/>
    <m/>
    <s v="AUD"/>
    <s v="13639899Waste - General [t] - Scope 3"/>
    <n v="1363989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07-01T00:00:00"/>
    <s v="FY21"/>
    <s v="t"/>
    <n v="0"/>
    <n v="7.22E-2"/>
    <n v="0"/>
    <n v="7.22E-2"/>
    <n v="0"/>
    <n v="1"/>
    <n v="0"/>
    <n v="1"/>
    <n v="0"/>
    <n v="100"/>
    <n v="0"/>
    <s v="Consolidation"/>
    <s v="CO2e and Base Measure"/>
    <n v="100"/>
    <n v="100"/>
    <n v="7.0000000000000007E-2"/>
    <m/>
    <m/>
    <m/>
    <m/>
    <m/>
    <n v="9.3899999999999997E-2"/>
    <m/>
    <n v="9.3899999999999997E-2"/>
    <m/>
    <m/>
    <m/>
    <m/>
    <m/>
    <s v="AUD"/>
    <s v="13564349Waste - General [t] - Scope 3"/>
    <n v="1356434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08-01T00:00:00"/>
    <s v="FY21"/>
    <s v="t"/>
    <n v="0"/>
    <n v="0.1444"/>
    <n v="0"/>
    <n v="0.1444"/>
    <n v="0"/>
    <n v="2"/>
    <n v="0"/>
    <n v="2"/>
    <n v="0"/>
    <n v="100"/>
    <n v="0"/>
    <s v="Consolidation"/>
    <s v="CO2e and Base Measure"/>
    <n v="100"/>
    <n v="100"/>
    <n v="0.14000000000000001"/>
    <m/>
    <m/>
    <m/>
    <m/>
    <m/>
    <n v="0.18770000000000001"/>
    <m/>
    <n v="0.18770000000000001"/>
    <m/>
    <m/>
    <m/>
    <m/>
    <m/>
    <s v="AUD"/>
    <s v="13564349Waste - General [t] - Scope 3"/>
    <n v="1356434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09-01T00:00:00"/>
    <s v="FY21"/>
    <s v="t"/>
    <n v="0"/>
    <n v="7.22E-2"/>
    <n v="0"/>
    <n v="7.22E-2"/>
    <n v="0"/>
    <n v="1"/>
    <n v="0"/>
    <n v="1"/>
    <n v="0"/>
    <n v="100"/>
    <n v="0"/>
    <s v="Consolidation"/>
    <s v="CO2e and Base Measure"/>
    <n v="100"/>
    <n v="100"/>
    <n v="7.0000000000000007E-2"/>
    <m/>
    <m/>
    <m/>
    <m/>
    <m/>
    <n v="9.3899999999999997E-2"/>
    <m/>
    <n v="9.3899999999999997E-2"/>
    <m/>
    <m/>
    <m/>
    <m/>
    <m/>
    <s v="AUD"/>
    <s v="13564349Waste - General [t] - Scope 3"/>
    <n v="1356434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10-01T00:00:00"/>
    <s v="FY21"/>
    <s v="t"/>
    <n v="0"/>
    <n v="0.1444"/>
    <n v="0"/>
    <n v="0.1444"/>
    <n v="0"/>
    <n v="2"/>
    <n v="0"/>
    <n v="2"/>
    <n v="0"/>
    <n v="100"/>
    <n v="0"/>
    <s v="Consolidation"/>
    <s v="CO2e and Base Measure"/>
    <n v="100"/>
    <n v="100"/>
    <n v="0.14000000000000001"/>
    <m/>
    <m/>
    <m/>
    <m/>
    <m/>
    <n v="0.18770000000000001"/>
    <m/>
    <n v="0.18770000000000001"/>
    <m/>
    <m/>
    <m/>
    <m/>
    <m/>
    <s v="AUD"/>
    <s v="13564349Waste - General [t] - Scope 3"/>
    <n v="1356434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11-01T00:00:00"/>
    <s v="FY21"/>
    <s v="t"/>
    <n v="0"/>
    <n v="0"/>
    <n v="3.5999999999999999E-3"/>
    <n v="3.5999999999999999E-3"/>
    <n v="0"/>
    <n v="0"/>
    <n v="1"/>
    <n v="1"/>
    <n v="0"/>
    <n v="0"/>
    <n v="100"/>
    <s v="Consolidation"/>
    <s v="CO2e and Base Measure"/>
    <n v="100"/>
    <n v="100"/>
    <n v="0"/>
    <m/>
    <m/>
    <m/>
    <m/>
    <m/>
    <n v="4.7000000000000002E-3"/>
    <m/>
    <n v="4.7000000000000002E-3"/>
    <m/>
    <m/>
    <m/>
    <m/>
    <m/>
    <s v="AUD"/>
    <s v="13564349Waste - General [t] - Scope 3"/>
    <n v="13564349"/>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1-01T00:00:00"/>
    <s v="FY21"/>
    <s v="t"/>
    <n v="0"/>
    <n v="2.9700000000000001E-2"/>
    <n v="0"/>
    <n v="2.9700000000000001E-2"/>
    <n v="0"/>
    <n v="1"/>
    <n v="0"/>
    <n v="1"/>
    <n v="0"/>
    <n v="100"/>
    <n v="0"/>
    <s v="Consolidation"/>
    <s v="CO2e and Base Measure"/>
    <n v="100"/>
    <n v="100"/>
    <n v="0.03"/>
    <m/>
    <m/>
    <m/>
    <m/>
    <m/>
    <n v="3.8600000000000002E-2"/>
    <m/>
    <n v="3.8600000000000002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2-01T00:00:00"/>
    <s v="FY21"/>
    <s v="t"/>
    <n v="0"/>
    <n v="5.9400000000000001E-2"/>
    <n v="0"/>
    <n v="5.9400000000000001E-2"/>
    <n v="0"/>
    <n v="2"/>
    <n v="0"/>
    <n v="2"/>
    <n v="0"/>
    <n v="100"/>
    <n v="0"/>
    <s v="Consolidation"/>
    <s v="CO2e and Base Measure"/>
    <n v="100"/>
    <n v="100"/>
    <n v="0.06"/>
    <m/>
    <m/>
    <m/>
    <m/>
    <m/>
    <n v="7.7200000000000005E-2"/>
    <m/>
    <n v="7.7200000000000005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3-01T00:00:00"/>
    <s v="FY21"/>
    <s v="t"/>
    <n v="0"/>
    <n v="2.9700000000000001E-2"/>
    <n v="0"/>
    <n v="2.9700000000000001E-2"/>
    <n v="0"/>
    <n v="1"/>
    <n v="0"/>
    <n v="1"/>
    <n v="0"/>
    <n v="100"/>
    <n v="0"/>
    <s v="Consolidation"/>
    <s v="CO2e and Base Measure"/>
    <n v="100"/>
    <n v="100"/>
    <n v="0.03"/>
    <m/>
    <m/>
    <m/>
    <m/>
    <m/>
    <n v="3.8600000000000002E-2"/>
    <m/>
    <n v="3.8600000000000002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4-01T00:00:00"/>
    <s v="FY21"/>
    <s v="t"/>
    <n v="0"/>
    <n v="0"/>
    <n v="3.5999999999999997E-2"/>
    <n v="3.5999999999999997E-2"/>
    <n v="0"/>
    <n v="0"/>
    <n v="30"/>
    <n v="30"/>
    <n v="0"/>
    <n v="0"/>
    <n v="100"/>
    <s v="Consolidation"/>
    <s v="CO2e and Base Measure"/>
    <n v="100"/>
    <n v="100"/>
    <n v="0.04"/>
    <m/>
    <m/>
    <m/>
    <m/>
    <m/>
    <n v="4.6800000000000001E-2"/>
    <m/>
    <n v="4.6800000000000001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5-01T00:00:00"/>
    <s v="FY21"/>
    <s v="t"/>
    <n v="0"/>
    <n v="0"/>
    <n v="3.7199999999999997E-2"/>
    <n v="3.7199999999999997E-2"/>
    <n v="0"/>
    <n v="0"/>
    <n v="31"/>
    <n v="31"/>
    <n v="0"/>
    <n v="0"/>
    <n v="100"/>
    <s v="Consolidation"/>
    <s v="CO2e and Base Measure"/>
    <n v="100"/>
    <n v="100"/>
    <n v="0.04"/>
    <m/>
    <m/>
    <m/>
    <m/>
    <m/>
    <n v="4.8399999999999999E-2"/>
    <m/>
    <n v="4.8399999999999999E-2"/>
    <m/>
    <m/>
    <m/>
    <m/>
    <m/>
    <s v="AUD"/>
    <s v="13634172Waste - General [t] - Scope 3"/>
    <n v="13634172"/>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0-12-01T00:00:00"/>
    <s v="FY21"/>
    <s v="t"/>
    <n v="0"/>
    <n v="2.75E-2"/>
    <n v="0"/>
    <n v="2.75E-2"/>
    <n v="0"/>
    <n v="1"/>
    <n v="0"/>
    <n v="1"/>
    <n v="0"/>
    <n v="100"/>
    <n v="0"/>
    <s v="Consolidation"/>
    <s v="CO2e and Base Measure"/>
    <n v="100"/>
    <n v="100"/>
    <n v="0.03"/>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1-01T00:00:00"/>
    <s v="FY21"/>
    <s v="t"/>
    <n v="0"/>
    <n v="2.75E-2"/>
    <n v="0"/>
    <n v="2.75E-2"/>
    <n v="0"/>
    <n v="1"/>
    <n v="0"/>
    <n v="1"/>
    <n v="0"/>
    <n v="100"/>
    <n v="0"/>
    <s v="Consolidation"/>
    <s v="CO2e and Base Measure"/>
    <n v="100"/>
    <n v="100"/>
    <n v="0.03"/>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2-01T00:00:00"/>
    <s v="FY21"/>
    <s v="t"/>
    <n v="0"/>
    <n v="2.75E-2"/>
    <n v="0"/>
    <n v="2.75E-2"/>
    <n v="0"/>
    <n v="1"/>
    <n v="0"/>
    <n v="1"/>
    <n v="0"/>
    <n v="100"/>
    <n v="0"/>
    <s v="Consolidation"/>
    <s v="CO2e and Base Measure"/>
    <n v="100"/>
    <n v="100"/>
    <n v="0.03"/>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3-01T00:00:00"/>
    <s v="FY21"/>
    <s v="t"/>
    <n v="0"/>
    <n v="5.5E-2"/>
    <n v="0"/>
    <n v="5.5E-2"/>
    <n v="0"/>
    <n v="2"/>
    <n v="0"/>
    <n v="2"/>
    <n v="0"/>
    <n v="100"/>
    <n v="0"/>
    <s v="Consolidation"/>
    <s v="CO2e and Base Measure"/>
    <n v="100"/>
    <n v="100"/>
    <n v="0.06"/>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4-01T00:00:00"/>
    <s v="FY21"/>
    <s v="t"/>
    <n v="0"/>
    <n v="0"/>
    <n v="3.3000000000000002E-2"/>
    <n v="3.3000000000000002E-2"/>
    <n v="0"/>
    <n v="0"/>
    <n v="30"/>
    <n v="30"/>
    <n v="0"/>
    <n v="0"/>
    <n v="100"/>
    <s v="Consolidation"/>
    <s v="CO2e and Base Measure"/>
    <n v="100"/>
    <n v="100"/>
    <n v="0.03"/>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5-01T00:00:00"/>
    <s v="FY21"/>
    <s v="t"/>
    <n v="0"/>
    <n v="0"/>
    <n v="3.4099999999999998E-2"/>
    <n v="3.4099999999999998E-2"/>
    <n v="0"/>
    <n v="0"/>
    <n v="31"/>
    <n v="31"/>
    <n v="0"/>
    <n v="0"/>
    <n v="100"/>
    <s v="Consolidation"/>
    <s v="CO2e and Base Measure"/>
    <n v="100"/>
    <n v="100"/>
    <n v="0.03"/>
    <m/>
    <m/>
    <m/>
    <m/>
    <m/>
    <m/>
    <m/>
    <m/>
    <m/>
    <m/>
    <m/>
    <m/>
    <m/>
    <s v="AUD"/>
    <s v="13634173Waste Recycled - Paper and Cardboard [t]"/>
    <n v="13634173"/>
  </r>
  <r>
    <d v="2019-07-01T00:00:00"/>
    <d v="2021-06-30T00:00:00"/>
    <s v="Telstra"/>
    <s v="NETWORK"/>
    <s v="Network - InfraCo"/>
    <s v="VIC"/>
    <s v="Australia"/>
    <s v="Epping"/>
    <s v="MERNDA EXCHANGE"/>
    <n v="423030744100"/>
    <s v="Recycled Waste"/>
    <x v="0"/>
    <x v="5"/>
    <s v="Account"/>
    <s v="Remondis Construction &amp; Demolition - Recycled"/>
    <m/>
    <s v="423030744100_RCONSDEM"/>
    <s v="CONSTRUCTION &amp; DEMOLITION - RECYLED"/>
    <s v="Remondis"/>
    <m/>
    <m/>
    <d v="2020-11-01T00:00:00"/>
    <d v="2020-10-01T00:00:00"/>
    <s v="FY21"/>
    <s v="t"/>
    <n v="0"/>
    <n v="0.5"/>
    <n v="0"/>
    <n v="0.5"/>
    <n v="0"/>
    <n v="1"/>
    <n v="0"/>
    <n v="1"/>
    <n v="0"/>
    <n v="100"/>
    <n v="0"/>
    <s v="Consolidation"/>
    <s v="CO2e and Base Measure"/>
    <n v="100"/>
    <n v="100"/>
    <n v="0.5"/>
    <m/>
    <m/>
    <m/>
    <m/>
    <m/>
    <m/>
    <m/>
    <m/>
    <m/>
    <m/>
    <m/>
    <m/>
    <m/>
    <s v="AUD"/>
    <s v="13611166Waste Recycled - Construction and Demolition [t]"/>
    <n v="13611166"/>
  </r>
  <r>
    <d v="2019-07-01T00:00:00"/>
    <d v="2021-06-30T00:00:00"/>
    <s v="Telstra"/>
    <s v="NETWORK"/>
    <s v="Network - InfraCo"/>
    <s v="VIC"/>
    <s v="Australia"/>
    <s v="Epping"/>
    <s v="MERNDA EXCHANGE"/>
    <n v="423030744100"/>
    <s v="Recycled Waste"/>
    <x v="0"/>
    <x v="5"/>
    <s v="Account"/>
    <s v="Remondis Construction &amp; Demolition - Recycled"/>
    <m/>
    <s v="423030744100_RCONSDEM"/>
    <s v="CONSTRUCTION &amp; DEMOLITION - RECYLED"/>
    <s v="Remondis"/>
    <m/>
    <m/>
    <d v="2020-11-01T00:00:00"/>
    <d v="2020-11-01T00:00:00"/>
    <s v="FY21"/>
    <s v="t"/>
    <n v="0"/>
    <n v="0"/>
    <n v="1.67E-2"/>
    <n v="1.67E-2"/>
    <n v="0"/>
    <n v="0"/>
    <n v="1"/>
    <n v="1"/>
    <n v="0"/>
    <n v="0"/>
    <n v="100"/>
    <s v="Consolidation"/>
    <s v="CO2e and Base Measure"/>
    <n v="100"/>
    <n v="100"/>
    <n v="0.02"/>
    <m/>
    <m/>
    <m/>
    <m/>
    <m/>
    <m/>
    <m/>
    <m/>
    <m/>
    <m/>
    <m/>
    <m/>
    <m/>
    <s v="AUD"/>
    <s v="13611166Waste Recycled - Construction and Demolition [t]"/>
    <n v="13611166"/>
  </r>
  <r>
    <d v="2019-07-01T00:00:00"/>
    <d v="2021-06-30T00:00:00"/>
    <s v="Telstra"/>
    <s v="NETWORK"/>
    <s v="Network - InfraCo"/>
    <s v="WA"/>
    <s v="Australia"/>
    <s v="Merredin"/>
    <s v="MERREDIN EXCHANGE"/>
    <n v="423030864200"/>
    <s v="Waste"/>
    <x v="1"/>
    <x v="2"/>
    <s v="Account"/>
    <s v="Remondis General Waste"/>
    <m/>
    <s v="423030864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82Waste - General [t] - Scope 3"/>
    <n v="13565382"/>
  </r>
  <r>
    <d v="2019-07-01T00:00:00"/>
    <d v="2021-06-30T00:00:00"/>
    <s v="Telstra"/>
    <s v="NETWORK"/>
    <s v="Network - InfraCo"/>
    <s v="WA"/>
    <s v="Australia"/>
    <s v="Merredin"/>
    <s v="MERREDIN EXCHANGE"/>
    <n v="423030864200"/>
    <s v="Waste"/>
    <x v="1"/>
    <x v="2"/>
    <s v="Account"/>
    <s v="Remondis General Waste"/>
    <m/>
    <s v="4230308642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5382Waste - General [t] - Scope 3"/>
    <n v="13565382"/>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07-01T00:00:00"/>
    <s v="FY21"/>
    <s v="t"/>
    <n v="0"/>
    <n v="4.1700000000000001E-2"/>
    <n v="0"/>
    <n v="4.1700000000000001E-2"/>
    <n v="0"/>
    <n v="3"/>
    <n v="0"/>
    <n v="3"/>
    <n v="0"/>
    <n v="100"/>
    <n v="0"/>
    <s v="Consolidation"/>
    <s v="CO2e and Base Measure"/>
    <n v="100"/>
    <n v="100"/>
    <n v="0.04"/>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08-01T00:00:00"/>
    <s v="FY21"/>
    <s v="t"/>
    <n v="0"/>
    <n v="2.7799999999999998E-2"/>
    <n v="0"/>
    <n v="2.7799999999999998E-2"/>
    <n v="0"/>
    <n v="2"/>
    <n v="0"/>
    <n v="2"/>
    <n v="0"/>
    <n v="100"/>
    <n v="0"/>
    <s v="Consolidation"/>
    <s v="CO2e and Base Measure"/>
    <n v="100"/>
    <n v="100"/>
    <n v="0.03"/>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09-01T00:00:00"/>
    <s v="FY21"/>
    <s v="t"/>
    <n v="0"/>
    <n v="2.7799999999999998E-2"/>
    <n v="0"/>
    <n v="2.7799999999999998E-2"/>
    <n v="0"/>
    <n v="2"/>
    <n v="0"/>
    <n v="2"/>
    <n v="0"/>
    <n v="100"/>
    <n v="0"/>
    <s v="Consolidation"/>
    <s v="CO2e and Base Measure"/>
    <n v="100"/>
    <n v="100"/>
    <n v="0.03"/>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10-01T00:00:00"/>
    <s v="FY21"/>
    <s v="t"/>
    <n v="0"/>
    <n v="2.7799999999999998E-2"/>
    <n v="0"/>
    <n v="2.7799999999999998E-2"/>
    <n v="0"/>
    <n v="2"/>
    <n v="0"/>
    <n v="2"/>
    <n v="0"/>
    <n v="100"/>
    <n v="0"/>
    <s v="Consolidation"/>
    <s v="CO2e and Base Measure"/>
    <n v="100"/>
    <n v="100"/>
    <n v="0.03"/>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11-01T00:00:00"/>
    <s v="FY21"/>
    <s v="t"/>
    <n v="0"/>
    <n v="2.7799999999999998E-2"/>
    <n v="0"/>
    <n v="2.7799999999999998E-2"/>
    <n v="0"/>
    <n v="2"/>
    <n v="0"/>
    <n v="2"/>
    <n v="0"/>
    <n v="100"/>
    <n v="0"/>
    <s v="Consolidation"/>
    <s v="CO2e and Base Measure"/>
    <n v="100"/>
    <n v="100"/>
    <n v="0.03"/>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12-01T00:00:00"/>
    <s v="FY21"/>
    <s v="t"/>
    <n v="0"/>
    <n v="0"/>
    <n v="1E-3"/>
    <n v="1E-3"/>
    <n v="0"/>
    <n v="0"/>
    <n v="1"/>
    <n v="1"/>
    <n v="0"/>
    <n v="0"/>
    <n v="100"/>
    <s v="Consolidation"/>
    <s v="CO2e and Base Measure"/>
    <n v="100"/>
    <n v="100"/>
    <n v="0"/>
    <m/>
    <m/>
    <m/>
    <m/>
    <m/>
    <m/>
    <n v="0"/>
    <m/>
    <m/>
    <m/>
    <m/>
    <m/>
    <m/>
    <s v="AUD"/>
    <s v="13564185Waste Recycled - Cardboard [t]"/>
    <n v="13564185"/>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07-01T00:00:00"/>
    <s v="FY21"/>
    <s v="t"/>
    <n v="0"/>
    <n v="0.71"/>
    <n v="0"/>
    <n v="0.71"/>
    <n v="0"/>
    <n v="3"/>
    <n v="0"/>
    <n v="3"/>
    <n v="0"/>
    <n v="100"/>
    <n v="0"/>
    <s v="Consolidation"/>
    <s v="CO2e and Base Measure"/>
    <n v="100"/>
    <n v="100"/>
    <n v="0.71"/>
    <m/>
    <m/>
    <m/>
    <m/>
    <m/>
    <n v="0.92300000000000004"/>
    <m/>
    <n v="0.92300000000000004"/>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12-01T00:00:00"/>
    <s v="FY21"/>
    <s v="t"/>
    <n v="0"/>
    <n v="0"/>
    <n v="1.46E-2"/>
    <n v="1.46E-2"/>
    <n v="0"/>
    <n v="0"/>
    <n v="1"/>
    <n v="1"/>
    <n v="0"/>
    <n v="0"/>
    <n v="100"/>
    <s v="Consolidation"/>
    <s v="CO2e and Base Measure"/>
    <n v="100"/>
    <n v="100"/>
    <n v="0.01"/>
    <m/>
    <m/>
    <m/>
    <m/>
    <m/>
    <n v="1.9E-2"/>
    <m/>
    <n v="1.9E-2"/>
    <m/>
    <m/>
    <m/>
    <m/>
    <m/>
    <s v="AUD"/>
    <s v="13564186Waste - General [t] - Scope 3"/>
    <n v="13564186"/>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1-01T00:00:00"/>
    <s v="FY21"/>
    <s v="t"/>
    <n v="0.20200000000000001"/>
    <n v="0"/>
    <n v="0"/>
    <n v="0.20200000000000001"/>
    <n v="2"/>
    <n v="0"/>
    <n v="0"/>
    <n v="2"/>
    <n v="100"/>
    <n v="0"/>
    <n v="0"/>
    <s v="Consolidation"/>
    <s v="CO2e and Base Measure"/>
    <n v="100"/>
    <n v="100"/>
    <n v="0.2"/>
    <m/>
    <m/>
    <m/>
    <m/>
    <m/>
    <n v="0.2626"/>
    <m/>
    <n v="0.2626"/>
    <m/>
    <m/>
    <m/>
    <m/>
    <m/>
    <s v="AUD"/>
    <s v="13634494Waste - General [t] - Scope 3"/>
    <n v="13634494"/>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2-01T00:00:00"/>
    <s v="FY21"/>
    <s v="t"/>
    <n v="0.22900000000000001"/>
    <n v="0"/>
    <n v="0"/>
    <n v="0.22900000000000001"/>
    <n v="1"/>
    <n v="0"/>
    <n v="0"/>
    <n v="1"/>
    <n v="100"/>
    <n v="0"/>
    <n v="0"/>
    <s v="Consolidation"/>
    <s v="CO2e and Base Measure"/>
    <n v="100"/>
    <n v="100"/>
    <n v="0.23"/>
    <m/>
    <m/>
    <m/>
    <m/>
    <m/>
    <n v="0.29770000000000002"/>
    <m/>
    <n v="0.29770000000000002"/>
    <m/>
    <m/>
    <m/>
    <m/>
    <m/>
    <s v="AUD"/>
    <s v="13634494Waste - General [t] - Scope 3"/>
    <n v="13634494"/>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3-01T00:00:00"/>
    <s v="FY21"/>
    <s v="t"/>
    <n v="0"/>
    <n v="0"/>
    <n v="0.22939999999999999"/>
    <n v="0.22939999999999999"/>
    <n v="0"/>
    <n v="0"/>
    <n v="31"/>
    <n v="31"/>
    <n v="0"/>
    <n v="0"/>
    <n v="100"/>
    <s v="Consolidation"/>
    <s v="CO2e and Base Measure"/>
    <n v="100"/>
    <n v="100"/>
    <n v="0.23"/>
    <m/>
    <m/>
    <m/>
    <m/>
    <m/>
    <n v="0.29820000000000002"/>
    <m/>
    <n v="0.29820000000000002"/>
    <m/>
    <m/>
    <m/>
    <m/>
    <m/>
    <s v="AUD"/>
    <s v="13634494Waste - General [t] - Scope 3"/>
    <n v="13634494"/>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4-01T00:00:00"/>
    <s v="FY21"/>
    <s v="t"/>
    <n v="0"/>
    <n v="0"/>
    <n v="0.222"/>
    <n v="0.222"/>
    <n v="0"/>
    <n v="0"/>
    <n v="30"/>
    <n v="30"/>
    <n v="0"/>
    <n v="0"/>
    <n v="100"/>
    <s v="Consolidation"/>
    <s v="CO2e and Base Measure"/>
    <n v="100"/>
    <n v="100"/>
    <n v="0.22"/>
    <m/>
    <m/>
    <m/>
    <m/>
    <m/>
    <n v="0.28860000000000002"/>
    <m/>
    <n v="0.28860000000000002"/>
    <m/>
    <m/>
    <m/>
    <m/>
    <m/>
    <s v="AUD"/>
    <s v="13634494Waste - General [t] - Scope 3"/>
    <n v="13634494"/>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5-01T00:00:00"/>
    <s v="FY21"/>
    <s v="t"/>
    <n v="0"/>
    <n v="0"/>
    <n v="0.22939999999999999"/>
    <n v="0.22939999999999999"/>
    <n v="0"/>
    <n v="0"/>
    <n v="31"/>
    <n v="31"/>
    <n v="0"/>
    <n v="0"/>
    <n v="100"/>
    <s v="Consolidation"/>
    <s v="CO2e and Base Measure"/>
    <n v="100"/>
    <n v="100"/>
    <n v="0.23"/>
    <m/>
    <m/>
    <m/>
    <m/>
    <m/>
    <n v="0.29820000000000002"/>
    <m/>
    <n v="0.29820000000000002"/>
    <m/>
    <m/>
    <m/>
    <m/>
    <m/>
    <s v="AUD"/>
    <s v="13634494Waste - General [t] - Scope 3"/>
    <n v="13634494"/>
  </r>
  <r>
    <d v="2019-07-01T00:00:00"/>
    <d v="2021-06-30T00:00:00"/>
    <s v="Telstra"/>
    <s v="NETWORK"/>
    <s v="Network - InfraCo"/>
    <s v="QLD"/>
    <s v="Australia"/>
    <s v="Broadbeach"/>
    <s v="MERRIMAC EXCHANGE"/>
    <n v="423030115500"/>
    <s v="Recycled Waste"/>
    <x v="0"/>
    <x v="0"/>
    <s v="Account"/>
    <s v="CLEANAWAY Cardboard"/>
    <m/>
    <s v="56949_Diversion_Cardboard"/>
    <s v="Cardboard"/>
    <s v="Cleanaway"/>
    <m/>
    <d v="2021-02-05T00:00:00"/>
    <m/>
    <d v="2021-02-01T00:00:00"/>
    <s v="FY21"/>
    <s v="t"/>
    <n v="0"/>
    <n v="1.6500000000000001E-2"/>
    <n v="0"/>
    <n v="1.6500000000000001E-2"/>
    <n v="0"/>
    <n v="1"/>
    <n v="0"/>
    <n v="1"/>
    <n v="0"/>
    <n v="100"/>
    <n v="0"/>
    <s v="Consolidation"/>
    <s v="CO2e and Base Measure"/>
    <n v="100"/>
    <n v="100"/>
    <n v="0.02"/>
    <m/>
    <m/>
    <m/>
    <m/>
    <m/>
    <m/>
    <m/>
    <m/>
    <m/>
    <m/>
    <m/>
    <m/>
    <m/>
    <s v="AUD"/>
    <s v="13639922Waste Recycled - Paper and Cardboard [t]"/>
    <n v="13639922"/>
  </r>
  <r>
    <d v="2019-07-01T00:00:00"/>
    <d v="2021-06-30T00:00:00"/>
    <s v="Telstra"/>
    <s v="NETWORK"/>
    <s v="Network - InfraCo"/>
    <s v="QLD"/>
    <s v="Australia"/>
    <s v="Broadbeach"/>
    <s v="MERRIMAC EXCHANGE"/>
    <n v="423030115500"/>
    <s v="Recycled Waste"/>
    <x v="0"/>
    <x v="0"/>
    <s v="Account"/>
    <s v="CLEANAWAY Cardboard"/>
    <m/>
    <s v="56949_Diversion_Cardboard"/>
    <s v="Cardboard"/>
    <s v="Cleanaway"/>
    <m/>
    <d v="2021-02-05T00:00:00"/>
    <m/>
    <d v="2021-03-01T00:00:00"/>
    <s v="FY21"/>
    <s v="t"/>
    <n v="0"/>
    <n v="0"/>
    <n v="1.8599999999999998E-2"/>
    <n v="1.8599999999999998E-2"/>
    <n v="0"/>
    <n v="0"/>
    <n v="31"/>
    <n v="31"/>
    <n v="0"/>
    <n v="0"/>
    <n v="100"/>
    <s v="Consolidation"/>
    <s v="CO2e and Base Measure"/>
    <n v="100"/>
    <n v="100"/>
    <n v="0.02"/>
    <m/>
    <m/>
    <m/>
    <m/>
    <m/>
    <m/>
    <m/>
    <m/>
    <m/>
    <m/>
    <m/>
    <m/>
    <m/>
    <s v="AUD"/>
    <s v="13639922Waste Recycled - Paper and Cardboard [t]"/>
    <n v="13639922"/>
  </r>
  <r>
    <d v="2019-07-01T00:00:00"/>
    <d v="2021-06-30T00:00:00"/>
    <s v="Telstra"/>
    <s v="NETWORK"/>
    <s v="Network - InfraCo"/>
    <s v="QLD"/>
    <s v="Australia"/>
    <s v="Broadbeach"/>
    <s v="MERRIMAC EXCHANGE"/>
    <n v="423030115500"/>
    <s v="Recycled Waste"/>
    <x v="0"/>
    <x v="0"/>
    <s v="Account"/>
    <s v="CLEANAWAY Cardboard"/>
    <m/>
    <s v="56949_Diversion_Cardboard"/>
    <s v="Cardboard"/>
    <s v="Cleanaway"/>
    <m/>
    <d v="2021-02-05T00:00:00"/>
    <m/>
    <d v="2021-04-01T00:00:00"/>
    <s v="FY21"/>
    <s v="t"/>
    <n v="0"/>
    <n v="0"/>
    <n v="1.7999999999999999E-2"/>
    <n v="1.7999999999999999E-2"/>
    <n v="0"/>
    <n v="0"/>
    <n v="30"/>
    <n v="30"/>
    <n v="0"/>
    <n v="0"/>
    <n v="100"/>
    <s v="Consolidation"/>
    <s v="CO2e and Base Measure"/>
    <n v="100"/>
    <n v="100"/>
    <n v="0.02"/>
    <m/>
    <m/>
    <m/>
    <m/>
    <m/>
    <m/>
    <m/>
    <m/>
    <m/>
    <m/>
    <m/>
    <m/>
    <m/>
    <s v="AUD"/>
    <s v="13639922Waste Recycled - Paper and Cardboard [t]"/>
    <n v="13639922"/>
  </r>
  <r>
    <d v="2019-07-01T00:00:00"/>
    <d v="2021-06-30T00:00:00"/>
    <s v="Telstra"/>
    <s v="NETWORK"/>
    <s v="Network - InfraCo"/>
    <s v="QLD"/>
    <s v="Australia"/>
    <s v="Broadbeach"/>
    <s v="MERRIMAC EXCHANGE"/>
    <n v="423030115500"/>
    <s v="Recycled Waste"/>
    <x v="0"/>
    <x v="0"/>
    <s v="Account"/>
    <s v="CLEANAWAY Cardboard"/>
    <m/>
    <s v="56949_Diversion_Cardboard"/>
    <s v="Cardboard"/>
    <s v="Cleanaway"/>
    <m/>
    <d v="2021-02-05T00:00:00"/>
    <m/>
    <d v="2021-05-01T00:00:00"/>
    <s v="FY21"/>
    <s v="t"/>
    <n v="0"/>
    <n v="0"/>
    <n v="1.8599999999999998E-2"/>
    <n v="1.8599999999999998E-2"/>
    <n v="0"/>
    <n v="0"/>
    <n v="31"/>
    <n v="31"/>
    <n v="0"/>
    <n v="0"/>
    <n v="100"/>
    <s v="Consolidation"/>
    <s v="CO2e and Base Measure"/>
    <n v="100"/>
    <n v="100"/>
    <n v="0.02"/>
    <m/>
    <m/>
    <m/>
    <m/>
    <m/>
    <m/>
    <m/>
    <m/>
    <m/>
    <m/>
    <m/>
    <m/>
    <m/>
    <s v="AUD"/>
    <s v="13639922Waste Recycled - Paper and Cardboard [t]"/>
    <n v="13639922"/>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0-11-01T00:00:00"/>
    <s v="FY21"/>
    <s v="t"/>
    <n v="2.0249999999999999"/>
    <n v="0"/>
    <n v="0"/>
    <n v="2.0249999999999999"/>
    <n v="1"/>
    <n v="0"/>
    <n v="0"/>
    <n v="1"/>
    <n v="100"/>
    <n v="0"/>
    <n v="0"/>
    <s v="Consolidation"/>
    <s v="CO2e and Base Measure"/>
    <n v="100"/>
    <n v="100"/>
    <n v="2.0299999999999998"/>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0-12-01T00:00:00"/>
    <s v="FY21"/>
    <s v="t"/>
    <n v="0"/>
    <n v="0"/>
    <n v="2.1638000000000002"/>
    <n v="2.1638000000000002"/>
    <n v="0"/>
    <n v="0"/>
    <n v="31"/>
    <n v="31"/>
    <n v="0"/>
    <n v="0"/>
    <n v="100"/>
    <s v="Consolidation"/>
    <s v="CO2e and Base Measure"/>
    <n v="100"/>
    <n v="100"/>
    <n v="2.16"/>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1-01T00:00:00"/>
    <s v="FY21"/>
    <s v="t"/>
    <n v="0"/>
    <n v="0"/>
    <n v="2.1638000000000002"/>
    <n v="2.1638000000000002"/>
    <n v="0"/>
    <n v="0"/>
    <n v="31"/>
    <n v="31"/>
    <n v="0"/>
    <n v="0"/>
    <n v="100"/>
    <s v="Consolidation"/>
    <s v="CO2e and Base Measure"/>
    <n v="100"/>
    <n v="100"/>
    <n v="2.16"/>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2-01T00:00:00"/>
    <s v="FY21"/>
    <s v="t"/>
    <n v="0"/>
    <n v="0"/>
    <n v="1.9543999999999999"/>
    <n v="1.9543999999999999"/>
    <n v="0"/>
    <n v="0"/>
    <n v="28"/>
    <n v="28"/>
    <n v="0"/>
    <n v="0"/>
    <n v="100"/>
    <s v="Consolidation"/>
    <s v="CO2e and Base Measure"/>
    <n v="100"/>
    <n v="100"/>
    <n v="1.95"/>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3-01T00:00:00"/>
    <s v="FY21"/>
    <s v="t"/>
    <n v="0"/>
    <n v="0"/>
    <n v="2.1638000000000002"/>
    <n v="2.1638000000000002"/>
    <n v="0"/>
    <n v="0"/>
    <n v="31"/>
    <n v="31"/>
    <n v="0"/>
    <n v="0"/>
    <n v="100"/>
    <s v="Consolidation"/>
    <s v="CO2e and Base Measure"/>
    <n v="100"/>
    <n v="100"/>
    <n v="2.16"/>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4-01T00:00:00"/>
    <s v="FY21"/>
    <s v="t"/>
    <n v="0"/>
    <n v="0"/>
    <n v="2.0939999999999999"/>
    <n v="2.0939999999999999"/>
    <n v="0"/>
    <n v="0"/>
    <n v="30"/>
    <n v="30"/>
    <n v="0"/>
    <n v="0"/>
    <n v="100"/>
    <s v="Consolidation"/>
    <s v="CO2e and Base Measure"/>
    <n v="100"/>
    <n v="100"/>
    <n v="2.09"/>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5-01T00:00:00"/>
    <s v="FY21"/>
    <s v="t"/>
    <n v="0"/>
    <n v="0"/>
    <n v="2.1638000000000002"/>
    <n v="2.1638000000000002"/>
    <n v="0"/>
    <n v="0"/>
    <n v="31"/>
    <n v="31"/>
    <n v="0"/>
    <n v="0"/>
    <n v="100"/>
    <s v="Consolidation"/>
    <s v="CO2e and Base Measure"/>
    <n v="100"/>
    <n v="100"/>
    <n v="2.16"/>
    <m/>
    <m/>
    <m/>
    <m/>
    <m/>
    <m/>
    <m/>
    <m/>
    <m/>
    <m/>
    <m/>
    <m/>
    <m/>
    <s v="AUD"/>
    <s v="13632358Waste Recycled - E-waste [t]"/>
    <n v="13632358"/>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07-01T00:00:00"/>
    <s v="FY21"/>
    <s v="t"/>
    <n v="0.47"/>
    <n v="0"/>
    <n v="0"/>
    <n v="0.47"/>
    <n v="2"/>
    <n v="0"/>
    <n v="0"/>
    <n v="2"/>
    <n v="100"/>
    <n v="0"/>
    <n v="0"/>
    <s v="Consolidation"/>
    <s v="CO2e and Base Measure"/>
    <n v="100"/>
    <n v="100"/>
    <n v="0.47"/>
    <m/>
    <m/>
    <m/>
    <m/>
    <m/>
    <n v="0.61099999999999999"/>
    <m/>
    <n v="0.61099999999999999"/>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08-01T00:00:00"/>
    <s v="FY21"/>
    <s v="t"/>
    <n v="0.24"/>
    <n v="0"/>
    <n v="0"/>
    <n v="0.24"/>
    <n v="2"/>
    <n v="0"/>
    <n v="0"/>
    <n v="2"/>
    <n v="100"/>
    <n v="0"/>
    <n v="0"/>
    <s v="Consolidation"/>
    <s v="CO2e and Base Measure"/>
    <n v="100"/>
    <n v="100"/>
    <n v="0.24"/>
    <m/>
    <m/>
    <m/>
    <m/>
    <m/>
    <n v="0.312"/>
    <m/>
    <n v="0.312"/>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09-01T00:00:00"/>
    <s v="FY21"/>
    <s v="t"/>
    <n v="0.5"/>
    <n v="0"/>
    <n v="0"/>
    <n v="0.5"/>
    <n v="2"/>
    <n v="0"/>
    <n v="0"/>
    <n v="2"/>
    <n v="100"/>
    <n v="0"/>
    <n v="0"/>
    <s v="Consolidation"/>
    <s v="CO2e and Base Measure"/>
    <n v="100"/>
    <n v="100"/>
    <n v="0.5"/>
    <m/>
    <m/>
    <m/>
    <m/>
    <m/>
    <n v="0.65"/>
    <m/>
    <n v="0.65"/>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10-01T00:00:00"/>
    <s v="FY21"/>
    <s v="t"/>
    <n v="0.03"/>
    <n v="0.19500000000000001"/>
    <n v="0"/>
    <n v="0.22500000000000001"/>
    <n v="1"/>
    <n v="1"/>
    <n v="0"/>
    <n v="2"/>
    <n v="13.33"/>
    <n v="86.66"/>
    <n v="0"/>
    <s v="Consolidation"/>
    <s v="CO2e and Base Measure"/>
    <n v="100"/>
    <n v="100"/>
    <n v="0.23"/>
    <m/>
    <m/>
    <m/>
    <m/>
    <m/>
    <n v="0.29249999999999998"/>
    <m/>
    <n v="0.29249999999999998"/>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11-01T00:00:00"/>
    <s v="FY21"/>
    <s v="t"/>
    <n v="0"/>
    <n v="0.78"/>
    <n v="0"/>
    <n v="0.78"/>
    <n v="0"/>
    <n v="2"/>
    <n v="0"/>
    <n v="2"/>
    <n v="0"/>
    <n v="100"/>
    <n v="0"/>
    <s v="Consolidation"/>
    <s v="CO2e and Base Measure"/>
    <n v="100"/>
    <n v="100"/>
    <n v="0.78"/>
    <m/>
    <m/>
    <m/>
    <m/>
    <m/>
    <n v="1.014"/>
    <m/>
    <n v="1.014"/>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12-01T00:00:00"/>
    <s v="FY21"/>
    <s v="t"/>
    <n v="0"/>
    <n v="0"/>
    <n v="1.4800000000000001E-2"/>
    <n v="1.4800000000000001E-2"/>
    <n v="0"/>
    <n v="0"/>
    <n v="1"/>
    <n v="1"/>
    <n v="0"/>
    <n v="0"/>
    <n v="100"/>
    <s v="Consolidation"/>
    <s v="CO2e and Base Measure"/>
    <n v="100"/>
    <n v="100"/>
    <n v="0.01"/>
    <m/>
    <m/>
    <m/>
    <m/>
    <m/>
    <n v="1.9199999999999998E-2"/>
    <m/>
    <n v="1.9199999999999998E-2"/>
    <m/>
    <m/>
    <m/>
    <m/>
    <m/>
    <s v="AUD"/>
    <s v="13565331Waste - General [t] - Scope 3"/>
    <n v="13565331"/>
  </r>
  <r>
    <d v="2019-07-01T00:00:00"/>
    <d v="2021-06-30T00:00:00"/>
    <s v="Telstra"/>
    <s v="NETWORK"/>
    <s v="Network - InfraCo"/>
    <s v="WA"/>
    <s v="Australia"/>
    <s v="Midland"/>
    <s v="MIDLAND EXCHANGE"/>
    <n v="423030822400"/>
    <s v="Waste"/>
    <x v="1"/>
    <x v="2"/>
    <s v="Account"/>
    <s v="CLEANAWAY General"/>
    <m/>
    <s v="12775_Landfill_General"/>
    <s v="General"/>
    <s v="Cleanaway"/>
    <m/>
    <d v="2021-02-12T00:00:00"/>
    <m/>
    <d v="2021-02-01T00:00:00"/>
    <s v="FY21"/>
    <s v="t"/>
    <n v="0.35899999999999999"/>
    <n v="0"/>
    <n v="0"/>
    <n v="0.35899999999999999"/>
    <n v="1"/>
    <n v="0"/>
    <n v="0"/>
    <n v="1"/>
    <n v="100"/>
    <n v="0"/>
    <n v="0"/>
    <s v="Consolidation"/>
    <s v="CO2e and Base Measure"/>
    <n v="100"/>
    <n v="100"/>
    <n v="0.36"/>
    <m/>
    <m/>
    <m/>
    <m/>
    <m/>
    <n v="0.4667"/>
    <m/>
    <n v="0.4667"/>
    <m/>
    <m/>
    <m/>
    <m/>
    <m/>
    <s v="AUD"/>
    <s v="13639928Waste - General [t] - Scope 3"/>
    <n v="13639928"/>
  </r>
  <r>
    <d v="2019-07-01T00:00:00"/>
    <d v="2021-06-30T00:00:00"/>
    <s v="Telstra"/>
    <s v="NETWORK"/>
    <s v="Network - InfraCo"/>
    <s v="WA"/>
    <s v="Australia"/>
    <s v="Midland"/>
    <s v="MIDLAND EXCHANGE"/>
    <n v="423030822400"/>
    <s v="Waste"/>
    <x v="1"/>
    <x v="2"/>
    <s v="Account"/>
    <s v="CLEANAWAY General"/>
    <m/>
    <s v="12775_Landfill_General"/>
    <s v="General"/>
    <s v="Cleanaway"/>
    <m/>
    <d v="2021-02-12T00:00:00"/>
    <m/>
    <d v="2021-03-01T00:00:00"/>
    <s v="FY21"/>
    <s v="t"/>
    <n v="0.26900000000000002"/>
    <n v="0"/>
    <n v="0"/>
    <n v="0.26900000000000002"/>
    <n v="1"/>
    <n v="0"/>
    <n v="0"/>
    <n v="1"/>
    <n v="100"/>
    <n v="0"/>
    <n v="0"/>
    <s v="Consolidation"/>
    <s v="CO2e and Base Measure"/>
    <n v="100"/>
    <n v="100"/>
    <n v="0.27"/>
    <m/>
    <m/>
    <m/>
    <m/>
    <m/>
    <n v="0.34970000000000001"/>
    <m/>
    <n v="0.34970000000000001"/>
    <m/>
    <m/>
    <m/>
    <m/>
    <m/>
    <s v="AUD"/>
    <s v="13639928Waste - General [t] - Scope 3"/>
    <n v="13639928"/>
  </r>
  <r>
    <d v="2019-07-01T00:00:00"/>
    <d v="2021-06-30T00:00:00"/>
    <s v="Telstra"/>
    <s v="NETWORK"/>
    <s v="Network - InfraCo"/>
    <s v="WA"/>
    <s v="Australia"/>
    <s v="Midland"/>
    <s v="MIDLAND EXCHANGE"/>
    <n v="423030822400"/>
    <s v="Waste"/>
    <x v="1"/>
    <x v="2"/>
    <s v="Account"/>
    <s v="CLEANAWAY General"/>
    <m/>
    <s v="12775_Landfill_General"/>
    <s v="General"/>
    <s v="Cleanaway"/>
    <m/>
    <d v="2021-02-12T00:00:00"/>
    <m/>
    <d v="2021-04-01T00:00:00"/>
    <s v="FY21"/>
    <s v="t"/>
    <n v="0"/>
    <n v="0"/>
    <n v="0.32400000000000001"/>
    <n v="0.32400000000000001"/>
    <n v="0"/>
    <n v="0"/>
    <n v="30"/>
    <n v="30"/>
    <n v="0"/>
    <n v="0"/>
    <n v="100"/>
    <s v="Consolidation"/>
    <s v="CO2e and Base Measure"/>
    <n v="100"/>
    <n v="100"/>
    <n v="0.32"/>
    <m/>
    <m/>
    <m/>
    <m/>
    <m/>
    <n v="0.42120000000000002"/>
    <m/>
    <n v="0.42120000000000002"/>
    <m/>
    <m/>
    <m/>
    <m/>
    <m/>
    <s v="AUD"/>
    <s v="13639928Waste - General [t] - Scope 3"/>
    <n v="13639928"/>
  </r>
  <r>
    <d v="2019-07-01T00:00:00"/>
    <d v="2021-06-30T00:00:00"/>
    <s v="Telstra"/>
    <s v="NETWORK"/>
    <s v="Network - InfraCo"/>
    <s v="WA"/>
    <s v="Australia"/>
    <s v="Midland"/>
    <s v="MIDLAND EXCHANGE"/>
    <n v="423030822400"/>
    <s v="Waste"/>
    <x v="1"/>
    <x v="2"/>
    <s v="Account"/>
    <s v="CLEANAWAY General"/>
    <m/>
    <s v="12775_Landfill_General"/>
    <s v="General"/>
    <s v="Cleanaway"/>
    <m/>
    <d v="2021-02-12T00:00:00"/>
    <m/>
    <d v="2021-05-01T00:00:00"/>
    <s v="FY21"/>
    <s v="t"/>
    <n v="0"/>
    <n v="0"/>
    <n v="0.33479999999999999"/>
    <n v="0.33479999999999999"/>
    <n v="0"/>
    <n v="0"/>
    <n v="31"/>
    <n v="31"/>
    <n v="0"/>
    <n v="0"/>
    <n v="100"/>
    <s v="Consolidation"/>
    <s v="CO2e and Base Measure"/>
    <n v="100"/>
    <n v="100"/>
    <n v="0.33"/>
    <m/>
    <m/>
    <m/>
    <m/>
    <m/>
    <n v="0.43519999999999998"/>
    <m/>
    <n v="0.43519999999999998"/>
    <m/>
    <m/>
    <m/>
    <m/>
    <m/>
    <s v="AUD"/>
    <s v="13639928Waste - General [t] - Scope 3"/>
    <n v="13639928"/>
  </r>
  <r>
    <d v="2019-07-01T00:00:00"/>
    <d v="2021-06-30T00:00:00"/>
    <s v="Telstra"/>
    <s v="NETWORK"/>
    <s v="Network - InfraCo"/>
    <s v="VIC"/>
    <s v="Australia"/>
    <s v="Mildura"/>
    <s v="MILDURA EXCHANGE"/>
    <n v="423030617000"/>
    <s v="Waste"/>
    <x v="1"/>
    <x v="4"/>
    <s v="Account"/>
    <s v="Remondis Asbestos"/>
    <m/>
    <s v="423030617000_WASBESTOS"/>
    <s v="ASBESTOS"/>
    <s v="Remondis"/>
    <m/>
    <m/>
    <d v="2020-12-01T00:00:00"/>
    <d v="2020-11-01T00:00:00"/>
    <s v="FY21"/>
    <s v="t"/>
    <n v="14.92"/>
    <n v="0"/>
    <n v="0"/>
    <n v="14.92"/>
    <n v="2"/>
    <n v="0"/>
    <n v="0"/>
    <n v="2"/>
    <n v="100"/>
    <n v="0"/>
    <n v="0"/>
    <s v="Consolidation"/>
    <s v="CO2e and Base Measure"/>
    <n v="100"/>
    <n v="100"/>
    <n v="14.92"/>
    <m/>
    <m/>
    <m/>
    <m/>
    <m/>
    <n v="17.904"/>
    <m/>
    <n v="17.904"/>
    <m/>
    <m/>
    <m/>
    <m/>
    <m/>
    <s v="AUD"/>
    <s v="13564978Waste - Construction and Demolition [t]"/>
    <n v="13564978"/>
  </r>
  <r>
    <d v="2019-07-01T00:00:00"/>
    <d v="2021-06-30T00:00:00"/>
    <s v="Telstra"/>
    <s v="NETWORK"/>
    <s v="Network - InfraCo"/>
    <s v="VIC"/>
    <s v="Australia"/>
    <s v="Mildura"/>
    <s v="MILDURA EXCHANGE"/>
    <n v="423030617000"/>
    <s v="Waste"/>
    <x v="1"/>
    <x v="4"/>
    <s v="Account"/>
    <s v="Remondis Asbestos"/>
    <m/>
    <s v="423030617000_WASBESTOS"/>
    <s v="ASBESTOS"/>
    <s v="Remondis"/>
    <m/>
    <m/>
    <d v="2020-12-01T00:00:00"/>
    <d v="2020-12-01T00:00:00"/>
    <s v="FY21"/>
    <s v="t"/>
    <n v="0"/>
    <n v="0"/>
    <n v="0.51449999999999996"/>
    <n v="0.51449999999999996"/>
    <n v="0"/>
    <n v="0"/>
    <n v="1"/>
    <n v="1"/>
    <n v="0"/>
    <n v="0"/>
    <n v="100"/>
    <s v="Consolidation"/>
    <s v="CO2e and Base Measure"/>
    <n v="100"/>
    <n v="100"/>
    <n v="0.51"/>
    <m/>
    <m/>
    <m/>
    <m/>
    <m/>
    <n v="0.61739999999999995"/>
    <m/>
    <n v="0.61739999999999995"/>
    <m/>
    <m/>
    <m/>
    <m/>
    <m/>
    <s v="AUD"/>
    <s v="13564978Waste - Construction and Demolition [t]"/>
    <n v="13564978"/>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07-01T00:00:00"/>
    <s v="FY21"/>
    <s v="t"/>
    <n v="0"/>
    <n v="0.1176"/>
    <n v="0"/>
    <n v="0.1176"/>
    <n v="0"/>
    <n v="2"/>
    <n v="0"/>
    <n v="2"/>
    <n v="0"/>
    <n v="100"/>
    <n v="0"/>
    <s v="Consolidation"/>
    <s v="CO2e and Base Measure"/>
    <n v="100"/>
    <n v="100"/>
    <n v="0.12"/>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08-01T00:00:00"/>
    <s v="FY21"/>
    <s v="t"/>
    <n v="0"/>
    <n v="0.1176"/>
    <n v="0"/>
    <n v="0.1176"/>
    <n v="0"/>
    <n v="2"/>
    <n v="0"/>
    <n v="2"/>
    <n v="0"/>
    <n v="100"/>
    <n v="0"/>
    <s v="Consolidation"/>
    <s v="CO2e and Base Measure"/>
    <n v="100"/>
    <n v="100"/>
    <n v="0.12"/>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09-01T00:00:00"/>
    <s v="FY21"/>
    <s v="t"/>
    <n v="0"/>
    <n v="0.1176"/>
    <n v="0"/>
    <n v="0.1176"/>
    <n v="0"/>
    <n v="2"/>
    <n v="0"/>
    <n v="2"/>
    <n v="0"/>
    <n v="100"/>
    <n v="0"/>
    <s v="Consolidation"/>
    <s v="CO2e and Base Measure"/>
    <n v="100"/>
    <n v="100"/>
    <n v="0.12"/>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10-01T00:00:00"/>
    <s v="FY21"/>
    <s v="t"/>
    <n v="0"/>
    <n v="0.1764"/>
    <n v="0"/>
    <n v="0.1764"/>
    <n v="0"/>
    <n v="3"/>
    <n v="0"/>
    <n v="3"/>
    <n v="0"/>
    <n v="100"/>
    <n v="0"/>
    <s v="Consolidation"/>
    <s v="CO2e and Base Measure"/>
    <n v="100"/>
    <n v="100"/>
    <n v="0.18"/>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11-01T00:00:00"/>
    <s v="FY21"/>
    <s v="t"/>
    <n v="0"/>
    <n v="0.1764"/>
    <n v="0"/>
    <n v="0.1764"/>
    <n v="0"/>
    <n v="3"/>
    <n v="0"/>
    <n v="3"/>
    <n v="0"/>
    <n v="100"/>
    <n v="0"/>
    <s v="Consolidation"/>
    <s v="CO2e and Base Measure"/>
    <n v="100"/>
    <n v="100"/>
    <n v="0.18"/>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979Waste Recycled - Cardboard [t]"/>
    <n v="13564979"/>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07-01T00:00:00"/>
    <s v="FY21"/>
    <s v="t"/>
    <n v="0"/>
    <n v="0.78"/>
    <n v="0"/>
    <n v="0.78"/>
    <n v="0"/>
    <n v="4"/>
    <n v="0"/>
    <n v="4"/>
    <n v="0"/>
    <n v="100"/>
    <n v="0"/>
    <s v="Consolidation"/>
    <s v="CO2e and Base Measure"/>
    <n v="100"/>
    <n v="100"/>
    <n v="0.78"/>
    <m/>
    <m/>
    <m/>
    <m/>
    <m/>
    <n v="1.014"/>
    <m/>
    <n v="1.014"/>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09-01T00:00:00"/>
    <s v="FY21"/>
    <s v="t"/>
    <n v="0"/>
    <n v="0.78"/>
    <n v="0"/>
    <n v="0.78"/>
    <n v="0"/>
    <n v="4"/>
    <n v="0"/>
    <n v="4"/>
    <n v="0"/>
    <n v="100"/>
    <n v="0"/>
    <s v="Consolidation"/>
    <s v="CO2e and Base Measure"/>
    <n v="100"/>
    <n v="100"/>
    <n v="0.78"/>
    <m/>
    <m/>
    <m/>
    <m/>
    <m/>
    <n v="1.014"/>
    <m/>
    <n v="1.014"/>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10-01T00:00:00"/>
    <s v="FY21"/>
    <s v="t"/>
    <n v="0"/>
    <n v="0.78"/>
    <n v="0"/>
    <n v="0.78"/>
    <n v="0"/>
    <n v="4"/>
    <n v="0"/>
    <n v="4"/>
    <n v="0"/>
    <n v="100"/>
    <n v="0"/>
    <s v="Consolidation"/>
    <s v="CO2e and Base Measure"/>
    <n v="100"/>
    <n v="100"/>
    <n v="0.78"/>
    <m/>
    <m/>
    <m/>
    <m/>
    <m/>
    <n v="1.014"/>
    <m/>
    <n v="1.014"/>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11-01T00:00:00"/>
    <s v="FY21"/>
    <s v="t"/>
    <n v="0"/>
    <n v="1.17"/>
    <n v="0"/>
    <n v="1.17"/>
    <n v="0"/>
    <n v="5"/>
    <n v="0"/>
    <n v="5"/>
    <n v="0"/>
    <n v="100"/>
    <n v="0"/>
    <s v="Consolidation"/>
    <s v="CO2e and Base Measure"/>
    <n v="100"/>
    <n v="100"/>
    <n v="1.17"/>
    <m/>
    <m/>
    <m/>
    <m/>
    <m/>
    <n v="1.5209999999999999"/>
    <m/>
    <n v="1.5209999999999999"/>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12-01T00:00:00"/>
    <s v="FY21"/>
    <s v="t"/>
    <n v="0"/>
    <n v="0"/>
    <n v="2.8899999999999999E-2"/>
    <n v="2.8899999999999999E-2"/>
    <n v="0"/>
    <n v="0"/>
    <n v="1"/>
    <n v="1"/>
    <n v="0"/>
    <n v="0"/>
    <n v="100"/>
    <s v="Consolidation"/>
    <s v="CO2e and Base Measure"/>
    <n v="100"/>
    <n v="100"/>
    <n v="0.03"/>
    <m/>
    <m/>
    <m/>
    <m/>
    <m/>
    <n v="3.7600000000000001E-2"/>
    <m/>
    <n v="3.7600000000000001E-2"/>
    <m/>
    <m/>
    <m/>
    <m/>
    <m/>
    <s v="AUD"/>
    <s v="13564981Waste - General [t] - Scope 3"/>
    <n v="13564981"/>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0-11-01T00:00:00"/>
    <s v="FY21"/>
    <s v="t"/>
    <n v="1.0999999999999999E-2"/>
    <n v="0"/>
    <n v="0"/>
    <n v="1.0999999999999999E-2"/>
    <n v="1"/>
    <n v="0"/>
    <n v="0"/>
    <n v="1"/>
    <n v="100"/>
    <n v="0"/>
    <n v="0"/>
    <s v="Consolidation"/>
    <s v="CO2e and Base Measure"/>
    <n v="100"/>
    <n v="100"/>
    <n v="0.01"/>
    <m/>
    <m/>
    <m/>
    <m/>
    <m/>
    <n v="1.32E-2"/>
    <m/>
    <n v="1.32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0-12-01T00:00:00"/>
    <s v="FY21"/>
    <s v="t"/>
    <n v="0"/>
    <n v="0"/>
    <n v="1.24E-2"/>
    <n v="1.24E-2"/>
    <n v="0"/>
    <n v="0"/>
    <n v="31"/>
    <n v="31"/>
    <n v="0"/>
    <n v="0"/>
    <n v="100"/>
    <s v="Consolidation"/>
    <s v="CO2e and Base Measure"/>
    <n v="100"/>
    <n v="100"/>
    <n v="0.01"/>
    <m/>
    <m/>
    <m/>
    <m/>
    <m/>
    <n v="1.49E-2"/>
    <m/>
    <n v="1.49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1-01T00:00:00"/>
    <s v="FY21"/>
    <s v="t"/>
    <n v="0"/>
    <n v="0"/>
    <n v="1.24E-2"/>
    <n v="1.24E-2"/>
    <n v="0"/>
    <n v="0"/>
    <n v="31"/>
    <n v="31"/>
    <n v="0"/>
    <n v="0"/>
    <n v="100"/>
    <s v="Consolidation"/>
    <s v="CO2e and Base Measure"/>
    <n v="100"/>
    <n v="100"/>
    <n v="0.01"/>
    <m/>
    <m/>
    <m/>
    <m/>
    <m/>
    <n v="1.49E-2"/>
    <m/>
    <n v="1.49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2-01T00:00:00"/>
    <s v="FY21"/>
    <s v="t"/>
    <n v="0"/>
    <n v="0"/>
    <n v="1.12E-2"/>
    <n v="1.12E-2"/>
    <n v="0"/>
    <n v="0"/>
    <n v="28"/>
    <n v="28"/>
    <n v="0"/>
    <n v="0"/>
    <n v="100"/>
    <s v="Consolidation"/>
    <s v="CO2e and Base Measure"/>
    <n v="100"/>
    <n v="100"/>
    <n v="0.01"/>
    <m/>
    <m/>
    <m/>
    <m/>
    <m/>
    <n v="1.34E-2"/>
    <m/>
    <n v="1.34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3-01T00:00:00"/>
    <s v="FY21"/>
    <s v="t"/>
    <n v="0"/>
    <n v="0"/>
    <n v="1.24E-2"/>
    <n v="1.24E-2"/>
    <n v="0"/>
    <n v="0"/>
    <n v="31"/>
    <n v="31"/>
    <n v="0"/>
    <n v="0"/>
    <n v="100"/>
    <s v="Consolidation"/>
    <s v="CO2e and Base Measure"/>
    <n v="100"/>
    <n v="100"/>
    <n v="0.01"/>
    <m/>
    <m/>
    <m/>
    <m/>
    <m/>
    <n v="1.49E-2"/>
    <m/>
    <n v="1.49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4-01T00:00:00"/>
    <s v="FY21"/>
    <s v="t"/>
    <n v="0"/>
    <n v="0"/>
    <n v="1.2E-2"/>
    <n v="1.2E-2"/>
    <n v="0"/>
    <n v="0"/>
    <n v="30"/>
    <n v="30"/>
    <n v="0"/>
    <n v="0"/>
    <n v="100"/>
    <s v="Consolidation"/>
    <s v="CO2e and Base Measure"/>
    <n v="100"/>
    <n v="100"/>
    <n v="0.01"/>
    <m/>
    <m/>
    <m/>
    <m/>
    <m/>
    <n v="1.44E-2"/>
    <m/>
    <n v="1.44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5-01T00:00:00"/>
    <s v="FY21"/>
    <s v="t"/>
    <n v="0"/>
    <n v="0"/>
    <n v="1.24E-2"/>
    <n v="1.24E-2"/>
    <n v="0"/>
    <n v="0"/>
    <n v="31"/>
    <n v="31"/>
    <n v="0"/>
    <n v="0"/>
    <n v="100"/>
    <s v="Consolidation"/>
    <s v="CO2e and Base Measure"/>
    <n v="100"/>
    <n v="100"/>
    <n v="0.01"/>
    <m/>
    <m/>
    <m/>
    <m/>
    <m/>
    <n v="1.49E-2"/>
    <m/>
    <n v="1.49E-2"/>
    <m/>
    <m/>
    <m/>
    <m/>
    <m/>
    <s v="AUD"/>
    <s v="13632347Hazardous Waste [t]"/>
    <n v="13632347"/>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0-12-01T00:00:00"/>
    <s v="FY21"/>
    <s v="t"/>
    <n v="7.3999999999999996E-2"/>
    <n v="0.40500000000000003"/>
    <n v="0"/>
    <n v="0.47899999999999998"/>
    <n v="1"/>
    <n v="3"/>
    <n v="0"/>
    <n v="4"/>
    <n v="15.44"/>
    <n v="84.55"/>
    <n v="0"/>
    <s v="Consolidation"/>
    <s v="CO2e and Base Measure"/>
    <n v="100"/>
    <n v="100"/>
    <n v="0.48"/>
    <m/>
    <m/>
    <m/>
    <m/>
    <m/>
    <n v="0.62270000000000003"/>
    <m/>
    <n v="0.62270000000000003"/>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1-01T00:00:00"/>
    <s v="FY21"/>
    <s v="t"/>
    <n v="0.42699999999999999"/>
    <n v="0.13500000000000001"/>
    <n v="0"/>
    <n v="0.56200000000000006"/>
    <n v="3"/>
    <n v="1"/>
    <n v="0"/>
    <n v="4"/>
    <n v="75.97"/>
    <n v="24.02"/>
    <n v="0"/>
    <s v="Consolidation"/>
    <s v="CO2e and Base Measure"/>
    <n v="100"/>
    <n v="100"/>
    <n v="0.56000000000000005"/>
    <m/>
    <m/>
    <m/>
    <m/>
    <m/>
    <n v="0.73060000000000003"/>
    <m/>
    <n v="0.73060000000000003"/>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2-01T00:00:00"/>
    <s v="FY21"/>
    <s v="t"/>
    <n v="0.27100000000000002"/>
    <n v="0"/>
    <n v="0"/>
    <n v="0.27100000000000002"/>
    <n v="4"/>
    <n v="0"/>
    <n v="0"/>
    <n v="4"/>
    <n v="100"/>
    <n v="0"/>
    <n v="0"/>
    <s v="Consolidation"/>
    <s v="CO2e and Base Measure"/>
    <n v="100"/>
    <n v="100"/>
    <n v="0.27"/>
    <m/>
    <m/>
    <m/>
    <m/>
    <m/>
    <n v="0.3523"/>
    <m/>
    <n v="0.3523"/>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3-01T00:00:00"/>
    <s v="FY21"/>
    <s v="t"/>
    <n v="0.41799999999999998"/>
    <n v="0"/>
    <n v="0"/>
    <n v="0.41799999999999998"/>
    <n v="5"/>
    <n v="0"/>
    <n v="0"/>
    <n v="5"/>
    <n v="100"/>
    <n v="0"/>
    <n v="0"/>
    <s v="Consolidation"/>
    <s v="CO2e and Base Measure"/>
    <n v="100"/>
    <n v="100"/>
    <n v="0.42"/>
    <m/>
    <m/>
    <m/>
    <m/>
    <m/>
    <n v="0.54339999999999999"/>
    <m/>
    <n v="0.54339999999999999"/>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4-01T00:00:00"/>
    <s v="FY21"/>
    <s v="t"/>
    <n v="0"/>
    <n v="0"/>
    <n v="0.432"/>
    <n v="0.432"/>
    <n v="0"/>
    <n v="0"/>
    <n v="30"/>
    <n v="30"/>
    <n v="0"/>
    <n v="0"/>
    <n v="100"/>
    <s v="Consolidation"/>
    <s v="CO2e and Base Measure"/>
    <n v="100"/>
    <n v="100"/>
    <n v="0.43"/>
    <m/>
    <m/>
    <m/>
    <m/>
    <m/>
    <n v="0.56159999999999999"/>
    <m/>
    <n v="0.56159999999999999"/>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5-01T00:00:00"/>
    <s v="FY21"/>
    <s v="t"/>
    <n v="0"/>
    <n v="0"/>
    <n v="0.44640000000000002"/>
    <n v="0.44640000000000002"/>
    <n v="0"/>
    <n v="0"/>
    <n v="31"/>
    <n v="31"/>
    <n v="0"/>
    <n v="0"/>
    <n v="100"/>
    <s v="Consolidation"/>
    <s v="CO2e and Base Measure"/>
    <n v="100"/>
    <n v="100"/>
    <n v="0.45"/>
    <m/>
    <m/>
    <m/>
    <m/>
    <m/>
    <n v="0.58030000000000004"/>
    <m/>
    <n v="0.58030000000000004"/>
    <m/>
    <m/>
    <m/>
    <m/>
    <m/>
    <s v="AUD"/>
    <s v="13634175Waste - General [t] - Scope 3"/>
    <n v="13634175"/>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1-01T00:00:00"/>
    <s v="FY21"/>
    <s v="t"/>
    <n v="0.14399999999999999"/>
    <n v="0"/>
    <n v="0"/>
    <n v="0.14399999999999999"/>
    <n v="1"/>
    <n v="0"/>
    <n v="0"/>
    <n v="1"/>
    <n v="100"/>
    <n v="0"/>
    <n v="0"/>
    <s v="Consolidation"/>
    <s v="CO2e and Base Measure"/>
    <n v="100"/>
    <n v="100"/>
    <n v="0.14000000000000001"/>
    <m/>
    <m/>
    <m/>
    <m/>
    <m/>
    <m/>
    <m/>
    <m/>
    <m/>
    <m/>
    <m/>
    <m/>
    <m/>
    <s v="AUD"/>
    <s v="13634447Waste Recycled - Paper and Cardboard [t]"/>
    <n v="13634447"/>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2-01T00:00:00"/>
    <s v="FY21"/>
    <s v="t"/>
    <n v="0.154"/>
    <n v="0"/>
    <n v="0"/>
    <n v="0.154"/>
    <n v="1"/>
    <n v="0"/>
    <n v="0"/>
    <n v="1"/>
    <n v="100"/>
    <n v="0"/>
    <n v="0"/>
    <s v="Consolidation"/>
    <s v="CO2e and Base Measure"/>
    <n v="100"/>
    <n v="100"/>
    <n v="0.15"/>
    <m/>
    <m/>
    <m/>
    <m/>
    <m/>
    <m/>
    <m/>
    <m/>
    <m/>
    <m/>
    <m/>
    <m/>
    <m/>
    <s v="AUD"/>
    <s v="13634447Waste Recycled - Paper and Cardboard [t]"/>
    <n v="13634447"/>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3-01T00:00:00"/>
    <s v="FY21"/>
    <s v="t"/>
    <n v="7.6999999999999999E-2"/>
    <n v="0"/>
    <n v="0"/>
    <n v="7.6999999999999999E-2"/>
    <n v="1"/>
    <n v="0"/>
    <n v="0"/>
    <n v="1"/>
    <n v="100"/>
    <n v="0"/>
    <n v="0"/>
    <s v="Consolidation"/>
    <s v="CO2e and Base Measure"/>
    <n v="100"/>
    <n v="100"/>
    <n v="0.08"/>
    <m/>
    <m/>
    <m/>
    <m/>
    <m/>
    <m/>
    <m/>
    <m/>
    <m/>
    <m/>
    <m/>
    <m/>
    <m/>
    <s v="AUD"/>
    <s v="13634447Waste Recycled - Paper and Cardboard [t]"/>
    <n v="13634447"/>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4-01T00:00:00"/>
    <s v="FY21"/>
    <s v="t"/>
    <n v="0"/>
    <n v="0"/>
    <n v="0.126"/>
    <n v="0.126"/>
    <n v="0"/>
    <n v="0"/>
    <n v="30"/>
    <n v="30"/>
    <n v="0"/>
    <n v="0"/>
    <n v="100"/>
    <s v="Consolidation"/>
    <s v="CO2e and Base Measure"/>
    <n v="100"/>
    <n v="100"/>
    <n v="0.13"/>
    <m/>
    <m/>
    <m/>
    <m/>
    <m/>
    <m/>
    <m/>
    <m/>
    <m/>
    <m/>
    <m/>
    <m/>
    <m/>
    <s v="AUD"/>
    <s v="13634447Waste Recycled - Paper and Cardboard [t]"/>
    <n v="13634447"/>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5-01T00:00:00"/>
    <s v="FY21"/>
    <s v="t"/>
    <n v="0"/>
    <n v="0"/>
    <n v="0.13020000000000001"/>
    <n v="0.13020000000000001"/>
    <n v="0"/>
    <n v="0"/>
    <n v="31"/>
    <n v="31"/>
    <n v="0"/>
    <n v="0"/>
    <n v="100"/>
    <s v="Consolidation"/>
    <s v="CO2e and Base Measure"/>
    <n v="100"/>
    <n v="100"/>
    <n v="0.13"/>
    <m/>
    <m/>
    <m/>
    <m/>
    <m/>
    <m/>
    <m/>
    <m/>
    <m/>
    <m/>
    <m/>
    <m/>
    <m/>
    <s v="AUD"/>
    <s v="13634447Waste Recycled - Paper and Cardboard [t]"/>
    <n v="13634447"/>
  </r>
  <r>
    <d v="2019-07-01T00:00:00"/>
    <d v="2021-06-30T00:00:00"/>
    <s v="Telstra"/>
    <s v="NETWORK"/>
    <s v="Network - InfraCo"/>
    <s v="NSW"/>
    <s v="Australia"/>
    <s v="Prestons"/>
    <s v="MILLER EXCHANGE"/>
    <n v="423030220800"/>
    <s v="Recycled Waste"/>
    <x v="0"/>
    <x v="0"/>
    <s v="Account"/>
    <s v="Remondis Cardboard - Loose - Recycled"/>
    <m/>
    <s v="423030220800_RCARDBOAR"/>
    <s v="CARDBOARD - LOOSE - RECYCLED"/>
    <s v="Remondis"/>
    <m/>
    <m/>
    <d v="2020-12-01T00:00:00"/>
    <d v="2020-11-01T00:00:00"/>
    <s v="FY21"/>
    <s v="t"/>
    <n v="0"/>
    <n v="2.3300000000000001E-2"/>
    <n v="0"/>
    <n v="2.3300000000000001E-2"/>
    <n v="0"/>
    <n v="1"/>
    <n v="0"/>
    <n v="1"/>
    <n v="0"/>
    <n v="100"/>
    <n v="0"/>
    <s v="Consolidation"/>
    <s v="CO2e and Base Measure"/>
    <n v="100"/>
    <n v="100"/>
    <n v="0.02"/>
    <m/>
    <m/>
    <m/>
    <m/>
    <m/>
    <m/>
    <n v="0"/>
    <m/>
    <m/>
    <m/>
    <m/>
    <m/>
    <m/>
    <s v="AUD"/>
    <s v="13564293Waste Recycled - Cardboard [t]"/>
    <n v="13564293"/>
  </r>
  <r>
    <d v="2019-07-01T00:00:00"/>
    <d v="2021-06-30T00:00:00"/>
    <s v="Telstra"/>
    <s v="NETWORK"/>
    <s v="Network - InfraCo"/>
    <s v="NSW"/>
    <s v="Australia"/>
    <s v="Prestons"/>
    <s v="MILLER EXCHANGE"/>
    <n v="423030220800"/>
    <s v="Recycled Waste"/>
    <x v="0"/>
    <x v="0"/>
    <s v="Account"/>
    <s v="Remondis Cardboard - Loose - Recycled"/>
    <m/>
    <s v="423030220800_RCARDBOAR"/>
    <s v="CARDBOARD - LOOSE - RECYCLED"/>
    <s v="Remondis"/>
    <m/>
    <m/>
    <d v="2020-12-01T00:00:00"/>
    <d v="2020-12-01T00:00:00"/>
    <s v="FY21"/>
    <s v="t"/>
    <n v="0"/>
    <n v="0"/>
    <n v="8.0000000000000004E-4"/>
    <n v="8.0000000000000004E-4"/>
    <n v="0"/>
    <n v="0"/>
    <n v="1"/>
    <n v="1"/>
    <n v="0"/>
    <n v="0"/>
    <n v="100"/>
    <s v="Consolidation"/>
    <s v="CO2e and Base Measure"/>
    <n v="100"/>
    <n v="100"/>
    <n v="0"/>
    <m/>
    <m/>
    <m/>
    <m/>
    <m/>
    <m/>
    <n v="0"/>
    <m/>
    <m/>
    <m/>
    <m/>
    <m/>
    <m/>
    <s v="AUD"/>
    <s v="13564293Waste Recycled - Cardboard [t]"/>
    <n v="13564293"/>
  </r>
  <r>
    <d v="2019-07-01T00:00:00"/>
    <d v="2021-06-30T00:00:00"/>
    <s v="Telstra"/>
    <s v="NETWORK"/>
    <s v="Network - InfraCo"/>
    <s v="NSW"/>
    <s v="Australia"/>
    <s v="Prestons"/>
    <s v="MILLER EXCHANGE"/>
    <n v="423030220800"/>
    <s v="Waste"/>
    <x v="1"/>
    <x v="2"/>
    <s v="Account"/>
    <s v="Remondis General Waste"/>
    <m/>
    <s v="423030220800_WGENERALW"/>
    <s v="GENERAL WASTE"/>
    <s v="Remondis"/>
    <m/>
    <m/>
    <d v="2020-12-01T00:00:00"/>
    <d v="2020-11-01T00:00:00"/>
    <s v="FY21"/>
    <s v="t"/>
    <n v="0"/>
    <n v="0.43290000000000001"/>
    <n v="0"/>
    <n v="0.43290000000000001"/>
    <n v="0"/>
    <n v="1"/>
    <n v="0"/>
    <n v="1"/>
    <n v="0"/>
    <n v="100"/>
    <n v="0"/>
    <s v="Consolidation"/>
    <s v="CO2e and Base Measure"/>
    <n v="100"/>
    <n v="100"/>
    <n v="0.43"/>
    <m/>
    <m/>
    <m/>
    <m/>
    <m/>
    <n v="0.56279999999999997"/>
    <m/>
    <n v="0.56279999999999997"/>
    <m/>
    <m/>
    <m/>
    <m/>
    <m/>
    <s v="AUD"/>
    <s v="13564294Waste - General [t] - Scope 3"/>
    <n v="13564294"/>
  </r>
  <r>
    <d v="2019-07-01T00:00:00"/>
    <d v="2021-06-30T00:00:00"/>
    <s v="Telstra"/>
    <s v="NETWORK"/>
    <s v="Network - InfraCo"/>
    <s v="NSW"/>
    <s v="Australia"/>
    <s v="Prestons"/>
    <s v="MILLER EXCHANGE"/>
    <n v="423030220800"/>
    <s v="Waste"/>
    <x v="1"/>
    <x v="2"/>
    <s v="Account"/>
    <s v="Remondis General Waste"/>
    <m/>
    <s v="423030220800_WGENERALW"/>
    <s v="GENERAL WASTE"/>
    <s v="Remondis"/>
    <m/>
    <m/>
    <d v="2020-12-01T00:00:00"/>
    <d v="2020-12-01T00:00:00"/>
    <s v="FY21"/>
    <s v="t"/>
    <n v="0"/>
    <n v="0"/>
    <n v="1.49E-2"/>
    <n v="1.49E-2"/>
    <n v="0"/>
    <n v="0"/>
    <n v="1"/>
    <n v="1"/>
    <n v="0"/>
    <n v="0"/>
    <n v="100"/>
    <s v="Consolidation"/>
    <s v="CO2e and Base Measure"/>
    <n v="100"/>
    <n v="100"/>
    <n v="0.01"/>
    <m/>
    <m/>
    <m/>
    <m/>
    <m/>
    <n v="1.9400000000000001E-2"/>
    <m/>
    <n v="1.9400000000000001E-2"/>
    <m/>
    <m/>
    <m/>
    <m/>
    <m/>
    <s v="AUD"/>
    <s v="13564294Waste - General [t] - Scope 3"/>
    <n v="13564294"/>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0-12-01T00:00:00"/>
    <s v="FY21"/>
    <s v="t"/>
    <n v="0"/>
    <n v="2.75E-2"/>
    <n v="0"/>
    <n v="2.75E-2"/>
    <n v="0"/>
    <n v="1"/>
    <n v="0"/>
    <n v="1"/>
    <n v="0"/>
    <n v="100"/>
    <n v="0"/>
    <s v="Consolidation"/>
    <s v="CO2e and Base Measure"/>
    <n v="100"/>
    <n v="100"/>
    <n v="0.03"/>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1-01T00:00:00"/>
    <s v="FY21"/>
    <s v="t"/>
    <n v="0"/>
    <n v="5.5E-2"/>
    <n v="0"/>
    <n v="5.5E-2"/>
    <n v="0"/>
    <n v="2"/>
    <n v="0"/>
    <n v="2"/>
    <n v="0"/>
    <n v="100"/>
    <n v="0"/>
    <s v="Consolidation"/>
    <s v="CO2e and Base Measure"/>
    <n v="100"/>
    <n v="100"/>
    <n v="0.06"/>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2-01T00:00:00"/>
    <s v="FY21"/>
    <s v="t"/>
    <n v="0"/>
    <n v="5.5E-2"/>
    <n v="0"/>
    <n v="5.5E-2"/>
    <n v="0"/>
    <n v="2"/>
    <n v="0"/>
    <n v="2"/>
    <n v="0"/>
    <n v="100"/>
    <n v="0"/>
    <s v="Consolidation"/>
    <s v="CO2e and Base Measure"/>
    <n v="100"/>
    <n v="100"/>
    <n v="0.06"/>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3-01T00:00:00"/>
    <s v="FY21"/>
    <s v="t"/>
    <n v="0"/>
    <n v="0"/>
    <n v="4.65E-2"/>
    <n v="4.65E-2"/>
    <n v="0"/>
    <n v="0"/>
    <n v="31"/>
    <n v="31"/>
    <n v="0"/>
    <n v="0"/>
    <n v="100"/>
    <s v="Consolidation"/>
    <s v="CO2e and Base Measure"/>
    <n v="100"/>
    <n v="100"/>
    <n v="0.05"/>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4-01T00:00:00"/>
    <s v="FY21"/>
    <s v="t"/>
    <n v="0"/>
    <n v="0"/>
    <n v="4.4999999999999998E-2"/>
    <n v="4.4999999999999998E-2"/>
    <n v="0"/>
    <n v="0"/>
    <n v="30"/>
    <n v="30"/>
    <n v="0"/>
    <n v="0"/>
    <n v="100"/>
    <s v="Consolidation"/>
    <s v="CO2e and Base Measure"/>
    <n v="100"/>
    <n v="100"/>
    <n v="0.05"/>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5-01T00:00:00"/>
    <s v="FY21"/>
    <s v="t"/>
    <n v="0"/>
    <n v="0"/>
    <n v="4.65E-2"/>
    <n v="4.65E-2"/>
    <n v="0"/>
    <n v="0"/>
    <n v="31"/>
    <n v="31"/>
    <n v="0"/>
    <n v="0"/>
    <n v="100"/>
    <s v="Consolidation"/>
    <s v="CO2e and Base Measure"/>
    <n v="100"/>
    <n v="100"/>
    <n v="0.05"/>
    <m/>
    <m/>
    <m/>
    <m/>
    <m/>
    <m/>
    <m/>
    <m/>
    <m/>
    <m/>
    <m/>
    <m/>
    <m/>
    <s v="AUD"/>
    <s v="13634176Waste Recycled - Paper and Cardboard [t]"/>
    <n v="13634176"/>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1-01T00:00:00"/>
    <s v="FY21"/>
    <s v="t"/>
    <n v="0.16900000000000001"/>
    <n v="0"/>
    <n v="0"/>
    <n v="0.16900000000000001"/>
    <n v="1"/>
    <n v="0"/>
    <n v="0"/>
    <n v="1"/>
    <n v="100"/>
    <n v="0"/>
    <n v="0"/>
    <s v="Consolidation"/>
    <s v="CO2e and Base Measure"/>
    <n v="100"/>
    <n v="100"/>
    <n v="0.17"/>
    <m/>
    <m/>
    <m/>
    <m/>
    <m/>
    <n v="0.21970000000000001"/>
    <m/>
    <n v="0.21970000000000001"/>
    <m/>
    <m/>
    <m/>
    <m/>
    <m/>
    <s v="AUD"/>
    <s v="13634448Waste - General [t] - Scope 3"/>
    <n v="13634448"/>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2-01T00:00:00"/>
    <s v="FY21"/>
    <s v="t"/>
    <n v="0"/>
    <n v="0"/>
    <n v="0.15679999999999999"/>
    <n v="0.15679999999999999"/>
    <n v="0"/>
    <n v="0"/>
    <n v="28"/>
    <n v="28"/>
    <n v="0"/>
    <n v="0"/>
    <n v="100"/>
    <s v="Consolidation"/>
    <s v="CO2e and Base Measure"/>
    <n v="100"/>
    <n v="100"/>
    <n v="0.16"/>
    <m/>
    <m/>
    <m/>
    <m/>
    <m/>
    <n v="0.20380000000000001"/>
    <m/>
    <n v="0.20380000000000001"/>
    <m/>
    <m/>
    <m/>
    <m/>
    <m/>
    <s v="AUD"/>
    <s v="13634448Waste - General [t] - Scope 3"/>
    <n v="13634448"/>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3-01T00:00:00"/>
    <s v="FY21"/>
    <s v="t"/>
    <n v="0"/>
    <n v="0"/>
    <n v="0.1736"/>
    <n v="0.1736"/>
    <n v="0"/>
    <n v="0"/>
    <n v="31"/>
    <n v="31"/>
    <n v="0"/>
    <n v="0"/>
    <n v="100"/>
    <s v="Consolidation"/>
    <s v="CO2e and Base Measure"/>
    <n v="100"/>
    <n v="100"/>
    <n v="0.17"/>
    <m/>
    <m/>
    <m/>
    <m/>
    <m/>
    <n v="0.22570000000000001"/>
    <m/>
    <n v="0.22570000000000001"/>
    <m/>
    <m/>
    <m/>
    <m/>
    <m/>
    <s v="AUD"/>
    <s v="13634448Waste - General [t] - Scope 3"/>
    <n v="13634448"/>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4-01T00:00:00"/>
    <s v="FY21"/>
    <s v="t"/>
    <n v="0"/>
    <n v="0"/>
    <n v="0.16800000000000001"/>
    <n v="0.16800000000000001"/>
    <n v="0"/>
    <n v="0"/>
    <n v="30"/>
    <n v="30"/>
    <n v="0"/>
    <n v="0"/>
    <n v="100"/>
    <s v="Consolidation"/>
    <s v="CO2e and Base Measure"/>
    <n v="100"/>
    <n v="100"/>
    <n v="0.17"/>
    <m/>
    <m/>
    <m/>
    <m/>
    <m/>
    <n v="0.21840000000000001"/>
    <m/>
    <n v="0.21840000000000001"/>
    <m/>
    <m/>
    <m/>
    <m/>
    <m/>
    <s v="AUD"/>
    <s v="13634448Waste - General [t] - Scope 3"/>
    <n v="13634448"/>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5-01T00:00:00"/>
    <s v="FY21"/>
    <s v="t"/>
    <n v="0"/>
    <n v="0"/>
    <n v="0.1736"/>
    <n v="0.1736"/>
    <n v="0"/>
    <n v="0"/>
    <n v="31"/>
    <n v="31"/>
    <n v="0"/>
    <n v="0"/>
    <n v="100"/>
    <s v="Consolidation"/>
    <s v="CO2e and Base Measure"/>
    <n v="100"/>
    <n v="100"/>
    <n v="0.17"/>
    <m/>
    <m/>
    <m/>
    <m/>
    <m/>
    <n v="0.22570000000000001"/>
    <m/>
    <n v="0.22570000000000001"/>
    <m/>
    <m/>
    <m/>
    <m/>
    <m/>
    <s v="AUD"/>
    <s v="13634448Waste - General [t] - Scope 3"/>
    <n v="13634448"/>
  </r>
  <r>
    <d v="2019-07-01T00:00:00"/>
    <d v="2021-06-30T00:00:00"/>
    <s v="Telstra"/>
    <s v="NETWORK"/>
    <s v="Network - InfraCo"/>
    <s v="SA"/>
    <s v="Australia"/>
    <s v="Millicent"/>
    <s v="MILLICENT EXCHANGE"/>
    <n v="423030561600"/>
    <s v="Recycled Waste"/>
    <x v="0"/>
    <x v="0"/>
    <s v="Account"/>
    <s v="Remondis Cardboard - Loose - Recycled"/>
    <m/>
    <s v="423030561600_RCARDBOAR"/>
    <s v="CARDBOARD - LOOSE - RECYCLED"/>
    <s v="Remondis"/>
    <m/>
    <m/>
    <d v="2020-09-01T00:00:00"/>
    <d v="2020-08-01T00:00:00"/>
    <s v="FY21"/>
    <s v="t"/>
    <n v="0"/>
    <n v="3.15E-2"/>
    <n v="0"/>
    <n v="3.15E-2"/>
    <n v="0"/>
    <n v="1"/>
    <n v="0"/>
    <n v="1"/>
    <n v="0"/>
    <n v="100"/>
    <n v="0"/>
    <s v="Consolidation"/>
    <s v="CO2e and Base Measure"/>
    <n v="100"/>
    <n v="100"/>
    <n v="0.03"/>
    <m/>
    <m/>
    <m/>
    <m/>
    <m/>
    <m/>
    <n v="0"/>
    <m/>
    <m/>
    <m/>
    <m/>
    <m/>
    <m/>
    <s v="AUD"/>
    <s v="13564832Waste Recycled - Cardboard [t]"/>
    <n v="13564832"/>
  </r>
  <r>
    <d v="2019-07-01T00:00:00"/>
    <d v="2021-06-30T00:00:00"/>
    <s v="Telstra"/>
    <s v="NETWORK"/>
    <s v="Network - InfraCo"/>
    <s v="SA"/>
    <s v="Australia"/>
    <s v="Millicent"/>
    <s v="MILLICENT EXCHANGE"/>
    <n v="423030561600"/>
    <s v="Recycled Waste"/>
    <x v="0"/>
    <x v="0"/>
    <s v="Account"/>
    <s v="Remondis Cardboard - Loose - Recycled"/>
    <m/>
    <s v="423030561600_RCARDBOAR"/>
    <s v="CARDBOARD - LOOSE - RECYCLED"/>
    <s v="Remondis"/>
    <m/>
    <m/>
    <d v="2020-09-01T00:00:00"/>
    <d v="2020-09-01T00:00:00"/>
    <s v="FY21"/>
    <s v="t"/>
    <n v="0"/>
    <n v="0"/>
    <n v="1E-3"/>
    <n v="1E-3"/>
    <n v="0"/>
    <n v="0"/>
    <n v="1"/>
    <n v="1"/>
    <n v="0"/>
    <n v="0"/>
    <n v="100"/>
    <s v="Consolidation"/>
    <s v="CO2e and Base Measure"/>
    <n v="100"/>
    <n v="100"/>
    <n v="0"/>
    <m/>
    <m/>
    <m/>
    <m/>
    <m/>
    <m/>
    <n v="0"/>
    <m/>
    <m/>
    <m/>
    <m/>
    <m/>
    <m/>
    <s v="AUD"/>
    <s v="13564832Waste Recycled - Cardboard [t]"/>
    <n v="13564832"/>
  </r>
  <r>
    <d v="2019-07-01T00:00:00"/>
    <d v="2021-06-30T00:00:00"/>
    <s v="Telstra"/>
    <s v="NETWORK"/>
    <s v="Network - InfraCo"/>
    <s v="SA"/>
    <s v="Australia"/>
    <s v="Millicent"/>
    <s v="MILLICENT EXCHANGE"/>
    <n v="423030561600"/>
    <s v="Waste"/>
    <x v="1"/>
    <x v="2"/>
    <s v="Account"/>
    <s v="Remondis General Waste"/>
    <m/>
    <s v="423030561600_WGENERALW"/>
    <s v="GENERAL WASTE"/>
    <s v="Remondis"/>
    <m/>
    <m/>
    <d v="2020-09-01T00:00:00"/>
    <d v="2020-08-01T00:00:00"/>
    <s v="FY21"/>
    <s v="t"/>
    <n v="0"/>
    <n v="0.22750000000000001"/>
    <n v="0"/>
    <n v="0.22750000000000001"/>
    <n v="0"/>
    <n v="1"/>
    <n v="0"/>
    <n v="1"/>
    <n v="0"/>
    <n v="100"/>
    <n v="0"/>
    <s v="Consolidation"/>
    <s v="CO2e and Base Measure"/>
    <n v="100"/>
    <n v="100"/>
    <n v="0.23"/>
    <m/>
    <m/>
    <m/>
    <m/>
    <m/>
    <n v="0.29580000000000001"/>
    <m/>
    <n v="0.29580000000000001"/>
    <m/>
    <m/>
    <m/>
    <m/>
    <m/>
    <s v="AUD"/>
    <s v="13564833Waste - General [t] - Scope 3"/>
    <n v="13564833"/>
  </r>
  <r>
    <d v="2019-07-01T00:00:00"/>
    <d v="2021-06-30T00:00:00"/>
    <s v="Telstra"/>
    <s v="NETWORK"/>
    <s v="Network - InfraCo"/>
    <s v="SA"/>
    <s v="Australia"/>
    <s v="Millicent"/>
    <s v="MILLICENT EXCHANGE"/>
    <n v="423030561600"/>
    <s v="Waste"/>
    <x v="1"/>
    <x v="2"/>
    <s v="Account"/>
    <s v="Remondis General Waste"/>
    <m/>
    <s v="423030561600_WGENERALW"/>
    <s v="GENERAL WASTE"/>
    <s v="Remondis"/>
    <m/>
    <m/>
    <d v="2020-09-01T00:00:00"/>
    <d v="2020-09-01T00:00:00"/>
    <s v="FY21"/>
    <s v="t"/>
    <n v="0"/>
    <n v="0"/>
    <n v="7.6E-3"/>
    <n v="7.6E-3"/>
    <n v="0"/>
    <n v="0"/>
    <n v="1"/>
    <n v="1"/>
    <n v="0"/>
    <n v="0"/>
    <n v="100"/>
    <s v="Consolidation"/>
    <s v="CO2e and Base Measure"/>
    <n v="100"/>
    <n v="100"/>
    <n v="0.01"/>
    <m/>
    <m/>
    <m/>
    <m/>
    <m/>
    <n v="9.9000000000000008E-3"/>
    <m/>
    <n v="9.9000000000000008E-3"/>
    <m/>
    <m/>
    <m/>
    <m/>
    <m/>
    <s v="AUD"/>
    <s v="13564833Waste - General [t] - Scope 3"/>
    <n v="13564833"/>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0-07-01T00:00:00"/>
    <s v="FY21"/>
    <s v="t"/>
    <n v="2.7E-2"/>
    <n v="0"/>
    <n v="0"/>
    <n v="2.7E-2"/>
    <n v="1"/>
    <n v="0"/>
    <n v="0"/>
    <n v="1"/>
    <n v="100"/>
    <n v="0"/>
    <n v="0"/>
    <s v="Consolidation"/>
    <s v="CO2e and Base Measure"/>
    <n v="100"/>
    <n v="100"/>
    <n v="0.03"/>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0-09-01T00:00:00"/>
    <s v="FY21"/>
    <s v="t"/>
    <n v="2E-3"/>
    <n v="0"/>
    <n v="0"/>
    <n v="2E-3"/>
    <n v="1"/>
    <n v="0"/>
    <n v="0"/>
    <n v="1"/>
    <n v="100"/>
    <n v="0"/>
    <n v="0"/>
    <s v="Consolidation"/>
    <s v="CO2e and Base Measure"/>
    <n v="100"/>
    <n v="100"/>
    <n v="0"/>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0-11-01T00:00:00"/>
    <s v="FY21"/>
    <s v="t"/>
    <n v="2.7E-2"/>
    <n v="0"/>
    <n v="0"/>
    <n v="2.7E-2"/>
    <n v="1"/>
    <n v="0"/>
    <n v="0"/>
    <n v="1"/>
    <n v="100"/>
    <n v="0"/>
    <n v="0"/>
    <s v="Consolidation"/>
    <s v="CO2e and Base Measure"/>
    <n v="100"/>
    <n v="100"/>
    <n v="0.03"/>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0-12-01T00:00:00"/>
    <s v="FY21"/>
    <s v="t"/>
    <n v="0"/>
    <n v="0"/>
    <n v="1.24E-2"/>
    <n v="1.24E-2"/>
    <n v="0"/>
    <n v="0"/>
    <n v="31"/>
    <n v="31"/>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1-01T00:00:00"/>
    <s v="FY21"/>
    <s v="t"/>
    <n v="0"/>
    <n v="0"/>
    <n v="1.24E-2"/>
    <n v="1.24E-2"/>
    <n v="0"/>
    <n v="0"/>
    <n v="31"/>
    <n v="31"/>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2-01T00:00:00"/>
    <s v="FY21"/>
    <s v="t"/>
    <n v="0"/>
    <n v="0"/>
    <n v="1.12E-2"/>
    <n v="1.12E-2"/>
    <n v="0"/>
    <n v="0"/>
    <n v="28"/>
    <n v="28"/>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3-01T00:00:00"/>
    <s v="FY21"/>
    <s v="t"/>
    <n v="0"/>
    <n v="0"/>
    <n v="1.24E-2"/>
    <n v="1.24E-2"/>
    <n v="0"/>
    <n v="0"/>
    <n v="31"/>
    <n v="31"/>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4-01T00:00:00"/>
    <s v="FY21"/>
    <s v="t"/>
    <n v="0"/>
    <n v="0"/>
    <n v="1.2E-2"/>
    <n v="1.2E-2"/>
    <n v="0"/>
    <n v="0"/>
    <n v="30"/>
    <n v="30"/>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5-01T00:00:00"/>
    <s v="FY21"/>
    <s v="t"/>
    <n v="0"/>
    <n v="0"/>
    <n v="1.24E-2"/>
    <n v="1.24E-2"/>
    <n v="0"/>
    <n v="0"/>
    <n v="31"/>
    <n v="31"/>
    <n v="0"/>
    <n v="0"/>
    <n v="100"/>
    <s v="Consolidation"/>
    <s v="CO2e and Base Measure"/>
    <n v="100"/>
    <n v="100"/>
    <n v="0.01"/>
    <m/>
    <m/>
    <m/>
    <m/>
    <m/>
    <m/>
    <m/>
    <m/>
    <m/>
    <m/>
    <m/>
    <m/>
    <m/>
    <s v="AUD"/>
    <s v="13566349Waste Recycled - Paper and Cardboard [t]"/>
    <n v="13566349"/>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07-01T00:00:00"/>
    <s v="FY21"/>
    <s v="t"/>
    <n v="0.64300000000000002"/>
    <n v="0"/>
    <n v="0"/>
    <n v="0.64300000000000002"/>
    <n v="8"/>
    <n v="0"/>
    <n v="0"/>
    <n v="8"/>
    <n v="100"/>
    <n v="0"/>
    <n v="0"/>
    <s v="Consolidation"/>
    <s v="CO2e and Base Measure"/>
    <n v="100"/>
    <n v="100"/>
    <n v="0.64"/>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08-01T00:00:00"/>
    <s v="FY21"/>
    <s v="t"/>
    <n v="4.8000000000000001E-2"/>
    <n v="0"/>
    <n v="0"/>
    <n v="4.8000000000000001E-2"/>
    <n v="1"/>
    <n v="0"/>
    <n v="0"/>
    <n v="1"/>
    <n v="100"/>
    <n v="0"/>
    <n v="0"/>
    <s v="Consolidation"/>
    <s v="CO2e and Base Measure"/>
    <n v="100"/>
    <n v="100"/>
    <n v="0.05"/>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09-01T00:00:00"/>
    <s v="FY21"/>
    <s v="t"/>
    <n v="1.1859999999999999"/>
    <n v="0"/>
    <n v="0"/>
    <n v="1.1859999999999999"/>
    <n v="8"/>
    <n v="0"/>
    <n v="0"/>
    <n v="8"/>
    <n v="100"/>
    <n v="0"/>
    <n v="0"/>
    <s v="Consolidation"/>
    <s v="CO2e and Base Measure"/>
    <n v="100"/>
    <n v="100"/>
    <n v="1.19"/>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10-01T00:00:00"/>
    <s v="FY21"/>
    <s v="t"/>
    <n v="1.2250000000000001"/>
    <n v="0"/>
    <n v="0"/>
    <n v="1.2250000000000001"/>
    <n v="8"/>
    <n v="0"/>
    <n v="0"/>
    <n v="8"/>
    <n v="100"/>
    <n v="0"/>
    <n v="0"/>
    <s v="Consolidation"/>
    <s v="CO2e and Base Measure"/>
    <n v="100"/>
    <n v="100"/>
    <n v="1.23"/>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11-01T00:00:00"/>
    <s v="FY21"/>
    <s v="t"/>
    <n v="1.048"/>
    <n v="0"/>
    <n v="0"/>
    <n v="1.048"/>
    <n v="8"/>
    <n v="0"/>
    <n v="0"/>
    <n v="8"/>
    <n v="100"/>
    <n v="0"/>
    <n v="0"/>
    <s v="Consolidation"/>
    <s v="CO2e and Base Measure"/>
    <n v="100"/>
    <n v="100"/>
    <n v="1.05"/>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12-01T00:00:00"/>
    <s v="FY21"/>
    <s v="t"/>
    <n v="0.27600000000000002"/>
    <n v="0"/>
    <n v="0"/>
    <n v="0.27600000000000002"/>
    <n v="3"/>
    <n v="0"/>
    <n v="0"/>
    <n v="3"/>
    <n v="100"/>
    <n v="0"/>
    <n v="0"/>
    <s v="Consolidation"/>
    <s v="CO2e and Base Measure"/>
    <n v="100"/>
    <n v="100"/>
    <n v="0.28000000000000003"/>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1-01-01T00:00:00"/>
    <s v="FY21"/>
    <s v="t"/>
    <n v="0"/>
    <n v="0"/>
    <n v="2.3699999999999999E-2"/>
    <n v="2.3699999999999999E-2"/>
    <n v="0"/>
    <n v="0"/>
    <n v="1"/>
    <n v="1"/>
    <n v="0"/>
    <n v="0"/>
    <n v="100"/>
    <s v="Consolidation"/>
    <s v="CO2e and Base Measure"/>
    <n v="100"/>
    <n v="100"/>
    <n v="0.02"/>
    <m/>
    <m/>
    <m/>
    <m/>
    <m/>
    <m/>
    <m/>
    <m/>
    <m/>
    <m/>
    <m/>
    <m/>
    <m/>
    <s v="AUD"/>
    <s v="13602603Waste Recycled - E-waste [t]"/>
    <n v="13602603"/>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07-01T00:00:00"/>
    <s v="FY21"/>
    <s v="t"/>
    <n v="4.4999999999999998E-2"/>
    <n v="0"/>
    <n v="0"/>
    <n v="4.4999999999999998E-2"/>
    <n v="2"/>
    <n v="0"/>
    <n v="0"/>
    <n v="2"/>
    <n v="100"/>
    <n v="0"/>
    <n v="0"/>
    <s v="Consolidation"/>
    <s v="CO2e and Base Measure"/>
    <n v="100"/>
    <n v="100"/>
    <n v="0.05"/>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08-01T00:00:00"/>
    <s v="FY21"/>
    <s v="t"/>
    <n v="0.04"/>
    <n v="0"/>
    <n v="0"/>
    <n v="0.04"/>
    <n v="2"/>
    <n v="0"/>
    <n v="0"/>
    <n v="2"/>
    <n v="100"/>
    <n v="0"/>
    <n v="0"/>
    <s v="Consolidation"/>
    <s v="CO2e and Base Measure"/>
    <n v="100"/>
    <n v="100"/>
    <n v="0.04"/>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09-01T00:00:00"/>
    <s v="FY21"/>
    <s v="t"/>
    <n v="0.03"/>
    <n v="0"/>
    <n v="0"/>
    <n v="0.03"/>
    <n v="3"/>
    <n v="0"/>
    <n v="0"/>
    <n v="3"/>
    <n v="100"/>
    <n v="0"/>
    <n v="0"/>
    <s v="Consolidation"/>
    <s v="CO2e and Base Measure"/>
    <n v="100"/>
    <n v="100"/>
    <n v="0.03"/>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10-01T00:00:00"/>
    <s v="FY21"/>
    <s v="t"/>
    <n v="3.5000000000000003E-2"/>
    <n v="0"/>
    <n v="0"/>
    <n v="3.5000000000000003E-2"/>
    <n v="2"/>
    <n v="0"/>
    <n v="0"/>
    <n v="2"/>
    <n v="100"/>
    <n v="0"/>
    <n v="0"/>
    <s v="Consolidation"/>
    <s v="CO2e and Base Measure"/>
    <n v="100"/>
    <n v="100"/>
    <n v="0.04"/>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11-01T00:00:00"/>
    <s v="FY21"/>
    <s v="t"/>
    <n v="0.05"/>
    <n v="0"/>
    <n v="0"/>
    <n v="0.05"/>
    <n v="2"/>
    <n v="0"/>
    <n v="0"/>
    <n v="2"/>
    <n v="100"/>
    <n v="0"/>
    <n v="0"/>
    <s v="Consolidation"/>
    <s v="CO2e and Base Measure"/>
    <n v="100"/>
    <n v="100"/>
    <n v="0.05"/>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1-01-01T00:00:00"/>
    <s v="FY21"/>
    <s v="t"/>
    <n v="0"/>
    <n v="0"/>
    <n v="1.6000000000000001E-3"/>
    <n v="1.6000000000000001E-3"/>
    <n v="0"/>
    <n v="0"/>
    <n v="1"/>
    <n v="1"/>
    <n v="0"/>
    <n v="0"/>
    <n v="100"/>
    <s v="Consolidation"/>
    <s v="CO2e and Base Measure"/>
    <n v="100"/>
    <n v="100"/>
    <n v="0"/>
    <m/>
    <m/>
    <m/>
    <m/>
    <m/>
    <m/>
    <n v="0"/>
    <m/>
    <m/>
    <m/>
    <m/>
    <m/>
    <m/>
    <s v="AUD"/>
    <s v="13564346Waste Recycled - Cardboard [t]"/>
    <n v="13564346"/>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07-01T00:00:00"/>
    <s v="FY21"/>
    <s v="t"/>
    <n v="0.2"/>
    <n v="0.19500000000000001"/>
    <n v="0"/>
    <n v="0.39500000000000002"/>
    <n v="1"/>
    <n v="1"/>
    <n v="0"/>
    <n v="2"/>
    <n v="50.63"/>
    <n v="49.36"/>
    <n v="0"/>
    <s v="Consolidation"/>
    <s v="CO2e and Base Measure"/>
    <n v="100"/>
    <n v="100"/>
    <n v="0.4"/>
    <m/>
    <m/>
    <m/>
    <m/>
    <m/>
    <n v="0.51349999999999996"/>
    <m/>
    <n v="0.51349999999999996"/>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08-01T00:00:00"/>
    <s v="FY21"/>
    <s v="t"/>
    <n v="0.26"/>
    <n v="0"/>
    <n v="0"/>
    <n v="0.26"/>
    <n v="2"/>
    <n v="0"/>
    <n v="0"/>
    <n v="2"/>
    <n v="100"/>
    <n v="0"/>
    <n v="0"/>
    <s v="Consolidation"/>
    <s v="CO2e and Base Measure"/>
    <n v="100"/>
    <n v="100"/>
    <n v="0.26"/>
    <m/>
    <m/>
    <m/>
    <m/>
    <m/>
    <n v="0.33800000000000002"/>
    <m/>
    <n v="0.33800000000000002"/>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09-01T00:00:00"/>
    <s v="FY21"/>
    <s v="t"/>
    <n v="0.63500000000000001"/>
    <n v="0"/>
    <n v="0"/>
    <n v="0.63500000000000001"/>
    <n v="3"/>
    <n v="0"/>
    <n v="0"/>
    <n v="3"/>
    <n v="100"/>
    <n v="0"/>
    <n v="0"/>
    <s v="Consolidation"/>
    <s v="CO2e and Base Measure"/>
    <n v="100"/>
    <n v="100"/>
    <n v="0.64"/>
    <m/>
    <m/>
    <m/>
    <m/>
    <m/>
    <n v="0.82550000000000001"/>
    <m/>
    <n v="0.82550000000000001"/>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10-01T00:00:00"/>
    <s v="FY21"/>
    <s v="t"/>
    <n v="0.55000000000000004"/>
    <n v="0.65"/>
    <n v="0"/>
    <n v="1.2"/>
    <n v="2"/>
    <n v="1"/>
    <n v="0"/>
    <n v="3"/>
    <n v="45.83"/>
    <n v="54.16"/>
    <n v="0"/>
    <s v="Consolidation"/>
    <s v="CO2e and Base Measure"/>
    <n v="100"/>
    <n v="100"/>
    <n v="1.2"/>
    <m/>
    <m/>
    <m/>
    <m/>
    <m/>
    <n v="1.56"/>
    <m/>
    <n v="1.56"/>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11-01T00:00:00"/>
    <s v="FY21"/>
    <s v="t"/>
    <n v="2.95"/>
    <n v="0"/>
    <n v="0"/>
    <n v="2.95"/>
    <n v="3"/>
    <n v="0"/>
    <n v="0"/>
    <n v="3"/>
    <n v="100"/>
    <n v="0"/>
    <n v="0"/>
    <s v="Consolidation"/>
    <s v="CO2e and Base Measure"/>
    <n v="100"/>
    <n v="100"/>
    <n v="2.95"/>
    <m/>
    <m/>
    <m/>
    <m/>
    <m/>
    <n v="3.835"/>
    <m/>
    <n v="3.835"/>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1-01-01T00:00:00"/>
    <s v="FY21"/>
    <s v="t"/>
    <n v="0"/>
    <n v="0"/>
    <n v="3.0200000000000001E-2"/>
    <n v="3.0200000000000001E-2"/>
    <n v="0"/>
    <n v="0"/>
    <n v="1"/>
    <n v="1"/>
    <n v="0"/>
    <n v="0"/>
    <n v="100"/>
    <s v="Consolidation"/>
    <s v="CO2e and Base Measure"/>
    <n v="100"/>
    <n v="100"/>
    <n v="0.03"/>
    <m/>
    <m/>
    <m/>
    <m/>
    <m/>
    <n v="3.9300000000000002E-2"/>
    <m/>
    <n v="3.9300000000000002E-2"/>
    <m/>
    <m/>
    <m/>
    <m/>
    <m/>
    <s v="AUD"/>
    <s v="13564347Waste - General [t] - Scope 3"/>
    <n v="13564347"/>
  </r>
  <r>
    <d v="2019-07-01T00:00:00"/>
    <d v="2021-06-30T00:00:00"/>
    <s v="Telstra"/>
    <s v="NETWORK"/>
    <s v="Network - InfraCo"/>
    <s v="NSW"/>
    <s v="Australia"/>
    <s v="Leumeah"/>
    <s v="MINTO EXCHANGE"/>
    <n v="423030279400"/>
    <s v="Waste"/>
    <x v="1"/>
    <x v="4"/>
    <s v="Account"/>
    <s v="Remondis Asbestos"/>
    <m/>
    <s v="423030279400_WASBESCON"/>
    <s v="ASBESTOS CONSTRUCTION &amp; DEMOLITION"/>
    <s v="Remondis"/>
    <m/>
    <d v="2020-11-04T00:00:00"/>
    <d v="2020-11-04T00:00:00"/>
    <d v="2020-11-01T00:00:00"/>
    <s v="FY21"/>
    <s v="t"/>
    <n v="1"/>
    <n v="0"/>
    <n v="0"/>
    <n v="1"/>
    <n v="1"/>
    <n v="0"/>
    <n v="0"/>
    <n v="1"/>
    <n v="100"/>
    <n v="0"/>
    <n v="0"/>
    <s v="Consolidation"/>
    <s v="CO2e and Base Measure"/>
    <n v="100"/>
    <n v="100"/>
    <n v="1"/>
    <m/>
    <m/>
    <m/>
    <m/>
    <m/>
    <n v="1.2"/>
    <m/>
    <n v="1.2"/>
    <m/>
    <m/>
    <m/>
    <m/>
    <m/>
    <s v="AUD"/>
    <s v="13632342Waste - Construction and Demolition [t]"/>
    <n v="13632342"/>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1-01T00:00:00"/>
    <s v="FY21"/>
    <s v="t"/>
    <n v="0.47099999999999997"/>
    <n v="0"/>
    <n v="0"/>
    <n v="0.47099999999999997"/>
    <n v="2"/>
    <n v="0"/>
    <n v="0"/>
    <n v="2"/>
    <n v="100"/>
    <n v="0"/>
    <n v="0"/>
    <s v="Consolidation"/>
    <s v="CO2e and Base Measure"/>
    <n v="100"/>
    <n v="100"/>
    <n v="0.47"/>
    <m/>
    <m/>
    <m/>
    <m/>
    <m/>
    <n v="0.61229999999999996"/>
    <m/>
    <n v="0.61229999999999996"/>
    <m/>
    <m/>
    <m/>
    <m/>
    <m/>
    <s v="AUD"/>
    <s v="13634449Waste - General [t] - Scope 3"/>
    <n v="13634449"/>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2-01T00:00:00"/>
    <s v="FY21"/>
    <s v="t"/>
    <n v="0.499"/>
    <n v="0"/>
    <n v="0"/>
    <n v="0.499"/>
    <n v="4"/>
    <n v="0"/>
    <n v="0"/>
    <n v="4"/>
    <n v="100"/>
    <n v="0"/>
    <n v="0"/>
    <s v="Consolidation"/>
    <s v="CO2e and Base Measure"/>
    <n v="100"/>
    <n v="100"/>
    <n v="0.5"/>
    <m/>
    <m/>
    <m/>
    <m/>
    <m/>
    <n v="0.64870000000000005"/>
    <m/>
    <n v="0.64870000000000005"/>
    <m/>
    <m/>
    <m/>
    <m/>
    <m/>
    <s v="AUD"/>
    <s v="13634449Waste - General [t] - Scope 3"/>
    <n v="13634449"/>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3-01T00:00:00"/>
    <s v="FY21"/>
    <s v="t"/>
    <n v="0.48599999999999999"/>
    <n v="0.27"/>
    <n v="0"/>
    <n v="0.75600000000000001"/>
    <n v="3"/>
    <n v="2"/>
    <n v="0"/>
    <n v="5"/>
    <n v="64.28"/>
    <n v="35.71"/>
    <n v="0"/>
    <s v="Consolidation"/>
    <s v="CO2e and Base Measure"/>
    <n v="100"/>
    <n v="100"/>
    <n v="0.76"/>
    <m/>
    <m/>
    <m/>
    <m/>
    <m/>
    <n v="0.98280000000000001"/>
    <m/>
    <n v="0.98280000000000001"/>
    <m/>
    <m/>
    <m/>
    <m/>
    <m/>
    <s v="AUD"/>
    <s v="13634449Waste - General [t] - Scope 3"/>
    <n v="13634449"/>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4-01T00:00:00"/>
    <s v="FY21"/>
    <s v="t"/>
    <n v="0"/>
    <n v="0"/>
    <n v="0.58199999999999996"/>
    <n v="0.58199999999999996"/>
    <n v="0"/>
    <n v="0"/>
    <n v="30"/>
    <n v="30"/>
    <n v="0"/>
    <n v="0"/>
    <n v="100"/>
    <s v="Consolidation"/>
    <s v="CO2e and Base Measure"/>
    <n v="100"/>
    <n v="100"/>
    <n v="0.57999999999999996"/>
    <m/>
    <m/>
    <m/>
    <m/>
    <m/>
    <n v="0.75660000000000005"/>
    <m/>
    <n v="0.75660000000000005"/>
    <m/>
    <m/>
    <m/>
    <m/>
    <m/>
    <s v="AUD"/>
    <s v="13634449Waste - General [t] - Scope 3"/>
    <n v="13634449"/>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5-01T00:00:00"/>
    <s v="FY21"/>
    <s v="t"/>
    <n v="0"/>
    <n v="0"/>
    <n v="0.60140000000000005"/>
    <n v="0.60140000000000005"/>
    <n v="0"/>
    <n v="0"/>
    <n v="31"/>
    <n v="31"/>
    <n v="0"/>
    <n v="0"/>
    <n v="100"/>
    <s v="Consolidation"/>
    <s v="CO2e and Base Measure"/>
    <n v="100"/>
    <n v="100"/>
    <n v="0.6"/>
    <m/>
    <m/>
    <m/>
    <m/>
    <m/>
    <n v="0.78180000000000005"/>
    <m/>
    <n v="0.78180000000000005"/>
    <m/>
    <m/>
    <m/>
    <m/>
    <m/>
    <s v="AUD"/>
    <s v="13634449Waste - General [t] - Scope 3"/>
    <n v="13634449"/>
  </r>
  <r>
    <d v="2019-07-01T00:00:00"/>
    <d v="2021-06-30T00:00:00"/>
    <s v="Telstra"/>
    <s v="NETWORK"/>
    <s v="Network - InfraCo"/>
    <s v="NSW"/>
    <s v="Australia"/>
    <s v="Leumeah"/>
    <s v="MINTO EXCHANGE"/>
    <n v="423030279400"/>
    <s v="Recycled Waste"/>
    <x v="0"/>
    <x v="0"/>
    <s v="Account"/>
    <s v="CLEANAWAY Cardboard"/>
    <m/>
    <s v="44025_Diversion_Cardboard"/>
    <s v="Cardboard"/>
    <s v="Cleanaway"/>
    <m/>
    <d v="2021-02-23T00:00:00"/>
    <m/>
    <d v="2021-02-01T00:00:00"/>
    <s v="FY21"/>
    <s v="t"/>
    <n v="7.0000000000000007E-2"/>
    <n v="0"/>
    <n v="0"/>
    <n v="7.0000000000000007E-2"/>
    <n v="1"/>
    <n v="0"/>
    <n v="0"/>
    <n v="1"/>
    <n v="100"/>
    <n v="0"/>
    <n v="0"/>
    <s v="Consolidation"/>
    <s v="CO2e and Base Measure"/>
    <n v="100"/>
    <n v="100"/>
    <n v="7.0000000000000007E-2"/>
    <m/>
    <m/>
    <m/>
    <m/>
    <m/>
    <m/>
    <m/>
    <m/>
    <m/>
    <m/>
    <m/>
    <m/>
    <m/>
    <s v="AUD"/>
    <s v="13639900Waste Recycled - Paper and Cardboard [t]"/>
    <n v="13639900"/>
  </r>
  <r>
    <d v="2019-07-01T00:00:00"/>
    <d v="2021-06-30T00:00:00"/>
    <s v="Telstra"/>
    <s v="NETWORK"/>
    <s v="Network - InfraCo"/>
    <s v="NSW"/>
    <s v="Australia"/>
    <s v="Leumeah"/>
    <s v="MINTO EXCHANGE"/>
    <n v="423030279400"/>
    <s v="Recycled Waste"/>
    <x v="0"/>
    <x v="0"/>
    <s v="Account"/>
    <s v="CLEANAWAY Cardboard"/>
    <m/>
    <s v="44025_Diversion_Cardboard"/>
    <s v="Cardboard"/>
    <s v="Cleanaway"/>
    <m/>
    <d v="2021-02-23T00:00:00"/>
    <m/>
    <d v="2021-03-01T00:00:00"/>
    <s v="FY21"/>
    <s v="t"/>
    <n v="0.50700000000000001"/>
    <n v="0"/>
    <n v="0"/>
    <n v="0.50700000000000001"/>
    <n v="5"/>
    <n v="0"/>
    <n v="0"/>
    <n v="5"/>
    <n v="100"/>
    <n v="0"/>
    <n v="0"/>
    <s v="Consolidation"/>
    <s v="CO2e and Base Measure"/>
    <n v="100"/>
    <n v="100"/>
    <n v="0.51"/>
    <m/>
    <m/>
    <m/>
    <m/>
    <m/>
    <m/>
    <m/>
    <m/>
    <m/>
    <m/>
    <m/>
    <m/>
    <m/>
    <s v="AUD"/>
    <s v="13639900Waste Recycled - Paper and Cardboard [t]"/>
    <n v="13639900"/>
  </r>
  <r>
    <d v="2019-07-01T00:00:00"/>
    <d v="2021-06-30T00:00:00"/>
    <s v="Telstra"/>
    <s v="NETWORK"/>
    <s v="Network - InfraCo"/>
    <s v="NSW"/>
    <s v="Australia"/>
    <s v="Leumeah"/>
    <s v="MINTO EXCHANGE"/>
    <n v="423030279400"/>
    <s v="Recycled Waste"/>
    <x v="0"/>
    <x v="0"/>
    <s v="Account"/>
    <s v="CLEANAWAY Cardboard"/>
    <m/>
    <s v="44025_Diversion_Cardboard"/>
    <s v="Cardboard"/>
    <s v="Cleanaway"/>
    <m/>
    <d v="2021-02-23T00:00:00"/>
    <m/>
    <d v="2021-04-01T00:00:00"/>
    <s v="FY21"/>
    <s v="t"/>
    <n v="0"/>
    <n v="0"/>
    <n v="0.29699999999999999"/>
    <n v="0.29699999999999999"/>
    <n v="0"/>
    <n v="0"/>
    <n v="30"/>
    <n v="30"/>
    <n v="0"/>
    <n v="0"/>
    <n v="100"/>
    <s v="Consolidation"/>
    <s v="CO2e and Base Measure"/>
    <n v="100"/>
    <n v="100"/>
    <n v="0.3"/>
    <m/>
    <m/>
    <m/>
    <m/>
    <m/>
    <m/>
    <m/>
    <m/>
    <m/>
    <m/>
    <m/>
    <m/>
    <m/>
    <s v="AUD"/>
    <s v="13639900Waste Recycled - Paper and Cardboard [t]"/>
    <n v="13639900"/>
  </r>
  <r>
    <d v="2019-07-01T00:00:00"/>
    <d v="2021-06-30T00:00:00"/>
    <s v="Telstra"/>
    <s v="NETWORK"/>
    <s v="Network - InfraCo"/>
    <s v="NSW"/>
    <s v="Australia"/>
    <s v="Leumeah"/>
    <s v="MINTO EXCHANGE"/>
    <n v="423030279400"/>
    <s v="Recycled Waste"/>
    <x v="0"/>
    <x v="0"/>
    <s v="Account"/>
    <s v="CLEANAWAY Cardboard"/>
    <m/>
    <s v="44025_Diversion_Cardboard"/>
    <s v="Cardboard"/>
    <s v="Cleanaway"/>
    <m/>
    <d v="2021-02-23T00:00:00"/>
    <m/>
    <d v="2021-05-01T00:00:00"/>
    <s v="FY21"/>
    <s v="t"/>
    <n v="0"/>
    <n v="0"/>
    <n v="0.30690000000000001"/>
    <n v="0.30690000000000001"/>
    <n v="0"/>
    <n v="0"/>
    <n v="31"/>
    <n v="31"/>
    <n v="0"/>
    <n v="0"/>
    <n v="100"/>
    <s v="Consolidation"/>
    <s v="CO2e and Base Measure"/>
    <n v="100"/>
    <n v="100"/>
    <n v="0.31"/>
    <m/>
    <m/>
    <m/>
    <m/>
    <m/>
    <m/>
    <m/>
    <m/>
    <m/>
    <m/>
    <m/>
    <m/>
    <m/>
    <s v="AUD"/>
    <s v="13639900Waste Recycled - Paper and Cardboard [t]"/>
    <n v="13639900"/>
  </r>
  <r>
    <d v="2019-07-01T00:00:00"/>
    <d v="2021-06-30T00:00:00"/>
    <s v="Telstra"/>
    <s v="NETWORK"/>
    <s v="Network - InfraCo"/>
    <s v="NSW"/>
    <s v="Australia"/>
    <s v="Miranda"/>
    <s v="MIRANDA EXCHANGE"/>
    <n v="423030280300"/>
    <s v="Recycled Waste"/>
    <x v="0"/>
    <x v="0"/>
    <s v="Account"/>
    <s v="Remondis Cardboard - Loose - Recycled"/>
    <m/>
    <s v="423030280300_RCARDBOAR"/>
    <s v="CARDBOARD - LOOSE - RECYCLED"/>
    <s v="Remondis"/>
    <m/>
    <m/>
    <d v="2020-10-01T00:00:00"/>
    <d v="2020-07-01T00:00:00"/>
    <s v="FY21"/>
    <s v="t"/>
    <n v="5.5E-2"/>
    <n v="0"/>
    <n v="0"/>
    <n v="5.5E-2"/>
    <n v="4"/>
    <n v="0"/>
    <n v="0"/>
    <n v="4"/>
    <n v="100"/>
    <n v="0"/>
    <n v="0"/>
    <s v="Consolidation"/>
    <s v="CO2e and Base Measure"/>
    <n v="100"/>
    <n v="100"/>
    <n v="0.06"/>
    <m/>
    <m/>
    <m/>
    <m/>
    <m/>
    <m/>
    <n v="0"/>
    <m/>
    <m/>
    <m/>
    <m/>
    <m/>
    <m/>
    <s v="AUD"/>
    <s v="13564350Waste Recycled - Cardboard [t]"/>
    <n v="13564350"/>
  </r>
  <r>
    <d v="2019-07-01T00:00:00"/>
    <d v="2021-06-30T00:00:00"/>
    <s v="Telstra"/>
    <s v="NETWORK"/>
    <s v="Network - InfraCo"/>
    <s v="NSW"/>
    <s v="Australia"/>
    <s v="Miranda"/>
    <s v="MIRANDA EXCHANGE"/>
    <n v="423030280300"/>
    <s v="Recycled Waste"/>
    <x v="0"/>
    <x v="0"/>
    <s v="Account"/>
    <s v="Remondis Cardboard - Loose - Recycled"/>
    <m/>
    <s v="423030280300_RCARDBOAR"/>
    <s v="CARDBOARD - LOOSE - RECYCLED"/>
    <s v="Remondis"/>
    <m/>
    <m/>
    <d v="2020-10-01T00:00:00"/>
    <d v="2020-08-01T00:00:00"/>
    <s v="FY21"/>
    <s v="t"/>
    <n v="0.15"/>
    <n v="0"/>
    <n v="0"/>
    <n v="0.15"/>
    <n v="5"/>
    <n v="0"/>
    <n v="0"/>
    <n v="5"/>
    <n v="100"/>
    <n v="0"/>
    <n v="0"/>
    <s v="Consolidation"/>
    <s v="CO2e and Base Measure"/>
    <n v="100"/>
    <n v="100"/>
    <n v="0.15"/>
    <m/>
    <m/>
    <m/>
    <m/>
    <m/>
    <m/>
    <n v="0"/>
    <m/>
    <m/>
    <m/>
    <m/>
    <m/>
    <m/>
    <s v="AUD"/>
    <s v="13564350Waste Recycled - Cardboard [t]"/>
    <n v="13564350"/>
  </r>
  <r>
    <d v="2019-07-01T00:00:00"/>
    <d v="2021-06-30T00:00:00"/>
    <s v="Telstra"/>
    <s v="NETWORK"/>
    <s v="Network - InfraCo"/>
    <s v="NSW"/>
    <s v="Australia"/>
    <s v="Miranda"/>
    <s v="MIRANDA EXCHANGE"/>
    <n v="423030280300"/>
    <s v="Recycled Waste"/>
    <x v="0"/>
    <x v="0"/>
    <s v="Account"/>
    <s v="Remondis Cardboard - Loose - Recycled"/>
    <m/>
    <s v="423030280300_RCARDBOAR"/>
    <s v="CARDBOARD - LOOSE - RECYCLED"/>
    <s v="Remondis"/>
    <m/>
    <m/>
    <d v="2020-10-01T00:00:00"/>
    <d v="2020-09-01T00:00:00"/>
    <s v="FY21"/>
    <s v="t"/>
    <n v="3.5000000000000003E-2"/>
    <n v="0"/>
    <n v="0"/>
    <n v="3.5000000000000003E-2"/>
    <n v="2"/>
    <n v="0"/>
    <n v="0"/>
    <n v="2"/>
    <n v="100"/>
    <n v="0"/>
    <n v="0"/>
    <s v="Consolidation"/>
    <s v="CO2e and Base Measure"/>
    <n v="100"/>
    <n v="100"/>
    <n v="0.04"/>
    <m/>
    <m/>
    <m/>
    <m/>
    <m/>
    <m/>
    <n v="0"/>
    <m/>
    <m/>
    <m/>
    <m/>
    <m/>
    <m/>
    <s v="AUD"/>
    <s v="13564350Waste Recycled - Cardboard [t]"/>
    <n v="13564350"/>
  </r>
  <r>
    <d v="2019-07-01T00:00:00"/>
    <d v="2021-06-30T00:00:00"/>
    <s v="Telstra"/>
    <s v="NETWORK"/>
    <s v="Network - InfraCo"/>
    <s v="NSW"/>
    <s v="Australia"/>
    <s v="Miranda"/>
    <s v="MIRANDA EXCHANGE"/>
    <n v="423030280300"/>
    <s v="Recycled Waste"/>
    <x v="0"/>
    <x v="0"/>
    <s v="Account"/>
    <s v="Remondis Cardboard - Loose - Recycled"/>
    <m/>
    <s v="423030280300_RCARDBOAR"/>
    <s v="CARDBOARD - LOOSE - RECYCLED"/>
    <s v="Remondis"/>
    <m/>
    <m/>
    <d v="2020-10-01T00:00:00"/>
    <d v="2020-10-01T00:00:00"/>
    <s v="FY21"/>
    <s v="t"/>
    <n v="0"/>
    <n v="0"/>
    <n v="2.5000000000000001E-3"/>
    <n v="2.5000000000000001E-3"/>
    <n v="0"/>
    <n v="0"/>
    <n v="1"/>
    <n v="1"/>
    <n v="0"/>
    <n v="0"/>
    <n v="100"/>
    <s v="Consolidation"/>
    <s v="CO2e and Base Measure"/>
    <n v="100"/>
    <n v="100"/>
    <n v="0"/>
    <m/>
    <m/>
    <m/>
    <m/>
    <m/>
    <m/>
    <n v="0"/>
    <m/>
    <m/>
    <m/>
    <m/>
    <m/>
    <m/>
    <s v="AUD"/>
    <s v="13564350Waste Recycled - Cardboard [t]"/>
    <n v="13564350"/>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07-01T00:00:00"/>
    <s v="FY21"/>
    <s v="t"/>
    <n v="0.88"/>
    <n v="0"/>
    <n v="0"/>
    <n v="0.88"/>
    <n v="4"/>
    <n v="0"/>
    <n v="0"/>
    <n v="4"/>
    <n v="100"/>
    <n v="0"/>
    <n v="0"/>
    <s v="Consolidation"/>
    <s v="CO2e and Base Measure"/>
    <n v="100"/>
    <n v="100"/>
    <n v="0.88"/>
    <m/>
    <m/>
    <m/>
    <m/>
    <m/>
    <n v="1.1439999999999999"/>
    <m/>
    <n v="1.1439999999999999"/>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08-01T00:00:00"/>
    <s v="FY21"/>
    <s v="t"/>
    <n v="0.63"/>
    <n v="0"/>
    <n v="0"/>
    <n v="0.63"/>
    <n v="4"/>
    <n v="0"/>
    <n v="0"/>
    <n v="4"/>
    <n v="100"/>
    <n v="0"/>
    <n v="0"/>
    <s v="Consolidation"/>
    <s v="CO2e and Base Measure"/>
    <n v="100"/>
    <n v="100"/>
    <n v="0.63"/>
    <m/>
    <m/>
    <m/>
    <m/>
    <m/>
    <n v="0.81899999999999995"/>
    <m/>
    <n v="0.81899999999999995"/>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09-01T00:00:00"/>
    <s v="FY21"/>
    <s v="t"/>
    <n v="0.755"/>
    <n v="0"/>
    <n v="0"/>
    <n v="0.755"/>
    <n v="5"/>
    <n v="0"/>
    <n v="0"/>
    <n v="5"/>
    <n v="100"/>
    <n v="0"/>
    <n v="0"/>
    <s v="Consolidation"/>
    <s v="CO2e and Base Measure"/>
    <n v="100"/>
    <n v="100"/>
    <n v="0.76"/>
    <m/>
    <m/>
    <m/>
    <m/>
    <m/>
    <n v="0.98150000000000004"/>
    <m/>
    <n v="0.98150000000000004"/>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11-01T00:00:00"/>
    <s v="FY21"/>
    <s v="t"/>
    <n v="0.505"/>
    <n v="0"/>
    <n v="0"/>
    <n v="0.505"/>
    <n v="2"/>
    <n v="0"/>
    <n v="0"/>
    <n v="2"/>
    <n v="100"/>
    <n v="0"/>
    <n v="0"/>
    <s v="Consolidation"/>
    <s v="CO2e and Base Measure"/>
    <n v="100"/>
    <n v="100"/>
    <n v="0.51"/>
    <m/>
    <m/>
    <m/>
    <m/>
    <m/>
    <n v="0.65649999999999997"/>
    <m/>
    <n v="0.65649999999999997"/>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12-01T00:00:00"/>
    <s v="FY21"/>
    <s v="t"/>
    <n v="0"/>
    <n v="0"/>
    <n v="2.1299999999999999E-2"/>
    <n v="2.1299999999999999E-2"/>
    <n v="0"/>
    <n v="0"/>
    <n v="1"/>
    <n v="1"/>
    <n v="0"/>
    <n v="0"/>
    <n v="100"/>
    <s v="Consolidation"/>
    <s v="CO2e and Base Measure"/>
    <n v="100"/>
    <n v="100"/>
    <n v="0.02"/>
    <m/>
    <m/>
    <m/>
    <m/>
    <m/>
    <n v="2.7699999999999999E-2"/>
    <m/>
    <n v="2.7699999999999999E-2"/>
    <m/>
    <m/>
    <m/>
    <m/>
    <m/>
    <s v="AUD"/>
    <s v="13564352Waste - General [t] - Scope 3"/>
    <n v="13564352"/>
  </r>
  <r>
    <d v="2019-07-01T00:00:00"/>
    <d v="2021-06-30T00:00:00"/>
    <s v="Telstra"/>
    <s v="NETWORK"/>
    <s v="Network - InfraCo"/>
    <s v="NSW"/>
    <s v="Australia"/>
    <s v="Miranda"/>
    <s v="MIRANDA EXCHANGE"/>
    <n v="423030280300"/>
    <s v="Waste"/>
    <x v="1"/>
    <x v="2"/>
    <s v="Account"/>
    <s v="CLEANAWAY General"/>
    <m/>
    <s v="44033_Landfill_General"/>
    <s v="General"/>
    <s v="Cleanaway"/>
    <m/>
    <d v="2021-02-17T00:00:00"/>
    <m/>
    <d v="2021-02-01T00:00:00"/>
    <s v="FY21"/>
    <s v="t"/>
    <n v="0.62"/>
    <n v="0"/>
    <n v="0"/>
    <n v="0.62"/>
    <n v="1"/>
    <n v="0"/>
    <n v="0"/>
    <n v="1"/>
    <n v="100"/>
    <n v="0"/>
    <n v="0"/>
    <s v="Consolidation"/>
    <s v="CO2e and Base Measure"/>
    <n v="100"/>
    <n v="100"/>
    <n v="0.62"/>
    <m/>
    <m/>
    <m/>
    <m/>
    <m/>
    <n v="0.80600000000000005"/>
    <m/>
    <n v="0.80600000000000005"/>
    <m/>
    <m/>
    <m/>
    <m/>
    <m/>
    <s v="AUD"/>
    <s v="13639901Waste - General [t] - Scope 3"/>
    <n v="13639901"/>
  </r>
  <r>
    <d v="2019-07-01T00:00:00"/>
    <d v="2021-06-30T00:00:00"/>
    <s v="Telstra"/>
    <s v="NETWORK"/>
    <s v="Network - InfraCo"/>
    <s v="NSW"/>
    <s v="Australia"/>
    <s v="Miranda"/>
    <s v="MIRANDA EXCHANGE"/>
    <n v="423030280300"/>
    <s v="Waste"/>
    <x v="1"/>
    <x v="2"/>
    <s v="Account"/>
    <s v="CLEANAWAY General"/>
    <m/>
    <s v="44033_Landfill_General"/>
    <s v="General"/>
    <s v="Cleanaway"/>
    <m/>
    <d v="2021-02-17T00:00:00"/>
    <m/>
    <d v="2021-03-01T00:00:00"/>
    <s v="FY21"/>
    <s v="t"/>
    <n v="0.35"/>
    <n v="0"/>
    <n v="0"/>
    <n v="0.35"/>
    <n v="1"/>
    <n v="0"/>
    <n v="0"/>
    <n v="1"/>
    <n v="100"/>
    <n v="0"/>
    <n v="0"/>
    <s v="Consolidation"/>
    <s v="CO2e and Base Measure"/>
    <n v="100"/>
    <n v="100"/>
    <n v="0.35"/>
    <m/>
    <m/>
    <m/>
    <m/>
    <m/>
    <n v="0.45500000000000002"/>
    <m/>
    <n v="0.45500000000000002"/>
    <m/>
    <m/>
    <m/>
    <m/>
    <m/>
    <s v="AUD"/>
    <s v="13639901Waste - General [t] - Scope 3"/>
    <n v="13639901"/>
  </r>
  <r>
    <d v="2019-07-01T00:00:00"/>
    <d v="2021-06-30T00:00:00"/>
    <s v="Telstra"/>
    <s v="NETWORK"/>
    <s v="Network - InfraCo"/>
    <s v="NSW"/>
    <s v="Australia"/>
    <s v="Miranda"/>
    <s v="MIRANDA EXCHANGE"/>
    <n v="423030280300"/>
    <s v="Waste"/>
    <x v="1"/>
    <x v="2"/>
    <s v="Account"/>
    <s v="CLEANAWAY General"/>
    <m/>
    <s v="44033_Landfill_General"/>
    <s v="General"/>
    <s v="Cleanaway"/>
    <m/>
    <d v="2021-02-17T00:00:00"/>
    <m/>
    <d v="2021-04-01T00:00:00"/>
    <s v="FY21"/>
    <s v="t"/>
    <n v="0"/>
    <n v="0"/>
    <n v="0.501"/>
    <n v="0.501"/>
    <n v="0"/>
    <n v="0"/>
    <n v="30"/>
    <n v="30"/>
    <n v="0"/>
    <n v="0"/>
    <n v="100"/>
    <s v="Consolidation"/>
    <s v="CO2e and Base Measure"/>
    <n v="100"/>
    <n v="100"/>
    <n v="0.5"/>
    <m/>
    <m/>
    <m/>
    <m/>
    <m/>
    <n v="0.65129999999999999"/>
    <m/>
    <n v="0.65129999999999999"/>
    <m/>
    <m/>
    <m/>
    <m/>
    <m/>
    <s v="AUD"/>
    <s v="13639901Waste - General [t] - Scope 3"/>
    <n v="13639901"/>
  </r>
  <r>
    <d v="2019-07-01T00:00:00"/>
    <d v="2021-06-30T00:00:00"/>
    <s v="Telstra"/>
    <s v="NETWORK"/>
    <s v="Network - InfraCo"/>
    <s v="NSW"/>
    <s v="Australia"/>
    <s v="Miranda"/>
    <s v="MIRANDA EXCHANGE"/>
    <n v="423030280300"/>
    <s v="Waste"/>
    <x v="1"/>
    <x v="2"/>
    <s v="Account"/>
    <s v="CLEANAWAY General"/>
    <m/>
    <s v="44033_Landfill_General"/>
    <s v="General"/>
    <s v="Cleanaway"/>
    <m/>
    <d v="2021-02-17T00:00:00"/>
    <m/>
    <d v="2021-05-01T00:00:00"/>
    <s v="FY21"/>
    <s v="t"/>
    <n v="0"/>
    <n v="0"/>
    <n v="0.51770000000000005"/>
    <n v="0.51770000000000005"/>
    <n v="0"/>
    <n v="0"/>
    <n v="31"/>
    <n v="31"/>
    <n v="0"/>
    <n v="0"/>
    <n v="100"/>
    <s v="Consolidation"/>
    <s v="CO2e and Base Measure"/>
    <n v="100"/>
    <n v="100"/>
    <n v="0.52"/>
    <m/>
    <m/>
    <m/>
    <m/>
    <m/>
    <n v="0.67300000000000004"/>
    <m/>
    <n v="0.67300000000000004"/>
    <m/>
    <m/>
    <m/>
    <m/>
    <m/>
    <s v="AUD"/>
    <s v="13639901Waste - General [t] - Scope 3"/>
    <n v="13639901"/>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07-01T00:00:00"/>
    <s v="FY21"/>
    <s v="t"/>
    <n v="1.7999999999999999E-2"/>
    <n v="0"/>
    <n v="0"/>
    <n v="1.7999999999999999E-2"/>
    <n v="4"/>
    <n v="0"/>
    <n v="0"/>
    <n v="4"/>
    <n v="100"/>
    <n v="0"/>
    <n v="0"/>
    <s v="Consolidation"/>
    <s v="CO2e and Base Measure"/>
    <n v="100"/>
    <n v="100"/>
    <n v="0.02"/>
    <m/>
    <m/>
    <m/>
    <m/>
    <m/>
    <n v="2.3400000000000001E-2"/>
    <m/>
    <n v="2.3400000000000001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08-01T00:00:00"/>
    <s v="FY21"/>
    <s v="t"/>
    <n v="1.9E-2"/>
    <n v="0"/>
    <n v="0"/>
    <n v="1.9E-2"/>
    <n v="4"/>
    <n v="0"/>
    <n v="0"/>
    <n v="4"/>
    <n v="100"/>
    <n v="0"/>
    <n v="0"/>
    <s v="Consolidation"/>
    <s v="CO2e and Base Measure"/>
    <n v="100"/>
    <n v="100"/>
    <n v="0.02"/>
    <m/>
    <m/>
    <m/>
    <m/>
    <m/>
    <n v="2.47E-2"/>
    <m/>
    <n v="2.47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09-01T00:00:00"/>
    <s v="FY21"/>
    <s v="t"/>
    <n v="2.1999999999999999E-2"/>
    <n v="0"/>
    <n v="0"/>
    <n v="2.1999999999999999E-2"/>
    <n v="5"/>
    <n v="0"/>
    <n v="0"/>
    <n v="5"/>
    <n v="100"/>
    <n v="0"/>
    <n v="0"/>
    <s v="Consolidation"/>
    <s v="CO2e and Base Measure"/>
    <n v="100"/>
    <n v="100"/>
    <n v="0.02"/>
    <m/>
    <m/>
    <m/>
    <m/>
    <m/>
    <n v="2.86E-2"/>
    <m/>
    <n v="2.86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10-01T00:00:00"/>
    <s v="FY21"/>
    <s v="t"/>
    <n v="6.9000000000000006E-2"/>
    <n v="0"/>
    <n v="0"/>
    <n v="6.9000000000000006E-2"/>
    <n v="4"/>
    <n v="0"/>
    <n v="0"/>
    <n v="4"/>
    <n v="100"/>
    <n v="0"/>
    <n v="0"/>
    <s v="Consolidation"/>
    <s v="CO2e and Base Measure"/>
    <n v="100"/>
    <n v="100"/>
    <n v="7.0000000000000007E-2"/>
    <m/>
    <m/>
    <m/>
    <m/>
    <m/>
    <n v="8.9700000000000002E-2"/>
    <m/>
    <n v="8.9700000000000002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11-01T00:00:00"/>
    <s v="FY21"/>
    <s v="t"/>
    <n v="1.7999999999999999E-2"/>
    <n v="0"/>
    <n v="0"/>
    <n v="1.7999999999999999E-2"/>
    <n v="4"/>
    <n v="0"/>
    <n v="0"/>
    <n v="4"/>
    <n v="100"/>
    <n v="0"/>
    <n v="0"/>
    <s v="Consolidation"/>
    <s v="CO2e and Base Measure"/>
    <n v="100"/>
    <n v="100"/>
    <n v="0.02"/>
    <m/>
    <m/>
    <m/>
    <m/>
    <m/>
    <n v="2.3400000000000001E-2"/>
    <m/>
    <n v="2.3400000000000001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12-01T00:00:00"/>
    <s v="FY21"/>
    <s v="t"/>
    <n v="0"/>
    <n v="7.8E-2"/>
    <n v="0"/>
    <n v="7.8E-2"/>
    <n v="0"/>
    <n v="2"/>
    <n v="0"/>
    <n v="2"/>
    <n v="0"/>
    <n v="100"/>
    <n v="0"/>
    <s v="Consolidation"/>
    <s v="CO2e and Base Measure"/>
    <n v="100"/>
    <n v="100"/>
    <n v="0.08"/>
    <m/>
    <m/>
    <m/>
    <m/>
    <m/>
    <n v="0.1014"/>
    <m/>
    <n v="0.1014"/>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1-01-01T00:00:00"/>
    <s v="FY21"/>
    <s v="t"/>
    <n v="0"/>
    <n v="0"/>
    <n v="1.1999999999999999E-3"/>
    <n v="1.1999999999999999E-3"/>
    <n v="0"/>
    <n v="0"/>
    <n v="1"/>
    <n v="1"/>
    <n v="0"/>
    <n v="0"/>
    <n v="100"/>
    <s v="Consolidation"/>
    <s v="CO2e and Base Measure"/>
    <n v="100"/>
    <n v="100"/>
    <n v="0"/>
    <m/>
    <m/>
    <m/>
    <m/>
    <m/>
    <n v="1.6000000000000001E-3"/>
    <m/>
    <n v="1.6000000000000001E-3"/>
    <m/>
    <m/>
    <m/>
    <m/>
    <m/>
    <s v="AUD"/>
    <s v="13564200Waste - General [t] - Scope 3"/>
    <n v="13564200"/>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0-12-01T00:00:00"/>
    <s v="FY21"/>
    <s v="t"/>
    <n v="0"/>
    <n v="8.6400000000000005E-2"/>
    <n v="0"/>
    <n v="8.6400000000000005E-2"/>
    <n v="0"/>
    <n v="3"/>
    <n v="0"/>
    <n v="3"/>
    <n v="0"/>
    <n v="100"/>
    <n v="0"/>
    <s v="Consolidation"/>
    <s v="CO2e and Base Measure"/>
    <n v="100"/>
    <n v="100"/>
    <n v="0.09"/>
    <m/>
    <m/>
    <m/>
    <m/>
    <m/>
    <n v="0.1123"/>
    <m/>
    <n v="0.1123"/>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1-01T00:00:00"/>
    <s v="FY21"/>
    <s v="t"/>
    <n v="0"/>
    <n v="8.6400000000000005E-2"/>
    <n v="0"/>
    <n v="8.6400000000000005E-2"/>
    <n v="0"/>
    <n v="4"/>
    <n v="0"/>
    <n v="4"/>
    <n v="0"/>
    <n v="100"/>
    <n v="0"/>
    <s v="Consolidation"/>
    <s v="CO2e and Base Measure"/>
    <n v="100"/>
    <n v="100"/>
    <n v="0.09"/>
    <m/>
    <m/>
    <m/>
    <m/>
    <m/>
    <n v="0.1123"/>
    <m/>
    <n v="0.1123"/>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2-01T00:00:00"/>
    <s v="FY21"/>
    <s v="t"/>
    <n v="0"/>
    <n v="0.108"/>
    <n v="0"/>
    <n v="0.108"/>
    <n v="0"/>
    <n v="4"/>
    <n v="0"/>
    <n v="4"/>
    <n v="0"/>
    <n v="100"/>
    <n v="0"/>
    <s v="Consolidation"/>
    <s v="CO2e and Base Measure"/>
    <n v="100"/>
    <n v="100"/>
    <n v="0.11"/>
    <m/>
    <m/>
    <m/>
    <m/>
    <m/>
    <n v="0.1404"/>
    <m/>
    <n v="0.1404"/>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3-01T00:00:00"/>
    <s v="FY21"/>
    <s v="t"/>
    <n v="0"/>
    <n v="7.5600000000000001E-2"/>
    <n v="0"/>
    <n v="7.5600000000000001E-2"/>
    <n v="0"/>
    <n v="4"/>
    <n v="0"/>
    <n v="4"/>
    <n v="0"/>
    <n v="100"/>
    <n v="0"/>
    <s v="Consolidation"/>
    <s v="CO2e and Base Measure"/>
    <n v="100"/>
    <n v="100"/>
    <n v="0.08"/>
    <m/>
    <m/>
    <m/>
    <m/>
    <m/>
    <n v="9.8299999999999998E-2"/>
    <m/>
    <n v="9.8299999999999998E-2"/>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4-01T00:00:00"/>
    <s v="FY21"/>
    <s v="t"/>
    <n v="0"/>
    <n v="0"/>
    <n v="0.09"/>
    <n v="0.09"/>
    <n v="0"/>
    <n v="0"/>
    <n v="30"/>
    <n v="30"/>
    <n v="0"/>
    <n v="0"/>
    <n v="100"/>
    <s v="Consolidation"/>
    <s v="CO2e and Base Measure"/>
    <n v="100"/>
    <n v="100"/>
    <n v="0.09"/>
    <m/>
    <m/>
    <m/>
    <m/>
    <m/>
    <n v="0.11700000000000001"/>
    <m/>
    <n v="0.11700000000000001"/>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4177Waste - General [t] - Scope 3"/>
    <n v="13634177"/>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07-01T00:00:00"/>
    <s v="FY21"/>
    <s v="t"/>
    <n v="0.14499999999999999"/>
    <n v="0"/>
    <n v="0"/>
    <n v="0.14499999999999999"/>
    <n v="2"/>
    <n v="0"/>
    <n v="0"/>
    <n v="2"/>
    <n v="100"/>
    <n v="0"/>
    <n v="0"/>
    <s v="Consolidation"/>
    <s v="CO2e and Base Measure"/>
    <n v="100"/>
    <n v="100"/>
    <n v="0.15"/>
    <m/>
    <m/>
    <m/>
    <m/>
    <m/>
    <n v="0.1885"/>
    <m/>
    <n v="0.1885"/>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08-01T00:00:00"/>
    <s v="FY21"/>
    <s v="t"/>
    <n v="0.02"/>
    <n v="0"/>
    <n v="0"/>
    <n v="0.02"/>
    <n v="1"/>
    <n v="0"/>
    <n v="0"/>
    <n v="1"/>
    <n v="100"/>
    <n v="0"/>
    <n v="0"/>
    <s v="Consolidation"/>
    <s v="CO2e and Base Measure"/>
    <n v="100"/>
    <n v="100"/>
    <n v="0.02"/>
    <m/>
    <m/>
    <m/>
    <m/>
    <m/>
    <n v="2.5999999999999999E-2"/>
    <m/>
    <n v="2.5999999999999999E-2"/>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09-01T00:00:00"/>
    <s v="FY21"/>
    <s v="t"/>
    <n v="0.85"/>
    <n v="0"/>
    <n v="0"/>
    <n v="0.85"/>
    <n v="3"/>
    <n v="0"/>
    <n v="0"/>
    <n v="3"/>
    <n v="100"/>
    <n v="0"/>
    <n v="0"/>
    <s v="Consolidation"/>
    <s v="CO2e and Base Measure"/>
    <n v="100"/>
    <n v="100"/>
    <n v="0.85"/>
    <m/>
    <m/>
    <m/>
    <m/>
    <m/>
    <n v="1.105"/>
    <m/>
    <n v="1.105"/>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10-01T00:00:00"/>
    <s v="FY21"/>
    <s v="t"/>
    <n v="0.19"/>
    <n v="0"/>
    <n v="0"/>
    <n v="0.19"/>
    <n v="2"/>
    <n v="0"/>
    <n v="0"/>
    <n v="2"/>
    <n v="100"/>
    <n v="0"/>
    <n v="0"/>
    <s v="Consolidation"/>
    <s v="CO2e and Base Measure"/>
    <n v="100"/>
    <n v="100"/>
    <n v="0.19"/>
    <m/>
    <m/>
    <m/>
    <m/>
    <m/>
    <n v="0.247"/>
    <m/>
    <n v="0.247"/>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11-01T00:00:00"/>
    <s v="FY21"/>
    <s v="t"/>
    <n v="0.22"/>
    <n v="0"/>
    <n v="0"/>
    <n v="0.22"/>
    <n v="2"/>
    <n v="0"/>
    <n v="0"/>
    <n v="2"/>
    <n v="100"/>
    <n v="0"/>
    <n v="0"/>
    <s v="Consolidation"/>
    <s v="CO2e and Base Measure"/>
    <n v="100"/>
    <n v="100"/>
    <n v="0.22"/>
    <m/>
    <m/>
    <m/>
    <m/>
    <m/>
    <n v="0.28599999999999998"/>
    <m/>
    <n v="0.28599999999999998"/>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1-01-01T00:00:00"/>
    <s v="FY21"/>
    <s v="t"/>
    <n v="0"/>
    <n v="0"/>
    <n v="7.9000000000000008E-3"/>
    <n v="7.9000000000000008E-3"/>
    <n v="0"/>
    <n v="0"/>
    <n v="1"/>
    <n v="1"/>
    <n v="0"/>
    <n v="0"/>
    <n v="100"/>
    <s v="Consolidation"/>
    <s v="CO2e and Base Measure"/>
    <n v="100"/>
    <n v="100"/>
    <n v="0.01"/>
    <m/>
    <m/>
    <m/>
    <m/>
    <m/>
    <n v="1.03E-2"/>
    <m/>
    <n v="1.03E-2"/>
    <m/>
    <m/>
    <m/>
    <m/>
    <m/>
    <s v="AUD"/>
    <s v="13564356Waste - General [t] - Scope 3"/>
    <n v="13564356"/>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3-01T00:00:00"/>
    <s v="FY21"/>
    <s v="t"/>
    <n v="0"/>
    <n v="0.20250000000000001"/>
    <n v="0"/>
    <n v="0.20250000000000001"/>
    <n v="0"/>
    <n v="3"/>
    <n v="0"/>
    <n v="3"/>
    <n v="0"/>
    <n v="100"/>
    <n v="0"/>
    <s v="Consolidation"/>
    <s v="CO2e and Base Measure"/>
    <n v="100"/>
    <n v="100"/>
    <n v="0.2"/>
    <m/>
    <m/>
    <m/>
    <m/>
    <m/>
    <n v="0.26329999999999998"/>
    <m/>
    <n v="0.26329999999999998"/>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78Waste - General [t] - Scope 3"/>
    <n v="13634178"/>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07-01T00:00:00"/>
    <s v="FY21"/>
    <s v="t"/>
    <n v="0"/>
    <n v="0.189"/>
    <n v="0"/>
    <n v="0.189"/>
    <n v="0"/>
    <n v="3"/>
    <n v="0"/>
    <n v="3"/>
    <n v="0"/>
    <n v="100"/>
    <n v="0"/>
    <s v="Consolidation"/>
    <s v="CO2e and Base Measure"/>
    <n v="100"/>
    <n v="100"/>
    <n v="0.19"/>
    <m/>
    <m/>
    <m/>
    <m/>
    <m/>
    <m/>
    <n v="0"/>
    <m/>
    <m/>
    <m/>
    <m/>
    <m/>
    <m/>
    <s v="AUD"/>
    <s v="13564829Waste Recycled - Cardboard [t]"/>
    <n v="13564829"/>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08-01T00:00:00"/>
    <s v="FY21"/>
    <s v="t"/>
    <n v="0"/>
    <n v="0.126"/>
    <n v="0"/>
    <n v="0.126"/>
    <n v="0"/>
    <n v="2"/>
    <n v="0"/>
    <n v="2"/>
    <n v="0"/>
    <n v="100"/>
    <n v="0"/>
    <s v="Consolidation"/>
    <s v="CO2e and Base Measure"/>
    <n v="100"/>
    <n v="100"/>
    <n v="0.13"/>
    <m/>
    <m/>
    <m/>
    <m/>
    <m/>
    <m/>
    <n v="0"/>
    <m/>
    <m/>
    <m/>
    <m/>
    <m/>
    <m/>
    <s v="AUD"/>
    <s v="13564829Waste Recycled - Cardboard [t]"/>
    <n v="13564829"/>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09-01T00:00:00"/>
    <s v="FY21"/>
    <s v="t"/>
    <n v="0"/>
    <n v="0.189"/>
    <n v="0"/>
    <n v="0.189"/>
    <n v="0"/>
    <n v="3"/>
    <n v="0"/>
    <n v="3"/>
    <n v="0"/>
    <n v="100"/>
    <n v="0"/>
    <s v="Consolidation"/>
    <s v="CO2e and Base Measure"/>
    <n v="100"/>
    <n v="100"/>
    <n v="0.19"/>
    <m/>
    <m/>
    <m/>
    <m/>
    <m/>
    <m/>
    <n v="0"/>
    <m/>
    <m/>
    <m/>
    <m/>
    <m/>
    <m/>
    <s v="AUD"/>
    <s v="13564829Waste Recycled - Cardboard [t]"/>
    <n v="13564829"/>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10-01T00:00:00"/>
    <s v="FY21"/>
    <s v="t"/>
    <n v="0"/>
    <n v="6.3E-2"/>
    <n v="0"/>
    <n v="6.3E-2"/>
    <n v="0"/>
    <n v="1"/>
    <n v="0"/>
    <n v="1"/>
    <n v="0"/>
    <n v="100"/>
    <n v="0"/>
    <s v="Consolidation"/>
    <s v="CO2e and Base Measure"/>
    <n v="100"/>
    <n v="100"/>
    <n v="0.06"/>
    <m/>
    <m/>
    <m/>
    <m/>
    <m/>
    <m/>
    <n v="0"/>
    <m/>
    <m/>
    <m/>
    <m/>
    <m/>
    <m/>
    <s v="AUD"/>
    <s v="13564829Waste Recycled - Cardboard [t]"/>
    <n v="13564829"/>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11-01T00:00:00"/>
    <s v="FY21"/>
    <s v="t"/>
    <n v="0"/>
    <n v="0"/>
    <n v="4.5999999999999999E-3"/>
    <n v="4.5999999999999999E-3"/>
    <n v="0"/>
    <n v="0"/>
    <n v="1"/>
    <n v="1"/>
    <n v="0"/>
    <n v="0"/>
    <n v="100"/>
    <s v="Consolidation"/>
    <s v="CO2e and Base Measure"/>
    <n v="100"/>
    <n v="100"/>
    <n v="0"/>
    <m/>
    <m/>
    <m/>
    <m/>
    <m/>
    <m/>
    <n v="0"/>
    <m/>
    <m/>
    <m/>
    <m/>
    <m/>
    <m/>
    <s v="AUD"/>
    <s v="13564829Waste Recycled - Cardboard [t]"/>
    <n v="13564829"/>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831Waste - General [t] - Scope 3"/>
    <n v="13564831"/>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0-12-01T00:00:00"/>
    <s v="FY21"/>
    <s v="t"/>
    <n v="0.21"/>
    <n v="0"/>
    <n v="0"/>
    <n v="0.21"/>
    <n v="1"/>
    <n v="0"/>
    <n v="0"/>
    <n v="1"/>
    <n v="100"/>
    <n v="0"/>
    <n v="0"/>
    <s v="Consolidation"/>
    <s v="CO2e and Base Measure"/>
    <n v="100"/>
    <n v="100"/>
    <n v="0.21"/>
    <m/>
    <m/>
    <m/>
    <m/>
    <m/>
    <n v="0.27300000000000002"/>
    <m/>
    <n v="0.27300000000000002"/>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1-01T00:00:00"/>
    <s v="FY21"/>
    <s v="t"/>
    <n v="0.28899999999999998"/>
    <n v="0"/>
    <n v="0"/>
    <n v="0.28899999999999998"/>
    <n v="2"/>
    <n v="0"/>
    <n v="0"/>
    <n v="2"/>
    <n v="100"/>
    <n v="0"/>
    <n v="0"/>
    <s v="Consolidation"/>
    <s v="CO2e and Base Measure"/>
    <n v="100"/>
    <n v="100"/>
    <n v="0.28999999999999998"/>
    <m/>
    <m/>
    <m/>
    <m/>
    <m/>
    <n v="0.37569999999999998"/>
    <m/>
    <n v="0.37569999999999998"/>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2-01T00:00:00"/>
    <s v="FY21"/>
    <s v="t"/>
    <n v="0.4"/>
    <n v="0"/>
    <n v="0"/>
    <n v="0.4"/>
    <n v="2"/>
    <n v="0"/>
    <n v="0"/>
    <n v="2"/>
    <n v="100"/>
    <n v="0"/>
    <n v="0"/>
    <s v="Consolidation"/>
    <s v="CO2e and Base Measure"/>
    <n v="100"/>
    <n v="100"/>
    <n v="0.4"/>
    <m/>
    <m/>
    <m/>
    <m/>
    <m/>
    <n v="0.52"/>
    <m/>
    <n v="0.52"/>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3-01T00:00:00"/>
    <s v="FY21"/>
    <s v="t"/>
    <n v="0.05"/>
    <n v="0"/>
    <n v="0"/>
    <n v="0.05"/>
    <n v="2"/>
    <n v="0"/>
    <n v="0"/>
    <n v="2"/>
    <n v="100"/>
    <n v="0"/>
    <n v="0"/>
    <s v="Consolidation"/>
    <s v="CO2e and Base Measure"/>
    <n v="100"/>
    <n v="100"/>
    <n v="0.05"/>
    <m/>
    <m/>
    <m/>
    <m/>
    <m/>
    <n v="6.5000000000000002E-2"/>
    <m/>
    <n v="6.5000000000000002E-2"/>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4-01T00:00:00"/>
    <s v="FY21"/>
    <s v="t"/>
    <n v="0"/>
    <n v="0"/>
    <n v="0.23699999999999999"/>
    <n v="0.23699999999999999"/>
    <n v="0"/>
    <n v="0"/>
    <n v="30"/>
    <n v="30"/>
    <n v="0"/>
    <n v="0"/>
    <n v="100"/>
    <s v="Consolidation"/>
    <s v="CO2e and Base Measure"/>
    <n v="100"/>
    <n v="100"/>
    <n v="0.24"/>
    <m/>
    <m/>
    <m/>
    <m/>
    <m/>
    <n v="0.30809999999999998"/>
    <m/>
    <n v="0.30809999999999998"/>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5-01T00:00:00"/>
    <s v="FY21"/>
    <s v="t"/>
    <n v="0"/>
    <n v="0"/>
    <n v="0.24490000000000001"/>
    <n v="0.24490000000000001"/>
    <n v="0"/>
    <n v="0"/>
    <n v="31"/>
    <n v="31"/>
    <n v="0"/>
    <n v="0"/>
    <n v="100"/>
    <s v="Consolidation"/>
    <s v="CO2e and Base Measure"/>
    <n v="100"/>
    <n v="100"/>
    <n v="0.24"/>
    <m/>
    <m/>
    <m/>
    <m/>
    <m/>
    <n v="0.31840000000000002"/>
    <m/>
    <n v="0.31840000000000002"/>
    <m/>
    <m/>
    <m/>
    <m/>
    <m/>
    <s v="AUD"/>
    <s v="13634179Waste - General [t] - Scope 3"/>
    <n v="13634179"/>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0-12-01T00:00:00"/>
    <s v="FY21"/>
    <s v="t"/>
    <n v="8.6999999999999994E-2"/>
    <n v="0"/>
    <n v="0"/>
    <n v="8.6999999999999994E-2"/>
    <n v="1"/>
    <n v="0"/>
    <n v="0"/>
    <n v="1"/>
    <n v="100"/>
    <n v="0"/>
    <n v="0"/>
    <s v="Consolidation"/>
    <s v="CO2e and Base Measure"/>
    <n v="100"/>
    <n v="100"/>
    <n v="0.09"/>
    <m/>
    <m/>
    <m/>
    <m/>
    <m/>
    <m/>
    <m/>
    <m/>
    <m/>
    <m/>
    <m/>
    <m/>
    <m/>
    <s v="AUD"/>
    <s v="13634180Waste Recycled - Paper and Cardboard [t]"/>
    <n v="13634180"/>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1-02-01T00:00:00"/>
    <s v="FY21"/>
    <s v="t"/>
    <n v="9.7000000000000003E-2"/>
    <n v="0"/>
    <n v="0"/>
    <n v="9.7000000000000003E-2"/>
    <n v="1"/>
    <n v="0"/>
    <n v="0"/>
    <n v="1"/>
    <n v="100"/>
    <n v="0"/>
    <n v="0"/>
    <s v="Consolidation"/>
    <s v="CO2e and Base Measure"/>
    <n v="100"/>
    <n v="100"/>
    <n v="0.1"/>
    <m/>
    <m/>
    <m/>
    <m/>
    <m/>
    <m/>
    <m/>
    <m/>
    <m/>
    <m/>
    <m/>
    <m/>
    <m/>
    <s v="AUD"/>
    <s v="13634180Waste Recycled - Paper and Cardboard [t]"/>
    <n v="13634180"/>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1-03-01T00:00:00"/>
    <s v="FY21"/>
    <s v="t"/>
    <n v="0.114"/>
    <n v="0"/>
    <n v="0"/>
    <n v="0.114"/>
    <n v="3"/>
    <n v="0"/>
    <n v="0"/>
    <n v="3"/>
    <n v="100"/>
    <n v="0"/>
    <n v="0"/>
    <s v="Consolidation"/>
    <s v="CO2e and Base Measure"/>
    <n v="100"/>
    <n v="100"/>
    <n v="0.11"/>
    <m/>
    <m/>
    <m/>
    <m/>
    <m/>
    <m/>
    <m/>
    <m/>
    <m/>
    <m/>
    <m/>
    <m/>
    <m/>
    <s v="AUD"/>
    <s v="13634180Waste Recycled - Paper and Cardboard [t]"/>
    <n v="13634180"/>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1-04-01T00:00:00"/>
    <s v="FY21"/>
    <s v="t"/>
    <n v="0"/>
    <n v="0"/>
    <n v="7.4999999999999997E-2"/>
    <n v="7.4999999999999997E-2"/>
    <n v="0"/>
    <n v="0"/>
    <n v="30"/>
    <n v="30"/>
    <n v="0"/>
    <n v="0"/>
    <n v="100"/>
    <s v="Consolidation"/>
    <s v="CO2e and Base Measure"/>
    <n v="100"/>
    <n v="100"/>
    <n v="0.08"/>
    <m/>
    <m/>
    <m/>
    <m/>
    <m/>
    <m/>
    <m/>
    <m/>
    <m/>
    <m/>
    <m/>
    <m/>
    <m/>
    <s v="AUD"/>
    <s v="13634180Waste Recycled - Paper and Cardboard [t]"/>
    <n v="13634180"/>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1-05-01T00:00:00"/>
    <s v="FY21"/>
    <s v="t"/>
    <n v="0"/>
    <n v="0"/>
    <n v="7.7499999999999999E-2"/>
    <n v="7.7499999999999999E-2"/>
    <n v="0"/>
    <n v="0"/>
    <n v="31"/>
    <n v="31"/>
    <n v="0"/>
    <n v="0"/>
    <n v="100"/>
    <s v="Consolidation"/>
    <s v="CO2e and Base Measure"/>
    <n v="100"/>
    <n v="100"/>
    <n v="0.08"/>
    <m/>
    <m/>
    <m/>
    <m/>
    <m/>
    <m/>
    <m/>
    <m/>
    <m/>
    <m/>
    <m/>
    <m/>
    <m/>
    <s v="AUD"/>
    <s v="13634180Waste Recycled - Paper and Cardboard [t]"/>
    <n v="13634180"/>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039Waste - General [t] - Scope 3"/>
    <n v="13565039"/>
  </r>
  <r>
    <d v="2019-07-01T00:00:00"/>
    <d v="2021-06-30T00:00:00"/>
    <s v="Telstra"/>
    <s v="NETWORK"/>
    <s v="Network - InfraCo"/>
    <s v="VIC"/>
    <s v="Australia"/>
    <s v="Moe"/>
    <s v="MOE EXCHANGE"/>
    <n v="423030644000"/>
    <s v="Waste"/>
    <x v="1"/>
    <x v="2"/>
    <s v="Account"/>
    <s v="CLEANAWAY General"/>
    <m/>
    <s v="25841_Landfill_General"/>
    <s v="General"/>
    <s v="Cleanaway"/>
    <m/>
    <d v="2021-01-25T00:00:00"/>
    <m/>
    <d v="2021-01-01T00:00:00"/>
    <s v="FY21"/>
    <s v="t"/>
    <n v="0.03"/>
    <n v="0"/>
    <n v="0"/>
    <n v="0.03"/>
    <n v="1"/>
    <n v="0"/>
    <n v="0"/>
    <n v="1"/>
    <n v="100"/>
    <n v="0"/>
    <n v="0"/>
    <s v="Consolidation"/>
    <s v="CO2e and Base Measure"/>
    <n v="100"/>
    <n v="100"/>
    <n v="0.03"/>
    <m/>
    <m/>
    <m/>
    <m/>
    <m/>
    <n v="3.9E-2"/>
    <m/>
    <n v="3.9E-2"/>
    <m/>
    <m/>
    <m/>
    <m/>
    <m/>
    <s v="AUD"/>
    <s v="13634450Waste - General [t] - Scope 3"/>
    <n v="13634450"/>
  </r>
  <r>
    <d v="2019-07-01T00:00:00"/>
    <d v="2021-06-30T00:00:00"/>
    <s v="Telstra"/>
    <s v="NETWORK"/>
    <s v="Network - InfraCo"/>
    <s v="VIC"/>
    <s v="Australia"/>
    <s v="Moe"/>
    <s v="MOE EXCHANGE"/>
    <n v="423030644000"/>
    <s v="Waste"/>
    <x v="1"/>
    <x v="2"/>
    <s v="Account"/>
    <s v="CLEANAWAY General"/>
    <m/>
    <s v="25841_Landfill_General"/>
    <s v="General"/>
    <s v="Cleanaway"/>
    <m/>
    <d v="2021-01-25T00:00:00"/>
    <m/>
    <d v="2021-02-01T00:00:00"/>
    <s v="FY21"/>
    <s v="t"/>
    <n v="0.317"/>
    <n v="0"/>
    <n v="0"/>
    <n v="0.317"/>
    <n v="1"/>
    <n v="0"/>
    <n v="0"/>
    <n v="1"/>
    <n v="100"/>
    <n v="0"/>
    <n v="0"/>
    <s v="Consolidation"/>
    <s v="CO2e and Base Measure"/>
    <n v="100"/>
    <n v="100"/>
    <n v="0.32"/>
    <m/>
    <m/>
    <m/>
    <m/>
    <m/>
    <n v="0.41210000000000002"/>
    <m/>
    <n v="0.41210000000000002"/>
    <m/>
    <m/>
    <m/>
    <m/>
    <m/>
    <s v="AUD"/>
    <s v="13634450Waste - General [t] - Scope 3"/>
    <n v="13634450"/>
  </r>
  <r>
    <d v="2019-07-01T00:00:00"/>
    <d v="2021-06-30T00:00:00"/>
    <s v="Telstra"/>
    <s v="NETWORK"/>
    <s v="Network - InfraCo"/>
    <s v="VIC"/>
    <s v="Australia"/>
    <s v="Moe"/>
    <s v="MOE EXCHANGE"/>
    <n v="423030644000"/>
    <s v="Waste"/>
    <x v="1"/>
    <x v="2"/>
    <s v="Account"/>
    <s v="CLEANAWAY General"/>
    <m/>
    <s v="25841_Landfill_General"/>
    <s v="General"/>
    <s v="Cleanaway"/>
    <m/>
    <d v="2021-01-25T00:00:00"/>
    <m/>
    <d v="2021-03-01T00:00:00"/>
    <s v="FY21"/>
    <s v="t"/>
    <n v="0.12"/>
    <n v="0"/>
    <n v="0"/>
    <n v="0.12"/>
    <n v="1"/>
    <n v="0"/>
    <n v="0"/>
    <n v="1"/>
    <n v="100"/>
    <n v="0"/>
    <n v="0"/>
    <s v="Consolidation"/>
    <s v="CO2e and Base Measure"/>
    <n v="100"/>
    <n v="100"/>
    <n v="0.12"/>
    <m/>
    <m/>
    <m/>
    <m/>
    <m/>
    <n v="0.156"/>
    <m/>
    <n v="0.156"/>
    <m/>
    <m/>
    <m/>
    <m/>
    <m/>
    <s v="AUD"/>
    <s v="13634450Waste - General [t] - Scope 3"/>
    <n v="13634450"/>
  </r>
  <r>
    <d v="2019-07-01T00:00:00"/>
    <d v="2021-06-30T00:00:00"/>
    <s v="Telstra"/>
    <s v="NETWORK"/>
    <s v="Network - InfraCo"/>
    <s v="VIC"/>
    <s v="Australia"/>
    <s v="Moe"/>
    <s v="MOE EXCHANGE"/>
    <n v="423030644000"/>
    <s v="Waste"/>
    <x v="1"/>
    <x v="2"/>
    <s v="Account"/>
    <s v="CLEANAWAY General"/>
    <m/>
    <s v="25841_Landfill_General"/>
    <s v="General"/>
    <s v="Cleanaway"/>
    <m/>
    <d v="2021-01-25T00:00:00"/>
    <m/>
    <d v="2021-04-01T00:00:00"/>
    <s v="FY21"/>
    <s v="t"/>
    <n v="0"/>
    <n v="0"/>
    <n v="0.156"/>
    <n v="0.156"/>
    <n v="0"/>
    <n v="0"/>
    <n v="30"/>
    <n v="30"/>
    <n v="0"/>
    <n v="0"/>
    <n v="100"/>
    <s v="Consolidation"/>
    <s v="CO2e and Base Measure"/>
    <n v="100"/>
    <n v="100"/>
    <n v="0.16"/>
    <m/>
    <m/>
    <m/>
    <m/>
    <m/>
    <n v="0.20280000000000001"/>
    <m/>
    <n v="0.20280000000000001"/>
    <m/>
    <m/>
    <m/>
    <m/>
    <m/>
    <s v="AUD"/>
    <s v="13634450Waste - General [t] - Scope 3"/>
    <n v="13634450"/>
  </r>
  <r>
    <d v="2019-07-01T00:00:00"/>
    <d v="2021-06-30T00:00:00"/>
    <s v="Telstra"/>
    <s v="NETWORK"/>
    <s v="Network - InfraCo"/>
    <s v="VIC"/>
    <s v="Australia"/>
    <s v="Moe"/>
    <s v="MOE EXCHANGE"/>
    <n v="423030644000"/>
    <s v="Waste"/>
    <x v="1"/>
    <x v="2"/>
    <s v="Account"/>
    <s v="CLEANAWAY General"/>
    <m/>
    <s v="25841_Landfill_General"/>
    <s v="General"/>
    <s v="Cleanaway"/>
    <m/>
    <d v="2021-01-25T00:00:00"/>
    <m/>
    <d v="2021-05-01T00:00:00"/>
    <s v="FY21"/>
    <s v="t"/>
    <n v="0"/>
    <n v="0"/>
    <n v="0.16120000000000001"/>
    <n v="0.16120000000000001"/>
    <n v="0"/>
    <n v="0"/>
    <n v="31"/>
    <n v="31"/>
    <n v="0"/>
    <n v="0"/>
    <n v="100"/>
    <s v="Consolidation"/>
    <s v="CO2e and Base Measure"/>
    <n v="100"/>
    <n v="100"/>
    <n v="0.16"/>
    <m/>
    <m/>
    <m/>
    <m/>
    <m/>
    <n v="0.20960000000000001"/>
    <m/>
    <n v="0.20960000000000001"/>
    <m/>
    <m/>
    <m/>
    <m/>
    <m/>
    <s v="AUD"/>
    <s v="13634450Waste - General [t] - Scope 3"/>
    <n v="13634450"/>
  </r>
  <r>
    <d v="2019-07-01T00:00:00"/>
    <d v="2021-06-30T00:00:00"/>
    <s v="Telstra"/>
    <s v="NETWORK"/>
    <s v="Network - InfraCo"/>
    <s v="VIC"/>
    <s v="Australia"/>
    <s v="Geelong"/>
    <s v="MOOLAP EXCHANGE"/>
    <n v="423030620400"/>
    <s v="Waste"/>
    <x v="1"/>
    <x v="4"/>
    <s v="Account"/>
    <s v="Remondis Asbestos"/>
    <m/>
    <s v="423030620400_WASBESTOS"/>
    <s v="ASBESTOS"/>
    <s v="Remondis"/>
    <m/>
    <m/>
    <d v="2021-01-01T00:00:00"/>
    <d v="2020-12-01T00:00:00"/>
    <s v="FY21"/>
    <s v="t"/>
    <n v="0"/>
    <n v="0.55500000000000005"/>
    <n v="0"/>
    <n v="0.55500000000000005"/>
    <n v="0"/>
    <n v="1"/>
    <n v="0"/>
    <n v="1"/>
    <n v="0"/>
    <n v="100"/>
    <n v="0"/>
    <s v="Consolidation"/>
    <s v="CO2e and Base Measure"/>
    <n v="100"/>
    <n v="100"/>
    <n v="0.56000000000000005"/>
    <m/>
    <m/>
    <m/>
    <m/>
    <m/>
    <n v="0.66600000000000004"/>
    <m/>
    <n v="0.66600000000000004"/>
    <m/>
    <m/>
    <m/>
    <m/>
    <m/>
    <s v="AUD"/>
    <s v="13564983Waste - Construction and Demolition [t]"/>
    <n v="13564983"/>
  </r>
  <r>
    <d v="2019-07-01T00:00:00"/>
    <d v="2021-06-30T00:00:00"/>
    <s v="Telstra"/>
    <s v="NETWORK"/>
    <s v="Network - InfraCo"/>
    <s v="VIC"/>
    <s v="Australia"/>
    <s v="Geelong"/>
    <s v="MOOLAP EXCHANGE"/>
    <n v="423030620400"/>
    <s v="Waste"/>
    <x v="1"/>
    <x v="4"/>
    <s v="Account"/>
    <s v="Remondis Asbestos"/>
    <m/>
    <s v="423030620400_WASBESTOS"/>
    <s v="ASBESTOS"/>
    <s v="Remondis"/>
    <m/>
    <m/>
    <d v="2021-01-01T00:00:00"/>
    <d v="2021-01-01T00:00:00"/>
    <s v="FY21"/>
    <s v="t"/>
    <n v="0"/>
    <n v="0"/>
    <n v="1.8499999999999999E-2"/>
    <n v="1.8499999999999999E-2"/>
    <n v="0"/>
    <n v="0"/>
    <n v="1"/>
    <n v="1"/>
    <n v="0"/>
    <n v="0"/>
    <n v="100"/>
    <s v="Consolidation"/>
    <s v="CO2e and Base Measure"/>
    <n v="100"/>
    <n v="100"/>
    <n v="0.02"/>
    <m/>
    <m/>
    <m/>
    <m/>
    <m/>
    <n v="2.2200000000000001E-2"/>
    <m/>
    <n v="2.2200000000000001E-2"/>
    <m/>
    <m/>
    <m/>
    <m/>
    <m/>
    <s v="AUD"/>
    <s v="13564983Waste - Construction and Demolition [t]"/>
    <n v="13564983"/>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09-01T00:00:00"/>
    <s v="FY21"/>
    <s v="t"/>
    <n v="0"/>
    <n v="6.3E-2"/>
    <n v="0"/>
    <n v="6.3E-2"/>
    <n v="0"/>
    <n v="2"/>
    <n v="0"/>
    <n v="2"/>
    <n v="0"/>
    <n v="100"/>
    <n v="0"/>
    <s v="Consolidation"/>
    <s v="CO2e and Base Measure"/>
    <n v="100"/>
    <n v="100"/>
    <n v="0.06"/>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10-01T00:00:00"/>
    <s v="FY21"/>
    <s v="t"/>
    <n v="0"/>
    <n v="6.3E-2"/>
    <n v="0"/>
    <n v="6.3E-2"/>
    <n v="0"/>
    <n v="2"/>
    <n v="0"/>
    <n v="2"/>
    <n v="0"/>
    <n v="100"/>
    <n v="0"/>
    <s v="Consolidation"/>
    <s v="CO2e and Base Measure"/>
    <n v="100"/>
    <n v="100"/>
    <n v="0.06"/>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11-01T00:00:00"/>
    <s v="FY21"/>
    <s v="t"/>
    <n v="0"/>
    <n v="9.4500000000000001E-2"/>
    <n v="0"/>
    <n v="9.4500000000000001E-2"/>
    <n v="0"/>
    <n v="3"/>
    <n v="0"/>
    <n v="3"/>
    <n v="0"/>
    <n v="100"/>
    <n v="0"/>
    <s v="Consolidation"/>
    <s v="CO2e and Base Measure"/>
    <n v="100"/>
    <n v="100"/>
    <n v="0.09"/>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12-01T00:00:00"/>
    <s v="FY21"/>
    <s v="t"/>
    <n v="0"/>
    <n v="0"/>
    <n v="2.2000000000000001E-3"/>
    <n v="2.2000000000000001E-3"/>
    <n v="0"/>
    <n v="0"/>
    <n v="1"/>
    <n v="1"/>
    <n v="0"/>
    <n v="0"/>
    <n v="100"/>
    <s v="Consolidation"/>
    <s v="CO2e and Base Measure"/>
    <n v="100"/>
    <n v="100"/>
    <n v="0"/>
    <m/>
    <m/>
    <m/>
    <m/>
    <m/>
    <m/>
    <n v="0"/>
    <m/>
    <m/>
    <m/>
    <m/>
    <m/>
    <m/>
    <s v="AUD"/>
    <s v="13564984Waste Recycled - Cardboard [t]"/>
    <n v="13564984"/>
  </r>
  <r>
    <d v="2019-07-01T00:00:00"/>
    <d v="2021-06-30T00:00:00"/>
    <s v="Telstra"/>
    <s v="NETWORK"/>
    <s v="Network - InfraCo"/>
    <s v="VIC"/>
    <s v="Australia"/>
    <s v="Geelong"/>
    <s v="MOOLAP EXCHANGE"/>
    <n v="423030620400"/>
    <s v="No Recovery"/>
    <x v="1"/>
    <x v="7"/>
    <s v="Account"/>
    <s v="Remondis Clinical Waste"/>
    <m/>
    <s v="423030620400_WMEDMEDIC"/>
    <s v="CLINICAL WASTE"/>
    <s v="Remondis"/>
    <m/>
    <m/>
    <d v="2021-01-01T00:00:00"/>
    <d v="2020-12-01T00:00:00"/>
    <s v="FY21"/>
    <s v="t"/>
    <n v="0"/>
    <n v="1.9199999999999998E-2"/>
    <n v="0"/>
    <n v="1.9199999999999998E-2"/>
    <n v="0"/>
    <n v="1"/>
    <n v="0"/>
    <n v="1"/>
    <n v="0"/>
    <n v="100"/>
    <n v="0"/>
    <s v="Consolidation"/>
    <s v="CO2e and Base Measure"/>
    <n v="100"/>
    <n v="100"/>
    <n v="0.02"/>
    <m/>
    <m/>
    <m/>
    <m/>
    <m/>
    <n v="2.3E-2"/>
    <m/>
    <n v="2.3E-2"/>
    <m/>
    <m/>
    <m/>
    <m/>
    <m/>
    <s v="AUD"/>
    <s v="13564985Hazardous Waste [t]"/>
    <n v="13564985"/>
  </r>
  <r>
    <d v="2019-07-01T00:00:00"/>
    <d v="2021-06-30T00:00:00"/>
    <s v="Telstra"/>
    <s v="NETWORK"/>
    <s v="Network - InfraCo"/>
    <s v="VIC"/>
    <s v="Australia"/>
    <s v="Geelong"/>
    <s v="MOOLAP EXCHANGE"/>
    <n v="423030620400"/>
    <s v="No Recovery"/>
    <x v="1"/>
    <x v="7"/>
    <s v="Account"/>
    <s v="Remondis Clinical Waste"/>
    <m/>
    <s v="423030620400_WMEDMEDIC"/>
    <s v="CLINICAL WASTE"/>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564985Hazardous Waste [t]"/>
    <n v="13564985"/>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08-01T00:00:00"/>
    <s v="FY21"/>
    <s v="t"/>
    <n v="6.3"/>
    <n v="0.39"/>
    <n v="0"/>
    <n v="6.69"/>
    <n v="1"/>
    <n v="2"/>
    <n v="0"/>
    <n v="3"/>
    <n v="94.17"/>
    <n v="5.82"/>
    <n v="0"/>
    <s v="Consolidation"/>
    <s v="CO2e and Base Measure"/>
    <n v="100"/>
    <n v="100"/>
    <n v="6.69"/>
    <m/>
    <m/>
    <m/>
    <m/>
    <m/>
    <n v="8.6969999999999992"/>
    <m/>
    <n v="8.6969999999999992"/>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11-01T00:00:00"/>
    <s v="FY21"/>
    <s v="t"/>
    <n v="1.1599999999999999"/>
    <n v="0.58499999999999996"/>
    <n v="0"/>
    <n v="1.7450000000000001"/>
    <n v="1"/>
    <n v="3"/>
    <n v="0"/>
    <n v="4"/>
    <n v="66.47"/>
    <n v="33.520000000000003"/>
    <n v="0"/>
    <s v="Consolidation"/>
    <s v="CO2e and Base Measure"/>
    <n v="100"/>
    <n v="100"/>
    <n v="1.75"/>
    <m/>
    <m/>
    <m/>
    <m/>
    <m/>
    <n v="2.2685"/>
    <m/>
    <n v="2.2685"/>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12-01T00:00:00"/>
    <s v="FY21"/>
    <s v="t"/>
    <n v="0"/>
    <n v="0"/>
    <n v="5.6000000000000001E-2"/>
    <n v="5.6000000000000001E-2"/>
    <n v="0"/>
    <n v="0"/>
    <n v="1"/>
    <n v="1"/>
    <n v="0"/>
    <n v="0"/>
    <n v="100"/>
    <s v="Consolidation"/>
    <s v="CO2e and Base Measure"/>
    <n v="100"/>
    <n v="100"/>
    <n v="0.06"/>
    <m/>
    <m/>
    <m/>
    <m/>
    <m/>
    <n v="7.2800000000000004E-2"/>
    <m/>
    <n v="7.2800000000000004E-2"/>
    <m/>
    <m/>
    <m/>
    <m/>
    <m/>
    <s v="AUD"/>
    <s v="13564986Waste - General [t] - Scope 3"/>
    <n v="13564986"/>
  </r>
  <r>
    <d v="2019-07-01T00:00:00"/>
    <d v="2021-06-30T00:00:00"/>
    <s v="Telstra"/>
    <s v="NETWORK"/>
    <s v="Network - InfraCo"/>
    <s v="VIC"/>
    <s v="Australia"/>
    <s v="Geelong"/>
    <s v="MOOLAP EXCHANGE"/>
    <n v="423030620400"/>
    <s v="Recycled Waste"/>
    <x v="0"/>
    <x v="5"/>
    <s v="Account"/>
    <s v="Remondis Metal - Mixed All"/>
    <m/>
    <s v="423030620400_RMETMIXED"/>
    <s v="METAL - MIXED ALL"/>
    <s v="Remondis"/>
    <m/>
    <m/>
    <d v="2020-12-01T00:00:00"/>
    <d v="2020-09-01T00:00:00"/>
    <s v="FY21"/>
    <s v="t"/>
    <n v="0.20399999999999999"/>
    <n v="0"/>
    <n v="0"/>
    <n v="0.20399999999999999"/>
    <n v="1"/>
    <n v="0"/>
    <n v="0"/>
    <n v="1"/>
    <n v="100"/>
    <n v="0"/>
    <n v="0"/>
    <s v="Consolidation"/>
    <s v="CO2e and Base Measure"/>
    <n v="100"/>
    <n v="100"/>
    <n v="0.2"/>
    <m/>
    <m/>
    <m/>
    <m/>
    <m/>
    <m/>
    <m/>
    <m/>
    <m/>
    <m/>
    <m/>
    <m/>
    <m/>
    <s v="AUD"/>
    <s v="13564987Waste Recycled - Construction and Demolition [t]"/>
    <n v="13564987"/>
  </r>
  <r>
    <d v="2019-07-01T00:00:00"/>
    <d v="2021-06-30T00:00:00"/>
    <s v="Telstra"/>
    <s v="NETWORK"/>
    <s v="Network - InfraCo"/>
    <s v="VIC"/>
    <s v="Australia"/>
    <s v="Geelong"/>
    <s v="MOOLAP EXCHANGE"/>
    <n v="423030620400"/>
    <s v="Recycled Waste"/>
    <x v="0"/>
    <x v="5"/>
    <s v="Account"/>
    <s v="Remondis Metal - Mixed All"/>
    <m/>
    <s v="423030620400_RMETMIXED"/>
    <s v="METAL - MIXED ALL"/>
    <s v="Remondis"/>
    <m/>
    <m/>
    <d v="2020-12-01T00:00:00"/>
    <d v="2020-11-01T00:00:00"/>
    <s v="FY21"/>
    <s v="t"/>
    <n v="8.5999999999999993E-2"/>
    <n v="0"/>
    <n v="0"/>
    <n v="8.5999999999999993E-2"/>
    <n v="1"/>
    <n v="0"/>
    <n v="0"/>
    <n v="1"/>
    <n v="100"/>
    <n v="0"/>
    <n v="0"/>
    <s v="Consolidation"/>
    <s v="CO2e and Base Measure"/>
    <n v="100"/>
    <n v="100"/>
    <n v="0.09"/>
    <m/>
    <m/>
    <m/>
    <m/>
    <m/>
    <m/>
    <m/>
    <m/>
    <m/>
    <m/>
    <m/>
    <m/>
    <m/>
    <s v="AUD"/>
    <s v="13564987Waste Recycled - Construction and Demolition [t]"/>
    <n v="13564987"/>
  </r>
  <r>
    <d v="2019-07-01T00:00:00"/>
    <d v="2021-06-30T00:00:00"/>
    <s v="Telstra"/>
    <s v="NETWORK"/>
    <s v="Network - InfraCo"/>
    <s v="VIC"/>
    <s v="Australia"/>
    <s v="Geelong"/>
    <s v="MOOLAP EXCHANGE"/>
    <n v="423030620400"/>
    <s v="Recycled Waste"/>
    <x v="0"/>
    <x v="5"/>
    <s v="Account"/>
    <s v="Remondis Metal - Mixed All"/>
    <m/>
    <s v="423030620400_RMETMIXED"/>
    <s v="METAL - MIXED ALL"/>
    <s v="Remondis"/>
    <m/>
    <m/>
    <d v="2020-12-01T00:00:00"/>
    <d v="2020-12-01T00:00:00"/>
    <s v="FY21"/>
    <s v="t"/>
    <n v="0"/>
    <n v="0"/>
    <n v="3.3E-3"/>
    <n v="3.3E-3"/>
    <n v="0"/>
    <n v="0"/>
    <n v="1"/>
    <n v="1"/>
    <n v="0"/>
    <n v="0"/>
    <n v="100"/>
    <s v="Consolidation"/>
    <s v="CO2e and Base Measure"/>
    <n v="100"/>
    <n v="100"/>
    <n v="0"/>
    <m/>
    <m/>
    <m/>
    <m/>
    <m/>
    <m/>
    <m/>
    <m/>
    <m/>
    <m/>
    <m/>
    <m/>
    <m/>
    <s v="AUD"/>
    <s v="13564987Waste Recycled - Construction and Demolition [t]"/>
    <n v="13564987"/>
  </r>
  <r>
    <d v="2019-07-01T00:00:00"/>
    <d v="2021-06-30T00:00:00"/>
    <s v="Telstra"/>
    <s v="NETWORK"/>
    <s v="Network - InfraCo"/>
    <s v="VIC"/>
    <s v="Australia"/>
    <s v="Geelong"/>
    <s v="MOOLAP EXCHANGE"/>
    <n v="423030620400"/>
    <s v="Recycled Waste"/>
    <x v="0"/>
    <x v="1"/>
    <s v="Account"/>
    <s v="Remondis Electrical Comp. (E-Waste)"/>
    <m/>
    <s v="423030620400_RELECTRIC"/>
    <s v="ELECTRICAL COMP. E-WASTE"/>
    <s v="Remondis"/>
    <m/>
    <m/>
    <d v="2020-12-01T00:00:00"/>
    <d v="2020-11-01T00:00:00"/>
    <s v="FY21"/>
    <s v="t"/>
    <n v="0.13800000000000001"/>
    <n v="0.25080000000000002"/>
    <n v="0"/>
    <n v="0.38879999999999998"/>
    <n v="2"/>
    <n v="2"/>
    <n v="0"/>
    <n v="4"/>
    <n v="35.49"/>
    <n v="64.5"/>
    <n v="0"/>
    <s v="Consolidation"/>
    <s v="CO2e and Base Measure"/>
    <n v="100"/>
    <n v="100"/>
    <n v="0.39"/>
    <m/>
    <m/>
    <m/>
    <m/>
    <m/>
    <m/>
    <m/>
    <m/>
    <m/>
    <m/>
    <m/>
    <m/>
    <m/>
    <s v="AUD"/>
    <s v="13576232Waste Recycled - E-waste [t]"/>
    <n v="13576232"/>
  </r>
  <r>
    <d v="2019-07-01T00:00:00"/>
    <d v="2021-06-30T00:00:00"/>
    <s v="Telstra"/>
    <s v="NETWORK"/>
    <s v="Network - InfraCo"/>
    <s v="VIC"/>
    <s v="Australia"/>
    <s v="Geelong"/>
    <s v="MOOLAP EXCHANGE"/>
    <n v="423030620400"/>
    <s v="Recycled Waste"/>
    <x v="0"/>
    <x v="1"/>
    <s v="Account"/>
    <s v="Remondis Electrical Comp. (E-Waste)"/>
    <m/>
    <s v="423030620400_RELECTRIC"/>
    <s v="ELECTRICAL COMP. E-WASTE"/>
    <s v="Remondis"/>
    <m/>
    <m/>
    <d v="2020-12-01T00:00:00"/>
    <d v="2020-12-01T00:00:00"/>
    <s v="FY21"/>
    <s v="t"/>
    <n v="0"/>
    <n v="0"/>
    <n v="1.34E-2"/>
    <n v="1.34E-2"/>
    <n v="0"/>
    <n v="0"/>
    <n v="1"/>
    <n v="1"/>
    <n v="0"/>
    <n v="0"/>
    <n v="100"/>
    <s v="Consolidation"/>
    <s v="CO2e and Base Measure"/>
    <n v="100"/>
    <n v="100"/>
    <n v="0.01"/>
    <m/>
    <m/>
    <m/>
    <m/>
    <m/>
    <m/>
    <m/>
    <m/>
    <m/>
    <m/>
    <m/>
    <m/>
    <m/>
    <s v="AUD"/>
    <s v="13576232Waste Recycled - E-waste [t]"/>
    <n v="13576232"/>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0-12-01T00:00:00"/>
    <s v="FY21"/>
    <s v="t"/>
    <n v="8.6999999999999994E-2"/>
    <n v="0"/>
    <n v="0"/>
    <n v="8.6999999999999994E-2"/>
    <n v="1"/>
    <n v="0"/>
    <n v="0"/>
    <n v="1"/>
    <n v="100"/>
    <n v="0"/>
    <n v="0"/>
    <s v="Consolidation"/>
    <s v="CO2e and Base Measure"/>
    <n v="100"/>
    <n v="100"/>
    <n v="0.09"/>
    <m/>
    <m/>
    <m/>
    <m/>
    <m/>
    <n v="0.11310000000000001"/>
    <m/>
    <n v="0.11310000000000001"/>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1-01T00:00:00"/>
    <s v="FY21"/>
    <s v="t"/>
    <n v="0.376"/>
    <n v="0"/>
    <n v="0"/>
    <n v="0.376"/>
    <n v="1"/>
    <n v="0"/>
    <n v="0"/>
    <n v="1"/>
    <n v="100"/>
    <n v="0"/>
    <n v="0"/>
    <s v="Consolidation"/>
    <s v="CO2e and Base Measure"/>
    <n v="100"/>
    <n v="100"/>
    <n v="0.38"/>
    <m/>
    <m/>
    <m/>
    <m/>
    <m/>
    <n v="0.48880000000000001"/>
    <m/>
    <n v="0.48880000000000001"/>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2-01T00:00:00"/>
    <s v="FY21"/>
    <s v="t"/>
    <n v="0.23899999999999999"/>
    <n v="0"/>
    <n v="0"/>
    <n v="0.23899999999999999"/>
    <n v="2"/>
    <n v="0"/>
    <n v="0"/>
    <n v="2"/>
    <n v="100"/>
    <n v="0"/>
    <n v="0"/>
    <s v="Consolidation"/>
    <s v="CO2e and Base Measure"/>
    <n v="100"/>
    <n v="100"/>
    <n v="0.24"/>
    <m/>
    <m/>
    <m/>
    <m/>
    <m/>
    <n v="0.31069999999999998"/>
    <m/>
    <n v="0.31069999999999998"/>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3-01T00:00:00"/>
    <s v="FY21"/>
    <s v="t"/>
    <n v="0.40600000000000003"/>
    <n v="0"/>
    <n v="0"/>
    <n v="0.40600000000000003"/>
    <n v="3"/>
    <n v="0"/>
    <n v="0"/>
    <n v="3"/>
    <n v="100"/>
    <n v="0"/>
    <n v="0"/>
    <s v="Consolidation"/>
    <s v="CO2e and Base Measure"/>
    <n v="100"/>
    <n v="100"/>
    <n v="0.41"/>
    <m/>
    <m/>
    <m/>
    <m/>
    <m/>
    <n v="0.52780000000000005"/>
    <m/>
    <n v="0.52780000000000005"/>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4-01T00:00:00"/>
    <s v="FY21"/>
    <s v="t"/>
    <n v="0"/>
    <n v="0"/>
    <n v="0.27600000000000002"/>
    <n v="0.27600000000000002"/>
    <n v="0"/>
    <n v="0"/>
    <n v="30"/>
    <n v="30"/>
    <n v="0"/>
    <n v="0"/>
    <n v="100"/>
    <s v="Consolidation"/>
    <s v="CO2e and Base Measure"/>
    <n v="100"/>
    <n v="100"/>
    <n v="0.28000000000000003"/>
    <m/>
    <m/>
    <m/>
    <m/>
    <m/>
    <n v="0.35880000000000001"/>
    <m/>
    <n v="0.35880000000000001"/>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5-01T00:00:00"/>
    <s v="FY21"/>
    <s v="t"/>
    <n v="0"/>
    <n v="0"/>
    <n v="0.28520000000000001"/>
    <n v="0.28520000000000001"/>
    <n v="0"/>
    <n v="0"/>
    <n v="31"/>
    <n v="31"/>
    <n v="0"/>
    <n v="0"/>
    <n v="100"/>
    <s v="Consolidation"/>
    <s v="CO2e and Base Measure"/>
    <n v="100"/>
    <n v="100"/>
    <n v="0.28999999999999998"/>
    <m/>
    <m/>
    <m/>
    <m/>
    <m/>
    <n v="0.37080000000000002"/>
    <m/>
    <n v="0.37080000000000002"/>
    <m/>
    <m/>
    <m/>
    <m/>
    <m/>
    <s v="AUD"/>
    <s v="13634181Waste - General [t] - Scope 3"/>
    <n v="13634181"/>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0-12-01T00:00:00"/>
    <s v="FY21"/>
    <s v="t"/>
    <n v="0.12"/>
    <n v="0"/>
    <n v="0"/>
    <n v="0.12"/>
    <n v="1"/>
    <n v="0"/>
    <n v="0"/>
    <n v="1"/>
    <n v="100"/>
    <n v="0"/>
    <n v="0"/>
    <s v="Consolidation"/>
    <s v="CO2e and Base Measure"/>
    <n v="100"/>
    <n v="100"/>
    <n v="0.12"/>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1-01T00:00:00"/>
    <s v="FY21"/>
    <s v="t"/>
    <n v="0.08"/>
    <n v="0"/>
    <n v="0"/>
    <n v="0.08"/>
    <n v="2"/>
    <n v="0"/>
    <n v="0"/>
    <n v="2"/>
    <n v="100"/>
    <n v="0"/>
    <n v="0"/>
    <s v="Consolidation"/>
    <s v="CO2e and Base Measure"/>
    <n v="100"/>
    <n v="100"/>
    <n v="0.08"/>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2-01T00:00:00"/>
    <s v="FY21"/>
    <s v="t"/>
    <n v="0.02"/>
    <n v="3.7499999999999999E-2"/>
    <n v="0"/>
    <n v="5.7500000000000002E-2"/>
    <n v="1"/>
    <n v="1"/>
    <n v="0"/>
    <n v="2"/>
    <n v="34.78"/>
    <n v="65.209999999999994"/>
    <n v="0"/>
    <s v="Consolidation"/>
    <s v="CO2e and Base Measure"/>
    <n v="100"/>
    <n v="100"/>
    <n v="0.06"/>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3-01T00:00:00"/>
    <s v="FY21"/>
    <s v="t"/>
    <n v="0.03"/>
    <n v="3.7499999999999999E-2"/>
    <n v="0"/>
    <n v="6.7500000000000004E-2"/>
    <n v="1"/>
    <n v="1"/>
    <n v="0"/>
    <n v="2"/>
    <n v="44.44"/>
    <n v="55.55"/>
    <n v="0"/>
    <s v="Consolidation"/>
    <s v="CO2e and Base Measure"/>
    <n v="100"/>
    <n v="100"/>
    <n v="7.0000000000000007E-2"/>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4-01T00:00:00"/>
    <s v="FY21"/>
    <s v="t"/>
    <n v="0"/>
    <n v="0"/>
    <n v="8.1000000000000003E-2"/>
    <n v="8.1000000000000003E-2"/>
    <n v="0"/>
    <n v="0"/>
    <n v="30"/>
    <n v="30"/>
    <n v="0"/>
    <n v="0"/>
    <n v="100"/>
    <s v="Consolidation"/>
    <s v="CO2e and Base Measure"/>
    <n v="100"/>
    <n v="100"/>
    <n v="0.08"/>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5-01T00:00:00"/>
    <s v="FY21"/>
    <s v="t"/>
    <n v="0"/>
    <n v="0"/>
    <n v="8.3699999999999997E-2"/>
    <n v="8.3699999999999997E-2"/>
    <n v="0"/>
    <n v="0"/>
    <n v="31"/>
    <n v="31"/>
    <n v="0"/>
    <n v="0"/>
    <n v="100"/>
    <s v="Consolidation"/>
    <s v="CO2e and Base Measure"/>
    <n v="100"/>
    <n v="100"/>
    <n v="0.08"/>
    <m/>
    <m/>
    <m/>
    <m/>
    <m/>
    <m/>
    <m/>
    <m/>
    <m/>
    <m/>
    <m/>
    <m/>
    <m/>
    <s v="AUD"/>
    <s v="13634182Waste Recycled - Paper and Cardboard [t]"/>
    <n v="13634182"/>
  </r>
  <r>
    <d v="2019-07-01T00:00:00"/>
    <d v="2021-06-30T00:00:00"/>
    <s v="Telstra"/>
    <s v="NETWORK"/>
    <s v="Network - InfraCo"/>
    <s v="WA"/>
    <s v="Australia"/>
    <s v="Moora"/>
    <s v="MOORA EXCHANGE"/>
    <n v="423030870200"/>
    <s v="Waste"/>
    <x v="1"/>
    <x v="4"/>
    <s v="Account"/>
    <s v="Remondis Asbestos"/>
    <m/>
    <s v="423030870200_WASBESTOS"/>
    <s v="ASBESTOS"/>
    <s v="Remondis"/>
    <m/>
    <m/>
    <d v="2021-01-01T00:00:00"/>
    <d v="2020-12-01T00:00:00"/>
    <s v="FY21"/>
    <s v="t"/>
    <n v="0"/>
    <n v="1"/>
    <n v="0"/>
    <n v="1"/>
    <n v="0"/>
    <n v="1"/>
    <n v="0"/>
    <n v="1"/>
    <n v="0"/>
    <n v="100"/>
    <n v="0"/>
    <s v="Consolidation"/>
    <s v="CO2e and Base Measure"/>
    <n v="100"/>
    <n v="100"/>
    <n v="1"/>
    <m/>
    <m/>
    <m/>
    <m/>
    <m/>
    <n v="1.2"/>
    <m/>
    <n v="1.2"/>
    <m/>
    <m/>
    <m/>
    <m/>
    <m/>
    <s v="AUD"/>
    <s v="13565398Waste - Construction and Demolition [t]"/>
    <n v="13565398"/>
  </r>
  <r>
    <d v="2019-07-01T00:00:00"/>
    <d v="2021-06-30T00:00:00"/>
    <s v="Telstra"/>
    <s v="NETWORK"/>
    <s v="Network - InfraCo"/>
    <s v="WA"/>
    <s v="Australia"/>
    <s v="Moora"/>
    <s v="MOORA EXCHANGE"/>
    <n v="423030870200"/>
    <s v="Waste"/>
    <x v="1"/>
    <x v="4"/>
    <s v="Account"/>
    <s v="Remondis Asbestos"/>
    <m/>
    <s v="423030870200_WASBESTOS"/>
    <s v="ASBESTOS"/>
    <s v="Remondis"/>
    <m/>
    <m/>
    <d v="2021-01-01T00:00:00"/>
    <d v="2021-01-01T00:00:00"/>
    <s v="FY21"/>
    <s v="t"/>
    <n v="0"/>
    <n v="0"/>
    <n v="3.3300000000000003E-2"/>
    <n v="3.3300000000000003E-2"/>
    <n v="0"/>
    <n v="0"/>
    <n v="1"/>
    <n v="1"/>
    <n v="0"/>
    <n v="0"/>
    <n v="100"/>
    <s v="Consolidation"/>
    <s v="CO2e and Base Measure"/>
    <n v="100"/>
    <n v="100"/>
    <n v="0.03"/>
    <m/>
    <m/>
    <m/>
    <m/>
    <m/>
    <n v="0.04"/>
    <m/>
    <n v="0.04"/>
    <m/>
    <m/>
    <m/>
    <m/>
    <m/>
    <s v="AUD"/>
    <s v="13565398Waste - Construction and Demolition [t]"/>
    <n v="13565398"/>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5400Waste - General [t] - Scope 3"/>
    <n v="13565400"/>
  </r>
  <r>
    <d v="2019-07-01T00:00:00"/>
    <d v="2021-06-30T00:00:00"/>
    <s v="Telstra"/>
    <s v="NETWORK"/>
    <s v="Network - InfraCo"/>
    <s v="WA"/>
    <s v="Australia"/>
    <s v="Moora"/>
    <s v="MOORA EXCHANGE"/>
    <n v="423030870200"/>
    <s v="Waste"/>
    <x v="1"/>
    <x v="2"/>
    <s v="Account"/>
    <s v="CLEANAWAY General"/>
    <m/>
    <s v="13106_Landfill_General"/>
    <s v="General"/>
    <s v="Cleanaway"/>
    <m/>
    <d v="2021-02-18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9902Waste - General [t] - Scope 3"/>
    <n v="13639902"/>
  </r>
  <r>
    <d v="2019-07-01T00:00:00"/>
    <d v="2021-06-30T00:00:00"/>
    <s v="Telstra"/>
    <s v="NETWORK"/>
    <s v="Network - InfraCo"/>
    <s v="WA"/>
    <s v="Australia"/>
    <s v="Moora"/>
    <s v="MOORA EXCHANGE"/>
    <n v="423030870200"/>
    <s v="Waste"/>
    <x v="1"/>
    <x v="2"/>
    <s v="Account"/>
    <s v="CLEANAWAY General"/>
    <m/>
    <s v="13106_Landfill_General"/>
    <s v="General"/>
    <s v="Cleanaway"/>
    <m/>
    <d v="2021-02-18T00:00:00"/>
    <m/>
    <d v="2021-03-01T00:00:00"/>
    <s v="FY21"/>
    <s v="t"/>
    <n v="2.7E-2"/>
    <n v="0"/>
    <n v="0"/>
    <n v="2.7E-2"/>
    <n v="1"/>
    <n v="0"/>
    <n v="0"/>
    <n v="1"/>
    <n v="100"/>
    <n v="0"/>
    <n v="0"/>
    <s v="Consolidation"/>
    <s v="CO2e and Base Measure"/>
    <n v="100"/>
    <n v="100"/>
    <n v="0.03"/>
    <m/>
    <m/>
    <m/>
    <m/>
    <m/>
    <n v="3.5099999999999999E-2"/>
    <m/>
    <n v="3.5099999999999999E-2"/>
    <m/>
    <m/>
    <m/>
    <m/>
    <m/>
    <s v="AUD"/>
    <s v="13639902Waste - General [t] - Scope 3"/>
    <n v="13639902"/>
  </r>
  <r>
    <d v="2019-07-01T00:00:00"/>
    <d v="2021-06-30T00:00:00"/>
    <s v="Telstra"/>
    <s v="NETWORK"/>
    <s v="Network - InfraCo"/>
    <s v="WA"/>
    <s v="Australia"/>
    <s v="Moora"/>
    <s v="MOORA EXCHANGE"/>
    <n v="423030870200"/>
    <s v="Waste"/>
    <x v="1"/>
    <x v="2"/>
    <s v="Account"/>
    <s v="CLEANAWAY General"/>
    <m/>
    <s v="13106_Landfill_General"/>
    <s v="General"/>
    <s v="Cleanaway"/>
    <m/>
    <d v="2021-02-18T00:00:00"/>
    <m/>
    <d v="2021-04-01T00:00:00"/>
    <s v="FY21"/>
    <s v="t"/>
    <n v="0"/>
    <n v="0"/>
    <n v="8.4000000000000005E-2"/>
    <n v="8.4000000000000005E-2"/>
    <n v="0"/>
    <n v="0"/>
    <n v="30"/>
    <n v="30"/>
    <n v="0"/>
    <n v="0"/>
    <n v="100"/>
    <s v="Consolidation"/>
    <s v="CO2e and Base Measure"/>
    <n v="100"/>
    <n v="100"/>
    <n v="0.08"/>
    <m/>
    <m/>
    <m/>
    <m/>
    <m/>
    <n v="0.10920000000000001"/>
    <m/>
    <n v="0.10920000000000001"/>
    <m/>
    <m/>
    <m/>
    <m/>
    <m/>
    <s v="AUD"/>
    <s v="13639902Waste - General [t] - Scope 3"/>
    <n v="13639902"/>
  </r>
  <r>
    <d v="2019-07-01T00:00:00"/>
    <d v="2021-06-30T00:00:00"/>
    <s v="Telstra"/>
    <s v="NETWORK"/>
    <s v="Network - InfraCo"/>
    <s v="WA"/>
    <s v="Australia"/>
    <s v="Moora"/>
    <s v="MOORA EXCHANGE"/>
    <n v="423030870200"/>
    <s v="Waste"/>
    <x v="1"/>
    <x v="2"/>
    <s v="Account"/>
    <s v="CLEANAWAY General"/>
    <m/>
    <s v="13106_Landfill_General"/>
    <s v="General"/>
    <s v="Cleanaway"/>
    <m/>
    <d v="2021-02-18T00:00:00"/>
    <m/>
    <d v="2021-05-01T00:00:00"/>
    <s v="FY21"/>
    <s v="t"/>
    <n v="0"/>
    <n v="0"/>
    <n v="8.6800000000000002E-2"/>
    <n v="8.6800000000000002E-2"/>
    <n v="0"/>
    <n v="0"/>
    <n v="31"/>
    <n v="31"/>
    <n v="0"/>
    <n v="0"/>
    <n v="100"/>
    <s v="Consolidation"/>
    <s v="CO2e and Base Measure"/>
    <n v="100"/>
    <n v="100"/>
    <n v="0.09"/>
    <m/>
    <m/>
    <m/>
    <m/>
    <m/>
    <n v="0.1128"/>
    <m/>
    <n v="0.1128"/>
    <m/>
    <m/>
    <m/>
    <m/>
    <m/>
    <s v="AUD"/>
    <s v="13639902Waste - General [t] - Scope 3"/>
    <n v="13639902"/>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035Waste Recycled - Cardboard [t]"/>
    <n v="13565035"/>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09-01T00:00:00"/>
    <s v="FY21"/>
    <s v="t"/>
    <n v="0"/>
    <n v="6.3E-2"/>
    <n v="0"/>
    <n v="6.3E-2"/>
    <n v="0"/>
    <n v="1"/>
    <n v="0"/>
    <n v="1"/>
    <n v="0"/>
    <n v="100"/>
    <n v="0"/>
    <s v="Consolidation"/>
    <s v="CO2e and Base Measure"/>
    <n v="100"/>
    <n v="100"/>
    <n v="0.06"/>
    <m/>
    <m/>
    <m/>
    <m/>
    <m/>
    <m/>
    <n v="0"/>
    <m/>
    <m/>
    <m/>
    <m/>
    <m/>
    <m/>
    <s v="AUD"/>
    <s v="13565035Waste Recycled - Cardboard [t]"/>
    <n v="13565035"/>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10-01T00:00:00"/>
    <s v="FY21"/>
    <s v="t"/>
    <n v="0"/>
    <n v="6.3E-2"/>
    <n v="0"/>
    <n v="6.3E-2"/>
    <n v="0"/>
    <n v="1"/>
    <n v="0"/>
    <n v="1"/>
    <n v="0"/>
    <n v="100"/>
    <n v="0"/>
    <s v="Consolidation"/>
    <s v="CO2e and Base Measure"/>
    <n v="100"/>
    <n v="100"/>
    <n v="0.06"/>
    <m/>
    <m/>
    <m/>
    <m/>
    <m/>
    <m/>
    <n v="0"/>
    <m/>
    <m/>
    <m/>
    <m/>
    <m/>
    <m/>
    <s v="AUD"/>
    <s v="13565035Waste Recycled - Cardboard [t]"/>
    <n v="13565035"/>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035Waste Recycled - Cardboard [t]"/>
    <n v="13565035"/>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12-01T00:00:00"/>
    <s v="FY21"/>
    <s v="t"/>
    <n v="0"/>
    <n v="0"/>
    <n v="2.5999999999999999E-3"/>
    <n v="2.5999999999999999E-3"/>
    <n v="0"/>
    <n v="0"/>
    <n v="1"/>
    <n v="1"/>
    <n v="0"/>
    <n v="0"/>
    <n v="100"/>
    <s v="Consolidation"/>
    <s v="CO2e and Base Measure"/>
    <n v="100"/>
    <n v="100"/>
    <n v="0"/>
    <m/>
    <m/>
    <m/>
    <m/>
    <m/>
    <m/>
    <n v="0"/>
    <m/>
    <m/>
    <m/>
    <m/>
    <m/>
    <m/>
    <s v="AUD"/>
    <s v="13565035Waste Recycled - Cardboard [t]"/>
    <n v="13565035"/>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07-01T00:00:00"/>
    <s v="FY21"/>
    <s v="t"/>
    <n v="0.6"/>
    <n v="0"/>
    <n v="0"/>
    <n v="0.6"/>
    <n v="2"/>
    <n v="0"/>
    <n v="0"/>
    <n v="2"/>
    <n v="100"/>
    <n v="0"/>
    <n v="0"/>
    <s v="Consolidation"/>
    <s v="CO2e and Base Measure"/>
    <n v="100"/>
    <n v="100"/>
    <n v="0.6"/>
    <m/>
    <m/>
    <m/>
    <m/>
    <m/>
    <n v="0.78"/>
    <m/>
    <n v="0.78"/>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08-01T00:00:00"/>
    <s v="FY21"/>
    <s v="t"/>
    <n v="0.375"/>
    <n v="0"/>
    <n v="0"/>
    <n v="0.375"/>
    <n v="2"/>
    <n v="0"/>
    <n v="0"/>
    <n v="2"/>
    <n v="100"/>
    <n v="0"/>
    <n v="0"/>
    <s v="Consolidation"/>
    <s v="CO2e and Base Measure"/>
    <n v="100"/>
    <n v="100"/>
    <n v="0.38"/>
    <m/>
    <m/>
    <m/>
    <m/>
    <m/>
    <n v="0.48749999999999999"/>
    <m/>
    <n v="0.48749999999999999"/>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09-01T00:00:00"/>
    <s v="FY21"/>
    <s v="t"/>
    <n v="0.63"/>
    <n v="0"/>
    <n v="0"/>
    <n v="0.63"/>
    <n v="2"/>
    <n v="0"/>
    <n v="0"/>
    <n v="2"/>
    <n v="100"/>
    <n v="0"/>
    <n v="0"/>
    <s v="Consolidation"/>
    <s v="CO2e and Base Measure"/>
    <n v="100"/>
    <n v="100"/>
    <n v="0.63"/>
    <m/>
    <m/>
    <m/>
    <m/>
    <m/>
    <n v="0.81899999999999995"/>
    <m/>
    <n v="0.81899999999999995"/>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10-01T00:00:00"/>
    <s v="FY21"/>
    <s v="t"/>
    <n v="0.83"/>
    <n v="0"/>
    <n v="0"/>
    <n v="0.83"/>
    <n v="2"/>
    <n v="0"/>
    <n v="0"/>
    <n v="2"/>
    <n v="100"/>
    <n v="0"/>
    <n v="0"/>
    <s v="Consolidation"/>
    <s v="CO2e and Base Measure"/>
    <n v="100"/>
    <n v="100"/>
    <n v="0.83"/>
    <m/>
    <m/>
    <m/>
    <m/>
    <m/>
    <n v="1.079"/>
    <m/>
    <n v="1.079"/>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11-01T00:00:00"/>
    <s v="FY21"/>
    <s v="t"/>
    <n v="1.19"/>
    <n v="0"/>
    <n v="0"/>
    <n v="1.19"/>
    <n v="3"/>
    <n v="0"/>
    <n v="0"/>
    <n v="3"/>
    <n v="100"/>
    <n v="0"/>
    <n v="0"/>
    <s v="Consolidation"/>
    <s v="CO2e and Base Measure"/>
    <n v="100"/>
    <n v="100"/>
    <n v="1.19"/>
    <m/>
    <m/>
    <m/>
    <m/>
    <m/>
    <n v="1.5469999999999999"/>
    <m/>
    <n v="1.5469999999999999"/>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65037Waste - General [t] - Scope 3"/>
    <n v="13565037"/>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0-11-01T00:00:00"/>
    <s v="FY21"/>
    <s v="t"/>
    <n v="0"/>
    <n v="1"/>
    <n v="0"/>
    <n v="1"/>
    <n v="0"/>
    <n v="1"/>
    <n v="0"/>
    <n v="1"/>
    <n v="0"/>
    <n v="100"/>
    <n v="0"/>
    <s v="Consolidation"/>
    <s v="CO2e and Base Measure"/>
    <n v="100"/>
    <n v="100"/>
    <n v="1"/>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0-12-01T00:00:00"/>
    <s v="FY21"/>
    <s v="t"/>
    <n v="0"/>
    <n v="0"/>
    <n v="1.0694999999999999"/>
    <n v="1.0694999999999999"/>
    <n v="0"/>
    <n v="0"/>
    <n v="31"/>
    <n v="31"/>
    <n v="0"/>
    <n v="0"/>
    <n v="100"/>
    <s v="Consolidation"/>
    <s v="CO2e and Base Measure"/>
    <n v="100"/>
    <n v="100"/>
    <n v="1.07"/>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1-01T00:00:00"/>
    <s v="FY21"/>
    <s v="t"/>
    <n v="0"/>
    <n v="0"/>
    <n v="1.0694999999999999"/>
    <n v="1.0694999999999999"/>
    <n v="0"/>
    <n v="0"/>
    <n v="31"/>
    <n v="31"/>
    <n v="0"/>
    <n v="0"/>
    <n v="100"/>
    <s v="Consolidation"/>
    <s v="CO2e and Base Measure"/>
    <n v="100"/>
    <n v="100"/>
    <n v="1.07"/>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2-01T00:00:00"/>
    <s v="FY21"/>
    <s v="t"/>
    <n v="0"/>
    <n v="0"/>
    <n v="0.96599999999999997"/>
    <n v="0.96599999999999997"/>
    <n v="0"/>
    <n v="0"/>
    <n v="28"/>
    <n v="28"/>
    <n v="0"/>
    <n v="0"/>
    <n v="100"/>
    <s v="Consolidation"/>
    <s v="CO2e and Base Measure"/>
    <n v="100"/>
    <n v="100"/>
    <n v="0.97"/>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3-01T00:00:00"/>
    <s v="FY21"/>
    <s v="t"/>
    <n v="0"/>
    <n v="0"/>
    <n v="1.0694999999999999"/>
    <n v="1.0694999999999999"/>
    <n v="0"/>
    <n v="0"/>
    <n v="31"/>
    <n v="31"/>
    <n v="0"/>
    <n v="0"/>
    <n v="100"/>
    <s v="Consolidation"/>
    <s v="CO2e and Base Measure"/>
    <n v="100"/>
    <n v="100"/>
    <n v="1.07"/>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4-01T00:00:00"/>
    <s v="FY21"/>
    <s v="t"/>
    <n v="0"/>
    <n v="0"/>
    <n v="1.0349999999999999"/>
    <n v="1.0349999999999999"/>
    <n v="0"/>
    <n v="0"/>
    <n v="30"/>
    <n v="30"/>
    <n v="0"/>
    <n v="0"/>
    <n v="100"/>
    <s v="Consolidation"/>
    <s v="CO2e and Base Measure"/>
    <n v="100"/>
    <n v="100"/>
    <n v="1.04"/>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5-01T00:00:00"/>
    <s v="FY21"/>
    <s v="t"/>
    <n v="0"/>
    <n v="0"/>
    <n v="1.0694999999999999"/>
    <n v="1.0694999999999999"/>
    <n v="0"/>
    <n v="0"/>
    <n v="31"/>
    <n v="31"/>
    <n v="0"/>
    <n v="0"/>
    <n v="100"/>
    <s v="Consolidation"/>
    <s v="CO2e and Base Measure"/>
    <n v="100"/>
    <n v="100"/>
    <n v="1.07"/>
    <m/>
    <m/>
    <m/>
    <m/>
    <m/>
    <m/>
    <m/>
    <m/>
    <m/>
    <m/>
    <m/>
    <m/>
    <m/>
    <s v="AUD"/>
    <s v="13633435Waste Recycled - Construction and Demolition [t]"/>
    <n v="13633435"/>
  </r>
  <r>
    <d v="2019-07-01T00:00:00"/>
    <d v="2021-06-30T00:00:00"/>
    <s v="Telstra"/>
    <s v="NETWORK"/>
    <s v="Network - InfraCo"/>
    <s v="QLD"/>
    <s v="Australia"/>
    <s v="Moranbah"/>
    <s v="MORANBAH EXCHANGE"/>
    <n v="423030292000"/>
    <s v="Waste"/>
    <x v="1"/>
    <x v="4"/>
    <s v="Account"/>
    <s v="Remondis Asbestos"/>
    <m/>
    <s v="423030292000_WASBESTOS"/>
    <s v="ASBESTOS"/>
    <s v="Remondis"/>
    <m/>
    <m/>
    <d v="2021-01-01T00:00:00"/>
    <d v="2020-10-01T00:00:00"/>
    <s v="FY21"/>
    <s v="t"/>
    <n v="0"/>
    <n v="0.12"/>
    <n v="0"/>
    <n v="0.12"/>
    <n v="0"/>
    <n v="1"/>
    <n v="0"/>
    <n v="1"/>
    <n v="0"/>
    <n v="100"/>
    <n v="0"/>
    <s v="Consolidation"/>
    <s v="CO2e and Base Measure"/>
    <n v="100"/>
    <n v="100"/>
    <n v="0.12"/>
    <m/>
    <m/>
    <m/>
    <m/>
    <m/>
    <n v="0.14399999999999999"/>
    <m/>
    <n v="0.14399999999999999"/>
    <m/>
    <m/>
    <m/>
    <m/>
    <m/>
    <s v="AUD"/>
    <s v="13564408Waste - Construction and Demolition [t]"/>
    <n v="13564408"/>
  </r>
  <r>
    <d v="2019-07-01T00:00:00"/>
    <d v="2021-06-30T00:00:00"/>
    <s v="Telstra"/>
    <s v="NETWORK"/>
    <s v="Network - InfraCo"/>
    <s v="QLD"/>
    <s v="Australia"/>
    <s v="Moranbah"/>
    <s v="MORANBAH EXCHANGE"/>
    <n v="423030292000"/>
    <s v="Waste"/>
    <x v="1"/>
    <x v="4"/>
    <s v="Account"/>
    <s v="Remondis Asbestos"/>
    <m/>
    <s v="423030292000_WASBESTOS"/>
    <s v="ASBESTOS"/>
    <s v="Remondis"/>
    <m/>
    <m/>
    <d v="2021-01-01T00:00:00"/>
    <d v="2020-11-01T00:00:00"/>
    <s v="FY21"/>
    <s v="t"/>
    <n v="0"/>
    <n v="0.12"/>
    <n v="0"/>
    <n v="0.12"/>
    <n v="0"/>
    <n v="1"/>
    <n v="0"/>
    <n v="1"/>
    <n v="0"/>
    <n v="100"/>
    <n v="0"/>
    <s v="Consolidation"/>
    <s v="CO2e and Base Measure"/>
    <n v="100"/>
    <n v="100"/>
    <n v="0.12"/>
    <m/>
    <m/>
    <m/>
    <m/>
    <m/>
    <n v="0.14399999999999999"/>
    <m/>
    <n v="0.14399999999999999"/>
    <m/>
    <m/>
    <m/>
    <m/>
    <m/>
    <s v="AUD"/>
    <s v="13564408Waste - Construction and Demolition [t]"/>
    <n v="13564408"/>
  </r>
  <r>
    <d v="2019-07-01T00:00:00"/>
    <d v="2021-06-30T00:00:00"/>
    <s v="Telstra"/>
    <s v="NETWORK"/>
    <s v="Network - InfraCo"/>
    <s v="QLD"/>
    <s v="Australia"/>
    <s v="Moranbah"/>
    <s v="MORANBAH EXCHANGE"/>
    <n v="423030292000"/>
    <s v="Waste"/>
    <x v="1"/>
    <x v="4"/>
    <s v="Account"/>
    <s v="Remondis Asbestos"/>
    <m/>
    <s v="423030292000_WASBESTOS"/>
    <s v="ASBESTOS"/>
    <s v="Remondis"/>
    <m/>
    <m/>
    <d v="2021-01-01T00:00:00"/>
    <d v="2020-12-01T00:00:00"/>
    <s v="FY21"/>
    <s v="t"/>
    <n v="0"/>
    <n v="0.12"/>
    <n v="0"/>
    <n v="0.12"/>
    <n v="0"/>
    <n v="1"/>
    <n v="0"/>
    <n v="1"/>
    <n v="0"/>
    <n v="100"/>
    <n v="0"/>
    <s v="Consolidation"/>
    <s v="CO2e and Base Measure"/>
    <n v="100"/>
    <n v="100"/>
    <n v="0.12"/>
    <m/>
    <m/>
    <m/>
    <m/>
    <m/>
    <n v="0.14399999999999999"/>
    <m/>
    <n v="0.14399999999999999"/>
    <m/>
    <m/>
    <m/>
    <m/>
    <m/>
    <s v="AUD"/>
    <s v="13564408Waste - Construction and Demolition [t]"/>
    <n v="13564408"/>
  </r>
  <r>
    <d v="2019-07-01T00:00:00"/>
    <d v="2021-06-30T00:00:00"/>
    <s v="Telstra"/>
    <s v="NETWORK"/>
    <s v="Network - InfraCo"/>
    <s v="QLD"/>
    <s v="Australia"/>
    <s v="Moranbah"/>
    <s v="MORANBAH EXCHANGE"/>
    <n v="423030292000"/>
    <s v="Waste"/>
    <x v="1"/>
    <x v="4"/>
    <s v="Account"/>
    <s v="Remondis Asbestos"/>
    <m/>
    <s v="423030292000_WASBESTOS"/>
    <s v="ASBESTOS"/>
    <s v="Remondis"/>
    <m/>
    <m/>
    <d v="2021-01-01T00:00:00"/>
    <d v="2021-01-01T00:00:00"/>
    <s v="FY21"/>
    <s v="t"/>
    <n v="0"/>
    <n v="0"/>
    <n v="2.7000000000000001E-3"/>
    <n v="2.7000000000000001E-3"/>
    <n v="0"/>
    <n v="0"/>
    <n v="1"/>
    <n v="1"/>
    <n v="0"/>
    <n v="0"/>
    <n v="100"/>
    <s v="Consolidation"/>
    <s v="CO2e and Base Measure"/>
    <n v="100"/>
    <n v="100"/>
    <n v="0"/>
    <m/>
    <m/>
    <m/>
    <m/>
    <m/>
    <n v="3.2000000000000002E-3"/>
    <m/>
    <n v="3.2000000000000002E-3"/>
    <m/>
    <m/>
    <m/>
    <m/>
    <m/>
    <s v="AUD"/>
    <s v="13564408Waste - Construction and Demolition [t]"/>
    <n v="13564408"/>
  </r>
  <r>
    <d v="2019-07-01T00:00:00"/>
    <d v="2021-06-30T00:00:00"/>
    <s v="Telstra"/>
    <s v="NETWORK"/>
    <s v="Network - InfraCo"/>
    <s v="QLD"/>
    <s v="Australia"/>
    <s v="Moranbah"/>
    <s v="MORANBAH EXCHANGE"/>
    <n v="423030292000"/>
    <s v="Recycled Waste"/>
    <x v="0"/>
    <x v="1"/>
    <s v="Account"/>
    <s v="Remondis Batteries - Mixed Recycled"/>
    <m/>
    <s v="423030292000_RBATTERY."/>
    <s v="BATTERIES - MIXED RECYCLED"/>
    <s v="Remondis"/>
    <m/>
    <m/>
    <d v="2020-09-01T00:00:00"/>
    <d v="2020-08-01T00:00:00"/>
    <s v="FY21"/>
    <s v="t"/>
    <n v="6.5789999999999997"/>
    <n v="0"/>
    <n v="0"/>
    <n v="6.5789999999999997"/>
    <n v="1"/>
    <n v="0"/>
    <n v="0"/>
    <n v="1"/>
    <n v="100"/>
    <n v="0"/>
    <n v="0"/>
    <s v="Consolidation"/>
    <s v="CO2e and Base Measure"/>
    <n v="100"/>
    <n v="100"/>
    <n v="6.58"/>
    <m/>
    <m/>
    <m/>
    <m/>
    <m/>
    <m/>
    <m/>
    <m/>
    <m/>
    <m/>
    <m/>
    <m/>
    <m/>
    <s v="AUD"/>
    <s v="13564409Waste Recycled - E-waste [t]"/>
    <n v="13564409"/>
  </r>
  <r>
    <d v="2019-07-01T00:00:00"/>
    <d v="2021-06-30T00:00:00"/>
    <s v="Telstra"/>
    <s v="NETWORK"/>
    <s v="Network - InfraCo"/>
    <s v="QLD"/>
    <s v="Australia"/>
    <s v="Moranbah"/>
    <s v="MORANBAH EXCHANGE"/>
    <n v="423030292000"/>
    <s v="Recycled Waste"/>
    <x v="0"/>
    <x v="1"/>
    <s v="Account"/>
    <s v="Remondis Batteries - Mixed Recycled"/>
    <m/>
    <s v="423030292000_RBATTERY."/>
    <s v="BATTERIES - MIXED RECYCLED"/>
    <s v="Remondis"/>
    <m/>
    <m/>
    <d v="2020-09-01T00:00:00"/>
    <d v="2020-09-01T00:00:00"/>
    <s v="FY21"/>
    <s v="t"/>
    <n v="0"/>
    <n v="0"/>
    <n v="0.21929999999999999"/>
    <n v="0.21929999999999999"/>
    <n v="0"/>
    <n v="0"/>
    <n v="1"/>
    <n v="1"/>
    <n v="0"/>
    <n v="0"/>
    <n v="100"/>
    <s v="Consolidation"/>
    <s v="CO2e and Base Measure"/>
    <n v="100"/>
    <n v="100"/>
    <n v="0.22"/>
    <m/>
    <m/>
    <m/>
    <m/>
    <m/>
    <m/>
    <m/>
    <m/>
    <m/>
    <m/>
    <m/>
    <m/>
    <m/>
    <s v="AUD"/>
    <s v="13564409Waste Recycled - E-waste [t]"/>
    <n v="13564409"/>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411Waste - General [t] - Scope 3"/>
    <n v="13564411"/>
  </r>
  <r>
    <d v="2019-07-01T00:00:00"/>
    <d v="2021-06-30T00:00:00"/>
    <s v="Telstra"/>
    <s v="NETWORK"/>
    <s v="Network - InfraCo"/>
    <s v="QLD"/>
    <s v="Australia"/>
    <s v="Moranbah"/>
    <s v="MORANBAH EXCHANGE"/>
    <n v="423030292000"/>
    <s v="Waste"/>
    <x v="1"/>
    <x v="2"/>
    <s v="Account"/>
    <s v="CLEANAWAY General"/>
    <m/>
    <s v="57765_Landfill_General"/>
    <s v="General"/>
    <s v="Cleanaway"/>
    <m/>
    <d v="2021-03-15T00:00:00"/>
    <m/>
    <d v="2021-03-01T00:00:00"/>
    <s v="FY21"/>
    <s v="t"/>
    <n v="0.82"/>
    <n v="0.13500000000000001"/>
    <n v="0"/>
    <n v="0.95499999999999996"/>
    <n v="1"/>
    <n v="1"/>
    <n v="0"/>
    <n v="2"/>
    <n v="85.86"/>
    <n v="14.13"/>
    <n v="0"/>
    <s v="Consolidation"/>
    <s v="CO2e and Base Measure"/>
    <n v="100"/>
    <n v="100"/>
    <n v="0.96"/>
    <m/>
    <m/>
    <m/>
    <m/>
    <m/>
    <n v="1.2415"/>
    <m/>
    <n v="1.2415"/>
    <m/>
    <m/>
    <m/>
    <m/>
    <m/>
    <s v="AUD"/>
    <s v="13641231Waste - General [t] - Scope 3"/>
    <n v="13641231"/>
  </r>
  <r>
    <d v="2019-07-01T00:00:00"/>
    <d v="2021-06-30T00:00:00"/>
    <s v="Telstra"/>
    <s v="NETWORK"/>
    <s v="Network - InfraCo"/>
    <s v="QLD"/>
    <s v="Australia"/>
    <s v="Moranbah"/>
    <s v="MORANBAH EXCHANGE"/>
    <n v="423030292000"/>
    <s v="Waste"/>
    <x v="1"/>
    <x v="2"/>
    <s v="Account"/>
    <s v="CLEANAWAY General"/>
    <m/>
    <s v="57765_Landfill_General"/>
    <s v="General"/>
    <s v="Cleanaway"/>
    <m/>
    <d v="2021-03-15T00:00:00"/>
    <m/>
    <d v="2021-04-01T00:00:00"/>
    <s v="FY21"/>
    <s v="t"/>
    <n v="0"/>
    <n v="0"/>
    <n v="0.95399999999999996"/>
    <n v="0.95399999999999996"/>
    <n v="0"/>
    <n v="0"/>
    <n v="30"/>
    <n v="30"/>
    <n v="0"/>
    <n v="0"/>
    <n v="100"/>
    <s v="Consolidation"/>
    <s v="CO2e and Base Measure"/>
    <n v="100"/>
    <n v="100"/>
    <n v="0.95"/>
    <m/>
    <m/>
    <m/>
    <m/>
    <m/>
    <n v="1.2402"/>
    <m/>
    <n v="1.2402"/>
    <m/>
    <m/>
    <m/>
    <m/>
    <m/>
    <s v="AUD"/>
    <s v="13641231Waste - General [t] - Scope 3"/>
    <n v="13641231"/>
  </r>
  <r>
    <d v="2019-07-01T00:00:00"/>
    <d v="2021-06-30T00:00:00"/>
    <s v="Telstra"/>
    <s v="NETWORK"/>
    <s v="Network - InfraCo"/>
    <s v="QLD"/>
    <s v="Australia"/>
    <s v="Moranbah"/>
    <s v="MORANBAH EXCHANGE"/>
    <n v="423030292000"/>
    <s v="Waste"/>
    <x v="1"/>
    <x v="2"/>
    <s v="Account"/>
    <s v="CLEANAWAY General"/>
    <m/>
    <s v="57765_Landfill_General"/>
    <s v="General"/>
    <s v="Cleanaway"/>
    <m/>
    <d v="2021-03-15T00:00:00"/>
    <m/>
    <d v="2021-05-01T00:00:00"/>
    <s v="FY21"/>
    <s v="t"/>
    <n v="0"/>
    <n v="0"/>
    <n v="0.98580000000000001"/>
    <n v="0.98580000000000001"/>
    <n v="0"/>
    <n v="0"/>
    <n v="31"/>
    <n v="31"/>
    <n v="0"/>
    <n v="0"/>
    <n v="100"/>
    <s v="Consolidation"/>
    <s v="CO2e and Base Measure"/>
    <n v="100"/>
    <n v="100"/>
    <n v="0.99"/>
    <m/>
    <m/>
    <m/>
    <m/>
    <m/>
    <n v="1.2815000000000001"/>
    <m/>
    <n v="1.2815000000000001"/>
    <m/>
    <m/>
    <m/>
    <m/>
    <m/>
    <s v="AUD"/>
    <s v="13641231Waste - General [t] - Scope 3"/>
    <n v="13641231"/>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07-01T00:00:00"/>
    <s v="FY21"/>
    <s v="t"/>
    <n v="0"/>
    <n v="4.2900000000000001E-2"/>
    <n v="0"/>
    <n v="4.2900000000000001E-2"/>
    <n v="0"/>
    <n v="1"/>
    <n v="0"/>
    <n v="1"/>
    <n v="0"/>
    <n v="100"/>
    <n v="0"/>
    <s v="Consolidation"/>
    <s v="CO2e and Base Measure"/>
    <n v="100"/>
    <n v="100"/>
    <n v="0.04"/>
    <m/>
    <m/>
    <m/>
    <m/>
    <m/>
    <n v="5.5800000000000002E-2"/>
    <m/>
    <n v="5.5800000000000002E-2"/>
    <m/>
    <m/>
    <m/>
    <m/>
    <m/>
    <s v="AUD"/>
    <s v="13564189Waste - General [t] - Scope 3"/>
    <n v="13564189"/>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08-01T00:00:00"/>
    <s v="FY21"/>
    <s v="t"/>
    <n v="0"/>
    <n v="4.2900000000000001E-2"/>
    <n v="0"/>
    <n v="4.2900000000000001E-2"/>
    <n v="0"/>
    <n v="1"/>
    <n v="0"/>
    <n v="1"/>
    <n v="0"/>
    <n v="100"/>
    <n v="0"/>
    <s v="Consolidation"/>
    <s v="CO2e and Base Measure"/>
    <n v="100"/>
    <n v="100"/>
    <n v="0.04"/>
    <m/>
    <m/>
    <m/>
    <m/>
    <m/>
    <n v="5.5800000000000002E-2"/>
    <m/>
    <n v="5.5800000000000002E-2"/>
    <m/>
    <m/>
    <m/>
    <m/>
    <m/>
    <s v="AUD"/>
    <s v="13564189Waste - General [t] - Scope 3"/>
    <n v="13564189"/>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09-01T00:00:00"/>
    <s v="FY21"/>
    <s v="t"/>
    <n v="0"/>
    <n v="8.5800000000000001E-2"/>
    <n v="0"/>
    <n v="8.5800000000000001E-2"/>
    <n v="0"/>
    <n v="2"/>
    <n v="0"/>
    <n v="2"/>
    <n v="0"/>
    <n v="100"/>
    <n v="0"/>
    <s v="Consolidation"/>
    <s v="CO2e and Base Measure"/>
    <n v="100"/>
    <n v="100"/>
    <n v="0.09"/>
    <m/>
    <m/>
    <m/>
    <m/>
    <m/>
    <n v="0.1115"/>
    <m/>
    <n v="0.1115"/>
    <m/>
    <m/>
    <m/>
    <m/>
    <m/>
    <s v="AUD"/>
    <s v="13564189Waste - General [t] - Scope 3"/>
    <n v="13564189"/>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10-01T00:00:00"/>
    <s v="FY21"/>
    <s v="t"/>
    <n v="0"/>
    <n v="4.2900000000000001E-2"/>
    <n v="0"/>
    <n v="4.2900000000000001E-2"/>
    <n v="0"/>
    <n v="1"/>
    <n v="0"/>
    <n v="1"/>
    <n v="0"/>
    <n v="100"/>
    <n v="0"/>
    <s v="Consolidation"/>
    <s v="CO2e and Base Measure"/>
    <n v="100"/>
    <n v="100"/>
    <n v="0.04"/>
    <m/>
    <m/>
    <m/>
    <m/>
    <m/>
    <n v="5.5800000000000002E-2"/>
    <m/>
    <n v="5.5800000000000002E-2"/>
    <m/>
    <m/>
    <m/>
    <m/>
    <m/>
    <s v="AUD"/>
    <s v="13564189Waste - General [t] - Scope 3"/>
    <n v="13564189"/>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11-01T00:00:00"/>
    <s v="FY21"/>
    <s v="t"/>
    <n v="0"/>
    <n v="0"/>
    <n v="1.6999999999999999E-3"/>
    <n v="1.6999999999999999E-3"/>
    <n v="0"/>
    <n v="0"/>
    <n v="1"/>
    <n v="1"/>
    <n v="0"/>
    <n v="0"/>
    <n v="100"/>
    <s v="Consolidation"/>
    <s v="CO2e and Base Measure"/>
    <n v="100"/>
    <n v="100"/>
    <n v="0"/>
    <m/>
    <m/>
    <m/>
    <m/>
    <m/>
    <n v="2.2000000000000001E-3"/>
    <m/>
    <n v="2.2000000000000001E-3"/>
    <m/>
    <m/>
    <m/>
    <m/>
    <m/>
    <s v="AUD"/>
    <s v="13564189Waste - General [t] - Scope 3"/>
    <n v="13564189"/>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0-12-01T00:00:00"/>
    <s v="FY21"/>
    <s v="t"/>
    <n v="0.08"/>
    <n v="0"/>
    <n v="0"/>
    <n v="0.08"/>
    <n v="1"/>
    <n v="0"/>
    <n v="0"/>
    <n v="1"/>
    <n v="100"/>
    <n v="0"/>
    <n v="0"/>
    <s v="Consolidation"/>
    <s v="CO2e and Base Measure"/>
    <n v="100"/>
    <n v="100"/>
    <n v="0.08"/>
    <m/>
    <m/>
    <m/>
    <m/>
    <m/>
    <n v="0.104"/>
    <m/>
    <n v="0.104"/>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1-01T00:00:00"/>
    <s v="FY21"/>
    <s v="t"/>
    <n v="4.4999999999999998E-2"/>
    <n v="0"/>
    <n v="0"/>
    <n v="4.4999999999999998E-2"/>
    <n v="1"/>
    <n v="0"/>
    <n v="0"/>
    <n v="1"/>
    <n v="100"/>
    <n v="0"/>
    <n v="0"/>
    <s v="Consolidation"/>
    <s v="CO2e and Base Measure"/>
    <n v="100"/>
    <n v="100"/>
    <n v="0.05"/>
    <m/>
    <m/>
    <m/>
    <m/>
    <m/>
    <n v="5.8500000000000003E-2"/>
    <m/>
    <n v="5.8500000000000003E-2"/>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2-01T00:00:00"/>
    <s v="FY21"/>
    <s v="t"/>
    <n v="0.02"/>
    <n v="0"/>
    <n v="0"/>
    <n v="0.02"/>
    <n v="1"/>
    <n v="0"/>
    <n v="0"/>
    <n v="1"/>
    <n v="100"/>
    <n v="0"/>
    <n v="0"/>
    <s v="Consolidation"/>
    <s v="CO2e and Base Measure"/>
    <n v="100"/>
    <n v="100"/>
    <n v="0.02"/>
    <m/>
    <m/>
    <m/>
    <m/>
    <m/>
    <n v="2.5999999999999999E-2"/>
    <m/>
    <n v="2.5999999999999999E-2"/>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3-01T00:00:00"/>
    <s v="FY21"/>
    <s v="t"/>
    <n v="5.8000000000000003E-2"/>
    <n v="0"/>
    <n v="0"/>
    <n v="5.8000000000000003E-2"/>
    <n v="1"/>
    <n v="0"/>
    <n v="0"/>
    <n v="1"/>
    <n v="100"/>
    <n v="0"/>
    <n v="0"/>
    <s v="Consolidation"/>
    <s v="CO2e and Base Measure"/>
    <n v="100"/>
    <n v="100"/>
    <n v="0.06"/>
    <m/>
    <m/>
    <m/>
    <m/>
    <m/>
    <n v="7.5399999999999995E-2"/>
    <m/>
    <n v="7.5399999999999995E-2"/>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405Waste - General [t] - Scope 3"/>
    <n v="13634405"/>
  </r>
  <r>
    <d v="2019-07-01T00:00:00"/>
    <d v="2021-06-30T00:00:00"/>
    <s v="Telstra"/>
    <s v="NETWORK"/>
    <s v="Network - InfraCo"/>
    <s v="VIC"/>
    <s v="Australia"/>
    <s v="Mordialloc"/>
    <s v="MORDIALLOC EXCHANGE"/>
    <n v="423030631400"/>
    <s v="Recycled Waste"/>
    <x v="0"/>
    <x v="5"/>
    <s v="Account"/>
    <s v="Remondis Metal - Mixed All"/>
    <m/>
    <s v="423030631400_RMETMIXED"/>
    <s v="METAL - MIXED ALL"/>
    <s v="Remondis"/>
    <m/>
    <m/>
    <d v="2020-07-01T00:00:00"/>
    <d v="2020-07-01T00:00:00"/>
    <s v="FY21"/>
    <s v="t"/>
    <n v="0"/>
    <n v="0"/>
    <n v="5.8999999999999997E-2"/>
    <n v="5.8999999999999997E-2"/>
    <n v="0"/>
    <n v="0"/>
    <n v="1"/>
    <n v="1"/>
    <n v="0"/>
    <n v="0"/>
    <n v="100"/>
    <s v="Consolidation"/>
    <s v="CO2e and Base Measure"/>
    <n v="100"/>
    <n v="100"/>
    <n v="0.06"/>
    <m/>
    <m/>
    <m/>
    <m/>
    <m/>
    <m/>
    <m/>
    <m/>
    <m/>
    <m/>
    <m/>
    <m/>
    <m/>
    <s v="AUD"/>
    <s v="13602594Waste Recycled - Construction and Demolition [t]"/>
    <n v="13602594"/>
  </r>
  <r>
    <d v="2019-07-01T00:00:00"/>
    <d v="2021-06-30T00:00:00"/>
    <s v="Telstra"/>
    <s v="NETWORK"/>
    <s v="Network - InfraCo"/>
    <s v="VIC"/>
    <s v="Australia"/>
    <s v="Mordialloc"/>
    <s v="MORDIALLOC EXCHANGE"/>
    <n v="423030631400"/>
    <s v="Waste"/>
    <x v="1"/>
    <x v="4"/>
    <s v="Account"/>
    <s v="Remondis Construction &amp; Demolition - Landfill"/>
    <m/>
    <s v="423030631400_WCONSDEM"/>
    <s v="CONSTRUCTION &amp; DEMOLITION - LANDFILL"/>
    <s v="Remondis"/>
    <m/>
    <d v="2020-07-14T00:00:00"/>
    <d v="2020-08-01T00:00:00"/>
    <d v="2020-07-01T00:00:00"/>
    <s v="FY21"/>
    <s v="t"/>
    <n v="2.86"/>
    <n v="0"/>
    <n v="0"/>
    <n v="2.86"/>
    <n v="1"/>
    <n v="0"/>
    <n v="0"/>
    <n v="1"/>
    <n v="100"/>
    <n v="0"/>
    <n v="0"/>
    <s v="Consolidation"/>
    <s v="CO2e and Base Measure"/>
    <n v="100"/>
    <n v="100"/>
    <n v="2.86"/>
    <m/>
    <m/>
    <m/>
    <m/>
    <m/>
    <n v="3.4319999999999999"/>
    <m/>
    <n v="3.4319999999999999"/>
    <m/>
    <m/>
    <m/>
    <m/>
    <m/>
    <s v="AUD"/>
    <s v="13614406Waste - Construction and Demolition [t]"/>
    <n v="13614406"/>
  </r>
  <r>
    <d v="2019-07-01T00:00:00"/>
    <d v="2021-06-30T00:00:00"/>
    <s v="Telstra"/>
    <s v="NETWORK"/>
    <s v="Network - InfraCo"/>
    <s v="VIC"/>
    <s v="Australia"/>
    <s v="Mordialloc"/>
    <s v="MORDIALLOC EXCHANGE"/>
    <n v="423030631400"/>
    <s v="Waste"/>
    <x v="1"/>
    <x v="4"/>
    <s v="Account"/>
    <s v="Remondis Construction &amp; Demolition - Landfill"/>
    <m/>
    <s v="423030631400_WCONSDEM"/>
    <s v="CONSTRUCTION &amp; DEMOLITION - LANDFILL"/>
    <s v="Remondis"/>
    <m/>
    <d v="2020-07-14T00:00:00"/>
    <d v="2020-08-01T00:00:00"/>
    <d v="2020-08-01T00:00:00"/>
    <s v="FY21"/>
    <s v="t"/>
    <n v="0"/>
    <n v="0"/>
    <n v="9.5299999999999996E-2"/>
    <n v="9.5299999999999996E-2"/>
    <n v="0"/>
    <n v="0"/>
    <n v="1"/>
    <n v="1"/>
    <n v="0"/>
    <n v="0"/>
    <n v="100"/>
    <s v="Consolidation"/>
    <s v="CO2e and Base Measure"/>
    <n v="100"/>
    <n v="100"/>
    <n v="0.1"/>
    <m/>
    <m/>
    <m/>
    <m/>
    <m/>
    <n v="0.1144"/>
    <m/>
    <n v="0.1144"/>
    <m/>
    <m/>
    <m/>
    <m/>
    <m/>
    <s v="AUD"/>
    <s v="13614406Waste - Construction and Demolition [t]"/>
    <n v="13614406"/>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09-01T00:00:00"/>
    <s v="FY21"/>
    <s v="t"/>
    <n v="0"/>
    <n v="0.78"/>
    <n v="0"/>
    <n v="0.78"/>
    <n v="0"/>
    <n v="2"/>
    <n v="0"/>
    <n v="2"/>
    <n v="0"/>
    <n v="100"/>
    <n v="0"/>
    <s v="Consolidation"/>
    <s v="CO2e and Base Measure"/>
    <n v="100"/>
    <n v="100"/>
    <n v="0.78"/>
    <m/>
    <m/>
    <m/>
    <m/>
    <m/>
    <n v="1.014"/>
    <m/>
    <n v="1.014"/>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11-01T00:00:00"/>
    <s v="FY21"/>
    <s v="t"/>
    <n v="0"/>
    <n v="0.6825"/>
    <n v="0"/>
    <n v="0.6825"/>
    <n v="0"/>
    <n v="4"/>
    <n v="0"/>
    <n v="4"/>
    <n v="0"/>
    <n v="100"/>
    <n v="0"/>
    <s v="Consolidation"/>
    <s v="CO2e and Base Measure"/>
    <n v="100"/>
    <n v="100"/>
    <n v="0.68"/>
    <m/>
    <m/>
    <m/>
    <m/>
    <m/>
    <n v="0.88729999999999998"/>
    <m/>
    <n v="0.88729999999999998"/>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12-01T00:00:00"/>
    <s v="FY21"/>
    <s v="t"/>
    <n v="0"/>
    <n v="0"/>
    <n v="1.55E-2"/>
    <n v="1.55E-2"/>
    <n v="0"/>
    <n v="0"/>
    <n v="1"/>
    <n v="1"/>
    <n v="0"/>
    <n v="0"/>
    <n v="100"/>
    <s v="Consolidation"/>
    <s v="CO2e and Base Measure"/>
    <n v="100"/>
    <n v="100"/>
    <n v="0.02"/>
    <m/>
    <m/>
    <m/>
    <m/>
    <m/>
    <n v="2.0199999999999999E-2"/>
    <m/>
    <n v="2.0199999999999999E-2"/>
    <m/>
    <m/>
    <m/>
    <m/>
    <m/>
    <s v="AUD"/>
    <s v="13564348Waste - General [t] - Scope 3"/>
    <n v="13564348"/>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07-01T00:00:00"/>
    <s v="FY21"/>
    <s v="t"/>
    <n v="0"/>
    <n v="0.28860000000000002"/>
    <n v="0"/>
    <n v="0.28860000000000002"/>
    <n v="0"/>
    <n v="2"/>
    <n v="0"/>
    <n v="2"/>
    <n v="0"/>
    <n v="100"/>
    <n v="0"/>
    <s v="Consolidation"/>
    <s v="CO2e and Base Measure"/>
    <n v="100"/>
    <n v="100"/>
    <n v="0.28999999999999998"/>
    <m/>
    <m/>
    <m/>
    <m/>
    <m/>
    <n v="0.37519999999999998"/>
    <m/>
    <n v="0.37519999999999998"/>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08-01T00:00:00"/>
    <s v="FY21"/>
    <s v="t"/>
    <n v="0"/>
    <n v="0.2165"/>
    <n v="0"/>
    <n v="0.2165"/>
    <n v="0"/>
    <n v="2"/>
    <n v="0"/>
    <n v="2"/>
    <n v="0"/>
    <n v="100"/>
    <n v="0"/>
    <s v="Consolidation"/>
    <s v="CO2e and Base Measure"/>
    <n v="100"/>
    <n v="100"/>
    <n v="0.22"/>
    <m/>
    <m/>
    <m/>
    <m/>
    <m/>
    <n v="0.28149999999999997"/>
    <m/>
    <n v="0.28149999999999997"/>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09-01T00:00:00"/>
    <s v="FY21"/>
    <s v="t"/>
    <n v="0"/>
    <n v="0.28860000000000002"/>
    <n v="0"/>
    <n v="0.28860000000000002"/>
    <n v="0"/>
    <n v="2"/>
    <n v="0"/>
    <n v="2"/>
    <n v="0"/>
    <n v="100"/>
    <n v="0"/>
    <s v="Consolidation"/>
    <s v="CO2e and Base Measure"/>
    <n v="100"/>
    <n v="100"/>
    <n v="0.28999999999999998"/>
    <m/>
    <m/>
    <m/>
    <m/>
    <m/>
    <n v="0.37519999999999998"/>
    <m/>
    <n v="0.37519999999999998"/>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10-01T00:00:00"/>
    <s v="FY21"/>
    <s v="t"/>
    <n v="0"/>
    <n v="0.43290000000000001"/>
    <n v="0"/>
    <n v="0.43290000000000001"/>
    <n v="0"/>
    <n v="3"/>
    <n v="0"/>
    <n v="3"/>
    <n v="0"/>
    <n v="100"/>
    <n v="0"/>
    <s v="Consolidation"/>
    <s v="CO2e and Base Measure"/>
    <n v="100"/>
    <n v="100"/>
    <n v="0.43"/>
    <m/>
    <m/>
    <m/>
    <m/>
    <m/>
    <n v="0.56279999999999997"/>
    <m/>
    <n v="0.56279999999999997"/>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11-01T00:00:00"/>
    <s v="FY21"/>
    <s v="t"/>
    <n v="0"/>
    <n v="0.28860000000000002"/>
    <n v="0"/>
    <n v="0.28860000000000002"/>
    <n v="0"/>
    <n v="2"/>
    <n v="0"/>
    <n v="2"/>
    <n v="0"/>
    <n v="100"/>
    <n v="0"/>
    <s v="Consolidation"/>
    <s v="CO2e and Base Measure"/>
    <n v="100"/>
    <n v="100"/>
    <n v="0.28999999999999998"/>
    <m/>
    <m/>
    <m/>
    <m/>
    <m/>
    <n v="0.37519999999999998"/>
    <m/>
    <n v="0.37519999999999998"/>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1-01-01T00:00:00"/>
    <s v="FY21"/>
    <s v="t"/>
    <n v="0"/>
    <n v="0"/>
    <n v="9.1000000000000004E-3"/>
    <n v="9.1000000000000004E-3"/>
    <n v="0"/>
    <n v="0"/>
    <n v="1"/>
    <n v="1"/>
    <n v="0"/>
    <n v="0"/>
    <n v="100"/>
    <s v="Consolidation"/>
    <s v="CO2e and Base Measure"/>
    <n v="100"/>
    <n v="100"/>
    <n v="0.01"/>
    <m/>
    <m/>
    <m/>
    <m/>
    <m/>
    <n v="1.18E-2"/>
    <m/>
    <n v="1.18E-2"/>
    <m/>
    <m/>
    <m/>
    <m/>
    <m/>
    <s v="AUD"/>
    <s v="13565023Waste - General [t] - Scope 3"/>
    <n v="13565023"/>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09-01T00:00:00"/>
    <s v="FY21"/>
    <s v="t"/>
    <n v="1.4999999999999999E-2"/>
    <n v="0"/>
    <n v="0"/>
    <n v="1.4999999999999999E-2"/>
    <n v="2"/>
    <n v="0"/>
    <n v="0"/>
    <n v="2"/>
    <n v="100"/>
    <n v="0"/>
    <n v="0"/>
    <s v="Consolidation"/>
    <s v="CO2e and Base Measure"/>
    <n v="100"/>
    <n v="100"/>
    <n v="0.02"/>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10-01T00:00:00"/>
    <s v="FY21"/>
    <s v="t"/>
    <n v="7.0000000000000007E-2"/>
    <n v="0"/>
    <n v="0"/>
    <n v="7.0000000000000007E-2"/>
    <n v="2"/>
    <n v="0"/>
    <n v="0"/>
    <n v="2"/>
    <n v="100"/>
    <n v="0"/>
    <n v="0"/>
    <s v="Consolidation"/>
    <s v="CO2e and Base Measure"/>
    <n v="100"/>
    <n v="100"/>
    <n v="7.0000000000000007E-2"/>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11-01T00:00:00"/>
    <s v="FY21"/>
    <s v="t"/>
    <n v="5.5E-2"/>
    <n v="0"/>
    <n v="0"/>
    <n v="5.5E-2"/>
    <n v="2"/>
    <n v="0"/>
    <n v="0"/>
    <n v="2"/>
    <n v="100"/>
    <n v="0"/>
    <n v="0"/>
    <s v="Consolidation"/>
    <s v="CO2e and Base Measure"/>
    <n v="100"/>
    <n v="100"/>
    <n v="0.06"/>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1-01-01T00:00:00"/>
    <s v="FY21"/>
    <s v="t"/>
    <n v="0"/>
    <n v="0"/>
    <n v="2.2000000000000001E-3"/>
    <n v="2.2000000000000001E-3"/>
    <n v="0"/>
    <n v="0"/>
    <n v="1"/>
    <n v="1"/>
    <n v="0"/>
    <n v="0"/>
    <n v="100"/>
    <s v="Consolidation"/>
    <s v="CO2e and Base Measure"/>
    <n v="100"/>
    <n v="100"/>
    <n v="0"/>
    <m/>
    <m/>
    <m/>
    <m/>
    <m/>
    <m/>
    <n v="0"/>
    <m/>
    <m/>
    <m/>
    <m/>
    <m/>
    <m/>
    <s v="AUD"/>
    <s v="13564354Waste Recycled - Cardboard [t]"/>
    <n v="13564354"/>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08-01T00:00:00"/>
    <s v="FY21"/>
    <s v="t"/>
    <n v="0.87"/>
    <n v="0"/>
    <n v="0"/>
    <n v="0.87"/>
    <n v="3"/>
    <n v="0"/>
    <n v="0"/>
    <n v="3"/>
    <n v="100"/>
    <n v="0"/>
    <n v="0"/>
    <s v="Consolidation"/>
    <s v="CO2e and Base Measure"/>
    <n v="100"/>
    <n v="100"/>
    <n v="0.87"/>
    <m/>
    <m/>
    <m/>
    <m/>
    <m/>
    <n v="1.131"/>
    <m/>
    <n v="1.131"/>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09-01T00:00:00"/>
    <s v="FY21"/>
    <s v="t"/>
    <n v="0.11"/>
    <n v="0"/>
    <n v="0"/>
    <n v="0.11"/>
    <n v="2"/>
    <n v="0"/>
    <n v="0"/>
    <n v="2"/>
    <n v="100"/>
    <n v="0"/>
    <n v="0"/>
    <s v="Consolidation"/>
    <s v="CO2e and Base Measure"/>
    <n v="100"/>
    <n v="100"/>
    <n v="0.11"/>
    <m/>
    <m/>
    <m/>
    <m/>
    <m/>
    <n v="0.14299999999999999"/>
    <m/>
    <n v="0.14299999999999999"/>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10-01T00:00:00"/>
    <s v="FY21"/>
    <s v="t"/>
    <n v="0.22500000000000001"/>
    <n v="0"/>
    <n v="0"/>
    <n v="0.22500000000000001"/>
    <n v="2"/>
    <n v="0"/>
    <n v="0"/>
    <n v="2"/>
    <n v="100"/>
    <n v="0"/>
    <n v="0"/>
    <s v="Consolidation"/>
    <s v="CO2e and Base Measure"/>
    <n v="100"/>
    <n v="100"/>
    <n v="0.23"/>
    <m/>
    <m/>
    <m/>
    <m/>
    <m/>
    <n v="0.29249999999999998"/>
    <m/>
    <n v="0.29249999999999998"/>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11-01T00:00:00"/>
    <s v="FY21"/>
    <s v="t"/>
    <n v="0.185"/>
    <n v="0"/>
    <n v="0"/>
    <n v="0.185"/>
    <n v="2"/>
    <n v="0"/>
    <n v="0"/>
    <n v="2"/>
    <n v="100"/>
    <n v="0"/>
    <n v="0"/>
    <s v="Consolidation"/>
    <s v="CO2e and Base Measure"/>
    <n v="100"/>
    <n v="100"/>
    <n v="0.19"/>
    <m/>
    <m/>
    <m/>
    <m/>
    <m/>
    <n v="0.24049999999999999"/>
    <m/>
    <n v="0.24049999999999999"/>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1-01-01T00:00:00"/>
    <s v="FY21"/>
    <s v="t"/>
    <n v="0"/>
    <n v="0"/>
    <n v="1.17E-2"/>
    <n v="1.17E-2"/>
    <n v="0"/>
    <n v="0"/>
    <n v="1"/>
    <n v="1"/>
    <n v="0"/>
    <n v="0"/>
    <n v="100"/>
    <s v="Consolidation"/>
    <s v="CO2e and Base Measure"/>
    <n v="100"/>
    <n v="100"/>
    <n v="0.01"/>
    <m/>
    <m/>
    <m/>
    <m/>
    <m/>
    <n v="1.52E-2"/>
    <m/>
    <n v="1.52E-2"/>
    <m/>
    <m/>
    <m/>
    <m/>
    <m/>
    <s v="AUD"/>
    <s v="13564355Waste - General [t] - Scope 3"/>
    <n v="13564355"/>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0-12-01T00:00:00"/>
    <s v="FY21"/>
    <s v="t"/>
    <n v="0.12"/>
    <n v="0.13500000000000001"/>
    <n v="0"/>
    <n v="0.255"/>
    <n v="1"/>
    <n v="1"/>
    <n v="0"/>
    <n v="2"/>
    <n v="47.05"/>
    <n v="52.94"/>
    <n v="0"/>
    <s v="Consolidation"/>
    <s v="CO2e and Base Measure"/>
    <n v="100"/>
    <n v="100"/>
    <n v="0.26"/>
    <m/>
    <m/>
    <m/>
    <m/>
    <m/>
    <n v="0.33150000000000002"/>
    <m/>
    <n v="0.33150000000000002"/>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1-01T00:00:00"/>
    <s v="FY21"/>
    <s v="t"/>
    <n v="7.0000000000000007E-2"/>
    <n v="0"/>
    <n v="0"/>
    <n v="7.0000000000000007E-2"/>
    <n v="2"/>
    <n v="0"/>
    <n v="0"/>
    <n v="2"/>
    <n v="100"/>
    <n v="0"/>
    <n v="0"/>
    <s v="Consolidation"/>
    <s v="CO2e and Base Measure"/>
    <n v="100"/>
    <n v="100"/>
    <n v="7.0000000000000007E-2"/>
    <m/>
    <m/>
    <m/>
    <m/>
    <m/>
    <n v="9.0999999999999998E-2"/>
    <m/>
    <n v="9.0999999999999998E-2"/>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2-01T00:00:00"/>
    <s v="FY21"/>
    <s v="t"/>
    <n v="0.17"/>
    <n v="0"/>
    <n v="0"/>
    <n v="0.17"/>
    <n v="2"/>
    <n v="0"/>
    <n v="0"/>
    <n v="2"/>
    <n v="100"/>
    <n v="0"/>
    <n v="0"/>
    <s v="Consolidation"/>
    <s v="CO2e and Base Measure"/>
    <n v="100"/>
    <n v="100"/>
    <n v="0.17"/>
    <m/>
    <m/>
    <m/>
    <m/>
    <m/>
    <n v="0.221"/>
    <m/>
    <n v="0.221"/>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3-01T00:00:00"/>
    <s v="FY21"/>
    <s v="t"/>
    <n v="0.09"/>
    <n v="0"/>
    <n v="0"/>
    <n v="0.09"/>
    <n v="2"/>
    <n v="0"/>
    <n v="0"/>
    <n v="2"/>
    <n v="100"/>
    <n v="0"/>
    <n v="0"/>
    <s v="Consolidation"/>
    <s v="CO2e and Base Measure"/>
    <n v="100"/>
    <n v="100"/>
    <n v="0.09"/>
    <m/>
    <m/>
    <m/>
    <m/>
    <m/>
    <n v="0.11700000000000001"/>
    <m/>
    <n v="0.11700000000000001"/>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4-01T00:00:00"/>
    <s v="FY21"/>
    <s v="t"/>
    <n v="0"/>
    <n v="0"/>
    <n v="0.14699999999999999"/>
    <n v="0.14699999999999999"/>
    <n v="0"/>
    <n v="0"/>
    <n v="30"/>
    <n v="30"/>
    <n v="0"/>
    <n v="0"/>
    <n v="100"/>
    <s v="Consolidation"/>
    <s v="CO2e and Base Measure"/>
    <n v="100"/>
    <n v="100"/>
    <n v="0.15"/>
    <m/>
    <m/>
    <m/>
    <m/>
    <m/>
    <n v="0.19109999999999999"/>
    <m/>
    <n v="0.19109999999999999"/>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5-01T00:00:00"/>
    <s v="FY21"/>
    <s v="t"/>
    <n v="0"/>
    <n v="0"/>
    <n v="0.15190000000000001"/>
    <n v="0.15190000000000001"/>
    <n v="0"/>
    <n v="0"/>
    <n v="31"/>
    <n v="31"/>
    <n v="0"/>
    <n v="0"/>
    <n v="100"/>
    <s v="Consolidation"/>
    <s v="CO2e and Base Measure"/>
    <n v="100"/>
    <n v="100"/>
    <n v="0.15"/>
    <m/>
    <m/>
    <m/>
    <m/>
    <m/>
    <n v="0.19750000000000001"/>
    <m/>
    <n v="0.19750000000000001"/>
    <m/>
    <m/>
    <m/>
    <m/>
    <m/>
    <s v="AUD"/>
    <s v="13634183Waste - General [t] - Scope 3"/>
    <n v="13634183"/>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1-01T00:00:00"/>
    <s v="FY21"/>
    <s v="t"/>
    <n v="0.24399999999999999"/>
    <n v="0"/>
    <n v="0"/>
    <n v="0.24399999999999999"/>
    <n v="2"/>
    <n v="0"/>
    <n v="0"/>
    <n v="2"/>
    <n v="100"/>
    <n v="0"/>
    <n v="0"/>
    <s v="Consolidation"/>
    <s v="CO2e and Base Measure"/>
    <n v="100"/>
    <n v="100"/>
    <n v="0.24"/>
    <m/>
    <m/>
    <m/>
    <m/>
    <m/>
    <m/>
    <m/>
    <m/>
    <m/>
    <m/>
    <m/>
    <m/>
    <m/>
    <s v="AUD"/>
    <s v="13634451Waste Recycled - Paper and Cardboard [t]"/>
    <n v="13634451"/>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2-01T00:00:00"/>
    <s v="FY21"/>
    <s v="t"/>
    <n v="0"/>
    <n v="0"/>
    <n v="0.2268"/>
    <n v="0.2268"/>
    <n v="0"/>
    <n v="0"/>
    <n v="28"/>
    <n v="28"/>
    <n v="0"/>
    <n v="0"/>
    <n v="100"/>
    <s v="Consolidation"/>
    <s v="CO2e and Base Measure"/>
    <n v="100"/>
    <n v="100"/>
    <n v="0.23"/>
    <m/>
    <m/>
    <m/>
    <m/>
    <m/>
    <m/>
    <m/>
    <m/>
    <m/>
    <m/>
    <m/>
    <m/>
    <m/>
    <s v="AUD"/>
    <s v="13634451Waste Recycled - Paper and Cardboard [t]"/>
    <n v="13634451"/>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3-01T00:00:00"/>
    <s v="FY21"/>
    <s v="t"/>
    <n v="0"/>
    <n v="0"/>
    <n v="0.25109999999999999"/>
    <n v="0.25109999999999999"/>
    <n v="0"/>
    <n v="0"/>
    <n v="31"/>
    <n v="31"/>
    <n v="0"/>
    <n v="0"/>
    <n v="100"/>
    <s v="Consolidation"/>
    <s v="CO2e and Base Measure"/>
    <n v="100"/>
    <n v="100"/>
    <n v="0.25"/>
    <m/>
    <m/>
    <m/>
    <m/>
    <m/>
    <m/>
    <m/>
    <m/>
    <m/>
    <m/>
    <m/>
    <m/>
    <m/>
    <s v="AUD"/>
    <s v="13634451Waste Recycled - Paper and Cardboard [t]"/>
    <n v="13634451"/>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4-01T00:00:00"/>
    <s v="FY21"/>
    <s v="t"/>
    <n v="0"/>
    <n v="0"/>
    <n v="0.24299999999999999"/>
    <n v="0.24299999999999999"/>
    <n v="0"/>
    <n v="0"/>
    <n v="30"/>
    <n v="30"/>
    <n v="0"/>
    <n v="0"/>
    <n v="100"/>
    <s v="Consolidation"/>
    <s v="CO2e and Base Measure"/>
    <n v="100"/>
    <n v="100"/>
    <n v="0.24"/>
    <m/>
    <m/>
    <m/>
    <m/>
    <m/>
    <m/>
    <m/>
    <m/>
    <m/>
    <m/>
    <m/>
    <m/>
    <m/>
    <s v="AUD"/>
    <s v="13634451Waste Recycled - Paper and Cardboard [t]"/>
    <n v="13634451"/>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5-01T00:00:00"/>
    <s v="FY21"/>
    <s v="t"/>
    <n v="0"/>
    <n v="0"/>
    <n v="0.25109999999999999"/>
    <n v="0.25109999999999999"/>
    <n v="0"/>
    <n v="0"/>
    <n v="31"/>
    <n v="31"/>
    <n v="0"/>
    <n v="0"/>
    <n v="100"/>
    <s v="Consolidation"/>
    <s v="CO2e and Base Measure"/>
    <n v="100"/>
    <n v="100"/>
    <n v="0.25"/>
    <m/>
    <m/>
    <m/>
    <m/>
    <m/>
    <m/>
    <m/>
    <m/>
    <m/>
    <m/>
    <m/>
    <m/>
    <m/>
    <s v="AUD"/>
    <s v="13634451Waste Recycled - Paper and Cardboard [t]"/>
    <n v="13634451"/>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07-01T00:00:00"/>
    <s v="FY21"/>
    <s v="t"/>
    <n v="7.3999999999999996E-2"/>
    <n v="0"/>
    <n v="0"/>
    <n v="7.3999999999999996E-2"/>
    <n v="2"/>
    <n v="0"/>
    <n v="0"/>
    <n v="2"/>
    <n v="100"/>
    <n v="0"/>
    <n v="0"/>
    <s v="Consolidation"/>
    <s v="CO2e and Base Measure"/>
    <n v="100"/>
    <n v="100"/>
    <n v="7.0000000000000007E-2"/>
    <m/>
    <m/>
    <m/>
    <m/>
    <m/>
    <n v="9.6199999999999994E-2"/>
    <m/>
    <n v="9.6199999999999994E-2"/>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08-01T00:00:00"/>
    <s v="FY21"/>
    <s v="t"/>
    <n v="3.4000000000000002E-2"/>
    <n v="7.22E-2"/>
    <n v="0"/>
    <n v="0.1062"/>
    <n v="1"/>
    <n v="1"/>
    <n v="0"/>
    <n v="2"/>
    <n v="32.01"/>
    <n v="67.98"/>
    <n v="0"/>
    <s v="Consolidation"/>
    <s v="CO2e and Base Measure"/>
    <n v="100"/>
    <n v="100"/>
    <n v="0.11"/>
    <m/>
    <m/>
    <m/>
    <m/>
    <m/>
    <n v="0.1381"/>
    <m/>
    <n v="0.1381"/>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09-01T00:00:00"/>
    <s v="FY21"/>
    <s v="t"/>
    <n v="5.3999999999999999E-2"/>
    <n v="7.22E-2"/>
    <n v="0"/>
    <n v="0.12620000000000001"/>
    <n v="1"/>
    <n v="1"/>
    <n v="0"/>
    <n v="2"/>
    <n v="42.78"/>
    <n v="57.21"/>
    <n v="0"/>
    <s v="Consolidation"/>
    <s v="CO2e and Base Measure"/>
    <n v="100"/>
    <n v="100"/>
    <n v="0.13"/>
    <m/>
    <m/>
    <m/>
    <m/>
    <m/>
    <n v="0.1641"/>
    <m/>
    <n v="0.1641"/>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10-01T00:00:00"/>
    <s v="FY21"/>
    <s v="t"/>
    <n v="0.10199999999999999"/>
    <n v="0"/>
    <n v="0"/>
    <n v="0.10199999999999999"/>
    <n v="2"/>
    <n v="0"/>
    <n v="0"/>
    <n v="2"/>
    <n v="100"/>
    <n v="0"/>
    <n v="0"/>
    <s v="Consolidation"/>
    <s v="CO2e and Base Measure"/>
    <n v="100"/>
    <n v="100"/>
    <n v="0.1"/>
    <m/>
    <m/>
    <m/>
    <m/>
    <m/>
    <n v="0.1326"/>
    <m/>
    <n v="0.1326"/>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11-01T00:00:00"/>
    <s v="FY21"/>
    <s v="t"/>
    <n v="0.1"/>
    <n v="7.22E-2"/>
    <n v="0"/>
    <n v="0.17219999999999999"/>
    <n v="1"/>
    <n v="1"/>
    <n v="0"/>
    <n v="2"/>
    <n v="58.07"/>
    <n v="41.92"/>
    <n v="0"/>
    <s v="Consolidation"/>
    <s v="CO2e and Base Measure"/>
    <n v="100"/>
    <n v="100"/>
    <n v="0.17"/>
    <m/>
    <m/>
    <m/>
    <m/>
    <m/>
    <n v="0.22389999999999999"/>
    <m/>
    <n v="0.22389999999999999"/>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1-01-01T00:00:00"/>
    <s v="FY21"/>
    <s v="t"/>
    <n v="0"/>
    <n v="0"/>
    <n v="3.5000000000000001E-3"/>
    <n v="3.5000000000000001E-3"/>
    <n v="0"/>
    <n v="0"/>
    <n v="1"/>
    <n v="1"/>
    <n v="0"/>
    <n v="0"/>
    <n v="100"/>
    <s v="Consolidation"/>
    <s v="CO2e and Base Measure"/>
    <n v="100"/>
    <n v="100"/>
    <n v="0"/>
    <m/>
    <m/>
    <m/>
    <m/>
    <m/>
    <n v="4.5999999999999999E-3"/>
    <m/>
    <n v="4.5999999999999999E-3"/>
    <m/>
    <m/>
    <m/>
    <m/>
    <m/>
    <s v="AUD"/>
    <s v="13565366Waste - General [t] - Scope 3"/>
    <n v="13565366"/>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34184Waste - General [t] - Scope 3"/>
    <n v="13634184"/>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07-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09-01T00:00:00"/>
    <s v="FY21"/>
    <s v="t"/>
    <n v="0"/>
    <n v="0"/>
    <n v="2.7E-2"/>
    <n v="2.7E-2"/>
    <n v="0"/>
    <n v="0"/>
    <n v="30"/>
    <n v="30"/>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11-01T00:00:00"/>
    <s v="FY21"/>
    <s v="t"/>
    <n v="0"/>
    <n v="0"/>
    <n v="2.7E-2"/>
    <n v="2.7E-2"/>
    <n v="0"/>
    <n v="0"/>
    <n v="30"/>
    <n v="30"/>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2-01T00:00:00"/>
    <s v="FY21"/>
    <s v="t"/>
    <n v="0"/>
    <n v="0"/>
    <n v="2.52E-2"/>
    <n v="2.52E-2"/>
    <n v="0"/>
    <n v="0"/>
    <n v="28"/>
    <n v="28"/>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4-01T00:00:00"/>
    <s v="FY21"/>
    <s v="t"/>
    <n v="0"/>
    <n v="0"/>
    <n v="2.7E-2"/>
    <n v="2.7E-2"/>
    <n v="0"/>
    <n v="0"/>
    <n v="30"/>
    <n v="30"/>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ETWORK"/>
    <s v="Network - InfraCo"/>
    <s v="VIC"/>
    <s v="Australia"/>
    <s v="Mornington"/>
    <s v="MORNINGTON EXCHANGE"/>
    <n v="423030773400"/>
    <s v="Recycled Waste"/>
    <x v="0"/>
    <x v="0"/>
    <s v="Account"/>
    <s v="Remondis Cardboard - Loose - Recycled"/>
    <m/>
    <s v="423030773400_RCARDBOAR"/>
    <s v="CARDBOARD - LOOSE - RECYCLED"/>
    <s v="Remondis"/>
    <m/>
    <m/>
    <d v="2020-08-01T00:00:00"/>
    <d v="2020-07-01T00:00:00"/>
    <s v="FY21"/>
    <s v="t"/>
    <n v="0"/>
    <n v="0.315"/>
    <n v="0"/>
    <n v="0.315"/>
    <n v="0"/>
    <n v="5"/>
    <n v="0"/>
    <n v="5"/>
    <n v="0"/>
    <n v="100"/>
    <n v="0"/>
    <s v="Consolidation"/>
    <s v="CO2e and Base Measure"/>
    <n v="100"/>
    <n v="100"/>
    <n v="0.32"/>
    <m/>
    <m/>
    <m/>
    <m/>
    <m/>
    <m/>
    <n v="0"/>
    <m/>
    <m/>
    <m/>
    <m/>
    <m/>
    <m/>
    <s v="AUD"/>
    <s v="13565223Waste Recycled - Cardboard [t]"/>
    <n v="13565223"/>
  </r>
  <r>
    <d v="2019-07-01T00:00:00"/>
    <d v="2021-06-30T00:00:00"/>
    <s v="Telstra"/>
    <s v="NETWORK"/>
    <s v="Network - InfraCo"/>
    <s v="VIC"/>
    <s v="Australia"/>
    <s v="Mornington"/>
    <s v="MORNINGTON EXCHANGE"/>
    <n v="423030773400"/>
    <s v="Recycled Waste"/>
    <x v="0"/>
    <x v="0"/>
    <s v="Account"/>
    <s v="Remondis Cardboard - Loose - Recycled"/>
    <m/>
    <s v="423030773400_RCARDBOAR"/>
    <s v="CARDBOARD - LOOSE - RECYCLED"/>
    <s v="Remondis"/>
    <m/>
    <m/>
    <d v="2020-08-01T00:00:00"/>
    <d v="2020-08-01T00:00:00"/>
    <s v="FY21"/>
    <s v="t"/>
    <n v="0"/>
    <n v="0"/>
    <n v="9.4000000000000004E-3"/>
    <n v="9.4000000000000004E-3"/>
    <n v="0"/>
    <n v="0"/>
    <n v="1"/>
    <n v="1"/>
    <n v="0"/>
    <n v="0"/>
    <n v="100"/>
    <s v="Consolidation"/>
    <s v="CO2e and Base Measure"/>
    <n v="100"/>
    <n v="100"/>
    <n v="0.01"/>
    <m/>
    <m/>
    <m/>
    <m/>
    <m/>
    <m/>
    <n v="0"/>
    <m/>
    <m/>
    <m/>
    <m/>
    <m/>
    <m/>
    <s v="AUD"/>
    <s v="13565223Waste Recycled - Cardboard [t]"/>
    <n v="13565223"/>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07-01T00:00:00"/>
    <s v="FY21"/>
    <s v="t"/>
    <n v="0.23499999999999999"/>
    <n v="0"/>
    <n v="0"/>
    <n v="0.23499999999999999"/>
    <n v="3"/>
    <n v="0"/>
    <n v="0"/>
    <n v="3"/>
    <n v="100"/>
    <n v="0"/>
    <n v="0"/>
    <s v="Consolidation"/>
    <s v="CO2e and Base Measure"/>
    <n v="100"/>
    <n v="100"/>
    <n v="0.24"/>
    <m/>
    <m/>
    <m/>
    <m/>
    <m/>
    <n v="0.30549999999999999"/>
    <m/>
    <n v="0.30549999999999999"/>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08-01T00:00:00"/>
    <s v="FY21"/>
    <s v="t"/>
    <n v="0.215"/>
    <n v="0"/>
    <n v="0"/>
    <n v="0.215"/>
    <n v="2"/>
    <n v="0"/>
    <n v="0"/>
    <n v="2"/>
    <n v="100"/>
    <n v="0"/>
    <n v="0"/>
    <s v="Consolidation"/>
    <s v="CO2e and Base Measure"/>
    <n v="100"/>
    <n v="100"/>
    <n v="0.22"/>
    <m/>
    <m/>
    <m/>
    <m/>
    <m/>
    <n v="0.27950000000000003"/>
    <m/>
    <n v="0.27950000000000003"/>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09-01T00:00:00"/>
    <s v="FY21"/>
    <s v="t"/>
    <n v="0.155"/>
    <n v="0"/>
    <n v="0"/>
    <n v="0.155"/>
    <n v="1"/>
    <n v="0"/>
    <n v="0"/>
    <n v="1"/>
    <n v="100"/>
    <n v="0"/>
    <n v="0"/>
    <s v="Consolidation"/>
    <s v="CO2e and Base Measure"/>
    <n v="100"/>
    <n v="100"/>
    <n v="0.16"/>
    <m/>
    <m/>
    <m/>
    <m/>
    <m/>
    <n v="0.20150000000000001"/>
    <m/>
    <n v="0.20150000000000001"/>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10-01T00:00:00"/>
    <s v="FY21"/>
    <s v="t"/>
    <n v="0.35"/>
    <n v="0"/>
    <n v="0"/>
    <n v="0.35"/>
    <n v="2"/>
    <n v="0"/>
    <n v="0"/>
    <n v="2"/>
    <n v="100"/>
    <n v="0"/>
    <n v="0"/>
    <s v="Consolidation"/>
    <s v="CO2e and Base Measure"/>
    <n v="100"/>
    <n v="100"/>
    <n v="0.35"/>
    <m/>
    <m/>
    <m/>
    <m/>
    <m/>
    <n v="0.45500000000000002"/>
    <m/>
    <n v="0.45500000000000002"/>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11-01T00:00:00"/>
    <s v="FY21"/>
    <s v="t"/>
    <n v="0.01"/>
    <n v="0"/>
    <n v="0"/>
    <n v="0.01"/>
    <n v="2"/>
    <n v="0"/>
    <n v="0"/>
    <n v="2"/>
    <n v="100"/>
    <n v="0"/>
    <n v="0"/>
    <s v="Consolidation"/>
    <s v="CO2e and Base Measure"/>
    <n v="100"/>
    <n v="100"/>
    <n v="0.01"/>
    <m/>
    <m/>
    <m/>
    <m/>
    <m/>
    <n v="1.2999999999999999E-2"/>
    <m/>
    <n v="1.2999999999999999E-2"/>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12-01T00:00:00"/>
    <s v="FY21"/>
    <s v="t"/>
    <n v="0"/>
    <n v="0"/>
    <n v="1.95E-2"/>
    <n v="1.95E-2"/>
    <n v="0"/>
    <n v="0"/>
    <n v="1"/>
    <n v="1"/>
    <n v="0"/>
    <n v="0"/>
    <n v="100"/>
    <s v="Consolidation"/>
    <s v="CO2e and Base Measure"/>
    <n v="100"/>
    <n v="100"/>
    <n v="0.02"/>
    <m/>
    <m/>
    <m/>
    <m/>
    <m/>
    <n v="2.5399999999999999E-2"/>
    <m/>
    <n v="2.5399999999999999E-2"/>
    <m/>
    <m/>
    <m/>
    <m/>
    <m/>
    <s v="AUD"/>
    <s v="13565224Waste - General [t] - Scope 3"/>
    <n v="13565224"/>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1-01T00:00:00"/>
    <s v="FY21"/>
    <s v="t"/>
    <n v="0.2"/>
    <n v="0"/>
    <n v="0"/>
    <n v="0.2"/>
    <n v="1"/>
    <n v="0"/>
    <n v="0"/>
    <n v="1"/>
    <n v="100"/>
    <n v="0"/>
    <n v="0"/>
    <s v="Consolidation"/>
    <s v="CO2e and Base Measure"/>
    <n v="100"/>
    <n v="100"/>
    <n v="0.2"/>
    <m/>
    <m/>
    <m/>
    <m/>
    <m/>
    <n v="0.26"/>
    <m/>
    <n v="0.26"/>
    <m/>
    <m/>
    <m/>
    <m/>
    <m/>
    <s v="AUD"/>
    <s v="13634452Waste - General [t] - Scope 3"/>
    <n v="13634452"/>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2-01T00:00:00"/>
    <s v="FY21"/>
    <s v="t"/>
    <n v="0.11899999999999999"/>
    <n v="0"/>
    <n v="0"/>
    <n v="0.11899999999999999"/>
    <n v="2"/>
    <n v="0"/>
    <n v="0"/>
    <n v="2"/>
    <n v="100"/>
    <n v="0"/>
    <n v="0"/>
    <s v="Consolidation"/>
    <s v="CO2e and Base Measure"/>
    <n v="100"/>
    <n v="100"/>
    <n v="0.12"/>
    <m/>
    <m/>
    <m/>
    <m/>
    <m/>
    <n v="0.1547"/>
    <m/>
    <n v="0.1547"/>
    <m/>
    <m/>
    <m/>
    <m/>
    <m/>
    <s v="AUD"/>
    <s v="13634452Waste - General [t] - Scope 3"/>
    <n v="13634452"/>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3-01T00:00:00"/>
    <s v="FY21"/>
    <s v="t"/>
    <n v="8.8999999999999996E-2"/>
    <n v="0"/>
    <n v="0"/>
    <n v="8.8999999999999996E-2"/>
    <n v="2"/>
    <n v="0"/>
    <n v="0"/>
    <n v="2"/>
    <n v="100"/>
    <n v="0"/>
    <n v="0"/>
    <s v="Consolidation"/>
    <s v="CO2e and Base Measure"/>
    <n v="100"/>
    <n v="100"/>
    <n v="0.09"/>
    <m/>
    <m/>
    <m/>
    <m/>
    <m/>
    <n v="0.1157"/>
    <m/>
    <n v="0.1157"/>
    <m/>
    <m/>
    <m/>
    <m/>
    <m/>
    <s v="AUD"/>
    <s v="13634452Waste - General [t] - Scope 3"/>
    <n v="13634452"/>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4-01T00:00:00"/>
    <s v="FY21"/>
    <s v="t"/>
    <n v="0"/>
    <n v="0"/>
    <n v="0.13800000000000001"/>
    <n v="0.13800000000000001"/>
    <n v="0"/>
    <n v="0"/>
    <n v="30"/>
    <n v="30"/>
    <n v="0"/>
    <n v="0"/>
    <n v="100"/>
    <s v="Consolidation"/>
    <s v="CO2e and Base Measure"/>
    <n v="100"/>
    <n v="100"/>
    <n v="0.14000000000000001"/>
    <m/>
    <m/>
    <m/>
    <m/>
    <m/>
    <n v="0.1794"/>
    <m/>
    <n v="0.1794"/>
    <m/>
    <m/>
    <m/>
    <m/>
    <m/>
    <s v="AUD"/>
    <s v="13634452Waste - General [t] - Scope 3"/>
    <n v="13634452"/>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5-01T00:00:00"/>
    <s v="FY21"/>
    <s v="t"/>
    <n v="0"/>
    <n v="0"/>
    <n v="0.1426"/>
    <n v="0.1426"/>
    <n v="0"/>
    <n v="0"/>
    <n v="31"/>
    <n v="31"/>
    <n v="0"/>
    <n v="0"/>
    <n v="100"/>
    <s v="Consolidation"/>
    <s v="CO2e and Base Measure"/>
    <n v="100"/>
    <n v="100"/>
    <n v="0.14000000000000001"/>
    <m/>
    <m/>
    <m/>
    <m/>
    <m/>
    <n v="0.18540000000000001"/>
    <m/>
    <n v="0.18540000000000001"/>
    <m/>
    <m/>
    <m/>
    <m/>
    <m/>
    <s v="AUD"/>
    <s v="13634452Waste - General [t] - Scope 3"/>
    <n v="13634452"/>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1-01T00:00:00"/>
    <s v="FY21"/>
    <s v="t"/>
    <n v="8.2000000000000003E-2"/>
    <n v="0"/>
    <n v="0"/>
    <n v="8.2000000000000003E-2"/>
    <n v="1"/>
    <n v="0"/>
    <n v="0"/>
    <n v="1"/>
    <n v="100"/>
    <n v="0"/>
    <n v="0"/>
    <s v="Consolidation"/>
    <s v="CO2e and Base Measure"/>
    <n v="100"/>
    <n v="100"/>
    <n v="0.08"/>
    <m/>
    <m/>
    <m/>
    <m/>
    <m/>
    <m/>
    <m/>
    <m/>
    <m/>
    <m/>
    <m/>
    <m/>
    <m/>
    <s v="AUD"/>
    <s v="13634453Waste Recycled - Paper and Cardboard [t]"/>
    <n v="13634453"/>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2-01T00:00:00"/>
    <s v="FY21"/>
    <s v="t"/>
    <n v="3.4000000000000002E-2"/>
    <n v="0"/>
    <n v="0"/>
    <n v="3.4000000000000002E-2"/>
    <n v="1"/>
    <n v="0"/>
    <n v="0"/>
    <n v="1"/>
    <n v="100"/>
    <n v="0"/>
    <n v="0"/>
    <s v="Consolidation"/>
    <s v="CO2e and Base Measure"/>
    <n v="100"/>
    <n v="100"/>
    <n v="0.03"/>
    <m/>
    <m/>
    <m/>
    <m/>
    <m/>
    <m/>
    <m/>
    <m/>
    <m/>
    <m/>
    <m/>
    <m/>
    <m/>
    <s v="AUD"/>
    <s v="13634453Waste Recycled - Paper and Cardboard [t]"/>
    <n v="13634453"/>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3-01T00:00:00"/>
    <s v="FY21"/>
    <s v="t"/>
    <n v="1.9E-2"/>
    <n v="0"/>
    <n v="0"/>
    <n v="1.9E-2"/>
    <n v="1"/>
    <n v="0"/>
    <n v="0"/>
    <n v="1"/>
    <n v="100"/>
    <n v="0"/>
    <n v="0"/>
    <s v="Consolidation"/>
    <s v="CO2e and Base Measure"/>
    <n v="100"/>
    <n v="100"/>
    <n v="0.02"/>
    <m/>
    <m/>
    <m/>
    <m/>
    <m/>
    <m/>
    <m/>
    <m/>
    <m/>
    <m/>
    <m/>
    <m/>
    <m/>
    <s v="AUD"/>
    <s v="13634453Waste Recycled - Paper and Cardboard [t]"/>
    <n v="13634453"/>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4-01T00:00:00"/>
    <s v="FY21"/>
    <s v="t"/>
    <n v="0"/>
    <n v="0"/>
    <n v="4.4999999999999998E-2"/>
    <n v="4.4999999999999998E-2"/>
    <n v="0"/>
    <n v="0"/>
    <n v="30"/>
    <n v="30"/>
    <n v="0"/>
    <n v="0"/>
    <n v="100"/>
    <s v="Consolidation"/>
    <s v="CO2e and Base Measure"/>
    <n v="100"/>
    <n v="100"/>
    <n v="0.05"/>
    <m/>
    <m/>
    <m/>
    <m/>
    <m/>
    <m/>
    <m/>
    <m/>
    <m/>
    <m/>
    <m/>
    <m/>
    <m/>
    <s v="AUD"/>
    <s v="13634453Waste Recycled - Paper and Cardboard [t]"/>
    <n v="13634453"/>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5-01T00:00:00"/>
    <s v="FY21"/>
    <s v="t"/>
    <n v="0"/>
    <n v="0"/>
    <n v="4.65E-2"/>
    <n v="4.65E-2"/>
    <n v="0"/>
    <n v="0"/>
    <n v="31"/>
    <n v="31"/>
    <n v="0"/>
    <n v="0"/>
    <n v="100"/>
    <s v="Consolidation"/>
    <s v="CO2e and Base Measure"/>
    <n v="100"/>
    <n v="100"/>
    <n v="0.05"/>
    <m/>
    <m/>
    <m/>
    <m/>
    <m/>
    <m/>
    <m/>
    <m/>
    <m/>
    <m/>
    <m/>
    <m/>
    <m/>
    <s v="AUD"/>
    <s v="13634453Waste Recycled - Paper and Cardboard [t]"/>
    <n v="13634453"/>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10-01T00:00:00"/>
    <s v="FY21"/>
    <s v="t"/>
    <n v="0"/>
    <n v="6.3E-2"/>
    <n v="0"/>
    <n v="6.3E-2"/>
    <n v="0"/>
    <n v="2"/>
    <n v="0"/>
    <n v="2"/>
    <n v="0"/>
    <n v="100"/>
    <n v="0"/>
    <s v="Consolidation"/>
    <s v="CO2e and Base Measure"/>
    <n v="100"/>
    <n v="100"/>
    <n v="0.06"/>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12-01T00:00:00"/>
    <s v="FY21"/>
    <s v="t"/>
    <n v="0"/>
    <n v="0"/>
    <n v="1.6000000000000001E-3"/>
    <n v="1.6000000000000001E-3"/>
    <n v="0"/>
    <n v="0"/>
    <n v="1"/>
    <n v="1"/>
    <n v="0"/>
    <n v="0"/>
    <n v="100"/>
    <s v="Consolidation"/>
    <s v="CO2e and Base Measure"/>
    <n v="100"/>
    <n v="100"/>
    <n v="0"/>
    <m/>
    <m/>
    <m/>
    <m/>
    <m/>
    <m/>
    <n v="0"/>
    <m/>
    <m/>
    <m/>
    <m/>
    <m/>
    <m/>
    <s v="AUD"/>
    <s v="13564357Waste Recycled - Cardboard [t]"/>
    <n v="13564357"/>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358Waste - General [t] - Scope 3"/>
    <n v="13564358"/>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0-12-01T00:00:00"/>
    <s v="FY21"/>
    <s v="t"/>
    <n v="0"/>
    <n v="0.12540000000000001"/>
    <n v="0"/>
    <n v="0.12540000000000001"/>
    <n v="0"/>
    <n v="1"/>
    <n v="0"/>
    <n v="1"/>
    <n v="0"/>
    <n v="100"/>
    <n v="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1-01T00:00:00"/>
    <s v="FY21"/>
    <s v="t"/>
    <n v="0"/>
    <n v="0"/>
    <n v="0.13020000000000001"/>
    <n v="0.13020000000000001"/>
    <n v="0"/>
    <n v="0"/>
    <n v="31"/>
    <n v="31"/>
    <n v="0"/>
    <n v="0"/>
    <n v="10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2-01T00:00:00"/>
    <s v="FY21"/>
    <s v="t"/>
    <n v="0"/>
    <n v="0"/>
    <n v="0.1176"/>
    <n v="0.1176"/>
    <n v="0"/>
    <n v="0"/>
    <n v="28"/>
    <n v="28"/>
    <n v="0"/>
    <n v="0"/>
    <n v="100"/>
    <s v="Consolidation"/>
    <s v="CO2e and Base Measure"/>
    <n v="100"/>
    <n v="100"/>
    <n v="0.12"/>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3-01T00:00:00"/>
    <s v="FY21"/>
    <s v="t"/>
    <n v="0"/>
    <n v="0"/>
    <n v="0.13020000000000001"/>
    <n v="0.13020000000000001"/>
    <n v="0"/>
    <n v="0"/>
    <n v="31"/>
    <n v="31"/>
    <n v="0"/>
    <n v="0"/>
    <n v="10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4-01T00:00:00"/>
    <s v="FY21"/>
    <s v="t"/>
    <n v="0"/>
    <n v="0"/>
    <n v="0.126"/>
    <n v="0.126"/>
    <n v="0"/>
    <n v="0"/>
    <n v="30"/>
    <n v="30"/>
    <n v="0"/>
    <n v="0"/>
    <n v="10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5-01T00:00:00"/>
    <s v="FY21"/>
    <s v="t"/>
    <n v="0"/>
    <n v="0"/>
    <n v="0.13020000000000001"/>
    <n v="0.13020000000000001"/>
    <n v="0"/>
    <n v="0"/>
    <n v="31"/>
    <n v="31"/>
    <n v="0"/>
    <n v="0"/>
    <n v="10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0-12-01T00:00:00"/>
    <s v="FY21"/>
    <s v="t"/>
    <n v="9.5000000000000001E-2"/>
    <n v="6.7500000000000004E-2"/>
    <n v="0"/>
    <n v="0.16250000000000001"/>
    <n v="1"/>
    <n v="1"/>
    <n v="0"/>
    <n v="2"/>
    <n v="58.46"/>
    <n v="41.53"/>
    <n v="0"/>
    <s v="Consolidation"/>
    <s v="CO2e and Base Measure"/>
    <n v="100"/>
    <n v="100"/>
    <n v="0.16"/>
    <m/>
    <m/>
    <m/>
    <m/>
    <m/>
    <n v="0.21129999999999999"/>
    <m/>
    <n v="0.21129999999999999"/>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1-01T00:00:00"/>
    <s v="FY21"/>
    <s v="t"/>
    <n v="0.17399999999999999"/>
    <n v="0"/>
    <n v="0"/>
    <n v="0.17399999999999999"/>
    <n v="2"/>
    <n v="0"/>
    <n v="0"/>
    <n v="2"/>
    <n v="100"/>
    <n v="0"/>
    <n v="0"/>
    <s v="Consolidation"/>
    <s v="CO2e and Base Measure"/>
    <n v="100"/>
    <n v="100"/>
    <n v="0.17"/>
    <m/>
    <m/>
    <m/>
    <m/>
    <m/>
    <n v="0.22620000000000001"/>
    <m/>
    <n v="0.22620000000000001"/>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3-01T00:00:00"/>
    <s v="FY21"/>
    <s v="t"/>
    <n v="0.111"/>
    <n v="0"/>
    <n v="0"/>
    <n v="0.111"/>
    <n v="3"/>
    <n v="0"/>
    <n v="0"/>
    <n v="3"/>
    <n v="100"/>
    <n v="0"/>
    <n v="0"/>
    <s v="Consolidation"/>
    <s v="CO2e and Base Measure"/>
    <n v="100"/>
    <n v="100"/>
    <n v="0.11"/>
    <m/>
    <m/>
    <m/>
    <m/>
    <m/>
    <n v="0.14430000000000001"/>
    <m/>
    <n v="0.14430000000000001"/>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4-01T00:00:00"/>
    <s v="FY21"/>
    <s v="t"/>
    <n v="0"/>
    <n v="0"/>
    <n v="0.14699999999999999"/>
    <n v="0.14699999999999999"/>
    <n v="0"/>
    <n v="0"/>
    <n v="30"/>
    <n v="30"/>
    <n v="0"/>
    <n v="0"/>
    <n v="100"/>
    <s v="Consolidation"/>
    <s v="CO2e and Base Measure"/>
    <n v="100"/>
    <n v="100"/>
    <n v="0.15"/>
    <m/>
    <m/>
    <m/>
    <m/>
    <m/>
    <n v="0.19109999999999999"/>
    <m/>
    <n v="0.19109999999999999"/>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5-01T00:00:00"/>
    <s v="FY21"/>
    <s v="t"/>
    <n v="0"/>
    <n v="0"/>
    <n v="0.15190000000000001"/>
    <n v="0.15190000000000001"/>
    <n v="0"/>
    <n v="0"/>
    <n v="31"/>
    <n v="31"/>
    <n v="0"/>
    <n v="0"/>
    <n v="100"/>
    <s v="Consolidation"/>
    <s v="CO2e and Base Measure"/>
    <n v="100"/>
    <n v="100"/>
    <n v="0.15"/>
    <m/>
    <m/>
    <m/>
    <m/>
    <m/>
    <n v="0.19750000000000001"/>
    <m/>
    <n v="0.19750000000000001"/>
    <m/>
    <m/>
    <m/>
    <m/>
    <m/>
    <s v="AUD"/>
    <s v="13634185Waste - General [t] - Scope 3"/>
    <n v="13634185"/>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0-12-01T00:00:00"/>
    <s v="FY21"/>
    <s v="t"/>
    <n v="0"/>
    <n v="0.1125"/>
    <n v="0"/>
    <n v="0.1125"/>
    <n v="0"/>
    <n v="3"/>
    <n v="0"/>
    <n v="3"/>
    <n v="0"/>
    <n v="100"/>
    <n v="0"/>
    <s v="Consolidation"/>
    <s v="CO2e and Base Measure"/>
    <n v="100"/>
    <n v="100"/>
    <n v="0.11"/>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1-01T00:00:00"/>
    <s v="FY21"/>
    <s v="t"/>
    <n v="0"/>
    <n v="3.7499999999999999E-2"/>
    <n v="0"/>
    <n v="3.7499999999999999E-2"/>
    <n v="0"/>
    <n v="1"/>
    <n v="0"/>
    <n v="1"/>
    <n v="0"/>
    <n v="100"/>
    <n v="0"/>
    <s v="Consolidation"/>
    <s v="CO2e and Base Measure"/>
    <n v="100"/>
    <n v="100"/>
    <n v="0.04"/>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2-01T00:00:00"/>
    <s v="FY21"/>
    <s v="t"/>
    <n v="0"/>
    <n v="3.7499999999999999E-2"/>
    <n v="0"/>
    <n v="3.7499999999999999E-2"/>
    <n v="0"/>
    <n v="1"/>
    <n v="0"/>
    <n v="1"/>
    <n v="0"/>
    <n v="100"/>
    <n v="0"/>
    <s v="Consolidation"/>
    <s v="CO2e and Base Measure"/>
    <n v="100"/>
    <n v="100"/>
    <n v="0.04"/>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3-01T00:00:00"/>
    <s v="FY21"/>
    <s v="t"/>
    <n v="0.02"/>
    <n v="0"/>
    <n v="0"/>
    <n v="0.02"/>
    <n v="1"/>
    <n v="0"/>
    <n v="0"/>
    <n v="1"/>
    <n v="100"/>
    <n v="0"/>
    <n v="0"/>
    <s v="Consolidation"/>
    <s v="CO2e and Base Measure"/>
    <n v="100"/>
    <n v="100"/>
    <n v="0.02"/>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4-01T00:00:00"/>
    <s v="FY21"/>
    <s v="t"/>
    <n v="0"/>
    <n v="0"/>
    <n v="5.0999999999999997E-2"/>
    <n v="5.0999999999999997E-2"/>
    <n v="0"/>
    <n v="0"/>
    <n v="30"/>
    <n v="30"/>
    <n v="0"/>
    <n v="0"/>
    <n v="100"/>
    <s v="Consolidation"/>
    <s v="CO2e and Base Measure"/>
    <n v="100"/>
    <n v="100"/>
    <n v="0.05"/>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5-01T00:00:00"/>
    <s v="FY21"/>
    <s v="t"/>
    <n v="0"/>
    <n v="0"/>
    <n v="5.2699999999999997E-2"/>
    <n v="5.2699999999999997E-2"/>
    <n v="0"/>
    <n v="0"/>
    <n v="31"/>
    <n v="31"/>
    <n v="0"/>
    <n v="0"/>
    <n v="100"/>
    <s v="Consolidation"/>
    <s v="CO2e and Base Measure"/>
    <n v="100"/>
    <n v="100"/>
    <n v="0.05"/>
    <m/>
    <m/>
    <m/>
    <m/>
    <m/>
    <m/>
    <m/>
    <m/>
    <m/>
    <m/>
    <m/>
    <m/>
    <m/>
    <s v="AUD"/>
    <s v="13634186Waste Recycled - Paper and Cardboard [t]"/>
    <n v="13634186"/>
  </r>
  <r>
    <d v="2019-07-01T00:00:00"/>
    <d v="2021-06-30T00:00:00"/>
    <s v="Telstra"/>
    <s v="NETWORK"/>
    <s v="Network - InfraCo"/>
    <s v="VIC"/>
    <s v="Australia"/>
    <s v="Morwell"/>
    <s v="MORWELL EXCHANGE"/>
    <n v="423030728100"/>
    <s v="Waste"/>
    <x v="1"/>
    <x v="4"/>
    <s v="Account"/>
    <s v="Remondis Asbestos"/>
    <m/>
    <s v="423030728100_WASBESTOS"/>
    <s v="ASBESTOS"/>
    <s v="Remondis"/>
    <m/>
    <m/>
    <d v="2020-09-01T00:00:00"/>
    <d v="2020-08-01T00:00:00"/>
    <s v="FY21"/>
    <s v="t"/>
    <n v="0.57999999999999996"/>
    <n v="0"/>
    <n v="0"/>
    <n v="0.57999999999999996"/>
    <n v="1"/>
    <n v="0"/>
    <n v="0"/>
    <n v="1"/>
    <n v="100"/>
    <n v="0"/>
    <n v="0"/>
    <s v="Consolidation"/>
    <s v="CO2e and Base Measure"/>
    <n v="100"/>
    <n v="100"/>
    <n v="0.57999999999999996"/>
    <m/>
    <m/>
    <m/>
    <m/>
    <m/>
    <n v="0.69599999999999995"/>
    <m/>
    <n v="0.69599999999999995"/>
    <m/>
    <m/>
    <m/>
    <m/>
    <m/>
    <s v="AUD"/>
    <s v="13565152Waste - Construction and Demolition [t]"/>
    <n v="13565152"/>
  </r>
  <r>
    <d v="2019-07-01T00:00:00"/>
    <d v="2021-06-30T00:00:00"/>
    <s v="Telstra"/>
    <s v="NETWORK"/>
    <s v="Network - InfraCo"/>
    <s v="VIC"/>
    <s v="Australia"/>
    <s v="Morwell"/>
    <s v="MORWELL EXCHANGE"/>
    <n v="423030728100"/>
    <s v="Waste"/>
    <x v="1"/>
    <x v="4"/>
    <s v="Account"/>
    <s v="Remondis Asbestos"/>
    <m/>
    <s v="423030728100_WASBESTOS"/>
    <s v="ASBESTOS"/>
    <s v="Remondis"/>
    <m/>
    <m/>
    <d v="2020-09-01T00:00:00"/>
    <d v="2020-09-01T00:00:00"/>
    <s v="FY21"/>
    <s v="t"/>
    <n v="0"/>
    <n v="0"/>
    <n v="1.9300000000000001E-2"/>
    <n v="1.9300000000000001E-2"/>
    <n v="0"/>
    <n v="0"/>
    <n v="1"/>
    <n v="1"/>
    <n v="0"/>
    <n v="0"/>
    <n v="100"/>
    <s v="Consolidation"/>
    <s v="CO2e and Base Measure"/>
    <n v="100"/>
    <n v="100"/>
    <n v="0.02"/>
    <m/>
    <m/>
    <m/>
    <m/>
    <m/>
    <n v="2.3199999999999998E-2"/>
    <m/>
    <n v="2.3199999999999998E-2"/>
    <m/>
    <m/>
    <m/>
    <m/>
    <m/>
    <s v="AUD"/>
    <s v="13565152Waste - Construction and Demolition [t]"/>
    <n v="13565152"/>
  </r>
  <r>
    <d v="2019-07-01T00:00:00"/>
    <d v="2021-06-30T00:00:00"/>
    <s v="Telstra"/>
    <s v="NETWORK"/>
    <s v="Network - InfraCo"/>
    <s v="VIC"/>
    <s v="Australia"/>
    <s v="Morwell"/>
    <s v="MORWELL EXCHANGE"/>
    <n v="423030728100"/>
    <s v="Recycled Waste"/>
    <x v="0"/>
    <x v="0"/>
    <s v="Account"/>
    <s v="Remondis Cardboard - Loose - Recycled"/>
    <m/>
    <s v="423030728100_RCARDBOAR"/>
    <s v="CARDBOARD - LOOSE - RECYCLED"/>
    <s v="Remondis"/>
    <m/>
    <m/>
    <d v="2020-09-01T00:00:00"/>
    <d v="2020-08-01T00:00:00"/>
    <s v="FY21"/>
    <s v="t"/>
    <n v="0"/>
    <n v="9.4500000000000001E-2"/>
    <n v="0"/>
    <n v="9.4500000000000001E-2"/>
    <n v="0"/>
    <n v="3"/>
    <n v="0"/>
    <n v="3"/>
    <n v="0"/>
    <n v="100"/>
    <n v="0"/>
    <s v="Consolidation"/>
    <s v="CO2e and Base Measure"/>
    <n v="100"/>
    <n v="100"/>
    <n v="0.09"/>
    <m/>
    <m/>
    <m/>
    <m/>
    <m/>
    <m/>
    <n v="0"/>
    <m/>
    <m/>
    <m/>
    <m/>
    <m/>
    <m/>
    <s v="AUD"/>
    <s v="13565153Waste Recycled - Cardboard [t]"/>
    <n v="13565153"/>
  </r>
  <r>
    <d v="2019-07-01T00:00:00"/>
    <d v="2021-06-30T00:00:00"/>
    <s v="Telstra"/>
    <s v="NETWORK"/>
    <s v="Network - InfraCo"/>
    <s v="VIC"/>
    <s v="Australia"/>
    <s v="Morwell"/>
    <s v="MORWELL EXCHANGE"/>
    <n v="423030728100"/>
    <s v="Recycled Waste"/>
    <x v="0"/>
    <x v="0"/>
    <s v="Account"/>
    <s v="Remondis Cardboard - Loose - Recycled"/>
    <m/>
    <s v="423030728100_RCARDBOAR"/>
    <s v="CARDBOARD - LOOSE - RECYCLED"/>
    <s v="Remondis"/>
    <m/>
    <m/>
    <d v="2020-09-01T00:00:00"/>
    <d v="2020-09-01T00:00:00"/>
    <s v="FY21"/>
    <s v="t"/>
    <n v="0"/>
    <n v="0"/>
    <n v="3.2000000000000002E-3"/>
    <n v="3.2000000000000002E-3"/>
    <n v="0"/>
    <n v="0"/>
    <n v="1"/>
    <n v="1"/>
    <n v="0"/>
    <n v="0"/>
    <n v="100"/>
    <s v="Consolidation"/>
    <s v="CO2e and Base Measure"/>
    <n v="100"/>
    <n v="100"/>
    <n v="0"/>
    <m/>
    <m/>
    <m/>
    <m/>
    <m/>
    <m/>
    <n v="0"/>
    <m/>
    <m/>
    <m/>
    <m/>
    <m/>
    <m/>
    <s v="AUD"/>
    <s v="13565153Waste Recycled - Cardboard [t]"/>
    <n v="13565153"/>
  </r>
  <r>
    <d v="2019-07-01T00:00:00"/>
    <d v="2021-06-30T00:00:00"/>
    <s v="Telstra"/>
    <s v="NETWORK"/>
    <s v="Network - InfraCo"/>
    <s v="VIC"/>
    <s v="Australia"/>
    <s v="Morwell"/>
    <s v="MORWELL EXCHANGE"/>
    <n v="423030728100"/>
    <s v="Waste"/>
    <x v="1"/>
    <x v="2"/>
    <s v="Account"/>
    <s v="Remondis General Waste"/>
    <m/>
    <s v="423030728100_WGENERALW"/>
    <s v="GENERAL WASTE"/>
    <s v="Remondis"/>
    <m/>
    <m/>
    <d v="2020-10-01T00:00:00"/>
    <d v="2020-07-01T00:00:00"/>
    <s v="FY21"/>
    <s v="t"/>
    <n v="0"/>
    <n v="0.19500000000000001"/>
    <n v="0"/>
    <n v="0.19500000000000001"/>
    <n v="0"/>
    <n v="1"/>
    <n v="0"/>
    <n v="1"/>
    <n v="0"/>
    <n v="100"/>
    <n v="0"/>
    <s v="Consolidation"/>
    <s v="CO2e and Base Measure"/>
    <n v="100"/>
    <n v="100"/>
    <n v="0.2"/>
    <m/>
    <m/>
    <m/>
    <m/>
    <m/>
    <n v="0.2535"/>
    <m/>
    <n v="0.2535"/>
    <m/>
    <m/>
    <m/>
    <m/>
    <m/>
    <s v="AUD"/>
    <s v="13565154Waste - General [t] - Scope 3"/>
    <n v="13565154"/>
  </r>
  <r>
    <d v="2019-07-01T00:00:00"/>
    <d v="2021-06-30T00:00:00"/>
    <s v="Telstra"/>
    <s v="NETWORK"/>
    <s v="Network - InfraCo"/>
    <s v="VIC"/>
    <s v="Australia"/>
    <s v="Morwell"/>
    <s v="MORWELL EXCHANGE"/>
    <n v="423030728100"/>
    <s v="Waste"/>
    <x v="1"/>
    <x v="2"/>
    <s v="Account"/>
    <s v="Remondis General Waste"/>
    <m/>
    <s v="423030728100_WGENERALW"/>
    <s v="GENERAL WASTE"/>
    <s v="Remondis"/>
    <m/>
    <m/>
    <d v="2020-10-01T00:00:00"/>
    <d v="2020-08-01T00:00:00"/>
    <s v="FY21"/>
    <s v="t"/>
    <n v="0"/>
    <n v="0.19500000000000001"/>
    <n v="0"/>
    <n v="0.19500000000000001"/>
    <n v="0"/>
    <n v="1"/>
    <n v="0"/>
    <n v="1"/>
    <n v="0"/>
    <n v="100"/>
    <n v="0"/>
    <s v="Consolidation"/>
    <s v="CO2e and Base Measure"/>
    <n v="100"/>
    <n v="100"/>
    <n v="0.2"/>
    <m/>
    <m/>
    <m/>
    <m/>
    <m/>
    <n v="0.2535"/>
    <m/>
    <n v="0.2535"/>
    <m/>
    <m/>
    <m/>
    <m/>
    <m/>
    <s v="AUD"/>
    <s v="13565154Waste - General [t] - Scope 3"/>
    <n v="13565154"/>
  </r>
  <r>
    <d v="2019-07-01T00:00:00"/>
    <d v="2021-06-30T00:00:00"/>
    <s v="Telstra"/>
    <s v="NETWORK"/>
    <s v="Network - InfraCo"/>
    <s v="VIC"/>
    <s v="Australia"/>
    <s v="Morwell"/>
    <s v="MORWELL EXCHANGE"/>
    <n v="423030728100"/>
    <s v="Waste"/>
    <x v="1"/>
    <x v="2"/>
    <s v="Account"/>
    <s v="Remondis General Waste"/>
    <m/>
    <s v="423030728100_WGENERALW"/>
    <s v="GENERAL WASTE"/>
    <s v="Remondis"/>
    <m/>
    <m/>
    <d v="2020-10-01T00:00:00"/>
    <d v="2020-09-01T00:00:00"/>
    <s v="FY21"/>
    <s v="t"/>
    <n v="0"/>
    <n v="0.19500000000000001"/>
    <n v="0"/>
    <n v="0.19500000000000001"/>
    <n v="0"/>
    <n v="1"/>
    <n v="0"/>
    <n v="1"/>
    <n v="0"/>
    <n v="100"/>
    <n v="0"/>
    <s v="Consolidation"/>
    <s v="CO2e and Base Measure"/>
    <n v="100"/>
    <n v="100"/>
    <n v="0.2"/>
    <m/>
    <m/>
    <m/>
    <m/>
    <m/>
    <n v="0.2535"/>
    <m/>
    <n v="0.2535"/>
    <m/>
    <m/>
    <m/>
    <m/>
    <m/>
    <s v="AUD"/>
    <s v="13565154Waste - General [t] - Scope 3"/>
    <n v="13565154"/>
  </r>
  <r>
    <d v="2019-07-01T00:00:00"/>
    <d v="2021-06-30T00:00:00"/>
    <s v="Telstra"/>
    <s v="NETWORK"/>
    <s v="Network - InfraCo"/>
    <s v="VIC"/>
    <s v="Australia"/>
    <s v="Morwell"/>
    <s v="MORWELL EXCHANGE"/>
    <n v="423030728100"/>
    <s v="Waste"/>
    <x v="1"/>
    <x v="2"/>
    <s v="Account"/>
    <s v="Remondis General Waste"/>
    <m/>
    <s v="423030728100_WGENERALW"/>
    <s v="GENERAL WASTE"/>
    <s v="Remondis"/>
    <m/>
    <m/>
    <d v="2020-10-01T00:00:00"/>
    <d v="2020-10-01T00:00:00"/>
    <s v="FY21"/>
    <s v="t"/>
    <n v="0"/>
    <n v="0"/>
    <n v="6.4000000000000003E-3"/>
    <n v="6.4000000000000003E-3"/>
    <n v="0"/>
    <n v="0"/>
    <n v="1"/>
    <n v="1"/>
    <n v="0"/>
    <n v="0"/>
    <n v="100"/>
    <s v="Consolidation"/>
    <s v="CO2e and Base Measure"/>
    <n v="100"/>
    <n v="100"/>
    <n v="0.01"/>
    <m/>
    <m/>
    <m/>
    <m/>
    <m/>
    <n v="8.3000000000000001E-3"/>
    <m/>
    <n v="8.3000000000000001E-3"/>
    <m/>
    <m/>
    <m/>
    <m/>
    <m/>
    <s v="AUD"/>
    <s v="13565154Waste - General [t] - Scope 3"/>
    <n v="13565154"/>
  </r>
  <r>
    <d v="2019-07-01T00:00:00"/>
    <d v="2021-06-30T00:00:00"/>
    <s v="Telstra"/>
    <s v="NETWORK"/>
    <s v="Network - InfraCo"/>
    <s v="VIC"/>
    <s v="Australia"/>
    <s v="Morwell"/>
    <s v="MORWELL EXCHANGE"/>
    <n v="423030728100"/>
    <s v="Recycled Waste"/>
    <x v="0"/>
    <x v="5"/>
    <s v="Account"/>
    <s v="Remondis Metal - Mixed All"/>
    <m/>
    <s v="423030728100_RMETMIXED"/>
    <s v="METAL - MIXED ALL"/>
    <s v="Remondis"/>
    <m/>
    <m/>
    <d v="2020-12-01T00:00:00"/>
    <d v="2020-11-01T00:00:00"/>
    <s v="FY21"/>
    <s v="t"/>
    <n v="0.66"/>
    <n v="0"/>
    <n v="0"/>
    <n v="0.66"/>
    <n v="1"/>
    <n v="0"/>
    <n v="0"/>
    <n v="1"/>
    <n v="100"/>
    <n v="0"/>
    <n v="0"/>
    <s v="Consolidation"/>
    <s v="CO2e and Base Measure"/>
    <n v="100"/>
    <n v="100"/>
    <n v="0.66"/>
    <m/>
    <m/>
    <m/>
    <m/>
    <m/>
    <m/>
    <m/>
    <m/>
    <m/>
    <m/>
    <m/>
    <m/>
    <m/>
    <s v="AUD"/>
    <s v="13565155Waste Recycled - Construction and Demolition [t]"/>
    <n v="13565155"/>
  </r>
  <r>
    <d v="2019-07-01T00:00:00"/>
    <d v="2021-06-30T00:00:00"/>
    <s v="Telstra"/>
    <s v="NETWORK"/>
    <s v="Network - InfraCo"/>
    <s v="VIC"/>
    <s v="Australia"/>
    <s v="Morwell"/>
    <s v="MORWELL EXCHANGE"/>
    <n v="423030728100"/>
    <s v="Recycled Waste"/>
    <x v="0"/>
    <x v="5"/>
    <s v="Account"/>
    <s v="Remondis Metal - Mixed All"/>
    <m/>
    <s v="423030728100_RMETMIXED"/>
    <s v="METAL - MIXED ALL"/>
    <s v="Remondis"/>
    <m/>
    <m/>
    <d v="2020-12-01T00:00:00"/>
    <d v="2020-12-01T00:00:00"/>
    <s v="FY21"/>
    <s v="t"/>
    <n v="0"/>
    <n v="0"/>
    <n v="2.2800000000000001E-2"/>
    <n v="2.2800000000000001E-2"/>
    <n v="0"/>
    <n v="0"/>
    <n v="1"/>
    <n v="1"/>
    <n v="0"/>
    <n v="0"/>
    <n v="100"/>
    <s v="Consolidation"/>
    <s v="CO2e and Base Measure"/>
    <n v="100"/>
    <n v="100"/>
    <n v="0.02"/>
    <m/>
    <m/>
    <m/>
    <m/>
    <m/>
    <m/>
    <m/>
    <m/>
    <m/>
    <m/>
    <m/>
    <m/>
    <m/>
    <s v="AUD"/>
    <s v="13565155Waste Recycled - Construction and Demolition [t]"/>
    <n v="1356515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0-12-01T00:00:00"/>
    <s v="FY21"/>
    <s v="t"/>
    <n v="5.0000000000000001E-3"/>
    <n v="0"/>
    <n v="0"/>
    <n v="5.0000000000000001E-3"/>
    <n v="1"/>
    <n v="0"/>
    <n v="0"/>
    <n v="1"/>
    <n v="100"/>
    <n v="0"/>
    <n v="0"/>
    <s v="Consolidation"/>
    <s v="CO2e and Base Measure"/>
    <n v="100"/>
    <n v="100"/>
    <n v="0.01"/>
    <m/>
    <m/>
    <m/>
    <m/>
    <m/>
    <n v="6.0000000000000001E-3"/>
    <m/>
    <n v="6.0000000000000001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1-01T00:00:00"/>
    <s v="FY21"/>
    <s v="t"/>
    <n v="0"/>
    <n v="0"/>
    <n v="6.1999999999999998E-3"/>
    <n v="6.1999999999999998E-3"/>
    <n v="0"/>
    <n v="0"/>
    <n v="31"/>
    <n v="31"/>
    <n v="0"/>
    <n v="0"/>
    <n v="100"/>
    <s v="Consolidation"/>
    <s v="CO2e and Base Measure"/>
    <n v="100"/>
    <n v="100"/>
    <n v="0.01"/>
    <m/>
    <m/>
    <m/>
    <m/>
    <m/>
    <n v="7.4000000000000003E-3"/>
    <m/>
    <n v="7.4000000000000003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2-01T00:00:00"/>
    <s v="FY21"/>
    <s v="t"/>
    <n v="0"/>
    <n v="0"/>
    <n v="5.5999999999999999E-3"/>
    <n v="5.5999999999999999E-3"/>
    <n v="0"/>
    <n v="0"/>
    <n v="28"/>
    <n v="28"/>
    <n v="0"/>
    <n v="0"/>
    <n v="100"/>
    <s v="Consolidation"/>
    <s v="CO2e and Base Measure"/>
    <n v="100"/>
    <n v="100"/>
    <n v="0.01"/>
    <m/>
    <m/>
    <m/>
    <m/>
    <m/>
    <n v="6.7000000000000002E-3"/>
    <m/>
    <n v="6.7000000000000002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3-01T00:00:00"/>
    <s v="FY21"/>
    <s v="t"/>
    <n v="0"/>
    <n v="0"/>
    <n v="6.1999999999999998E-3"/>
    <n v="6.1999999999999998E-3"/>
    <n v="0"/>
    <n v="0"/>
    <n v="31"/>
    <n v="31"/>
    <n v="0"/>
    <n v="0"/>
    <n v="100"/>
    <s v="Consolidation"/>
    <s v="CO2e and Base Measure"/>
    <n v="100"/>
    <n v="100"/>
    <n v="0.01"/>
    <m/>
    <m/>
    <m/>
    <m/>
    <m/>
    <n v="7.4000000000000003E-3"/>
    <m/>
    <n v="7.4000000000000003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4-01T00:00:00"/>
    <s v="FY21"/>
    <s v="t"/>
    <n v="0"/>
    <n v="0"/>
    <n v="6.0000000000000001E-3"/>
    <n v="6.0000000000000001E-3"/>
    <n v="0"/>
    <n v="0"/>
    <n v="30"/>
    <n v="30"/>
    <n v="0"/>
    <n v="0"/>
    <n v="100"/>
    <s v="Consolidation"/>
    <s v="CO2e and Base Measure"/>
    <n v="100"/>
    <n v="100"/>
    <n v="0.01"/>
    <m/>
    <m/>
    <m/>
    <m/>
    <m/>
    <n v="7.1999999999999998E-3"/>
    <m/>
    <n v="7.1999999999999998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5-01T00:00:00"/>
    <s v="FY21"/>
    <s v="t"/>
    <n v="0"/>
    <n v="0"/>
    <n v="6.1999999999999998E-3"/>
    <n v="6.1999999999999998E-3"/>
    <n v="0"/>
    <n v="0"/>
    <n v="31"/>
    <n v="31"/>
    <n v="0"/>
    <n v="0"/>
    <n v="100"/>
    <s v="Consolidation"/>
    <s v="CO2e and Base Measure"/>
    <n v="100"/>
    <n v="100"/>
    <n v="0.01"/>
    <m/>
    <m/>
    <m/>
    <m/>
    <m/>
    <n v="7.4000000000000003E-3"/>
    <m/>
    <n v="7.4000000000000003E-3"/>
    <m/>
    <m/>
    <m/>
    <m/>
    <m/>
    <s v="AUD"/>
    <s v="13633425Hazardous Waste [t]"/>
    <n v="13633425"/>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0-12-01T00:00:00"/>
    <s v="FY21"/>
    <s v="t"/>
    <n v="0.03"/>
    <n v="0.27"/>
    <n v="0"/>
    <n v="0.3"/>
    <n v="1"/>
    <n v="2"/>
    <n v="0"/>
    <n v="3"/>
    <n v="10"/>
    <n v="90"/>
    <n v="0"/>
    <s v="Consolidation"/>
    <s v="CO2e and Base Measure"/>
    <n v="100"/>
    <n v="100"/>
    <n v="0.3"/>
    <m/>
    <m/>
    <m/>
    <m/>
    <m/>
    <n v="0.39"/>
    <m/>
    <n v="0.39"/>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1-01T00:00:00"/>
    <s v="FY21"/>
    <s v="t"/>
    <n v="0"/>
    <n v="0.27"/>
    <n v="0"/>
    <n v="0.27"/>
    <n v="0"/>
    <n v="2"/>
    <n v="0"/>
    <n v="2"/>
    <n v="0"/>
    <n v="100"/>
    <n v="0"/>
    <s v="Consolidation"/>
    <s v="CO2e and Base Measure"/>
    <n v="100"/>
    <n v="100"/>
    <n v="0.27"/>
    <m/>
    <m/>
    <m/>
    <m/>
    <m/>
    <n v="0.35099999999999998"/>
    <m/>
    <n v="0.35099999999999998"/>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2-01T00:00:00"/>
    <s v="FY21"/>
    <s v="t"/>
    <n v="0.16"/>
    <n v="0"/>
    <n v="0"/>
    <n v="0.16"/>
    <n v="2"/>
    <n v="0"/>
    <n v="0"/>
    <n v="2"/>
    <n v="100"/>
    <n v="0"/>
    <n v="0"/>
    <s v="Consolidation"/>
    <s v="CO2e and Base Measure"/>
    <n v="100"/>
    <n v="100"/>
    <n v="0.16"/>
    <m/>
    <m/>
    <m/>
    <m/>
    <m/>
    <n v="0.20799999999999999"/>
    <m/>
    <n v="0.20799999999999999"/>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3-01T00:00:00"/>
    <s v="FY21"/>
    <s v="t"/>
    <n v="7.0000000000000007E-2"/>
    <n v="0.13500000000000001"/>
    <n v="0"/>
    <n v="0.20499999999999999"/>
    <n v="1"/>
    <n v="1"/>
    <n v="0"/>
    <n v="2"/>
    <n v="34.14"/>
    <n v="65.849999999999994"/>
    <n v="0"/>
    <s v="Consolidation"/>
    <s v="CO2e and Base Measure"/>
    <n v="100"/>
    <n v="100"/>
    <n v="0.21"/>
    <m/>
    <m/>
    <m/>
    <m/>
    <m/>
    <n v="0.26650000000000001"/>
    <m/>
    <n v="0.26650000000000001"/>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4-01T00:00:00"/>
    <s v="FY21"/>
    <s v="t"/>
    <n v="0"/>
    <n v="0"/>
    <n v="0.23400000000000001"/>
    <n v="0.23400000000000001"/>
    <n v="0"/>
    <n v="0"/>
    <n v="30"/>
    <n v="30"/>
    <n v="0"/>
    <n v="0"/>
    <n v="100"/>
    <s v="Consolidation"/>
    <s v="CO2e and Base Measure"/>
    <n v="100"/>
    <n v="100"/>
    <n v="0.23"/>
    <m/>
    <m/>
    <m/>
    <m/>
    <m/>
    <n v="0.30420000000000003"/>
    <m/>
    <n v="0.30420000000000003"/>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5-01T00:00:00"/>
    <s v="FY21"/>
    <s v="t"/>
    <n v="0"/>
    <n v="0"/>
    <n v="0.24179999999999999"/>
    <n v="0.24179999999999999"/>
    <n v="0"/>
    <n v="0"/>
    <n v="31"/>
    <n v="31"/>
    <n v="0"/>
    <n v="0"/>
    <n v="100"/>
    <s v="Consolidation"/>
    <s v="CO2e and Base Measure"/>
    <n v="100"/>
    <n v="100"/>
    <n v="0.24"/>
    <m/>
    <m/>
    <m/>
    <m/>
    <m/>
    <n v="0.31430000000000002"/>
    <m/>
    <n v="0.31430000000000002"/>
    <m/>
    <m/>
    <m/>
    <m/>
    <m/>
    <s v="AUD"/>
    <s v="13634187Waste - General [t] - Scope 3"/>
    <n v="13634187"/>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0-12-01T00:00:00"/>
    <s v="FY21"/>
    <s v="t"/>
    <n v="0"/>
    <n v="3.7499999999999999E-2"/>
    <n v="0"/>
    <n v="3.7499999999999999E-2"/>
    <n v="0"/>
    <n v="1"/>
    <n v="0"/>
    <n v="1"/>
    <n v="0"/>
    <n v="100"/>
    <n v="0"/>
    <s v="Consolidation"/>
    <s v="CO2e and Base Measure"/>
    <n v="100"/>
    <n v="100"/>
    <n v="0.04"/>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1-01T00:00:00"/>
    <s v="FY21"/>
    <s v="t"/>
    <n v="0"/>
    <n v="3.7499999999999999E-2"/>
    <n v="0"/>
    <n v="3.7499999999999999E-2"/>
    <n v="0"/>
    <n v="1"/>
    <n v="0"/>
    <n v="1"/>
    <n v="0"/>
    <n v="100"/>
    <n v="0"/>
    <s v="Consolidation"/>
    <s v="CO2e and Base Measure"/>
    <n v="100"/>
    <n v="100"/>
    <n v="0.04"/>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2-01T00:00:00"/>
    <s v="FY21"/>
    <s v="t"/>
    <n v="0"/>
    <n v="3.7499999999999999E-2"/>
    <n v="0"/>
    <n v="3.7499999999999999E-2"/>
    <n v="0"/>
    <n v="1"/>
    <n v="0"/>
    <n v="1"/>
    <n v="0"/>
    <n v="100"/>
    <n v="0"/>
    <s v="Consolidation"/>
    <s v="CO2e and Base Measure"/>
    <n v="100"/>
    <n v="100"/>
    <n v="0.04"/>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3-01T00:00:00"/>
    <s v="FY21"/>
    <s v="t"/>
    <n v="0.02"/>
    <n v="0"/>
    <n v="0"/>
    <n v="0.02"/>
    <n v="1"/>
    <n v="0"/>
    <n v="0"/>
    <n v="1"/>
    <n v="100"/>
    <n v="0"/>
    <n v="0"/>
    <s v="Consolidation"/>
    <s v="CO2e and Base Measure"/>
    <n v="100"/>
    <n v="100"/>
    <n v="0.02"/>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4-01T00:00:00"/>
    <s v="FY21"/>
    <s v="t"/>
    <n v="0"/>
    <n v="0"/>
    <n v="3.3000000000000002E-2"/>
    <n v="3.3000000000000002E-2"/>
    <n v="0"/>
    <n v="0"/>
    <n v="30"/>
    <n v="30"/>
    <n v="0"/>
    <n v="0"/>
    <n v="100"/>
    <s v="Consolidation"/>
    <s v="CO2e and Base Measure"/>
    <n v="100"/>
    <n v="100"/>
    <n v="0.03"/>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5-01T00:00:00"/>
    <s v="FY21"/>
    <s v="t"/>
    <n v="0"/>
    <n v="0"/>
    <n v="3.4099999999999998E-2"/>
    <n v="3.4099999999999998E-2"/>
    <n v="0"/>
    <n v="0"/>
    <n v="31"/>
    <n v="31"/>
    <n v="0"/>
    <n v="0"/>
    <n v="100"/>
    <s v="Consolidation"/>
    <s v="CO2e and Base Measure"/>
    <n v="100"/>
    <n v="100"/>
    <n v="0.03"/>
    <m/>
    <m/>
    <m/>
    <m/>
    <m/>
    <m/>
    <m/>
    <m/>
    <m/>
    <m/>
    <m/>
    <m/>
    <m/>
    <s v="AUD"/>
    <s v="13634188Waste Recycled - Paper and Cardboard [t]"/>
    <n v="13634188"/>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0-12-01T00:00:00"/>
    <s v="FY21"/>
    <s v="t"/>
    <n v="0"/>
    <n v="9.9000000000000005E-2"/>
    <n v="0"/>
    <n v="9.9000000000000005E-2"/>
    <n v="0"/>
    <n v="2"/>
    <n v="0"/>
    <n v="2"/>
    <n v="0"/>
    <n v="100"/>
    <n v="0"/>
    <s v="Consolidation"/>
    <s v="CO2e and Base Measure"/>
    <n v="100"/>
    <n v="100"/>
    <n v="0.1"/>
    <m/>
    <m/>
    <m/>
    <m/>
    <m/>
    <n v="0.12870000000000001"/>
    <m/>
    <n v="0.12870000000000001"/>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1-01T00:00:00"/>
    <s v="FY21"/>
    <s v="t"/>
    <n v="0"/>
    <n v="0.14849999999999999"/>
    <n v="0"/>
    <n v="0.14849999999999999"/>
    <n v="0"/>
    <n v="3"/>
    <n v="0"/>
    <n v="3"/>
    <n v="0"/>
    <n v="100"/>
    <n v="0"/>
    <s v="Consolidation"/>
    <s v="CO2e and Base Measure"/>
    <n v="100"/>
    <n v="100"/>
    <n v="0.15"/>
    <m/>
    <m/>
    <m/>
    <m/>
    <m/>
    <n v="0.19309999999999999"/>
    <m/>
    <n v="0.19309999999999999"/>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2-01T00:00:00"/>
    <s v="FY21"/>
    <s v="t"/>
    <n v="0"/>
    <n v="0.19800000000000001"/>
    <n v="0"/>
    <n v="0.19800000000000001"/>
    <n v="0"/>
    <n v="4"/>
    <n v="0"/>
    <n v="4"/>
    <n v="0"/>
    <n v="100"/>
    <n v="0"/>
    <s v="Consolidation"/>
    <s v="CO2e and Base Measure"/>
    <n v="100"/>
    <n v="100"/>
    <n v="0.2"/>
    <m/>
    <m/>
    <m/>
    <m/>
    <m/>
    <n v="0.25740000000000002"/>
    <m/>
    <n v="0.25740000000000002"/>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3-01T00:00:00"/>
    <s v="FY21"/>
    <s v="t"/>
    <n v="0"/>
    <n v="0.2475"/>
    <n v="0"/>
    <n v="0.2475"/>
    <n v="0"/>
    <n v="5"/>
    <n v="0"/>
    <n v="5"/>
    <n v="0"/>
    <n v="100"/>
    <n v="0"/>
    <s v="Consolidation"/>
    <s v="CO2e and Base Measure"/>
    <n v="100"/>
    <n v="100"/>
    <n v="0.25"/>
    <m/>
    <m/>
    <m/>
    <m/>
    <m/>
    <n v="0.32179999999999997"/>
    <m/>
    <n v="0.32179999999999997"/>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4-01T00:00:00"/>
    <s v="FY21"/>
    <s v="t"/>
    <n v="0"/>
    <n v="0"/>
    <n v="0.17399999999999999"/>
    <n v="0.17399999999999999"/>
    <n v="0"/>
    <n v="0"/>
    <n v="30"/>
    <n v="30"/>
    <n v="0"/>
    <n v="0"/>
    <n v="100"/>
    <s v="Consolidation"/>
    <s v="CO2e and Base Measure"/>
    <n v="100"/>
    <n v="100"/>
    <n v="0.17"/>
    <m/>
    <m/>
    <m/>
    <m/>
    <m/>
    <n v="0.22620000000000001"/>
    <m/>
    <n v="0.22620000000000001"/>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5-01T00:00:00"/>
    <s v="FY21"/>
    <s v="t"/>
    <n v="0"/>
    <n v="0"/>
    <n v="0.17979999999999999"/>
    <n v="0.17979999999999999"/>
    <n v="0"/>
    <n v="0"/>
    <n v="31"/>
    <n v="31"/>
    <n v="0"/>
    <n v="0"/>
    <n v="100"/>
    <s v="Consolidation"/>
    <s v="CO2e and Base Measure"/>
    <n v="100"/>
    <n v="100"/>
    <n v="0.18"/>
    <m/>
    <m/>
    <m/>
    <m/>
    <m/>
    <n v="0.23369999999999999"/>
    <m/>
    <n v="0.23369999999999999"/>
    <m/>
    <m/>
    <m/>
    <m/>
    <m/>
    <s v="AUD"/>
    <s v="13634189Waste - General [t] - Scope 3"/>
    <n v="13634189"/>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0-12-01T00:00:00"/>
    <s v="FY21"/>
    <s v="t"/>
    <n v="0"/>
    <n v="2.75E-2"/>
    <n v="0"/>
    <n v="2.75E-2"/>
    <n v="0"/>
    <n v="1"/>
    <n v="0"/>
    <n v="1"/>
    <n v="0"/>
    <n v="100"/>
    <n v="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1-01T00:00:00"/>
    <s v="FY21"/>
    <s v="t"/>
    <n v="0"/>
    <n v="0"/>
    <n v="2.7900000000000001E-2"/>
    <n v="2.7900000000000001E-2"/>
    <n v="0"/>
    <n v="0"/>
    <n v="31"/>
    <n v="31"/>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2-01T00:00:00"/>
    <s v="FY21"/>
    <s v="t"/>
    <n v="0"/>
    <n v="0"/>
    <n v="2.52E-2"/>
    <n v="2.52E-2"/>
    <n v="0"/>
    <n v="0"/>
    <n v="28"/>
    <n v="28"/>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3-01T00:00:00"/>
    <s v="FY21"/>
    <s v="t"/>
    <n v="0"/>
    <n v="0"/>
    <n v="2.7900000000000001E-2"/>
    <n v="2.7900000000000001E-2"/>
    <n v="0"/>
    <n v="0"/>
    <n v="31"/>
    <n v="31"/>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4-01T00:00:00"/>
    <s v="FY21"/>
    <s v="t"/>
    <n v="0"/>
    <n v="0"/>
    <n v="2.7E-2"/>
    <n v="2.7E-2"/>
    <n v="0"/>
    <n v="0"/>
    <n v="30"/>
    <n v="30"/>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5-01T00:00:00"/>
    <s v="FY21"/>
    <s v="t"/>
    <n v="0"/>
    <n v="0"/>
    <n v="2.7900000000000001E-2"/>
    <n v="2.7900000000000001E-2"/>
    <n v="0"/>
    <n v="0"/>
    <n v="31"/>
    <n v="31"/>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07-01T00:00:00"/>
    <s v="FY21"/>
    <s v="t"/>
    <n v="0.17499999999999999"/>
    <n v="0"/>
    <n v="0"/>
    <n v="0.17499999999999999"/>
    <n v="2"/>
    <n v="0"/>
    <n v="0"/>
    <n v="2"/>
    <n v="100"/>
    <n v="0"/>
    <n v="0"/>
    <s v="Consolidation"/>
    <s v="CO2e and Base Measure"/>
    <n v="100"/>
    <n v="100"/>
    <n v="0.18"/>
    <m/>
    <m/>
    <m/>
    <m/>
    <m/>
    <n v="0.22750000000000001"/>
    <m/>
    <n v="0.22750000000000001"/>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08-01T00:00:00"/>
    <s v="FY21"/>
    <s v="t"/>
    <n v="0.5"/>
    <n v="0"/>
    <n v="0"/>
    <n v="0.5"/>
    <n v="2"/>
    <n v="0"/>
    <n v="0"/>
    <n v="2"/>
    <n v="100"/>
    <n v="0"/>
    <n v="0"/>
    <s v="Consolidation"/>
    <s v="CO2e and Base Measure"/>
    <n v="100"/>
    <n v="100"/>
    <n v="0.5"/>
    <m/>
    <m/>
    <m/>
    <m/>
    <m/>
    <n v="0.65"/>
    <m/>
    <n v="0.65"/>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09-01T00:00:00"/>
    <s v="FY21"/>
    <s v="t"/>
    <n v="0.56999999999999995"/>
    <n v="0"/>
    <n v="0"/>
    <n v="0.56999999999999995"/>
    <n v="3"/>
    <n v="0"/>
    <n v="0"/>
    <n v="3"/>
    <n v="100"/>
    <n v="0"/>
    <n v="0"/>
    <s v="Consolidation"/>
    <s v="CO2e and Base Measure"/>
    <n v="100"/>
    <n v="100"/>
    <n v="0.56999999999999995"/>
    <m/>
    <m/>
    <m/>
    <m/>
    <m/>
    <n v="0.74099999999999999"/>
    <m/>
    <n v="0.74099999999999999"/>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10-01T00:00:00"/>
    <s v="FY21"/>
    <s v="t"/>
    <n v="0.25"/>
    <n v="0"/>
    <n v="0"/>
    <n v="0.25"/>
    <n v="2"/>
    <n v="0"/>
    <n v="0"/>
    <n v="2"/>
    <n v="100"/>
    <n v="0"/>
    <n v="0"/>
    <s v="Consolidation"/>
    <s v="CO2e and Base Measure"/>
    <n v="100"/>
    <n v="100"/>
    <n v="0.25"/>
    <m/>
    <m/>
    <m/>
    <m/>
    <m/>
    <n v="0.32500000000000001"/>
    <m/>
    <n v="0.32500000000000001"/>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11-01T00:00:00"/>
    <s v="FY21"/>
    <s v="t"/>
    <n v="0.2"/>
    <n v="0"/>
    <n v="0"/>
    <n v="0.2"/>
    <n v="2"/>
    <n v="0"/>
    <n v="0"/>
    <n v="2"/>
    <n v="100"/>
    <n v="0"/>
    <n v="0"/>
    <s v="Consolidation"/>
    <s v="CO2e and Base Measure"/>
    <n v="100"/>
    <n v="100"/>
    <n v="0.2"/>
    <m/>
    <m/>
    <m/>
    <m/>
    <m/>
    <n v="0.26"/>
    <m/>
    <n v="0.26"/>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359Waste - General [t] - Scope 3"/>
    <n v="13564359"/>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3-01T00:00:00"/>
    <s v="FY21"/>
    <s v="t"/>
    <n v="0"/>
    <n v="0.20250000000000001"/>
    <n v="0"/>
    <n v="0.20250000000000001"/>
    <n v="0"/>
    <n v="3"/>
    <n v="0"/>
    <n v="3"/>
    <n v="0"/>
    <n v="100"/>
    <n v="0"/>
    <s v="Consolidation"/>
    <s v="CO2e and Base Measure"/>
    <n v="100"/>
    <n v="100"/>
    <n v="0.2"/>
    <m/>
    <m/>
    <m/>
    <m/>
    <m/>
    <n v="0.26329999999999998"/>
    <m/>
    <n v="0.26329999999999998"/>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91Waste - General [t] - Scope 3"/>
    <n v="13634191"/>
  </r>
  <r>
    <d v="2019-07-01T00:00:00"/>
    <d v="2021-06-30T00:00:00"/>
    <s v="Telstra"/>
    <s v="NETWORK"/>
    <s v="Network - InfraCo"/>
    <s v="QLD"/>
    <s v="Australia"/>
    <s v="Port Douglas"/>
    <s v="MOSSMAN EXCHANGE __ RESOURCE CE"/>
    <n v="423030123700"/>
    <s v="Waste"/>
    <x v="1"/>
    <x v="4"/>
    <s v="Account"/>
    <s v="Remondis Asbestos"/>
    <m/>
    <s v="423030123700_WASBESTOS"/>
    <s v="ASBESTOS"/>
    <s v="Remondis"/>
    <m/>
    <m/>
    <d v="2020-10-01T00:00:00"/>
    <d v="2020-09-01T00:00:00"/>
    <s v="FY21"/>
    <s v="t"/>
    <n v="2.5000000000000001E-2"/>
    <n v="0"/>
    <n v="0"/>
    <n v="2.5000000000000001E-2"/>
    <n v="1"/>
    <n v="0"/>
    <n v="0"/>
    <n v="1"/>
    <n v="100"/>
    <n v="0"/>
    <n v="0"/>
    <s v="Consolidation"/>
    <s v="CO2e and Base Measure"/>
    <n v="100"/>
    <n v="100"/>
    <n v="0.03"/>
    <m/>
    <m/>
    <m/>
    <m/>
    <m/>
    <n v="0.03"/>
    <m/>
    <n v="0.03"/>
    <m/>
    <m/>
    <m/>
    <m/>
    <m/>
    <s v="AUD"/>
    <s v="13564190Waste - Construction and Demolition [t]"/>
    <n v="13564190"/>
  </r>
  <r>
    <d v="2019-07-01T00:00:00"/>
    <d v="2021-06-30T00:00:00"/>
    <s v="Telstra"/>
    <s v="NETWORK"/>
    <s v="Network - InfraCo"/>
    <s v="QLD"/>
    <s v="Australia"/>
    <s v="Port Douglas"/>
    <s v="MOSSMAN EXCHANGE __ RESOURCE CE"/>
    <n v="423030123700"/>
    <s v="Waste"/>
    <x v="1"/>
    <x v="4"/>
    <s v="Account"/>
    <s v="Remondis Asbestos"/>
    <m/>
    <s v="423030123700_WASBESTOS"/>
    <s v="ASBESTOS"/>
    <s v="Remondis"/>
    <m/>
    <m/>
    <d v="2020-10-01T00:00:00"/>
    <d v="2020-10-01T00:00:00"/>
    <s v="FY21"/>
    <s v="t"/>
    <n v="0"/>
    <n v="0"/>
    <n v="8.9999999999999998E-4"/>
    <n v="8.9999999999999998E-4"/>
    <n v="0"/>
    <n v="0"/>
    <n v="1"/>
    <n v="1"/>
    <n v="0"/>
    <n v="0"/>
    <n v="100"/>
    <s v="Consolidation"/>
    <s v="CO2e and Base Measure"/>
    <n v="100"/>
    <n v="100"/>
    <n v="0"/>
    <m/>
    <m/>
    <m/>
    <m/>
    <m/>
    <n v="1.1000000000000001E-3"/>
    <m/>
    <n v="1.1000000000000001E-3"/>
    <m/>
    <m/>
    <m/>
    <m/>
    <m/>
    <s v="AUD"/>
    <s v="13564190Waste - Construction and Demolition [t]"/>
    <n v="13564190"/>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07-01T00:00:00"/>
    <s v="FY21"/>
    <s v="t"/>
    <n v="0"/>
    <n v="0.1444"/>
    <n v="0"/>
    <n v="0.1444"/>
    <n v="0"/>
    <n v="2"/>
    <n v="0"/>
    <n v="2"/>
    <n v="0"/>
    <n v="100"/>
    <n v="0"/>
    <s v="Consolidation"/>
    <s v="CO2e and Base Measure"/>
    <n v="100"/>
    <n v="100"/>
    <n v="0.14000000000000001"/>
    <m/>
    <m/>
    <m/>
    <m/>
    <m/>
    <n v="0.18770000000000001"/>
    <m/>
    <n v="0.18770000000000001"/>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08-01T00:00:00"/>
    <s v="FY21"/>
    <s v="t"/>
    <n v="0"/>
    <n v="0.1444"/>
    <n v="0"/>
    <n v="0.1444"/>
    <n v="0"/>
    <n v="2"/>
    <n v="0"/>
    <n v="2"/>
    <n v="0"/>
    <n v="100"/>
    <n v="0"/>
    <s v="Consolidation"/>
    <s v="CO2e and Base Measure"/>
    <n v="100"/>
    <n v="100"/>
    <n v="0.14000000000000001"/>
    <m/>
    <m/>
    <m/>
    <m/>
    <m/>
    <n v="0.18770000000000001"/>
    <m/>
    <n v="0.18770000000000001"/>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09-01T00:00:00"/>
    <s v="FY21"/>
    <s v="t"/>
    <n v="0"/>
    <n v="0.1444"/>
    <n v="0"/>
    <n v="0.1444"/>
    <n v="0"/>
    <n v="2"/>
    <n v="0"/>
    <n v="2"/>
    <n v="0"/>
    <n v="100"/>
    <n v="0"/>
    <s v="Consolidation"/>
    <s v="CO2e and Base Measure"/>
    <n v="100"/>
    <n v="100"/>
    <n v="0.14000000000000001"/>
    <m/>
    <m/>
    <m/>
    <m/>
    <m/>
    <n v="0.18770000000000001"/>
    <m/>
    <n v="0.18770000000000001"/>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10-01T00:00:00"/>
    <s v="FY21"/>
    <s v="t"/>
    <n v="0"/>
    <n v="0.21659999999999999"/>
    <n v="0"/>
    <n v="0.21659999999999999"/>
    <n v="0"/>
    <n v="3"/>
    <n v="0"/>
    <n v="3"/>
    <n v="0"/>
    <n v="100"/>
    <n v="0"/>
    <s v="Consolidation"/>
    <s v="CO2e and Base Measure"/>
    <n v="100"/>
    <n v="100"/>
    <n v="0.22"/>
    <m/>
    <m/>
    <m/>
    <m/>
    <m/>
    <n v="0.28160000000000002"/>
    <m/>
    <n v="0.28160000000000002"/>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1-01-01T00:00:00"/>
    <s v="FY21"/>
    <s v="t"/>
    <n v="0"/>
    <n v="0"/>
    <n v="4.7000000000000002E-3"/>
    <n v="4.7000000000000002E-3"/>
    <n v="0"/>
    <n v="0"/>
    <n v="1"/>
    <n v="1"/>
    <n v="0"/>
    <n v="0"/>
    <n v="100"/>
    <s v="Consolidation"/>
    <s v="CO2e and Base Measure"/>
    <n v="100"/>
    <n v="100"/>
    <n v="0"/>
    <m/>
    <m/>
    <m/>
    <m/>
    <m/>
    <n v="6.1000000000000004E-3"/>
    <m/>
    <n v="6.1000000000000004E-3"/>
    <m/>
    <m/>
    <m/>
    <m/>
    <m/>
    <s v="AUD"/>
    <s v="13564191Waste - General [t] - Scope 3"/>
    <n v="13564191"/>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12-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815Waste Recycled - Cardboard [t]"/>
    <n v="13564815"/>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07-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08-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09-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10-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11-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12-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1-02-01T00:00:00"/>
    <s v="FY21"/>
    <s v="t"/>
    <n v="0"/>
    <n v="0.26"/>
    <n v="0"/>
    <n v="0.26"/>
    <n v="0"/>
    <n v="1"/>
    <n v="0"/>
    <n v="1"/>
    <n v="0"/>
    <n v="100"/>
    <n v="0"/>
    <s v="Consolidation"/>
    <s v="CO2e and Base Measure"/>
    <n v="100"/>
    <n v="100"/>
    <n v="0.26"/>
    <m/>
    <m/>
    <m/>
    <m/>
    <m/>
    <n v="0.33800000000000002"/>
    <m/>
    <n v="0.33800000000000002"/>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1-03-01T00:00:00"/>
    <s v="FY21"/>
    <s v="t"/>
    <n v="0"/>
    <n v="0"/>
    <n v="1.17E-2"/>
    <n v="1.17E-2"/>
    <n v="0"/>
    <n v="0"/>
    <n v="1"/>
    <n v="1"/>
    <n v="0"/>
    <n v="0"/>
    <n v="100"/>
    <s v="Consolidation"/>
    <s v="CO2e and Base Measure"/>
    <n v="100"/>
    <n v="100"/>
    <n v="0.01"/>
    <m/>
    <m/>
    <m/>
    <m/>
    <m/>
    <n v="1.52E-2"/>
    <m/>
    <n v="1.52E-2"/>
    <m/>
    <m/>
    <m/>
    <m/>
    <m/>
    <s v="AUD"/>
    <s v="13564816Waste - General [t] - Scope 3"/>
    <n v="13564816"/>
  </r>
  <r>
    <d v="2019-07-01T00:00:00"/>
    <d v="2021-06-30T00:00:00"/>
    <s v="Telstra"/>
    <s v="NETWORK"/>
    <s v="Network - InfraCo"/>
    <s v="SA"/>
    <s v="Australia"/>
    <s v="Mount Barker"/>
    <s v="MOUNT BARKER EXCHANGE"/>
    <n v="423030555600"/>
    <s v="Waste"/>
    <x v="1"/>
    <x v="2"/>
    <s v="Account"/>
    <s v="Remondis Cardboard - Loose - Landfill"/>
    <m/>
    <s v="423030555600_WCARDBOAR"/>
    <s v="CARDBOARD - LOOSE - LANDFILL"/>
    <s v="Remondis"/>
    <m/>
    <d v="2020-07-28T00:00:00"/>
    <d v="2020-08-01T00:00:00"/>
    <d v="2020-07-01T00:00:00"/>
    <s v="FY21"/>
    <s v="t"/>
    <n v="0"/>
    <n v="6.3E-2"/>
    <n v="0"/>
    <n v="6.3E-2"/>
    <n v="0"/>
    <n v="1"/>
    <n v="0"/>
    <n v="1"/>
    <n v="0"/>
    <n v="100"/>
    <n v="0"/>
    <s v="Consolidation"/>
    <s v="CO2e and Base Measure"/>
    <n v="100"/>
    <n v="100"/>
    <n v="0.06"/>
    <m/>
    <m/>
    <m/>
    <m/>
    <m/>
    <n v="8.1900000000000001E-2"/>
    <m/>
    <n v="8.1900000000000001E-2"/>
    <m/>
    <m/>
    <m/>
    <m/>
    <m/>
    <s v="AUD"/>
    <s v="13614409Waste - General [t] - Scope 3"/>
    <n v="13614409"/>
  </r>
  <r>
    <d v="2019-07-01T00:00:00"/>
    <d v="2021-06-30T00:00:00"/>
    <s v="Telstra"/>
    <s v="NETWORK"/>
    <s v="Network - InfraCo"/>
    <s v="SA"/>
    <s v="Australia"/>
    <s v="Mount Barker"/>
    <s v="MOUNT BARKER EXCHANGE"/>
    <n v="423030555600"/>
    <s v="Waste"/>
    <x v="1"/>
    <x v="2"/>
    <s v="Account"/>
    <s v="Remondis Cardboard - Loose - Landfill"/>
    <m/>
    <s v="423030555600_WCARDBOAR"/>
    <s v="CARDBOARD - LOOSE - LANDFILL"/>
    <s v="Remondis"/>
    <m/>
    <d v="2020-07-28T00:00:00"/>
    <d v="2020-08-01T00:00:00"/>
    <d v="2020-08-01T00:00:00"/>
    <s v="FY21"/>
    <s v="t"/>
    <n v="0"/>
    <n v="0"/>
    <n v="2.0999999999999999E-3"/>
    <n v="2.0999999999999999E-3"/>
    <n v="0"/>
    <n v="0"/>
    <n v="1"/>
    <n v="1"/>
    <n v="0"/>
    <n v="0"/>
    <n v="100"/>
    <s v="Consolidation"/>
    <s v="CO2e and Base Measure"/>
    <n v="100"/>
    <n v="100"/>
    <n v="0"/>
    <m/>
    <m/>
    <m/>
    <m/>
    <m/>
    <n v="2.7000000000000001E-3"/>
    <m/>
    <n v="2.7000000000000001E-3"/>
    <m/>
    <m/>
    <m/>
    <m/>
    <m/>
    <s v="AUD"/>
    <s v="13614409Waste - General [t] - Scope 3"/>
    <n v="13614409"/>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0-07-01T00:00:00"/>
    <s v="FY21"/>
    <s v="t"/>
    <n v="2.7E-2"/>
    <n v="0"/>
    <n v="0"/>
    <n v="2.7E-2"/>
    <n v="1"/>
    <n v="0"/>
    <n v="0"/>
    <n v="1"/>
    <n v="100"/>
    <n v="0"/>
    <n v="0"/>
    <s v="Consolidation"/>
    <s v="CO2e and Base Measure"/>
    <n v="100"/>
    <n v="100"/>
    <n v="0.03"/>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0-09-01T00:00:00"/>
    <s v="FY21"/>
    <s v="t"/>
    <n v="2E-3"/>
    <n v="0"/>
    <n v="0"/>
    <n v="2E-3"/>
    <n v="1"/>
    <n v="0"/>
    <n v="0"/>
    <n v="1"/>
    <n v="100"/>
    <n v="0"/>
    <n v="0"/>
    <s v="Consolidation"/>
    <s v="CO2e and Base Measure"/>
    <n v="100"/>
    <n v="100"/>
    <n v="0"/>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0-10-01T00:00:00"/>
    <s v="FY21"/>
    <s v="t"/>
    <n v="2.7E-2"/>
    <n v="0"/>
    <n v="0"/>
    <n v="2.7E-2"/>
    <n v="1"/>
    <n v="0"/>
    <n v="0"/>
    <n v="1"/>
    <n v="100"/>
    <n v="0"/>
    <n v="0"/>
    <s v="Consolidation"/>
    <s v="CO2e and Base Measure"/>
    <n v="100"/>
    <n v="100"/>
    <n v="0.03"/>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0-12-01T00:00:00"/>
    <s v="FY21"/>
    <s v="t"/>
    <n v="2.7E-2"/>
    <n v="0"/>
    <n v="0"/>
    <n v="2.7E-2"/>
    <n v="1"/>
    <n v="0"/>
    <n v="0"/>
    <n v="1"/>
    <n v="100"/>
    <n v="0"/>
    <n v="0"/>
    <s v="Consolidation"/>
    <s v="CO2e and Base Measure"/>
    <n v="100"/>
    <n v="100"/>
    <n v="0.03"/>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1-01T00:00:00"/>
    <s v="FY21"/>
    <s v="t"/>
    <n v="0"/>
    <n v="0"/>
    <n v="1.55E-2"/>
    <n v="1.55E-2"/>
    <n v="0"/>
    <n v="0"/>
    <n v="31"/>
    <n v="31"/>
    <n v="0"/>
    <n v="0"/>
    <n v="100"/>
    <s v="Consolidation"/>
    <s v="CO2e and Base Measure"/>
    <n v="100"/>
    <n v="100"/>
    <n v="0.02"/>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2-01T00:00:00"/>
    <s v="FY21"/>
    <s v="t"/>
    <n v="0"/>
    <n v="0"/>
    <n v="1.4E-2"/>
    <n v="1.4E-2"/>
    <n v="0"/>
    <n v="0"/>
    <n v="28"/>
    <n v="28"/>
    <n v="0"/>
    <n v="0"/>
    <n v="100"/>
    <s v="Consolidation"/>
    <s v="CO2e and Base Measure"/>
    <n v="100"/>
    <n v="100"/>
    <n v="0.01"/>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3-01T00:00:00"/>
    <s v="FY21"/>
    <s v="t"/>
    <n v="0"/>
    <n v="0"/>
    <n v="1.55E-2"/>
    <n v="1.55E-2"/>
    <n v="0"/>
    <n v="0"/>
    <n v="31"/>
    <n v="31"/>
    <n v="0"/>
    <n v="0"/>
    <n v="100"/>
    <s v="Consolidation"/>
    <s v="CO2e and Base Measure"/>
    <n v="100"/>
    <n v="100"/>
    <n v="0.02"/>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5-01T00:00:00"/>
    <s v="FY21"/>
    <s v="t"/>
    <n v="0"/>
    <n v="0"/>
    <n v="1.55E-2"/>
    <n v="1.55E-2"/>
    <n v="0"/>
    <n v="0"/>
    <n v="31"/>
    <n v="31"/>
    <n v="0"/>
    <n v="0"/>
    <n v="100"/>
    <s v="Consolidation"/>
    <s v="CO2e and Base Measure"/>
    <n v="100"/>
    <n v="100"/>
    <n v="0.02"/>
    <m/>
    <m/>
    <m/>
    <m/>
    <m/>
    <m/>
    <m/>
    <m/>
    <m/>
    <m/>
    <m/>
    <m/>
    <m/>
    <s v="AUD"/>
    <s v="13566434Waste Recycled - Paper and Cardboard [t]"/>
    <n v="13566434"/>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07-01T00:00:00"/>
    <s v="FY21"/>
    <s v="t"/>
    <n v="0.17"/>
    <n v="0"/>
    <n v="0"/>
    <n v="0.17"/>
    <n v="1"/>
    <n v="0"/>
    <n v="0"/>
    <n v="1"/>
    <n v="100"/>
    <n v="0"/>
    <n v="0"/>
    <s v="Consolidation"/>
    <s v="CO2e and Base Measure"/>
    <n v="100"/>
    <n v="100"/>
    <n v="0.17"/>
    <m/>
    <m/>
    <m/>
    <m/>
    <m/>
    <n v="0.221"/>
    <m/>
    <n v="0.221"/>
    <m/>
    <m/>
    <m/>
    <m/>
    <m/>
    <s v="AUD"/>
    <s v="13565002Waste - General [t] - Scope 3"/>
    <n v="13565002"/>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08-01T00:00:00"/>
    <s v="FY21"/>
    <s v="t"/>
    <n v="0.245"/>
    <n v="0"/>
    <n v="0"/>
    <n v="0.245"/>
    <n v="2"/>
    <n v="0"/>
    <n v="0"/>
    <n v="2"/>
    <n v="100"/>
    <n v="0"/>
    <n v="0"/>
    <s v="Consolidation"/>
    <s v="CO2e and Base Measure"/>
    <n v="100"/>
    <n v="100"/>
    <n v="0.25"/>
    <m/>
    <m/>
    <m/>
    <m/>
    <m/>
    <n v="0.31850000000000001"/>
    <m/>
    <n v="0.31850000000000001"/>
    <m/>
    <m/>
    <m/>
    <m/>
    <m/>
    <s v="AUD"/>
    <s v="13565002Waste - General [t] - Scope 3"/>
    <n v="13565002"/>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10-01T00:00:00"/>
    <s v="FY21"/>
    <s v="t"/>
    <n v="0.12"/>
    <n v="0"/>
    <n v="0"/>
    <n v="0.12"/>
    <n v="1"/>
    <n v="0"/>
    <n v="0"/>
    <n v="1"/>
    <n v="100"/>
    <n v="0"/>
    <n v="0"/>
    <s v="Consolidation"/>
    <s v="CO2e and Base Measure"/>
    <n v="100"/>
    <n v="100"/>
    <n v="0.12"/>
    <m/>
    <m/>
    <m/>
    <m/>
    <m/>
    <n v="0.156"/>
    <m/>
    <n v="0.156"/>
    <m/>
    <m/>
    <m/>
    <m/>
    <m/>
    <s v="AUD"/>
    <s v="13565002Waste - General [t] - Scope 3"/>
    <n v="13565002"/>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11-01T00:00:00"/>
    <s v="FY21"/>
    <s v="t"/>
    <n v="0.12"/>
    <n v="0"/>
    <n v="0"/>
    <n v="0.12"/>
    <n v="1"/>
    <n v="0"/>
    <n v="0"/>
    <n v="1"/>
    <n v="100"/>
    <n v="0"/>
    <n v="0"/>
    <s v="Consolidation"/>
    <s v="CO2e and Base Measure"/>
    <n v="100"/>
    <n v="100"/>
    <n v="0.12"/>
    <m/>
    <m/>
    <m/>
    <m/>
    <m/>
    <n v="0.156"/>
    <m/>
    <n v="0.156"/>
    <m/>
    <m/>
    <m/>
    <m/>
    <m/>
    <s v="AUD"/>
    <s v="13565002Waste - General [t] - Scope 3"/>
    <n v="13565002"/>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12-01T00:00:00"/>
    <s v="FY21"/>
    <s v="t"/>
    <n v="0"/>
    <n v="0"/>
    <n v="6.6E-3"/>
    <n v="6.6E-3"/>
    <n v="0"/>
    <n v="0"/>
    <n v="1"/>
    <n v="1"/>
    <n v="0"/>
    <n v="0"/>
    <n v="100"/>
    <s v="Consolidation"/>
    <s v="CO2e and Base Measure"/>
    <n v="100"/>
    <n v="100"/>
    <n v="0.01"/>
    <m/>
    <m/>
    <m/>
    <m/>
    <m/>
    <n v="8.6E-3"/>
    <m/>
    <n v="8.6E-3"/>
    <m/>
    <m/>
    <m/>
    <m/>
    <m/>
    <s v="AUD"/>
    <s v="13565002Waste - General [t] - Scope 3"/>
    <n v="1356500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0-12-01T00:00:00"/>
    <s v="FY21"/>
    <s v="t"/>
    <n v="0.27200000000000002"/>
    <n v="0"/>
    <n v="0"/>
    <n v="0.27200000000000002"/>
    <n v="1"/>
    <n v="0"/>
    <n v="0"/>
    <n v="1"/>
    <n v="100"/>
    <n v="0"/>
    <n v="0"/>
    <s v="Consolidation"/>
    <s v="CO2e and Base Measure"/>
    <n v="100"/>
    <n v="100"/>
    <n v="0.27"/>
    <m/>
    <m/>
    <m/>
    <m/>
    <m/>
    <n v="0.35360000000000003"/>
    <m/>
    <n v="0.35360000000000003"/>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1-01T00:00:00"/>
    <s v="FY21"/>
    <s v="t"/>
    <n v="0.47"/>
    <n v="0"/>
    <n v="0"/>
    <n v="0.47"/>
    <n v="1"/>
    <n v="0"/>
    <n v="0"/>
    <n v="1"/>
    <n v="100"/>
    <n v="0"/>
    <n v="0"/>
    <s v="Consolidation"/>
    <s v="CO2e and Base Measure"/>
    <n v="100"/>
    <n v="100"/>
    <n v="0.47"/>
    <m/>
    <m/>
    <m/>
    <m/>
    <m/>
    <n v="0.61099999999999999"/>
    <m/>
    <n v="0.61099999999999999"/>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2-01T00:00:00"/>
    <s v="FY21"/>
    <s v="t"/>
    <n v="0.27100000000000002"/>
    <n v="0"/>
    <n v="0"/>
    <n v="0.27100000000000002"/>
    <n v="1"/>
    <n v="0"/>
    <n v="0"/>
    <n v="1"/>
    <n v="100"/>
    <n v="0"/>
    <n v="0"/>
    <s v="Consolidation"/>
    <s v="CO2e and Base Measure"/>
    <n v="100"/>
    <n v="100"/>
    <n v="0.27"/>
    <m/>
    <m/>
    <m/>
    <m/>
    <m/>
    <n v="0.3523"/>
    <m/>
    <n v="0.3523"/>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3-01T00:00:00"/>
    <s v="FY21"/>
    <s v="t"/>
    <n v="0.21199999999999999"/>
    <n v="0"/>
    <n v="0"/>
    <n v="0.21199999999999999"/>
    <n v="1"/>
    <n v="0"/>
    <n v="0"/>
    <n v="1"/>
    <n v="100"/>
    <n v="0"/>
    <n v="0"/>
    <s v="Consolidation"/>
    <s v="CO2e and Base Measure"/>
    <n v="100"/>
    <n v="100"/>
    <n v="0.21"/>
    <m/>
    <m/>
    <m/>
    <m/>
    <m/>
    <n v="0.27560000000000001"/>
    <m/>
    <n v="0.27560000000000001"/>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4-01T00:00:00"/>
    <s v="FY21"/>
    <s v="t"/>
    <n v="0"/>
    <n v="0"/>
    <n v="0.30599999999999999"/>
    <n v="0.30599999999999999"/>
    <n v="0"/>
    <n v="0"/>
    <n v="30"/>
    <n v="30"/>
    <n v="0"/>
    <n v="0"/>
    <n v="100"/>
    <s v="Consolidation"/>
    <s v="CO2e and Base Measure"/>
    <n v="100"/>
    <n v="100"/>
    <n v="0.31"/>
    <m/>
    <m/>
    <m/>
    <m/>
    <m/>
    <n v="0.39779999999999999"/>
    <m/>
    <n v="0.39779999999999999"/>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5-01T00:00:00"/>
    <s v="FY21"/>
    <s v="t"/>
    <n v="0"/>
    <n v="0"/>
    <n v="0.31619999999999998"/>
    <n v="0.31619999999999998"/>
    <n v="0"/>
    <n v="0"/>
    <n v="31"/>
    <n v="31"/>
    <n v="0"/>
    <n v="0"/>
    <n v="100"/>
    <s v="Consolidation"/>
    <s v="CO2e and Base Measure"/>
    <n v="100"/>
    <n v="100"/>
    <n v="0.32"/>
    <m/>
    <m/>
    <m/>
    <m/>
    <m/>
    <n v="0.41110000000000002"/>
    <m/>
    <n v="0.41110000000000002"/>
    <m/>
    <m/>
    <m/>
    <m/>
    <m/>
    <s v="AUD"/>
    <s v="13634192Waste - General [t] - Scope 3"/>
    <n v="13634192"/>
  </r>
  <r>
    <d v="2019-07-01T00:00:00"/>
    <d v="2021-06-30T00:00:00"/>
    <s v="Telstra"/>
    <s v="NETWORK"/>
    <s v="Network - InfraCo"/>
    <s v="SA"/>
    <s v="Australia"/>
    <s v="Mount Gambier"/>
    <s v="MOUNT GAMBIER EXCHANGE"/>
    <n v="423030645200"/>
    <s v="Recycled Waste"/>
    <x v="0"/>
    <x v="0"/>
    <s v="Account"/>
    <s v="Remondis Cardboard - Loose - Recycled"/>
    <m/>
    <s v="423030645200_RCARDBOAR"/>
    <s v="CARDBOARD - LOOSE - RECYCLED"/>
    <s v="Remondis"/>
    <m/>
    <m/>
    <d v="2020-11-01T00:00:00"/>
    <d v="2020-10-01T00:00:00"/>
    <s v="FY21"/>
    <s v="t"/>
    <n v="0"/>
    <n v="3.15E-2"/>
    <n v="0"/>
    <n v="3.15E-2"/>
    <n v="0"/>
    <n v="1"/>
    <n v="0"/>
    <n v="1"/>
    <n v="0"/>
    <n v="100"/>
    <n v="0"/>
    <s v="Consolidation"/>
    <s v="CO2e and Base Measure"/>
    <n v="100"/>
    <n v="100"/>
    <n v="0.03"/>
    <m/>
    <m/>
    <m/>
    <m/>
    <m/>
    <m/>
    <n v="0"/>
    <m/>
    <m/>
    <m/>
    <m/>
    <m/>
    <m/>
    <s v="AUD"/>
    <s v="13565040Waste Recycled - Cardboard [t]"/>
    <n v="13565040"/>
  </r>
  <r>
    <d v="2019-07-01T00:00:00"/>
    <d v="2021-06-30T00:00:00"/>
    <s v="Telstra"/>
    <s v="NETWORK"/>
    <s v="Network - InfraCo"/>
    <s v="SA"/>
    <s v="Australia"/>
    <s v="Mount Gambier"/>
    <s v="MOUNT GAMBIER EXCHANGE"/>
    <n v="423030645200"/>
    <s v="Recycled Waste"/>
    <x v="0"/>
    <x v="0"/>
    <s v="Account"/>
    <s v="Remondis Cardboard - Loose - Recycled"/>
    <m/>
    <s v="423030645200_RCARDBOAR"/>
    <s v="CARDBOARD - LOOSE - RECYCLED"/>
    <s v="Remondis"/>
    <m/>
    <m/>
    <d v="2020-11-01T00:00:00"/>
    <d v="2020-11-01T00:00:00"/>
    <s v="FY21"/>
    <s v="t"/>
    <n v="0"/>
    <n v="0"/>
    <n v="1E-3"/>
    <n v="1E-3"/>
    <n v="0"/>
    <n v="0"/>
    <n v="1"/>
    <n v="1"/>
    <n v="0"/>
    <n v="0"/>
    <n v="100"/>
    <s v="Consolidation"/>
    <s v="CO2e and Base Measure"/>
    <n v="100"/>
    <n v="100"/>
    <n v="0"/>
    <m/>
    <m/>
    <m/>
    <m/>
    <m/>
    <m/>
    <n v="0"/>
    <m/>
    <m/>
    <m/>
    <m/>
    <m/>
    <m/>
    <s v="AUD"/>
    <s v="13565040Waste Recycled - Cardboard [t]"/>
    <n v="13565040"/>
  </r>
  <r>
    <d v="2019-07-01T00:00:00"/>
    <d v="2021-06-30T00:00:00"/>
    <s v="Telstra"/>
    <s v="NETWORK"/>
    <s v="Network - InfraCo"/>
    <s v="SA"/>
    <s v="Australia"/>
    <s v="Mount Gambier"/>
    <s v="MOUNT GAMBIER EXCHANGE"/>
    <n v="423030645200"/>
    <s v="Waste"/>
    <x v="1"/>
    <x v="2"/>
    <s v="Account"/>
    <s v="Remondis General Waste"/>
    <m/>
    <s v="423030645200_WGENERALW"/>
    <s v="GENERAL WASTE"/>
    <s v="Remondis"/>
    <m/>
    <m/>
    <d v="2020-11-01T00:00:00"/>
    <d v="2020-10-01T00:00:00"/>
    <s v="FY21"/>
    <s v="t"/>
    <n v="0"/>
    <n v="0.22750000000000001"/>
    <n v="0"/>
    <n v="0.22750000000000001"/>
    <n v="0"/>
    <n v="1"/>
    <n v="0"/>
    <n v="1"/>
    <n v="0"/>
    <n v="100"/>
    <n v="0"/>
    <s v="Consolidation"/>
    <s v="CO2e and Base Measure"/>
    <n v="100"/>
    <n v="100"/>
    <n v="0.23"/>
    <m/>
    <m/>
    <m/>
    <m/>
    <m/>
    <n v="0.29580000000000001"/>
    <m/>
    <n v="0.29580000000000001"/>
    <m/>
    <m/>
    <m/>
    <m/>
    <m/>
    <s v="AUD"/>
    <s v="13565042Waste - General [t] - Scope 3"/>
    <n v="13565042"/>
  </r>
  <r>
    <d v="2019-07-01T00:00:00"/>
    <d v="2021-06-30T00:00:00"/>
    <s v="Telstra"/>
    <s v="NETWORK"/>
    <s v="Network - InfraCo"/>
    <s v="SA"/>
    <s v="Australia"/>
    <s v="Mount Gambier"/>
    <s v="MOUNT GAMBIER EXCHANGE"/>
    <n v="423030645200"/>
    <s v="Waste"/>
    <x v="1"/>
    <x v="2"/>
    <s v="Account"/>
    <s v="Remondis General Waste"/>
    <m/>
    <s v="423030645200_WGENERALW"/>
    <s v="GENERAL WASTE"/>
    <s v="Remondis"/>
    <m/>
    <m/>
    <d v="2020-11-01T00:00:00"/>
    <d v="2020-11-01T00:00:00"/>
    <s v="FY21"/>
    <s v="t"/>
    <n v="0"/>
    <n v="0"/>
    <n v="7.6E-3"/>
    <n v="7.6E-3"/>
    <n v="0"/>
    <n v="0"/>
    <n v="1"/>
    <n v="1"/>
    <n v="0"/>
    <n v="0"/>
    <n v="100"/>
    <s v="Consolidation"/>
    <s v="CO2e and Base Measure"/>
    <n v="100"/>
    <n v="100"/>
    <n v="0.01"/>
    <m/>
    <m/>
    <m/>
    <m/>
    <m/>
    <n v="9.9000000000000008E-3"/>
    <m/>
    <n v="9.9000000000000008E-3"/>
    <m/>
    <m/>
    <m/>
    <m/>
    <m/>
    <s v="AUD"/>
    <s v="13565042Waste - General [t] - Scope 3"/>
    <n v="13565042"/>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0-09-01T00:00:00"/>
    <s v="FY21"/>
    <s v="t"/>
    <n v="2E-3"/>
    <n v="0"/>
    <n v="0"/>
    <n v="2E-3"/>
    <n v="1"/>
    <n v="0"/>
    <n v="0"/>
    <n v="1"/>
    <n v="100"/>
    <n v="0"/>
    <n v="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0-10-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0-11-01T00:00:00"/>
    <s v="FY21"/>
    <s v="t"/>
    <n v="0"/>
    <n v="0"/>
    <n v="3.0000000000000001E-3"/>
    <n v="3.0000000000000001E-3"/>
    <n v="0"/>
    <n v="0"/>
    <n v="30"/>
    <n v="30"/>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0-12-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1-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2-01T00:00:00"/>
    <s v="FY21"/>
    <s v="t"/>
    <n v="0"/>
    <n v="0"/>
    <n v="2.8E-3"/>
    <n v="2.8E-3"/>
    <n v="0"/>
    <n v="0"/>
    <n v="28"/>
    <n v="28"/>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3-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4-01T00:00:00"/>
    <s v="FY21"/>
    <s v="t"/>
    <n v="0"/>
    <n v="0"/>
    <n v="3.0000000000000001E-3"/>
    <n v="3.0000000000000001E-3"/>
    <n v="0"/>
    <n v="0"/>
    <n v="30"/>
    <n v="30"/>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5-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1-01T00:00:00"/>
    <s v="FY21"/>
    <s v="t"/>
    <n v="7.0000000000000007E-2"/>
    <n v="0"/>
    <n v="0"/>
    <n v="7.0000000000000007E-2"/>
    <n v="1"/>
    <n v="0"/>
    <n v="0"/>
    <n v="1"/>
    <n v="100"/>
    <n v="0"/>
    <n v="0"/>
    <s v="Consolidation"/>
    <s v="CO2e and Base Measure"/>
    <n v="100"/>
    <n v="100"/>
    <n v="7.0000000000000007E-2"/>
    <m/>
    <m/>
    <m/>
    <m/>
    <m/>
    <m/>
    <m/>
    <m/>
    <m/>
    <m/>
    <m/>
    <m/>
    <m/>
    <s v="AUD"/>
    <s v="13634489Waste Recycled - Paper and Cardboard [t]"/>
    <n v="13634489"/>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2-01T00:00:00"/>
    <s v="FY21"/>
    <s v="t"/>
    <n v="0"/>
    <n v="0"/>
    <n v="6.4399999999999999E-2"/>
    <n v="6.4399999999999999E-2"/>
    <n v="0"/>
    <n v="0"/>
    <n v="28"/>
    <n v="28"/>
    <n v="0"/>
    <n v="0"/>
    <n v="100"/>
    <s v="Consolidation"/>
    <s v="CO2e and Base Measure"/>
    <n v="100"/>
    <n v="100"/>
    <n v="0.06"/>
    <m/>
    <m/>
    <m/>
    <m/>
    <m/>
    <m/>
    <m/>
    <m/>
    <m/>
    <m/>
    <m/>
    <m/>
    <m/>
    <s v="AUD"/>
    <s v="13634489Waste Recycled - Paper and Cardboard [t]"/>
    <n v="13634489"/>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3-01T00:00:00"/>
    <s v="FY21"/>
    <s v="t"/>
    <n v="0"/>
    <n v="0"/>
    <n v="7.1300000000000002E-2"/>
    <n v="7.1300000000000002E-2"/>
    <n v="0"/>
    <n v="0"/>
    <n v="31"/>
    <n v="31"/>
    <n v="0"/>
    <n v="0"/>
    <n v="100"/>
    <s v="Consolidation"/>
    <s v="CO2e and Base Measure"/>
    <n v="100"/>
    <n v="100"/>
    <n v="7.0000000000000007E-2"/>
    <m/>
    <m/>
    <m/>
    <m/>
    <m/>
    <m/>
    <m/>
    <m/>
    <m/>
    <m/>
    <m/>
    <m/>
    <m/>
    <s v="AUD"/>
    <s v="13634489Waste Recycled - Paper and Cardboard [t]"/>
    <n v="13634489"/>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4-01T00:00:00"/>
    <s v="FY21"/>
    <s v="t"/>
    <n v="0"/>
    <n v="0"/>
    <n v="6.9000000000000006E-2"/>
    <n v="6.9000000000000006E-2"/>
    <n v="0"/>
    <n v="0"/>
    <n v="30"/>
    <n v="30"/>
    <n v="0"/>
    <n v="0"/>
    <n v="100"/>
    <s v="Consolidation"/>
    <s v="CO2e and Base Measure"/>
    <n v="100"/>
    <n v="100"/>
    <n v="7.0000000000000007E-2"/>
    <m/>
    <m/>
    <m/>
    <m/>
    <m/>
    <m/>
    <m/>
    <m/>
    <m/>
    <m/>
    <m/>
    <m/>
    <m/>
    <s v="AUD"/>
    <s v="13634489Waste Recycled - Paper and Cardboard [t]"/>
    <n v="13634489"/>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5-01T00:00:00"/>
    <s v="FY21"/>
    <s v="t"/>
    <n v="0"/>
    <n v="0"/>
    <n v="7.1300000000000002E-2"/>
    <n v="7.1300000000000002E-2"/>
    <n v="0"/>
    <n v="0"/>
    <n v="31"/>
    <n v="31"/>
    <n v="0"/>
    <n v="0"/>
    <n v="100"/>
    <s v="Consolidation"/>
    <s v="CO2e and Base Measure"/>
    <n v="100"/>
    <n v="100"/>
    <n v="7.0000000000000007E-2"/>
    <m/>
    <m/>
    <m/>
    <m/>
    <m/>
    <m/>
    <m/>
    <m/>
    <m/>
    <m/>
    <m/>
    <m/>
    <m/>
    <s v="AUD"/>
    <s v="13634489Waste Recycled - Paper and Cardboard [t]"/>
    <n v="13634489"/>
  </r>
  <r>
    <d v="2019-07-01T00:00:00"/>
    <d v="2021-06-30T00:00:00"/>
    <s v="Telstra"/>
    <s v="NETWORK"/>
    <s v="Network - InfraCo"/>
    <s v="SA"/>
    <s v="Australia"/>
    <s v="Mount Gambier"/>
    <s v="MOUNT GAMBIER EXCHANGE"/>
    <n v="423030645200"/>
    <s v="Waste"/>
    <x v="1"/>
    <x v="2"/>
    <s v="Account"/>
    <s v="CLEANAWAY General"/>
    <m/>
    <s v="12460_Landfill_General"/>
    <s v="General"/>
    <s v="Cleanaway"/>
    <m/>
    <d v="2021-02-04T00:00:00"/>
    <m/>
    <d v="2021-02-01T00:00:00"/>
    <s v="FY21"/>
    <s v="t"/>
    <n v="0.35799999999999998"/>
    <n v="0"/>
    <n v="0"/>
    <n v="0.35799999999999998"/>
    <n v="1"/>
    <n v="0"/>
    <n v="0"/>
    <n v="1"/>
    <n v="100"/>
    <n v="0"/>
    <n v="0"/>
    <s v="Consolidation"/>
    <s v="CO2e and Base Measure"/>
    <n v="100"/>
    <n v="100"/>
    <n v="0.36"/>
    <m/>
    <m/>
    <m/>
    <m/>
    <m/>
    <n v="0.46539999999999998"/>
    <m/>
    <n v="0.46539999999999998"/>
    <m/>
    <m/>
    <m/>
    <m/>
    <m/>
    <s v="AUD"/>
    <s v="13639921Waste - General [t] - Scope 3"/>
    <n v="13639921"/>
  </r>
  <r>
    <d v="2019-07-01T00:00:00"/>
    <d v="2021-06-30T00:00:00"/>
    <s v="Telstra"/>
    <s v="NETWORK"/>
    <s v="Network - InfraCo"/>
    <s v="SA"/>
    <s v="Australia"/>
    <s v="Mount Gambier"/>
    <s v="MOUNT GAMBIER EXCHANGE"/>
    <n v="423030645200"/>
    <s v="Waste"/>
    <x v="1"/>
    <x v="2"/>
    <s v="Account"/>
    <s v="CLEANAWAY General"/>
    <m/>
    <s v="12460_Landfill_General"/>
    <s v="General"/>
    <s v="Cleanaway"/>
    <m/>
    <d v="2021-02-04T00:00:00"/>
    <m/>
    <d v="2021-03-01T00:00:00"/>
    <s v="FY21"/>
    <s v="t"/>
    <n v="0"/>
    <n v="0"/>
    <n v="0.4123"/>
    <n v="0.4123"/>
    <n v="0"/>
    <n v="0"/>
    <n v="31"/>
    <n v="31"/>
    <n v="0"/>
    <n v="0"/>
    <n v="100"/>
    <s v="Consolidation"/>
    <s v="CO2e and Base Measure"/>
    <n v="100"/>
    <n v="100"/>
    <n v="0.41"/>
    <m/>
    <m/>
    <m/>
    <m/>
    <m/>
    <n v="0.53600000000000003"/>
    <m/>
    <n v="0.53600000000000003"/>
    <m/>
    <m/>
    <m/>
    <m/>
    <m/>
    <s v="AUD"/>
    <s v="13639921Waste - General [t] - Scope 3"/>
    <n v="13639921"/>
  </r>
  <r>
    <d v="2019-07-01T00:00:00"/>
    <d v="2021-06-30T00:00:00"/>
    <s v="Telstra"/>
    <s v="NETWORK"/>
    <s v="Network - InfraCo"/>
    <s v="SA"/>
    <s v="Australia"/>
    <s v="Mount Gambier"/>
    <s v="MOUNT GAMBIER EXCHANGE"/>
    <n v="423030645200"/>
    <s v="Waste"/>
    <x v="1"/>
    <x v="2"/>
    <s v="Account"/>
    <s v="CLEANAWAY General"/>
    <m/>
    <s v="12460_Landfill_General"/>
    <s v="General"/>
    <s v="Cleanaway"/>
    <m/>
    <d v="2021-02-04T00:00:00"/>
    <m/>
    <d v="2021-04-01T00:00:00"/>
    <s v="FY21"/>
    <s v="t"/>
    <n v="0"/>
    <n v="0"/>
    <n v="0.39900000000000002"/>
    <n v="0.39900000000000002"/>
    <n v="0"/>
    <n v="0"/>
    <n v="30"/>
    <n v="30"/>
    <n v="0"/>
    <n v="0"/>
    <n v="100"/>
    <s v="Consolidation"/>
    <s v="CO2e and Base Measure"/>
    <n v="100"/>
    <n v="100"/>
    <n v="0.4"/>
    <m/>
    <m/>
    <m/>
    <m/>
    <m/>
    <n v="0.51870000000000005"/>
    <m/>
    <n v="0.51870000000000005"/>
    <m/>
    <m/>
    <m/>
    <m/>
    <m/>
    <s v="AUD"/>
    <s v="13639921Waste - General [t] - Scope 3"/>
    <n v="13639921"/>
  </r>
  <r>
    <d v="2019-07-01T00:00:00"/>
    <d v="2021-06-30T00:00:00"/>
    <s v="Telstra"/>
    <s v="NETWORK"/>
    <s v="Network - InfraCo"/>
    <s v="SA"/>
    <s v="Australia"/>
    <s v="Mount Gambier"/>
    <s v="MOUNT GAMBIER EXCHANGE"/>
    <n v="423030645200"/>
    <s v="Waste"/>
    <x v="1"/>
    <x v="2"/>
    <s v="Account"/>
    <s v="CLEANAWAY General"/>
    <m/>
    <s v="12460_Landfill_General"/>
    <s v="General"/>
    <s v="Cleanaway"/>
    <m/>
    <d v="2021-02-04T00:00:00"/>
    <m/>
    <d v="2021-05-01T00:00:00"/>
    <s v="FY21"/>
    <s v="t"/>
    <n v="0"/>
    <n v="0"/>
    <n v="0.4123"/>
    <n v="0.4123"/>
    <n v="0"/>
    <n v="0"/>
    <n v="31"/>
    <n v="31"/>
    <n v="0"/>
    <n v="0"/>
    <n v="100"/>
    <s v="Consolidation"/>
    <s v="CO2e and Base Measure"/>
    <n v="100"/>
    <n v="100"/>
    <n v="0.41"/>
    <m/>
    <m/>
    <m/>
    <m/>
    <m/>
    <n v="0.53600000000000003"/>
    <m/>
    <n v="0.53600000000000003"/>
    <m/>
    <m/>
    <m/>
    <m/>
    <m/>
    <s v="AUD"/>
    <s v="13639921Waste - General [t] - Scope 3"/>
    <n v="13639921"/>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07-01T00:00:00"/>
    <s v="FY21"/>
    <s v="t"/>
    <n v="0.03"/>
    <n v="2.3300000000000001E-2"/>
    <n v="0"/>
    <n v="5.33E-2"/>
    <n v="1"/>
    <n v="1"/>
    <n v="0"/>
    <n v="2"/>
    <n v="56.28"/>
    <n v="43.71"/>
    <n v="0"/>
    <s v="Consolidation"/>
    <s v="CO2e and Base Measure"/>
    <n v="100"/>
    <n v="100"/>
    <n v="0.05"/>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08-01T00:00:00"/>
    <s v="FY21"/>
    <s v="t"/>
    <n v="2E-3"/>
    <n v="0"/>
    <n v="0"/>
    <n v="2E-3"/>
    <n v="2"/>
    <n v="0"/>
    <n v="0"/>
    <n v="2"/>
    <n v="100"/>
    <n v="0"/>
    <n v="0"/>
    <s v="Consolidation"/>
    <s v="CO2e and Base Measure"/>
    <n v="100"/>
    <n v="100"/>
    <n v="0"/>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09-01T00:00:00"/>
    <s v="FY21"/>
    <s v="t"/>
    <n v="2E-3"/>
    <n v="0"/>
    <n v="0"/>
    <n v="2E-3"/>
    <n v="2"/>
    <n v="0"/>
    <n v="0"/>
    <n v="2"/>
    <n v="100"/>
    <n v="0"/>
    <n v="0"/>
    <s v="Consolidation"/>
    <s v="CO2e and Base Measure"/>
    <n v="100"/>
    <n v="100"/>
    <n v="0"/>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10-01T00:00:00"/>
    <s v="FY21"/>
    <s v="t"/>
    <n v="0"/>
    <n v="2.3300000000000001E-2"/>
    <n v="0"/>
    <n v="2.3300000000000001E-2"/>
    <n v="0"/>
    <n v="1"/>
    <n v="0"/>
    <n v="1"/>
    <n v="0"/>
    <n v="100"/>
    <n v="0"/>
    <s v="Consolidation"/>
    <s v="CO2e and Base Measure"/>
    <n v="100"/>
    <n v="100"/>
    <n v="0.02"/>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11-01T00:00:00"/>
    <s v="FY21"/>
    <s v="t"/>
    <n v="1E-3"/>
    <n v="0"/>
    <n v="0"/>
    <n v="1E-3"/>
    <n v="1"/>
    <n v="0"/>
    <n v="0"/>
    <n v="1"/>
    <n v="100"/>
    <n v="0"/>
    <n v="0"/>
    <s v="Consolidation"/>
    <s v="CO2e and Base Measure"/>
    <n v="100"/>
    <n v="100"/>
    <n v="0"/>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1-01-01T00:00:00"/>
    <s v="FY21"/>
    <s v="t"/>
    <n v="0"/>
    <n v="0"/>
    <n v="8.0000000000000004E-4"/>
    <n v="8.0000000000000004E-4"/>
    <n v="0"/>
    <n v="0"/>
    <n v="1"/>
    <n v="1"/>
    <n v="0"/>
    <n v="0"/>
    <n v="100"/>
    <s v="Consolidation"/>
    <s v="CO2e and Base Measure"/>
    <n v="100"/>
    <n v="100"/>
    <n v="0"/>
    <m/>
    <m/>
    <m/>
    <m/>
    <m/>
    <m/>
    <n v="0"/>
    <m/>
    <m/>
    <m/>
    <m/>
    <m/>
    <m/>
    <s v="AUD"/>
    <s v="13564203Waste Recycled - Cardboard [t]"/>
    <n v="13564203"/>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07-01T00:00:00"/>
    <s v="FY21"/>
    <s v="t"/>
    <n v="0.24"/>
    <n v="0"/>
    <n v="0"/>
    <n v="0.24"/>
    <n v="2"/>
    <n v="0"/>
    <n v="0"/>
    <n v="2"/>
    <n v="100"/>
    <n v="0"/>
    <n v="0"/>
    <s v="Consolidation"/>
    <s v="CO2e and Base Measure"/>
    <n v="100"/>
    <n v="100"/>
    <n v="0.24"/>
    <m/>
    <m/>
    <m/>
    <m/>
    <m/>
    <n v="0.312"/>
    <m/>
    <n v="0.312"/>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08-01T00:00:00"/>
    <s v="FY21"/>
    <s v="t"/>
    <n v="0.185"/>
    <n v="0"/>
    <n v="0"/>
    <n v="0.185"/>
    <n v="2"/>
    <n v="0"/>
    <n v="0"/>
    <n v="2"/>
    <n v="100"/>
    <n v="0"/>
    <n v="0"/>
    <s v="Consolidation"/>
    <s v="CO2e and Base Measure"/>
    <n v="100"/>
    <n v="100"/>
    <n v="0.19"/>
    <m/>
    <m/>
    <m/>
    <m/>
    <m/>
    <n v="0.24049999999999999"/>
    <m/>
    <n v="0.24049999999999999"/>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09-01T00:00:00"/>
    <s v="FY21"/>
    <s v="t"/>
    <n v="0.42499999999999999"/>
    <n v="0"/>
    <n v="0"/>
    <n v="0.42499999999999999"/>
    <n v="3"/>
    <n v="0"/>
    <n v="0"/>
    <n v="3"/>
    <n v="100"/>
    <n v="0"/>
    <n v="0"/>
    <s v="Consolidation"/>
    <s v="CO2e and Base Measure"/>
    <n v="100"/>
    <n v="100"/>
    <n v="0.43"/>
    <m/>
    <m/>
    <m/>
    <m/>
    <m/>
    <n v="0.55249999999999999"/>
    <m/>
    <n v="0.55249999999999999"/>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10-01T00:00:00"/>
    <s v="FY21"/>
    <s v="t"/>
    <n v="2.5000000000000001E-2"/>
    <n v="0.19500000000000001"/>
    <n v="0"/>
    <n v="0.22"/>
    <n v="1"/>
    <n v="1"/>
    <n v="0"/>
    <n v="2"/>
    <n v="11.36"/>
    <n v="88.63"/>
    <n v="0"/>
    <s v="Consolidation"/>
    <s v="CO2e and Base Measure"/>
    <n v="100"/>
    <n v="100"/>
    <n v="0.22"/>
    <m/>
    <m/>
    <m/>
    <m/>
    <m/>
    <n v="0.28599999999999998"/>
    <m/>
    <n v="0.28599999999999998"/>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11-01T00:00:00"/>
    <s v="FY21"/>
    <s v="t"/>
    <n v="0.44500000000000001"/>
    <n v="0"/>
    <n v="0"/>
    <n v="0.44500000000000001"/>
    <n v="2"/>
    <n v="0"/>
    <n v="0"/>
    <n v="2"/>
    <n v="100"/>
    <n v="0"/>
    <n v="0"/>
    <s v="Consolidation"/>
    <s v="CO2e and Base Measure"/>
    <n v="100"/>
    <n v="100"/>
    <n v="0.45"/>
    <m/>
    <m/>
    <m/>
    <m/>
    <m/>
    <n v="0.57850000000000001"/>
    <m/>
    <n v="0.57850000000000001"/>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204Waste - General [t] - Scope 3"/>
    <n v="13564204"/>
  </r>
  <r>
    <d v="2019-07-01T00:00:00"/>
    <d v="2021-06-30T00:00:00"/>
    <s v="Telstra"/>
    <s v="NETWORK"/>
    <s v="Network - InfraCo"/>
    <s v="QLD"/>
    <s v="Australia"/>
    <s v="Mount Gravatt"/>
    <s v="MOUNT GRAVATT EXCHANGE"/>
    <n v="423030134700"/>
    <s v="Waste"/>
    <x v="1"/>
    <x v="2"/>
    <s v="Account"/>
    <s v="CLEANAWAY General"/>
    <m/>
    <s v="57049_Landfill_General"/>
    <s v="General"/>
    <s v="Cleanaway"/>
    <m/>
    <d v="2021-02-17T00:00:00"/>
    <m/>
    <d v="2021-02-01T00:00:00"/>
    <s v="FY21"/>
    <s v="t"/>
    <n v="0"/>
    <n v="2.9700000000000001E-2"/>
    <n v="0"/>
    <n v="2.9700000000000001E-2"/>
    <n v="0"/>
    <n v="1"/>
    <n v="0"/>
    <n v="1"/>
    <n v="0"/>
    <n v="100"/>
    <n v="0"/>
    <s v="Consolidation"/>
    <s v="CO2e and Base Measure"/>
    <n v="100"/>
    <n v="100"/>
    <n v="0.03"/>
    <m/>
    <m/>
    <m/>
    <m/>
    <m/>
    <n v="3.8600000000000002E-2"/>
    <m/>
    <n v="3.8600000000000002E-2"/>
    <m/>
    <m/>
    <m/>
    <m/>
    <m/>
    <s v="AUD"/>
    <s v="13641200Waste - General [t] - Scope 3"/>
    <n v="13641200"/>
  </r>
  <r>
    <d v="2019-07-01T00:00:00"/>
    <d v="2021-06-30T00:00:00"/>
    <s v="Telstra"/>
    <s v="NETWORK"/>
    <s v="Network - InfraCo"/>
    <s v="QLD"/>
    <s v="Australia"/>
    <s v="Mount Gravatt"/>
    <s v="MOUNT GRAVATT EXCHANGE"/>
    <n v="423030134700"/>
    <s v="Waste"/>
    <x v="1"/>
    <x v="2"/>
    <s v="Account"/>
    <s v="CLEANAWAY General"/>
    <m/>
    <s v="57049_Landfill_General"/>
    <s v="General"/>
    <s v="Cleanaway"/>
    <m/>
    <d v="2021-02-17T00:00:00"/>
    <m/>
    <d v="2021-03-01T00:00:00"/>
    <s v="FY21"/>
    <s v="t"/>
    <n v="0.19"/>
    <n v="2.9700000000000001E-2"/>
    <n v="0"/>
    <n v="0.21970000000000001"/>
    <n v="1"/>
    <n v="1"/>
    <n v="0"/>
    <n v="2"/>
    <n v="86.48"/>
    <n v="13.51"/>
    <n v="0"/>
    <s v="Consolidation"/>
    <s v="CO2e and Base Measure"/>
    <n v="100"/>
    <n v="100"/>
    <n v="0.22"/>
    <m/>
    <m/>
    <m/>
    <m/>
    <m/>
    <n v="0.28560000000000002"/>
    <m/>
    <n v="0.28560000000000002"/>
    <m/>
    <m/>
    <m/>
    <m/>
    <m/>
    <s v="AUD"/>
    <s v="13641200Waste - General [t] - Scope 3"/>
    <n v="13641200"/>
  </r>
  <r>
    <d v="2019-07-01T00:00:00"/>
    <d v="2021-06-30T00:00:00"/>
    <s v="Telstra"/>
    <s v="NETWORK"/>
    <s v="Network - InfraCo"/>
    <s v="QLD"/>
    <s v="Australia"/>
    <s v="Mount Gravatt"/>
    <s v="MOUNT GRAVATT EXCHANGE"/>
    <n v="423030134700"/>
    <s v="Waste"/>
    <x v="1"/>
    <x v="2"/>
    <s v="Account"/>
    <s v="CLEANAWAY General"/>
    <m/>
    <s v="57049_Landfill_General"/>
    <s v="General"/>
    <s v="Cleanaway"/>
    <m/>
    <d v="2021-02-17T00:00:00"/>
    <m/>
    <d v="2021-04-01T00:00:00"/>
    <s v="FY21"/>
    <s v="t"/>
    <n v="0"/>
    <n v="0"/>
    <n v="0.129"/>
    <n v="0.129"/>
    <n v="0"/>
    <n v="0"/>
    <n v="30"/>
    <n v="30"/>
    <n v="0"/>
    <n v="0"/>
    <n v="100"/>
    <s v="Consolidation"/>
    <s v="CO2e and Base Measure"/>
    <n v="100"/>
    <n v="100"/>
    <n v="0.13"/>
    <m/>
    <m/>
    <m/>
    <m/>
    <m/>
    <n v="0.16769999999999999"/>
    <m/>
    <n v="0.16769999999999999"/>
    <m/>
    <m/>
    <m/>
    <m/>
    <m/>
    <s v="AUD"/>
    <s v="13641200Waste - General [t] - Scope 3"/>
    <n v="13641200"/>
  </r>
  <r>
    <d v="2019-07-01T00:00:00"/>
    <d v="2021-06-30T00:00:00"/>
    <s v="Telstra"/>
    <s v="NETWORK"/>
    <s v="Network - InfraCo"/>
    <s v="QLD"/>
    <s v="Australia"/>
    <s v="Mount Gravatt"/>
    <s v="MOUNT GRAVATT EXCHANGE"/>
    <n v="423030134700"/>
    <s v="Waste"/>
    <x v="1"/>
    <x v="2"/>
    <s v="Account"/>
    <s v="CLEANAWAY General"/>
    <m/>
    <s v="57049_Landfill_General"/>
    <s v="General"/>
    <s v="Cleanaway"/>
    <m/>
    <d v="2021-02-17T00:00:00"/>
    <m/>
    <d v="2021-05-01T00:00:00"/>
    <s v="FY21"/>
    <s v="t"/>
    <n v="0"/>
    <n v="0"/>
    <n v="0.1333"/>
    <n v="0.1333"/>
    <n v="0"/>
    <n v="0"/>
    <n v="31"/>
    <n v="31"/>
    <n v="0"/>
    <n v="0"/>
    <n v="100"/>
    <s v="Consolidation"/>
    <s v="CO2e and Base Measure"/>
    <n v="100"/>
    <n v="100"/>
    <n v="0.13"/>
    <m/>
    <m/>
    <m/>
    <m/>
    <m/>
    <n v="0.17330000000000001"/>
    <m/>
    <n v="0.17330000000000001"/>
    <m/>
    <m/>
    <m/>
    <m/>
    <m/>
    <s v="AUD"/>
    <s v="13641200Waste - General [t] - Scope 3"/>
    <n v="13641200"/>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08-01T00:00:00"/>
    <s v="FY21"/>
    <s v="t"/>
    <n v="0.23"/>
    <n v="0"/>
    <n v="0"/>
    <n v="0.23"/>
    <n v="1"/>
    <n v="0"/>
    <n v="0"/>
    <n v="1"/>
    <n v="100"/>
    <n v="0"/>
    <n v="0"/>
    <s v="Consolidation"/>
    <s v="CO2e and Base Measure"/>
    <n v="100"/>
    <n v="100"/>
    <n v="0.23"/>
    <m/>
    <m/>
    <m/>
    <m/>
    <m/>
    <n v="0.29899999999999999"/>
    <m/>
    <n v="0.29899999999999999"/>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09-01T00:00:00"/>
    <s v="FY21"/>
    <s v="t"/>
    <n v="0.01"/>
    <n v="0"/>
    <n v="0"/>
    <n v="0.01"/>
    <n v="1"/>
    <n v="0"/>
    <n v="0"/>
    <n v="1"/>
    <n v="100"/>
    <n v="0"/>
    <n v="0"/>
    <s v="Consolidation"/>
    <s v="CO2e and Base Measure"/>
    <n v="100"/>
    <n v="100"/>
    <n v="0.01"/>
    <m/>
    <m/>
    <m/>
    <m/>
    <m/>
    <n v="1.2999999999999999E-2"/>
    <m/>
    <n v="1.2999999999999999E-2"/>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10-01T00:00:00"/>
    <s v="FY21"/>
    <s v="t"/>
    <n v="0.22"/>
    <n v="0"/>
    <n v="0"/>
    <n v="0.22"/>
    <n v="1"/>
    <n v="0"/>
    <n v="0"/>
    <n v="1"/>
    <n v="100"/>
    <n v="0"/>
    <n v="0"/>
    <s v="Consolidation"/>
    <s v="CO2e and Base Measure"/>
    <n v="100"/>
    <n v="100"/>
    <n v="0.22"/>
    <m/>
    <m/>
    <m/>
    <m/>
    <m/>
    <n v="0.28599999999999998"/>
    <m/>
    <n v="0.28599999999999998"/>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11-01T00:00:00"/>
    <s v="FY21"/>
    <s v="t"/>
    <n v="0.1"/>
    <n v="0"/>
    <n v="0"/>
    <n v="0.1"/>
    <n v="1"/>
    <n v="0"/>
    <n v="0"/>
    <n v="1"/>
    <n v="100"/>
    <n v="0"/>
    <n v="0"/>
    <s v="Consolidation"/>
    <s v="CO2e and Base Measure"/>
    <n v="100"/>
    <n v="100"/>
    <n v="0.1"/>
    <m/>
    <m/>
    <m/>
    <m/>
    <m/>
    <n v="0.13"/>
    <m/>
    <n v="0.13"/>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12-01T00:00:00"/>
    <s v="FY21"/>
    <s v="t"/>
    <n v="0"/>
    <n v="0"/>
    <n v="5.4000000000000003E-3"/>
    <n v="5.4000000000000003E-3"/>
    <n v="0"/>
    <n v="0"/>
    <n v="1"/>
    <n v="1"/>
    <n v="0"/>
    <n v="0"/>
    <n v="100"/>
    <s v="Consolidation"/>
    <s v="CO2e and Base Measure"/>
    <n v="100"/>
    <n v="100"/>
    <n v="0.01"/>
    <m/>
    <m/>
    <m/>
    <m/>
    <m/>
    <n v="7.0000000000000001E-3"/>
    <m/>
    <n v="7.0000000000000001E-3"/>
    <m/>
    <m/>
    <m/>
    <m/>
    <m/>
    <s v="AUD"/>
    <s v="13565342Waste - General [t] - Scope 3"/>
    <n v="13565342"/>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0-12-01T00:00:00"/>
    <s v="FY21"/>
    <s v="t"/>
    <n v="0.1"/>
    <n v="0"/>
    <n v="0"/>
    <n v="0.1"/>
    <n v="1"/>
    <n v="0"/>
    <n v="0"/>
    <n v="1"/>
    <n v="100"/>
    <n v="0"/>
    <n v="0"/>
    <s v="Consolidation"/>
    <s v="CO2e and Base Measure"/>
    <n v="100"/>
    <n v="100"/>
    <n v="0.1"/>
    <m/>
    <m/>
    <m/>
    <m/>
    <m/>
    <n v="0.13"/>
    <m/>
    <n v="0.13"/>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1-01T00:00:00"/>
    <s v="FY21"/>
    <s v="t"/>
    <n v="0.32200000000000001"/>
    <n v="0"/>
    <n v="0"/>
    <n v="0.32200000000000001"/>
    <n v="1"/>
    <n v="0"/>
    <n v="0"/>
    <n v="1"/>
    <n v="100"/>
    <n v="0"/>
    <n v="0"/>
    <s v="Consolidation"/>
    <s v="CO2e and Base Measure"/>
    <n v="100"/>
    <n v="100"/>
    <n v="0.32"/>
    <m/>
    <m/>
    <m/>
    <m/>
    <m/>
    <n v="0.41860000000000003"/>
    <m/>
    <n v="0.41860000000000003"/>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2-01T00:00:00"/>
    <s v="FY21"/>
    <s v="t"/>
    <n v="0.11899999999999999"/>
    <n v="0"/>
    <n v="0"/>
    <n v="0.11899999999999999"/>
    <n v="1"/>
    <n v="0"/>
    <n v="0"/>
    <n v="1"/>
    <n v="100"/>
    <n v="0"/>
    <n v="0"/>
    <s v="Consolidation"/>
    <s v="CO2e and Base Measure"/>
    <n v="100"/>
    <n v="100"/>
    <n v="0.12"/>
    <m/>
    <m/>
    <m/>
    <m/>
    <m/>
    <n v="0.1547"/>
    <m/>
    <n v="0.1547"/>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3-01T00:00:00"/>
    <s v="FY21"/>
    <s v="t"/>
    <n v="0.189"/>
    <n v="0"/>
    <n v="0"/>
    <n v="0.189"/>
    <n v="1"/>
    <n v="0"/>
    <n v="0"/>
    <n v="1"/>
    <n v="100"/>
    <n v="0"/>
    <n v="0"/>
    <s v="Consolidation"/>
    <s v="CO2e and Base Measure"/>
    <n v="100"/>
    <n v="100"/>
    <n v="0.19"/>
    <m/>
    <m/>
    <m/>
    <m/>
    <m/>
    <n v="0.2457"/>
    <m/>
    <n v="0.2457"/>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4-01T00:00:00"/>
    <s v="FY21"/>
    <s v="t"/>
    <n v="0"/>
    <n v="0"/>
    <n v="0.183"/>
    <n v="0.183"/>
    <n v="0"/>
    <n v="0"/>
    <n v="30"/>
    <n v="30"/>
    <n v="0"/>
    <n v="0"/>
    <n v="100"/>
    <s v="Consolidation"/>
    <s v="CO2e and Base Measure"/>
    <n v="100"/>
    <n v="100"/>
    <n v="0.18"/>
    <m/>
    <m/>
    <m/>
    <m/>
    <m/>
    <n v="0.2379"/>
    <m/>
    <n v="0.2379"/>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5-01T00:00:00"/>
    <s v="FY21"/>
    <s v="t"/>
    <n v="0"/>
    <n v="0"/>
    <n v="0.18909999999999999"/>
    <n v="0.18909999999999999"/>
    <n v="0"/>
    <n v="0"/>
    <n v="31"/>
    <n v="31"/>
    <n v="0"/>
    <n v="0"/>
    <n v="100"/>
    <s v="Consolidation"/>
    <s v="CO2e and Base Measure"/>
    <n v="100"/>
    <n v="100"/>
    <n v="0.19"/>
    <m/>
    <m/>
    <m/>
    <m/>
    <m/>
    <n v="0.24579999999999999"/>
    <m/>
    <n v="0.24579999999999999"/>
    <m/>
    <m/>
    <m/>
    <m/>
    <m/>
    <s v="AUD"/>
    <s v="13634193Waste - General [t] - Scope 3"/>
    <n v="13634193"/>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08-01T00:00:00"/>
    <s v="FY21"/>
    <s v="t"/>
    <n v="0"/>
    <n v="0.58499999999999996"/>
    <n v="0"/>
    <n v="0.58499999999999996"/>
    <n v="0"/>
    <n v="3"/>
    <n v="0"/>
    <n v="3"/>
    <n v="0"/>
    <n v="100"/>
    <n v="0"/>
    <s v="Consolidation"/>
    <s v="CO2e and Base Measure"/>
    <n v="100"/>
    <n v="100"/>
    <n v="0.59"/>
    <m/>
    <m/>
    <m/>
    <m/>
    <m/>
    <n v="0.76049999999999995"/>
    <m/>
    <n v="0.76049999999999995"/>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207Waste - General [t] - Scope 3"/>
    <n v="13564207"/>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1-01T00:00:00"/>
    <s v="FY21"/>
    <s v="t"/>
    <n v="0"/>
    <n v="0.27"/>
    <n v="0"/>
    <n v="0.27"/>
    <n v="0"/>
    <n v="2"/>
    <n v="0"/>
    <n v="2"/>
    <n v="0"/>
    <n v="100"/>
    <n v="0"/>
    <s v="Consolidation"/>
    <s v="CO2e and Base Measure"/>
    <n v="100"/>
    <n v="100"/>
    <n v="0.27"/>
    <m/>
    <m/>
    <m/>
    <m/>
    <m/>
    <n v="0.35099999999999998"/>
    <m/>
    <n v="0.35099999999999998"/>
    <m/>
    <m/>
    <m/>
    <m/>
    <m/>
    <s v="AUD"/>
    <s v="13634501Waste - General [t] - Scope 3"/>
    <n v="13634501"/>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2-01T00:00:00"/>
    <s v="FY21"/>
    <s v="t"/>
    <n v="0"/>
    <n v="0.54"/>
    <n v="0"/>
    <n v="0.54"/>
    <n v="0"/>
    <n v="4"/>
    <n v="0"/>
    <n v="4"/>
    <n v="0"/>
    <n v="100"/>
    <n v="0"/>
    <s v="Consolidation"/>
    <s v="CO2e and Base Measure"/>
    <n v="100"/>
    <n v="100"/>
    <n v="0.54"/>
    <m/>
    <m/>
    <m/>
    <m/>
    <m/>
    <n v="0.70199999999999996"/>
    <m/>
    <n v="0.70199999999999996"/>
    <m/>
    <m/>
    <m/>
    <m/>
    <m/>
    <s v="AUD"/>
    <s v="13634501Waste - General [t] - Scope 3"/>
    <n v="13634501"/>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3-01T00:00:00"/>
    <s v="FY21"/>
    <s v="t"/>
    <n v="0"/>
    <n v="0.54"/>
    <n v="0"/>
    <n v="0.54"/>
    <n v="0"/>
    <n v="4"/>
    <n v="0"/>
    <n v="4"/>
    <n v="0"/>
    <n v="100"/>
    <n v="0"/>
    <s v="Consolidation"/>
    <s v="CO2e and Base Measure"/>
    <n v="100"/>
    <n v="100"/>
    <n v="0.54"/>
    <m/>
    <m/>
    <m/>
    <m/>
    <m/>
    <n v="0.70199999999999996"/>
    <m/>
    <n v="0.70199999999999996"/>
    <m/>
    <m/>
    <m/>
    <m/>
    <m/>
    <s v="AUD"/>
    <s v="13634501Waste - General [t] - Scope 3"/>
    <n v="13634501"/>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4-01T00:00:00"/>
    <s v="FY21"/>
    <s v="t"/>
    <n v="0"/>
    <n v="0"/>
    <n v="0.45600000000000002"/>
    <n v="0.45600000000000002"/>
    <n v="0"/>
    <n v="0"/>
    <n v="30"/>
    <n v="30"/>
    <n v="0"/>
    <n v="0"/>
    <n v="100"/>
    <s v="Consolidation"/>
    <s v="CO2e and Base Measure"/>
    <n v="100"/>
    <n v="100"/>
    <n v="0.46"/>
    <m/>
    <m/>
    <m/>
    <m/>
    <m/>
    <n v="0.59279999999999999"/>
    <m/>
    <n v="0.59279999999999999"/>
    <m/>
    <m/>
    <m/>
    <m/>
    <m/>
    <s v="AUD"/>
    <s v="13634501Waste - General [t] - Scope 3"/>
    <n v="13634501"/>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5-01T00:00:00"/>
    <s v="FY21"/>
    <s v="t"/>
    <n v="0"/>
    <n v="0"/>
    <n v="0.47120000000000001"/>
    <n v="0.47120000000000001"/>
    <n v="0"/>
    <n v="0"/>
    <n v="31"/>
    <n v="31"/>
    <n v="0"/>
    <n v="0"/>
    <n v="100"/>
    <s v="Consolidation"/>
    <s v="CO2e and Base Measure"/>
    <n v="100"/>
    <n v="100"/>
    <n v="0.47"/>
    <m/>
    <m/>
    <m/>
    <m/>
    <m/>
    <n v="0.61260000000000003"/>
    <m/>
    <n v="0.61260000000000003"/>
    <m/>
    <m/>
    <m/>
    <m/>
    <m/>
    <s v="AUD"/>
    <s v="13634501Waste - General [t] - Scope 3"/>
    <n v="13634501"/>
  </r>
  <r>
    <d v="2019-07-01T00:00:00"/>
    <d v="2021-06-30T00:00:00"/>
    <s v="Telstra"/>
    <s v="NETWORK"/>
    <s v="Network - InfraCo"/>
    <s v="VIC"/>
    <s v="Australia"/>
    <s v="Woodend"/>
    <s v="MOUNT MACEDON RT"/>
    <n v="423030780100"/>
    <s v="Waste"/>
    <x v="1"/>
    <x v="4"/>
    <s v="Account"/>
    <s v="Remondis Secure Burial"/>
    <m/>
    <s v="423030780100_WCONSOIL"/>
    <s v="SOIL - CONTAMINATED"/>
    <s v="Remondis"/>
    <m/>
    <d v="2020-09-07T00:00:00"/>
    <d v="2020-10-01T00:00:00"/>
    <d v="2020-09-01T00:00:00"/>
    <s v="FY21"/>
    <s v="t"/>
    <n v="8.2799999999999994"/>
    <n v="0"/>
    <n v="0"/>
    <n v="8.2799999999999994"/>
    <n v="1"/>
    <n v="0"/>
    <n v="0"/>
    <n v="1"/>
    <n v="100"/>
    <n v="0"/>
    <n v="0"/>
    <s v="Consolidation"/>
    <s v="CO2e and Base Measure"/>
    <n v="100"/>
    <n v="100"/>
    <n v="8.2799999999999994"/>
    <m/>
    <m/>
    <m/>
    <m/>
    <m/>
    <n v="9.9359999999999999"/>
    <m/>
    <n v="9.9359999999999999"/>
    <m/>
    <m/>
    <m/>
    <m/>
    <m/>
    <s v="AUD"/>
    <s v="13629321Waste - Construction and Demolition [t]"/>
    <n v="13629321"/>
  </r>
  <r>
    <d v="2019-07-01T00:00:00"/>
    <d v="2021-06-30T00:00:00"/>
    <s v="Telstra"/>
    <s v="NETWORK"/>
    <s v="Network - InfraCo"/>
    <s v="VIC"/>
    <s v="Australia"/>
    <s v="Woodend"/>
    <s v="MOUNT MACEDON RT"/>
    <n v="423030780100"/>
    <s v="Waste"/>
    <x v="1"/>
    <x v="4"/>
    <s v="Account"/>
    <s v="Remondis Secure Burial"/>
    <m/>
    <s v="423030780100_WCONSOIL"/>
    <s v="SOIL - CONTAMINATED"/>
    <s v="Remondis"/>
    <m/>
    <d v="2020-09-07T00:00:00"/>
    <d v="2020-10-01T00:00:00"/>
    <d v="2020-10-01T00:00:00"/>
    <s v="FY21"/>
    <s v="t"/>
    <n v="0"/>
    <n v="0"/>
    <n v="0.28549999999999998"/>
    <n v="0.28549999999999998"/>
    <n v="0"/>
    <n v="0"/>
    <n v="1"/>
    <n v="1"/>
    <n v="0"/>
    <n v="0"/>
    <n v="100"/>
    <s v="Consolidation"/>
    <s v="CO2e and Base Measure"/>
    <n v="100"/>
    <n v="100"/>
    <n v="0.28999999999999998"/>
    <m/>
    <m/>
    <m/>
    <m/>
    <m/>
    <n v="0.34260000000000002"/>
    <m/>
    <n v="0.34260000000000002"/>
    <m/>
    <m/>
    <m/>
    <m/>
    <m/>
    <s v="AUD"/>
    <s v="13629321Waste - Construction and Demolition [t]"/>
    <n v="13629321"/>
  </r>
  <r>
    <d v="2019-07-01T00:00:00"/>
    <d v="2021-06-30T00:00:00"/>
    <s v="Telstra"/>
    <s v="NETWORK"/>
    <s v="Network - InfraCo"/>
    <s v="VIC"/>
    <s v="Australia"/>
    <s v="Woodend"/>
    <s v="MOUNT MACEDON RT"/>
    <n v="423030780100"/>
    <s v="Recycled Waste"/>
    <x v="0"/>
    <x v="5"/>
    <s v="Account"/>
    <s v="Remondis Construction &amp; Demolition - Recycled"/>
    <m/>
    <s v="423030780100_RCONSDEM"/>
    <s v="CONSTRUCTION &amp; DEMOLITION - RECYLED"/>
    <s v="Remondis"/>
    <m/>
    <d v="2020-09-07T00:00:00"/>
    <d v="2020-10-01T00:00:00"/>
    <d v="2020-09-01T00:00:00"/>
    <s v="FY21"/>
    <s v="t"/>
    <n v="12.9"/>
    <n v="0"/>
    <n v="0"/>
    <n v="12.9"/>
    <n v="1"/>
    <n v="0"/>
    <n v="0"/>
    <n v="1"/>
    <n v="100"/>
    <n v="0"/>
    <n v="0"/>
    <s v="Consolidation"/>
    <s v="CO2e and Base Measure"/>
    <n v="100"/>
    <n v="100"/>
    <n v="12.9"/>
    <m/>
    <m/>
    <m/>
    <m/>
    <m/>
    <m/>
    <m/>
    <m/>
    <m/>
    <m/>
    <m/>
    <m/>
    <m/>
    <s v="AUD"/>
    <s v="13629334Waste Recycled - Construction and Demolition [t]"/>
    <n v="13629334"/>
  </r>
  <r>
    <d v="2019-07-01T00:00:00"/>
    <d v="2021-06-30T00:00:00"/>
    <s v="Telstra"/>
    <s v="NETWORK"/>
    <s v="Network - InfraCo"/>
    <s v="VIC"/>
    <s v="Australia"/>
    <s v="Woodend"/>
    <s v="MOUNT MACEDON RT"/>
    <n v="423030780100"/>
    <s v="Recycled Waste"/>
    <x v="0"/>
    <x v="5"/>
    <s v="Account"/>
    <s v="Remondis Construction &amp; Demolition - Recycled"/>
    <m/>
    <s v="423030780100_RCONSDEM"/>
    <s v="CONSTRUCTION &amp; DEMOLITION - RECYLED"/>
    <s v="Remondis"/>
    <m/>
    <d v="2020-09-07T00:00:00"/>
    <d v="2020-10-01T00:00:00"/>
    <d v="2020-10-01T00:00:00"/>
    <s v="FY21"/>
    <s v="t"/>
    <n v="0"/>
    <n v="0"/>
    <n v="0.44479999999999997"/>
    <n v="0.44479999999999997"/>
    <n v="0"/>
    <n v="0"/>
    <n v="1"/>
    <n v="1"/>
    <n v="0"/>
    <n v="0"/>
    <n v="100"/>
    <s v="Consolidation"/>
    <s v="CO2e and Base Measure"/>
    <n v="100"/>
    <n v="100"/>
    <n v="0.44"/>
    <m/>
    <m/>
    <m/>
    <m/>
    <m/>
    <m/>
    <m/>
    <m/>
    <m/>
    <m/>
    <m/>
    <m/>
    <m/>
    <s v="AUD"/>
    <s v="13629334Waste Recycled - Construction and Demolition [t]"/>
    <n v="13629334"/>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07-01T00:00:00"/>
    <s v="FY21"/>
    <s v="t"/>
    <n v="0.15"/>
    <n v="0"/>
    <n v="0"/>
    <n v="0.15"/>
    <n v="1"/>
    <n v="0"/>
    <n v="0"/>
    <n v="1"/>
    <n v="100"/>
    <n v="0"/>
    <n v="0"/>
    <s v="Consolidation"/>
    <s v="CO2e and Base Measure"/>
    <n v="100"/>
    <n v="100"/>
    <n v="0.15"/>
    <m/>
    <m/>
    <m/>
    <m/>
    <m/>
    <n v="0.19500000000000001"/>
    <m/>
    <n v="0.19500000000000001"/>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08-01T00:00:00"/>
    <s v="FY21"/>
    <s v="t"/>
    <n v="0.2"/>
    <n v="0"/>
    <n v="0"/>
    <n v="0.2"/>
    <n v="2"/>
    <n v="0"/>
    <n v="0"/>
    <n v="2"/>
    <n v="100"/>
    <n v="0"/>
    <n v="0"/>
    <s v="Consolidation"/>
    <s v="CO2e and Base Measure"/>
    <n v="100"/>
    <n v="100"/>
    <n v="0.2"/>
    <m/>
    <m/>
    <m/>
    <m/>
    <m/>
    <n v="0.26"/>
    <m/>
    <n v="0.26"/>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09-01T00:00:00"/>
    <s v="FY21"/>
    <s v="t"/>
    <n v="0.185"/>
    <n v="0.29249999999999998"/>
    <n v="0"/>
    <n v="0.47749999999999998"/>
    <n v="1"/>
    <n v="1"/>
    <n v="0"/>
    <n v="2"/>
    <n v="38.74"/>
    <n v="61.25"/>
    <n v="0"/>
    <s v="Consolidation"/>
    <s v="CO2e and Base Measure"/>
    <n v="100"/>
    <n v="100"/>
    <n v="0.48"/>
    <m/>
    <m/>
    <m/>
    <m/>
    <m/>
    <n v="0.62080000000000002"/>
    <m/>
    <n v="0.62080000000000002"/>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10-01T00:00:00"/>
    <s v="FY21"/>
    <s v="t"/>
    <n v="0.14499999999999999"/>
    <n v="0"/>
    <n v="0"/>
    <n v="0.14499999999999999"/>
    <n v="2"/>
    <n v="0"/>
    <n v="0"/>
    <n v="2"/>
    <n v="100"/>
    <n v="0"/>
    <n v="0"/>
    <s v="Consolidation"/>
    <s v="CO2e and Base Measure"/>
    <n v="100"/>
    <n v="100"/>
    <n v="0.15"/>
    <m/>
    <m/>
    <m/>
    <m/>
    <m/>
    <n v="0.1885"/>
    <m/>
    <n v="0.1885"/>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11-01T00:00:00"/>
    <s v="FY21"/>
    <s v="t"/>
    <n v="0"/>
    <n v="0.58499999999999996"/>
    <n v="0"/>
    <n v="0.58499999999999996"/>
    <n v="0"/>
    <n v="2"/>
    <n v="0"/>
    <n v="2"/>
    <n v="0"/>
    <n v="100"/>
    <n v="0"/>
    <s v="Consolidation"/>
    <s v="CO2e and Base Measure"/>
    <n v="100"/>
    <n v="100"/>
    <n v="0.59"/>
    <m/>
    <m/>
    <m/>
    <m/>
    <m/>
    <n v="0.76049999999999995"/>
    <m/>
    <n v="0.76049999999999995"/>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12-01T00:00:00"/>
    <s v="FY21"/>
    <s v="t"/>
    <n v="0"/>
    <n v="0"/>
    <n v="1.18E-2"/>
    <n v="1.18E-2"/>
    <n v="0"/>
    <n v="0"/>
    <n v="1"/>
    <n v="1"/>
    <n v="0"/>
    <n v="0"/>
    <n v="100"/>
    <s v="Consolidation"/>
    <s v="CO2e and Base Measure"/>
    <n v="100"/>
    <n v="100"/>
    <n v="0.01"/>
    <m/>
    <m/>
    <m/>
    <m/>
    <m/>
    <n v="1.5299999999999999E-2"/>
    <m/>
    <n v="1.5299999999999999E-2"/>
    <m/>
    <m/>
    <m/>
    <m/>
    <m/>
    <s v="AUD"/>
    <s v="13565965Waste - General [t] - Scope 3"/>
    <n v="13565965"/>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0-12-01T00:00:00"/>
    <s v="FY21"/>
    <s v="t"/>
    <n v="0.214"/>
    <n v="0"/>
    <n v="0"/>
    <n v="0.214"/>
    <n v="1"/>
    <n v="0"/>
    <n v="0"/>
    <n v="1"/>
    <n v="100"/>
    <n v="0"/>
    <n v="0"/>
    <s v="Consolidation"/>
    <s v="CO2e and Base Measure"/>
    <n v="100"/>
    <n v="100"/>
    <n v="0.21"/>
    <m/>
    <m/>
    <m/>
    <m/>
    <m/>
    <n v="0.2782"/>
    <m/>
    <n v="0.2782"/>
    <m/>
    <m/>
    <m/>
    <m/>
    <m/>
    <s v="AUD"/>
    <s v="13634327Waste - General [t] - Scope 3"/>
    <n v="13634327"/>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1-01-01T00:00:00"/>
    <s v="FY21"/>
    <s v="t"/>
    <n v="0.14599999999999999"/>
    <n v="0"/>
    <n v="0"/>
    <n v="0.14599999999999999"/>
    <n v="1"/>
    <n v="0"/>
    <n v="0"/>
    <n v="1"/>
    <n v="100"/>
    <n v="0"/>
    <n v="0"/>
    <s v="Consolidation"/>
    <s v="CO2e and Base Measure"/>
    <n v="100"/>
    <n v="100"/>
    <n v="0.15"/>
    <m/>
    <m/>
    <m/>
    <m/>
    <m/>
    <n v="0.1898"/>
    <m/>
    <n v="0.1898"/>
    <m/>
    <m/>
    <m/>
    <m/>
    <m/>
    <s v="AUD"/>
    <s v="13634327Waste - General [t] - Scope 3"/>
    <n v="13634327"/>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1-03-01T00:00:00"/>
    <s v="FY21"/>
    <s v="t"/>
    <n v="0.27400000000000002"/>
    <n v="0"/>
    <n v="0"/>
    <n v="0.27400000000000002"/>
    <n v="1"/>
    <n v="0"/>
    <n v="0"/>
    <n v="1"/>
    <n v="100"/>
    <n v="0"/>
    <n v="0"/>
    <s v="Consolidation"/>
    <s v="CO2e and Base Measure"/>
    <n v="100"/>
    <n v="100"/>
    <n v="0.27"/>
    <m/>
    <m/>
    <m/>
    <m/>
    <m/>
    <n v="0.35620000000000002"/>
    <m/>
    <n v="0.35620000000000002"/>
    <m/>
    <m/>
    <m/>
    <m/>
    <m/>
    <s v="AUD"/>
    <s v="13634327Waste - General [t] - Scope 3"/>
    <n v="13634327"/>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1-04-01T00:00:00"/>
    <s v="FY21"/>
    <s v="t"/>
    <n v="0"/>
    <n v="0"/>
    <n v="0.159"/>
    <n v="0.159"/>
    <n v="0"/>
    <n v="0"/>
    <n v="30"/>
    <n v="30"/>
    <n v="0"/>
    <n v="0"/>
    <n v="100"/>
    <s v="Consolidation"/>
    <s v="CO2e and Base Measure"/>
    <n v="100"/>
    <n v="100"/>
    <n v="0.16"/>
    <m/>
    <m/>
    <m/>
    <m/>
    <m/>
    <n v="0.20669999999999999"/>
    <m/>
    <n v="0.20669999999999999"/>
    <m/>
    <m/>
    <m/>
    <m/>
    <m/>
    <s v="AUD"/>
    <s v="13634327Waste - General [t] - Scope 3"/>
    <n v="13634327"/>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1-05-01T00:00:00"/>
    <s v="FY21"/>
    <s v="t"/>
    <n v="0"/>
    <n v="0"/>
    <n v="0.1643"/>
    <n v="0.1643"/>
    <n v="0"/>
    <n v="0"/>
    <n v="31"/>
    <n v="31"/>
    <n v="0"/>
    <n v="0"/>
    <n v="100"/>
    <s v="Consolidation"/>
    <s v="CO2e and Base Measure"/>
    <n v="100"/>
    <n v="100"/>
    <n v="0.16"/>
    <m/>
    <m/>
    <m/>
    <m/>
    <m/>
    <n v="0.21360000000000001"/>
    <m/>
    <n v="0.21360000000000001"/>
    <m/>
    <m/>
    <m/>
    <m/>
    <m/>
    <s v="AUD"/>
    <s v="13634327Waste - General [t] - Scope 3"/>
    <n v="13634327"/>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198Waste - General [t] - Scope 3"/>
    <n v="13564198"/>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1-01T00:00:00"/>
    <s v="FY21"/>
    <s v="t"/>
    <n v="0.04"/>
    <n v="0"/>
    <n v="0"/>
    <n v="0.04"/>
    <n v="1"/>
    <n v="0"/>
    <n v="0"/>
    <n v="1"/>
    <n v="100"/>
    <n v="0"/>
    <n v="0"/>
    <s v="Consolidation"/>
    <s v="CO2e and Base Measure"/>
    <n v="100"/>
    <n v="100"/>
    <n v="0.04"/>
    <m/>
    <m/>
    <m/>
    <m/>
    <m/>
    <n v="5.1999999999999998E-2"/>
    <m/>
    <n v="5.1999999999999998E-2"/>
    <m/>
    <m/>
    <m/>
    <m/>
    <m/>
    <s v="AUD"/>
    <s v="13634454Waste - General [t] - Scope 3"/>
    <n v="13634454"/>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54Waste - General [t] - Scope 3"/>
    <n v="13634454"/>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3-01T00:00:00"/>
    <s v="FY21"/>
    <s v="t"/>
    <n v="0.16500000000000001"/>
    <n v="0"/>
    <n v="0"/>
    <n v="0.16500000000000001"/>
    <n v="1"/>
    <n v="0"/>
    <n v="0"/>
    <n v="1"/>
    <n v="100"/>
    <n v="0"/>
    <n v="0"/>
    <s v="Consolidation"/>
    <s v="CO2e and Base Measure"/>
    <n v="100"/>
    <n v="100"/>
    <n v="0.17"/>
    <m/>
    <m/>
    <m/>
    <m/>
    <m/>
    <n v="0.2145"/>
    <m/>
    <n v="0.2145"/>
    <m/>
    <m/>
    <m/>
    <m/>
    <m/>
    <s v="AUD"/>
    <s v="13634454Waste - General [t] - Scope 3"/>
    <n v="13634454"/>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4-01T00:00:00"/>
    <s v="FY21"/>
    <s v="t"/>
    <n v="0"/>
    <n v="0"/>
    <n v="9.2999999999999999E-2"/>
    <n v="9.2999999999999999E-2"/>
    <n v="0"/>
    <n v="0"/>
    <n v="30"/>
    <n v="30"/>
    <n v="0"/>
    <n v="0"/>
    <n v="100"/>
    <s v="Consolidation"/>
    <s v="CO2e and Base Measure"/>
    <n v="100"/>
    <n v="100"/>
    <n v="0.09"/>
    <m/>
    <m/>
    <m/>
    <m/>
    <m/>
    <n v="0.12089999999999999"/>
    <m/>
    <n v="0.12089999999999999"/>
    <m/>
    <m/>
    <m/>
    <m/>
    <m/>
    <s v="AUD"/>
    <s v="13634454Waste - General [t] - Scope 3"/>
    <n v="13634454"/>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5-01T00:00:00"/>
    <s v="FY21"/>
    <s v="t"/>
    <n v="0"/>
    <n v="0"/>
    <n v="9.6100000000000005E-2"/>
    <n v="9.6100000000000005E-2"/>
    <n v="0"/>
    <n v="0"/>
    <n v="31"/>
    <n v="31"/>
    <n v="0"/>
    <n v="0"/>
    <n v="100"/>
    <s v="Consolidation"/>
    <s v="CO2e and Base Measure"/>
    <n v="100"/>
    <n v="100"/>
    <n v="0.1"/>
    <m/>
    <m/>
    <m/>
    <m/>
    <m/>
    <n v="0.1249"/>
    <m/>
    <n v="0.1249"/>
    <m/>
    <m/>
    <m/>
    <m/>
    <m/>
    <s v="AUD"/>
    <s v="13634454Waste - General [t] - Scope 3"/>
    <n v="1363445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0-12-01T00:00:00"/>
    <s v="FY21"/>
    <s v="t"/>
    <n v="0.23"/>
    <n v="0"/>
    <n v="0"/>
    <n v="0.23"/>
    <n v="2"/>
    <n v="0"/>
    <n v="0"/>
    <n v="2"/>
    <n v="100"/>
    <n v="0"/>
    <n v="0"/>
    <s v="Consolidation"/>
    <s v="CO2e and Base Measure"/>
    <n v="100"/>
    <n v="100"/>
    <n v="0.23"/>
    <m/>
    <m/>
    <m/>
    <m/>
    <m/>
    <n v="0.29899999999999999"/>
    <m/>
    <n v="0.29899999999999999"/>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1-01T00:00:00"/>
    <s v="FY21"/>
    <s v="t"/>
    <n v="0.126"/>
    <n v="0"/>
    <n v="0"/>
    <n v="0.126"/>
    <n v="3"/>
    <n v="0"/>
    <n v="0"/>
    <n v="3"/>
    <n v="100"/>
    <n v="0"/>
    <n v="0"/>
    <s v="Consolidation"/>
    <s v="CO2e and Base Measure"/>
    <n v="100"/>
    <n v="100"/>
    <n v="0.13"/>
    <m/>
    <m/>
    <m/>
    <m/>
    <m/>
    <n v="0.1638"/>
    <m/>
    <n v="0.1638"/>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2-01T00:00:00"/>
    <s v="FY21"/>
    <s v="t"/>
    <n v="0.13700000000000001"/>
    <n v="0"/>
    <n v="0"/>
    <n v="0.13700000000000001"/>
    <n v="2"/>
    <n v="0"/>
    <n v="0"/>
    <n v="2"/>
    <n v="100"/>
    <n v="0"/>
    <n v="0"/>
    <s v="Consolidation"/>
    <s v="CO2e and Base Measure"/>
    <n v="100"/>
    <n v="100"/>
    <n v="0.14000000000000001"/>
    <m/>
    <m/>
    <m/>
    <m/>
    <m/>
    <n v="0.17810000000000001"/>
    <m/>
    <n v="0.17810000000000001"/>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3-01T00:00:00"/>
    <s v="FY21"/>
    <s v="t"/>
    <n v="0.1"/>
    <n v="0.13500000000000001"/>
    <n v="0"/>
    <n v="0.23499999999999999"/>
    <n v="1"/>
    <n v="1"/>
    <n v="0"/>
    <n v="2"/>
    <n v="42.55"/>
    <n v="57.44"/>
    <n v="0"/>
    <s v="Consolidation"/>
    <s v="CO2e and Base Measure"/>
    <n v="100"/>
    <n v="100"/>
    <n v="0.24"/>
    <m/>
    <m/>
    <m/>
    <m/>
    <m/>
    <n v="0.30549999999999999"/>
    <m/>
    <n v="0.30549999999999999"/>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4-01T00:00:00"/>
    <s v="FY21"/>
    <s v="t"/>
    <n v="0"/>
    <n v="0"/>
    <n v="0.183"/>
    <n v="0.183"/>
    <n v="0"/>
    <n v="0"/>
    <n v="30"/>
    <n v="30"/>
    <n v="0"/>
    <n v="0"/>
    <n v="100"/>
    <s v="Consolidation"/>
    <s v="CO2e and Base Measure"/>
    <n v="100"/>
    <n v="100"/>
    <n v="0.18"/>
    <m/>
    <m/>
    <m/>
    <m/>
    <m/>
    <n v="0.2379"/>
    <m/>
    <n v="0.2379"/>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5-01T00:00:00"/>
    <s v="FY21"/>
    <s v="t"/>
    <n v="0"/>
    <n v="0"/>
    <n v="0.18909999999999999"/>
    <n v="0.18909999999999999"/>
    <n v="0"/>
    <n v="0"/>
    <n v="31"/>
    <n v="31"/>
    <n v="0"/>
    <n v="0"/>
    <n v="100"/>
    <s v="Consolidation"/>
    <s v="CO2e and Base Measure"/>
    <n v="100"/>
    <n v="100"/>
    <n v="0.19"/>
    <m/>
    <m/>
    <m/>
    <m/>
    <m/>
    <n v="0.24579999999999999"/>
    <m/>
    <n v="0.24579999999999999"/>
    <m/>
    <m/>
    <m/>
    <m/>
    <m/>
    <s v="AUD"/>
    <s v="13634194Waste - General [t] - Scope 3"/>
    <n v="13634194"/>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07-01T00:00:00"/>
    <s v="FY21"/>
    <s v="t"/>
    <n v="0"/>
    <n v="3.15E-2"/>
    <n v="0"/>
    <n v="3.15E-2"/>
    <n v="0"/>
    <n v="1"/>
    <n v="0"/>
    <n v="1"/>
    <n v="0"/>
    <n v="100"/>
    <n v="0"/>
    <s v="Consolidation"/>
    <s v="CO2e and Base Measure"/>
    <n v="100"/>
    <n v="100"/>
    <n v="0.03"/>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08-01T00:00:00"/>
    <s v="FY21"/>
    <s v="t"/>
    <n v="0"/>
    <n v="0.126"/>
    <n v="0"/>
    <n v="0.126"/>
    <n v="0"/>
    <n v="4"/>
    <n v="0"/>
    <n v="4"/>
    <n v="0"/>
    <n v="100"/>
    <n v="0"/>
    <s v="Consolidation"/>
    <s v="CO2e and Base Measure"/>
    <n v="100"/>
    <n v="100"/>
    <n v="0.13"/>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09-01T00:00:00"/>
    <s v="FY21"/>
    <s v="t"/>
    <n v="0"/>
    <n v="0.1575"/>
    <n v="0"/>
    <n v="0.1575"/>
    <n v="0"/>
    <n v="5"/>
    <n v="0"/>
    <n v="5"/>
    <n v="0"/>
    <n v="100"/>
    <n v="0"/>
    <s v="Consolidation"/>
    <s v="CO2e and Base Measure"/>
    <n v="100"/>
    <n v="100"/>
    <n v="0.16"/>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10-01T00:00:00"/>
    <s v="FY21"/>
    <s v="t"/>
    <n v="0"/>
    <n v="6.3E-2"/>
    <n v="0"/>
    <n v="6.3E-2"/>
    <n v="0"/>
    <n v="2"/>
    <n v="0"/>
    <n v="2"/>
    <n v="0"/>
    <n v="100"/>
    <n v="0"/>
    <s v="Consolidation"/>
    <s v="CO2e and Base Measure"/>
    <n v="100"/>
    <n v="100"/>
    <n v="0.06"/>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11-01T00:00:00"/>
    <s v="FY21"/>
    <s v="t"/>
    <n v="0"/>
    <n v="9.4500000000000001E-2"/>
    <n v="0"/>
    <n v="9.4500000000000001E-2"/>
    <n v="0"/>
    <n v="3"/>
    <n v="0"/>
    <n v="3"/>
    <n v="0"/>
    <n v="100"/>
    <n v="0"/>
    <s v="Consolidation"/>
    <s v="CO2e and Base Measure"/>
    <n v="100"/>
    <n v="100"/>
    <n v="0.09"/>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12-01T00:00:00"/>
    <s v="FY21"/>
    <s v="t"/>
    <n v="0"/>
    <n v="0"/>
    <n v="3.0999999999999999E-3"/>
    <n v="3.0999999999999999E-3"/>
    <n v="0"/>
    <n v="0"/>
    <n v="1"/>
    <n v="1"/>
    <n v="0"/>
    <n v="0"/>
    <n v="100"/>
    <s v="Consolidation"/>
    <s v="CO2e and Base Measure"/>
    <n v="100"/>
    <n v="100"/>
    <n v="0"/>
    <m/>
    <m/>
    <m/>
    <m/>
    <m/>
    <m/>
    <n v="0"/>
    <m/>
    <m/>
    <m/>
    <m/>
    <m/>
    <m/>
    <s v="AUD"/>
    <s v="13564360Waste Recycled - Cardboard [t]"/>
    <n v="13564360"/>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361Waste - General [t] - Scope 3"/>
    <n v="13564361"/>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195Waste - General [t] - Scope 3"/>
    <n v="13634195"/>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195Waste - General [t] - Scope 3"/>
    <n v="13634195"/>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95Waste - General [t] - Scope 3"/>
    <n v="13634195"/>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195Waste - General [t] - Scope 3"/>
    <n v="13634195"/>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195Waste - General [t] - Scope 3"/>
    <n v="13634195"/>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0-12-01T00:00:00"/>
    <s v="FY21"/>
    <s v="t"/>
    <n v="0"/>
    <n v="0.1125"/>
    <n v="0"/>
    <n v="0.1125"/>
    <n v="0"/>
    <n v="3"/>
    <n v="0"/>
    <n v="3"/>
    <n v="0"/>
    <n v="100"/>
    <n v="0"/>
    <s v="Consolidation"/>
    <s v="CO2e and Base Measure"/>
    <n v="100"/>
    <n v="100"/>
    <n v="0.11"/>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1-01T00:00:00"/>
    <s v="FY21"/>
    <s v="t"/>
    <n v="0"/>
    <n v="3.7499999999999999E-2"/>
    <n v="0"/>
    <n v="3.7499999999999999E-2"/>
    <n v="0"/>
    <n v="1"/>
    <n v="0"/>
    <n v="1"/>
    <n v="0"/>
    <n v="100"/>
    <n v="0"/>
    <s v="Consolidation"/>
    <s v="CO2e and Base Measure"/>
    <n v="100"/>
    <n v="100"/>
    <n v="0.04"/>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2-01T00:00:00"/>
    <s v="FY21"/>
    <s v="t"/>
    <n v="0"/>
    <n v="3.7499999999999999E-2"/>
    <n v="0"/>
    <n v="3.7499999999999999E-2"/>
    <n v="0"/>
    <n v="1"/>
    <n v="0"/>
    <n v="1"/>
    <n v="0"/>
    <n v="100"/>
    <n v="0"/>
    <s v="Consolidation"/>
    <s v="CO2e and Base Measure"/>
    <n v="100"/>
    <n v="100"/>
    <n v="0.04"/>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3-01T00:00:00"/>
    <s v="FY21"/>
    <s v="t"/>
    <n v="0"/>
    <n v="0"/>
    <n v="6.5100000000000005E-2"/>
    <n v="6.5100000000000005E-2"/>
    <n v="0"/>
    <n v="0"/>
    <n v="31"/>
    <n v="31"/>
    <n v="0"/>
    <n v="0"/>
    <n v="100"/>
    <s v="Consolidation"/>
    <s v="CO2e and Base Measure"/>
    <n v="100"/>
    <n v="100"/>
    <n v="7.0000000000000007E-2"/>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4-01T00:00:00"/>
    <s v="FY21"/>
    <s v="t"/>
    <n v="0"/>
    <n v="0"/>
    <n v="6.3E-2"/>
    <n v="6.3E-2"/>
    <n v="0"/>
    <n v="0"/>
    <n v="30"/>
    <n v="30"/>
    <n v="0"/>
    <n v="0"/>
    <n v="100"/>
    <s v="Consolidation"/>
    <s v="CO2e and Base Measure"/>
    <n v="100"/>
    <n v="100"/>
    <n v="0.06"/>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5-01T00:00:00"/>
    <s v="FY21"/>
    <s v="t"/>
    <n v="0"/>
    <n v="0"/>
    <n v="6.5100000000000005E-2"/>
    <n v="6.5100000000000005E-2"/>
    <n v="0"/>
    <n v="0"/>
    <n v="31"/>
    <n v="31"/>
    <n v="0"/>
    <n v="0"/>
    <n v="100"/>
    <s v="Consolidation"/>
    <s v="CO2e and Base Measure"/>
    <n v="100"/>
    <n v="100"/>
    <n v="7.0000000000000007E-2"/>
    <m/>
    <m/>
    <m/>
    <m/>
    <m/>
    <m/>
    <m/>
    <m/>
    <m/>
    <m/>
    <m/>
    <m/>
    <m/>
    <s v="AUD"/>
    <s v="13634196Waste Recycled - Paper and Cardboard [t]"/>
    <n v="13634196"/>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64208Waste Recycled - Cardboard [t]"/>
    <n v="13564208"/>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209Waste - General [t] - Scope 3"/>
    <n v="13564209"/>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09-01T00:00:00"/>
    <s v="FY21"/>
    <s v="t"/>
    <n v="0.2"/>
    <n v="0.58499999999999996"/>
    <n v="0"/>
    <n v="0.78500000000000003"/>
    <n v="1"/>
    <n v="3"/>
    <n v="0"/>
    <n v="4"/>
    <n v="25.47"/>
    <n v="74.52"/>
    <n v="0"/>
    <s v="Consolidation"/>
    <s v="CO2e and Base Measure"/>
    <n v="100"/>
    <n v="100"/>
    <n v="0.79"/>
    <m/>
    <m/>
    <m/>
    <m/>
    <m/>
    <n v="1.0205"/>
    <m/>
    <n v="1.0205"/>
    <m/>
    <m/>
    <m/>
    <m/>
    <m/>
    <s v="AUD"/>
    <s v="13564209Waste - General [t] - Scope 3"/>
    <n v="13564209"/>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209Waste - General [t] - Scope 3"/>
    <n v="13564209"/>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209Waste - General [t] - Scope 3"/>
    <n v="13564209"/>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12-01T00:00:00"/>
    <s v="FY21"/>
    <s v="t"/>
    <n v="0"/>
    <n v="0"/>
    <n v="1.0699999999999999E-2"/>
    <n v="1.0699999999999999E-2"/>
    <n v="0"/>
    <n v="0"/>
    <n v="1"/>
    <n v="1"/>
    <n v="0"/>
    <n v="0"/>
    <n v="100"/>
    <s v="Consolidation"/>
    <s v="CO2e and Base Measure"/>
    <n v="100"/>
    <n v="100"/>
    <n v="0.01"/>
    <m/>
    <m/>
    <m/>
    <m/>
    <m/>
    <n v="1.3899999999999999E-2"/>
    <m/>
    <n v="1.3899999999999999E-2"/>
    <m/>
    <m/>
    <m/>
    <m/>
    <m/>
    <s v="AUD"/>
    <s v="13564209Waste - General [t] - Scope 3"/>
    <n v="13564209"/>
  </r>
  <r>
    <d v="2019-07-01T00:00:00"/>
    <d v="2021-06-30T00:00:00"/>
    <s v="Telstra"/>
    <s v="NETWORK"/>
    <s v="Network - InfraCo"/>
    <s v="QLD"/>
    <s v="Australia"/>
    <s v="Robina"/>
    <s v="MUDGEERABA EXCHANGE"/>
    <n v="423030138900"/>
    <s v="Waste"/>
    <x v="1"/>
    <x v="2"/>
    <s v="Account"/>
    <s v="CLEANAWAY General"/>
    <m/>
    <s v="57079_Landfill_General"/>
    <s v="General"/>
    <s v="Cleanaway"/>
    <m/>
    <m/>
    <m/>
    <d v="2021-03-01T00:00:00"/>
    <s v="FY21"/>
    <s v="t"/>
    <n v="0"/>
    <n v="0.27"/>
    <n v="0"/>
    <n v="0.27"/>
    <n v="0"/>
    <n v="2"/>
    <n v="0"/>
    <n v="2"/>
    <n v="0"/>
    <n v="100"/>
    <n v="0"/>
    <s v="Consolidation"/>
    <s v="CO2e and Base Measure"/>
    <n v="100"/>
    <n v="100"/>
    <n v="0.27"/>
    <m/>
    <m/>
    <m/>
    <m/>
    <m/>
    <n v="0.35099999999999998"/>
    <m/>
    <n v="0.35099999999999998"/>
    <m/>
    <m/>
    <m/>
    <m/>
    <m/>
    <s v="AUD"/>
    <s v="13641234Waste - General [t] - Scope 3"/>
    <n v="13641234"/>
  </r>
  <r>
    <d v="2019-07-01T00:00:00"/>
    <d v="2021-06-30T00:00:00"/>
    <s v="Telstra"/>
    <s v="NETWORK"/>
    <s v="Network - InfraCo"/>
    <s v="QLD"/>
    <s v="Australia"/>
    <s v="Robina"/>
    <s v="MUDGEERABA EXCHANGE"/>
    <n v="423030138900"/>
    <s v="Waste"/>
    <x v="1"/>
    <x v="2"/>
    <s v="Account"/>
    <s v="CLEANAWAY General"/>
    <m/>
    <s v="57079_Landfill_General"/>
    <s v="General"/>
    <s v="Cleanaway"/>
    <m/>
    <m/>
    <m/>
    <d v="2021-04-01T00:00:00"/>
    <s v="FY21"/>
    <s v="t"/>
    <n v="0"/>
    <n v="0"/>
    <n v="0.27"/>
    <n v="0.27"/>
    <n v="0"/>
    <n v="0"/>
    <n v="30"/>
    <n v="30"/>
    <n v="0"/>
    <n v="0"/>
    <n v="100"/>
    <s v="Consolidation"/>
    <s v="CO2e and Base Measure"/>
    <n v="100"/>
    <n v="100"/>
    <n v="0.27"/>
    <m/>
    <m/>
    <m/>
    <m/>
    <m/>
    <n v="0.35099999999999998"/>
    <m/>
    <n v="0.35099999999999998"/>
    <m/>
    <m/>
    <m/>
    <m/>
    <m/>
    <s v="AUD"/>
    <s v="13641234Waste - General [t] - Scope 3"/>
    <n v="13641234"/>
  </r>
  <r>
    <d v="2019-07-01T00:00:00"/>
    <d v="2021-06-30T00:00:00"/>
    <s v="Telstra"/>
    <s v="NETWORK"/>
    <s v="Network - InfraCo"/>
    <s v="QLD"/>
    <s v="Australia"/>
    <s v="Robina"/>
    <s v="MUDGEERABA EXCHANGE"/>
    <n v="423030138900"/>
    <s v="Waste"/>
    <x v="1"/>
    <x v="2"/>
    <s v="Account"/>
    <s v="CLEANAWAY General"/>
    <m/>
    <s v="57079_Landfill_General"/>
    <s v="General"/>
    <s v="Cleanaway"/>
    <m/>
    <m/>
    <m/>
    <d v="2021-05-01T00:00:00"/>
    <s v="FY21"/>
    <s v="t"/>
    <n v="0"/>
    <n v="0"/>
    <n v="0.27900000000000003"/>
    <n v="0.27900000000000003"/>
    <n v="0"/>
    <n v="0"/>
    <n v="31"/>
    <n v="31"/>
    <n v="0"/>
    <n v="0"/>
    <n v="100"/>
    <s v="Consolidation"/>
    <s v="CO2e and Base Measure"/>
    <n v="100"/>
    <n v="100"/>
    <n v="0.28000000000000003"/>
    <m/>
    <m/>
    <m/>
    <m/>
    <m/>
    <n v="0.36270000000000002"/>
    <m/>
    <n v="0.36270000000000002"/>
    <m/>
    <m/>
    <m/>
    <m/>
    <m/>
    <s v="AUD"/>
    <s v="13641234Waste - General [t] - Scope 3"/>
    <n v="13641234"/>
  </r>
  <r>
    <d v="2019-07-01T00:00:00"/>
    <d v="2021-06-30T00:00:00"/>
    <s v="Telstra"/>
    <s v="NETWORK"/>
    <s v="Network - InfraCo"/>
    <s v="QLD"/>
    <s v="Australia"/>
    <s v="Robina"/>
    <s v="MUDGEERABA EXCHANGE"/>
    <n v="423030138900"/>
    <s v="Recycled Waste"/>
    <x v="0"/>
    <x v="0"/>
    <s v="Account"/>
    <s v="CLEANAWAY Cardboard"/>
    <m/>
    <s v="57079_Diversion_Cardboard"/>
    <s v="Cardboard"/>
    <s v="Cleanaway"/>
    <m/>
    <m/>
    <m/>
    <d v="2021-03-01T00:00:00"/>
    <s v="FY21"/>
    <s v="t"/>
    <n v="0.18"/>
    <n v="0"/>
    <n v="0"/>
    <n v="0.18"/>
    <n v="2"/>
    <n v="0"/>
    <n v="0"/>
    <n v="2"/>
    <n v="100"/>
    <n v="0"/>
    <n v="0"/>
    <s v="Consolidation"/>
    <s v="CO2e and Base Measure"/>
    <n v="100"/>
    <n v="100"/>
    <n v="0.18"/>
    <m/>
    <m/>
    <m/>
    <m/>
    <m/>
    <m/>
    <m/>
    <m/>
    <m/>
    <m/>
    <m/>
    <m/>
    <m/>
    <s v="AUD"/>
    <s v="13641235Waste Recycled - Paper and Cardboard [t]"/>
    <n v="13641235"/>
  </r>
  <r>
    <d v="2019-07-01T00:00:00"/>
    <d v="2021-06-30T00:00:00"/>
    <s v="Telstra"/>
    <s v="NETWORK"/>
    <s v="Network - InfraCo"/>
    <s v="QLD"/>
    <s v="Australia"/>
    <s v="Robina"/>
    <s v="MUDGEERABA EXCHANGE"/>
    <n v="423030138900"/>
    <s v="Recycled Waste"/>
    <x v="0"/>
    <x v="0"/>
    <s v="Account"/>
    <s v="CLEANAWAY Cardboard"/>
    <m/>
    <s v="57079_Diversion_Cardboard"/>
    <s v="Cardboard"/>
    <s v="Cleanaway"/>
    <m/>
    <m/>
    <m/>
    <d v="2021-04-01T00:00:00"/>
    <s v="FY21"/>
    <s v="t"/>
    <n v="0"/>
    <n v="0"/>
    <n v="0.18"/>
    <n v="0.18"/>
    <n v="0"/>
    <n v="0"/>
    <n v="30"/>
    <n v="30"/>
    <n v="0"/>
    <n v="0"/>
    <n v="100"/>
    <s v="Consolidation"/>
    <s v="CO2e and Base Measure"/>
    <n v="100"/>
    <n v="100"/>
    <n v="0.18"/>
    <m/>
    <m/>
    <m/>
    <m/>
    <m/>
    <m/>
    <m/>
    <m/>
    <m/>
    <m/>
    <m/>
    <m/>
    <m/>
    <s v="AUD"/>
    <s v="13641235Waste Recycled - Paper and Cardboard [t]"/>
    <n v="13641235"/>
  </r>
  <r>
    <d v="2019-07-01T00:00:00"/>
    <d v="2021-06-30T00:00:00"/>
    <s v="Telstra"/>
    <s v="NETWORK"/>
    <s v="Network - InfraCo"/>
    <s v="QLD"/>
    <s v="Australia"/>
    <s v="Robina"/>
    <s v="MUDGEERABA EXCHANGE"/>
    <n v="423030138900"/>
    <s v="Recycled Waste"/>
    <x v="0"/>
    <x v="0"/>
    <s v="Account"/>
    <s v="CLEANAWAY Cardboard"/>
    <m/>
    <s v="57079_Diversion_Cardboard"/>
    <s v="Cardboard"/>
    <s v="Cleanaway"/>
    <m/>
    <m/>
    <m/>
    <d v="2021-05-01T00:00:00"/>
    <s v="FY21"/>
    <s v="t"/>
    <n v="0"/>
    <n v="0"/>
    <n v="0.186"/>
    <n v="0.186"/>
    <n v="0"/>
    <n v="0"/>
    <n v="31"/>
    <n v="31"/>
    <n v="0"/>
    <n v="0"/>
    <n v="100"/>
    <s v="Consolidation"/>
    <s v="CO2e and Base Measure"/>
    <n v="100"/>
    <n v="100"/>
    <n v="0.19"/>
    <m/>
    <m/>
    <m/>
    <m/>
    <m/>
    <m/>
    <m/>
    <m/>
    <m/>
    <m/>
    <m/>
    <m/>
    <m/>
    <s v="AUD"/>
    <s v="13641235Waste Recycled - Paper and Cardboard [t]"/>
    <n v="13641235"/>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07-01T00:00:00"/>
    <s v="FY21"/>
    <s v="t"/>
    <n v="0"/>
    <n v="0.85050000000000003"/>
    <n v="0"/>
    <n v="0.85050000000000003"/>
    <n v="0"/>
    <n v="9"/>
    <n v="0"/>
    <n v="9"/>
    <n v="0"/>
    <n v="100"/>
    <n v="0"/>
    <s v="Consolidation"/>
    <s v="CO2e and Base Measure"/>
    <n v="100"/>
    <n v="100"/>
    <n v="0.85"/>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08-01T00:00:00"/>
    <s v="FY21"/>
    <s v="t"/>
    <n v="0"/>
    <n v="0.85050000000000003"/>
    <n v="0"/>
    <n v="0.85050000000000003"/>
    <n v="0"/>
    <n v="9"/>
    <n v="0"/>
    <n v="9"/>
    <n v="0"/>
    <n v="100"/>
    <n v="0"/>
    <s v="Consolidation"/>
    <s v="CO2e and Base Measure"/>
    <n v="100"/>
    <n v="100"/>
    <n v="0.85"/>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09-01T00:00:00"/>
    <s v="FY21"/>
    <s v="t"/>
    <n v="0"/>
    <n v="0.75600000000000001"/>
    <n v="0"/>
    <n v="0.75600000000000001"/>
    <n v="0"/>
    <n v="8"/>
    <n v="0"/>
    <n v="8"/>
    <n v="0"/>
    <n v="100"/>
    <n v="0"/>
    <s v="Consolidation"/>
    <s v="CO2e and Base Measure"/>
    <n v="100"/>
    <n v="100"/>
    <n v="0.76"/>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10-01T00:00:00"/>
    <s v="FY21"/>
    <s v="t"/>
    <n v="0"/>
    <n v="0.85050000000000003"/>
    <n v="0"/>
    <n v="0.85050000000000003"/>
    <n v="0"/>
    <n v="9"/>
    <n v="0"/>
    <n v="9"/>
    <n v="0"/>
    <n v="100"/>
    <n v="0"/>
    <s v="Consolidation"/>
    <s v="CO2e and Base Measure"/>
    <n v="100"/>
    <n v="100"/>
    <n v="0.85"/>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11-01T00:00:00"/>
    <s v="FY21"/>
    <s v="t"/>
    <n v="0"/>
    <n v="0.75600000000000001"/>
    <n v="0"/>
    <n v="0.75600000000000001"/>
    <n v="0"/>
    <n v="8"/>
    <n v="0"/>
    <n v="8"/>
    <n v="0"/>
    <n v="100"/>
    <n v="0"/>
    <s v="Consolidation"/>
    <s v="CO2e and Base Measure"/>
    <n v="100"/>
    <n v="100"/>
    <n v="0.76"/>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12-01T00:00:00"/>
    <s v="FY21"/>
    <s v="t"/>
    <n v="0"/>
    <n v="0"/>
    <n v="2.7E-2"/>
    <n v="2.7E-2"/>
    <n v="0"/>
    <n v="0"/>
    <n v="1"/>
    <n v="1"/>
    <n v="0"/>
    <n v="0"/>
    <n v="100"/>
    <s v="Consolidation"/>
    <s v="CO2e and Base Measure"/>
    <n v="100"/>
    <n v="100"/>
    <n v="0.03"/>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07-01T00:00:00"/>
    <s v="FY21"/>
    <s v="t"/>
    <n v="0"/>
    <n v="1.224"/>
    <n v="0"/>
    <n v="1.224"/>
    <n v="0"/>
    <n v="5"/>
    <n v="0"/>
    <n v="5"/>
    <n v="0"/>
    <n v="100"/>
    <n v="0"/>
    <s v="Consolidation"/>
    <s v="CO2e and Base Measure"/>
    <n v="100"/>
    <n v="100"/>
    <n v="1.22"/>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08-01T00:00:00"/>
    <s v="FY21"/>
    <s v="t"/>
    <n v="0"/>
    <n v="0.192"/>
    <n v="0"/>
    <n v="0.192"/>
    <n v="0"/>
    <n v="4"/>
    <n v="0"/>
    <n v="4"/>
    <n v="0"/>
    <n v="100"/>
    <n v="0"/>
    <s v="Consolidation"/>
    <s v="CO2e and Base Measure"/>
    <n v="100"/>
    <n v="100"/>
    <n v="0.19"/>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09-01T00:00:00"/>
    <s v="FY21"/>
    <s v="t"/>
    <n v="0"/>
    <n v="0.24"/>
    <n v="0"/>
    <n v="0.24"/>
    <n v="0"/>
    <n v="4"/>
    <n v="0"/>
    <n v="4"/>
    <n v="0"/>
    <n v="100"/>
    <n v="0"/>
    <s v="Consolidation"/>
    <s v="CO2e and Base Measure"/>
    <n v="100"/>
    <n v="100"/>
    <n v="0.24"/>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10-01T00:00:00"/>
    <s v="FY21"/>
    <s v="t"/>
    <n v="0"/>
    <n v="0.24"/>
    <n v="0"/>
    <n v="0.24"/>
    <n v="0"/>
    <n v="5"/>
    <n v="0"/>
    <n v="5"/>
    <n v="0"/>
    <n v="100"/>
    <n v="0"/>
    <s v="Consolidation"/>
    <s v="CO2e and Base Measure"/>
    <n v="100"/>
    <n v="100"/>
    <n v="0.24"/>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11-01T00:00:00"/>
    <s v="FY21"/>
    <s v="t"/>
    <n v="0"/>
    <n v="0.26400000000000001"/>
    <n v="0"/>
    <n v="0.26400000000000001"/>
    <n v="0"/>
    <n v="4"/>
    <n v="0"/>
    <n v="4"/>
    <n v="0"/>
    <n v="100"/>
    <n v="0"/>
    <s v="Consolidation"/>
    <s v="CO2e and Base Measure"/>
    <n v="100"/>
    <n v="100"/>
    <n v="0.26"/>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12-01T00:00:00"/>
    <s v="FY21"/>
    <s v="t"/>
    <n v="0"/>
    <n v="0"/>
    <n v="1.29E-2"/>
    <n v="1.29E-2"/>
    <n v="0"/>
    <n v="0"/>
    <n v="1"/>
    <n v="1"/>
    <n v="0"/>
    <n v="0"/>
    <n v="100"/>
    <s v="Consolidation"/>
    <s v="CO2e and Base Measure"/>
    <n v="100"/>
    <n v="100"/>
    <n v="0.01"/>
    <m/>
    <m/>
    <m/>
    <m/>
    <m/>
    <m/>
    <n v="0"/>
    <m/>
    <m/>
    <m/>
    <m/>
    <m/>
    <m/>
    <s v="AUD"/>
    <s v="13565907Waste Recycled - Commingled [t]"/>
    <n v="13565907"/>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07-01T00:00:00"/>
    <s v="FY21"/>
    <s v="t"/>
    <n v="1.5549999999999999"/>
    <n v="0"/>
    <n v="0"/>
    <n v="1.5549999999999999"/>
    <n v="34"/>
    <n v="0"/>
    <n v="0"/>
    <n v="34"/>
    <n v="100"/>
    <n v="0"/>
    <n v="0"/>
    <s v="Consolidation"/>
    <s v="CO2e and Base Measure"/>
    <n v="100"/>
    <n v="100"/>
    <n v="1.56"/>
    <m/>
    <m/>
    <m/>
    <m/>
    <m/>
    <n v="2.0215000000000001"/>
    <m/>
    <n v="2.0215000000000001"/>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08-01T00:00:00"/>
    <s v="FY21"/>
    <s v="t"/>
    <n v="0.68"/>
    <n v="0"/>
    <n v="0"/>
    <n v="0.68"/>
    <n v="20"/>
    <n v="0"/>
    <n v="0"/>
    <n v="20"/>
    <n v="100"/>
    <n v="0"/>
    <n v="0"/>
    <s v="Consolidation"/>
    <s v="CO2e and Base Measure"/>
    <n v="100"/>
    <n v="100"/>
    <n v="0.68"/>
    <m/>
    <m/>
    <m/>
    <m/>
    <m/>
    <n v="0.88400000000000001"/>
    <m/>
    <n v="0.88400000000000001"/>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09-01T00:00:00"/>
    <s v="FY21"/>
    <s v="t"/>
    <n v="1.375"/>
    <n v="0"/>
    <n v="0"/>
    <n v="1.375"/>
    <n v="21"/>
    <n v="0"/>
    <n v="0"/>
    <n v="21"/>
    <n v="100"/>
    <n v="0"/>
    <n v="0"/>
    <s v="Consolidation"/>
    <s v="CO2e and Base Measure"/>
    <n v="100"/>
    <n v="100"/>
    <n v="1.38"/>
    <m/>
    <m/>
    <m/>
    <m/>
    <m/>
    <n v="1.7875000000000001"/>
    <m/>
    <n v="1.7875000000000001"/>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10-01T00:00:00"/>
    <s v="FY21"/>
    <s v="t"/>
    <n v="1.25"/>
    <n v="0"/>
    <n v="0"/>
    <n v="1.25"/>
    <n v="20"/>
    <n v="0"/>
    <n v="0"/>
    <n v="20"/>
    <n v="100"/>
    <n v="0"/>
    <n v="0"/>
    <s v="Consolidation"/>
    <s v="CO2e and Base Measure"/>
    <n v="100"/>
    <n v="100"/>
    <n v="1.25"/>
    <m/>
    <m/>
    <m/>
    <m/>
    <m/>
    <n v="1.625"/>
    <m/>
    <n v="1.625"/>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11-01T00:00:00"/>
    <s v="FY21"/>
    <s v="t"/>
    <n v="0.95"/>
    <n v="0"/>
    <n v="0"/>
    <n v="0.95"/>
    <n v="12"/>
    <n v="0"/>
    <n v="0"/>
    <n v="12"/>
    <n v="100"/>
    <n v="0"/>
    <n v="0"/>
    <s v="Consolidation"/>
    <s v="CO2e and Base Measure"/>
    <n v="100"/>
    <n v="100"/>
    <n v="0.95"/>
    <m/>
    <m/>
    <m/>
    <m/>
    <m/>
    <n v="1.2350000000000001"/>
    <m/>
    <n v="1.2350000000000001"/>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12-01T00:00:00"/>
    <s v="FY21"/>
    <s v="t"/>
    <n v="0"/>
    <n v="0"/>
    <n v="4.1500000000000002E-2"/>
    <n v="4.1500000000000002E-2"/>
    <n v="0"/>
    <n v="0"/>
    <n v="1"/>
    <n v="1"/>
    <n v="0"/>
    <n v="0"/>
    <n v="100"/>
    <s v="Consolidation"/>
    <s v="CO2e and Base Measure"/>
    <n v="100"/>
    <n v="100"/>
    <n v="0.04"/>
    <m/>
    <m/>
    <m/>
    <m/>
    <m/>
    <n v="5.3999999999999999E-2"/>
    <m/>
    <n v="5.3999999999999999E-2"/>
    <m/>
    <m/>
    <m/>
    <m/>
    <m/>
    <s v="AUD"/>
    <s v="13565910Waste - General [t] - Scope 3"/>
    <n v="13565910"/>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0-12-01T00:00:00"/>
    <s v="FY21"/>
    <s v="t"/>
    <n v="5.3999999999999999E-2"/>
    <n v="0"/>
    <n v="0"/>
    <n v="5.3999999999999999E-2"/>
    <n v="1"/>
    <n v="0"/>
    <n v="0"/>
    <n v="1"/>
    <n v="100"/>
    <n v="0"/>
    <n v="0"/>
    <s v="Consolidation"/>
    <s v="CO2e and Base Measure"/>
    <n v="100"/>
    <n v="100"/>
    <n v="0.05"/>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1-01T00:00:00"/>
    <s v="FY21"/>
    <s v="t"/>
    <n v="0"/>
    <n v="0"/>
    <n v="7.1300000000000002E-2"/>
    <n v="7.1300000000000002E-2"/>
    <n v="0"/>
    <n v="0"/>
    <n v="31"/>
    <n v="31"/>
    <n v="0"/>
    <n v="0"/>
    <n v="100"/>
    <s v="Consolidation"/>
    <s v="CO2e and Base Measure"/>
    <n v="100"/>
    <n v="100"/>
    <n v="7.0000000000000007E-2"/>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2-01T00:00:00"/>
    <s v="FY21"/>
    <s v="t"/>
    <n v="0"/>
    <n v="0"/>
    <n v="6.4399999999999999E-2"/>
    <n v="6.4399999999999999E-2"/>
    <n v="0"/>
    <n v="0"/>
    <n v="28"/>
    <n v="28"/>
    <n v="0"/>
    <n v="0"/>
    <n v="100"/>
    <s v="Consolidation"/>
    <s v="CO2e and Base Measure"/>
    <n v="100"/>
    <n v="100"/>
    <n v="0.06"/>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3-01T00:00:00"/>
    <s v="FY21"/>
    <s v="t"/>
    <n v="0"/>
    <n v="0"/>
    <n v="7.1300000000000002E-2"/>
    <n v="7.1300000000000002E-2"/>
    <n v="0"/>
    <n v="0"/>
    <n v="31"/>
    <n v="31"/>
    <n v="0"/>
    <n v="0"/>
    <n v="100"/>
    <s v="Consolidation"/>
    <s v="CO2e and Base Measure"/>
    <n v="100"/>
    <n v="100"/>
    <n v="7.0000000000000007E-2"/>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4-01T00:00:00"/>
    <s v="FY21"/>
    <s v="t"/>
    <n v="0"/>
    <n v="0"/>
    <n v="6.9000000000000006E-2"/>
    <n v="6.9000000000000006E-2"/>
    <n v="0"/>
    <n v="0"/>
    <n v="30"/>
    <n v="30"/>
    <n v="0"/>
    <n v="0"/>
    <n v="100"/>
    <s v="Consolidation"/>
    <s v="CO2e and Base Measure"/>
    <n v="100"/>
    <n v="100"/>
    <n v="7.0000000000000007E-2"/>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5-01T00:00:00"/>
    <s v="FY21"/>
    <s v="t"/>
    <n v="0"/>
    <n v="0"/>
    <n v="7.1300000000000002E-2"/>
    <n v="7.1300000000000002E-2"/>
    <n v="0"/>
    <n v="0"/>
    <n v="31"/>
    <n v="31"/>
    <n v="0"/>
    <n v="0"/>
    <n v="100"/>
    <s v="Consolidation"/>
    <s v="CO2e and Base Measure"/>
    <n v="100"/>
    <n v="100"/>
    <n v="7.0000000000000007E-2"/>
    <m/>
    <m/>
    <m/>
    <m/>
    <m/>
    <m/>
    <m/>
    <m/>
    <m/>
    <m/>
    <m/>
    <m/>
    <m/>
    <s v="AUD"/>
    <s v="13566594Waste Recycled - Paper and Cardboard [t]"/>
    <n v="13566594"/>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07-01T00:00:00"/>
    <s v="FY21"/>
    <s v="t"/>
    <n v="0.105"/>
    <n v="0.39"/>
    <n v="0"/>
    <n v="0.495"/>
    <n v="1"/>
    <n v="2"/>
    <n v="0"/>
    <n v="3"/>
    <n v="21.21"/>
    <n v="78.78"/>
    <n v="0"/>
    <s v="Consolidation"/>
    <s v="CO2e and Base Measure"/>
    <n v="100"/>
    <n v="100"/>
    <n v="0.5"/>
    <m/>
    <m/>
    <m/>
    <m/>
    <m/>
    <n v="0.64349999999999996"/>
    <m/>
    <n v="0.64349999999999996"/>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08-01T00:00:00"/>
    <s v="FY21"/>
    <s v="t"/>
    <n v="1.4999999999999999E-2"/>
    <n v="0.19500000000000001"/>
    <n v="0"/>
    <n v="0.21"/>
    <n v="1"/>
    <n v="1"/>
    <n v="0"/>
    <n v="2"/>
    <n v="7.14"/>
    <n v="92.85"/>
    <n v="0"/>
    <s v="Consolidation"/>
    <s v="CO2e and Base Measure"/>
    <n v="100"/>
    <n v="100"/>
    <n v="0.21"/>
    <m/>
    <m/>
    <m/>
    <m/>
    <m/>
    <n v="0.27300000000000002"/>
    <m/>
    <n v="0.27300000000000002"/>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09-01T00:00:00"/>
    <s v="FY21"/>
    <s v="t"/>
    <n v="1.4999999999999999E-2"/>
    <n v="0.19500000000000001"/>
    <n v="0"/>
    <n v="0.21"/>
    <n v="1"/>
    <n v="1"/>
    <n v="0"/>
    <n v="2"/>
    <n v="7.14"/>
    <n v="92.85"/>
    <n v="0"/>
    <s v="Consolidation"/>
    <s v="CO2e and Base Measure"/>
    <n v="100"/>
    <n v="100"/>
    <n v="0.21"/>
    <m/>
    <m/>
    <m/>
    <m/>
    <m/>
    <n v="0.27300000000000002"/>
    <m/>
    <n v="0.27300000000000002"/>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10-01T00:00:00"/>
    <s v="FY21"/>
    <s v="t"/>
    <n v="0.435"/>
    <n v="0"/>
    <n v="0"/>
    <n v="0.435"/>
    <n v="2"/>
    <n v="0"/>
    <n v="0"/>
    <n v="2"/>
    <n v="100"/>
    <n v="0"/>
    <n v="0"/>
    <s v="Consolidation"/>
    <s v="CO2e and Base Measure"/>
    <n v="100"/>
    <n v="100"/>
    <n v="0.44"/>
    <m/>
    <m/>
    <m/>
    <m/>
    <m/>
    <n v="0.5655"/>
    <m/>
    <n v="0.5655"/>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12-01T00:00:00"/>
    <s v="FY21"/>
    <s v="t"/>
    <n v="0"/>
    <n v="0"/>
    <n v="1.17E-2"/>
    <n v="1.17E-2"/>
    <n v="0"/>
    <n v="0"/>
    <n v="1"/>
    <n v="1"/>
    <n v="0"/>
    <n v="0"/>
    <n v="100"/>
    <s v="Consolidation"/>
    <s v="CO2e and Base Measure"/>
    <n v="100"/>
    <n v="100"/>
    <n v="0.01"/>
    <m/>
    <m/>
    <m/>
    <m/>
    <m/>
    <n v="1.52E-2"/>
    <m/>
    <n v="1.52E-2"/>
    <m/>
    <m/>
    <m/>
    <m/>
    <m/>
    <s v="AUD"/>
    <s v="13565337Waste - General [t] - Scope 3"/>
    <n v="1356533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0-12-01T00:00:00"/>
    <s v="FY21"/>
    <s v="t"/>
    <n v="8.4000000000000005E-2"/>
    <n v="0"/>
    <n v="0"/>
    <n v="8.4000000000000005E-2"/>
    <n v="1"/>
    <n v="0"/>
    <n v="0"/>
    <n v="1"/>
    <n v="100"/>
    <n v="0"/>
    <n v="0"/>
    <s v="Consolidation"/>
    <s v="CO2e and Base Measure"/>
    <n v="100"/>
    <n v="100"/>
    <n v="0.08"/>
    <m/>
    <m/>
    <m/>
    <m/>
    <m/>
    <n v="0.10920000000000001"/>
    <m/>
    <n v="0.10920000000000001"/>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1-01T00:00:00"/>
    <s v="FY21"/>
    <s v="t"/>
    <n v="0.159"/>
    <n v="0"/>
    <n v="0"/>
    <n v="0.159"/>
    <n v="1"/>
    <n v="0"/>
    <n v="0"/>
    <n v="1"/>
    <n v="100"/>
    <n v="0"/>
    <n v="0"/>
    <s v="Consolidation"/>
    <s v="CO2e and Base Measure"/>
    <n v="100"/>
    <n v="100"/>
    <n v="0.16"/>
    <m/>
    <m/>
    <m/>
    <m/>
    <m/>
    <n v="0.20669999999999999"/>
    <m/>
    <n v="0.20669999999999999"/>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3-01T00:00:00"/>
    <s v="FY21"/>
    <s v="t"/>
    <n v="8.1000000000000003E-2"/>
    <n v="0"/>
    <n v="0"/>
    <n v="8.1000000000000003E-2"/>
    <n v="1"/>
    <n v="0"/>
    <n v="0"/>
    <n v="1"/>
    <n v="100"/>
    <n v="0"/>
    <n v="0"/>
    <s v="Consolidation"/>
    <s v="CO2e and Base Measure"/>
    <n v="100"/>
    <n v="100"/>
    <n v="0.08"/>
    <m/>
    <m/>
    <m/>
    <m/>
    <m/>
    <n v="0.1053"/>
    <m/>
    <n v="0.1053"/>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4-01T00:00:00"/>
    <s v="FY21"/>
    <s v="t"/>
    <n v="0"/>
    <n v="0"/>
    <n v="0.114"/>
    <n v="0.114"/>
    <n v="0"/>
    <n v="0"/>
    <n v="30"/>
    <n v="30"/>
    <n v="0"/>
    <n v="0"/>
    <n v="100"/>
    <s v="Consolidation"/>
    <s v="CO2e and Base Measure"/>
    <n v="100"/>
    <n v="100"/>
    <n v="0.11"/>
    <m/>
    <m/>
    <m/>
    <m/>
    <m/>
    <n v="0.1482"/>
    <m/>
    <n v="0.1482"/>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5-01T00:00:00"/>
    <s v="FY21"/>
    <s v="t"/>
    <n v="0"/>
    <n v="0"/>
    <n v="0.1178"/>
    <n v="0.1178"/>
    <n v="0"/>
    <n v="0"/>
    <n v="31"/>
    <n v="31"/>
    <n v="0"/>
    <n v="0"/>
    <n v="100"/>
    <s v="Consolidation"/>
    <s v="CO2e and Base Measure"/>
    <n v="100"/>
    <n v="100"/>
    <n v="0.12"/>
    <m/>
    <m/>
    <m/>
    <m/>
    <m/>
    <n v="0.15310000000000001"/>
    <m/>
    <n v="0.15310000000000001"/>
    <m/>
    <m/>
    <m/>
    <m/>
    <m/>
    <s v="AUD"/>
    <s v="13634197Waste - General [t] - Scope 3"/>
    <n v="13634197"/>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12-01T00:00:00"/>
    <s v="FY21"/>
    <s v="t"/>
    <n v="0"/>
    <n v="0"/>
    <n v="1.4999999999999999E-2"/>
    <n v="1.4999999999999999E-2"/>
    <n v="0"/>
    <n v="0"/>
    <n v="1"/>
    <n v="1"/>
    <n v="0"/>
    <n v="0"/>
    <n v="100"/>
    <s v="Consolidation"/>
    <s v="CO2e and Base Measure"/>
    <n v="100"/>
    <n v="100"/>
    <n v="0.02"/>
    <m/>
    <m/>
    <m/>
    <m/>
    <m/>
    <n v="1.95E-2"/>
    <m/>
    <n v="1.95E-2"/>
    <m/>
    <m/>
    <m/>
    <m/>
    <m/>
    <s v="AUD"/>
    <s v="13564368Waste - General [t] - Scope 3"/>
    <n v="1356436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0-12-01T00:00:00"/>
    <s v="FY21"/>
    <s v="t"/>
    <n v="8.7999999999999995E-2"/>
    <n v="0.13500000000000001"/>
    <n v="0"/>
    <n v="0.223"/>
    <n v="1"/>
    <n v="1"/>
    <n v="0"/>
    <n v="2"/>
    <n v="39.46"/>
    <n v="60.53"/>
    <n v="0"/>
    <s v="Consolidation"/>
    <s v="CO2e and Base Measure"/>
    <n v="100"/>
    <n v="100"/>
    <n v="0.22"/>
    <m/>
    <m/>
    <m/>
    <m/>
    <m/>
    <n v="0.28989999999999999"/>
    <m/>
    <n v="0.28989999999999999"/>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1-01T00:00:00"/>
    <s v="FY21"/>
    <s v="t"/>
    <n v="0.40699999999999997"/>
    <n v="0.13500000000000001"/>
    <n v="0"/>
    <n v="0.54200000000000004"/>
    <n v="1"/>
    <n v="1"/>
    <n v="0"/>
    <n v="2"/>
    <n v="75.09"/>
    <n v="24.9"/>
    <n v="0"/>
    <s v="Consolidation"/>
    <s v="CO2e and Base Measure"/>
    <n v="100"/>
    <n v="100"/>
    <n v="0.54"/>
    <m/>
    <m/>
    <m/>
    <m/>
    <m/>
    <n v="0.7046"/>
    <m/>
    <n v="0.7046"/>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2-01T00:00:00"/>
    <s v="FY21"/>
    <s v="t"/>
    <n v="6.5000000000000002E-2"/>
    <n v="0.13500000000000001"/>
    <n v="0"/>
    <n v="0.2"/>
    <n v="1"/>
    <n v="1"/>
    <n v="0"/>
    <n v="2"/>
    <n v="32.5"/>
    <n v="67.5"/>
    <n v="0"/>
    <s v="Consolidation"/>
    <s v="CO2e and Base Measure"/>
    <n v="100"/>
    <n v="100"/>
    <n v="0.2"/>
    <m/>
    <m/>
    <m/>
    <m/>
    <m/>
    <n v="0.26"/>
    <m/>
    <n v="0.26"/>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3-01T00:00:00"/>
    <s v="FY21"/>
    <s v="t"/>
    <n v="0"/>
    <n v="0"/>
    <n v="0.33479999999999999"/>
    <n v="0.33479999999999999"/>
    <n v="0"/>
    <n v="0"/>
    <n v="31"/>
    <n v="31"/>
    <n v="0"/>
    <n v="0"/>
    <n v="100"/>
    <s v="Consolidation"/>
    <s v="CO2e and Base Measure"/>
    <n v="100"/>
    <n v="100"/>
    <n v="0.33"/>
    <m/>
    <m/>
    <m/>
    <m/>
    <m/>
    <n v="0.43519999999999998"/>
    <m/>
    <n v="0.43519999999999998"/>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4-01T00:00:00"/>
    <s v="FY21"/>
    <s v="t"/>
    <n v="0"/>
    <n v="0"/>
    <n v="0.32400000000000001"/>
    <n v="0.32400000000000001"/>
    <n v="0"/>
    <n v="0"/>
    <n v="30"/>
    <n v="30"/>
    <n v="0"/>
    <n v="0"/>
    <n v="100"/>
    <s v="Consolidation"/>
    <s v="CO2e and Base Measure"/>
    <n v="100"/>
    <n v="100"/>
    <n v="0.32"/>
    <m/>
    <m/>
    <m/>
    <m/>
    <m/>
    <n v="0.42120000000000002"/>
    <m/>
    <n v="0.42120000000000002"/>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5-01T00:00:00"/>
    <s v="FY21"/>
    <s v="t"/>
    <n v="0"/>
    <n v="0"/>
    <n v="0.33479999999999999"/>
    <n v="0.33479999999999999"/>
    <n v="0"/>
    <n v="0"/>
    <n v="31"/>
    <n v="31"/>
    <n v="0"/>
    <n v="0"/>
    <n v="100"/>
    <s v="Consolidation"/>
    <s v="CO2e and Base Measure"/>
    <n v="100"/>
    <n v="100"/>
    <n v="0.33"/>
    <m/>
    <m/>
    <m/>
    <m/>
    <m/>
    <n v="0.43519999999999998"/>
    <m/>
    <n v="0.43519999999999998"/>
    <m/>
    <m/>
    <m/>
    <m/>
    <m/>
    <s v="AUD"/>
    <s v="13634198Waste - General [t] - Scope 3"/>
    <n v="13634198"/>
  </r>
  <r>
    <d v="2019-07-01T00:00:00"/>
    <d v="2021-06-30T00:00:00"/>
    <s v="Telstra"/>
    <s v="NETWORK"/>
    <s v="Network - InfraCo"/>
    <s v="WA"/>
    <s v="Australia"/>
    <s v="Mundaring"/>
    <s v="MUNDARING EXCHANGE"/>
    <n v="423030831900"/>
    <s v="Waste"/>
    <x v="1"/>
    <x v="2"/>
    <s v="Account"/>
    <s v="Remondis General Waste"/>
    <m/>
    <s v="4230308319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341Waste - General [t] - Scope 3"/>
    <n v="13565341"/>
  </r>
  <r>
    <d v="2019-07-01T00:00:00"/>
    <d v="2021-06-30T00:00:00"/>
    <s v="Telstra"/>
    <s v="NETWORK"/>
    <s v="Network - InfraCo"/>
    <s v="WA"/>
    <s v="Australia"/>
    <s v="Mundaring"/>
    <s v="MUNDARING EXCHANGE"/>
    <n v="423030831900"/>
    <s v="Waste"/>
    <x v="1"/>
    <x v="2"/>
    <s v="Account"/>
    <s v="Remondis General Waste"/>
    <m/>
    <s v="4230308319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341Waste - General [t] - Scope 3"/>
    <n v="13565341"/>
  </r>
  <r>
    <d v="2019-07-01T00:00:00"/>
    <d v="2021-06-30T00:00:00"/>
    <s v="Telstra"/>
    <s v="NETWORK"/>
    <s v="Network - InfraCo"/>
    <s v="WA"/>
    <s v="Australia"/>
    <s v="Mundaring"/>
    <s v="MUNDARING EXCHANGE"/>
    <n v="423030831900"/>
    <s v="Waste"/>
    <x v="1"/>
    <x v="2"/>
    <s v="Account"/>
    <s v="Remondis General Waste"/>
    <m/>
    <s v="423030831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41Waste - General [t] - Scope 3"/>
    <n v="13565341"/>
  </r>
  <r>
    <d v="2019-07-01T00:00:00"/>
    <d v="2021-06-30T00:00:00"/>
    <s v="Telstra"/>
    <s v="NETWORK"/>
    <s v="Network - InfraCo"/>
    <s v="WA"/>
    <s v="Australia"/>
    <s v="Mundaring"/>
    <s v="MUNDARING EXCHANGE"/>
    <n v="423030831900"/>
    <s v="Waste"/>
    <x v="1"/>
    <x v="2"/>
    <s v="Account"/>
    <s v="Remondis General Waste"/>
    <m/>
    <s v="423030831900_WGENERALW"/>
    <s v="GENERAL WASTE"/>
    <s v="Remondis"/>
    <m/>
    <m/>
    <d v="2021-01-01T00:00:00"/>
    <d v="2021-01-01T00:00:00"/>
    <s v="FY21"/>
    <s v="t"/>
    <n v="0"/>
    <n v="0"/>
    <n v="3.8E-3"/>
    <n v="3.8E-3"/>
    <n v="0"/>
    <n v="0"/>
    <n v="1"/>
    <n v="1"/>
    <n v="0"/>
    <n v="0"/>
    <n v="100"/>
    <s v="Consolidation"/>
    <s v="CO2e and Base Measure"/>
    <n v="100"/>
    <n v="100"/>
    <n v="0"/>
    <m/>
    <m/>
    <m/>
    <m/>
    <m/>
    <n v="4.8999999999999998E-3"/>
    <m/>
    <n v="4.8999999999999998E-3"/>
    <m/>
    <m/>
    <m/>
    <m/>
    <m/>
    <s v="AUD"/>
    <s v="13565341Waste - General [t] - Scope 3"/>
    <n v="13565341"/>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09-01T00:00:00"/>
    <s v="FY21"/>
    <s v="t"/>
    <n v="0"/>
    <n v="6.3E-2"/>
    <n v="0"/>
    <n v="6.3E-2"/>
    <n v="0"/>
    <n v="2"/>
    <n v="0"/>
    <n v="2"/>
    <n v="0"/>
    <n v="100"/>
    <n v="0"/>
    <s v="Consolidation"/>
    <s v="CO2e and Base Measure"/>
    <n v="100"/>
    <n v="100"/>
    <n v="0.06"/>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10-01T00:00:00"/>
    <s v="FY21"/>
    <s v="t"/>
    <n v="0"/>
    <n v="9.4500000000000001E-2"/>
    <n v="0"/>
    <n v="9.4500000000000001E-2"/>
    <n v="0"/>
    <n v="3"/>
    <n v="0"/>
    <n v="3"/>
    <n v="0"/>
    <n v="100"/>
    <n v="0"/>
    <s v="Consolidation"/>
    <s v="CO2e and Base Measure"/>
    <n v="100"/>
    <n v="100"/>
    <n v="0.09"/>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11-01T00:00:00"/>
    <s v="FY21"/>
    <s v="t"/>
    <n v="0"/>
    <n v="6.3E-2"/>
    <n v="0"/>
    <n v="6.3E-2"/>
    <n v="0"/>
    <n v="2"/>
    <n v="0"/>
    <n v="2"/>
    <n v="0"/>
    <n v="100"/>
    <n v="0"/>
    <s v="Consolidation"/>
    <s v="CO2e and Base Measure"/>
    <n v="100"/>
    <n v="100"/>
    <n v="0.06"/>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12-01T00:00:00"/>
    <s v="FY21"/>
    <s v="t"/>
    <n v="0"/>
    <n v="0"/>
    <n v="2.2000000000000001E-3"/>
    <n v="2.2000000000000001E-3"/>
    <n v="0"/>
    <n v="0"/>
    <n v="1"/>
    <n v="1"/>
    <n v="0"/>
    <n v="0"/>
    <n v="100"/>
    <s v="Consolidation"/>
    <s v="CO2e and Base Measure"/>
    <n v="100"/>
    <n v="100"/>
    <n v="0"/>
    <m/>
    <m/>
    <m/>
    <m/>
    <m/>
    <m/>
    <n v="0"/>
    <m/>
    <m/>
    <m/>
    <m/>
    <m/>
    <m/>
    <s v="AUD"/>
    <s v="13564807Waste Recycled - Cardboard [t]"/>
    <n v="13564807"/>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1-01-01T00:00:00"/>
    <s v="FY21"/>
    <s v="t"/>
    <n v="0"/>
    <n v="0"/>
    <n v="6.0000000000000001E-3"/>
    <n v="6.0000000000000001E-3"/>
    <n v="0"/>
    <n v="0"/>
    <n v="1"/>
    <n v="1"/>
    <n v="0"/>
    <n v="0"/>
    <n v="100"/>
    <s v="Consolidation"/>
    <s v="CO2e and Base Measure"/>
    <n v="100"/>
    <n v="100"/>
    <n v="0.01"/>
    <m/>
    <m/>
    <m/>
    <m/>
    <m/>
    <n v="7.7999999999999996E-3"/>
    <m/>
    <n v="7.7999999999999996E-3"/>
    <m/>
    <m/>
    <m/>
    <m/>
    <m/>
    <s v="AUD"/>
    <s v="13564809Waste - General [t] - Scope 3"/>
    <n v="1356480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0-12-01T00:00:00"/>
    <s v="FY21"/>
    <s v="t"/>
    <n v="0.1"/>
    <n v="0"/>
    <n v="0"/>
    <n v="0.1"/>
    <n v="1"/>
    <n v="0"/>
    <n v="0"/>
    <n v="1"/>
    <n v="100"/>
    <n v="0"/>
    <n v="0"/>
    <s v="Consolidation"/>
    <s v="CO2e and Base Measure"/>
    <n v="100"/>
    <n v="100"/>
    <n v="0.1"/>
    <m/>
    <m/>
    <m/>
    <m/>
    <m/>
    <n v="0.13"/>
    <m/>
    <n v="0.13"/>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1-01T00:00:00"/>
    <s v="FY21"/>
    <s v="t"/>
    <n v="0.08"/>
    <n v="0"/>
    <n v="0"/>
    <n v="0.08"/>
    <n v="1"/>
    <n v="0"/>
    <n v="0"/>
    <n v="1"/>
    <n v="100"/>
    <n v="0"/>
    <n v="0"/>
    <s v="Consolidation"/>
    <s v="CO2e and Base Measure"/>
    <n v="100"/>
    <n v="100"/>
    <n v="0.08"/>
    <m/>
    <m/>
    <m/>
    <m/>
    <m/>
    <n v="0.104"/>
    <m/>
    <n v="0.104"/>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2-01T00:00:00"/>
    <s v="FY21"/>
    <s v="t"/>
    <n v="2.9000000000000001E-2"/>
    <n v="0"/>
    <n v="0"/>
    <n v="2.9000000000000001E-2"/>
    <n v="1"/>
    <n v="0"/>
    <n v="0"/>
    <n v="1"/>
    <n v="100"/>
    <n v="0"/>
    <n v="0"/>
    <s v="Consolidation"/>
    <s v="CO2e and Base Measure"/>
    <n v="100"/>
    <n v="100"/>
    <n v="0.03"/>
    <m/>
    <m/>
    <m/>
    <m/>
    <m/>
    <n v="3.7699999999999997E-2"/>
    <m/>
    <n v="3.7699999999999997E-2"/>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199Waste - General [t] - Scope 3"/>
    <n v="13634199"/>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0-12-01T00:00:00"/>
    <s v="FY21"/>
    <s v="t"/>
    <n v="0"/>
    <n v="3.7499999999999999E-2"/>
    <n v="0"/>
    <n v="3.7499999999999999E-2"/>
    <n v="0"/>
    <n v="1"/>
    <n v="0"/>
    <n v="1"/>
    <n v="0"/>
    <n v="100"/>
    <n v="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1-01T00:00:00"/>
    <s v="FY21"/>
    <s v="t"/>
    <n v="0"/>
    <n v="3.7499999999999999E-2"/>
    <n v="0"/>
    <n v="3.7499999999999999E-2"/>
    <n v="0"/>
    <n v="1"/>
    <n v="0"/>
    <n v="1"/>
    <n v="0"/>
    <n v="100"/>
    <n v="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2-01T00:00:00"/>
    <s v="FY21"/>
    <s v="t"/>
    <n v="0"/>
    <n v="3.7499999999999999E-2"/>
    <n v="0"/>
    <n v="3.7499999999999999E-2"/>
    <n v="0"/>
    <n v="1"/>
    <n v="0"/>
    <n v="1"/>
    <n v="0"/>
    <n v="100"/>
    <n v="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3-01T00:00:00"/>
    <s v="FY21"/>
    <s v="t"/>
    <n v="0"/>
    <n v="3.7499999999999999E-2"/>
    <n v="0"/>
    <n v="3.7499999999999999E-2"/>
    <n v="0"/>
    <n v="1"/>
    <n v="0"/>
    <n v="1"/>
    <n v="0"/>
    <n v="100"/>
    <n v="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4-01T00:00:00"/>
    <s v="FY21"/>
    <s v="t"/>
    <n v="0"/>
    <n v="0"/>
    <n v="3.9E-2"/>
    <n v="3.9E-2"/>
    <n v="0"/>
    <n v="0"/>
    <n v="30"/>
    <n v="30"/>
    <n v="0"/>
    <n v="0"/>
    <n v="10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5-01T00:00:00"/>
    <s v="FY21"/>
    <s v="t"/>
    <n v="0"/>
    <n v="0"/>
    <n v="4.0300000000000002E-2"/>
    <n v="4.0300000000000002E-2"/>
    <n v="0"/>
    <n v="0"/>
    <n v="31"/>
    <n v="31"/>
    <n v="0"/>
    <n v="0"/>
    <n v="100"/>
    <s v="Consolidation"/>
    <s v="CO2e and Base Measure"/>
    <n v="100"/>
    <n v="100"/>
    <n v="0.04"/>
    <m/>
    <m/>
    <m/>
    <m/>
    <m/>
    <m/>
    <m/>
    <m/>
    <m/>
    <m/>
    <m/>
    <m/>
    <m/>
    <s v="AUD"/>
    <s v="13634200Waste Recycled - Paper and Cardboard [t]"/>
    <n v="13634200"/>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07-01T00:00:00"/>
    <s v="FY21"/>
    <s v="t"/>
    <n v="0"/>
    <n v="7.8E-2"/>
    <n v="0"/>
    <n v="7.8E-2"/>
    <n v="0"/>
    <n v="5"/>
    <n v="0"/>
    <n v="5"/>
    <n v="0"/>
    <n v="100"/>
    <n v="0"/>
    <s v="Consolidation"/>
    <s v="CO2e and Base Measure"/>
    <n v="100"/>
    <n v="100"/>
    <n v="0.08"/>
    <m/>
    <m/>
    <m/>
    <m/>
    <m/>
    <n v="0.1014"/>
    <m/>
    <n v="0.1014"/>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09-01T00:00:00"/>
    <s v="FY21"/>
    <s v="t"/>
    <n v="0"/>
    <n v="6.2399999999999997E-2"/>
    <n v="0"/>
    <n v="6.2399999999999997E-2"/>
    <n v="0"/>
    <n v="4"/>
    <n v="0"/>
    <n v="4"/>
    <n v="0"/>
    <n v="100"/>
    <n v="0"/>
    <s v="Consolidation"/>
    <s v="CO2e and Base Measure"/>
    <n v="100"/>
    <n v="100"/>
    <n v="0.06"/>
    <m/>
    <m/>
    <m/>
    <m/>
    <m/>
    <n v="8.1100000000000005E-2"/>
    <m/>
    <n v="8.1100000000000005E-2"/>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10-01T00:00:00"/>
    <s v="FY21"/>
    <s v="t"/>
    <n v="0"/>
    <n v="7.8E-2"/>
    <n v="0"/>
    <n v="7.8E-2"/>
    <n v="0"/>
    <n v="5"/>
    <n v="0"/>
    <n v="5"/>
    <n v="0"/>
    <n v="100"/>
    <n v="0"/>
    <s v="Consolidation"/>
    <s v="CO2e and Base Measure"/>
    <n v="100"/>
    <n v="100"/>
    <n v="0.08"/>
    <m/>
    <m/>
    <m/>
    <m/>
    <m/>
    <n v="0.1014"/>
    <m/>
    <n v="0.1014"/>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12-01T00:00:00"/>
    <s v="FY21"/>
    <s v="t"/>
    <n v="0"/>
    <n v="3.1199999999999999E-2"/>
    <n v="0"/>
    <n v="3.1199999999999999E-2"/>
    <n v="0"/>
    <n v="1"/>
    <n v="0"/>
    <n v="1"/>
    <n v="0"/>
    <n v="100"/>
    <n v="0"/>
    <s v="Consolidation"/>
    <s v="CO2e and Base Measure"/>
    <n v="100"/>
    <n v="100"/>
    <n v="0.03"/>
    <m/>
    <m/>
    <m/>
    <m/>
    <m/>
    <n v="4.0599999999999997E-2"/>
    <m/>
    <n v="4.0599999999999997E-2"/>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772Waste - General [t] - Scope 3"/>
    <n v="13564772"/>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9877Waste - General [t] - Scope 3"/>
    <n v="13639877"/>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9877Waste - General [t] - Scope 3"/>
    <n v="13639877"/>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9877Waste - General [t] - Scope 3"/>
    <n v="13639877"/>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4-01T00:00:00"/>
    <s v="FY21"/>
    <s v="t"/>
    <n v="0"/>
    <n v="0"/>
    <n v="0.09"/>
    <n v="0.09"/>
    <n v="0"/>
    <n v="0"/>
    <n v="30"/>
    <n v="30"/>
    <n v="0"/>
    <n v="0"/>
    <n v="100"/>
    <s v="Consolidation"/>
    <s v="CO2e and Base Measure"/>
    <n v="100"/>
    <n v="100"/>
    <n v="0.09"/>
    <m/>
    <m/>
    <m/>
    <m/>
    <m/>
    <n v="0.11700000000000001"/>
    <m/>
    <n v="0.11700000000000001"/>
    <m/>
    <m/>
    <m/>
    <m/>
    <m/>
    <s v="AUD"/>
    <s v="13639877Waste - General [t] - Scope 3"/>
    <n v="13639877"/>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9877Waste - General [t] - Scope 3"/>
    <n v="13639877"/>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07-01T00:00:00"/>
    <s v="FY21"/>
    <s v="t"/>
    <n v="0"/>
    <n v="9.4500000000000001E-2"/>
    <n v="0"/>
    <n v="9.4500000000000001E-2"/>
    <n v="0"/>
    <n v="3"/>
    <n v="0"/>
    <n v="3"/>
    <n v="0"/>
    <n v="100"/>
    <n v="0"/>
    <s v="Consolidation"/>
    <s v="CO2e and Base Measure"/>
    <n v="100"/>
    <n v="100"/>
    <n v="0.09"/>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08-01T00:00:00"/>
    <s v="FY21"/>
    <s v="t"/>
    <n v="0.19500000000000001"/>
    <n v="3.15E-2"/>
    <n v="0"/>
    <n v="0.22650000000000001"/>
    <n v="3"/>
    <n v="1"/>
    <n v="0"/>
    <n v="4"/>
    <n v="86.09"/>
    <n v="13.9"/>
    <n v="0"/>
    <s v="Consolidation"/>
    <s v="CO2e and Base Measure"/>
    <n v="100"/>
    <n v="100"/>
    <n v="0.23"/>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09-01T00:00:00"/>
    <s v="FY21"/>
    <s v="t"/>
    <n v="0.06"/>
    <n v="3.15E-2"/>
    <n v="0"/>
    <n v="9.1499999999999998E-2"/>
    <n v="3"/>
    <n v="1"/>
    <n v="0"/>
    <n v="4"/>
    <n v="65.569999999999993"/>
    <n v="34.42"/>
    <n v="0"/>
    <s v="Consolidation"/>
    <s v="CO2e and Base Measure"/>
    <n v="100"/>
    <n v="100"/>
    <n v="0.09"/>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10-01T00:00:00"/>
    <s v="FY21"/>
    <s v="t"/>
    <n v="0.155"/>
    <n v="0"/>
    <n v="0"/>
    <n v="0.155"/>
    <n v="4"/>
    <n v="0"/>
    <n v="0"/>
    <n v="4"/>
    <n v="100"/>
    <n v="0"/>
    <n v="0"/>
    <s v="Consolidation"/>
    <s v="CO2e and Base Measure"/>
    <n v="100"/>
    <n v="100"/>
    <n v="0.16"/>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11-01T00:00:00"/>
    <s v="FY21"/>
    <s v="t"/>
    <n v="5.5E-2"/>
    <n v="0"/>
    <n v="0"/>
    <n v="5.5E-2"/>
    <n v="4"/>
    <n v="0"/>
    <n v="0"/>
    <n v="4"/>
    <n v="100"/>
    <n v="0"/>
    <n v="0"/>
    <s v="Consolidation"/>
    <s v="CO2e and Base Measure"/>
    <n v="100"/>
    <n v="100"/>
    <n v="0.06"/>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12-01T00:00:00"/>
    <s v="FY21"/>
    <s v="t"/>
    <n v="0"/>
    <n v="9.4500000000000001E-2"/>
    <n v="0"/>
    <n v="9.4500000000000001E-2"/>
    <n v="0"/>
    <n v="3"/>
    <n v="0"/>
    <n v="3"/>
    <n v="0"/>
    <n v="100"/>
    <n v="0"/>
    <s v="Consolidation"/>
    <s v="CO2e and Base Measure"/>
    <n v="100"/>
    <n v="100"/>
    <n v="0.09"/>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1-01-01T00:00:00"/>
    <s v="FY21"/>
    <s v="t"/>
    <n v="0"/>
    <n v="0"/>
    <n v="4.5999999999999999E-3"/>
    <n v="4.5999999999999999E-3"/>
    <n v="0"/>
    <n v="0"/>
    <n v="1"/>
    <n v="1"/>
    <n v="0"/>
    <n v="0"/>
    <n v="100"/>
    <s v="Consolidation"/>
    <s v="CO2e and Base Measure"/>
    <n v="100"/>
    <n v="100"/>
    <n v="0"/>
    <m/>
    <m/>
    <m/>
    <m/>
    <m/>
    <m/>
    <n v="0"/>
    <m/>
    <m/>
    <m/>
    <m/>
    <m/>
    <m/>
    <s v="AUD"/>
    <s v="13564363Waste Recycled - Cardboard [t]"/>
    <n v="13564363"/>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07-01T00:00:00"/>
    <s v="FY21"/>
    <s v="t"/>
    <n v="0.14000000000000001"/>
    <n v="0"/>
    <n v="0"/>
    <n v="0.14000000000000001"/>
    <n v="2"/>
    <n v="0"/>
    <n v="0"/>
    <n v="2"/>
    <n v="100"/>
    <n v="0"/>
    <n v="0"/>
    <s v="Consolidation"/>
    <s v="CO2e and Base Measure"/>
    <n v="100"/>
    <n v="100"/>
    <n v="0.14000000000000001"/>
    <m/>
    <m/>
    <m/>
    <m/>
    <m/>
    <n v="0.182"/>
    <m/>
    <n v="0.182"/>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08-01T00:00:00"/>
    <s v="FY21"/>
    <s v="t"/>
    <n v="0.27500000000000002"/>
    <n v="0"/>
    <n v="0"/>
    <n v="0.27500000000000002"/>
    <n v="2"/>
    <n v="0"/>
    <n v="0"/>
    <n v="2"/>
    <n v="100"/>
    <n v="0"/>
    <n v="0"/>
    <s v="Consolidation"/>
    <s v="CO2e and Base Measure"/>
    <n v="100"/>
    <n v="100"/>
    <n v="0.28000000000000003"/>
    <m/>
    <m/>
    <m/>
    <m/>
    <m/>
    <n v="0.35749999999999998"/>
    <m/>
    <n v="0.35749999999999998"/>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09-01T00:00:00"/>
    <s v="FY21"/>
    <s v="t"/>
    <n v="0.45500000000000002"/>
    <n v="0"/>
    <n v="0"/>
    <n v="0.45500000000000002"/>
    <n v="3"/>
    <n v="0"/>
    <n v="0"/>
    <n v="3"/>
    <n v="100"/>
    <n v="0"/>
    <n v="0"/>
    <s v="Consolidation"/>
    <s v="CO2e and Base Measure"/>
    <n v="100"/>
    <n v="100"/>
    <n v="0.46"/>
    <m/>
    <m/>
    <m/>
    <m/>
    <m/>
    <n v="0.59150000000000003"/>
    <m/>
    <n v="0.59150000000000003"/>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10-01T00:00:00"/>
    <s v="FY21"/>
    <s v="t"/>
    <n v="0.38500000000000001"/>
    <n v="0"/>
    <n v="0"/>
    <n v="0.38500000000000001"/>
    <n v="2"/>
    <n v="0"/>
    <n v="0"/>
    <n v="2"/>
    <n v="100"/>
    <n v="0"/>
    <n v="0"/>
    <s v="Consolidation"/>
    <s v="CO2e and Base Measure"/>
    <n v="100"/>
    <n v="100"/>
    <n v="0.39"/>
    <m/>
    <m/>
    <m/>
    <m/>
    <m/>
    <n v="0.50049999999999994"/>
    <m/>
    <n v="0.50049999999999994"/>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11-01T00:00:00"/>
    <s v="FY21"/>
    <s v="t"/>
    <n v="0.19"/>
    <n v="0"/>
    <n v="0"/>
    <n v="0.19"/>
    <n v="2"/>
    <n v="0"/>
    <n v="0"/>
    <n v="2"/>
    <n v="100"/>
    <n v="0"/>
    <n v="0"/>
    <s v="Consolidation"/>
    <s v="CO2e and Base Measure"/>
    <n v="100"/>
    <n v="100"/>
    <n v="0.19"/>
    <m/>
    <m/>
    <m/>
    <m/>
    <m/>
    <n v="0.247"/>
    <m/>
    <n v="0.247"/>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1-01-01T00:00:00"/>
    <s v="FY21"/>
    <s v="t"/>
    <n v="0"/>
    <n v="0"/>
    <n v="8.0999999999999996E-3"/>
    <n v="8.0999999999999996E-3"/>
    <n v="0"/>
    <n v="0"/>
    <n v="1"/>
    <n v="1"/>
    <n v="0"/>
    <n v="0"/>
    <n v="100"/>
    <s v="Consolidation"/>
    <s v="CO2e and Base Measure"/>
    <n v="100"/>
    <n v="100"/>
    <n v="0.01"/>
    <m/>
    <m/>
    <m/>
    <m/>
    <m/>
    <n v="1.0500000000000001E-2"/>
    <m/>
    <n v="1.0500000000000001E-2"/>
    <m/>
    <m/>
    <m/>
    <m/>
    <m/>
    <s v="AUD"/>
    <s v="13564365Waste - General [t] - Scope 3"/>
    <n v="13564365"/>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1-01T00:00:00"/>
    <s v="FY21"/>
    <s v="t"/>
    <n v="7.0000000000000007E-2"/>
    <n v="0"/>
    <n v="0"/>
    <n v="7.0000000000000007E-2"/>
    <n v="1"/>
    <n v="0"/>
    <n v="0"/>
    <n v="1"/>
    <n v="100"/>
    <n v="0"/>
    <n v="0"/>
    <s v="Consolidation"/>
    <s v="CO2e and Base Measure"/>
    <n v="100"/>
    <n v="100"/>
    <n v="7.0000000000000007E-2"/>
    <m/>
    <m/>
    <m/>
    <m/>
    <m/>
    <n v="9.0999999999999998E-2"/>
    <m/>
    <n v="9.0999999999999998E-2"/>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2-01T00:00:00"/>
    <s v="FY21"/>
    <s v="t"/>
    <n v="0.02"/>
    <n v="0"/>
    <n v="0"/>
    <n v="0.02"/>
    <n v="1"/>
    <n v="0"/>
    <n v="0"/>
    <n v="1"/>
    <n v="100"/>
    <n v="0"/>
    <n v="0"/>
    <s v="Consolidation"/>
    <s v="CO2e and Base Measure"/>
    <n v="100"/>
    <n v="100"/>
    <n v="0.02"/>
    <m/>
    <m/>
    <m/>
    <m/>
    <m/>
    <n v="2.5999999999999999E-2"/>
    <m/>
    <n v="2.5999999999999999E-2"/>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3-01T00:00:00"/>
    <s v="FY21"/>
    <s v="t"/>
    <n v="0.124"/>
    <n v="0"/>
    <n v="0"/>
    <n v="0.124"/>
    <n v="1"/>
    <n v="0"/>
    <n v="0"/>
    <n v="1"/>
    <n v="100"/>
    <n v="0"/>
    <n v="0"/>
    <s v="Consolidation"/>
    <s v="CO2e and Base Measure"/>
    <n v="100"/>
    <n v="100"/>
    <n v="0.12"/>
    <m/>
    <m/>
    <m/>
    <m/>
    <m/>
    <n v="0.16120000000000001"/>
    <m/>
    <n v="0.16120000000000001"/>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377Waste - General [t] - Scope 3"/>
    <n v="13634377"/>
  </r>
  <r>
    <d v="2019-07-01T00:00:00"/>
    <d v="2021-06-30T00:00:00"/>
    <s v="Telstra"/>
    <s v="NON-NETWORK"/>
    <s v="NON-NETWORK"/>
    <s v="NSW"/>
    <s v="Australia"/>
    <s v="Muswellbrook"/>
    <s v="Muswellbrook 123 Sydney St"/>
    <n v="423030284400"/>
    <s v="Recycled Waste"/>
    <x v="0"/>
    <x v="0"/>
    <s v="Account"/>
    <s v="CLEANAWAY Cardboard"/>
    <m/>
    <s v="30284400_Diversion_Cardboard"/>
    <s v="Cardboard"/>
    <s v="Cleanaway"/>
    <m/>
    <d v="2021-02-17T00:00:00"/>
    <m/>
    <d v="2021-02-01T00:00:00"/>
    <s v="FY21"/>
    <s v="t"/>
    <n v="0.151"/>
    <n v="0"/>
    <n v="0"/>
    <n v="0.151"/>
    <n v="1"/>
    <n v="0"/>
    <n v="0"/>
    <n v="1"/>
    <n v="100"/>
    <n v="0"/>
    <n v="0"/>
    <s v="Consolidation"/>
    <s v="CO2e and Base Measure"/>
    <n v="100"/>
    <n v="100"/>
    <n v="0.15"/>
    <m/>
    <m/>
    <m/>
    <m/>
    <m/>
    <m/>
    <m/>
    <m/>
    <m/>
    <m/>
    <m/>
    <m/>
    <m/>
    <s v="AUD"/>
    <s v="13639955Waste Recycled - Paper and Cardboard [t]"/>
    <n v="13639955"/>
  </r>
  <r>
    <d v="2019-07-01T00:00:00"/>
    <d v="2021-06-30T00:00:00"/>
    <s v="Telstra"/>
    <s v="NON-NETWORK"/>
    <s v="NON-NETWORK"/>
    <s v="NSW"/>
    <s v="Australia"/>
    <s v="Muswellbrook"/>
    <s v="Muswellbrook 123 Sydney St"/>
    <n v="423030284400"/>
    <s v="Recycled Waste"/>
    <x v="0"/>
    <x v="0"/>
    <s v="Account"/>
    <s v="CLEANAWAY Cardboard"/>
    <m/>
    <s v="30284400_Diversion_Cardboard"/>
    <s v="Cardboard"/>
    <s v="Cleanaway"/>
    <m/>
    <d v="2021-02-17T00:00:00"/>
    <m/>
    <d v="2021-03-01T00:00:00"/>
    <s v="FY21"/>
    <s v="t"/>
    <n v="0"/>
    <n v="0"/>
    <n v="0.1736"/>
    <n v="0.1736"/>
    <n v="0"/>
    <n v="0"/>
    <n v="31"/>
    <n v="31"/>
    <n v="0"/>
    <n v="0"/>
    <n v="100"/>
    <s v="Consolidation"/>
    <s v="CO2e and Base Measure"/>
    <n v="100"/>
    <n v="100"/>
    <n v="0.17"/>
    <m/>
    <m/>
    <m/>
    <m/>
    <m/>
    <m/>
    <m/>
    <m/>
    <m/>
    <m/>
    <m/>
    <m/>
    <m/>
    <s v="AUD"/>
    <s v="13639955Waste Recycled - Paper and Cardboard [t]"/>
    <n v="13639955"/>
  </r>
  <r>
    <d v="2019-07-01T00:00:00"/>
    <d v="2021-06-30T00:00:00"/>
    <s v="Telstra"/>
    <s v="NON-NETWORK"/>
    <s v="NON-NETWORK"/>
    <s v="NSW"/>
    <s v="Australia"/>
    <s v="Muswellbrook"/>
    <s v="Muswellbrook 123 Sydney St"/>
    <n v="423030284400"/>
    <s v="Recycled Waste"/>
    <x v="0"/>
    <x v="0"/>
    <s v="Account"/>
    <s v="CLEANAWAY Cardboard"/>
    <m/>
    <s v="30284400_Diversion_Cardboard"/>
    <s v="Cardboard"/>
    <s v="Cleanaway"/>
    <m/>
    <d v="2021-02-17T00:00:00"/>
    <m/>
    <d v="2021-04-01T00:00:00"/>
    <s v="FY21"/>
    <s v="t"/>
    <n v="0"/>
    <n v="0"/>
    <n v="0.16800000000000001"/>
    <n v="0.16800000000000001"/>
    <n v="0"/>
    <n v="0"/>
    <n v="30"/>
    <n v="30"/>
    <n v="0"/>
    <n v="0"/>
    <n v="100"/>
    <s v="Consolidation"/>
    <s v="CO2e and Base Measure"/>
    <n v="100"/>
    <n v="100"/>
    <n v="0.17"/>
    <m/>
    <m/>
    <m/>
    <m/>
    <m/>
    <m/>
    <m/>
    <m/>
    <m/>
    <m/>
    <m/>
    <m/>
    <m/>
    <s v="AUD"/>
    <s v="13639955Waste Recycled - Paper and Cardboard [t]"/>
    <n v="13639955"/>
  </r>
  <r>
    <d v="2019-07-01T00:00:00"/>
    <d v="2021-06-30T00:00:00"/>
    <s v="Telstra"/>
    <s v="NON-NETWORK"/>
    <s v="NON-NETWORK"/>
    <s v="NSW"/>
    <s v="Australia"/>
    <s v="Muswellbrook"/>
    <s v="Muswellbrook 123 Sydney St"/>
    <n v="423030284400"/>
    <s v="Recycled Waste"/>
    <x v="0"/>
    <x v="0"/>
    <s v="Account"/>
    <s v="CLEANAWAY Cardboard"/>
    <m/>
    <s v="30284400_Diversion_Cardboard"/>
    <s v="Cardboard"/>
    <s v="Cleanaway"/>
    <m/>
    <d v="2021-02-17T00:00:00"/>
    <m/>
    <d v="2021-05-01T00:00:00"/>
    <s v="FY21"/>
    <s v="t"/>
    <n v="0"/>
    <n v="0"/>
    <n v="0.1736"/>
    <n v="0.1736"/>
    <n v="0"/>
    <n v="0"/>
    <n v="31"/>
    <n v="31"/>
    <n v="0"/>
    <n v="0"/>
    <n v="100"/>
    <s v="Consolidation"/>
    <s v="CO2e and Base Measure"/>
    <n v="100"/>
    <n v="100"/>
    <n v="0.17"/>
    <m/>
    <m/>
    <m/>
    <m/>
    <m/>
    <m/>
    <m/>
    <m/>
    <m/>
    <m/>
    <m/>
    <m/>
    <m/>
    <s v="AUD"/>
    <s v="13639955Waste Recycled - Paper and Cardboard [t]"/>
    <n v="13639955"/>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12-01T00:00:00"/>
    <s v="FY21"/>
    <s v="t"/>
    <n v="0"/>
    <n v="0"/>
    <n v="1.41E-2"/>
    <n v="1.41E-2"/>
    <n v="0"/>
    <n v="0"/>
    <n v="1"/>
    <n v="1"/>
    <n v="0"/>
    <n v="0"/>
    <n v="100"/>
    <s v="Consolidation"/>
    <s v="CO2e and Base Measure"/>
    <n v="100"/>
    <n v="100"/>
    <n v="0.01"/>
    <m/>
    <m/>
    <m/>
    <m/>
    <m/>
    <n v="1.83E-2"/>
    <m/>
    <n v="1.83E-2"/>
    <m/>
    <m/>
    <m/>
    <m/>
    <m/>
    <s v="AUD"/>
    <s v="13565234Waste - General [t] - Scope 3"/>
    <n v="13565234"/>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1-01T00:00:00"/>
    <s v="FY21"/>
    <s v="t"/>
    <n v="8.2000000000000003E-2"/>
    <n v="0"/>
    <n v="0"/>
    <n v="8.2000000000000003E-2"/>
    <n v="1"/>
    <n v="0"/>
    <n v="0"/>
    <n v="1"/>
    <n v="100"/>
    <n v="0"/>
    <n v="0"/>
    <s v="Consolidation"/>
    <s v="CO2e and Base Measure"/>
    <n v="100"/>
    <n v="100"/>
    <n v="0.08"/>
    <m/>
    <m/>
    <m/>
    <m/>
    <m/>
    <n v="0.1066"/>
    <m/>
    <n v="0.1066"/>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2-01T00:00:00"/>
    <s v="FY21"/>
    <s v="t"/>
    <n v="6.0999999999999999E-2"/>
    <n v="0"/>
    <n v="0"/>
    <n v="6.0999999999999999E-2"/>
    <n v="1"/>
    <n v="0"/>
    <n v="0"/>
    <n v="1"/>
    <n v="100"/>
    <n v="0"/>
    <n v="0"/>
    <s v="Consolidation"/>
    <s v="CO2e and Base Measure"/>
    <n v="100"/>
    <n v="100"/>
    <n v="0.06"/>
    <m/>
    <m/>
    <m/>
    <m/>
    <m/>
    <n v="7.9299999999999995E-2"/>
    <m/>
    <n v="7.9299999999999995E-2"/>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3-01T00:00:00"/>
    <s v="FY21"/>
    <s v="t"/>
    <n v="6.3E-2"/>
    <n v="0"/>
    <n v="0"/>
    <n v="6.3E-2"/>
    <n v="1"/>
    <n v="0"/>
    <n v="0"/>
    <n v="1"/>
    <n v="100"/>
    <n v="0"/>
    <n v="0"/>
    <s v="Consolidation"/>
    <s v="CO2e and Base Measure"/>
    <n v="100"/>
    <n v="100"/>
    <n v="0.06"/>
    <m/>
    <m/>
    <m/>
    <m/>
    <m/>
    <n v="8.1900000000000001E-2"/>
    <m/>
    <n v="8.1900000000000001E-2"/>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4-01T00:00:00"/>
    <s v="FY21"/>
    <s v="t"/>
    <n v="0"/>
    <n v="0"/>
    <n v="8.4000000000000005E-2"/>
    <n v="8.4000000000000005E-2"/>
    <n v="0"/>
    <n v="0"/>
    <n v="30"/>
    <n v="30"/>
    <n v="0"/>
    <n v="0"/>
    <n v="100"/>
    <s v="Consolidation"/>
    <s v="CO2e and Base Measure"/>
    <n v="100"/>
    <n v="100"/>
    <n v="0.08"/>
    <m/>
    <m/>
    <m/>
    <m/>
    <m/>
    <n v="0.10920000000000001"/>
    <m/>
    <n v="0.10920000000000001"/>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5-01T00:00:00"/>
    <s v="FY21"/>
    <s v="t"/>
    <n v="0"/>
    <n v="0"/>
    <n v="8.6800000000000002E-2"/>
    <n v="8.6800000000000002E-2"/>
    <n v="0"/>
    <n v="0"/>
    <n v="31"/>
    <n v="31"/>
    <n v="0"/>
    <n v="0"/>
    <n v="100"/>
    <s v="Consolidation"/>
    <s v="CO2e and Base Measure"/>
    <n v="100"/>
    <n v="100"/>
    <n v="0.09"/>
    <m/>
    <m/>
    <m/>
    <m/>
    <m/>
    <n v="0.1128"/>
    <m/>
    <n v="0.1128"/>
    <m/>
    <m/>
    <m/>
    <m/>
    <m/>
    <s v="AUD"/>
    <s v="13634201Waste - General [t] - Scope 3"/>
    <n v="1363420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3981Waste - General [t] - Scope 3"/>
    <n v="1363398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1-02-01T00:00:00"/>
    <s v="FY21"/>
    <s v="t"/>
    <n v="0.86499999999999999"/>
    <n v="0"/>
    <n v="0"/>
    <n v="0.86499999999999999"/>
    <n v="2"/>
    <n v="0"/>
    <n v="0"/>
    <n v="2"/>
    <n v="100"/>
    <n v="0"/>
    <n v="0"/>
    <s v="Consolidation"/>
    <s v="CO2e and Base Measure"/>
    <n v="100"/>
    <n v="100"/>
    <n v="0.87"/>
    <m/>
    <m/>
    <m/>
    <m/>
    <m/>
    <n v="1.1245000000000001"/>
    <m/>
    <n v="1.1245000000000001"/>
    <m/>
    <m/>
    <m/>
    <m/>
    <m/>
    <s v="AUD"/>
    <s v="13633981Waste - General [t] - Scope 3"/>
    <n v="1363398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1-03-01T00:00:00"/>
    <s v="FY21"/>
    <s v="t"/>
    <n v="0.26"/>
    <n v="0"/>
    <n v="0"/>
    <n v="0.26"/>
    <n v="1"/>
    <n v="0"/>
    <n v="0"/>
    <n v="1"/>
    <n v="100"/>
    <n v="0"/>
    <n v="0"/>
    <s v="Consolidation"/>
    <s v="CO2e and Base Measure"/>
    <n v="100"/>
    <n v="100"/>
    <n v="0.26"/>
    <m/>
    <m/>
    <m/>
    <m/>
    <m/>
    <n v="0.33800000000000002"/>
    <m/>
    <n v="0.33800000000000002"/>
    <m/>
    <m/>
    <m/>
    <m/>
    <m/>
    <s v="AUD"/>
    <s v="13633981Waste - General [t] - Scope 3"/>
    <n v="1363398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1-04-01T00:00:00"/>
    <s v="FY21"/>
    <s v="t"/>
    <n v="0"/>
    <n v="0"/>
    <n v="0.252"/>
    <n v="0.252"/>
    <n v="0"/>
    <n v="0"/>
    <n v="30"/>
    <n v="30"/>
    <n v="0"/>
    <n v="0"/>
    <n v="100"/>
    <s v="Consolidation"/>
    <s v="CO2e and Base Measure"/>
    <n v="100"/>
    <n v="100"/>
    <n v="0.25"/>
    <m/>
    <m/>
    <m/>
    <m/>
    <m/>
    <n v="0.3276"/>
    <m/>
    <n v="0.3276"/>
    <m/>
    <m/>
    <m/>
    <m/>
    <m/>
    <s v="AUD"/>
    <s v="13633981Waste - General [t] - Scope 3"/>
    <n v="1363398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1-05-01T00:00:00"/>
    <s v="FY21"/>
    <s v="t"/>
    <n v="0"/>
    <n v="0"/>
    <n v="0.26040000000000002"/>
    <n v="0.26040000000000002"/>
    <n v="0"/>
    <n v="0"/>
    <n v="31"/>
    <n v="31"/>
    <n v="0"/>
    <n v="0"/>
    <n v="100"/>
    <s v="Consolidation"/>
    <s v="CO2e and Base Measure"/>
    <n v="100"/>
    <n v="100"/>
    <n v="0.26"/>
    <m/>
    <m/>
    <m/>
    <m/>
    <m/>
    <n v="0.33850000000000002"/>
    <m/>
    <n v="0.33850000000000002"/>
    <m/>
    <m/>
    <m/>
    <m/>
    <m/>
    <s v="AUD"/>
    <s v="13633981Waste - General [t] - Scope 3"/>
    <n v="13633981"/>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0-11-01T00:00:00"/>
    <s v="FY21"/>
    <s v="t"/>
    <n v="0"/>
    <n v="3.7499999999999999E-2"/>
    <n v="0"/>
    <n v="3.7499999999999999E-2"/>
    <n v="0"/>
    <n v="1"/>
    <n v="0"/>
    <n v="1"/>
    <n v="0"/>
    <n v="100"/>
    <n v="0"/>
    <s v="Consolidation"/>
    <s v="CO2e and Base Measure"/>
    <n v="100"/>
    <n v="100"/>
    <n v="0.04"/>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0-12-01T00:00:00"/>
    <s v="FY21"/>
    <s v="t"/>
    <n v="0.02"/>
    <n v="0"/>
    <n v="0"/>
    <n v="0.02"/>
    <n v="1"/>
    <n v="0"/>
    <n v="0"/>
    <n v="1"/>
    <n v="100"/>
    <n v="0"/>
    <n v="0"/>
    <s v="Consolidation"/>
    <s v="CO2e and Base Measure"/>
    <n v="100"/>
    <n v="100"/>
    <n v="0.02"/>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1-02-01T00:00:00"/>
    <s v="FY21"/>
    <s v="t"/>
    <n v="0.04"/>
    <n v="0"/>
    <n v="0"/>
    <n v="0.04"/>
    <n v="1"/>
    <n v="0"/>
    <n v="0"/>
    <n v="1"/>
    <n v="100"/>
    <n v="0"/>
    <n v="0"/>
    <s v="Consolidation"/>
    <s v="CO2e and Base Measure"/>
    <n v="100"/>
    <n v="100"/>
    <n v="0.04"/>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1-03-01T00:00:00"/>
    <s v="FY21"/>
    <s v="t"/>
    <n v="0.02"/>
    <n v="0"/>
    <n v="0"/>
    <n v="0.02"/>
    <n v="1"/>
    <n v="0"/>
    <n v="0"/>
    <n v="1"/>
    <n v="100"/>
    <n v="0"/>
    <n v="0"/>
    <s v="Consolidation"/>
    <s v="CO2e and Base Measure"/>
    <n v="100"/>
    <n v="100"/>
    <n v="0.02"/>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1-04-01T00:00:00"/>
    <s v="FY21"/>
    <s v="t"/>
    <n v="0"/>
    <n v="0"/>
    <n v="2.4E-2"/>
    <n v="2.4E-2"/>
    <n v="0"/>
    <n v="0"/>
    <n v="30"/>
    <n v="30"/>
    <n v="0"/>
    <n v="0"/>
    <n v="100"/>
    <s v="Consolidation"/>
    <s v="CO2e and Base Measure"/>
    <n v="100"/>
    <n v="100"/>
    <n v="0.02"/>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1-05-01T00:00:00"/>
    <s v="FY21"/>
    <s v="t"/>
    <n v="0"/>
    <n v="0"/>
    <n v="2.4799999999999999E-2"/>
    <n v="2.4799999999999999E-2"/>
    <n v="0"/>
    <n v="0"/>
    <n v="31"/>
    <n v="31"/>
    <n v="0"/>
    <n v="0"/>
    <n v="100"/>
    <s v="Consolidation"/>
    <s v="CO2e and Base Measure"/>
    <n v="100"/>
    <n v="100"/>
    <n v="0.02"/>
    <m/>
    <m/>
    <m/>
    <m/>
    <m/>
    <m/>
    <m/>
    <m/>
    <m/>
    <m/>
    <m/>
    <m/>
    <m/>
    <s v="AUD"/>
    <s v="13633982Waste Recycled - Paper and Cardboard [t]"/>
    <n v="13633982"/>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07-01T00:00:00"/>
    <s v="FY21"/>
    <s v="t"/>
    <n v="0"/>
    <n v="3.15E-2"/>
    <n v="0"/>
    <n v="3.15E-2"/>
    <n v="0"/>
    <n v="1"/>
    <n v="0"/>
    <n v="1"/>
    <n v="0"/>
    <n v="100"/>
    <n v="0"/>
    <s v="Consolidation"/>
    <s v="CO2e and Base Measure"/>
    <n v="100"/>
    <n v="100"/>
    <n v="0.03"/>
    <m/>
    <m/>
    <m/>
    <m/>
    <m/>
    <m/>
    <n v="0"/>
    <m/>
    <m/>
    <m/>
    <m/>
    <m/>
    <m/>
    <s v="AUD"/>
    <s v="13565937Waste Recycled - Cardboard [t]"/>
    <n v="13565937"/>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08-01T00:00:00"/>
    <s v="FY21"/>
    <s v="t"/>
    <n v="0"/>
    <n v="3.15E-2"/>
    <n v="0"/>
    <n v="3.15E-2"/>
    <n v="0"/>
    <n v="1"/>
    <n v="0"/>
    <n v="1"/>
    <n v="0"/>
    <n v="100"/>
    <n v="0"/>
    <s v="Consolidation"/>
    <s v="CO2e and Base Measure"/>
    <n v="100"/>
    <n v="100"/>
    <n v="0.03"/>
    <m/>
    <m/>
    <m/>
    <m/>
    <m/>
    <m/>
    <n v="0"/>
    <m/>
    <m/>
    <m/>
    <m/>
    <m/>
    <m/>
    <s v="AUD"/>
    <s v="13565937Waste Recycled - Cardboard [t]"/>
    <n v="13565937"/>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09-01T00:00:00"/>
    <s v="FY21"/>
    <s v="t"/>
    <n v="0"/>
    <n v="3.15E-2"/>
    <n v="0"/>
    <n v="3.15E-2"/>
    <n v="0"/>
    <n v="1"/>
    <n v="0"/>
    <n v="1"/>
    <n v="0"/>
    <n v="100"/>
    <n v="0"/>
    <s v="Consolidation"/>
    <s v="CO2e and Base Measure"/>
    <n v="100"/>
    <n v="100"/>
    <n v="0.03"/>
    <m/>
    <m/>
    <m/>
    <m/>
    <m/>
    <m/>
    <n v="0"/>
    <m/>
    <m/>
    <m/>
    <m/>
    <m/>
    <m/>
    <s v="AUD"/>
    <s v="13565937Waste Recycled - Cardboard [t]"/>
    <n v="13565937"/>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10-01T00:00:00"/>
    <s v="FY21"/>
    <s v="t"/>
    <n v="0"/>
    <n v="3.15E-2"/>
    <n v="0"/>
    <n v="3.15E-2"/>
    <n v="0"/>
    <n v="1"/>
    <n v="0"/>
    <n v="1"/>
    <n v="0"/>
    <n v="100"/>
    <n v="0"/>
    <s v="Consolidation"/>
    <s v="CO2e and Base Measure"/>
    <n v="100"/>
    <n v="100"/>
    <n v="0.03"/>
    <m/>
    <m/>
    <m/>
    <m/>
    <m/>
    <m/>
    <n v="0"/>
    <m/>
    <m/>
    <m/>
    <m/>
    <m/>
    <m/>
    <s v="AUD"/>
    <s v="13565937Waste Recycled - Cardboard [t]"/>
    <n v="13565937"/>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11-01T00:00:00"/>
    <s v="FY21"/>
    <s v="t"/>
    <n v="0"/>
    <n v="0"/>
    <n v="1E-3"/>
    <n v="1E-3"/>
    <n v="0"/>
    <n v="0"/>
    <n v="1"/>
    <n v="1"/>
    <n v="0"/>
    <n v="0"/>
    <n v="100"/>
    <s v="Consolidation"/>
    <s v="CO2e and Base Measure"/>
    <n v="100"/>
    <n v="100"/>
    <n v="0"/>
    <m/>
    <m/>
    <m/>
    <m/>
    <m/>
    <m/>
    <n v="0"/>
    <m/>
    <m/>
    <m/>
    <m/>
    <m/>
    <m/>
    <s v="AUD"/>
    <s v="13565937Waste Recycled - Cardboard [t]"/>
    <n v="13565937"/>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07-01T00:00:00"/>
    <s v="FY21"/>
    <s v="t"/>
    <n v="0"/>
    <n v="0.22750000000000001"/>
    <n v="0"/>
    <n v="0.22750000000000001"/>
    <n v="0"/>
    <n v="1"/>
    <n v="0"/>
    <n v="1"/>
    <n v="0"/>
    <n v="100"/>
    <n v="0"/>
    <s v="Consolidation"/>
    <s v="CO2e and Base Measure"/>
    <n v="100"/>
    <n v="100"/>
    <n v="0.23"/>
    <m/>
    <m/>
    <m/>
    <m/>
    <m/>
    <n v="0.29580000000000001"/>
    <m/>
    <n v="0.29580000000000001"/>
    <m/>
    <m/>
    <m/>
    <m/>
    <m/>
    <s v="AUD"/>
    <s v="13565938Waste - General [t] - Scope 3"/>
    <n v="13565938"/>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08-01T00:00:00"/>
    <s v="FY21"/>
    <s v="t"/>
    <n v="0"/>
    <n v="0.45500000000000002"/>
    <n v="0"/>
    <n v="0.45500000000000002"/>
    <n v="0"/>
    <n v="2"/>
    <n v="0"/>
    <n v="2"/>
    <n v="0"/>
    <n v="100"/>
    <n v="0"/>
    <s v="Consolidation"/>
    <s v="CO2e and Base Measure"/>
    <n v="100"/>
    <n v="100"/>
    <n v="0.46"/>
    <m/>
    <m/>
    <m/>
    <m/>
    <m/>
    <n v="0.59150000000000003"/>
    <m/>
    <n v="0.59150000000000003"/>
    <m/>
    <m/>
    <m/>
    <m/>
    <m/>
    <s v="AUD"/>
    <s v="13565938Waste - General [t] - Scope 3"/>
    <n v="13565938"/>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09-01T00:00:00"/>
    <s v="FY21"/>
    <s v="t"/>
    <n v="0"/>
    <n v="0.22750000000000001"/>
    <n v="0"/>
    <n v="0.22750000000000001"/>
    <n v="0"/>
    <n v="1"/>
    <n v="0"/>
    <n v="1"/>
    <n v="0"/>
    <n v="100"/>
    <n v="0"/>
    <s v="Consolidation"/>
    <s v="CO2e and Base Measure"/>
    <n v="100"/>
    <n v="100"/>
    <n v="0.23"/>
    <m/>
    <m/>
    <m/>
    <m/>
    <m/>
    <n v="0.29580000000000001"/>
    <m/>
    <n v="0.29580000000000001"/>
    <m/>
    <m/>
    <m/>
    <m/>
    <m/>
    <s v="AUD"/>
    <s v="13565938Waste - General [t] - Scope 3"/>
    <n v="13565938"/>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10-01T00:00:00"/>
    <s v="FY21"/>
    <s v="t"/>
    <n v="0"/>
    <n v="0.22750000000000001"/>
    <n v="0"/>
    <n v="0.22750000000000001"/>
    <n v="0"/>
    <n v="1"/>
    <n v="0"/>
    <n v="1"/>
    <n v="0"/>
    <n v="100"/>
    <n v="0"/>
    <s v="Consolidation"/>
    <s v="CO2e and Base Measure"/>
    <n v="100"/>
    <n v="100"/>
    <n v="0.23"/>
    <m/>
    <m/>
    <m/>
    <m/>
    <m/>
    <n v="0.29580000000000001"/>
    <m/>
    <n v="0.29580000000000001"/>
    <m/>
    <m/>
    <m/>
    <m/>
    <m/>
    <s v="AUD"/>
    <s v="13565938Waste - General [t] - Scope 3"/>
    <n v="13565938"/>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11-01T00:00:00"/>
    <s v="FY21"/>
    <s v="t"/>
    <n v="0"/>
    <n v="0"/>
    <n v="8.9999999999999993E-3"/>
    <n v="8.9999999999999993E-3"/>
    <n v="0"/>
    <n v="0"/>
    <n v="1"/>
    <n v="1"/>
    <n v="0"/>
    <n v="0"/>
    <n v="100"/>
    <s v="Consolidation"/>
    <s v="CO2e and Base Measure"/>
    <n v="100"/>
    <n v="100"/>
    <n v="0.01"/>
    <m/>
    <m/>
    <m/>
    <m/>
    <m/>
    <n v="1.17E-2"/>
    <m/>
    <n v="1.17E-2"/>
    <m/>
    <m/>
    <m/>
    <m/>
    <m/>
    <s v="AUD"/>
    <s v="13565938Waste - General [t] - Scope 3"/>
    <n v="13565938"/>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07-01T00:00:00"/>
    <s v="FY21"/>
    <s v="t"/>
    <n v="0.04"/>
    <n v="0"/>
    <n v="0"/>
    <n v="0.04"/>
    <n v="2"/>
    <n v="0"/>
    <n v="0"/>
    <n v="2"/>
    <n v="100"/>
    <n v="0"/>
    <n v="0"/>
    <s v="Consolidation"/>
    <s v="CO2e and Base Measure"/>
    <n v="100"/>
    <n v="100"/>
    <n v="0.04"/>
    <m/>
    <m/>
    <m/>
    <m/>
    <m/>
    <n v="5.1999999999999998E-2"/>
    <m/>
    <n v="5.1999999999999998E-2"/>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08-01T00:00:00"/>
    <s v="FY21"/>
    <s v="t"/>
    <n v="0.18"/>
    <n v="0"/>
    <n v="0"/>
    <n v="0.18"/>
    <n v="2"/>
    <n v="0"/>
    <n v="0"/>
    <n v="2"/>
    <n v="100"/>
    <n v="0"/>
    <n v="0"/>
    <s v="Consolidation"/>
    <s v="CO2e and Base Measure"/>
    <n v="100"/>
    <n v="100"/>
    <n v="0.18"/>
    <m/>
    <m/>
    <m/>
    <m/>
    <m/>
    <n v="0.23400000000000001"/>
    <m/>
    <n v="0.23400000000000001"/>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09-01T00:00:00"/>
    <s v="FY21"/>
    <s v="t"/>
    <n v="0.32"/>
    <n v="0"/>
    <n v="0"/>
    <n v="0.32"/>
    <n v="3"/>
    <n v="0"/>
    <n v="0"/>
    <n v="3"/>
    <n v="100"/>
    <n v="0"/>
    <n v="0"/>
    <s v="Consolidation"/>
    <s v="CO2e and Base Measure"/>
    <n v="100"/>
    <n v="100"/>
    <n v="0.32"/>
    <m/>
    <m/>
    <m/>
    <m/>
    <m/>
    <n v="0.41599999999999998"/>
    <m/>
    <n v="0.41599999999999998"/>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10-01T00:00:00"/>
    <s v="FY21"/>
    <s v="t"/>
    <n v="0.31"/>
    <n v="0"/>
    <n v="0"/>
    <n v="0.31"/>
    <n v="2"/>
    <n v="0"/>
    <n v="0"/>
    <n v="2"/>
    <n v="100"/>
    <n v="0"/>
    <n v="0"/>
    <s v="Consolidation"/>
    <s v="CO2e and Base Measure"/>
    <n v="100"/>
    <n v="100"/>
    <n v="0.31"/>
    <m/>
    <m/>
    <m/>
    <m/>
    <m/>
    <n v="0.40300000000000002"/>
    <m/>
    <n v="0.40300000000000002"/>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1-01-01T00:00:00"/>
    <s v="FY21"/>
    <s v="t"/>
    <n v="0"/>
    <n v="0"/>
    <n v="5.7999999999999996E-3"/>
    <n v="5.7999999999999996E-3"/>
    <n v="0"/>
    <n v="0"/>
    <n v="1"/>
    <n v="1"/>
    <n v="0"/>
    <n v="0"/>
    <n v="100"/>
    <s v="Consolidation"/>
    <s v="CO2e and Base Measure"/>
    <n v="100"/>
    <n v="100"/>
    <n v="0.01"/>
    <m/>
    <m/>
    <m/>
    <m/>
    <m/>
    <n v="7.4999999999999997E-3"/>
    <m/>
    <n v="7.4999999999999997E-3"/>
    <m/>
    <m/>
    <m/>
    <m/>
    <m/>
    <s v="AUD"/>
    <s v="13564212Waste - General [t] - Scope 3"/>
    <n v="1356421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0-12-01T00:00:00"/>
    <s v="FY21"/>
    <s v="t"/>
    <n v="1.9E-2"/>
    <n v="6.7500000000000004E-2"/>
    <n v="0"/>
    <n v="8.6499999999999994E-2"/>
    <n v="1"/>
    <n v="1"/>
    <n v="0"/>
    <n v="2"/>
    <n v="21.96"/>
    <n v="78.03"/>
    <n v="0"/>
    <s v="Consolidation"/>
    <s v="CO2e and Base Measure"/>
    <n v="100"/>
    <n v="100"/>
    <n v="0.09"/>
    <m/>
    <m/>
    <m/>
    <m/>
    <m/>
    <n v="0.1125"/>
    <m/>
    <n v="0.1125"/>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1-01T00:00:00"/>
    <s v="FY21"/>
    <s v="t"/>
    <n v="0"/>
    <n v="0.1845"/>
    <n v="0"/>
    <n v="0.1845"/>
    <n v="0"/>
    <n v="3"/>
    <n v="0"/>
    <n v="3"/>
    <n v="0"/>
    <n v="100"/>
    <n v="0"/>
    <s v="Consolidation"/>
    <s v="CO2e and Base Measure"/>
    <n v="100"/>
    <n v="100"/>
    <n v="0.18"/>
    <m/>
    <m/>
    <m/>
    <m/>
    <m/>
    <n v="0.2399"/>
    <m/>
    <n v="0.2399"/>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2-01T00:00:00"/>
    <s v="FY21"/>
    <s v="t"/>
    <n v="0.123"/>
    <n v="0"/>
    <n v="0"/>
    <n v="0.123"/>
    <n v="2"/>
    <n v="0"/>
    <n v="0"/>
    <n v="2"/>
    <n v="100"/>
    <n v="0"/>
    <n v="0"/>
    <s v="Consolidation"/>
    <s v="CO2e and Base Measure"/>
    <n v="100"/>
    <n v="100"/>
    <n v="0.12"/>
    <m/>
    <m/>
    <m/>
    <m/>
    <m/>
    <n v="0.15989999999999999"/>
    <m/>
    <n v="0.15989999999999999"/>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3-01T00:00:00"/>
    <s v="FY21"/>
    <s v="t"/>
    <n v="0.192"/>
    <n v="0"/>
    <n v="0"/>
    <n v="0.192"/>
    <n v="2"/>
    <n v="0"/>
    <n v="0"/>
    <n v="2"/>
    <n v="100"/>
    <n v="0"/>
    <n v="0"/>
    <s v="Consolidation"/>
    <s v="CO2e and Base Measure"/>
    <n v="100"/>
    <n v="100"/>
    <n v="0.19"/>
    <m/>
    <m/>
    <m/>
    <m/>
    <m/>
    <n v="0.24959999999999999"/>
    <m/>
    <n v="0.24959999999999999"/>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4-01T00:00:00"/>
    <s v="FY21"/>
    <s v="t"/>
    <n v="0"/>
    <n v="0"/>
    <n v="0.14699999999999999"/>
    <n v="0.14699999999999999"/>
    <n v="0"/>
    <n v="0"/>
    <n v="30"/>
    <n v="30"/>
    <n v="0"/>
    <n v="0"/>
    <n v="100"/>
    <s v="Consolidation"/>
    <s v="CO2e and Base Measure"/>
    <n v="100"/>
    <n v="100"/>
    <n v="0.15"/>
    <m/>
    <m/>
    <m/>
    <m/>
    <m/>
    <n v="0.19109999999999999"/>
    <m/>
    <n v="0.19109999999999999"/>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5-01T00:00:00"/>
    <s v="FY21"/>
    <s v="t"/>
    <n v="0"/>
    <n v="0"/>
    <n v="0.15190000000000001"/>
    <n v="0.15190000000000001"/>
    <n v="0"/>
    <n v="0"/>
    <n v="31"/>
    <n v="31"/>
    <n v="0"/>
    <n v="0"/>
    <n v="100"/>
    <s v="Consolidation"/>
    <s v="CO2e and Base Measure"/>
    <n v="100"/>
    <n v="100"/>
    <n v="0.15"/>
    <m/>
    <m/>
    <m/>
    <m/>
    <m/>
    <n v="0.19750000000000001"/>
    <m/>
    <n v="0.19750000000000001"/>
    <m/>
    <m/>
    <m/>
    <m/>
    <m/>
    <s v="AUD"/>
    <s v="13634202Waste - General [t] - Scope 3"/>
    <n v="13634202"/>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0-12-01T00:00:00"/>
    <s v="FY21"/>
    <s v="t"/>
    <n v="3.72"/>
    <n v="0"/>
    <n v="0"/>
    <n v="3.72"/>
    <n v="1"/>
    <n v="0"/>
    <n v="0"/>
    <n v="1"/>
    <n v="100"/>
    <n v="0"/>
    <n v="0"/>
    <s v="Consolidation"/>
    <s v="CO2e and Base Measure"/>
    <n v="100"/>
    <n v="100"/>
    <n v="3.72"/>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1-01T00:00:00"/>
    <s v="FY21"/>
    <s v="t"/>
    <n v="0"/>
    <n v="0"/>
    <n v="3.8439999999999999"/>
    <n v="3.8439999999999999"/>
    <n v="0"/>
    <n v="0"/>
    <n v="31"/>
    <n v="31"/>
    <n v="0"/>
    <n v="0"/>
    <n v="100"/>
    <s v="Consolidation"/>
    <s v="CO2e and Base Measure"/>
    <n v="100"/>
    <n v="100"/>
    <n v="3.84"/>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2-01T00:00:00"/>
    <s v="FY21"/>
    <s v="t"/>
    <n v="0"/>
    <n v="0"/>
    <n v="3.472"/>
    <n v="3.472"/>
    <n v="0"/>
    <n v="0"/>
    <n v="28"/>
    <n v="28"/>
    <n v="0"/>
    <n v="0"/>
    <n v="100"/>
    <s v="Consolidation"/>
    <s v="CO2e and Base Measure"/>
    <n v="100"/>
    <n v="100"/>
    <n v="3.47"/>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3-01T00:00:00"/>
    <s v="FY21"/>
    <s v="t"/>
    <n v="0"/>
    <n v="0"/>
    <n v="3.8439999999999999"/>
    <n v="3.8439999999999999"/>
    <n v="0"/>
    <n v="0"/>
    <n v="31"/>
    <n v="31"/>
    <n v="0"/>
    <n v="0"/>
    <n v="100"/>
    <s v="Consolidation"/>
    <s v="CO2e and Base Measure"/>
    <n v="100"/>
    <n v="100"/>
    <n v="3.84"/>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4-01T00:00:00"/>
    <s v="FY21"/>
    <s v="t"/>
    <n v="0"/>
    <n v="0"/>
    <n v="3.72"/>
    <n v="3.72"/>
    <n v="0"/>
    <n v="0"/>
    <n v="30"/>
    <n v="30"/>
    <n v="0"/>
    <n v="0"/>
    <n v="100"/>
    <s v="Consolidation"/>
    <s v="CO2e and Base Measure"/>
    <n v="100"/>
    <n v="100"/>
    <n v="3.72"/>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5-01T00:00:00"/>
    <s v="FY21"/>
    <s v="t"/>
    <n v="0"/>
    <n v="0"/>
    <n v="3.8439999999999999"/>
    <n v="3.8439999999999999"/>
    <n v="0"/>
    <n v="0"/>
    <n v="31"/>
    <n v="31"/>
    <n v="0"/>
    <n v="0"/>
    <n v="100"/>
    <s v="Consolidation"/>
    <s v="CO2e and Base Measure"/>
    <n v="100"/>
    <n v="100"/>
    <n v="3.84"/>
    <m/>
    <m/>
    <m/>
    <m/>
    <m/>
    <m/>
    <m/>
    <m/>
    <m/>
    <m/>
    <m/>
    <m/>
    <m/>
    <s v="AUD"/>
    <s v="13633433Waste Recycled - Construction and Demolition [t]"/>
    <n v="13633433"/>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07-01T00:00:00"/>
    <s v="FY21"/>
    <s v="t"/>
    <n v="0.73"/>
    <n v="0"/>
    <n v="0"/>
    <n v="0.73"/>
    <n v="1"/>
    <n v="0"/>
    <n v="0"/>
    <n v="1"/>
    <n v="100"/>
    <n v="0"/>
    <n v="0"/>
    <s v="Consolidation"/>
    <s v="CO2e and Base Measure"/>
    <n v="100"/>
    <n v="100"/>
    <n v="0.73"/>
    <m/>
    <m/>
    <m/>
    <m/>
    <m/>
    <n v="0.94899999999999995"/>
    <m/>
    <n v="0.94899999999999995"/>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08-01T00:00:00"/>
    <s v="FY21"/>
    <s v="t"/>
    <n v="0.51"/>
    <n v="0"/>
    <n v="0"/>
    <n v="0.51"/>
    <n v="2"/>
    <n v="0"/>
    <n v="0"/>
    <n v="2"/>
    <n v="100"/>
    <n v="0"/>
    <n v="0"/>
    <s v="Consolidation"/>
    <s v="CO2e and Base Measure"/>
    <n v="100"/>
    <n v="100"/>
    <n v="0.51"/>
    <m/>
    <m/>
    <m/>
    <m/>
    <m/>
    <n v="0.66300000000000003"/>
    <m/>
    <n v="0.66300000000000003"/>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09-01T00:00:00"/>
    <s v="FY21"/>
    <s v="t"/>
    <n v="0.43"/>
    <n v="0"/>
    <n v="0"/>
    <n v="0.43"/>
    <n v="1"/>
    <n v="0"/>
    <n v="0"/>
    <n v="1"/>
    <n v="100"/>
    <n v="0"/>
    <n v="0"/>
    <s v="Consolidation"/>
    <s v="CO2e and Base Measure"/>
    <n v="100"/>
    <n v="100"/>
    <n v="0.43"/>
    <m/>
    <m/>
    <m/>
    <m/>
    <m/>
    <n v="0.55900000000000005"/>
    <m/>
    <n v="0.55900000000000005"/>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10-01T00:00:00"/>
    <s v="FY21"/>
    <s v="t"/>
    <n v="0.26500000000000001"/>
    <n v="0.19500000000000001"/>
    <n v="0"/>
    <n v="0.46"/>
    <n v="2"/>
    <n v="1"/>
    <n v="0"/>
    <n v="3"/>
    <n v="57.6"/>
    <n v="42.39"/>
    <n v="0"/>
    <s v="Consolidation"/>
    <s v="CO2e and Base Measure"/>
    <n v="100"/>
    <n v="100"/>
    <n v="0.46"/>
    <m/>
    <m/>
    <m/>
    <m/>
    <m/>
    <n v="0.59799999999999998"/>
    <m/>
    <n v="0.59799999999999998"/>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11-01T00:00:00"/>
    <s v="FY21"/>
    <s v="t"/>
    <n v="0.19"/>
    <n v="0"/>
    <n v="0"/>
    <n v="0.19"/>
    <n v="1"/>
    <n v="0"/>
    <n v="0"/>
    <n v="1"/>
    <n v="100"/>
    <n v="0"/>
    <n v="0"/>
    <s v="Consolidation"/>
    <s v="CO2e and Base Measure"/>
    <n v="100"/>
    <n v="100"/>
    <n v="0.19"/>
    <m/>
    <m/>
    <m/>
    <m/>
    <m/>
    <n v="0.247"/>
    <m/>
    <n v="0.247"/>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12-01T00:00:00"/>
    <s v="FY21"/>
    <s v="t"/>
    <n v="0"/>
    <n v="0.58499999999999996"/>
    <n v="0"/>
    <n v="0.58499999999999996"/>
    <n v="0"/>
    <n v="2"/>
    <n v="0"/>
    <n v="2"/>
    <n v="0"/>
    <n v="100"/>
    <n v="0"/>
    <s v="Consolidation"/>
    <s v="CO2e and Base Measure"/>
    <n v="100"/>
    <n v="100"/>
    <n v="0.59"/>
    <m/>
    <m/>
    <m/>
    <m/>
    <m/>
    <n v="0.76049999999999995"/>
    <m/>
    <n v="0.76049999999999995"/>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1-01-01T00:00:00"/>
    <s v="FY21"/>
    <s v="t"/>
    <n v="0"/>
    <n v="0"/>
    <n v="1.61E-2"/>
    <n v="1.61E-2"/>
    <n v="0"/>
    <n v="0"/>
    <n v="1"/>
    <n v="1"/>
    <n v="0"/>
    <n v="0"/>
    <n v="100"/>
    <s v="Consolidation"/>
    <s v="CO2e and Base Measure"/>
    <n v="100"/>
    <n v="100"/>
    <n v="0.02"/>
    <m/>
    <m/>
    <m/>
    <m/>
    <m/>
    <n v="2.0899999999999998E-2"/>
    <m/>
    <n v="2.0899999999999998E-2"/>
    <m/>
    <m/>
    <m/>
    <m/>
    <m/>
    <s v="AUD"/>
    <s v="13564378Waste - General [t] - Scope 3"/>
    <n v="13564378"/>
  </r>
  <r>
    <d v="2019-07-01T00:00:00"/>
    <d v="2021-06-30T00:00:00"/>
    <s v="Telstra"/>
    <s v="NETWORK"/>
    <s v="Network - InfraCo"/>
    <s v="NSW"/>
    <s v="Australia"/>
    <s v="North Narrabeen"/>
    <s v="NARRABEEN EXCHANGE"/>
    <n v="423030287400"/>
    <s v="Recycled Waste"/>
    <x v="0"/>
    <x v="5"/>
    <s v="Account"/>
    <s v="Remondis Construction &amp; Demolition - Recycled"/>
    <m/>
    <s v="423030287400_RCONSDEM"/>
    <s v="CONSTRUCTION &amp; DEMOLITION - RECYLED"/>
    <s v="Remondis"/>
    <m/>
    <m/>
    <d v="2020-10-01T00:00:00"/>
    <d v="2020-09-01T00:00:00"/>
    <s v="FY21"/>
    <s v="t"/>
    <n v="2.68"/>
    <n v="0"/>
    <n v="0"/>
    <n v="2.68"/>
    <n v="1"/>
    <n v="0"/>
    <n v="0"/>
    <n v="1"/>
    <n v="100"/>
    <n v="0"/>
    <n v="0"/>
    <s v="Consolidation"/>
    <s v="CO2e and Base Measure"/>
    <n v="100"/>
    <n v="100"/>
    <n v="2.68"/>
    <m/>
    <m/>
    <m/>
    <m/>
    <m/>
    <m/>
    <m/>
    <m/>
    <m/>
    <m/>
    <m/>
    <m/>
    <m/>
    <s v="AUD"/>
    <s v="13596898Waste Recycled - Construction and Demolition [t]"/>
    <n v="13596898"/>
  </r>
  <r>
    <d v="2019-07-01T00:00:00"/>
    <d v="2021-06-30T00:00:00"/>
    <s v="Telstra"/>
    <s v="NETWORK"/>
    <s v="Network - InfraCo"/>
    <s v="NSW"/>
    <s v="Australia"/>
    <s v="North Narrabeen"/>
    <s v="NARRABEEN EXCHANGE"/>
    <n v="423030287400"/>
    <s v="Recycled Waste"/>
    <x v="0"/>
    <x v="5"/>
    <s v="Account"/>
    <s v="Remondis Construction &amp; Demolition - Recycled"/>
    <m/>
    <s v="423030287400_RCONSDEM"/>
    <s v="CONSTRUCTION &amp; DEMOLITION - RECYLED"/>
    <s v="Remondis"/>
    <m/>
    <m/>
    <d v="2020-10-01T00:00:00"/>
    <d v="2020-10-01T00:00:00"/>
    <s v="FY21"/>
    <s v="t"/>
    <n v="0"/>
    <n v="0"/>
    <n v="9.2399999999999996E-2"/>
    <n v="9.2399999999999996E-2"/>
    <n v="0"/>
    <n v="0"/>
    <n v="1"/>
    <n v="1"/>
    <n v="0"/>
    <n v="0"/>
    <n v="100"/>
    <s v="Consolidation"/>
    <s v="CO2e and Base Measure"/>
    <n v="100"/>
    <n v="100"/>
    <n v="0.09"/>
    <m/>
    <m/>
    <m/>
    <m/>
    <m/>
    <m/>
    <m/>
    <m/>
    <m/>
    <m/>
    <m/>
    <m/>
    <m/>
    <s v="AUD"/>
    <s v="13596898Waste Recycled - Construction and Demolition [t]"/>
    <n v="13596898"/>
  </r>
  <r>
    <d v="2019-07-01T00:00:00"/>
    <d v="2021-06-30T00:00:00"/>
    <s v="Telstra"/>
    <s v="NETWORK"/>
    <s v="Network - InfraCo"/>
    <s v="NSW"/>
    <s v="Australia"/>
    <s v="North Narrabeen"/>
    <s v="NARRABEEN EXCHANGE"/>
    <n v="423030287400"/>
    <s v="Waste"/>
    <x v="1"/>
    <x v="2"/>
    <s v="Account"/>
    <s v="Remondis Cardboard - Loose - Landfill"/>
    <m/>
    <s v="423030287400_WCARDBOAR"/>
    <s v="CARDBOARD - LOOSE - LANDFILL"/>
    <s v="Remondis"/>
    <m/>
    <d v="2020-07-23T00:00:00"/>
    <d v="2020-08-01T00:00:00"/>
    <d v="2020-07-01T00:00:00"/>
    <s v="FY21"/>
    <s v="t"/>
    <n v="0"/>
    <n v="6.3E-2"/>
    <n v="0"/>
    <n v="6.3E-2"/>
    <n v="0"/>
    <n v="1"/>
    <n v="0"/>
    <n v="1"/>
    <n v="0"/>
    <n v="100"/>
    <n v="0"/>
    <s v="Consolidation"/>
    <s v="CO2e and Base Measure"/>
    <n v="100"/>
    <n v="100"/>
    <n v="0.06"/>
    <m/>
    <m/>
    <m/>
    <m/>
    <m/>
    <n v="8.1900000000000001E-2"/>
    <m/>
    <n v="8.1900000000000001E-2"/>
    <m/>
    <m/>
    <m/>
    <m/>
    <m/>
    <s v="AUD"/>
    <s v="13614408Waste - General [t] - Scope 3"/>
    <n v="13614408"/>
  </r>
  <r>
    <d v="2019-07-01T00:00:00"/>
    <d v="2021-06-30T00:00:00"/>
    <s v="Telstra"/>
    <s v="NETWORK"/>
    <s v="Network - InfraCo"/>
    <s v="NSW"/>
    <s v="Australia"/>
    <s v="North Narrabeen"/>
    <s v="NARRABEEN EXCHANGE"/>
    <n v="423030287400"/>
    <s v="Waste"/>
    <x v="1"/>
    <x v="2"/>
    <s v="Account"/>
    <s v="Remondis Cardboard - Loose - Landfill"/>
    <m/>
    <s v="423030287400_WCARDBOAR"/>
    <s v="CARDBOARD - LOOSE - LANDFILL"/>
    <s v="Remondis"/>
    <m/>
    <d v="2020-07-23T00:00:00"/>
    <d v="2020-08-01T00:00:00"/>
    <d v="2020-08-01T00:00:00"/>
    <s v="FY21"/>
    <s v="t"/>
    <n v="0"/>
    <n v="0"/>
    <n v="2.0999999999999999E-3"/>
    <n v="2.0999999999999999E-3"/>
    <n v="0"/>
    <n v="0"/>
    <n v="1"/>
    <n v="1"/>
    <n v="0"/>
    <n v="0"/>
    <n v="100"/>
    <s v="Consolidation"/>
    <s v="CO2e and Base Measure"/>
    <n v="100"/>
    <n v="100"/>
    <n v="0"/>
    <m/>
    <m/>
    <m/>
    <m/>
    <m/>
    <n v="2.7000000000000001E-3"/>
    <m/>
    <n v="2.7000000000000001E-3"/>
    <m/>
    <m/>
    <m/>
    <m/>
    <m/>
    <s v="AUD"/>
    <s v="13614408Waste - General [t] - Scope 3"/>
    <n v="13614408"/>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0-12-01T00:00:00"/>
    <s v="FY21"/>
    <s v="t"/>
    <n v="0.02"/>
    <n v="0"/>
    <n v="0"/>
    <n v="0.02"/>
    <n v="1"/>
    <n v="0"/>
    <n v="0"/>
    <n v="1"/>
    <n v="100"/>
    <n v="0"/>
    <n v="0"/>
    <s v="Consolidation"/>
    <s v="CO2e and Base Measure"/>
    <n v="100"/>
    <n v="100"/>
    <n v="0.02"/>
    <m/>
    <m/>
    <m/>
    <m/>
    <m/>
    <m/>
    <m/>
    <m/>
    <m/>
    <m/>
    <m/>
    <m/>
    <m/>
    <s v="AUD"/>
    <s v="13634203Waste Recycled - Paper and Cardboard [t]"/>
    <n v="13634203"/>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1-01-01T00:00:00"/>
    <s v="FY21"/>
    <s v="t"/>
    <n v="1.9E-2"/>
    <n v="0"/>
    <n v="0"/>
    <n v="1.9E-2"/>
    <n v="1"/>
    <n v="0"/>
    <n v="0"/>
    <n v="1"/>
    <n v="100"/>
    <n v="0"/>
    <n v="0"/>
    <s v="Consolidation"/>
    <s v="CO2e and Base Measure"/>
    <n v="100"/>
    <n v="100"/>
    <n v="0.02"/>
    <m/>
    <m/>
    <m/>
    <m/>
    <m/>
    <m/>
    <m/>
    <m/>
    <m/>
    <m/>
    <m/>
    <m/>
    <m/>
    <s v="AUD"/>
    <s v="13634203Waste Recycled - Paper and Cardboard [t]"/>
    <n v="13634203"/>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1-03-01T00:00:00"/>
    <s v="FY21"/>
    <s v="t"/>
    <n v="0"/>
    <n v="7.4999999999999997E-2"/>
    <n v="0"/>
    <n v="7.4999999999999997E-2"/>
    <n v="0"/>
    <n v="1"/>
    <n v="0"/>
    <n v="1"/>
    <n v="0"/>
    <n v="100"/>
    <n v="0"/>
    <s v="Consolidation"/>
    <s v="CO2e and Base Measure"/>
    <n v="100"/>
    <n v="100"/>
    <n v="0.08"/>
    <m/>
    <m/>
    <m/>
    <m/>
    <m/>
    <m/>
    <m/>
    <m/>
    <m/>
    <m/>
    <m/>
    <m/>
    <m/>
    <s v="AUD"/>
    <s v="13634203Waste Recycled - Paper and Cardboard [t]"/>
    <n v="13634203"/>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1-04-01T00:00:00"/>
    <s v="FY21"/>
    <s v="t"/>
    <n v="0"/>
    <n v="0"/>
    <n v="2.7E-2"/>
    <n v="2.7E-2"/>
    <n v="0"/>
    <n v="0"/>
    <n v="30"/>
    <n v="30"/>
    <n v="0"/>
    <n v="0"/>
    <n v="100"/>
    <s v="Consolidation"/>
    <s v="CO2e and Base Measure"/>
    <n v="100"/>
    <n v="100"/>
    <n v="0.03"/>
    <m/>
    <m/>
    <m/>
    <m/>
    <m/>
    <m/>
    <m/>
    <m/>
    <m/>
    <m/>
    <m/>
    <m/>
    <m/>
    <s v="AUD"/>
    <s v="13634203Waste Recycled - Paper and Cardboard [t]"/>
    <n v="13634203"/>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1-05-01T00:00:00"/>
    <s v="FY21"/>
    <s v="t"/>
    <n v="0"/>
    <n v="0"/>
    <n v="2.7900000000000001E-2"/>
    <n v="2.7900000000000001E-2"/>
    <n v="0"/>
    <n v="0"/>
    <n v="31"/>
    <n v="31"/>
    <n v="0"/>
    <n v="0"/>
    <n v="100"/>
    <s v="Consolidation"/>
    <s v="CO2e and Base Measure"/>
    <n v="100"/>
    <n v="100"/>
    <n v="0.03"/>
    <m/>
    <m/>
    <m/>
    <m/>
    <m/>
    <m/>
    <m/>
    <m/>
    <m/>
    <m/>
    <m/>
    <m/>
    <m/>
    <s v="AUD"/>
    <s v="13634203Waste Recycled - Paper and Cardboard [t]"/>
    <n v="13634203"/>
  </r>
  <r>
    <d v="2019-07-01T00:00:00"/>
    <d v="2021-06-30T00:00:00"/>
    <s v="Telstra"/>
    <s v="NETWORK"/>
    <s v="Network - InfraCo"/>
    <s v="NSW"/>
    <s v="Australia"/>
    <s v="North Narrabeen"/>
    <s v="NARRABEEN EXCHANGE"/>
    <n v="423030287400"/>
    <s v="Waste"/>
    <x v="1"/>
    <x v="2"/>
    <s v="Account"/>
    <s v="CLEANAWAY General"/>
    <m/>
    <s v="44081_Landfill_General"/>
    <s v="General"/>
    <s v="Cleanaway"/>
    <m/>
    <d v="2021-02-16T00:00:00"/>
    <m/>
    <d v="2021-02-01T00:00:00"/>
    <s v="FY21"/>
    <s v="t"/>
    <n v="3.6999999999999998E-2"/>
    <n v="0"/>
    <n v="0"/>
    <n v="3.6999999999999998E-2"/>
    <n v="1"/>
    <n v="0"/>
    <n v="0"/>
    <n v="1"/>
    <n v="100"/>
    <n v="0"/>
    <n v="0"/>
    <s v="Consolidation"/>
    <s v="CO2e and Base Measure"/>
    <n v="100"/>
    <n v="100"/>
    <n v="0.04"/>
    <m/>
    <m/>
    <m/>
    <m/>
    <m/>
    <n v="4.8099999999999997E-2"/>
    <m/>
    <n v="4.8099999999999997E-2"/>
    <m/>
    <m/>
    <m/>
    <m/>
    <m/>
    <s v="AUD"/>
    <s v="13639903Waste - General [t] - Scope 3"/>
    <n v="13639903"/>
  </r>
  <r>
    <d v="2019-07-01T00:00:00"/>
    <d v="2021-06-30T00:00:00"/>
    <s v="Telstra"/>
    <s v="NETWORK"/>
    <s v="Network - InfraCo"/>
    <s v="NSW"/>
    <s v="Australia"/>
    <s v="North Narrabeen"/>
    <s v="NARRABEEN EXCHANGE"/>
    <n v="423030287400"/>
    <s v="Waste"/>
    <x v="1"/>
    <x v="2"/>
    <s v="Account"/>
    <s v="CLEANAWAY General"/>
    <m/>
    <s v="44081_Landfill_General"/>
    <s v="General"/>
    <s v="Cleanaway"/>
    <m/>
    <d v="2021-02-16T00:00:00"/>
    <m/>
    <d v="2021-03-01T00:00:00"/>
    <s v="FY21"/>
    <s v="t"/>
    <n v="0.64"/>
    <n v="0"/>
    <n v="0"/>
    <n v="0.64"/>
    <n v="3"/>
    <n v="0"/>
    <n v="0"/>
    <n v="3"/>
    <n v="100"/>
    <n v="0"/>
    <n v="0"/>
    <s v="Consolidation"/>
    <s v="CO2e and Base Measure"/>
    <n v="100"/>
    <n v="100"/>
    <n v="0.64"/>
    <m/>
    <m/>
    <m/>
    <m/>
    <m/>
    <n v="0.83199999999999996"/>
    <m/>
    <n v="0.83199999999999996"/>
    <m/>
    <m/>
    <m/>
    <m/>
    <m/>
    <s v="AUD"/>
    <s v="13639903Waste - General [t] - Scope 3"/>
    <n v="13639903"/>
  </r>
  <r>
    <d v="2019-07-01T00:00:00"/>
    <d v="2021-06-30T00:00:00"/>
    <s v="Telstra"/>
    <s v="NETWORK"/>
    <s v="Network - InfraCo"/>
    <s v="NSW"/>
    <s v="Australia"/>
    <s v="North Narrabeen"/>
    <s v="NARRABEEN EXCHANGE"/>
    <n v="423030287400"/>
    <s v="Waste"/>
    <x v="1"/>
    <x v="2"/>
    <s v="Account"/>
    <s v="CLEANAWAY General"/>
    <m/>
    <s v="44081_Landfill_General"/>
    <s v="General"/>
    <s v="Cleanaway"/>
    <m/>
    <d v="2021-02-16T00:00:00"/>
    <m/>
    <d v="2021-04-01T00:00:00"/>
    <s v="FY21"/>
    <s v="t"/>
    <n v="0"/>
    <n v="0"/>
    <n v="0.35099999999999998"/>
    <n v="0.35099999999999998"/>
    <n v="0"/>
    <n v="0"/>
    <n v="30"/>
    <n v="30"/>
    <n v="0"/>
    <n v="0"/>
    <n v="100"/>
    <s v="Consolidation"/>
    <s v="CO2e and Base Measure"/>
    <n v="100"/>
    <n v="100"/>
    <n v="0.35"/>
    <m/>
    <m/>
    <m/>
    <m/>
    <m/>
    <n v="0.45629999999999998"/>
    <m/>
    <n v="0.45629999999999998"/>
    <m/>
    <m/>
    <m/>
    <m/>
    <m/>
    <s v="AUD"/>
    <s v="13639903Waste - General [t] - Scope 3"/>
    <n v="13639903"/>
  </r>
  <r>
    <d v="2019-07-01T00:00:00"/>
    <d v="2021-06-30T00:00:00"/>
    <s v="Telstra"/>
    <s v="NETWORK"/>
    <s v="Network - InfraCo"/>
    <s v="NSW"/>
    <s v="Australia"/>
    <s v="North Narrabeen"/>
    <s v="NARRABEEN EXCHANGE"/>
    <n v="423030287400"/>
    <s v="Waste"/>
    <x v="1"/>
    <x v="2"/>
    <s v="Account"/>
    <s v="CLEANAWAY General"/>
    <m/>
    <s v="44081_Landfill_General"/>
    <s v="General"/>
    <s v="Cleanaway"/>
    <m/>
    <d v="2021-02-16T00:00:00"/>
    <m/>
    <d v="2021-05-01T00:00:00"/>
    <s v="FY21"/>
    <s v="t"/>
    <n v="0"/>
    <n v="0"/>
    <n v="0.36270000000000002"/>
    <n v="0.36270000000000002"/>
    <n v="0"/>
    <n v="0"/>
    <n v="31"/>
    <n v="31"/>
    <n v="0"/>
    <n v="0"/>
    <n v="100"/>
    <s v="Consolidation"/>
    <s v="CO2e and Base Measure"/>
    <n v="100"/>
    <n v="100"/>
    <n v="0.36"/>
    <m/>
    <m/>
    <m/>
    <m/>
    <m/>
    <n v="0.47149999999999997"/>
    <m/>
    <n v="0.47149999999999997"/>
    <m/>
    <m/>
    <m/>
    <m/>
    <m/>
    <s v="AUD"/>
    <s v="13639903Waste - General [t] - Scope 3"/>
    <n v="13639903"/>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1-01-01T00:00:00"/>
    <s v="FY21"/>
    <s v="t"/>
    <n v="0"/>
    <n v="0"/>
    <n v="3.2000000000000002E-3"/>
    <n v="3.2000000000000002E-3"/>
    <n v="0"/>
    <n v="0"/>
    <n v="1"/>
    <n v="1"/>
    <n v="0"/>
    <n v="0"/>
    <n v="100"/>
    <s v="Consolidation"/>
    <s v="CO2e and Base Measure"/>
    <n v="100"/>
    <n v="100"/>
    <n v="0"/>
    <m/>
    <m/>
    <m/>
    <m/>
    <m/>
    <n v="4.1999999999999997E-3"/>
    <m/>
    <n v="4.1999999999999997E-3"/>
    <m/>
    <m/>
    <m/>
    <m/>
    <m/>
    <s v="AUD"/>
    <s v="13564386Waste - General [t] - Scope 3"/>
    <n v="13564386"/>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07-01T00:00:00"/>
    <s v="FY21"/>
    <s v="t"/>
    <n v="0.49"/>
    <n v="9.7500000000000003E-2"/>
    <n v="0"/>
    <n v="0.58750000000000002"/>
    <n v="4"/>
    <n v="1"/>
    <n v="0"/>
    <n v="5"/>
    <n v="83.4"/>
    <n v="16.59"/>
    <n v="0"/>
    <s v="Consolidation"/>
    <s v="CO2e and Base Measure"/>
    <n v="100"/>
    <n v="100"/>
    <n v="0.59"/>
    <m/>
    <m/>
    <m/>
    <m/>
    <m/>
    <n v="0.76380000000000003"/>
    <m/>
    <n v="0.76380000000000003"/>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08-01T00:00:00"/>
    <s v="FY21"/>
    <s v="t"/>
    <n v="0.51"/>
    <n v="0"/>
    <n v="0"/>
    <n v="0.51"/>
    <n v="4"/>
    <n v="0"/>
    <n v="0"/>
    <n v="4"/>
    <n v="100"/>
    <n v="0"/>
    <n v="0"/>
    <s v="Consolidation"/>
    <s v="CO2e and Base Measure"/>
    <n v="100"/>
    <n v="100"/>
    <n v="0.51"/>
    <m/>
    <m/>
    <m/>
    <m/>
    <m/>
    <n v="0.66300000000000003"/>
    <m/>
    <n v="0.66300000000000003"/>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09-01T00:00:00"/>
    <s v="FY21"/>
    <s v="t"/>
    <n v="0.495"/>
    <n v="0"/>
    <n v="0"/>
    <n v="0.495"/>
    <n v="4"/>
    <n v="0"/>
    <n v="0"/>
    <n v="4"/>
    <n v="100"/>
    <n v="0"/>
    <n v="0"/>
    <s v="Consolidation"/>
    <s v="CO2e and Base Measure"/>
    <n v="100"/>
    <n v="100"/>
    <n v="0.5"/>
    <m/>
    <m/>
    <m/>
    <m/>
    <m/>
    <n v="0.64349999999999996"/>
    <m/>
    <n v="0.64349999999999996"/>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10-01T00:00:00"/>
    <s v="FY21"/>
    <s v="t"/>
    <n v="0.64500000000000002"/>
    <n v="9.7500000000000003E-2"/>
    <n v="0"/>
    <n v="0.74250000000000005"/>
    <n v="4"/>
    <n v="1"/>
    <n v="0"/>
    <n v="5"/>
    <n v="86.86"/>
    <n v="13.13"/>
    <n v="0"/>
    <s v="Consolidation"/>
    <s v="CO2e and Base Measure"/>
    <n v="100"/>
    <n v="100"/>
    <n v="0.74"/>
    <m/>
    <m/>
    <m/>
    <m/>
    <m/>
    <n v="0.96530000000000005"/>
    <m/>
    <n v="0.96530000000000005"/>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11-01T00:00:00"/>
    <s v="FY21"/>
    <s v="t"/>
    <n v="0.66"/>
    <n v="0"/>
    <n v="0"/>
    <n v="0.66"/>
    <n v="4"/>
    <n v="0"/>
    <n v="0"/>
    <n v="4"/>
    <n v="100"/>
    <n v="0"/>
    <n v="0"/>
    <s v="Consolidation"/>
    <s v="CO2e and Base Measure"/>
    <n v="100"/>
    <n v="100"/>
    <n v="0.66"/>
    <m/>
    <m/>
    <m/>
    <m/>
    <m/>
    <n v="0.85799999999999998"/>
    <m/>
    <n v="0.85799999999999998"/>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1-01-01T00:00:00"/>
    <s v="FY21"/>
    <s v="t"/>
    <n v="0"/>
    <n v="0"/>
    <n v="1.78E-2"/>
    <n v="1.78E-2"/>
    <n v="0"/>
    <n v="0"/>
    <n v="1"/>
    <n v="1"/>
    <n v="0"/>
    <n v="0"/>
    <n v="100"/>
    <s v="Consolidation"/>
    <s v="CO2e and Base Measure"/>
    <n v="100"/>
    <n v="100"/>
    <n v="0.02"/>
    <m/>
    <m/>
    <m/>
    <m/>
    <m/>
    <n v="2.3099999999999999E-2"/>
    <m/>
    <n v="2.3099999999999999E-2"/>
    <m/>
    <m/>
    <m/>
    <m/>
    <m/>
    <s v="AUD"/>
    <s v="13565227Waste - General [t] - Scope 3"/>
    <n v="13565227"/>
  </r>
  <r>
    <d v="2019-07-01T00:00:00"/>
    <d v="2021-06-30T00:00:00"/>
    <s v="Telstra"/>
    <s v="NETWORK"/>
    <s v="Network - InfraCo"/>
    <s v="WA"/>
    <s v="Australia"/>
    <s v="Narrogin"/>
    <s v="NARROGIN EXCHANGE"/>
    <n v="423030838700"/>
    <s v="Waste"/>
    <x v="1"/>
    <x v="2"/>
    <s v="Account"/>
    <s v="Remondis General Waste"/>
    <m/>
    <s v="4230308387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5352Waste - General [t] - Scope 3"/>
    <n v="13565352"/>
  </r>
  <r>
    <d v="2019-07-01T00:00:00"/>
    <d v="2021-06-30T00:00:00"/>
    <s v="Telstra"/>
    <s v="NETWORK"/>
    <s v="Network - InfraCo"/>
    <s v="WA"/>
    <s v="Australia"/>
    <s v="Narrogin"/>
    <s v="NARROGIN EXCHANGE"/>
    <n v="423030838700"/>
    <s v="Waste"/>
    <x v="1"/>
    <x v="2"/>
    <s v="Account"/>
    <s v="Remondis General Waste"/>
    <m/>
    <s v="423030838700_WGENERALW"/>
    <s v="GENERAL WASTE"/>
    <s v="Remondis"/>
    <m/>
    <m/>
    <d v="2020-09-01T00:00:00"/>
    <d v="2020-09-01T00:00:00"/>
    <s v="FY21"/>
    <s v="t"/>
    <n v="0"/>
    <n v="0"/>
    <n v="6.4999999999999997E-3"/>
    <n v="6.4999999999999997E-3"/>
    <n v="0"/>
    <n v="0"/>
    <n v="1"/>
    <n v="1"/>
    <n v="0"/>
    <n v="0"/>
    <n v="100"/>
    <s v="Consolidation"/>
    <s v="CO2e and Base Measure"/>
    <n v="100"/>
    <n v="100"/>
    <n v="0.01"/>
    <m/>
    <m/>
    <m/>
    <m/>
    <m/>
    <n v="8.5000000000000006E-3"/>
    <m/>
    <n v="8.5000000000000006E-3"/>
    <m/>
    <m/>
    <m/>
    <m/>
    <m/>
    <s v="AUD"/>
    <s v="13565352Waste - General [t] - Scope 3"/>
    <n v="13565352"/>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9878Waste - General [t] - Scope 3"/>
    <n v="13639878"/>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2-01T00:00:00"/>
    <s v="FY21"/>
    <s v="t"/>
    <n v="0"/>
    <n v="0"/>
    <n v="0.126"/>
    <n v="0.126"/>
    <n v="0"/>
    <n v="0"/>
    <n v="28"/>
    <n v="28"/>
    <n v="0"/>
    <n v="0"/>
    <n v="100"/>
    <s v="Consolidation"/>
    <s v="CO2e and Base Measure"/>
    <n v="100"/>
    <n v="100"/>
    <n v="0.13"/>
    <m/>
    <m/>
    <m/>
    <m/>
    <m/>
    <n v="0.1638"/>
    <m/>
    <n v="0.1638"/>
    <m/>
    <m/>
    <m/>
    <m/>
    <m/>
    <s v="AUD"/>
    <s v="13639878Waste - General [t] - Scope 3"/>
    <n v="13639878"/>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9878Waste - General [t] - Scope 3"/>
    <n v="13639878"/>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9878Waste - General [t] - Scope 3"/>
    <n v="13639878"/>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9878Waste - General [t] - Scope 3"/>
    <n v="13639878"/>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1-01T00:00:00"/>
    <s v="FY21"/>
    <s v="t"/>
    <n v="1.7350000000000001"/>
    <n v="0"/>
    <n v="0"/>
    <n v="1.7350000000000001"/>
    <n v="4"/>
    <n v="0"/>
    <n v="0"/>
    <n v="4"/>
    <n v="100"/>
    <n v="0"/>
    <n v="0"/>
    <s v="Consolidation"/>
    <s v="CO2e and Base Measure"/>
    <n v="100"/>
    <n v="100"/>
    <n v="1.74"/>
    <m/>
    <m/>
    <m/>
    <m/>
    <m/>
    <n v="2.2555000000000001"/>
    <m/>
    <n v="2.2555000000000001"/>
    <m/>
    <m/>
    <m/>
    <m/>
    <m/>
    <s v="AUD"/>
    <s v="13634523Waste - General [t] - Scope 3"/>
    <n v="13634523"/>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2-01T00:00:00"/>
    <s v="FY21"/>
    <s v="t"/>
    <n v="0.4"/>
    <n v="0"/>
    <n v="0"/>
    <n v="0.4"/>
    <n v="4"/>
    <n v="0"/>
    <n v="0"/>
    <n v="4"/>
    <n v="100"/>
    <n v="0"/>
    <n v="0"/>
    <s v="Consolidation"/>
    <s v="CO2e and Base Measure"/>
    <n v="100"/>
    <n v="100"/>
    <n v="0.4"/>
    <m/>
    <m/>
    <m/>
    <m/>
    <m/>
    <n v="0.52"/>
    <m/>
    <n v="0.52"/>
    <m/>
    <m/>
    <m/>
    <m/>
    <m/>
    <s v="AUD"/>
    <s v="13634523Waste - General [t] - Scope 3"/>
    <n v="13634523"/>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3-01T00:00:00"/>
    <s v="FY21"/>
    <s v="t"/>
    <n v="0.59599999999999997"/>
    <n v="0.27"/>
    <n v="0"/>
    <n v="0.86599999999999999"/>
    <n v="3"/>
    <n v="2"/>
    <n v="0"/>
    <n v="5"/>
    <n v="68.819999999999993"/>
    <n v="31.17"/>
    <n v="0"/>
    <s v="Consolidation"/>
    <s v="CO2e and Base Measure"/>
    <n v="100"/>
    <n v="100"/>
    <n v="0.87"/>
    <m/>
    <m/>
    <m/>
    <m/>
    <m/>
    <n v="1.1257999999999999"/>
    <m/>
    <n v="1.1257999999999999"/>
    <m/>
    <m/>
    <m/>
    <m/>
    <m/>
    <s v="AUD"/>
    <s v="13634523Waste - General [t] - Scope 3"/>
    <n v="13634523"/>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4-01T00:00:00"/>
    <s v="FY21"/>
    <s v="t"/>
    <n v="0"/>
    <n v="0"/>
    <n v="1.0109999999999999"/>
    <n v="1.0109999999999999"/>
    <n v="0"/>
    <n v="0"/>
    <n v="30"/>
    <n v="30"/>
    <n v="0"/>
    <n v="0"/>
    <n v="100"/>
    <s v="Consolidation"/>
    <s v="CO2e and Base Measure"/>
    <n v="100"/>
    <n v="100"/>
    <n v="1.01"/>
    <m/>
    <m/>
    <m/>
    <m/>
    <m/>
    <n v="1.3143"/>
    <m/>
    <n v="1.3143"/>
    <m/>
    <m/>
    <m/>
    <m/>
    <m/>
    <s v="AUD"/>
    <s v="13634523Waste - General [t] - Scope 3"/>
    <n v="13634523"/>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5-01T00:00:00"/>
    <s v="FY21"/>
    <s v="t"/>
    <n v="0"/>
    <n v="0"/>
    <n v="1.0447"/>
    <n v="1.0447"/>
    <n v="0"/>
    <n v="0"/>
    <n v="31"/>
    <n v="31"/>
    <n v="0"/>
    <n v="0"/>
    <n v="100"/>
    <s v="Consolidation"/>
    <s v="CO2e and Base Measure"/>
    <n v="100"/>
    <n v="100"/>
    <n v="1.04"/>
    <m/>
    <m/>
    <m/>
    <m/>
    <m/>
    <n v="1.3581000000000001"/>
    <m/>
    <n v="1.3581000000000001"/>
    <m/>
    <m/>
    <m/>
    <m/>
    <m/>
    <s v="AUD"/>
    <s v="13634523Waste - General [t] - Scope 3"/>
    <n v="13634523"/>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1-01T00:00:00"/>
    <s v="FY21"/>
    <s v="t"/>
    <n v="0.18"/>
    <n v="3.7499999999999999E-2"/>
    <n v="0"/>
    <n v="0.2175"/>
    <n v="2"/>
    <n v="1"/>
    <n v="0"/>
    <n v="3"/>
    <n v="82.75"/>
    <n v="17.239999999999998"/>
    <n v="0"/>
    <s v="Consolidation"/>
    <s v="CO2e and Base Measure"/>
    <n v="100"/>
    <n v="100"/>
    <n v="0.22"/>
    <m/>
    <m/>
    <m/>
    <m/>
    <m/>
    <m/>
    <m/>
    <m/>
    <m/>
    <m/>
    <m/>
    <m/>
    <m/>
    <s v="AUD"/>
    <s v="13634524Waste Recycled - Paper and Cardboard [t]"/>
    <n v="13634524"/>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2-01T00:00:00"/>
    <s v="FY21"/>
    <s v="t"/>
    <n v="9.9000000000000005E-2"/>
    <n v="0"/>
    <n v="0"/>
    <n v="9.9000000000000005E-2"/>
    <n v="4"/>
    <n v="0"/>
    <n v="0"/>
    <n v="4"/>
    <n v="100"/>
    <n v="0"/>
    <n v="0"/>
    <s v="Consolidation"/>
    <s v="CO2e and Base Measure"/>
    <n v="100"/>
    <n v="100"/>
    <n v="0.1"/>
    <m/>
    <m/>
    <m/>
    <m/>
    <m/>
    <m/>
    <m/>
    <m/>
    <m/>
    <m/>
    <m/>
    <m/>
    <m/>
    <s v="AUD"/>
    <s v="13634524Waste Recycled - Paper and Cardboard [t]"/>
    <n v="13634524"/>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3-01T00:00:00"/>
    <s v="FY21"/>
    <s v="t"/>
    <n v="0.12"/>
    <n v="0"/>
    <n v="0"/>
    <n v="0.12"/>
    <n v="3"/>
    <n v="0"/>
    <n v="0"/>
    <n v="3"/>
    <n v="100"/>
    <n v="0"/>
    <n v="0"/>
    <s v="Consolidation"/>
    <s v="CO2e and Base Measure"/>
    <n v="100"/>
    <n v="100"/>
    <n v="0.12"/>
    <m/>
    <m/>
    <m/>
    <m/>
    <m/>
    <m/>
    <m/>
    <m/>
    <m/>
    <m/>
    <m/>
    <m/>
    <m/>
    <s v="AUD"/>
    <s v="13634524Waste Recycled - Paper and Cardboard [t]"/>
    <n v="13634524"/>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4-01T00:00:00"/>
    <s v="FY21"/>
    <s v="t"/>
    <n v="0"/>
    <n v="0"/>
    <n v="0.14699999999999999"/>
    <n v="0.14699999999999999"/>
    <n v="0"/>
    <n v="0"/>
    <n v="30"/>
    <n v="30"/>
    <n v="0"/>
    <n v="0"/>
    <n v="100"/>
    <s v="Consolidation"/>
    <s v="CO2e and Base Measure"/>
    <n v="100"/>
    <n v="100"/>
    <n v="0.15"/>
    <m/>
    <m/>
    <m/>
    <m/>
    <m/>
    <m/>
    <m/>
    <m/>
    <m/>
    <m/>
    <m/>
    <m/>
    <m/>
    <s v="AUD"/>
    <s v="13634524Waste Recycled - Paper and Cardboard [t]"/>
    <n v="13634524"/>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5-01T00:00:00"/>
    <s v="FY21"/>
    <s v="t"/>
    <n v="0"/>
    <n v="0"/>
    <n v="0.15190000000000001"/>
    <n v="0.15190000000000001"/>
    <n v="0"/>
    <n v="0"/>
    <n v="31"/>
    <n v="31"/>
    <n v="0"/>
    <n v="0"/>
    <n v="100"/>
    <s v="Consolidation"/>
    <s v="CO2e and Base Measure"/>
    <n v="100"/>
    <n v="100"/>
    <n v="0.15"/>
    <m/>
    <m/>
    <m/>
    <m/>
    <m/>
    <m/>
    <m/>
    <m/>
    <m/>
    <m/>
    <m/>
    <m/>
    <m/>
    <s v="AUD"/>
    <s v="13634524Waste Recycled - Paper and Cardboard [t]"/>
    <n v="13634524"/>
  </r>
  <r>
    <d v="2019-07-01T00:00:00"/>
    <d v="2021-06-30T00:00:00"/>
    <s v="Telstra"/>
    <s v="NON-NETWORK"/>
    <s v="NON-NETWORK"/>
    <s v="VIC"/>
    <s v="Australia"/>
    <s v="Ballarat Central"/>
    <s v="NDC DEPOT"/>
    <n v="423031641600"/>
    <s v="Recycled Waste"/>
    <x v="0"/>
    <x v="3"/>
    <s v="Account"/>
    <s v="CLEANAWAY Commingle - Diversion"/>
    <m/>
    <s v="31641600_Diversion_Commingle"/>
    <s v="Commingle"/>
    <s v="Cleanaway"/>
    <m/>
    <d v="2021-02-01T00:00:00"/>
    <m/>
    <d v="2021-02-01T00:00:00"/>
    <s v="FY21"/>
    <s v="t"/>
    <n v="0"/>
    <n v="4.7999999999999996E-3"/>
    <n v="0"/>
    <n v="4.7999999999999996E-3"/>
    <n v="0"/>
    <n v="1"/>
    <n v="0"/>
    <n v="1"/>
    <n v="0"/>
    <n v="100"/>
    <n v="0"/>
    <s v="Consolidation"/>
    <s v="CO2e and Base Measure"/>
    <n v="100"/>
    <n v="100"/>
    <n v="0"/>
    <m/>
    <m/>
    <m/>
    <m/>
    <m/>
    <m/>
    <n v="0"/>
    <m/>
    <m/>
    <m/>
    <m/>
    <m/>
    <m/>
    <s v="AUD"/>
    <s v="13639959Waste Recycled - Commingled [t]"/>
    <n v="13639959"/>
  </r>
  <r>
    <d v="2019-07-01T00:00:00"/>
    <d v="2021-06-30T00:00:00"/>
    <s v="Telstra"/>
    <s v="NON-NETWORK"/>
    <s v="NON-NETWORK"/>
    <s v="VIC"/>
    <s v="Australia"/>
    <s v="Ballarat Central"/>
    <s v="NDC DEPOT"/>
    <n v="423031641600"/>
    <s v="Recycled Waste"/>
    <x v="0"/>
    <x v="3"/>
    <s v="Account"/>
    <s v="CLEANAWAY Commingle - Diversion"/>
    <m/>
    <s v="31641600_Diversion_Commingle"/>
    <s v="Commingle"/>
    <s v="Cleanaway"/>
    <m/>
    <d v="2021-02-01T00:00:00"/>
    <m/>
    <d v="2021-03-01T00:00:00"/>
    <s v="FY21"/>
    <s v="t"/>
    <n v="0"/>
    <n v="0"/>
    <n v="6.1999999999999998E-3"/>
    <n v="6.1999999999999998E-3"/>
    <n v="0"/>
    <n v="0"/>
    <n v="31"/>
    <n v="31"/>
    <n v="0"/>
    <n v="0"/>
    <n v="100"/>
    <s v="Consolidation"/>
    <s v="CO2e and Base Measure"/>
    <n v="100"/>
    <n v="100"/>
    <n v="0.01"/>
    <m/>
    <m/>
    <m/>
    <m/>
    <m/>
    <m/>
    <n v="0"/>
    <m/>
    <m/>
    <m/>
    <m/>
    <m/>
    <m/>
    <s v="AUD"/>
    <s v="13639959Waste Recycled - Commingled [t]"/>
    <n v="13639959"/>
  </r>
  <r>
    <d v="2019-07-01T00:00:00"/>
    <d v="2021-06-30T00:00:00"/>
    <s v="Telstra"/>
    <s v="NON-NETWORK"/>
    <s v="NON-NETWORK"/>
    <s v="VIC"/>
    <s v="Australia"/>
    <s v="Ballarat Central"/>
    <s v="NDC DEPOT"/>
    <n v="423031641600"/>
    <s v="Recycled Waste"/>
    <x v="0"/>
    <x v="3"/>
    <s v="Account"/>
    <s v="CLEANAWAY Commingle - Diversion"/>
    <m/>
    <s v="31641600_Diversion_Commingle"/>
    <s v="Commingle"/>
    <s v="Cleanaway"/>
    <m/>
    <d v="2021-02-01T00:00:00"/>
    <m/>
    <d v="2021-04-01T00:00:00"/>
    <s v="FY21"/>
    <s v="t"/>
    <n v="0"/>
    <n v="0"/>
    <n v="6.0000000000000001E-3"/>
    <n v="6.0000000000000001E-3"/>
    <n v="0"/>
    <n v="0"/>
    <n v="30"/>
    <n v="30"/>
    <n v="0"/>
    <n v="0"/>
    <n v="100"/>
    <s v="Consolidation"/>
    <s v="CO2e and Base Measure"/>
    <n v="100"/>
    <n v="100"/>
    <n v="0.01"/>
    <m/>
    <m/>
    <m/>
    <m/>
    <m/>
    <m/>
    <n v="0"/>
    <m/>
    <m/>
    <m/>
    <m/>
    <m/>
    <m/>
    <s v="AUD"/>
    <s v="13639959Waste Recycled - Commingled [t]"/>
    <n v="13639959"/>
  </r>
  <r>
    <d v="2019-07-01T00:00:00"/>
    <d v="2021-06-30T00:00:00"/>
    <s v="Telstra"/>
    <s v="NON-NETWORK"/>
    <s v="NON-NETWORK"/>
    <s v="VIC"/>
    <s v="Australia"/>
    <s v="Ballarat Central"/>
    <s v="NDC DEPOT"/>
    <n v="423031641600"/>
    <s v="Recycled Waste"/>
    <x v="0"/>
    <x v="3"/>
    <s v="Account"/>
    <s v="CLEANAWAY Commingle - Diversion"/>
    <m/>
    <s v="31641600_Diversion_Commingle"/>
    <s v="Commingle"/>
    <s v="Cleanaway"/>
    <m/>
    <d v="2021-02-01T00:00:00"/>
    <m/>
    <d v="2021-05-01T00:00:00"/>
    <s v="FY21"/>
    <s v="t"/>
    <n v="0"/>
    <n v="0"/>
    <n v="6.1999999999999998E-3"/>
    <n v="6.1999999999999998E-3"/>
    <n v="0"/>
    <n v="0"/>
    <n v="31"/>
    <n v="31"/>
    <n v="0"/>
    <n v="0"/>
    <n v="100"/>
    <s v="Consolidation"/>
    <s v="CO2e and Base Measure"/>
    <n v="100"/>
    <n v="100"/>
    <n v="0.01"/>
    <m/>
    <m/>
    <m/>
    <m/>
    <m/>
    <m/>
    <n v="0"/>
    <m/>
    <m/>
    <m/>
    <m/>
    <m/>
    <m/>
    <s v="AUD"/>
    <s v="13639959Waste Recycled - Commingled [t]"/>
    <n v="13639959"/>
  </r>
  <r>
    <d v="2019-07-01T00:00:00"/>
    <d v="2021-06-30T00:00:00"/>
    <s v="Telstra"/>
    <s v="NON-NETWORK"/>
    <s v="NON-NETWORK"/>
    <s v="WA"/>
    <s v="Australia"/>
    <s v="Cannington"/>
    <s v="NDC LIMITED BUILDING"/>
    <n v="423031890700"/>
    <s v="Waste"/>
    <x v="1"/>
    <x v="4"/>
    <s v="Account"/>
    <s v="Remondis Asbestos"/>
    <m/>
    <s v="423031890700_WASBESTOS"/>
    <s v="ASBESTOS"/>
    <s v="Remondis"/>
    <m/>
    <m/>
    <d v="2021-01-01T00:00:00"/>
    <d v="2020-12-01T00:00:00"/>
    <s v="FY21"/>
    <s v="t"/>
    <n v="0"/>
    <n v="1.5"/>
    <n v="0"/>
    <n v="1.5"/>
    <n v="0"/>
    <n v="1"/>
    <n v="0"/>
    <n v="1"/>
    <n v="0"/>
    <n v="100"/>
    <n v="0"/>
    <s v="Consolidation"/>
    <s v="CO2e and Base Measure"/>
    <n v="100"/>
    <n v="100"/>
    <n v="1.5"/>
    <m/>
    <m/>
    <m/>
    <m/>
    <m/>
    <n v="1.8"/>
    <m/>
    <n v="1.8"/>
    <m/>
    <m/>
    <m/>
    <m/>
    <m/>
    <s v="AUD"/>
    <s v="13565834Waste - Construction and Demolition [t]"/>
    <n v="13565834"/>
  </r>
  <r>
    <d v="2019-07-01T00:00:00"/>
    <d v="2021-06-30T00:00:00"/>
    <s v="Telstra"/>
    <s v="NON-NETWORK"/>
    <s v="NON-NETWORK"/>
    <s v="WA"/>
    <s v="Australia"/>
    <s v="Cannington"/>
    <s v="NDC LIMITED BUILDING"/>
    <n v="423031890700"/>
    <s v="Waste"/>
    <x v="1"/>
    <x v="4"/>
    <s v="Account"/>
    <s v="Remondis Asbestos"/>
    <m/>
    <s v="423031890700_WASBESTOS"/>
    <s v="ASBESTOS"/>
    <s v="Remondis"/>
    <m/>
    <m/>
    <d v="2021-01-01T00:00:00"/>
    <d v="2021-01-01T00:00:00"/>
    <s v="FY21"/>
    <s v="t"/>
    <n v="0"/>
    <n v="0"/>
    <n v="0.05"/>
    <n v="0.05"/>
    <n v="0"/>
    <n v="0"/>
    <n v="1"/>
    <n v="1"/>
    <n v="0"/>
    <n v="0"/>
    <n v="100"/>
    <s v="Consolidation"/>
    <s v="CO2e and Base Measure"/>
    <n v="100"/>
    <n v="100"/>
    <n v="0.05"/>
    <m/>
    <m/>
    <m/>
    <m/>
    <m/>
    <n v="0.06"/>
    <m/>
    <n v="0.06"/>
    <m/>
    <m/>
    <m/>
    <m/>
    <m/>
    <s v="AUD"/>
    <s v="13565834Waste - Construction and Demolition [t]"/>
    <n v="13565834"/>
  </r>
  <r>
    <d v="2019-07-01T00:00:00"/>
    <d v="2021-06-30T00:00:00"/>
    <s v="Telstra"/>
    <s v="NON-NETWORK"/>
    <s v="NON-NETWORK"/>
    <s v="WA"/>
    <s v="Australia"/>
    <s v="Cannington"/>
    <s v="NDC LIMITED BUILDING"/>
    <n v="423031890700"/>
    <s v="Recycled Waste"/>
    <x v="0"/>
    <x v="1"/>
    <s v="Account"/>
    <s v="Remondis Batteries - Mixed Recycled"/>
    <m/>
    <s v="423031890700_RBATTERY."/>
    <s v="BATTERIES - MIXED RECYCLED"/>
    <s v="Remondis"/>
    <m/>
    <m/>
    <d v="2021-01-01T00:00:00"/>
    <d v="2020-12-01T00:00:00"/>
    <s v="FY21"/>
    <s v="t"/>
    <n v="0.11899999999999999"/>
    <n v="0"/>
    <n v="0"/>
    <n v="0.11899999999999999"/>
    <n v="1"/>
    <n v="0"/>
    <n v="0"/>
    <n v="1"/>
    <n v="100"/>
    <n v="0"/>
    <n v="0"/>
    <s v="Consolidation"/>
    <s v="CO2e and Base Measure"/>
    <n v="100"/>
    <n v="100"/>
    <n v="0.12"/>
    <m/>
    <m/>
    <m/>
    <m/>
    <m/>
    <m/>
    <m/>
    <m/>
    <m/>
    <m/>
    <m/>
    <m/>
    <m/>
    <s v="AUD"/>
    <s v="13565835Waste Recycled - E-waste [t]"/>
    <n v="13565835"/>
  </r>
  <r>
    <d v="2019-07-01T00:00:00"/>
    <d v="2021-06-30T00:00:00"/>
    <s v="Telstra"/>
    <s v="NON-NETWORK"/>
    <s v="NON-NETWORK"/>
    <s v="WA"/>
    <s v="Australia"/>
    <s v="Cannington"/>
    <s v="NDC LIMITED BUILDING"/>
    <n v="423031890700"/>
    <s v="Recycled Waste"/>
    <x v="0"/>
    <x v="1"/>
    <s v="Account"/>
    <s v="Remondis Batteries - Mixed Recycled"/>
    <m/>
    <s v="423031890700_RBATTERY."/>
    <s v="BATTERIES - MIXED RECYCLED"/>
    <s v="Remondis"/>
    <m/>
    <m/>
    <d v="2021-01-01T00:00:00"/>
    <d v="2021-01-01T00:00:00"/>
    <s v="FY21"/>
    <s v="t"/>
    <n v="0"/>
    <n v="0"/>
    <n v="4.0000000000000001E-3"/>
    <n v="4.0000000000000001E-3"/>
    <n v="0"/>
    <n v="0"/>
    <n v="1"/>
    <n v="1"/>
    <n v="0"/>
    <n v="0"/>
    <n v="100"/>
    <s v="Consolidation"/>
    <s v="CO2e and Base Measure"/>
    <n v="100"/>
    <n v="100"/>
    <n v="0"/>
    <m/>
    <m/>
    <m/>
    <m/>
    <m/>
    <m/>
    <m/>
    <m/>
    <m/>
    <m/>
    <m/>
    <m/>
    <m/>
    <s v="AUD"/>
    <s v="13565835Waste Recycled - E-waste [t]"/>
    <n v="13565835"/>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0-08-01T00:00:00"/>
    <s v="FY21"/>
    <s v="t"/>
    <n v="1.7"/>
    <n v="2.3300000000000001E-2"/>
    <n v="0"/>
    <n v="1.7233000000000001"/>
    <n v="1"/>
    <n v="1"/>
    <n v="0"/>
    <n v="2"/>
    <n v="98.64"/>
    <n v="1.35"/>
    <n v="0"/>
    <s v="Consolidation"/>
    <s v="CO2e and Base Measure"/>
    <n v="100"/>
    <n v="100"/>
    <n v="1.72"/>
    <m/>
    <m/>
    <m/>
    <m/>
    <m/>
    <m/>
    <n v="0"/>
    <m/>
    <m/>
    <m/>
    <m/>
    <m/>
    <m/>
    <s v="AUD"/>
    <s v="13565837Waste Recycled - Cardboard [t]"/>
    <n v="13565837"/>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0-09-01T00:00:00"/>
    <s v="FY21"/>
    <s v="t"/>
    <n v="0"/>
    <n v="2.3300000000000001E-2"/>
    <n v="0"/>
    <n v="2.3300000000000001E-2"/>
    <n v="0"/>
    <n v="1"/>
    <n v="0"/>
    <n v="1"/>
    <n v="0"/>
    <n v="100"/>
    <n v="0"/>
    <s v="Consolidation"/>
    <s v="CO2e and Base Measure"/>
    <n v="100"/>
    <n v="100"/>
    <n v="0.02"/>
    <m/>
    <m/>
    <m/>
    <m/>
    <m/>
    <m/>
    <n v="0"/>
    <m/>
    <m/>
    <m/>
    <m/>
    <m/>
    <m/>
    <s v="AUD"/>
    <s v="13565837Waste Recycled - Cardboard [t]"/>
    <n v="13565837"/>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0-10-01T00:00:00"/>
    <s v="FY21"/>
    <s v="t"/>
    <n v="0.82"/>
    <n v="0"/>
    <n v="0"/>
    <n v="0.82"/>
    <n v="1"/>
    <n v="0"/>
    <n v="0"/>
    <n v="1"/>
    <n v="100"/>
    <n v="0"/>
    <n v="0"/>
    <s v="Consolidation"/>
    <s v="CO2e and Base Measure"/>
    <n v="100"/>
    <n v="100"/>
    <n v="0.82"/>
    <m/>
    <m/>
    <m/>
    <m/>
    <m/>
    <m/>
    <n v="0"/>
    <m/>
    <m/>
    <m/>
    <m/>
    <m/>
    <m/>
    <s v="AUD"/>
    <s v="13565837Waste Recycled - Cardboard [t]"/>
    <n v="13565837"/>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0-12-01T00:00:00"/>
    <s v="FY21"/>
    <s v="t"/>
    <n v="0"/>
    <n v="0.315"/>
    <n v="0"/>
    <n v="0.315"/>
    <n v="0"/>
    <n v="1"/>
    <n v="0"/>
    <n v="1"/>
    <n v="0"/>
    <n v="100"/>
    <n v="0"/>
    <s v="Consolidation"/>
    <s v="CO2e and Base Measure"/>
    <n v="100"/>
    <n v="100"/>
    <n v="0.32"/>
    <m/>
    <m/>
    <m/>
    <m/>
    <m/>
    <m/>
    <n v="0"/>
    <m/>
    <m/>
    <m/>
    <m/>
    <m/>
    <m/>
    <s v="AUD"/>
    <s v="13565837Waste Recycled - Cardboard [t]"/>
    <n v="13565837"/>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1-01-01T00:00:00"/>
    <s v="FY21"/>
    <s v="t"/>
    <n v="0"/>
    <n v="0"/>
    <n v="1.3599999999999999E-2"/>
    <n v="1.3599999999999999E-2"/>
    <n v="0"/>
    <n v="0"/>
    <n v="1"/>
    <n v="1"/>
    <n v="0"/>
    <n v="0"/>
    <n v="100"/>
    <s v="Consolidation"/>
    <s v="CO2e and Base Measure"/>
    <n v="100"/>
    <n v="100"/>
    <n v="0.01"/>
    <m/>
    <m/>
    <m/>
    <m/>
    <m/>
    <m/>
    <n v="0"/>
    <m/>
    <m/>
    <m/>
    <m/>
    <m/>
    <m/>
    <s v="AUD"/>
    <s v="13565837Waste Recycled - Cardboard [t]"/>
    <n v="13565837"/>
  </r>
  <r>
    <d v="2019-07-01T00:00:00"/>
    <d v="2021-06-30T00:00:00"/>
    <s v="Telstra"/>
    <s v="NON-NETWORK"/>
    <s v="NON-NETWORK"/>
    <s v="WA"/>
    <s v="Australia"/>
    <s v="Cannington"/>
    <s v="NDC LIMITED BUILDING"/>
    <n v="423031890700"/>
    <s v="Waste"/>
    <x v="1"/>
    <x v="2"/>
    <s v="Account"/>
    <s v="Remondis Gas Cylinders"/>
    <m/>
    <s v="423031890700_RCYCLINDER"/>
    <s v="GAS CYLINDERS"/>
    <s v="Remondis"/>
    <m/>
    <m/>
    <d v="2020-07-01T00:00:00"/>
    <d v="2020-07-01T00:00:00"/>
    <s v="FY21"/>
    <s v="t"/>
    <n v="0"/>
    <n v="0"/>
    <n v="1.4E-3"/>
    <n v="1.4E-3"/>
    <n v="0"/>
    <n v="0"/>
    <n v="1"/>
    <n v="1"/>
    <n v="0"/>
    <n v="0"/>
    <n v="100"/>
    <s v="Consolidation"/>
    <s v="CO2e and Base Measure"/>
    <n v="100"/>
    <n v="100"/>
    <n v="0"/>
    <m/>
    <m/>
    <m/>
    <m/>
    <m/>
    <n v="1.8E-3"/>
    <m/>
    <n v="1.8E-3"/>
    <m/>
    <m/>
    <m/>
    <m/>
    <m/>
    <s v="AUD"/>
    <s v="13565841Waste - General [t] - Scope 3"/>
    <n v="13565841"/>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07-01T00:00:00"/>
    <s v="FY21"/>
    <s v="t"/>
    <n v="3.8820000000000001"/>
    <n v="0"/>
    <n v="0"/>
    <n v="3.8820000000000001"/>
    <n v="11"/>
    <n v="0"/>
    <n v="0"/>
    <n v="11"/>
    <n v="100"/>
    <n v="0"/>
    <n v="0"/>
    <s v="Consolidation"/>
    <s v="CO2e and Base Measure"/>
    <n v="100"/>
    <n v="100"/>
    <n v="3.88"/>
    <m/>
    <m/>
    <m/>
    <m/>
    <m/>
    <n v="5.0465999999999998"/>
    <m/>
    <n v="5.0465999999999998"/>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08-01T00:00:00"/>
    <s v="FY21"/>
    <s v="t"/>
    <n v="2.46"/>
    <n v="7.22E-2"/>
    <n v="0"/>
    <n v="2.5322"/>
    <n v="9"/>
    <n v="1"/>
    <n v="0"/>
    <n v="10"/>
    <n v="97.14"/>
    <n v="2.85"/>
    <n v="0"/>
    <s v="Consolidation"/>
    <s v="CO2e and Base Measure"/>
    <n v="100"/>
    <n v="100"/>
    <n v="2.5299999999999998"/>
    <m/>
    <m/>
    <m/>
    <m/>
    <m/>
    <n v="3.2919"/>
    <m/>
    <n v="3.2919"/>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09-01T00:00:00"/>
    <s v="FY21"/>
    <s v="t"/>
    <n v="0.79800000000000004"/>
    <n v="0.2888"/>
    <n v="0"/>
    <n v="1.0868"/>
    <n v="6"/>
    <n v="4"/>
    <n v="0"/>
    <n v="10"/>
    <n v="73.42"/>
    <n v="26.57"/>
    <n v="0"/>
    <s v="Consolidation"/>
    <s v="CO2e and Base Measure"/>
    <n v="100"/>
    <n v="100"/>
    <n v="1.0900000000000001"/>
    <m/>
    <m/>
    <m/>
    <m/>
    <m/>
    <n v="1.4128000000000001"/>
    <m/>
    <n v="1.4128000000000001"/>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10-01T00:00:00"/>
    <s v="FY21"/>
    <s v="t"/>
    <n v="5.5620000000000003"/>
    <n v="0.21659999999999999"/>
    <n v="0"/>
    <n v="5.7786"/>
    <n v="10"/>
    <n v="3"/>
    <n v="0"/>
    <n v="13"/>
    <n v="96.25"/>
    <n v="3.74"/>
    <n v="0"/>
    <s v="Consolidation"/>
    <s v="CO2e and Base Measure"/>
    <n v="100"/>
    <n v="100"/>
    <n v="5.78"/>
    <m/>
    <m/>
    <m/>
    <m/>
    <m/>
    <n v="7.5122"/>
    <m/>
    <n v="7.5122"/>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11-01T00:00:00"/>
    <s v="FY21"/>
    <s v="t"/>
    <n v="1.294"/>
    <n v="0.1444"/>
    <n v="0"/>
    <n v="1.4383999999999999"/>
    <n v="5"/>
    <n v="2"/>
    <n v="0"/>
    <n v="7"/>
    <n v="89.96"/>
    <n v="10.029999999999999"/>
    <n v="0"/>
    <s v="Consolidation"/>
    <s v="CO2e and Base Measure"/>
    <n v="100"/>
    <n v="100"/>
    <n v="1.44"/>
    <m/>
    <m/>
    <m/>
    <m/>
    <m/>
    <n v="1.8698999999999999"/>
    <m/>
    <n v="1.8698999999999999"/>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12-01T00:00:00"/>
    <s v="FY21"/>
    <s v="t"/>
    <n v="0.82"/>
    <n v="0"/>
    <n v="0"/>
    <n v="0.82"/>
    <n v="1"/>
    <n v="0"/>
    <n v="0"/>
    <n v="1"/>
    <n v="100"/>
    <n v="0"/>
    <n v="0"/>
    <s v="Consolidation"/>
    <s v="CO2e and Base Measure"/>
    <n v="100"/>
    <n v="100"/>
    <n v="0.82"/>
    <m/>
    <m/>
    <m/>
    <m/>
    <m/>
    <n v="1.0660000000000001"/>
    <m/>
    <n v="1.0660000000000001"/>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1-01-01T00:00:00"/>
    <s v="FY21"/>
    <s v="t"/>
    <n v="0"/>
    <n v="0"/>
    <n v="7.3599999999999999E-2"/>
    <n v="7.3599999999999999E-2"/>
    <n v="0"/>
    <n v="0"/>
    <n v="1"/>
    <n v="1"/>
    <n v="0"/>
    <n v="0"/>
    <n v="100"/>
    <s v="Consolidation"/>
    <s v="CO2e and Base Measure"/>
    <n v="100"/>
    <n v="100"/>
    <n v="7.0000000000000007E-2"/>
    <m/>
    <m/>
    <m/>
    <m/>
    <m/>
    <n v="9.5699999999999993E-2"/>
    <m/>
    <n v="9.5699999999999993E-2"/>
    <m/>
    <m/>
    <m/>
    <m/>
    <m/>
    <s v="AUD"/>
    <s v="13565842Waste - General [t] - Scope 3"/>
    <n v="13565842"/>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0-07-01T00:00:00"/>
    <s v="FY21"/>
    <s v="t"/>
    <n v="1.27"/>
    <n v="0"/>
    <n v="0"/>
    <n v="1.27"/>
    <n v="1"/>
    <n v="0"/>
    <n v="0"/>
    <n v="1"/>
    <n v="100"/>
    <n v="0"/>
    <n v="0"/>
    <s v="Consolidation"/>
    <s v="CO2e and Base Measure"/>
    <n v="100"/>
    <n v="100"/>
    <n v="1.27"/>
    <m/>
    <m/>
    <m/>
    <m/>
    <m/>
    <m/>
    <m/>
    <m/>
    <m/>
    <m/>
    <m/>
    <m/>
    <m/>
    <s v="AUD"/>
    <s v="13565843Waste Recycled - E-waste [t]"/>
    <n v="13565843"/>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0-09-01T00:00:00"/>
    <s v="FY21"/>
    <s v="t"/>
    <n v="1.98"/>
    <n v="0"/>
    <n v="0"/>
    <n v="1.98"/>
    <n v="1"/>
    <n v="0"/>
    <n v="0"/>
    <n v="1"/>
    <n v="100"/>
    <n v="0"/>
    <n v="0"/>
    <s v="Consolidation"/>
    <s v="CO2e and Base Measure"/>
    <n v="100"/>
    <n v="100"/>
    <n v="1.98"/>
    <m/>
    <m/>
    <m/>
    <m/>
    <m/>
    <m/>
    <m/>
    <m/>
    <m/>
    <m/>
    <m/>
    <m/>
    <m/>
    <s v="AUD"/>
    <s v="13565843Waste Recycled - E-waste [t]"/>
    <n v="13565843"/>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0-10-01T00:00:00"/>
    <s v="FY21"/>
    <s v="t"/>
    <n v="12.05"/>
    <n v="0"/>
    <n v="0"/>
    <n v="12.05"/>
    <n v="5"/>
    <n v="0"/>
    <n v="0"/>
    <n v="5"/>
    <n v="100"/>
    <n v="0"/>
    <n v="0"/>
    <s v="Consolidation"/>
    <s v="CO2e and Base Measure"/>
    <n v="100"/>
    <n v="100"/>
    <n v="12.05"/>
    <m/>
    <m/>
    <m/>
    <m/>
    <m/>
    <m/>
    <m/>
    <m/>
    <m/>
    <m/>
    <m/>
    <m/>
    <m/>
    <s v="AUD"/>
    <s v="13565843Waste Recycled - E-waste [t]"/>
    <n v="13565843"/>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0-12-01T00:00:00"/>
    <s v="FY21"/>
    <s v="t"/>
    <n v="1.792"/>
    <n v="0"/>
    <n v="0"/>
    <n v="1.792"/>
    <n v="2"/>
    <n v="0"/>
    <n v="0"/>
    <n v="2"/>
    <n v="100"/>
    <n v="0"/>
    <n v="0"/>
    <s v="Consolidation"/>
    <s v="CO2e and Base Measure"/>
    <n v="100"/>
    <n v="100"/>
    <n v="1.79"/>
    <m/>
    <m/>
    <m/>
    <m/>
    <m/>
    <m/>
    <m/>
    <m/>
    <m/>
    <m/>
    <m/>
    <m/>
    <m/>
    <s v="AUD"/>
    <s v="13565843Waste Recycled - E-waste [t]"/>
    <n v="13565843"/>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1-01-01T00:00:00"/>
    <s v="FY21"/>
    <s v="t"/>
    <n v="0"/>
    <n v="0"/>
    <n v="8.5300000000000001E-2"/>
    <n v="8.5300000000000001E-2"/>
    <n v="0"/>
    <n v="0"/>
    <n v="1"/>
    <n v="1"/>
    <n v="0"/>
    <n v="0"/>
    <n v="100"/>
    <s v="Consolidation"/>
    <s v="CO2e and Base Measure"/>
    <n v="100"/>
    <n v="100"/>
    <n v="0.09"/>
    <m/>
    <m/>
    <m/>
    <m/>
    <m/>
    <m/>
    <m/>
    <m/>
    <m/>
    <m/>
    <m/>
    <m/>
    <m/>
    <s v="AUD"/>
    <s v="13565843Waste Recycled - E-waste [t]"/>
    <n v="13565843"/>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07-01T00:00:00"/>
    <s v="FY21"/>
    <s v="t"/>
    <n v="0"/>
    <n v="0.153"/>
    <n v="0"/>
    <n v="0.153"/>
    <n v="0"/>
    <n v="2"/>
    <n v="0"/>
    <n v="2"/>
    <n v="0"/>
    <n v="100"/>
    <n v="0"/>
    <s v="Consolidation"/>
    <s v="CO2e and Base Measure"/>
    <n v="100"/>
    <n v="100"/>
    <n v="0.15"/>
    <m/>
    <m/>
    <m/>
    <m/>
    <m/>
    <m/>
    <m/>
    <m/>
    <m/>
    <m/>
    <m/>
    <m/>
    <m/>
    <s v="AUD"/>
    <s v="13565844Waste Recycled - Other [t]"/>
    <n v="13565844"/>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08-01T00:00:00"/>
    <s v="FY21"/>
    <s v="t"/>
    <n v="0"/>
    <n v="0.153"/>
    <n v="0"/>
    <n v="0.153"/>
    <n v="0"/>
    <n v="2"/>
    <n v="0"/>
    <n v="2"/>
    <n v="0"/>
    <n v="100"/>
    <n v="0"/>
    <s v="Consolidation"/>
    <s v="CO2e and Base Measure"/>
    <n v="100"/>
    <n v="100"/>
    <n v="0.15"/>
    <m/>
    <m/>
    <m/>
    <m/>
    <m/>
    <m/>
    <m/>
    <m/>
    <m/>
    <m/>
    <m/>
    <m/>
    <m/>
    <s v="AUD"/>
    <s v="13565844Waste Recycled - Other [t]"/>
    <n v="13565844"/>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09-01T00:00:00"/>
    <s v="FY21"/>
    <s v="t"/>
    <n v="0"/>
    <n v="0.22950000000000001"/>
    <n v="0"/>
    <n v="0.22950000000000001"/>
    <n v="0"/>
    <n v="3"/>
    <n v="0"/>
    <n v="3"/>
    <n v="0"/>
    <n v="100"/>
    <n v="0"/>
    <s v="Consolidation"/>
    <s v="CO2e and Base Measure"/>
    <n v="100"/>
    <n v="100"/>
    <n v="0.23"/>
    <m/>
    <m/>
    <m/>
    <m/>
    <m/>
    <m/>
    <m/>
    <m/>
    <m/>
    <m/>
    <m/>
    <m/>
    <m/>
    <s v="AUD"/>
    <s v="13565844Waste Recycled - Other [t]"/>
    <n v="13565844"/>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10-01T00:00:00"/>
    <s v="FY21"/>
    <s v="t"/>
    <n v="0"/>
    <n v="0.153"/>
    <n v="0"/>
    <n v="0.153"/>
    <n v="0"/>
    <n v="2"/>
    <n v="0"/>
    <n v="2"/>
    <n v="0"/>
    <n v="100"/>
    <n v="0"/>
    <s v="Consolidation"/>
    <s v="CO2e and Base Measure"/>
    <n v="100"/>
    <n v="100"/>
    <n v="0.15"/>
    <m/>
    <m/>
    <m/>
    <m/>
    <m/>
    <m/>
    <m/>
    <m/>
    <m/>
    <m/>
    <m/>
    <m/>
    <m/>
    <s v="AUD"/>
    <s v="13565844Waste Recycled - Other [t]"/>
    <n v="13565844"/>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11-01T00:00:00"/>
    <s v="FY21"/>
    <s v="t"/>
    <n v="0"/>
    <n v="7.6499999999999999E-2"/>
    <n v="0"/>
    <n v="7.6499999999999999E-2"/>
    <n v="0"/>
    <n v="1"/>
    <n v="0"/>
    <n v="1"/>
    <n v="0"/>
    <n v="100"/>
    <n v="0"/>
    <s v="Consolidation"/>
    <s v="CO2e and Base Measure"/>
    <n v="100"/>
    <n v="100"/>
    <n v="0.08"/>
    <m/>
    <m/>
    <m/>
    <m/>
    <m/>
    <m/>
    <m/>
    <m/>
    <m/>
    <m/>
    <m/>
    <m/>
    <m/>
    <s v="AUD"/>
    <s v="13565844Waste Recycled - Other [t]"/>
    <n v="13565844"/>
  </r>
  <r>
    <d v="2019-07-01T00:00:00"/>
    <d v="2021-06-30T00:00:00"/>
    <s v="Telstra"/>
    <s v="NON-NETWORK"/>
    <s v="NON-NETWORK"/>
    <s v="WA"/>
    <s v="Australia"/>
    <s v="Cannington"/>
    <s v="NDC LIMITED BUILDING"/>
    <n v="423031890700"/>
    <s v="No Recovery"/>
    <x v="1"/>
    <x v="7"/>
    <s v="Account"/>
    <s v="Remondis Sharps Medical Disposal"/>
    <m/>
    <s v="423031890700_WSHARPSME"/>
    <s v="SHARPS MEDICAL DISPOSAL"/>
    <s v="Remondis"/>
    <m/>
    <m/>
    <d v="2021-01-01T00:00:00"/>
    <d v="2020-12-01T00:00:00"/>
    <s v="FY21"/>
    <s v="t"/>
    <n v="0"/>
    <n v="2.4E-2"/>
    <n v="0"/>
    <n v="2.4E-2"/>
    <n v="0"/>
    <n v="1"/>
    <n v="0"/>
    <n v="1"/>
    <n v="0"/>
    <n v="100"/>
    <n v="0"/>
    <s v="Consolidation"/>
    <s v="CO2e and Base Measure"/>
    <n v="100"/>
    <n v="100"/>
    <n v="0.02"/>
    <m/>
    <m/>
    <m/>
    <m/>
    <m/>
    <n v="2.8799999999999999E-2"/>
    <m/>
    <n v="2.8799999999999999E-2"/>
    <m/>
    <m/>
    <m/>
    <m/>
    <m/>
    <s v="AUD"/>
    <s v="13565846Hazardous Waste [t]"/>
    <n v="13565846"/>
  </r>
  <r>
    <d v="2019-07-01T00:00:00"/>
    <d v="2021-06-30T00:00:00"/>
    <s v="Telstra"/>
    <s v="NON-NETWORK"/>
    <s v="NON-NETWORK"/>
    <s v="WA"/>
    <s v="Australia"/>
    <s v="Cannington"/>
    <s v="NDC LIMITED BUILDING"/>
    <n v="423031890700"/>
    <s v="No Recovery"/>
    <x v="1"/>
    <x v="7"/>
    <s v="Account"/>
    <s v="Remondis Sharps Medical Disposal"/>
    <m/>
    <s v="423031890700_WSHARPSME"/>
    <s v="SHARPS MEDICAL DISPOSAL"/>
    <s v="Remondis"/>
    <m/>
    <m/>
    <d v="2021-01-01T00:00:00"/>
    <d v="2021-01-01T00:00:00"/>
    <s v="FY21"/>
    <s v="t"/>
    <n v="0"/>
    <n v="0"/>
    <n v="8.0000000000000004E-4"/>
    <n v="8.0000000000000004E-4"/>
    <n v="0"/>
    <n v="0"/>
    <n v="1"/>
    <n v="1"/>
    <n v="0"/>
    <n v="0"/>
    <n v="100"/>
    <s v="Consolidation"/>
    <s v="CO2e and Base Measure"/>
    <n v="100"/>
    <n v="100"/>
    <n v="0"/>
    <m/>
    <m/>
    <m/>
    <m/>
    <m/>
    <n v="1E-3"/>
    <m/>
    <n v="1E-3"/>
    <m/>
    <m/>
    <m/>
    <m/>
    <m/>
    <s v="AUD"/>
    <s v="13565846Hazardous Waste [t]"/>
    <n v="13565846"/>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07-01T00:00:00"/>
    <s v="FY21"/>
    <s v="t"/>
    <n v="0.189"/>
    <n v="0"/>
    <n v="0"/>
    <n v="0.189"/>
    <n v="1"/>
    <n v="0"/>
    <n v="0"/>
    <n v="1"/>
    <n v="100"/>
    <n v="0"/>
    <n v="0"/>
    <s v="Consolidation"/>
    <s v="CO2e and Base Measure"/>
    <n v="100"/>
    <n v="100"/>
    <n v="0.19"/>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08-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09-01T00:00:00"/>
    <s v="FY21"/>
    <s v="t"/>
    <n v="0"/>
    <n v="0"/>
    <n v="0.189"/>
    <n v="0.189"/>
    <n v="0"/>
    <n v="0"/>
    <n v="30"/>
    <n v="30"/>
    <n v="0"/>
    <n v="0"/>
    <n v="100"/>
    <s v="Consolidation"/>
    <s v="CO2e and Base Measure"/>
    <n v="100"/>
    <n v="100"/>
    <n v="0.19"/>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10-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11-01T00:00:00"/>
    <s v="FY21"/>
    <s v="t"/>
    <n v="0"/>
    <n v="0"/>
    <n v="0.189"/>
    <n v="0.189"/>
    <n v="0"/>
    <n v="0"/>
    <n v="30"/>
    <n v="30"/>
    <n v="0"/>
    <n v="0"/>
    <n v="100"/>
    <s v="Consolidation"/>
    <s v="CO2e and Base Measure"/>
    <n v="100"/>
    <n v="100"/>
    <n v="0.19"/>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12-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1-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2-01T00:00:00"/>
    <s v="FY21"/>
    <s v="t"/>
    <n v="0"/>
    <n v="0"/>
    <n v="0.1764"/>
    <n v="0.1764"/>
    <n v="0"/>
    <n v="0"/>
    <n v="28"/>
    <n v="28"/>
    <n v="0"/>
    <n v="0"/>
    <n v="100"/>
    <s v="Consolidation"/>
    <s v="CO2e and Base Measure"/>
    <n v="100"/>
    <n v="100"/>
    <n v="0.18"/>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3-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4-01T00:00:00"/>
    <s v="FY21"/>
    <s v="t"/>
    <n v="0"/>
    <n v="0"/>
    <n v="0.189"/>
    <n v="0.189"/>
    <n v="0"/>
    <n v="0"/>
    <n v="30"/>
    <n v="30"/>
    <n v="0"/>
    <n v="0"/>
    <n v="100"/>
    <s v="Consolidation"/>
    <s v="CO2e and Base Measure"/>
    <n v="100"/>
    <n v="100"/>
    <n v="0.19"/>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5-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Waste"/>
    <x v="1"/>
    <x v="4"/>
    <s v="Account"/>
    <s v="Remondis Secure Burial"/>
    <m/>
    <s v="423031890700_WPRODDES"/>
    <s v="SECURE BURIAL"/>
    <s v="Remondis"/>
    <m/>
    <m/>
    <d v="2021-01-01T00:00:00"/>
    <d v="2020-08-01T00:00:00"/>
    <s v="FY21"/>
    <s v="t"/>
    <n v="1"/>
    <n v="0"/>
    <n v="0"/>
    <n v="1"/>
    <n v="1"/>
    <n v="0"/>
    <n v="0"/>
    <n v="1"/>
    <n v="100"/>
    <n v="0"/>
    <n v="0"/>
    <s v="Consolidation"/>
    <s v="CO2e and Base Measure"/>
    <n v="100"/>
    <n v="100"/>
    <n v="1"/>
    <m/>
    <m/>
    <m/>
    <m/>
    <m/>
    <n v="1.2"/>
    <m/>
    <n v="1.2"/>
    <m/>
    <m/>
    <m/>
    <m/>
    <m/>
    <s v="AUD"/>
    <s v="13576281Waste - Construction and Demolition [t]"/>
    <n v="13576281"/>
  </r>
  <r>
    <d v="2019-07-01T00:00:00"/>
    <d v="2021-06-30T00:00:00"/>
    <s v="Telstra"/>
    <s v="NON-NETWORK"/>
    <s v="NON-NETWORK"/>
    <s v="WA"/>
    <s v="Australia"/>
    <s v="Cannington"/>
    <s v="NDC LIMITED BUILDING"/>
    <n v="423031890700"/>
    <s v="Waste"/>
    <x v="1"/>
    <x v="4"/>
    <s v="Account"/>
    <s v="Remondis Secure Burial"/>
    <m/>
    <s v="423031890700_WPRODDES"/>
    <s v="SECURE BURIAL"/>
    <s v="Remondis"/>
    <m/>
    <m/>
    <d v="2021-01-01T00:00:00"/>
    <d v="2020-12-01T00:00:00"/>
    <s v="FY21"/>
    <s v="t"/>
    <n v="0.3"/>
    <n v="0"/>
    <n v="0"/>
    <n v="0.3"/>
    <n v="1"/>
    <n v="0"/>
    <n v="0"/>
    <n v="1"/>
    <n v="100"/>
    <n v="0"/>
    <n v="0"/>
    <s v="Consolidation"/>
    <s v="CO2e and Base Measure"/>
    <n v="100"/>
    <n v="100"/>
    <n v="0.3"/>
    <m/>
    <m/>
    <m/>
    <m/>
    <m/>
    <n v="0.36"/>
    <m/>
    <n v="0.36"/>
    <m/>
    <m/>
    <m/>
    <m/>
    <m/>
    <s v="AUD"/>
    <s v="13576281Waste - Construction and Demolition [t]"/>
    <n v="13576281"/>
  </r>
  <r>
    <d v="2019-07-01T00:00:00"/>
    <d v="2021-06-30T00:00:00"/>
    <s v="Telstra"/>
    <s v="NON-NETWORK"/>
    <s v="NON-NETWORK"/>
    <s v="WA"/>
    <s v="Australia"/>
    <s v="Cannington"/>
    <s v="NDC LIMITED BUILDING"/>
    <n v="423031890700"/>
    <s v="Waste"/>
    <x v="1"/>
    <x v="4"/>
    <s v="Account"/>
    <s v="Remondis Secure Burial"/>
    <m/>
    <s v="423031890700_WPRODDES"/>
    <s v="SECURE BURIAL"/>
    <s v="Remondis"/>
    <m/>
    <m/>
    <d v="2021-01-01T00:00:00"/>
    <d v="2021-01-01T00:00:00"/>
    <s v="FY21"/>
    <s v="t"/>
    <n v="0"/>
    <n v="0"/>
    <n v="8.6E-3"/>
    <n v="8.6E-3"/>
    <n v="0"/>
    <n v="0"/>
    <n v="1"/>
    <n v="1"/>
    <n v="0"/>
    <n v="0"/>
    <n v="100"/>
    <s v="Consolidation"/>
    <s v="CO2e and Base Measure"/>
    <n v="100"/>
    <n v="100"/>
    <n v="0.01"/>
    <m/>
    <m/>
    <m/>
    <m/>
    <m/>
    <n v="1.03E-2"/>
    <m/>
    <n v="1.03E-2"/>
    <m/>
    <m/>
    <m/>
    <m/>
    <m/>
    <s v="AUD"/>
    <s v="13576281Waste - Construction and Demolition [t]"/>
    <n v="13576281"/>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0-12-01T00:00:00"/>
    <s v="FY21"/>
    <s v="t"/>
    <n v="0"/>
    <n v="0.2475"/>
    <n v="0"/>
    <n v="0.2475"/>
    <n v="0"/>
    <n v="5"/>
    <n v="0"/>
    <n v="5"/>
    <n v="0"/>
    <n v="100"/>
    <n v="0"/>
    <s v="Consolidation"/>
    <s v="CO2e and Base Measure"/>
    <n v="100"/>
    <n v="100"/>
    <n v="0.25"/>
    <m/>
    <m/>
    <m/>
    <m/>
    <m/>
    <n v="0.32179999999999997"/>
    <m/>
    <n v="0.32179999999999997"/>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1-01T00:00:00"/>
    <s v="FY21"/>
    <s v="t"/>
    <n v="1.28"/>
    <n v="0.39600000000000002"/>
    <n v="0"/>
    <n v="1.6759999999999999"/>
    <n v="1"/>
    <n v="8"/>
    <n v="0"/>
    <n v="9"/>
    <n v="76.37"/>
    <n v="23.62"/>
    <n v="0"/>
    <s v="Consolidation"/>
    <s v="CO2e and Base Measure"/>
    <n v="100"/>
    <n v="100"/>
    <n v="1.68"/>
    <m/>
    <m/>
    <m/>
    <m/>
    <m/>
    <n v="2.1787999999999998"/>
    <m/>
    <n v="2.1787999999999998"/>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2-01T00:00:00"/>
    <s v="FY21"/>
    <s v="t"/>
    <n v="2.14"/>
    <n v="0.39600000000000002"/>
    <n v="0"/>
    <n v="2.536"/>
    <n v="1"/>
    <n v="8"/>
    <n v="0"/>
    <n v="9"/>
    <n v="84.38"/>
    <n v="15.61"/>
    <n v="0"/>
    <s v="Consolidation"/>
    <s v="CO2e and Base Measure"/>
    <n v="100"/>
    <n v="100"/>
    <n v="2.54"/>
    <m/>
    <m/>
    <m/>
    <m/>
    <m/>
    <n v="3.2968000000000002"/>
    <m/>
    <n v="3.2968000000000002"/>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3-01T00:00:00"/>
    <s v="FY21"/>
    <s v="t"/>
    <n v="4.1399999999999997"/>
    <n v="0.44550000000000001"/>
    <n v="0"/>
    <n v="4.5854999999999997"/>
    <n v="2"/>
    <n v="8"/>
    <n v="0"/>
    <n v="10"/>
    <n v="90.28"/>
    <n v="9.7100000000000009"/>
    <n v="0"/>
    <s v="Consolidation"/>
    <s v="CO2e and Base Measure"/>
    <n v="100"/>
    <n v="100"/>
    <n v="4.59"/>
    <m/>
    <m/>
    <m/>
    <m/>
    <m/>
    <n v="5.9611999999999998"/>
    <m/>
    <n v="5.9611999999999998"/>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4-01T00:00:00"/>
    <s v="FY21"/>
    <s v="t"/>
    <n v="0"/>
    <n v="0"/>
    <n v="2.262"/>
    <n v="2.262"/>
    <n v="0"/>
    <n v="0"/>
    <n v="30"/>
    <n v="30"/>
    <n v="0"/>
    <n v="0"/>
    <n v="100"/>
    <s v="Consolidation"/>
    <s v="CO2e and Base Measure"/>
    <n v="100"/>
    <n v="100"/>
    <n v="2.2599999999999998"/>
    <m/>
    <m/>
    <m/>
    <m/>
    <m/>
    <n v="2.9405999999999999"/>
    <m/>
    <n v="2.9405999999999999"/>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5-01T00:00:00"/>
    <s v="FY21"/>
    <s v="t"/>
    <n v="0"/>
    <n v="0"/>
    <n v="2.3374000000000001"/>
    <n v="2.3374000000000001"/>
    <n v="0"/>
    <n v="0"/>
    <n v="31"/>
    <n v="31"/>
    <n v="0"/>
    <n v="0"/>
    <n v="100"/>
    <s v="Consolidation"/>
    <s v="CO2e and Base Measure"/>
    <n v="100"/>
    <n v="100"/>
    <n v="2.34"/>
    <m/>
    <m/>
    <m/>
    <m/>
    <m/>
    <n v="3.0386000000000002"/>
    <m/>
    <n v="3.0386000000000002"/>
    <m/>
    <m/>
    <m/>
    <m/>
    <m/>
    <s v="AUD"/>
    <s v="13634373Waste - General [t] - Scope 3"/>
    <n v="13634373"/>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0-12-01T00:00:00"/>
    <s v="FY21"/>
    <s v="t"/>
    <n v="0"/>
    <n v="5.5E-2"/>
    <n v="0"/>
    <n v="5.5E-2"/>
    <n v="0"/>
    <n v="2"/>
    <n v="0"/>
    <n v="2"/>
    <n v="0"/>
    <n v="100"/>
    <n v="0"/>
    <s v="Consolidation"/>
    <s v="CO2e and Base Measure"/>
    <n v="100"/>
    <n v="100"/>
    <n v="0.06"/>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1-01T00:00:00"/>
    <s v="FY21"/>
    <s v="t"/>
    <n v="0"/>
    <n v="5.5E-2"/>
    <n v="0"/>
    <n v="5.5E-2"/>
    <n v="0"/>
    <n v="2"/>
    <n v="0"/>
    <n v="2"/>
    <n v="0"/>
    <n v="100"/>
    <n v="0"/>
    <s v="Consolidation"/>
    <s v="CO2e and Base Measure"/>
    <n v="100"/>
    <n v="100"/>
    <n v="0.06"/>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2-01T00:00:00"/>
    <s v="FY21"/>
    <s v="t"/>
    <n v="0.48"/>
    <n v="5.5E-2"/>
    <n v="0"/>
    <n v="0.53500000000000003"/>
    <n v="1"/>
    <n v="2"/>
    <n v="0"/>
    <n v="3"/>
    <n v="89.71"/>
    <n v="10.28"/>
    <n v="0"/>
    <s v="Consolidation"/>
    <s v="CO2e and Base Measure"/>
    <n v="100"/>
    <n v="100"/>
    <n v="0.54"/>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3-01T00:00:00"/>
    <s v="FY21"/>
    <s v="t"/>
    <n v="0.3"/>
    <n v="5.5E-2"/>
    <n v="0"/>
    <n v="0.35499999999999998"/>
    <n v="1"/>
    <n v="2"/>
    <n v="0"/>
    <n v="3"/>
    <n v="84.5"/>
    <n v="15.49"/>
    <n v="0"/>
    <s v="Consolidation"/>
    <s v="CO2e and Base Measure"/>
    <n v="100"/>
    <n v="100"/>
    <n v="0.36"/>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4-01T00:00:00"/>
    <s v="FY21"/>
    <s v="t"/>
    <n v="0"/>
    <n v="0"/>
    <n v="0.249"/>
    <n v="0.249"/>
    <n v="0"/>
    <n v="0"/>
    <n v="30"/>
    <n v="30"/>
    <n v="0"/>
    <n v="0"/>
    <n v="100"/>
    <s v="Consolidation"/>
    <s v="CO2e and Base Measure"/>
    <n v="100"/>
    <n v="100"/>
    <n v="0.25"/>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5-01T00:00:00"/>
    <s v="FY21"/>
    <s v="t"/>
    <n v="0"/>
    <n v="0"/>
    <n v="0.25729999999999997"/>
    <n v="0.25729999999999997"/>
    <n v="0"/>
    <n v="0"/>
    <n v="31"/>
    <n v="31"/>
    <n v="0"/>
    <n v="0"/>
    <n v="100"/>
    <s v="Consolidation"/>
    <s v="CO2e and Base Measure"/>
    <n v="100"/>
    <n v="100"/>
    <n v="0.26"/>
    <m/>
    <m/>
    <m/>
    <m/>
    <m/>
    <m/>
    <m/>
    <m/>
    <m/>
    <m/>
    <m/>
    <m/>
    <m/>
    <s v="AUD"/>
    <s v="13634374Waste Recycled - Paper and Cardboard [t]"/>
    <n v="13634374"/>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0-12-01T00:00:00"/>
    <s v="FY21"/>
    <s v="t"/>
    <n v="0"/>
    <n v="2.1999999999999999E-2"/>
    <n v="0"/>
    <n v="2.1999999999999999E-2"/>
    <n v="0"/>
    <n v="1"/>
    <n v="0"/>
    <n v="1"/>
    <n v="0"/>
    <n v="100"/>
    <n v="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1-01T00:00:00"/>
    <s v="FY21"/>
    <s v="t"/>
    <n v="0"/>
    <n v="2.1999999999999999E-2"/>
    <n v="0"/>
    <n v="2.1999999999999999E-2"/>
    <n v="0"/>
    <n v="1"/>
    <n v="0"/>
    <n v="1"/>
    <n v="0"/>
    <n v="100"/>
    <n v="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2-01T00:00:00"/>
    <s v="FY21"/>
    <s v="t"/>
    <n v="0"/>
    <n v="2.1999999999999999E-2"/>
    <n v="0"/>
    <n v="2.1999999999999999E-2"/>
    <n v="0"/>
    <n v="1"/>
    <n v="0"/>
    <n v="1"/>
    <n v="0"/>
    <n v="100"/>
    <n v="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3-01T00:00:00"/>
    <s v="FY21"/>
    <s v="t"/>
    <n v="0"/>
    <n v="2.1999999999999999E-2"/>
    <n v="0"/>
    <n v="2.1999999999999999E-2"/>
    <n v="0"/>
    <n v="1"/>
    <n v="0"/>
    <n v="1"/>
    <n v="0"/>
    <n v="100"/>
    <n v="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4-01T00:00:00"/>
    <s v="FY21"/>
    <s v="t"/>
    <n v="0"/>
    <n v="0"/>
    <n v="2.1000000000000001E-2"/>
    <n v="2.1000000000000001E-2"/>
    <n v="0"/>
    <n v="0"/>
    <n v="30"/>
    <n v="30"/>
    <n v="0"/>
    <n v="0"/>
    <n v="10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5-01T00:00:00"/>
    <s v="FY21"/>
    <s v="t"/>
    <n v="0"/>
    <n v="0"/>
    <n v="2.1700000000000001E-2"/>
    <n v="2.1700000000000001E-2"/>
    <n v="0"/>
    <n v="0"/>
    <n v="31"/>
    <n v="31"/>
    <n v="0"/>
    <n v="0"/>
    <n v="10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5"/>
    <s v="Account"/>
    <s v="CLEANAWAY Metal - Diversion"/>
    <m/>
    <s v="31890700_Diversion_Metal"/>
    <s v="Metal"/>
    <s v="Cleanaway"/>
    <m/>
    <d v="2021-02-17T00:00:00"/>
    <m/>
    <d v="2021-02-01T00:00:00"/>
    <s v="FY21"/>
    <s v="t"/>
    <n v="0.85"/>
    <n v="0"/>
    <n v="0"/>
    <n v="0.85"/>
    <n v="1"/>
    <n v="0"/>
    <n v="0"/>
    <n v="1"/>
    <n v="100"/>
    <n v="0"/>
    <n v="0"/>
    <s v="Consolidation"/>
    <s v="CO2e and Base Measure"/>
    <n v="100"/>
    <n v="100"/>
    <n v="0.85"/>
    <m/>
    <m/>
    <m/>
    <m/>
    <m/>
    <m/>
    <m/>
    <m/>
    <m/>
    <m/>
    <m/>
    <m/>
    <m/>
    <s v="AUD"/>
    <s v="13639952Waste Recycled - Construction and Demolition [t]"/>
    <n v="13639952"/>
  </r>
  <r>
    <d v="2019-07-01T00:00:00"/>
    <d v="2021-06-30T00:00:00"/>
    <s v="Telstra"/>
    <s v="NON-NETWORK"/>
    <s v="NON-NETWORK"/>
    <s v="WA"/>
    <s v="Australia"/>
    <s v="Cannington"/>
    <s v="NDC LIMITED BUILDING"/>
    <n v="423031890700"/>
    <s v="Recycled Waste"/>
    <x v="0"/>
    <x v="5"/>
    <s v="Account"/>
    <s v="CLEANAWAY Metal - Diversion"/>
    <m/>
    <s v="31890700_Diversion_Metal"/>
    <s v="Metal"/>
    <s v="Cleanaway"/>
    <m/>
    <d v="2021-02-17T00:00:00"/>
    <m/>
    <d v="2021-03-01T00:00:00"/>
    <s v="FY21"/>
    <s v="t"/>
    <n v="0"/>
    <n v="0"/>
    <n v="0.97650000000000003"/>
    <n v="0.97650000000000003"/>
    <n v="0"/>
    <n v="0"/>
    <n v="31"/>
    <n v="31"/>
    <n v="0"/>
    <n v="0"/>
    <n v="100"/>
    <s v="Consolidation"/>
    <s v="CO2e and Base Measure"/>
    <n v="100"/>
    <n v="100"/>
    <n v="0.98"/>
    <m/>
    <m/>
    <m/>
    <m/>
    <m/>
    <m/>
    <m/>
    <m/>
    <m/>
    <m/>
    <m/>
    <m/>
    <m/>
    <s v="AUD"/>
    <s v="13639952Waste Recycled - Construction and Demolition [t]"/>
    <n v="13639952"/>
  </r>
  <r>
    <d v="2019-07-01T00:00:00"/>
    <d v="2021-06-30T00:00:00"/>
    <s v="Telstra"/>
    <s v="NON-NETWORK"/>
    <s v="NON-NETWORK"/>
    <s v="WA"/>
    <s v="Australia"/>
    <s v="Cannington"/>
    <s v="NDC LIMITED BUILDING"/>
    <n v="423031890700"/>
    <s v="Recycled Waste"/>
    <x v="0"/>
    <x v="5"/>
    <s v="Account"/>
    <s v="CLEANAWAY Metal - Diversion"/>
    <m/>
    <s v="31890700_Diversion_Metal"/>
    <s v="Metal"/>
    <s v="Cleanaway"/>
    <m/>
    <d v="2021-02-17T00:00:00"/>
    <m/>
    <d v="2021-04-01T00:00:00"/>
    <s v="FY21"/>
    <s v="t"/>
    <n v="0"/>
    <n v="0"/>
    <n v="0.94499999999999995"/>
    <n v="0.94499999999999995"/>
    <n v="0"/>
    <n v="0"/>
    <n v="30"/>
    <n v="30"/>
    <n v="0"/>
    <n v="0"/>
    <n v="100"/>
    <s v="Consolidation"/>
    <s v="CO2e and Base Measure"/>
    <n v="100"/>
    <n v="100"/>
    <n v="0.95"/>
    <m/>
    <m/>
    <m/>
    <m/>
    <m/>
    <m/>
    <m/>
    <m/>
    <m/>
    <m/>
    <m/>
    <m/>
    <m/>
    <s v="AUD"/>
    <s v="13639952Waste Recycled - Construction and Demolition [t]"/>
    <n v="13639952"/>
  </r>
  <r>
    <d v="2019-07-01T00:00:00"/>
    <d v="2021-06-30T00:00:00"/>
    <s v="Telstra"/>
    <s v="NON-NETWORK"/>
    <s v="NON-NETWORK"/>
    <s v="WA"/>
    <s v="Australia"/>
    <s v="Cannington"/>
    <s v="NDC LIMITED BUILDING"/>
    <n v="423031890700"/>
    <s v="Recycled Waste"/>
    <x v="0"/>
    <x v="5"/>
    <s v="Account"/>
    <s v="CLEANAWAY Metal - Diversion"/>
    <m/>
    <s v="31890700_Diversion_Metal"/>
    <s v="Metal"/>
    <s v="Cleanaway"/>
    <m/>
    <d v="2021-02-17T00:00:00"/>
    <m/>
    <d v="2021-05-01T00:00:00"/>
    <s v="FY21"/>
    <s v="t"/>
    <n v="0"/>
    <n v="0"/>
    <n v="0.97650000000000003"/>
    <n v="0.97650000000000003"/>
    <n v="0"/>
    <n v="0"/>
    <n v="31"/>
    <n v="31"/>
    <n v="0"/>
    <n v="0"/>
    <n v="100"/>
    <s v="Consolidation"/>
    <s v="CO2e and Base Measure"/>
    <n v="100"/>
    <n v="100"/>
    <n v="0.98"/>
    <m/>
    <m/>
    <m/>
    <m/>
    <m/>
    <m/>
    <m/>
    <m/>
    <m/>
    <m/>
    <m/>
    <m/>
    <m/>
    <s v="AUD"/>
    <s v="13639952Waste Recycled - Construction and Demolition [t]"/>
    <n v="13639952"/>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08-01T00:00:00"/>
    <s v="FY21"/>
    <s v="t"/>
    <n v="4.4999999999999998E-2"/>
    <n v="0.19500000000000001"/>
    <n v="0"/>
    <n v="0.24"/>
    <n v="1"/>
    <n v="1"/>
    <n v="0"/>
    <n v="2"/>
    <n v="18.75"/>
    <n v="81.25"/>
    <n v="0"/>
    <s v="Consolidation"/>
    <s v="CO2e and Base Measure"/>
    <n v="100"/>
    <n v="100"/>
    <n v="0.24"/>
    <m/>
    <m/>
    <m/>
    <m/>
    <m/>
    <n v="0.312"/>
    <m/>
    <n v="0.312"/>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09-01T00:00:00"/>
    <s v="FY21"/>
    <s v="t"/>
    <n v="0.125"/>
    <n v="0.19500000000000001"/>
    <n v="0"/>
    <n v="0.32"/>
    <n v="1"/>
    <n v="1"/>
    <n v="0"/>
    <n v="2"/>
    <n v="39.06"/>
    <n v="60.93"/>
    <n v="0"/>
    <s v="Consolidation"/>
    <s v="CO2e and Base Measure"/>
    <n v="100"/>
    <n v="100"/>
    <n v="0.32"/>
    <m/>
    <m/>
    <m/>
    <m/>
    <m/>
    <n v="0.41599999999999998"/>
    <m/>
    <n v="0.41599999999999998"/>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10-01T00:00:00"/>
    <s v="FY21"/>
    <s v="t"/>
    <n v="8.5000000000000006E-2"/>
    <n v="0.19500000000000001"/>
    <n v="0"/>
    <n v="0.28000000000000003"/>
    <n v="1"/>
    <n v="1"/>
    <n v="0"/>
    <n v="2"/>
    <n v="30.35"/>
    <n v="69.64"/>
    <n v="0"/>
    <s v="Consolidation"/>
    <s v="CO2e and Base Measure"/>
    <n v="100"/>
    <n v="100"/>
    <n v="0.28000000000000003"/>
    <m/>
    <m/>
    <m/>
    <m/>
    <m/>
    <n v="0.36399999999999999"/>
    <m/>
    <n v="0.36399999999999999"/>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1-01-01T00:00:00"/>
    <s v="FY21"/>
    <s v="t"/>
    <n v="0"/>
    <n v="0"/>
    <n v="1.1299999999999999E-2"/>
    <n v="1.1299999999999999E-2"/>
    <n v="0"/>
    <n v="0"/>
    <n v="1"/>
    <n v="1"/>
    <n v="0"/>
    <n v="0"/>
    <n v="100"/>
    <s v="Consolidation"/>
    <s v="CO2e and Base Measure"/>
    <n v="100"/>
    <n v="100"/>
    <n v="0.01"/>
    <m/>
    <m/>
    <m/>
    <m/>
    <m/>
    <n v="1.47E-2"/>
    <m/>
    <n v="1.47E-2"/>
    <m/>
    <m/>
    <m/>
    <m/>
    <m/>
    <s v="AUD"/>
    <s v="13565376Waste - General [t] - Scope 3"/>
    <n v="13565376"/>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0-12-01T00:00:00"/>
    <s v="FY21"/>
    <s v="t"/>
    <n v="3.9E-2"/>
    <n v="0.13500000000000001"/>
    <n v="0"/>
    <n v="0.17399999999999999"/>
    <n v="1"/>
    <n v="1"/>
    <n v="0"/>
    <n v="2"/>
    <n v="22.41"/>
    <n v="77.58"/>
    <n v="0"/>
    <s v="Consolidation"/>
    <s v="CO2e and Base Measure"/>
    <n v="100"/>
    <n v="100"/>
    <n v="0.17"/>
    <m/>
    <m/>
    <m/>
    <m/>
    <m/>
    <n v="0.22620000000000001"/>
    <m/>
    <n v="0.22620000000000001"/>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1-01T00:00:00"/>
    <s v="FY21"/>
    <s v="t"/>
    <n v="7.9000000000000001E-2"/>
    <n v="0"/>
    <n v="0"/>
    <n v="7.9000000000000001E-2"/>
    <n v="1"/>
    <n v="0"/>
    <n v="0"/>
    <n v="1"/>
    <n v="100"/>
    <n v="0"/>
    <n v="0"/>
    <s v="Consolidation"/>
    <s v="CO2e and Base Measure"/>
    <n v="100"/>
    <n v="100"/>
    <n v="0.08"/>
    <m/>
    <m/>
    <m/>
    <m/>
    <m/>
    <n v="0.1027"/>
    <m/>
    <n v="0.1027"/>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2-01T00:00:00"/>
    <s v="FY21"/>
    <s v="t"/>
    <n v="0.11899999999999999"/>
    <n v="0"/>
    <n v="0"/>
    <n v="0.11899999999999999"/>
    <n v="1"/>
    <n v="0"/>
    <n v="0"/>
    <n v="1"/>
    <n v="100"/>
    <n v="0"/>
    <n v="0"/>
    <s v="Consolidation"/>
    <s v="CO2e and Base Measure"/>
    <n v="100"/>
    <n v="100"/>
    <n v="0.12"/>
    <m/>
    <m/>
    <m/>
    <m/>
    <m/>
    <n v="0.1547"/>
    <m/>
    <n v="0.1547"/>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4-01T00:00:00"/>
    <s v="FY21"/>
    <s v="t"/>
    <n v="0"/>
    <n v="0"/>
    <n v="0.126"/>
    <n v="0.126"/>
    <n v="0"/>
    <n v="0"/>
    <n v="30"/>
    <n v="30"/>
    <n v="0"/>
    <n v="0"/>
    <n v="100"/>
    <s v="Consolidation"/>
    <s v="CO2e and Base Measure"/>
    <n v="100"/>
    <n v="100"/>
    <n v="0.13"/>
    <m/>
    <m/>
    <m/>
    <m/>
    <m/>
    <n v="0.1638"/>
    <m/>
    <n v="0.1638"/>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5-01T00:00:00"/>
    <s v="FY21"/>
    <s v="t"/>
    <n v="0"/>
    <n v="0"/>
    <n v="0.13020000000000001"/>
    <n v="0.13020000000000001"/>
    <n v="0"/>
    <n v="0"/>
    <n v="31"/>
    <n v="31"/>
    <n v="0"/>
    <n v="0"/>
    <n v="100"/>
    <s v="Consolidation"/>
    <s v="CO2e and Base Measure"/>
    <n v="100"/>
    <n v="100"/>
    <n v="0.13"/>
    <m/>
    <m/>
    <m/>
    <m/>
    <m/>
    <n v="0.16930000000000001"/>
    <m/>
    <n v="0.16930000000000001"/>
    <m/>
    <m/>
    <m/>
    <m/>
    <m/>
    <s v="AUD"/>
    <s v="13634204Waste - General [t] - Scope 3"/>
    <n v="13634204"/>
  </r>
  <r>
    <d v="2019-07-01T00:00:00"/>
    <d v="2021-06-30T00:00:00"/>
    <s v="Telstra"/>
    <s v="NETWORK"/>
    <s v="Network - InfraCo"/>
    <s v="NSW"/>
    <s v="Australia"/>
    <s v="Nelson Bay"/>
    <s v="NELSON BAY EXCHANGE"/>
    <n v="423030287000"/>
    <s v="Waste"/>
    <x v="1"/>
    <x v="2"/>
    <s v="Account"/>
    <s v="Remondis General Waste"/>
    <m/>
    <s v="423030287000_WGENERALW"/>
    <s v="GENERAL WASTE"/>
    <s v="Remondis"/>
    <m/>
    <m/>
    <d v="2021-01-01T00:00:00"/>
    <d v="2020-12-01T00:00:00"/>
    <s v="FY21"/>
    <s v="t"/>
    <n v="0.75"/>
    <n v="0.39"/>
    <n v="0"/>
    <n v="1.1399999999999999"/>
    <n v="1"/>
    <n v="2"/>
    <n v="0"/>
    <n v="3"/>
    <n v="65.78"/>
    <n v="34.21"/>
    <n v="0"/>
    <s v="Consolidation"/>
    <s v="CO2e and Base Measure"/>
    <n v="100"/>
    <n v="100"/>
    <n v="1.1399999999999999"/>
    <m/>
    <m/>
    <m/>
    <m/>
    <m/>
    <n v="1.482"/>
    <m/>
    <n v="1.482"/>
    <m/>
    <m/>
    <m/>
    <m/>
    <m/>
    <s v="AUD"/>
    <s v="13564372Waste - General [t] - Scope 3"/>
    <n v="13564372"/>
  </r>
  <r>
    <d v="2019-07-01T00:00:00"/>
    <d v="2021-06-30T00:00:00"/>
    <s v="Telstra"/>
    <s v="NETWORK"/>
    <s v="Network - InfraCo"/>
    <s v="NSW"/>
    <s v="Australia"/>
    <s v="Nelson Bay"/>
    <s v="NELSON BAY EXCHANGE"/>
    <n v="423030287000"/>
    <s v="Waste"/>
    <x v="1"/>
    <x v="2"/>
    <s v="Account"/>
    <s v="Remondis General Waste"/>
    <m/>
    <s v="423030287000_WGENERALW"/>
    <s v="GENERAL WASTE"/>
    <s v="Remondis"/>
    <m/>
    <m/>
    <d v="2021-01-01T00:00:00"/>
    <d v="2021-01-01T00:00:00"/>
    <s v="FY21"/>
    <s v="t"/>
    <n v="0"/>
    <n v="0"/>
    <n v="3.7999999999999999E-2"/>
    <n v="3.7999999999999999E-2"/>
    <n v="0"/>
    <n v="0"/>
    <n v="1"/>
    <n v="1"/>
    <n v="0"/>
    <n v="0"/>
    <n v="100"/>
    <s v="Consolidation"/>
    <s v="CO2e and Base Measure"/>
    <n v="100"/>
    <n v="100"/>
    <n v="0.04"/>
    <m/>
    <m/>
    <m/>
    <m/>
    <m/>
    <n v="4.9399999999999999E-2"/>
    <m/>
    <n v="4.9399999999999999E-2"/>
    <m/>
    <m/>
    <m/>
    <m/>
    <m/>
    <s v="AUD"/>
    <s v="13564372Waste - General [t] - Scope 3"/>
    <n v="13564372"/>
  </r>
  <r>
    <d v="2019-07-01T00:00:00"/>
    <d v="2021-06-30T00:00:00"/>
    <s v="Telstra"/>
    <s v="NON-NETWORK"/>
    <s v="NON-NETWORK"/>
    <s v="SA"/>
    <s v="Australia"/>
    <s v="Plympton"/>
    <s v="NETLEY 7 HUDSON CRT"/>
    <n v="423031641800"/>
    <s v="Waste"/>
    <x v="1"/>
    <x v="4"/>
    <s v="Account"/>
    <s v="Remondis Asbestos"/>
    <m/>
    <s v="423031641800_WASBESTOS"/>
    <s v="ASBESTOS"/>
    <s v="Remondis"/>
    <m/>
    <m/>
    <d v="2021-01-01T00:00:00"/>
    <d v="2020-12-01T00:00:00"/>
    <s v="FY21"/>
    <s v="t"/>
    <n v="1"/>
    <n v="0"/>
    <n v="0"/>
    <n v="1"/>
    <n v="1"/>
    <n v="0"/>
    <n v="0"/>
    <n v="1"/>
    <n v="100"/>
    <n v="0"/>
    <n v="0"/>
    <s v="Consolidation"/>
    <s v="CO2e and Base Measure"/>
    <n v="100"/>
    <n v="100"/>
    <n v="1"/>
    <m/>
    <m/>
    <m/>
    <m/>
    <m/>
    <n v="1.2"/>
    <m/>
    <n v="1.2"/>
    <m/>
    <m/>
    <m/>
    <m/>
    <m/>
    <s v="AUD"/>
    <s v="13565779Waste - Construction and Demolition [t]"/>
    <n v="13565779"/>
  </r>
  <r>
    <d v="2019-07-01T00:00:00"/>
    <d v="2021-06-30T00:00:00"/>
    <s v="Telstra"/>
    <s v="NON-NETWORK"/>
    <s v="NON-NETWORK"/>
    <s v="SA"/>
    <s v="Australia"/>
    <s v="Plympton"/>
    <s v="NETLEY 7 HUDSON CRT"/>
    <n v="423031641800"/>
    <s v="Waste"/>
    <x v="1"/>
    <x v="4"/>
    <s v="Account"/>
    <s v="Remondis Asbestos"/>
    <m/>
    <s v="423031641800_WASBESTOS"/>
    <s v="ASBESTOS"/>
    <s v="Remondis"/>
    <m/>
    <m/>
    <d v="2021-01-01T00:00:00"/>
    <d v="2021-01-01T00:00:00"/>
    <s v="FY21"/>
    <s v="t"/>
    <n v="0"/>
    <n v="0"/>
    <n v="3.3300000000000003E-2"/>
    <n v="3.3300000000000003E-2"/>
    <n v="0"/>
    <n v="0"/>
    <n v="1"/>
    <n v="1"/>
    <n v="0"/>
    <n v="0"/>
    <n v="100"/>
    <s v="Consolidation"/>
    <s v="CO2e and Base Measure"/>
    <n v="100"/>
    <n v="100"/>
    <n v="0.03"/>
    <m/>
    <m/>
    <m/>
    <m/>
    <m/>
    <n v="0.04"/>
    <m/>
    <n v="0.04"/>
    <m/>
    <m/>
    <m/>
    <m/>
    <m/>
    <s v="AUD"/>
    <s v="13565779Waste - Construction and Demolition [t]"/>
    <n v="13565779"/>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07-01T00:00:00"/>
    <s v="FY21"/>
    <s v="t"/>
    <n v="0"/>
    <n v="1.7010000000000001"/>
    <n v="0"/>
    <n v="1.7010000000000001"/>
    <n v="0"/>
    <n v="9"/>
    <n v="0"/>
    <n v="9"/>
    <n v="0"/>
    <n v="100"/>
    <n v="0"/>
    <s v="Consolidation"/>
    <s v="CO2e and Base Measure"/>
    <n v="100"/>
    <n v="100"/>
    <n v="1.7"/>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08-01T00:00:00"/>
    <s v="FY21"/>
    <s v="t"/>
    <n v="0"/>
    <n v="1.4175"/>
    <n v="0"/>
    <n v="1.4175"/>
    <n v="0"/>
    <n v="8"/>
    <n v="0"/>
    <n v="8"/>
    <n v="0"/>
    <n v="100"/>
    <n v="0"/>
    <s v="Consolidation"/>
    <s v="CO2e and Base Measure"/>
    <n v="100"/>
    <n v="100"/>
    <n v="1.42"/>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09-01T00:00:00"/>
    <s v="FY21"/>
    <s v="t"/>
    <n v="0"/>
    <n v="1.7010000000000001"/>
    <n v="0"/>
    <n v="1.7010000000000001"/>
    <n v="0"/>
    <n v="9"/>
    <n v="0"/>
    <n v="9"/>
    <n v="0"/>
    <n v="100"/>
    <n v="0"/>
    <s v="Consolidation"/>
    <s v="CO2e and Base Measure"/>
    <n v="100"/>
    <n v="100"/>
    <n v="1.7"/>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10-01T00:00:00"/>
    <s v="FY21"/>
    <s v="t"/>
    <n v="0"/>
    <n v="1.512"/>
    <n v="0"/>
    <n v="1.512"/>
    <n v="0"/>
    <n v="8"/>
    <n v="0"/>
    <n v="8"/>
    <n v="0"/>
    <n v="100"/>
    <n v="0"/>
    <s v="Consolidation"/>
    <s v="CO2e and Base Measure"/>
    <n v="100"/>
    <n v="100"/>
    <n v="1.51"/>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11-01T00:00:00"/>
    <s v="FY21"/>
    <s v="t"/>
    <n v="0"/>
    <n v="1.7010000000000001"/>
    <n v="0"/>
    <n v="1.7010000000000001"/>
    <n v="0"/>
    <n v="9"/>
    <n v="0"/>
    <n v="9"/>
    <n v="0"/>
    <n v="100"/>
    <n v="0"/>
    <s v="Consolidation"/>
    <s v="CO2e and Base Measure"/>
    <n v="100"/>
    <n v="100"/>
    <n v="1.7"/>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12-01T00:00:00"/>
    <s v="FY21"/>
    <s v="t"/>
    <n v="0"/>
    <n v="0.378"/>
    <n v="0"/>
    <n v="0.378"/>
    <n v="0"/>
    <n v="2"/>
    <n v="0"/>
    <n v="2"/>
    <n v="0"/>
    <n v="100"/>
    <n v="0"/>
    <s v="Consolidation"/>
    <s v="CO2e and Base Measure"/>
    <n v="100"/>
    <n v="100"/>
    <n v="0.38"/>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1-01-01T00:00:00"/>
    <s v="FY21"/>
    <s v="t"/>
    <n v="0"/>
    <n v="0"/>
    <n v="4.2999999999999997E-2"/>
    <n v="4.2999999999999997E-2"/>
    <n v="0"/>
    <n v="0"/>
    <n v="1"/>
    <n v="1"/>
    <n v="0"/>
    <n v="0"/>
    <n v="100"/>
    <s v="Consolidation"/>
    <s v="CO2e and Base Measure"/>
    <n v="100"/>
    <n v="100"/>
    <n v="0.04"/>
    <m/>
    <m/>
    <m/>
    <m/>
    <m/>
    <m/>
    <n v="0"/>
    <m/>
    <m/>
    <m/>
    <m/>
    <m/>
    <m/>
    <s v="AUD"/>
    <s v="13565781Waste Recycled - Cardboard [t]"/>
    <n v="13565781"/>
  </r>
  <r>
    <d v="2019-07-01T00:00:00"/>
    <d v="2021-06-30T00:00:00"/>
    <s v="Telstra"/>
    <s v="NON-NETWORK"/>
    <s v="NON-NETWORK"/>
    <s v="SA"/>
    <s v="Australia"/>
    <s v="Plympton"/>
    <s v="NETLEY 7 HUDSON CRT"/>
    <n v="423031641800"/>
    <s v="Recycled Waste"/>
    <x v="0"/>
    <x v="1"/>
    <s v="Account"/>
    <s v="Remondis Electrical Comp. (E-Waste)"/>
    <m/>
    <s v="423031641800_RELECTRIC"/>
    <s v="ELECTRICAL COMP. E-WASTE"/>
    <s v="Remondis"/>
    <m/>
    <m/>
    <d v="2021-01-01T00:00:00"/>
    <d v="2020-07-01T00:00:00"/>
    <s v="FY21"/>
    <s v="t"/>
    <n v="0.30299999999999999"/>
    <n v="0.2109"/>
    <n v="0"/>
    <n v="0.51390000000000002"/>
    <n v="1"/>
    <n v="1"/>
    <n v="0"/>
    <n v="2"/>
    <n v="58.96"/>
    <n v="41.03"/>
    <n v="0"/>
    <s v="Consolidation"/>
    <s v="CO2e and Base Measure"/>
    <n v="100"/>
    <n v="100"/>
    <n v="0.51"/>
    <m/>
    <m/>
    <m/>
    <m/>
    <m/>
    <m/>
    <m/>
    <m/>
    <m/>
    <m/>
    <m/>
    <m/>
    <m/>
    <s v="AUD"/>
    <s v="13565784Waste Recycled - E-waste [t]"/>
    <n v="13565784"/>
  </r>
  <r>
    <d v="2019-07-01T00:00:00"/>
    <d v="2021-06-30T00:00:00"/>
    <s v="Telstra"/>
    <s v="NON-NETWORK"/>
    <s v="NON-NETWORK"/>
    <s v="SA"/>
    <s v="Australia"/>
    <s v="Plympton"/>
    <s v="NETLEY 7 HUDSON CRT"/>
    <n v="423031641800"/>
    <s v="Recycled Waste"/>
    <x v="0"/>
    <x v="1"/>
    <s v="Account"/>
    <s v="Remondis Electrical Comp. (E-Waste)"/>
    <m/>
    <s v="423031641800_RELECTRIC"/>
    <s v="ELECTRICAL COMP. E-WASTE"/>
    <s v="Remondis"/>
    <m/>
    <m/>
    <d v="2021-01-01T00:00:00"/>
    <d v="2020-09-01T00:00:00"/>
    <s v="FY21"/>
    <s v="t"/>
    <n v="0.32"/>
    <n v="0"/>
    <n v="0"/>
    <n v="0.32"/>
    <n v="1"/>
    <n v="0"/>
    <n v="0"/>
    <n v="1"/>
    <n v="100"/>
    <n v="0"/>
    <n v="0"/>
    <s v="Consolidation"/>
    <s v="CO2e and Base Measure"/>
    <n v="100"/>
    <n v="100"/>
    <n v="0.32"/>
    <m/>
    <m/>
    <m/>
    <m/>
    <m/>
    <m/>
    <m/>
    <m/>
    <m/>
    <m/>
    <m/>
    <m/>
    <m/>
    <s v="AUD"/>
    <s v="13565784Waste Recycled - E-waste [t]"/>
    <n v="13565784"/>
  </r>
  <r>
    <d v="2019-07-01T00:00:00"/>
    <d v="2021-06-30T00:00:00"/>
    <s v="Telstra"/>
    <s v="NON-NETWORK"/>
    <s v="NON-NETWORK"/>
    <s v="SA"/>
    <s v="Australia"/>
    <s v="Plympton"/>
    <s v="NETLEY 7 HUDSON CRT"/>
    <n v="423031641800"/>
    <s v="Recycled Waste"/>
    <x v="0"/>
    <x v="1"/>
    <s v="Account"/>
    <s v="Remondis Electrical Comp. (E-Waste)"/>
    <m/>
    <s v="423031641800_RELECTRIC"/>
    <s v="ELECTRICAL COMP. E-WASTE"/>
    <s v="Remondis"/>
    <m/>
    <m/>
    <d v="2021-01-01T00:00:00"/>
    <d v="2020-12-01T00:00:00"/>
    <s v="FY21"/>
    <s v="t"/>
    <n v="0"/>
    <n v="0.2109"/>
    <n v="0"/>
    <n v="0.2109"/>
    <n v="0"/>
    <n v="1"/>
    <n v="0"/>
    <n v="1"/>
    <n v="0"/>
    <n v="100"/>
    <n v="0"/>
    <s v="Consolidation"/>
    <s v="CO2e and Base Measure"/>
    <n v="100"/>
    <n v="100"/>
    <n v="0.21"/>
    <m/>
    <m/>
    <m/>
    <m/>
    <m/>
    <m/>
    <m/>
    <m/>
    <m/>
    <m/>
    <m/>
    <m/>
    <m/>
    <s v="AUD"/>
    <s v="13565784Waste Recycled - E-waste [t]"/>
    <n v="13565784"/>
  </r>
  <r>
    <d v="2019-07-01T00:00:00"/>
    <d v="2021-06-30T00:00:00"/>
    <s v="Telstra"/>
    <s v="NON-NETWORK"/>
    <s v="NON-NETWORK"/>
    <s v="SA"/>
    <s v="Australia"/>
    <s v="Plympton"/>
    <s v="NETLEY 7 HUDSON CRT"/>
    <n v="423031641800"/>
    <s v="Recycled Waste"/>
    <x v="0"/>
    <x v="1"/>
    <s v="Account"/>
    <s v="Remondis Electrical Comp. (E-Waste)"/>
    <m/>
    <s v="423031641800_RELECTRIC"/>
    <s v="ELECTRICAL COMP. E-WASTE"/>
    <s v="Remondis"/>
    <m/>
    <m/>
    <d v="2021-01-01T00:00:00"/>
    <d v="2021-01-01T00:00:00"/>
    <s v="FY21"/>
    <s v="t"/>
    <n v="0"/>
    <n v="0"/>
    <n v="5.7000000000000002E-3"/>
    <n v="5.7000000000000002E-3"/>
    <n v="0"/>
    <n v="0"/>
    <n v="1"/>
    <n v="1"/>
    <n v="0"/>
    <n v="0"/>
    <n v="100"/>
    <s v="Consolidation"/>
    <s v="CO2e and Base Measure"/>
    <n v="100"/>
    <n v="100"/>
    <n v="0.01"/>
    <m/>
    <m/>
    <m/>
    <m/>
    <m/>
    <m/>
    <m/>
    <m/>
    <m/>
    <m/>
    <m/>
    <m/>
    <m/>
    <s v="AUD"/>
    <s v="13565784Waste Recycled - E-waste [t]"/>
    <n v="13565784"/>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07-01T00:00:00"/>
    <s v="FY21"/>
    <s v="t"/>
    <n v="3.18"/>
    <n v="0.97499999999999998"/>
    <n v="0"/>
    <n v="4.1550000000000002"/>
    <n v="6"/>
    <n v="5"/>
    <n v="0"/>
    <n v="11"/>
    <n v="76.53"/>
    <n v="23.46"/>
    <n v="0"/>
    <s v="Consolidation"/>
    <s v="CO2e and Base Measure"/>
    <n v="100"/>
    <n v="100"/>
    <n v="4.16"/>
    <m/>
    <m/>
    <m/>
    <m/>
    <m/>
    <n v="5.4015000000000004"/>
    <m/>
    <n v="5.4015000000000004"/>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08-01T00:00:00"/>
    <s v="FY21"/>
    <s v="t"/>
    <n v="2.2200000000000002"/>
    <n v="0.78"/>
    <n v="0"/>
    <n v="3"/>
    <n v="4"/>
    <n v="4"/>
    <n v="0"/>
    <n v="8"/>
    <n v="74"/>
    <n v="26"/>
    <n v="0"/>
    <s v="Consolidation"/>
    <s v="CO2e and Base Measure"/>
    <n v="100"/>
    <n v="100"/>
    <n v="3"/>
    <m/>
    <m/>
    <m/>
    <m/>
    <m/>
    <n v="3.9"/>
    <m/>
    <n v="3.9"/>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09-01T00:00:00"/>
    <s v="FY21"/>
    <s v="t"/>
    <n v="1.88"/>
    <n v="0.78"/>
    <n v="0"/>
    <n v="2.66"/>
    <n v="4"/>
    <n v="4"/>
    <n v="0"/>
    <n v="8"/>
    <n v="70.67"/>
    <n v="29.32"/>
    <n v="0"/>
    <s v="Consolidation"/>
    <s v="CO2e and Base Measure"/>
    <n v="100"/>
    <n v="100"/>
    <n v="2.66"/>
    <m/>
    <m/>
    <m/>
    <m/>
    <m/>
    <n v="3.4580000000000002"/>
    <m/>
    <n v="3.4580000000000002"/>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10-01T00:00:00"/>
    <s v="FY21"/>
    <s v="t"/>
    <n v="0.68"/>
    <n v="1.17"/>
    <n v="0"/>
    <n v="1.85"/>
    <n v="2"/>
    <n v="5"/>
    <n v="0"/>
    <n v="7"/>
    <n v="36.75"/>
    <n v="63.24"/>
    <n v="0"/>
    <s v="Consolidation"/>
    <s v="CO2e and Base Measure"/>
    <n v="100"/>
    <n v="100"/>
    <n v="1.85"/>
    <m/>
    <m/>
    <m/>
    <m/>
    <m/>
    <n v="2.4049999999999998"/>
    <m/>
    <n v="2.4049999999999998"/>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11-01T00:00:00"/>
    <s v="FY21"/>
    <s v="t"/>
    <n v="2.68"/>
    <n v="0.78"/>
    <n v="0"/>
    <n v="3.46"/>
    <n v="3"/>
    <n v="4"/>
    <n v="0"/>
    <n v="7"/>
    <n v="77.45"/>
    <n v="22.54"/>
    <n v="0"/>
    <s v="Consolidation"/>
    <s v="CO2e and Base Measure"/>
    <n v="100"/>
    <n v="100"/>
    <n v="3.46"/>
    <m/>
    <m/>
    <m/>
    <m/>
    <m/>
    <n v="4.4980000000000002"/>
    <m/>
    <n v="4.4980000000000002"/>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1-01-01T00:00:00"/>
    <s v="FY21"/>
    <s v="t"/>
    <n v="0"/>
    <n v="0"/>
    <n v="8.9200000000000002E-2"/>
    <n v="8.9200000000000002E-2"/>
    <n v="0"/>
    <n v="0"/>
    <n v="1"/>
    <n v="1"/>
    <n v="0"/>
    <n v="0"/>
    <n v="100"/>
    <s v="Consolidation"/>
    <s v="CO2e and Base Measure"/>
    <n v="100"/>
    <n v="100"/>
    <n v="0.09"/>
    <m/>
    <m/>
    <m/>
    <m/>
    <m/>
    <n v="0.11600000000000001"/>
    <m/>
    <n v="0.11600000000000001"/>
    <m/>
    <m/>
    <m/>
    <m/>
    <m/>
    <s v="AUD"/>
    <s v="13565787Waste - General [t] - Scope 3"/>
    <n v="13565787"/>
  </r>
  <r>
    <d v="2019-07-01T00:00:00"/>
    <d v="2021-06-30T00:00:00"/>
    <s v="Telstra"/>
    <s v="NON-NETWORK"/>
    <s v="NON-NETWORK"/>
    <s v="SA"/>
    <s v="Australia"/>
    <s v="Plympton"/>
    <s v="NETLEY 7 HUDSON CRT"/>
    <n v="423031641800"/>
    <s v="Recycled Waste"/>
    <x v="0"/>
    <x v="5"/>
    <s v="Account"/>
    <s v="Remondis Metal - Mixed All"/>
    <m/>
    <s v="423031641800_RMETMIXED"/>
    <s v="METAL - MIXED ALL"/>
    <s v="Remondis"/>
    <m/>
    <m/>
    <d v="2021-01-01T00:00:00"/>
    <d v="2020-10-01T00:00:00"/>
    <s v="FY21"/>
    <s v="t"/>
    <n v="1.02"/>
    <n v="0"/>
    <n v="0"/>
    <n v="1.02"/>
    <n v="1"/>
    <n v="0"/>
    <n v="0"/>
    <n v="1"/>
    <n v="100"/>
    <n v="0"/>
    <n v="0"/>
    <s v="Consolidation"/>
    <s v="CO2e and Base Measure"/>
    <n v="100"/>
    <n v="100"/>
    <n v="1.02"/>
    <m/>
    <m/>
    <m/>
    <m/>
    <m/>
    <m/>
    <m/>
    <m/>
    <m/>
    <m/>
    <m/>
    <m/>
    <m/>
    <s v="AUD"/>
    <s v="13565788Waste Recycled - Construction and Demolition [t]"/>
    <n v="13565788"/>
  </r>
  <r>
    <d v="2019-07-01T00:00:00"/>
    <d v="2021-06-30T00:00:00"/>
    <s v="Telstra"/>
    <s v="NON-NETWORK"/>
    <s v="NON-NETWORK"/>
    <s v="SA"/>
    <s v="Australia"/>
    <s v="Plympton"/>
    <s v="NETLEY 7 HUDSON CRT"/>
    <n v="423031641800"/>
    <s v="Recycled Waste"/>
    <x v="0"/>
    <x v="5"/>
    <s v="Account"/>
    <s v="Remondis Metal - Mixed All"/>
    <m/>
    <s v="423031641800_RMETMIXED"/>
    <s v="METAL - MIXED ALL"/>
    <s v="Remondis"/>
    <m/>
    <m/>
    <d v="2021-01-01T00:00:00"/>
    <d v="2020-12-01T00:00:00"/>
    <s v="FY21"/>
    <s v="t"/>
    <n v="0.72109999999999996"/>
    <n v="0"/>
    <n v="0"/>
    <n v="0.72109999999999996"/>
    <n v="2"/>
    <n v="0"/>
    <n v="0"/>
    <n v="2"/>
    <n v="100"/>
    <n v="0"/>
    <n v="0"/>
    <s v="Consolidation"/>
    <s v="CO2e and Base Measure"/>
    <n v="100"/>
    <n v="100"/>
    <n v="0.72"/>
    <m/>
    <m/>
    <m/>
    <m/>
    <m/>
    <m/>
    <m/>
    <m/>
    <m/>
    <m/>
    <m/>
    <m/>
    <m/>
    <s v="AUD"/>
    <s v="13565788Waste Recycled - Construction and Demolition [t]"/>
    <n v="13565788"/>
  </r>
  <r>
    <d v="2019-07-01T00:00:00"/>
    <d v="2021-06-30T00:00:00"/>
    <s v="Telstra"/>
    <s v="NON-NETWORK"/>
    <s v="NON-NETWORK"/>
    <s v="SA"/>
    <s v="Australia"/>
    <s v="Plympton"/>
    <s v="NETLEY 7 HUDSON CRT"/>
    <n v="423031641800"/>
    <s v="Recycled Waste"/>
    <x v="0"/>
    <x v="5"/>
    <s v="Account"/>
    <s v="Remondis Metal - Mixed All"/>
    <m/>
    <s v="423031641800_RMETMIXED"/>
    <s v="METAL - MIXED ALL"/>
    <s v="Remondis"/>
    <m/>
    <m/>
    <d v="2021-01-01T00:00:00"/>
    <d v="2021-01-01T00:00:00"/>
    <s v="FY21"/>
    <s v="t"/>
    <n v="0"/>
    <n v="0"/>
    <n v="1.0800000000000001E-2"/>
    <n v="1.0800000000000001E-2"/>
    <n v="0"/>
    <n v="0"/>
    <n v="1"/>
    <n v="1"/>
    <n v="0"/>
    <n v="0"/>
    <n v="100"/>
    <s v="Consolidation"/>
    <s v="CO2e and Base Measure"/>
    <n v="100"/>
    <n v="100"/>
    <n v="0.01"/>
    <m/>
    <m/>
    <m/>
    <m/>
    <m/>
    <m/>
    <m/>
    <m/>
    <m/>
    <m/>
    <m/>
    <m/>
    <m/>
    <s v="AUD"/>
    <s v="13565788Waste Recycled - Construction and Demolition [t]"/>
    <n v="13565788"/>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07-01T00:00:00"/>
    <s v="FY21"/>
    <s v="t"/>
    <n v="0.02"/>
    <n v="6.3E-2"/>
    <n v="0"/>
    <n v="8.3000000000000004E-2"/>
    <n v="1"/>
    <n v="1"/>
    <n v="0"/>
    <n v="2"/>
    <n v="24.09"/>
    <n v="75.900000000000006"/>
    <n v="0"/>
    <s v="Consolidation"/>
    <s v="CO2e and Base Measure"/>
    <n v="100"/>
    <n v="100"/>
    <n v="0.08"/>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08-01T00:00:00"/>
    <s v="FY21"/>
    <s v="t"/>
    <n v="1.4999999999999999E-2"/>
    <n v="0"/>
    <n v="0"/>
    <n v="1.4999999999999999E-2"/>
    <n v="1"/>
    <n v="0"/>
    <n v="0"/>
    <n v="1"/>
    <n v="100"/>
    <n v="0"/>
    <n v="0"/>
    <s v="Consolidation"/>
    <s v="CO2e and Base Measure"/>
    <n v="100"/>
    <n v="100"/>
    <n v="0.02"/>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09-01T00:00:00"/>
    <s v="FY21"/>
    <s v="t"/>
    <n v="0.03"/>
    <n v="6.3E-2"/>
    <n v="0"/>
    <n v="9.2999999999999999E-2"/>
    <n v="2"/>
    <n v="1"/>
    <n v="0"/>
    <n v="3"/>
    <n v="32.25"/>
    <n v="67.739999999999995"/>
    <n v="0"/>
    <s v="Consolidation"/>
    <s v="CO2e and Base Measure"/>
    <n v="100"/>
    <n v="100"/>
    <n v="0.09"/>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10-01T00:00:00"/>
    <s v="FY21"/>
    <s v="t"/>
    <n v="0.04"/>
    <n v="0"/>
    <n v="0"/>
    <n v="0.04"/>
    <n v="2"/>
    <n v="0"/>
    <n v="0"/>
    <n v="2"/>
    <n v="100"/>
    <n v="0"/>
    <n v="0"/>
    <s v="Consolidation"/>
    <s v="CO2e and Base Measure"/>
    <n v="100"/>
    <n v="100"/>
    <n v="0.04"/>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11-01T00:00:00"/>
    <s v="FY21"/>
    <s v="t"/>
    <n v="7.0000000000000007E-2"/>
    <n v="0"/>
    <n v="0"/>
    <n v="7.0000000000000007E-2"/>
    <n v="2"/>
    <n v="0"/>
    <n v="0"/>
    <n v="2"/>
    <n v="100"/>
    <n v="0"/>
    <n v="0"/>
    <s v="Consolidation"/>
    <s v="CO2e and Base Measure"/>
    <n v="100"/>
    <n v="100"/>
    <n v="7.0000000000000007E-2"/>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1-01-01T00:00:00"/>
    <s v="FY21"/>
    <s v="t"/>
    <n v="0"/>
    <n v="0"/>
    <n v="2E-3"/>
    <n v="2E-3"/>
    <n v="0"/>
    <n v="0"/>
    <n v="1"/>
    <n v="1"/>
    <n v="0"/>
    <n v="0"/>
    <n v="100"/>
    <s v="Consolidation"/>
    <s v="CO2e and Base Measure"/>
    <n v="100"/>
    <n v="100"/>
    <n v="0"/>
    <m/>
    <m/>
    <m/>
    <m/>
    <m/>
    <m/>
    <n v="0"/>
    <m/>
    <m/>
    <m/>
    <m/>
    <m/>
    <m/>
    <s v="AUD"/>
    <s v="13564373Waste Recycled - Cardboard [t]"/>
    <n v="13564373"/>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07-01T00:00:00"/>
    <s v="FY21"/>
    <s v="t"/>
    <n v="0.17499999999999999"/>
    <n v="0"/>
    <n v="0"/>
    <n v="0.17499999999999999"/>
    <n v="2"/>
    <n v="0"/>
    <n v="0"/>
    <n v="2"/>
    <n v="100"/>
    <n v="0"/>
    <n v="0"/>
    <s v="Consolidation"/>
    <s v="CO2e and Base Measure"/>
    <n v="100"/>
    <n v="100"/>
    <n v="0.18"/>
    <m/>
    <m/>
    <m/>
    <m/>
    <m/>
    <n v="0.22750000000000001"/>
    <m/>
    <n v="0.22750000000000001"/>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08-01T00:00:00"/>
    <s v="FY21"/>
    <s v="t"/>
    <n v="0.45"/>
    <n v="0"/>
    <n v="0"/>
    <n v="0.45"/>
    <n v="2"/>
    <n v="0"/>
    <n v="0"/>
    <n v="2"/>
    <n v="100"/>
    <n v="0"/>
    <n v="0"/>
    <s v="Consolidation"/>
    <s v="CO2e and Base Measure"/>
    <n v="100"/>
    <n v="100"/>
    <n v="0.45"/>
    <m/>
    <m/>
    <m/>
    <m/>
    <m/>
    <n v="0.58499999999999996"/>
    <m/>
    <n v="0.58499999999999996"/>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09-01T00:00:00"/>
    <s v="FY21"/>
    <s v="t"/>
    <n v="5.5E-2"/>
    <n v="0"/>
    <n v="0"/>
    <n v="5.5E-2"/>
    <n v="2"/>
    <n v="0"/>
    <n v="0"/>
    <n v="2"/>
    <n v="100"/>
    <n v="0"/>
    <n v="0"/>
    <s v="Consolidation"/>
    <s v="CO2e and Base Measure"/>
    <n v="100"/>
    <n v="100"/>
    <n v="0.06"/>
    <m/>
    <m/>
    <m/>
    <m/>
    <m/>
    <n v="7.1499999999999994E-2"/>
    <m/>
    <n v="7.1499999999999994E-2"/>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10-01T00:00:00"/>
    <s v="FY21"/>
    <s v="t"/>
    <n v="0.51"/>
    <n v="0"/>
    <n v="0"/>
    <n v="0.51"/>
    <n v="3"/>
    <n v="0"/>
    <n v="0"/>
    <n v="3"/>
    <n v="100"/>
    <n v="0"/>
    <n v="0"/>
    <s v="Consolidation"/>
    <s v="CO2e and Base Measure"/>
    <n v="100"/>
    <n v="100"/>
    <n v="0.51"/>
    <m/>
    <m/>
    <m/>
    <m/>
    <m/>
    <n v="0.66300000000000003"/>
    <m/>
    <n v="0.66300000000000003"/>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11-01T00:00:00"/>
    <s v="FY21"/>
    <s v="t"/>
    <n v="0.71499999999999997"/>
    <n v="0"/>
    <n v="0"/>
    <n v="0.71499999999999997"/>
    <n v="2"/>
    <n v="0"/>
    <n v="0"/>
    <n v="2"/>
    <n v="100"/>
    <n v="0"/>
    <n v="0"/>
    <s v="Consolidation"/>
    <s v="CO2e and Base Measure"/>
    <n v="100"/>
    <n v="100"/>
    <n v="0.72"/>
    <m/>
    <m/>
    <m/>
    <m/>
    <m/>
    <n v="0.92949999999999999"/>
    <m/>
    <n v="0.92949999999999999"/>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12-01T00:00:00"/>
    <s v="FY21"/>
    <s v="t"/>
    <n v="0"/>
    <n v="0.58499999999999996"/>
    <n v="0"/>
    <n v="0.58499999999999996"/>
    <n v="0"/>
    <n v="3"/>
    <n v="0"/>
    <n v="3"/>
    <n v="0"/>
    <n v="100"/>
    <n v="0"/>
    <s v="Consolidation"/>
    <s v="CO2e and Base Measure"/>
    <n v="100"/>
    <n v="100"/>
    <n v="0.59"/>
    <m/>
    <m/>
    <m/>
    <m/>
    <m/>
    <n v="0.76049999999999995"/>
    <m/>
    <n v="0.76049999999999995"/>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1-01-01T00:00:00"/>
    <s v="FY21"/>
    <s v="t"/>
    <n v="0"/>
    <n v="0"/>
    <n v="1.4E-2"/>
    <n v="1.4E-2"/>
    <n v="0"/>
    <n v="0"/>
    <n v="1"/>
    <n v="1"/>
    <n v="0"/>
    <n v="0"/>
    <n v="100"/>
    <s v="Consolidation"/>
    <s v="CO2e and Base Measure"/>
    <n v="100"/>
    <n v="100"/>
    <n v="0.01"/>
    <m/>
    <m/>
    <m/>
    <m/>
    <m/>
    <n v="1.8200000000000001E-2"/>
    <m/>
    <n v="1.8200000000000001E-2"/>
    <m/>
    <m/>
    <m/>
    <m/>
    <m/>
    <s v="AUD"/>
    <s v="13564374Waste - General [t] - Scope 3"/>
    <n v="13564374"/>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55Waste - General [t] - Scope 3"/>
    <n v="13634455"/>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2-01T00:00:00"/>
    <s v="FY21"/>
    <s v="t"/>
    <n v="0.20200000000000001"/>
    <n v="0"/>
    <n v="0"/>
    <n v="0.20200000000000001"/>
    <n v="1"/>
    <n v="0"/>
    <n v="0"/>
    <n v="1"/>
    <n v="100"/>
    <n v="0"/>
    <n v="0"/>
    <s v="Consolidation"/>
    <s v="CO2e and Base Measure"/>
    <n v="100"/>
    <n v="100"/>
    <n v="0.2"/>
    <m/>
    <m/>
    <m/>
    <m/>
    <m/>
    <n v="0.2626"/>
    <m/>
    <n v="0.2626"/>
    <m/>
    <m/>
    <m/>
    <m/>
    <m/>
    <s v="AUD"/>
    <s v="13634455Waste - General [t] - Scope 3"/>
    <n v="13634455"/>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3-01T00:00:00"/>
    <s v="FY21"/>
    <s v="t"/>
    <n v="0.32300000000000001"/>
    <n v="0"/>
    <n v="0"/>
    <n v="0.32300000000000001"/>
    <n v="1"/>
    <n v="0"/>
    <n v="0"/>
    <n v="1"/>
    <n v="100"/>
    <n v="0"/>
    <n v="0"/>
    <s v="Consolidation"/>
    <s v="CO2e and Base Measure"/>
    <n v="100"/>
    <n v="100"/>
    <n v="0.32"/>
    <m/>
    <m/>
    <m/>
    <m/>
    <m/>
    <n v="0.4199"/>
    <m/>
    <n v="0.4199"/>
    <m/>
    <m/>
    <m/>
    <m/>
    <m/>
    <s v="AUD"/>
    <s v="13634455Waste - General [t] - Scope 3"/>
    <n v="13634455"/>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4-01T00:00:00"/>
    <s v="FY21"/>
    <s v="t"/>
    <n v="0"/>
    <n v="0"/>
    <n v="0.222"/>
    <n v="0.222"/>
    <n v="0"/>
    <n v="0"/>
    <n v="30"/>
    <n v="30"/>
    <n v="0"/>
    <n v="0"/>
    <n v="100"/>
    <s v="Consolidation"/>
    <s v="CO2e and Base Measure"/>
    <n v="100"/>
    <n v="100"/>
    <n v="0.22"/>
    <m/>
    <m/>
    <m/>
    <m/>
    <m/>
    <n v="0.28860000000000002"/>
    <m/>
    <n v="0.28860000000000002"/>
    <m/>
    <m/>
    <m/>
    <m/>
    <m/>
    <s v="AUD"/>
    <s v="13634455Waste - General [t] - Scope 3"/>
    <n v="13634455"/>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5-01T00:00:00"/>
    <s v="FY21"/>
    <s v="t"/>
    <n v="0"/>
    <n v="0"/>
    <n v="0.22939999999999999"/>
    <n v="0.22939999999999999"/>
    <n v="0"/>
    <n v="0"/>
    <n v="31"/>
    <n v="31"/>
    <n v="0"/>
    <n v="0"/>
    <n v="100"/>
    <s v="Consolidation"/>
    <s v="CO2e and Base Measure"/>
    <n v="100"/>
    <n v="100"/>
    <n v="0.23"/>
    <m/>
    <m/>
    <m/>
    <m/>
    <m/>
    <n v="0.29820000000000002"/>
    <m/>
    <n v="0.29820000000000002"/>
    <m/>
    <m/>
    <m/>
    <m/>
    <m/>
    <s v="AUD"/>
    <s v="13634455Waste - General [t] - Scope 3"/>
    <n v="13634455"/>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07-01T00:00:00"/>
    <s v="FY21"/>
    <s v="t"/>
    <n v="0"/>
    <n v="0.12870000000000001"/>
    <n v="0"/>
    <n v="0.12870000000000001"/>
    <n v="0"/>
    <n v="2"/>
    <n v="0"/>
    <n v="2"/>
    <n v="0"/>
    <n v="100"/>
    <n v="0"/>
    <s v="Consolidation"/>
    <s v="CO2e and Base Measure"/>
    <n v="100"/>
    <n v="100"/>
    <n v="0.13"/>
    <m/>
    <m/>
    <m/>
    <m/>
    <m/>
    <n v="0.1673"/>
    <m/>
    <n v="0.1673"/>
    <m/>
    <m/>
    <m/>
    <m/>
    <m/>
    <s v="AUD"/>
    <s v="13565501Waste - General [t] - Scope 3"/>
    <n v="13565501"/>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09-01T00:00:00"/>
    <s v="FY21"/>
    <s v="t"/>
    <n v="0"/>
    <n v="0.12870000000000001"/>
    <n v="0"/>
    <n v="0.12870000000000001"/>
    <n v="0"/>
    <n v="2"/>
    <n v="0"/>
    <n v="2"/>
    <n v="0"/>
    <n v="100"/>
    <n v="0"/>
    <s v="Consolidation"/>
    <s v="CO2e and Base Measure"/>
    <n v="100"/>
    <n v="100"/>
    <n v="0.13"/>
    <m/>
    <m/>
    <m/>
    <m/>
    <m/>
    <n v="0.1673"/>
    <m/>
    <n v="0.1673"/>
    <m/>
    <m/>
    <m/>
    <m/>
    <m/>
    <s v="AUD"/>
    <s v="13565501Waste - General [t] - Scope 3"/>
    <n v="13565501"/>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10-01T00:00:00"/>
    <s v="FY21"/>
    <s v="t"/>
    <n v="0"/>
    <n v="8.5800000000000001E-2"/>
    <n v="0"/>
    <n v="8.5800000000000001E-2"/>
    <n v="0"/>
    <n v="1"/>
    <n v="0"/>
    <n v="1"/>
    <n v="0"/>
    <n v="100"/>
    <n v="0"/>
    <s v="Consolidation"/>
    <s v="CO2e and Base Measure"/>
    <n v="100"/>
    <n v="100"/>
    <n v="0.09"/>
    <m/>
    <m/>
    <m/>
    <m/>
    <m/>
    <n v="0.1115"/>
    <m/>
    <n v="0.1115"/>
    <m/>
    <m/>
    <m/>
    <m/>
    <m/>
    <s v="AUD"/>
    <s v="13565501Waste - General [t] - Scope 3"/>
    <n v="13565501"/>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11-01T00:00:00"/>
    <s v="FY21"/>
    <s v="t"/>
    <n v="0"/>
    <n v="0.1716"/>
    <n v="0"/>
    <n v="0.1716"/>
    <n v="0"/>
    <n v="3"/>
    <n v="0"/>
    <n v="3"/>
    <n v="0"/>
    <n v="100"/>
    <n v="0"/>
    <s v="Consolidation"/>
    <s v="CO2e and Base Measure"/>
    <n v="100"/>
    <n v="100"/>
    <n v="0.17"/>
    <m/>
    <m/>
    <m/>
    <m/>
    <m/>
    <n v="0.22309999999999999"/>
    <m/>
    <n v="0.22309999999999999"/>
    <m/>
    <m/>
    <m/>
    <m/>
    <m/>
    <s v="AUD"/>
    <s v="13565501Waste - General [t] - Scope 3"/>
    <n v="13565501"/>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12-01T00:00:00"/>
    <s v="FY21"/>
    <s v="t"/>
    <n v="0"/>
    <n v="0"/>
    <n v="3.3999999999999998E-3"/>
    <n v="3.3999999999999998E-3"/>
    <n v="0"/>
    <n v="0"/>
    <n v="1"/>
    <n v="1"/>
    <n v="0"/>
    <n v="0"/>
    <n v="100"/>
    <s v="Consolidation"/>
    <s v="CO2e and Base Measure"/>
    <n v="100"/>
    <n v="100"/>
    <n v="0"/>
    <m/>
    <m/>
    <m/>
    <m/>
    <m/>
    <n v="4.4000000000000003E-3"/>
    <m/>
    <n v="4.4000000000000003E-3"/>
    <m/>
    <m/>
    <m/>
    <m/>
    <m/>
    <s v="AUD"/>
    <s v="13565501Waste - General [t] - Scope 3"/>
    <n v="13565501"/>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0-11-01T00:00:00"/>
    <s v="FY21"/>
    <s v="t"/>
    <n v="0"/>
    <n v="6.7500000000000004E-2"/>
    <n v="0"/>
    <n v="6.7500000000000004E-2"/>
    <n v="0"/>
    <n v="1"/>
    <n v="0"/>
    <n v="1"/>
    <n v="0"/>
    <n v="100"/>
    <n v="0"/>
    <s v="Consolidation"/>
    <s v="CO2e and Base Measure"/>
    <n v="100"/>
    <n v="100"/>
    <n v="7.0000000000000007E-2"/>
    <m/>
    <m/>
    <m/>
    <m/>
    <m/>
    <n v="8.7800000000000003E-2"/>
    <m/>
    <n v="8.7800000000000003E-2"/>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0-12-01T00:00:00"/>
    <s v="FY21"/>
    <s v="t"/>
    <n v="0"/>
    <n v="0.33750000000000002"/>
    <n v="0"/>
    <n v="0.33750000000000002"/>
    <n v="0"/>
    <n v="5"/>
    <n v="0"/>
    <n v="5"/>
    <n v="0"/>
    <n v="100"/>
    <n v="0"/>
    <s v="Consolidation"/>
    <s v="CO2e and Base Measure"/>
    <n v="100"/>
    <n v="100"/>
    <n v="0.34"/>
    <m/>
    <m/>
    <m/>
    <m/>
    <m/>
    <n v="0.43880000000000002"/>
    <m/>
    <n v="0.43880000000000002"/>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1-01T00:00:00"/>
    <s v="FY21"/>
    <s v="t"/>
    <n v="0"/>
    <n v="0.27"/>
    <n v="0"/>
    <n v="0.27"/>
    <n v="0"/>
    <n v="4"/>
    <n v="0"/>
    <n v="4"/>
    <n v="0"/>
    <n v="100"/>
    <n v="0"/>
    <s v="Consolidation"/>
    <s v="CO2e and Base Measure"/>
    <n v="100"/>
    <n v="100"/>
    <n v="0.27"/>
    <m/>
    <m/>
    <m/>
    <m/>
    <m/>
    <n v="0.35099999999999998"/>
    <m/>
    <n v="0.35099999999999998"/>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2-01T00:00:00"/>
    <s v="FY21"/>
    <s v="t"/>
    <n v="0.15"/>
    <n v="0.20250000000000001"/>
    <n v="0"/>
    <n v="0.35249999999999998"/>
    <n v="1"/>
    <n v="3"/>
    <n v="0"/>
    <n v="4"/>
    <n v="42.55"/>
    <n v="57.44"/>
    <n v="0"/>
    <s v="Consolidation"/>
    <s v="CO2e and Base Measure"/>
    <n v="100"/>
    <n v="100"/>
    <n v="0.35"/>
    <m/>
    <m/>
    <m/>
    <m/>
    <m/>
    <n v="0.45829999999999999"/>
    <m/>
    <n v="0.45829999999999999"/>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3-01T00:00:00"/>
    <s v="FY21"/>
    <s v="t"/>
    <n v="9.9000000000000005E-2"/>
    <n v="0.27"/>
    <n v="0"/>
    <n v="0.36899999999999999"/>
    <n v="1"/>
    <n v="4"/>
    <n v="0"/>
    <n v="5"/>
    <n v="26.82"/>
    <n v="73.17"/>
    <n v="0"/>
    <s v="Consolidation"/>
    <s v="CO2e and Base Measure"/>
    <n v="100"/>
    <n v="100"/>
    <n v="0.37"/>
    <m/>
    <m/>
    <m/>
    <m/>
    <m/>
    <n v="0.47970000000000002"/>
    <m/>
    <n v="0.47970000000000002"/>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4-01T00:00:00"/>
    <s v="FY21"/>
    <s v="t"/>
    <n v="0"/>
    <n v="0"/>
    <n v="0.27900000000000003"/>
    <n v="0.27900000000000003"/>
    <n v="0"/>
    <n v="0"/>
    <n v="30"/>
    <n v="30"/>
    <n v="0"/>
    <n v="0"/>
    <n v="100"/>
    <s v="Consolidation"/>
    <s v="CO2e and Base Measure"/>
    <n v="100"/>
    <n v="100"/>
    <n v="0.28000000000000003"/>
    <m/>
    <m/>
    <m/>
    <m/>
    <m/>
    <n v="0.36270000000000002"/>
    <m/>
    <n v="0.36270000000000002"/>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5-01T00:00:00"/>
    <s v="FY21"/>
    <s v="t"/>
    <n v="0"/>
    <n v="0"/>
    <n v="0.2883"/>
    <n v="0.2883"/>
    <n v="0"/>
    <n v="0"/>
    <n v="31"/>
    <n v="31"/>
    <n v="0"/>
    <n v="0"/>
    <n v="100"/>
    <s v="Consolidation"/>
    <s v="CO2e and Base Measure"/>
    <n v="100"/>
    <n v="100"/>
    <n v="0.28999999999999998"/>
    <m/>
    <m/>
    <m/>
    <m/>
    <m/>
    <n v="0.37480000000000002"/>
    <m/>
    <n v="0.37480000000000002"/>
    <m/>
    <m/>
    <m/>
    <m/>
    <m/>
    <s v="AUD"/>
    <s v="13633983Waste - General [t] - Scope 3"/>
    <n v="13633983"/>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07-01T00:00:00"/>
    <s v="FY21"/>
    <s v="t"/>
    <n v="0"/>
    <n v="0.627"/>
    <n v="0"/>
    <n v="0.627"/>
    <n v="0"/>
    <n v="5"/>
    <n v="0"/>
    <n v="5"/>
    <n v="0"/>
    <n v="100"/>
    <n v="0"/>
    <s v="Consolidation"/>
    <s v="CO2e and Base Measure"/>
    <n v="100"/>
    <n v="100"/>
    <n v="0.63"/>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08-01T00:00:00"/>
    <s v="FY21"/>
    <s v="t"/>
    <n v="0"/>
    <n v="0.50160000000000005"/>
    <n v="0"/>
    <n v="0.50160000000000005"/>
    <n v="0"/>
    <n v="4"/>
    <n v="0"/>
    <n v="4"/>
    <n v="0"/>
    <n v="100"/>
    <n v="0"/>
    <s v="Consolidation"/>
    <s v="CO2e and Base Measure"/>
    <n v="100"/>
    <n v="100"/>
    <n v="0.5"/>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09-01T00:00:00"/>
    <s v="FY21"/>
    <s v="t"/>
    <n v="0"/>
    <n v="0.50160000000000005"/>
    <n v="0"/>
    <n v="0.50160000000000005"/>
    <n v="0"/>
    <n v="4"/>
    <n v="0"/>
    <n v="4"/>
    <n v="0"/>
    <n v="100"/>
    <n v="0"/>
    <s v="Consolidation"/>
    <s v="CO2e and Base Measure"/>
    <n v="100"/>
    <n v="100"/>
    <n v="0.5"/>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10-01T00:00:00"/>
    <s v="FY21"/>
    <s v="t"/>
    <n v="0"/>
    <n v="0.37619999999999998"/>
    <n v="0"/>
    <n v="0.37619999999999998"/>
    <n v="0"/>
    <n v="3"/>
    <n v="0"/>
    <n v="3"/>
    <n v="0"/>
    <n v="100"/>
    <n v="0"/>
    <s v="Consolidation"/>
    <s v="CO2e and Base Measure"/>
    <n v="100"/>
    <n v="100"/>
    <n v="0.38"/>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11-01T00:00:00"/>
    <s v="FY21"/>
    <s v="t"/>
    <n v="0"/>
    <n v="0.37619999999999998"/>
    <n v="0"/>
    <n v="0.37619999999999998"/>
    <n v="0"/>
    <n v="3"/>
    <n v="0"/>
    <n v="3"/>
    <n v="0"/>
    <n v="100"/>
    <n v="0"/>
    <s v="Consolidation"/>
    <s v="CO2e and Base Measure"/>
    <n v="100"/>
    <n v="100"/>
    <n v="0.38"/>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12-01T00:00:00"/>
    <s v="FY21"/>
    <s v="t"/>
    <n v="0"/>
    <n v="0.25080000000000002"/>
    <n v="0"/>
    <n v="0.25080000000000002"/>
    <n v="0"/>
    <n v="2"/>
    <n v="0"/>
    <n v="2"/>
    <n v="0"/>
    <n v="100"/>
    <n v="0"/>
    <s v="Consolidation"/>
    <s v="CO2e and Base Measure"/>
    <n v="100"/>
    <n v="100"/>
    <n v="0.25"/>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1-01-01T00:00:00"/>
    <s v="FY21"/>
    <s v="t"/>
    <n v="0"/>
    <n v="0"/>
    <n v="1.5299999999999999E-2"/>
    <n v="1.5299999999999999E-2"/>
    <n v="0"/>
    <n v="0"/>
    <n v="1"/>
    <n v="1"/>
    <n v="0"/>
    <n v="0"/>
    <n v="100"/>
    <s v="Consolidation"/>
    <s v="CO2e and Base Measure"/>
    <n v="100"/>
    <n v="100"/>
    <n v="0.02"/>
    <m/>
    <m/>
    <m/>
    <m/>
    <m/>
    <m/>
    <m/>
    <m/>
    <m/>
    <m/>
    <m/>
    <m/>
    <m/>
    <s v="AUD"/>
    <s v="13565634Waste Recycled - E-waste [t]"/>
    <n v="13565634"/>
  </r>
  <r>
    <d v="2019-07-01T00:00:00"/>
    <d v="2021-06-30T00:00:00"/>
    <s v="Telstra"/>
    <s v="NON-NETWORK"/>
    <s v="NON-NETWORK"/>
    <s v="NSW"/>
    <s v="Australia"/>
    <s v="Newcastle"/>
    <s v="NEWCASTLE 317 HUNTER ST"/>
    <n v="423031348200"/>
    <s v="Waste"/>
    <x v="1"/>
    <x v="2"/>
    <s v="Account"/>
    <s v="Remondis General Waste"/>
    <m/>
    <s v="423031348200_WGENERALW"/>
    <s v="GENERAL WASTE"/>
    <s v="Remondis"/>
    <m/>
    <m/>
    <d v="2021-02-01T00:00:00"/>
    <d v="2021-01-01T00:00:00"/>
    <s v="FY21"/>
    <s v="t"/>
    <n v="0"/>
    <n v="4.2900000000000001E-2"/>
    <n v="0"/>
    <n v="4.2900000000000001E-2"/>
    <n v="0"/>
    <n v="1"/>
    <n v="0"/>
    <n v="1"/>
    <n v="0"/>
    <n v="100"/>
    <n v="0"/>
    <s v="Consolidation"/>
    <s v="CO2e and Base Measure"/>
    <n v="100"/>
    <n v="100"/>
    <n v="0.04"/>
    <m/>
    <m/>
    <m/>
    <m/>
    <m/>
    <n v="5.5800000000000002E-2"/>
    <m/>
    <n v="5.5800000000000002E-2"/>
    <m/>
    <m/>
    <m/>
    <m/>
    <m/>
    <s v="AUD"/>
    <s v="13565635Waste - General [t] - Scope 3"/>
    <n v="13565635"/>
  </r>
  <r>
    <d v="2019-07-01T00:00:00"/>
    <d v="2021-06-30T00:00:00"/>
    <s v="Telstra"/>
    <s v="NON-NETWORK"/>
    <s v="NON-NETWORK"/>
    <s v="NSW"/>
    <s v="Australia"/>
    <s v="Newcastle"/>
    <s v="NEWCASTLE 317 HUNTER ST"/>
    <n v="423031348200"/>
    <s v="Waste"/>
    <x v="1"/>
    <x v="2"/>
    <s v="Account"/>
    <s v="Remondis General Waste"/>
    <m/>
    <s v="423031348200_WGENERALW"/>
    <s v="GENERAL WASTE"/>
    <s v="Remondis"/>
    <m/>
    <m/>
    <d v="2021-02-01T00:00:00"/>
    <d v="2021-02-01T00:00:00"/>
    <s v="FY21"/>
    <s v="t"/>
    <n v="0"/>
    <n v="0"/>
    <n v="1.4E-3"/>
    <n v="1.4E-3"/>
    <n v="0"/>
    <n v="0"/>
    <n v="1"/>
    <n v="1"/>
    <n v="0"/>
    <n v="0"/>
    <n v="100"/>
    <s v="Consolidation"/>
    <s v="CO2e and Base Measure"/>
    <n v="100"/>
    <n v="100"/>
    <n v="0"/>
    <m/>
    <m/>
    <m/>
    <m/>
    <m/>
    <n v="1.8E-3"/>
    <m/>
    <n v="1.8E-3"/>
    <m/>
    <m/>
    <m/>
    <m/>
    <m/>
    <s v="AUD"/>
    <s v="13565635Waste - General [t] - Scope 3"/>
    <n v="13565635"/>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07-01T00:00:00"/>
    <s v="FY21"/>
    <s v="t"/>
    <n v="0.48599999999999999"/>
    <n v="0"/>
    <n v="0"/>
    <n v="0.48599999999999999"/>
    <n v="2"/>
    <n v="0"/>
    <n v="0"/>
    <n v="2"/>
    <n v="100"/>
    <n v="0"/>
    <n v="0"/>
    <s v="Consolidation"/>
    <s v="CO2e and Base Measure"/>
    <n v="100"/>
    <n v="100"/>
    <n v="0.49"/>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08-01T00:00:00"/>
    <s v="FY21"/>
    <s v="t"/>
    <n v="0.48599999999999999"/>
    <n v="0"/>
    <n v="0"/>
    <n v="0.48599999999999999"/>
    <n v="2"/>
    <n v="0"/>
    <n v="0"/>
    <n v="2"/>
    <n v="100"/>
    <n v="0"/>
    <n v="0"/>
    <s v="Consolidation"/>
    <s v="CO2e and Base Measure"/>
    <n v="100"/>
    <n v="100"/>
    <n v="0.49"/>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09-01T00:00:00"/>
    <s v="FY21"/>
    <s v="t"/>
    <n v="3.5999999999999997E-2"/>
    <n v="0"/>
    <n v="0"/>
    <n v="3.5999999999999997E-2"/>
    <n v="2"/>
    <n v="0"/>
    <n v="0"/>
    <n v="2"/>
    <n v="100"/>
    <n v="0"/>
    <n v="0"/>
    <s v="Consolidation"/>
    <s v="CO2e and Base Measure"/>
    <n v="100"/>
    <n v="100"/>
    <n v="0.04"/>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10-01T00:00:00"/>
    <s v="FY21"/>
    <s v="t"/>
    <n v="0.48599999999999999"/>
    <n v="0"/>
    <n v="0"/>
    <n v="0.48599999999999999"/>
    <n v="2"/>
    <n v="0"/>
    <n v="0"/>
    <n v="2"/>
    <n v="100"/>
    <n v="0"/>
    <n v="0"/>
    <s v="Consolidation"/>
    <s v="CO2e and Base Measure"/>
    <n v="100"/>
    <n v="100"/>
    <n v="0.49"/>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11-01T00:00:00"/>
    <s v="FY21"/>
    <s v="t"/>
    <n v="0.72899999999999998"/>
    <n v="0"/>
    <n v="0"/>
    <n v="0.72899999999999998"/>
    <n v="3"/>
    <n v="0"/>
    <n v="0"/>
    <n v="3"/>
    <n v="100"/>
    <n v="0"/>
    <n v="0"/>
    <s v="Consolidation"/>
    <s v="CO2e and Base Measure"/>
    <n v="100"/>
    <n v="100"/>
    <n v="0.73"/>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12-01T00:00:00"/>
    <s v="FY21"/>
    <s v="t"/>
    <n v="0.24299999999999999"/>
    <n v="0"/>
    <n v="0"/>
    <n v="0.24299999999999999"/>
    <n v="1"/>
    <n v="0"/>
    <n v="0"/>
    <n v="1"/>
    <n v="100"/>
    <n v="0"/>
    <n v="0"/>
    <s v="Consolidation"/>
    <s v="CO2e and Base Measure"/>
    <n v="100"/>
    <n v="100"/>
    <n v="0.24"/>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1-01T00:00:00"/>
    <s v="FY21"/>
    <s v="t"/>
    <n v="0"/>
    <n v="0"/>
    <n v="0.46500000000000002"/>
    <n v="0.46500000000000002"/>
    <n v="0"/>
    <n v="0"/>
    <n v="31"/>
    <n v="31"/>
    <n v="0"/>
    <n v="0"/>
    <n v="100"/>
    <s v="Consolidation"/>
    <s v="CO2e and Base Measure"/>
    <n v="100"/>
    <n v="100"/>
    <n v="0.47"/>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2-01T00:00:00"/>
    <s v="FY21"/>
    <s v="t"/>
    <n v="0"/>
    <n v="0"/>
    <n v="0.42"/>
    <n v="0.42"/>
    <n v="0"/>
    <n v="0"/>
    <n v="28"/>
    <n v="28"/>
    <n v="0"/>
    <n v="0"/>
    <n v="100"/>
    <s v="Consolidation"/>
    <s v="CO2e and Base Measure"/>
    <n v="100"/>
    <n v="100"/>
    <n v="0.42"/>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3-01T00:00:00"/>
    <s v="FY21"/>
    <s v="t"/>
    <n v="0"/>
    <n v="0"/>
    <n v="0.46500000000000002"/>
    <n v="0.46500000000000002"/>
    <n v="0"/>
    <n v="0"/>
    <n v="31"/>
    <n v="31"/>
    <n v="0"/>
    <n v="0"/>
    <n v="100"/>
    <s v="Consolidation"/>
    <s v="CO2e and Base Measure"/>
    <n v="100"/>
    <n v="100"/>
    <n v="0.47"/>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4-01T00:00:00"/>
    <s v="FY21"/>
    <s v="t"/>
    <n v="0"/>
    <n v="0"/>
    <n v="0.45"/>
    <n v="0.45"/>
    <n v="0"/>
    <n v="0"/>
    <n v="30"/>
    <n v="30"/>
    <n v="0"/>
    <n v="0"/>
    <n v="100"/>
    <s v="Consolidation"/>
    <s v="CO2e and Base Measure"/>
    <n v="100"/>
    <n v="100"/>
    <n v="0.45"/>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5-01T00:00:00"/>
    <s v="FY21"/>
    <s v="t"/>
    <n v="0"/>
    <n v="0"/>
    <n v="0.46500000000000002"/>
    <n v="0.46500000000000002"/>
    <n v="0"/>
    <n v="0"/>
    <n v="31"/>
    <n v="31"/>
    <n v="0"/>
    <n v="0"/>
    <n v="100"/>
    <s v="Consolidation"/>
    <s v="CO2e and Base Measure"/>
    <n v="100"/>
    <n v="100"/>
    <n v="0.47"/>
    <m/>
    <m/>
    <m/>
    <m/>
    <m/>
    <m/>
    <m/>
    <m/>
    <m/>
    <m/>
    <m/>
    <m/>
    <m/>
    <s v="AUD"/>
    <s v="13566432Waste Recycled - Paper and Cardboard [t]"/>
    <n v="13566432"/>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07-01T00:00:00"/>
    <s v="FY21"/>
    <s v="t"/>
    <n v="0"/>
    <n v="0.78"/>
    <n v="0"/>
    <n v="0.78"/>
    <n v="0"/>
    <n v="4"/>
    <n v="0"/>
    <n v="4"/>
    <n v="0"/>
    <n v="100"/>
    <n v="0"/>
    <s v="Consolidation"/>
    <s v="CO2e and Base Measure"/>
    <n v="100"/>
    <n v="100"/>
    <n v="0.78"/>
    <m/>
    <m/>
    <m/>
    <m/>
    <m/>
    <n v="1.014"/>
    <m/>
    <n v="1.014"/>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08-01T00:00:00"/>
    <s v="FY21"/>
    <s v="t"/>
    <n v="0"/>
    <n v="0.78"/>
    <n v="0"/>
    <n v="0.78"/>
    <n v="0"/>
    <n v="4"/>
    <n v="0"/>
    <n v="4"/>
    <n v="0"/>
    <n v="100"/>
    <n v="0"/>
    <s v="Consolidation"/>
    <s v="CO2e and Base Measure"/>
    <n v="100"/>
    <n v="100"/>
    <n v="0.78"/>
    <m/>
    <m/>
    <m/>
    <m/>
    <m/>
    <n v="1.014"/>
    <m/>
    <n v="1.014"/>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09-01T00:00:00"/>
    <s v="FY21"/>
    <s v="t"/>
    <n v="0"/>
    <n v="0.97499999999999998"/>
    <n v="0"/>
    <n v="0.97499999999999998"/>
    <n v="0"/>
    <n v="5"/>
    <n v="0"/>
    <n v="5"/>
    <n v="0"/>
    <n v="100"/>
    <n v="0"/>
    <s v="Consolidation"/>
    <s v="CO2e and Base Measure"/>
    <n v="100"/>
    <n v="100"/>
    <n v="0.98"/>
    <m/>
    <m/>
    <m/>
    <m/>
    <m/>
    <n v="1.2675000000000001"/>
    <m/>
    <n v="1.2675000000000001"/>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10-01T00:00:00"/>
    <s v="FY21"/>
    <s v="t"/>
    <n v="0"/>
    <n v="0.78"/>
    <n v="0"/>
    <n v="0.78"/>
    <n v="0"/>
    <n v="4"/>
    <n v="0"/>
    <n v="4"/>
    <n v="0"/>
    <n v="100"/>
    <n v="0"/>
    <s v="Consolidation"/>
    <s v="CO2e and Base Measure"/>
    <n v="100"/>
    <n v="100"/>
    <n v="0.78"/>
    <m/>
    <m/>
    <m/>
    <m/>
    <m/>
    <n v="1.014"/>
    <m/>
    <n v="1.014"/>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11-01T00:00:00"/>
    <s v="FY21"/>
    <s v="t"/>
    <n v="0"/>
    <n v="0.78"/>
    <n v="0"/>
    <n v="0.78"/>
    <n v="0"/>
    <n v="4"/>
    <n v="0"/>
    <n v="4"/>
    <n v="0"/>
    <n v="100"/>
    <n v="0"/>
    <s v="Consolidation"/>
    <s v="CO2e and Base Measure"/>
    <n v="100"/>
    <n v="100"/>
    <n v="0.78"/>
    <m/>
    <m/>
    <m/>
    <m/>
    <m/>
    <n v="1.014"/>
    <m/>
    <n v="1.014"/>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1-01-01T00:00:00"/>
    <s v="FY21"/>
    <s v="t"/>
    <n v="0"/>
    <n v="0"/>
    <n v="2.5600000000000001E-2"/>
    <n v="2.5600000000000001E-2"/>
    <n v="0"/>
    <n v="0"/>
    <n v="1"/>
    <n v="1"/>
    <n v="0"/>
    <n v="0"/>
    <n v="100"/>
    <s v="Consolidation"/>
    <s v="CO2e and Base Measure"/>
    <n v="100"/>
    <n v="100"/>
    <n v="0.03"/>
    <m/>
    <m/>
    <m/>
    <m/>
    <m/>
    <n v="3.3300000000000003E-2"/>
    <m/>
    <n v="3.3300000000000003E-2"/>
    <m/>
    <m/>
    <m/>
    <m/>
    <m/>
    <s v="AUD"/>
    <s v="13565396Waste - General [t] - Scope 3"/>
    <n v="13565396"/>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1-01T00:00:00"/>
    <s v="FY21"/>
    <s v="t"/>
    <n v="0"/>
    <n v="0.40500000000000003"/>
    <n v="0"/>
    <n v="0.40500000000000003"/>
    <n v="0"/>
    <n v="3"/>
    <n v="0"/>
    <n v="3"/>
    <n v="0"/>
    <n v="100"/>
    <n v="0"/>
    <s v="Consolidation"/>
    <s v="CO2e and Base Measure"/>
    <n v="100"/>
    <n v="100"/>
    <n v="0.41"/>
    <m/>
    <m/>
    <m/>
    <m/>
    <m/>
    <n v="0.52649999999999997"/>
    <m/>
    <n v="0.52649999999999997"/>
    <m/>
    <m/>
    <m/>
    <m/>
    <m/>
    <s v="AUD"/>
    <s v="13634491Waste - General [t] - Scope 3"/>
    <n v="13634491"/>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2-01T00:00:00"/>
    <s v="FY21"/>
    <s v="t"/>
    <n v="0"/>
    <n v="0.54"/>
    <n v="0"/>
    <n v="0.54"/>
    <n v="0"/>
    <n v="4"/>
    <n v="0"/>
    <n v="4"/>
    <n v="0"/>
    <n v="100"/>
    <n v="0"/>
    <s v="Consolidation"/>
    <s v="CO2e and Base Measure"/>
    <n v="100"/>
    <n v="100"/>
    <n v="0.54"/>
    <m/>
    <m/>
    <m/>
    <m/>
    <m/>
    <n v="0.70199999999999996"/>
    <m/>
    <n v="0.70199999999999996"/>
    <m/>
    <m/>
    <m/>
    <m/>
    <m/>
    <s v="AUD"/>
    <s v="13634491Waste - General [t] - Scope 3"/>
    <n v="13634491"/>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3-01T00:00:00"/>
    <s v="FY21"/>
    <s v="t"/>
    <n v="0"/>
    <n v="0.54"/>
    <n v="0"/>
    <n v="0.54"/>
    <n v="0"/>
    <n v="4"/>
    <n v="0"/>
    <n v="4"/>
    <n v="0"/>
    <n v="100"/>
    <n v="0"/>
    <s v="Consolidation"/>
    <s v="CO2e and Base Measure"/>
    <n v="100"/>
    <n v="100"/>
    <n v="0.54"/>
    <m/>
    <m/>
    <m/>
    <m/>
    <m/>
    <n v="0.70199999999999996"/>
    <m/>
    <n v="0.70199999999999996"/>
    <m/>
    <m/>
    <m/>
    <m/>
    <m/>
    <s v="AUD"/>
    <s v="13634491Waste - General [t] - Scope 3"/>
    <n v="13634491"/>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4-01T00:00:00"/>
    <s v="FY21"/>
    <s v="t"/>
    <n v="0"/>
    <n v="0"/>
    <n v="0.501"/>
    <n v="0.501"/>
    <n v="0"/>
    <n v="0"/>
    <n v="30"/>
    <n v="30"/>
    <n v="0"/>
    <n v="0"/>
    <n v="100"/>
    <s v="Consolidation"/>
    <s v="CO2e and Base Measure"/>
    <n v="100"/>
    <n v="100"/>
    <n v="0.5"/>
    <m/>
    <m/>
    <m/>
    <m/>
    <m/>
    <n v="0.65129999999999999"/>
    <m/>
    <n v="0.65129999999999999"/>
    <m/>
    <m/>
    <m/>
    <m/>
    <m/>
    <s v="AUD"/>
    <s v="13634491Waste - General [t] - Scope 3"/>
    <n v="13634491"/>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5-01T00:00:00"/>
    <s v="FY21"/>
    <s v="t"/>
    <n v="0"/>
    <n v="0"/>
    <n v="0.51770000000000005"/>
    <n v="0.51770000000000005"/>
    <n v="0"/>
    <n v="0"/>
    <n v="31"/>
    <n v="31"/>
    <n v="0"/>
    <n v="0"/>
    <n v="100"/>
    <s v="Consolidation"/>
    <s v="CO2e and Base Measure"/>
    <n v="100"/>
    <n v="100"/>
    <n v="0.52"/>
    <m/>
    <m/>
    <m/>
    <m/>
    <m/>
    <n v="0.67300000000000004"/>
    <m/>
    <n v="0.67300000000000004"/>
    <m/>
    <m/>
    <m/>
    <m/>
    <m/>
    <s v="AUD"/>
    <s v="13634491Waste - General [t] - Scope 3"/>
    <n v="13634491"/>
  </r>
  <r>
    <d v="2019-07-01T00:00:00"/>
    <d v="2021-06-30T00:00:00"/>
    <s v="Telstra"/>
    <s v="NETWORK"/>
    <s v="Network - InfraCo"/>
    <s v="QLD"/>
    <s v="Australia"/>
    <s v="Windsor"/>
    <s v="NEWMARKET EXCHANGE"/>
    <n v="423030148900"/>
    <s v="Waste"/>
    <x v="1"/>
    <x v="2"/>
    <s v="Account"/>
    <s v="Remondis General Waste"/>
    <m/>
    <s v="423030148900_WGENERALW"/>
    <s v="GENERAL WASTE"/>
    <s v="Remondis"/>
    <m/>
    <m/>
    <d v="2020-10-01T00:00:00"/>
    <d v="2020-07-01T00:00:00"/>
    <s v="FY21"/>
    <s v="t"/>
    <n v="0.13700000000000001"/>
    <n v="0"/>
    <n v="0"/>
    <n v="0.13700000000000001"/>
    <n v="6"/>
    <n v="0"/>
    <n v="0"/>
    <n v="6"/>
    <n v="100"/>
    <n v="0"/>
    <n v="0"/>
    <s v="Consolidation"/>
    <s v="CO2e and Base Measure"/>
    <n v="100"/>
    <n v="100"/>
    <n v="0.14000000000000001"/>
    <m/>
    <m/>
    <m/>
    <m/>
    <m/>
    <n v="0.17810000000000001"/>
    <m/>
    <n v="0.17810000000000001"/>
    <m/>
    <m/>
    <m/>
    <m/>
    <m/>
    <s v="AUD"/>
    <s v="13564215Waste - General [t] - Scope 3"/>
    <n v="13564215"/>
  </r>
  <r>
    <d v="2019-07-01T00:00:00"/>
    <d v="2021-06-30T00:00:00"/>
    <s v="Telstra"/>
    <s v="NETWORK"/>
    <s v="Network - InfraCo"/>
    <s v="QLD"/>
    <s v="Australia"/>
    <s v="Windsor"/>
    <s v="NEWMARKET EXCHANGE"/>
    <n v="423030148900"/>
    <s v="Waste"/>
    <x v="1"/>
    <x v="2"/>
    <s v="Account"/>
    <s v="Remondis General Waste"/>
    <m/>
    <s v="423030148900_WGENERALW"/>
    <s v="GENERAL WASTE"/>
    <s v="Remondis"/>
    <m/>
    <m/>
    <d v="2020-10-01T00:00:00"/>
    <d v="2020-08-01T00:00:00"/>
    <s v="FY21"/>
    <s v="t"/>
    <n v="0.19900000000000001"/>
    <n v="0"/>
    <n v="0"/>
    <n v="0.19900000000000001"/>
    <n v="6"/>
    <n v="0"/>
    <n v="0"/>
    <n v="6"/>
    <n v="100"/>
    <n v="0"/>
    <n v="0"/>
    <s v="Consolidation"/>
    <s v="CO2e and Base Measure"/>
    <n v="100"/>
    <n v="100"/>
    <n v="0.2"/>
    <m/>
    <m/>
    <m/>
    <m/>
    <m/>
    <n v="0.25869999999999999"/>
    <m/>
    <n v="0.25869999999999999"/>
    <m/>
    <m/>
    <m/>
    <m/>
    <m/>
    <s v="AUD"/>
    <s v="13564215Waste - General [t] - Scope 3"/>
    <n v="13564215"/>
  </r>
  <r>
    <d v="2019-07-01T00:00:00"/>
    <d v="2021-06-30T00:00:00"/>
    <s v="Telstra"/>
    <s v="NETWORK"/>
    <s v="Network - InfraCo"/>
    <s v="QLD"/>
    <s v="Australia"/>
    <s v="Windsor"/>
    <s v="NEWMARKET EXCHANGE"/>
    <n v="423030148900"/>
    <s v="Waste"/>
    <x v="1"/>
    <x v="2"/>
    <s v="Account"/>
    <s v="Remondis General Waste"/>
    <m/>
    <s v="423030148900_WGENERALW"/>
    <s v="GENERAL WASTE"/>
    <s v="Remondis"/>
    <m/>
    <m/>
    <d v="2020-10-01T00:00:00"/>
    <d v="2020-09-01T00:00:00"/>
    <s v="FY21"/>
    <s v="t"/>
    <n v="6.2E-2"/>
    <n v="0"/>
    <n v="0"/>
    <n v="6.2E-2"/>
    <n v="5"/>
    <n v="0"/>
    <n v="0"/>
    <n v="5"/>
    <n v="100"/>
    <n v="0"/>
    <n v="0"/>
    <s v="Consolidation"/>
    <s v="CO2e and Base Measure"/>
    <n v="100"/>
    <n v="100"/>
    <n v="0.06"/>
    <m/>
    <m/>
    <m/>
    <m/>
    <m/>
    <n v="8.0600000000000005E-2"/>
    <m/>
    <n v="8.0600000000000005E-2"/>
    <m/>
    <m/>
    <m/>
    <m/>
    <m/>
    <s v="AUD"/>
    <s v="13564215Waste - General [t] - Scope 3"/>
    <n v="13564215"/>
  </r>
  <r>
    <d v="2019-07-01T00:00:00"/>
    <d v="2021-06-30T00:00:00"/>
    <s v="Telstra"/>
    <s v="NETWORK"/>
    <s v="Network - InfraCo"/>
    <s v="QLD"/>
    <s v="Australia"/>
    <s v="Windsor"/>
    <s v="NEWMARKET EXCHANGE"/>
    <n v="423030148900"/>
    <s v="Waste"/>
    <x v="1"/>
    <x v="2"/>
    <s v="Account"/>
    <s v="Remondis General Waste"/>
    <m/>
    <s v="423030148900_WGENERALW"/>
    <s v="GENERAL WASTE"/>
    <s v="Remondis"/>
    <m/>
    <m/>
    <d v="2020-10-01T00:00:00"/>
    <d v="2020-10-01T00:00:00"/>
    <s v="FY21"/>
    <s v="t"/>
    <n v="0"/>
    <n v="0"/>
    <n v="5.1000000000000004E-3"/>
    <n v="5.1000000000000004E-3"/>
    <n v="0"/>
    <n v="0"/>
    <n v="1"/>
    <n v="1"/>
    <n v="0"/>
    <n v="0"/>
    <n v="100"/>
    <s v="Consolidation"/>
    <s v="CO2e and Base Measure"/>
    <n v="100"/>
    <n v="100"/>
    <n v="0.01"/>
    <m/>
    <m/>
    <m/>
    <m/>
    <m/>
    <n v="6.6E-3"/>
    <m/>
    <n v="6.6E-3"/>
    <m/>
    <m/>
    <m/>
    <m/>
    <m/>
    <s v="AUD"/>
    <s v="13564215Waste - General [t] - Scope 3"/>
    <n v="1356421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0-12-01T00:00:00"/>
    <s v="FY21"/>
    <s v="t"/>
    <n v="0"/>
    <n v="0.14849999999999999"/>
    <n v="0"/>
    <n v="0.14849999999999999"/>
    <n v="0"/>
    <n v="3"/>
    <n v="0"/>
    <n v="3"/>
    <n v="0"/>
    <n v="100"/>
    <n v="0"/>
    <s v="Consolidation"/>
    <s v="CO2e and Base Measure"/>
    <n v="100"/>
    <n v="100"/>
    <n v="0.15"/>
    <m/>
    <m/>
    <m/>
    <m/>
    <m/>
    <n v="0.19309999999999999"/>
    <m/>
    <n v="0.19309999999999999"/>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1-01T00:00:00"/>
    <s v="FY21"/>
    <s v="t"/>
    <n v="0"/>
    <n v="0.19800000000000001"/>
    <n v="0"/>
    <n v="0.19800000000000001"/>
    <n v="0"/>
    <n v="4"/>
    <n v="0"/>
    <n v="4"/>
    <n v="0"/>
    <n v="100"/>
    <n v="0"/>
    <s v="Consolidation"/>
    <s v="CO2e and Base Measure"/>
    <n v="100"/>
    <n v="100"/>
    <n v="0.2"/>
    <m/>
    <m/>
    <m/>
    <m/>
    <m/>
    <n v="0.25740000000000002"/>
    <m/>
    <n v="0.25740000000000002"/>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2-01T00:00:00"/>
    <s v="FY21"/>
    <s v="t"/>
    <n v="1.7000000000000001E-2"/>
    <n v="0.14849999999999999"/>
    <n v="0"/>
    <n v="0.16550000000000001"/>
    <n v="1"/>
    <n v="3"/>
    <n v="0"/>
    <n v="4"/>
    <n v="10.27"/>
    <n v="89.72"/>
    <n v="0"/>
    <s v="Consolidation"/>
    <s v="CO2e and Base Measure"/>
    <n v="100"/>
    <n v="100"/>
    <n v="0.17"/>
    <m/>
    <m/>
    <m/>
    <m/>
    <m/>
    <n v="0.2152"/>
    <m/>
    <n v="0.2152"/>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3-01T00:00:00"/>
    <s v="FY21"/>
    <s v="t"/>
    <n v="0"/>
    <n v="0.19800000000000001"/>
    <n v="0"/>
    <n v="0.19800000000000001"/>
    <n v="0"/>
    <n v="4"/>
    <n v="0"/>
    <n v="4"/>
    <n v="0"/>
    <n v="100"/>
    <n v="0"/>
    <s v="Consolidation"/>
    <s v="CO2e and Base Measure"/>
    <n v="100"/>
    <n v="100"/>
    <n v="0.2"/>
    <m/>
    <m/>
    <m/>
    <m/>
    <m/>
    <n v="0.25740000000000002"/>
    <m/>
    <n v="0.25740000000000002"/>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4-01T00:00:00"/>
    <s v="FY21"/>
    <s v="t"/>
    <n v="0"/>
    <n v="0"/>
    <n v="0.17699999999999999"/>
    <n v="0.17699999999999999"/>
    <n v="0"/>
    <n v="0"/>
    <n v="30"/>
    <n v="30"/>
    <n v="0"/>
    <n v="0"/>
    <n v="100"/>
    <s v="Consolidation"/>
    <s v="CO2e and Base Measure"/>
    <n v="100"/>
    <n v="100"/>
    <n v="0.18"/>
    <m/>
    <m/>
    <m/>
    <m/>
    <m/>
    <n v="0.2301"/>
    <m/>
    <n v="0.2301"/>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5-01T00:00:00"/>
    <s v="FY21"/>
    <s v="t"/>
    <n v="0"/>
    <n v="0"/>
    <n v="0.18290000000000001"/>
    <n v="0.18290000000000001"/>
    <n v="0"/>
    <n v="0"/>
    <n v="31"/>
    <n v="31"/>
    <n v="0"/>
    <n v="0"/>
    <n v="100"/>
    <s v="Consolidation"/>
    <s v="CO2e and Base Measure"/>
    <n v="100"/>
    <n v="100"/>
    <n v="0.18"/>
    <m/>
    <m/>
    <m/>
    <m/>
    <m/>
    <n v="0.23780000000000001"/>
    <m/>
    <n v="0.23780000000000001"/>
    <m/>
    <m/>
    <m/>
    <m/>
    <m/>
    <s v="AUD"/>
    <s v="13634205Waste - General [t] - Scope 3"/>
    <n v="13634205"/>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07-01T00:00:00"/>
    <s v="FY21"/>
    <s v="t"/>
    <n v="0"/>
    <n v="0.36080000000000001"/>
    <n v="0"/>
    <n v="0.36080000000000001"/>
    <n v="0"/>
    <n v="2"/>
    <n v="0"/>
    <n v="2"/>
    <n v="0"/>
    <n v="100"/>
    <n v="0"/>
    <s v="Consolidation"/>
    <s v="CO2e and Base Measure"/>
    <n v="100"/>
    <n v="100"/>
    <n v="0.36"/>
    <m/>
    <m/>
    <m/>
    <m/>
    <m/>
    <n v="0.46899999999999997"/>
    <m/>
    <n v="0.46899999999999997"/>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08-01T00:00:00"/>
    <s v="FY21"/>
    <s v="t"/>
    <n v="0"/>
    <n v="0.28860000000000002"/>
    <n v="0"/>
    <n v="0.28860000000000002"/>
    <n v="0"/>
    <n v="2"/>
    <n v="0"/>
    <n v="2"/>
    <n v="0"/>
    <n v="100"/>
    <n v="0"/>
    <s v="Consolidation"/>
    <s v="CO2e and Base Measure"/>
    <n v="100"/>
    <n v="100"/>
    <n v="0.28999999999999998"/>
    <m/>
    <m/>
    <m/>
    <m/>
    <m/>
    <n v="0.37519999999999998"/>
    <m/>
    <n v="0.37519999999999998"/>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09-01T00:00:00"/>
    <s v="FY21"/>
    <s v="t"/>
    <n v="0"/>
    <n v="0.433"/>
    <n v="0"/>
    <n v="0.433"/>
    <n v="0"/>
    <n v="2"/>
    <n v="0"/>
    <n v="2"/>
    <n v="0"/>
    <n v="100"/>
    <n v="0"/>
    <s v="Consolidation"/>
    <s v="CO2e and Base Measure"/>
    <n v="100"/>
    <n v="100"/>
    <n v="0.43"/>
    <m/>
    <m/>
    <m/>
    <m/>
    <m/>
    <n v="0.56289999999999996"/>
    <m/>
    <n v="0.56289999999999996"/>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10-01T00:00:00"/>
    <s v="FY21"/>
    <s v="t"/>
    <n v="0"/>
    <n v="0.433"/>
    <n v="0"/>
    <n v="0.433"/>
    <n v="0"/>
    <n v="2"/>
    <n v="0"/>
    <n v="2"/>
    <n v="0"/>
    <n v="100"/>
    <n v="0"/>
    <s v="Consolidation"/>
    <s v="CO2e and Base Measure"/>
    <n v="100"/>
    <n v="100"/>
    <n v="0.43"/>
    <m/>
    <m/>
    <m/>
    <m/>
    <m/>
    <n v="0.56289999999999996"/>
    <m/>
    <n v="0.56289999999999996"/>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11-01T00:00:00"/>
    <s v="FY21"/>
    <s v="t"/>
    <n v="0"/>
    <n v="0.57730000000000004"/>
    <n v="0"/>
    <n v="0.57730000000000004"/>
    <n v="0"/>
    <n v="3"/>
    <n v="0"/>
    <n v="3"/>
    <n v="0"/>
    <n v="100"/>
    <n v="0"/>
    <s v="Consolidation"/>
    <s v="CO2e and Base Measure"/>
    <n v="100"/>
    <n v="100"/>
    <n v="0.57999999999999996"/>
    <m/>
    <m/>
    <m/>
    <m/>
    <m/>
    <n v="0.75049999999999994"/>
    <m/>
    <n v="0.75049999999999994"/>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12-01T00:00:00"/>
    <s v="FY21"/>
    <s v="t"/>
    <n v="0"/>
    <n v="0"/>
    <n v="1.43E-2"/>
    <n v="1.43E-2"/>
    <n v="0"/>
    <n v="0"/>
    <n v="1"/>
    <n v="1"/>
    <n v="0"/>
    <n v="0"/>
    <n v="100"/>
    <s v="Consolidation"/>
    <s v="CO2e and Base Measure"/>
    <n v="100"/>
    <n v="100"/>
    <n v="0.01"/>
    <m/>
    <m/>
    <m/>
    <m/>
    <m/>
    <n v="1.8599999999999998E-2"/>
    <m/>
    <n v="1.8599999999999998E-2"/>
    <m/>
    <m/>
    <m/>
    <m/>
    <m/>
    <s v="AUD"/>
    <s v="13565180Waste - General [t] - Scope 3"/>
    <n v="13565180"/>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1-01T00:00:00"/>
    <s v="FY21"/>
    <s v="t"/>
    <n v="0"/>
    <n v="9.9000000000000005E-2"/>
    <n v="0"/>
    <n v="9.9000000000000005E-2"/>
    <n v="0"/>
    <n v="2"/>
    <n v="0"/>
    <n v="2"/>
    <n v="0"/>
    <n v="100"/>
    <n v="0"/>
    <s v="Consolidation"/>
    <s v="CO2e and Base Measure"/>
    <n v="100"/>
    <n v="100"/>
    <n v="0.1"/>
    <m/>
    <m/>
    <m/>
    <m/>
    <m/>
    <n v="0.12870000000000001"/>
    <m/>
    <n v="0.12870000000000001"/>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2-01T00:00:00"/>
    <s v="FY21"/>
    <s v="t"/>
    <n v="0"/>
    <n v="9.9000000000000005E-2"/>
    <n v="0"/>
    <n v="9.9000000000000005E-2"/>
    <n v="0"/>
    <n v="2"/>
    <n v="0"/>
    <n v="2"/>
    <n v="0"/>
    <n v="100"/>
    <n v="0"/>
    <s v="Consolidation"/>
    <s v="CO2e and Base Measure"/>
    <n v="100"/>
    <n v="100"/>
    <n v="0.1"/>
    <m/>
    <m/>
    <m/>
    <m/>
    <m/>
    <n v="0.12870000000000001"/>
    <m/>
    <n v="0.12870000000000001"/>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3-01T00:00:00"/>
    <s v="FY21"/>
    <s v="t"/>
    <n v="0"/>
    <n v="9.9000000000000005E-2"/>
    <n v="0"/>
    <n v="9.9000000000000005E-2"/>
    <n v="0"/>
    <n v="2"/>
    <n v="0"/>
    <n v="2"/>
    <n v="0"/>
    <n v="100"/>
    <n v="0"/>
    <s v="Consolidation"/>
    <s v="CO2e and Base Measure"/>
    <n v="100"/>
    <n v="100"/>
    <n v="0.1"/>
    <m/>
    <m/>
    <m/>
    <m/>
    <m/>
    <n v="0.12870000000000001"/>
    <m/>
    <n v="0.12870000000000001"/>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5-01T00:00:00"/>
    <s v="FY21"/>
    <s v="t"/>
    <n v="0"/>
    <n v="0"/>
    <n v="8.9899999999999994E-2"/>
    <n v="8.9899999999999994E-2"/>
    <n v="0"/>
    <n v="0"/>
    <n v="31"/>
    <n v="31"/>
    <n v="0"/>
    <n v="0"/>
    <n v="100"/>
    <s v="Consolidation"/>
    <s v="CO2e and Base Measure"/>
    <n v="100"/>
    <n v="100"/>
    <n v="0.09"/>
    <m/>
    <m/>
    <m/>
    <m/>
    <m/>
    <n v="0.1169"/>
    <m/>
    <n v="0.1169"/>
    <m/>
    <m/>
    <m/>
    <m/>
    <m/>
    <s v="AUD"/>
    <s v="13634206Waste - General [t] - Scope 3"/>
    <n v="13634206"/>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07-01T00:00:00"/>
    <s v="FY21"/>
    <s v="t"/>
    <n v="3.012"/>
    <n v="0"/>
    <n v="0"/>
    <n v="3.012"/>
    <n v="3"/>
    <n v="0"/>
    <n v="0"/>
    <n v="3"/>
    <n v="100"/>
    <n v="0"/>
    <n v="0"/>
    <s v="Consolidation"/>
    <s v="CO2e and Base Measure"/>
    <n v="100"/>
    <n v="100"/>
    <n v="3.01"/>
    <m/>
    <m/>
    <m/>
    <m/>
    <m/>
    <n v="3.9156"/>
    <m/>
    <n v="3.9156"/>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08-01T00:00:00"/>
    <s v="FY21"/>
    <s v="t"/>
    <n v="3.597"/>
    <n v="0.64"/>
    <n v="0"/>
    <n v="4.2370000000000001"/>
    <n v="3"/>
    <n v="1"/>
    <n v="0"/>
    <n v="4"/>
    <n v="84.89"/>
    <n v="15.1"/>
    <n v="0"/>
    <s v="Consolidation"/>
    <s v="CO2e and Base Measure"/>
    <n v="100"/>
    <n v="100"/>
    <n v="4.24"/>
    <m/>
    <m/>
    <m/>
    <m/>
    <m/>
    <n v="5.5080999999999998"/>
    <m/>
    <n v="5.5080999999999998"/>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09-01T00:00:00"/>
    <s v="FY21"/>
    <s v="t"/>
    <n v="0.126"/>
    <n v="0"/>
    <n v="0"/>
    <n v="0.126"/>
    <n v="1"/>
    <n v="0"/>
    <n v="0"/>
    <n v="1"/>
    <n v="100"/>
    <n v="0"/>
    <n v="0"/>
    <s v="Consolidation"/>
    <s v="CO2e and Base Measure"/>
    <n v="100"/>
    <n v="100"/>
    <n v="0.13"/>
    <m/>
    <m/>
    <m/>
    <m/>
    <m/>
    <n v="0.1638"/>
    <m/>
    <n v="0.1638"/>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10-01T00:00:00"/>
    <s v="FY21"/>
    <s v="t"/>
    <n v="3.9119999999999999"/>
    <n v="0.39"/>
    <n v="0"/>
    <n v="4.3019999999999996"/>
    <n v="2"/>
    <n v="1"/>
    <n v="0"/>
    <n v="3"/>
    <n v="90.93"/>
    <n v="9.06"/>
    <n v="0"/>
    <s v="Consolidation"/>
    <s v="CO2e and Base Measure"/>
    <n v="100"/>
    <n v="100"/>
    <n v="4.3"/>
    <m/>
    <m/>
    <m/>
    <m/>
    <m/>
    <n v="5.5926"/>
    <m/>
    <n v="5.5926"/>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11-01T00:00:00"/>
    <s v="FY21"/>
    <s v="t"/>
    <n v="1.6180000000000001"/>
    <n v="0"/>
    <n v="0"/>
    <n v="1.6180000000000001"/>
    <n v="2"/>
    <n v="0"/>
    <n v="0"/>
    <n v="2"/>
    <n v="100"/>
    <n v="0"/>
    <n v="0"/>
    <s v="Consolidation"/>
    <s v="CO2e and Base Measure"/>
    <n v="100"/>
    <n v="100"/>
    <n v="1.62"/>
    <m/>
    <m/>
    <m/>
    <m/>
    <m/>
    <n v="2.1034000000000002"/>
    <m/>
    <n v="2.1034000000000002"/>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12-01T00:00:00"/>
    <s v="FY21"/>
    <s v="t"/>
    <n v="0"/>
    <n v="0"/>
    <n v="8.6599999999999996E-2"/>
    <n v="8.6599999999999996E-2"/>
    <n v="0"/>
    <n v="0"/>
    <n v="1"/>
    <n v="1"/>
    <n v="0"/>
    <n v="0"/>
    <n v="100"/>
    <s v="Consolidation"/>
    <s v="CO2e and Base Measure"/>
    <n v="100"/>
    <n v="100"/>
    <n v="0.09"/>
    <m/>
    <m/>
    <m/>
    <m/>
    <m/>
    <n v="0.11260000000000001"/>
    <m/>
    <n v="0.11260000000000001"/>
    <m/>
    <m/>
    <m/>
    <m/>
    <m/>
    <s v="AUD"/>
    <s v="13564379Waste - General [t] - Scope 3"/>
    <n v="13564379"/>
  </r>
  <r>
    <d v="2019-07-01T00:00:00"/>
    <d v="2021-06-30T00:00:00"/>
    <s v="Telstra"/>
    <s v="NETWORK"/>
    <s v="Network - Telstra/InfraCo Split"/>
    <s v="NSW"/>
    <s v="Australia"/>
    <s v="Camperdown"/>
    <s v="NEWTOWN EXCHANGE2"/>
    <n v="423030287700"/>
    <s v="Recycled Waste"/>
    <x v="0"/>
    <x v="1"/>
    <s v="Account"/>
    <s v="Remondis Electrical Comp. (E-Waste)"/>
    <m/>
    <s v="423030287700_RELECTRIC"/>
    <s v="ELECTRICAL COMP. E-WASTE"/>
    <s v="Remondis"/>
    <m/>
    <m/>
    <d v="2020-12-01T00:00:00"/>
    <d v="2020-11-01T00:00:00"/>
    <s v="FY21"/>
    <s v="t"/>
    <n v="0"/>
    <n v="0.12540000000000001"/>
    <n v="0"/>
    <n v="0.12540000000000001"/>
    <n v="0"/>
    <n v="1"/>
    <n v="0"/>
    <n v="1"/>
    <n v="0"/>
    <n v="100"/>
    <n v="0"/>
    <s v="Consolidation"/>
    <s v="CO2e and Base Measure"/>
    <n v="100"/>
    <n v="100"/>
    <n v="0.13"/>
    <m/>
    <m/>
    <m/>
    <m/>
    <m/>
    <m/>
    <m/>
    <m/>
    <m/>
    <m/>
    <m/>
    <m/>
    <m/>
    <s v="AUD"/>
    <s v="13602601Waste Recycled - E-waste [t]"/>
    <n v="13602601"/>
  </r>
  <r>
    <d v="2019-07-01T00:00:00"/>
    <d v="2021-06-30T00:00:00"/>
    <s v="Telstra"/>
    <s v="NETWORK"/>
    <s v="Network - Telstra/InfraCo Split"/>
    <s v="NSW"/>
    <s v="Australia"/>
    <s v="Camperdown"/>
    <s v="NEWTOWN EXCHANGE2"/>
    <n v="423030287700"/>
    <s v="Recycled Waste"/>
    <x v="0"/>
    <x v="1"/>
    <s v="Account"/>
    <s v="Remondis Electrical Comp. (E-Waste)"/>
    <m/>
    <s v="423030287700_RELECTRIC"/>
    <s v="ELECTRICAL COMP. E-WASTE"/>
    <s v="Remondis"/>
    <m/>
    <m/>
    <d v="2020-12-01T00:00:00"/>
    <d v="2020-12-01T00:00:00"/>
    <s v="FY21"/>
    <s v="t"/>
    <n v="0"/>
    <n v="0"/>
    <n v="4.3E-3"/>
    <n v="4.3E-3"/>
    <n v="0"/>
    <n v="0"/>
    <n v="1"/>
    <n v="1"/>
    <n v="0"/>
    <n v="0"/>
    <n v="100"/>
    <s v="Consolidation"/>
    <s v="CO2e and Base Measure"/>
    <n v="100"/>
    <n v="100"/>
    <n v="0"/>
    <m/>
    <m/>
    <m/>
    <m/>
    <m/>
    <m/>
    <m/>
    <m/>
    <m/>
    <m/>
    <m/>
    <m/>
    <m/>
    <s v="AUD"/>
    <s v="13602601Waste Recycled - E-waste [t]"/>
    <n v="13602601"/>
  </r>
  <r>
    <d v="2019-07-01T00:00:00"/>
    <d v="2021-06-30T00:00:00"/>
    <s v="Telstra"/>
    <s v="NETWORK"/>
    <s v="Network - Telstra/InfraCo Split"/>
    <s v="NSW"/>
    <s v="Australia"/>
    <s v="Camperdown"/>
    <s v="NEWTOWN EXCHANGE2"/>
    <n v="423030287700"/>
    <s v="Recycled Waste"/>
    <x v="0"/>
    <x v="5"/>
    <s v="Account"/>
    <s v="Remondis Construction &amp; Demolition - Recycled"/>
    <m/>
    <s v="423030287700_RCONSDEM"/>
    <s v="CONSTRUCTION &amp; DEMOLITION - RECYLED"/>
    <s v="Remondis"/>
    <m/>
    <d v="2020-06-03T00:00:00"/>
    <d v="2020-07-01T00:00:00"/>
    <d v="2020-07-01T00:00:00"/>
    <s v="FY21"/>
    <s v="t"/>
    <n v="0"/>
    <n v="0"/>
    <n v="0.1069"/>
    <n v="0.1069"/>
    <n v="0"/>
    <n v="0"/>
    <n v="1"/>
    <n v="1"/>
    <n v="0"/>
    <n v="0"/>
    <n v="100"/>
    <s v="Consolidation"/>
    <s v="CO2e and Base Measure"/>
    <n v="100"/>
    <n v="100"/>
    <n v="0.11"/>
    <m/>
    <m/>
    <m/>
    <m/>
    <m/>
    <m/>
    <m/>
    <m/>
    <m/>
    <m/>
    <m/>
    <m/>
    <m/>
    <s v="AUD"/>
    <s v="13612600Waste Recycled - Construction and Demolition [t]"/>
    <n v="13612600"/>
  </r>
  <r>
    <d v="2019-07-01T00:00:00"/>
    <d v="2021-06-30T00:00:00"/>
    <s v="Telstra"/>
    <s v="NETWORK"/>
    <s v="Network - Telstra/InfraCo Split"/>
    <s v="NSW"/>
    <s v="Australia"/>
    <s v="Camperdown"/>
    <s v="NEWTOWN EXCHANGE2"/>
    <n v="423030287700"/>
    <s v="Waste"/>
    <x v="1"/>
    <x v="4"/>
    <s v="Account"/>
    <s v="Remondis Asbestos"/>
    <m/>
    <s v="423030287700_WASBESTOS"/>
    <s v="ASBESTOS"/>
    <s v="Remondis"/>
    <m/>
    <d v="2020-11-24T00:00:00"/>
    <d v="2020-11-24T00:00:00"/>
    <d v="2020-11-01T00:00:00"/>
    <s v="FY21"/>
    <s v="t"/>
    <n v="0"/>
    <n v="1.1100000000000001"/>
    <n v="0"/>
    <n v="1.1100000000000001"/>
    <n v="0"/>
    <n v="1"/>
    <n v="0"/>
    <n v="1"/>
    <n v="0"/>
    <n v="100"/>
    <n v="0"/>
    <s v="Consolidation"/>
    <s v="CO2e and Base Measure"/>
    <n v="100"/>
    <n v="100"/>
    <n v="1.1100000000000001"/>
    <m/>
    <m/>
    <m/>
    <m/>
    <m/>
    <n v="1.3320000000000001"/>
    <m/>
    <n v="1.3320000000000001"/>
    <m/>
    <m/>
    <m/>
    <m/>
    <m/>
    <s v="AUD"/>
    <s v="13632343Waste - Construction and Demolition [t]"/>
    <n v="13632343"/>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0-10-01T00:00:00"/>
    <s v="FY21"/>
    <s v="t"/>
    <n v="0.49"/>
    <n v="0"/>
    <n v="0"/>
    <n v="0.49"/>
    <n v="1"/>
    <n v="0"/>
    <n v="0"/>
    <n v="1"/>
    <n v="100"/>
    <n v="0"/>
    <n v="0"/>
    <s v="Consolidation"/>
    <s v="CO2e and Base Measure"/>
    <n v="100"/>
    <n v="100"/>
    <n v="0.49"/>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0-11-01T00:00:00"/>
    <s v="FY21"/>
    <s v="t"/>
    <n v="0"/>
    <n v="0"/>
    <n v="0.48899999999999999"/>
    <n v="0.48899999999999999"/>
    <n v="0"/>
    <n v="0"/>
    <n v="30"/>
    <n v="30"/>
    <n v="0"/>
    <n v="0"/>
    <n v="100"/>
    <s v="Consolidation"/>
    <s v="CO2e and Base Measure"/>
    <n v="100"/>
    <n v="100"/>
    <n v="0.49"/>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0-12-01T00:00:00"/>
    <s v="FY21"/>
    <s v="t"/>
    <n v="0"/>
    <n v="0"/>
    <n v="0.50529999999999997"/>
    <n v="0.50529999999999997"/>
    <n v="0"/>
    <n v="0"/>
    <n v="31"/>
    <n v="31"/>
    <n v="0"/>
    <n v="0"/>
    <n v="100"/>
    <s v="Consolidation"/>
    <s v="CO2e and Base Measure"/>
    <n v="100"/>
    <n v="100"/>
    <n v="0.51"/>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1-01T00:00:00"/>
    <s v="FY21"/>
    <s v="t"/>
    <n v="0"/>
    <n v="0"/>
    <n v="0.50529999999999997"/>
    <n v="0.50529999999999997"/>
    <n v="0"/>
    <n v="0"/>
    <n v="31"/>
    <n v="31"/>
    <n v="0"/>
    <n v="0"/>
    <n v="100"/>
    <s v="Consolidation"/>
    <s v="CO2e and Base Measure"/>
    <n v="100"/>
    <n v="100"/>
    <n v="0.51"/>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2-01T00:00:00"/>
    <s v="FY21"/>
    <s v="t"/>
    <n v="0"/>
    <n v="0"/>
    <n v="0.45639999999999997"/>
    <n v="0.45639999999999997"/>
    <n v="0"/>
    <n v="0"/>
    <n v="28"/>
    <n v="28"/>
    <n v="0"/>
    <n v="0"/>
    <n v="100"/>
    <s v="Consolidation"/>
    <s v="CO2e and Base Measure"/>
    <n v="100"/>
    <n v="100"/>
    <n v="0.46"/>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3-01T00:00:00"/>
    <s v="FY21"/>
    <s v="t"/>
    <n v="0"/>
    <n v="0"/>
    <n v="0.50529999999999997"/>
    <n v="0.50529999999999997"/>
    <n v="0"/>
    <n v="0"/>
    <n v="31"/>
    <n v="31"/>
    <n v="0"/>
    <n v="0"/>
    <n v="100"/>
    <s v="Consolidation"/>
    <s v="CO2e and Base Measure"/>
    <n v="100"/>
    <n v="100"/>
    <n v="0.51"/>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4-01T00:00:00"/>
    <s v="FY21"/>
    <s v="t"/>
    <n v="0"/>
    <n v="0"/>
    <n v="0.48899999999999999"/>
    <n v="0.48899999999999999"/>
    <n v="0"/>
    <n v="0"/>
    <n v="30"/>
    <n v="30"/>
    <n v="0"/>
    <n v="0"/>
    <n v="100"/>
    <s v="Consolidation"/>
    <s v="CO2e and Base Measure"/>
    <n v="100"/>
    <n v="100"/>
    <n v="0.49"/>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5-01T00:00:00"/>
    <s v="FY21"/>
    <s v="t"/>
    <n v="0"/>
    <n v="0"/>
    <n v="0.50529999999999997"/>
    <n v="0.50529999999999997"/>
    <n v="0"/>
    <n v="0"/>
    <n v="31"/>
    <n v="31"/>
    <n v="0"/>
    <n v="0"/>
    <n v="100"/>
    <s v="Consolidation"/>
    <s v="CO2e and Base Measure"/>
    <n v="100"/>
    <n v="100"/>
    <n v="0.51"/>
    <m/>
    <m/>
    <m/>
    <m/>
    <m/>
    <m/>
    <m/>
    <m/>
    <m/>
    <m/>
    <m/>
    <m/>
    <m/>
    <s v="AUD"/>
    <s v="13632351Waste Recycled - Construction and Demolition [t]"/>
    <n v="13632351"/>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0-12-01T00:00:00"/>
    <s v="FY21"/>
    <s v="t"/>
    <n v="0.24299999999999999"/>
    <n v="0.47249999999999998"/>
    <n v="0"/>
    <n v="0.71550000000000002"/>
    <n v="5"/>
    <n v="4"/>
    <n v="0"/>
    <n v="9"/>
    <n v="33.96"/>
    <n v="66.03"/>
    <n v="0"/>
    <s v="Consolidation"/>
    <s v="CO2e and Base Measure"/>
    <n v="100"/>
    <n v="100"/>
    <n v="0.72"/>
    <m/>
    <m/>
    <m/>
    <m/>
    <m/>
    <n v="0.93020000000000003"/>
    <m/>
    <n v="0.93020000000000003"/>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1-01T00:00:00"/>
    <s v="FY21"/>
    <s v="t"/>
    <n v="0.50600000000000001"/>
    <n v="0.74250000000000005"/>
    <n v="0"/>
    <n v="1.2484999999999999"/>
    <n v="10"/>
    <n v="6"/>
    <n v="0"/>
    <n v="16"/>
    <n v="40.520000000000003"/>
    <n v="59.47"/>
    <n v="0"/>
    <s v="Consolidation"/>
    <s v="CO2e and Base Measure"/>
    <n v="100"/>
    <n v="100"/>
    <n v="1.25"/>
    <m/>
    <m/>
    <m/>
    <m/>
    <m/>
    <n v="1.6231"/>
    <m/>
    <n v="1.6231"/>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2-01T00:00:00"/>
    <s v="FY21"/>
    <s v="t"/>
    <n v="0.48699999999999999"/>
    <n v="0.27"/>
    <n v="0"/>
    <n v="0.75700000000000001"/>
    <n v="13"/>
    <n v="3"/>
    <n v="0"/>
    <n v="16"/>
    <n v="64.33"/>
    <n v="35.659999999999997"/>
    <n v="0"/>
    <s v="Consolidation"/>
    <s v="CO2e and Base Measure"/>
    <n v="100"/>
    <n v="100"/>
    <n v="0.76"/>
    <m/>
    <m/>
    <m/>
    <m/>
    <m/>
    <n v="0.98409999999999997"/>
    <m/>
    <n v="0.98409999999999997"/>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3-01T00:00:00"/>
    <s v="FY21"/>
    <s v="t"/>
    <n v="0.17799999999999999"/>
    <n v="0.13500000000000001"/>
    <n v="0"/>
    <n v="0.313"/>
    <n v="5"/>
    <n v="1"/>
    <n v="0"/>
    <n v="6"/>
    <n v="56.86"/>
    <n v="43.13"/>
    <n v="0"/>
    <s v="Consolidation"/>
    <s v="CO2e and Base Measure"/>
    <n v="100"/>
    <n v="100"/>
    <n v="0.31"/>
    <m/>
    <m/>
    <m/>
    <m/>
    <m/>
    <n v="0.40689999999999998"/>
    <m/>
    <n v="0.40689999999999998"/>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4-01T00:00:00"/>
    <s v="FY21"/>
    <s v="t"/>
    <n v="0"/>
    <n v="0"/>
    <n v="0.75900000000000001"/>
    <n v="0.75900000000000001"/>
    <n v="0"/>
    <n v="0"/>
    <n v="30"/>
    <n v="30"/>
    <n v="0"/>
    <n v="0"/>
    <n v="100"/>
    <s v="Consolidation"/>
    <s v="CO2e and Base Measure"/>
    <n v="100"/>
    <n v="100"/>
    <n v="0.76"/>
    <m/>
    <m/>
    <m/>
    <m/>
    <m/>
    <n v="0.98670000000000002"/>
    <m/>
    <n v="0.98670000000000002"/>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5-01T00:00:00"/>
    <s v="FY21"/>
    <s v="t"/>
    <n v="0"/>
    <n v="0"/>
    <n v="0.7843"/>
    <n v="0.7843"/>
    <n v="0"/>
    <n v="0"/>
    <n v="31"/>
    <n v="31"/>
    <n v="0"/>
    <n v="0"/>
    <n v="100"/>
    <s v="Consolidation"/>
    <s v="CO2e and Base Measure"/>
    <n v="100"/>
    <n v="100"/>
    <n v="0.78"/>
    <m/>
    <m/>
    <m/>
    <m/>
    <m/>
    <n v="1.0196000000000001"/>
    <m/>
    <n v="1.0196000000000001"/>
    <m/>
    <m/>
    <m/>
    <m/>
    <m/>
    <s v="AUD"/>
    <s v="13634388Waste - General [t] - Scope 3"/>
    <n v="13634388"/>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0-12-01T00:00:00"/>
    <s v="FY21"/>
    <s v="t"/>
    <n v="1.9E-2"/>
    <n v="0.15"/>
    <n v="0"/>
    <n v="0.16900000000000001"/>
    <n v="1"/>
    <n v="2"/>
    <n v="0"/>
    <n v="3"/>
    <n v="11.24"/>
    <n v="88.75"/>
    <n v="0"/>
    <s v="Consolidation"/>
    <s v="CO2e and Base Measure"/>
    <n v="100"/>
    <n v="100"/>
    <n v="0.17"/>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1-01T00:00:00"/>
    <s v="FY21"/>
    <s v="t"/>
    <n v="8.7999999999999995E-2"/>
    <n v="0.15"/>
    <n v="0"/>
    <n v="0.23799999999999999"/>
    <n v="2"/>
    <n v="2"/>
    <n v="0"/>
    <n v="4"/>
    <n v="36.97"/>
    <n v="63.02"/>
    <n v="0"/>
    <s v="Consolidation"/>
    <s v="CO2e and Base Measure"/>
    <n v="100"/>
    <n v="100"/>
    <n v="0.24"/>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2-01T00:00:00"/>
    <s v="FY21"/>
    <s v="t"/>
    <n v="0.156"/>
    <n v="7.4999999999999997E-2"/>
    <n v="0"/>
    <n v="0.23100000000000001"/>
    <n v="3"/>
    <n v="1"/>
    <n v="0"/>
    <n v="4"/>
    <n v="67.53"/>
    <n v="32.46"/>
    <n v="0"/>
    <s v="Consolidation"/>
    <s v="CO2e and Base Measure"/>
    <n v="100"/>
    <n v="100"/>
    <n v="0.23"/>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3-01T00:00:00"/>
    <s v="FY21"/>
    <s v="t"/>
    <n v="1.9E-2"/>
    <n v="7.4999999999999997E-2"/>
    <n v="0"/>
    <n v="9.4E-2"/>
    <n v="1"/>
    <n v="1"/>
    <n v="0"/>
    <n v="2"/>
    <n v="20.21"/>
    <n v="79.78"/>
    <n v="0"/>
    <s v="Consolidation"/>
    <s v="CO2e and Base Measure"/>
    <n v="100"/>
    <n v="100"/>
    <n v="0.09"/>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4-01T00:00:00"/>
    <s v="FY21"/>
    <s v="t"/>
    <n v="0"/>
    <n v="0"/>
    <n v="0.183"/>
    <n v="0.183"/>
    <n v="0"/>
    <n v="0"/>
    <n v="30"/>
    <n v="30"/>
    <n v="0"/>
    <n v="0"/>
    <n v="100"/>
    <s v="Consolidation"/>
    <s v="CO2e and Base Measure"/>
    <n v="100"/>
    <n v="100"/>
    <n v="0.18"/>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5-01T00:00:00"/>
    <s v="FY21"/>
    <s v="t"/>
    <n v="0"/>
    <n v="0"/>
    <n v="0.18909999999999999"/>
    <n v="0.18909999999999999"/>
    <n v="0"/>
    <n v="0"/>
    <n v="31"/>
    <n v="31"/>
    <n v="0"/>
    <n v="0"/>
    <n v="100"/>
    <s v="Consolidation"/>
    <s v="CO2e and Base Measure"/>
    <n v="100"/>
    <n v="100"/>
    <n v="0.19"/>
    <m/>
    <m/>
    <m/>
    <m/>
    <m/>
    <m/>
    <m/>
    <m/>
    <m/>
    <m/>
    <m/>
    <m/>
    <m/>
    <s v="AUD"/>
    <s v="13634389Waste Recycled - Paper and Cardboard [t]"/>
    <n v="13634389"/>
  </r>
  <r>
    <d v="2019-07-01T00:00:00"/>
    <d v="2021-06-30T00:00:00"/>
    <s v="Telstra"/>
    <s v="NON-NETWORK"/>
    <s v="NON-NETWORK"/>
    <s v="NSW"/>
    <s v="Australia"/>
    <s v="Tamworth"/>
    <s v="NF 83 89 MARIUS ST NORTH TAMWORTH 2340"/>
    <n v="423030312100"/>
    <s v="Waste"/>
    <x v="1"/>
    <x v="4"/>
    <s v="Account"/>
    <s v="Remondis Asbestos"/>
    <m/>
    <s v="423030312100_WASBESTOS"/>
    <s v="ASBESTOS"/>
    <s v="Remondis"/>
    <m/>
    <m/>
    <d v="2021-01-01T00:00:00"/>
    <d v="2020-12-01T00:00:00"/>
    <s v="FY21"/>
    <s v="t"/>
    <n v="0.32"/>
    <n v="0"/>
    <n v="0"/>
    <n v="0.32"/>
    <n v="1"/>
    <n v="0"/>
    <n v="0"/>
    <n v="1"/>
    <n v="100"/>
    <n v="0"/>
    <n v="0"/>
    <s v="Consolidation"/>
    <s v="CO2e and Base Measure"/>
    <n v="100"/>
    <n v="100"/>
    <n v="0.32"/>
    <m/>
    <m/>
    <m/>
    <m/>
    <m/>
    <n v="0.38400000000000001"/>
    <m/>
    <n v="0.38400000000000001"/>
    <m/>
    <m/>
    <m/>
    <m/>
    <m/>
    <s v="AUD"/>
    <s v="13564516Waste - Construction and Demolition [t]"/>
    <n v="13564516"/>
  </r>
  <r>
    <d v="2019-07-01T00:00:00"/>
    <d v="2021-06-30T00:00:00"/>
    <s v="Telstra"/>
    <s v="NON-NETWORK"/>
    <s v="NON-NETWORK"/>
    <s v="NSW"/>
    <s v="Australia"/>
    <s v="Tamworth"/>
    <s v="NF 83 89 MARIUS ST NORTH TAMWORTH 2340"/>
    <n v="423030312100"/>
    <s v="Waste"/>
    <x v="1"/>
    <x v="4"/>
    <s v="Account"/>
    <s v="Remondis Asbestos"/>
    <m/>
    <s v="423030312100_WASBESTOS"/>
    <s v="ASBESTOS"/>
    <s v="Remondis"/>
    <m/>
    <m/>
    <d v="2021-01-01T00:00:00"/>
    <d v="2021-01-01T00:00:00"/>
    <s v="FY21"/>
    <s v="t"/>
    <n v="0"/>
    <n v="0"/>
    <n v="1.0699999999999999E-2"/>
    <n v="1.0699999999999999E-2"/>
    <n v="0"/>
    <n v="0"/>
    <n v="1"/>
    <n v="1"/>
    <n v="0"/>
    <n v="0"/>
    <n v="100"/>
    <s v="Consolidation"/>
    <s v="CO2e and Base Measure"/>
    <n v="100"/>
    <n v="100"/>
    <n v="0.01"/>
    <m/>
    <m/>
    <m/>
    <m/>
    <m/>
    <n v="1.2800000000000001E-2"/>
    <m/>
    <n v="1.2800000000000001E-2"/>
    <m/>
    <m/>
    <m/>
    <m/>
    <m/>
    <s v="AUD"/>
    <s v="13564516Waste - Construction and Demolition [t]"/>
    <n v="13564516"/>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07-01T00:00:00"/>
    <s v="FY21"/>
    <s v="t"/>
    <n v="0"/>
    <n v="0.189"/>
    <n v="0"/>
    <n v="0.189"/>
    <n v="0"/>
    <n v="3"/>
    <n v="0"/>
    <n v="3"/>
    <n v="0"/>
    <n v="100"/>
    <n v="0"/>
    <s v="Consolidation"/>
    <s v="CO2e and Base Measure"/>
    <n v="100"/>
    <n v="100"/>
    <n v="0.19"/>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09-01T00:00:00"/>
    <s v="FY21"/>
    <s v="t"/>
    <n v="0"/>
    <n v="0.252"/>
    <n v="0"/>
    <n v="0.252"/>
    <n v="0"/>
    <n v="4"/>
    <n v="0"/>
    <n v="4"/>
    <n v="0"/>
    <n v="100"/>
    <n v="0"/>
    <s v="Consolidation"/>
    <s v="CO2e and Base Measure"/>
    <n v="100"/>
    <n v="100"/>
    <n v="0.25"/>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10-01T00:00:00"/>
    <s v="FY21"/>
    <s v="t"/>
    <n v="0"/>
    <n v="0.252"/>
    <n v="0"/>
    <n v="0.252"/>
    <n v="0"/>
    <n v="4"/>
    <n v="0"/>
    <n v="4"/>
    <n v="0"/>
    <n v="100"/>
    <n v="0"/>
    <s v="Consolidation"/>
    <s v="CO2e and Base Measure"/>
    <n v="100"/>
    <n v="100"/>
    <n v="0.25"/>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11-01T00:00:00"/>
    <s v="FY21"/>
    <s v="t"/>
    <n v="0"/>
    <n v="0.252"/>
    <n v="0"/>
    <n v="0.252"/>
    <n v="0"/>
    <n v="4"/>
    <n v="0"/>
    <n v="4"/>
    <n v="0"/>
    <n v="100"/>
    <n v="0"/>
    <s v="Consolidation"/>
    <s v="CO2e and Base Measure"/>
    <n v="100"/>
    <n v="100"/>
    <n v="0.25"/>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1-01-01T00:00:00"/>
    <s v="FY21"/>
    <s v="t"/>
    <n v="0"/>
    <n v="0"/>
    <n v="5.8999999999999999E-3"/>
    <n v="5.8999999999999999E-3"/>
    <n v="0"/>
    <n v="0"/>
    <n v="1"/>
    <n v="1"/>
    <n v="0"/>
    <n v="0"/>
    <n v="100"/>
    <s v="Consolidation"/>
    <s v="CO2e and Base Measure"/>
    <n v="100"/>
    <n v="100"/>
    <n v="0.01"/>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3"/>
    <s v="Account"/>
    <s v="Remondis Commingled - Recycled"/>
    <m/>
    <s v="423030312100_RCOMINGLE"/>
    <s v="COMMINGLED - RECYCLED"/>
    <s v="Remondis"/>
    <m/>
    <m/>
    <d v="2021-01-01T00:00:00"/>
    <d v="2020-09-01T00:00:00"/>
    <s v="FY21"/>
    <s v="t"/>
    <n v="0"/>
    <n v="6.6000000000000003E-2"/>
    <n v="0"/>
    <n v="6.6000000000000003E-2"/>
    <n v="0"/>
    <n v="1"/>
    <n v="0"/>
    <n v="1"/>
    <n v="0"/>
    <n v="100"/>
    <n v="0"/>
    <s v="Consolidation"/>
    <s v="CO2e and Base Measure"/>
    <n v="100"/>
    <n v="100"/>
    <n v="7.0000000000000007E-2"/>
    <m/>
    <m/>
    <m/>
    <m/>
    <m/>
    <m/>
    <n v="0"/>
    <m/>
    <m/>
    <m/>
    <m/>
    <m/>
    <m/>
    <s v="AUD"/>
    <s v="13564519Waste Recycled - Commingled [t]"/>
    <n v="13564519"/>
  </r>
  <r>
    <d v="2019-07-01T00:00:00"/>
    <d v="2021-06-30T00:00:00"/>
    <s v="Telstra"/>
    <s v="NON-NETWORK"/>
    <s v="NON-NETWORK"/>
    <s v="NSW"/>
    <s v="Australia"/>
    <s v="Tamworth"/>
    <s v="NF 83 89 MARIUS ST NORTH TAMWORTH 2340"/>
    <n v="423030312100"/>
    <s v="Recycled Waste"/>
    <x v="0"/>
    <x v="3"/>
    <s v="Account"/>
    <s v="Remondis Commingled - Recycled"/>
    <m/>
    <s v="423030312100_RCOMINGLE"/>
    <s v="COMMINGLED - RECYCLED"/>
    <s v="Remondis"/>
    <m/>
    <m/>
    <d v="2021-01-01T00:00:00"/>
    <d v="2020-12-01T00:00:00"/>
    <s v="FY21"/>
    <s v="t"/>
    <n v="0"/>
    <n v="6.6000000000000003E-2"/>
    <n v="0"/>
    <n v="6.6000000000000003E-2"/>
    <n v="0"/>
    <n v="1"/>
    <n v="0"/>
    <n v="1"/>
    <n v="0"/>
    <n v="100"/>
    <n v="0"/>
    <s v="Consolidation"/>
    <s v="CO2e and Base Measure"/>
    <n v="100"/>
    <n v="100"/>
    <n v="7.0000000000000007E-2"/>
    <m/>
    <m/>
    <m/>
    <m/>
    <m/>
    <m/>
    <n v="0"/>
    <m/>
    <m/>
    <m/>
    <m/>
    <m/>
    <m/>
    <s v="AUD"/>
    <s v="13564519Waste Recycled - Commingled [t]"/>
    <n v="13564519"/>
  </r>
  <r>
    <d v="2019-07-01T00:00:00"/>
    <d v="2021-06-30T00:00:00"/>
    <s v="Telstra"/>
    <s v="NON-NETWORK"/>
    <s v="NON-NETWORK"/>
    <s v="NSW"/>
    <s v="Australia"/>
    <s v="Tamworth"/>
    <s v="NF 83 89 MARIUS ST NORTH TAMWORTH 2340"/>
    <n v="423030312100"/>
    <s v="Recycled Waste"/>
    <x v="0"/>
    <x v="3"/>
    <s v="Account"/>
    <s v="Remondis Commingled - Recycled"/>
    <m/>
    <s v="423030312100_RCOMINGLE"/>
    <s v="COMMINGLED - RECYCLED"/>
    <s v="Remondis"/>
    <m/>
    <m/>
    <d v="2021-01-01T00:00:00"/>
    <d v="2021-01-01T00:00:00"/>
    <s v="FY21"/>
    <s v="t"/>
    <n v="0"/>
    <n v="0"/>
    <n v="1.1000000000000001E-3"/>
    <n v="1.1000000000000001E-3"/>
    <n v="0"/>
    <n v="0"/>
    <n v="1"/>
    <n v="1"/>
    <n v="0"/>
    <n v="0"/>
    <n v="100"/>
    <s v="Consolidation"/>
    <s v="CO2e and Base Measure"/>
    <n v="100"/>
    <n v="100"/>
    <n v="0"/>
    <m/>
    <m/>
    <m/>
    <m/>
    <m/>
    <m/>
    <n v="0"/>
    <m/>
    <m/>
    <m/>
    <m/>
    <m/>
    <m/>
    <s v="AUD"/>
    <s v="13564519Waste Recycled - Commingled [t]"/>
    <n v="13564519"/>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07-01T00:00:00"/>
    <s v="FY21"/>
    <s v="t"/>
    <n v="0"/>
    <n v="2.145"/>
    <n v="0"/>
    <n v="2.145"/>
    <n v="0"/>
    <n v="13"/>
    <n v="0"/>
    <n v="13"/>
    <n v="0"/>
    <n v="100"/>
    <n v="0"/>
    <s v="Consolidation"/>
    <s v="CO2e and Base Measure"/>
    <n v="100"/>
    <n v="100"/>
    <n v="2.15"/>
    <m/>
    <m/>
    <m/>
    <m/>
    <m/>
    <n v="2.7885"/>
    <m/>
    <n v="2.7885"/>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08-01T00:00:00"/>
    <s v="FY21"/>
    <s v="t"/>
    <n v="0"/>
    <n v="1.95"/>
    <n v="0"/>
    <n v="1.95"/>
    <n v="0"/>
    <n v="12"/>
    <n v="0"/>
    <n v="12"/>
    <n v="0"/>
    <n v="100"/>
    <n v="0"/>
    <s v="Consolidation"/>
    <s v="CO2e and Base Measure"/>
    <n v="100"/>
    <n v="100"/>
    <n v="1.95"/>
    <m/>
    <m/>
    <m/>
    <m/>
    <m/>
    <n v="2.5350000000000001"/>
    <m/>
    <n v="2.5350000000000001"/>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09-01T00:00:00"/>
    <s v="FY21"/>
    <s v="t"/>
    <n v="0"/>
    <n v="0.29249999999999998"/>
    <n v="0"/>
    <n v="0.29249999999999998"/>
    <n v="0"/>
    <n v="2"/>
    <n v="0"/>
    <n v="2"/>
    <n v="0"/>
    <n v="100"/>
    <n v="0"/>
    <s v="Consolidation"/>
    <s v="CO2e and Base Measure"/>
    <n v="100"/>
    <n v="100"/>
    <n v="0.28999999999999998"/>
    <m/>
    <m/>
    <m/>
    <m/>
    <m/>
    <n v="0.38030000000000003"/>
    <m/>
    <n v="0.38030000000000003"/>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10-01T00:00:00"/>
    <s v="FY21"/>
    <s v="t"/>
    <n v="0"/>
    <n v="0.29249999999999998"/>
    <n v="0"/>
    <n v="0.29249999999999998"/>
    <n v="0"/>
    <n v="2"/>
    <n v="0"/>
    <n v="2"/>
    <n v="0"/>
    <n v="100"/>
    <n v="0"/>
    <s v="Consolidation"/>
    <s v="CO2e and Base Measure"/>
    <n v="100"/>
    <n v="100"/>
    <n v="0.28999999999999998"/>
    <m/>
    <m/>
    <m/>
    <m/>
    <m/>
    <n v="0.38030000000000003"/>
    <m/>
    <n v="0.38030000000000003"/>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11-01T00:00:00"/>
    <s v="FY21"/>
    <s v="t"/>
    <n v="0"/>
    <n v="0.48749999999999999"/>
    <n v="0"/>
    <n v="0.48749999999999999"/>
    <n v="0"/>
    <n v="3"/>
    <n v="0"/>
    <n v="3"/>
    <n v="0"/>
    <n v="100"/>
    <n v="0"/>
    <s v="Consolidation"/>
    <s v="CO2e and Base Measure"/>
    <n v="100"/>
    <n v="100"/>
    <n v="0.49"/>
    <m/>
    <m/>
    <m/>
    <m/>
    <m/>
    <n v="0.63380000000000003"/>
    <m/>
    <n v="0.63380000000000003"/>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12-01T00:00:00"/>
    <s v="FY21"/>
    <s v="t"/>
    <n v="0"/>
    <n v="0.29249999999999998"/>
    <n v="0"/>
    <n v="0.29249999999999998"/>
    <n v="0"/>
    <n v="2"/>
    <n v="0"/>
    <n v="2"/>
    <n v="0"/>
    <n v="100"/>
    <n v="0"/>
    <s v="Consolidation"/>
    <s v="CO2e and Base Measure"/>
    <n v="100"/>
    <n v="100"/>
    <n v="0.28999999999999998"/>
    <m/>
    <m/>
    <m/>
    <m/>
    <m/>
    <n v="0.38030000000000003"/>
    <m/>
    <n v="0.38030000000000003"/>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1-01-01T00:00:00"/>
    <s v="FY21"/>
    <s v="t"/>
    <n v="0"/>
    <n v="0"/>
    <n v="3.6200000000000003E-2"/>
    <n v="3.6200000000000003E-2"/>
    <n v="0"/>
    <n v="0"/>
    <n v="1"/>
    <n v="1"/>
    <n v="0"/>
    <n v="0"/>
    <n v="100"/>
    <s v="Consolidation"/>
    <s v="CO2e and Base Measure"/>
    <n v="100"/>
    <n v="100"/>
    <n v="0.04"/>
    <m/>
    <m/>
    <m/>
    <m/>
    <m/>
    <n v="4.7100000000000003E-2"/>
    <m/>
    <n v="4.7100000000000003E-2"/>
    <m/>
    <m/>
    <m/>
    <m/>
    <m/>
    <s v="AUD"/>
    <s v="13564520Waste - General [t] - Scope 3"/>
    <n v="13564520"/>
  </r>
  <r>
    <d v="2019-07-01T00:00:00"/>
    <d v="2021-06-30T00:00:00"/>
    <s v="Telstra"/>
    <s v="NON-NETWORK"/>
    <s v="NON-NETWORK"/>
    <s v="NSW"/>
    <s v="Australia"/>
    <s v="Tamworth"/>
    <s v="NF 83 89 MARIUS ST NORTH TAMWORTH 2340"/>
    <n v="423030312100"/>
    <s v="Recycled Waste"/>
    <x v="0"/>
    <x v="1"/>
    <s v="Account"/>
    <s v="Remondis Electrical Comp. (E-Waste)"/>
    <m/>
    <s v="4230303121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76192Waste Recycled - E-waste [t]"/>
    <n v="13576192"/>
  </r>
  <r>
    <d v="2019-07-01T00:00:00"/>
    <d v="2021-06-30T00:00:00"/>
    <s v="Telstra"/>
    <s v="NON-NETWORK"/>
    <s v="NON-NETWORK"/>
    <s v="NSW"/>
    <s v="Australia"/>
    <s v="Tamworth"/>
    <s v="NF 83 89 MARIUS ST NORTH TAMWORTH 2340"/>
    <n v="423030312100"/>
    <s v="Recycled Waste"/>
    <x v="0"/>
    <x v="1"/>
    <s v="Account"/>
    <s v="Remondis Electrical Comp. (E-Waste)"/>
    <m/>
    <s v="4230303121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76192Waste Recycled - E-waste [t]"/>
    <n v="13576192"/>
  </r>
  <r>
    <d v="2019-07-01T00:00:00"/>
    <d v="2021-06-30T00:00:00"/>
    <s v="Telstra"/>
    <s v="NETWORK"/>
    <s v="Network - InfraCo"/>
    <s v="NT"/>
    <s v="Australia"/>
    <s v="McMinns Lagoon"/>
    <s v="NOONAMAH EXCHANGE"/>
    <n v="423030687200"/>
    <s v="Waste"/>
    <x v="1"/>
    <x v="2"/>
    <s v="Account"/>
    <s v="Remondis General Waste"/>
    <m/>
    <s v="423030687200_WGENERALW"/>
    <s v="GENERAL WASTE"/>
    <s v="Remondis"/>
    <m/>
    <m/>
    <d v="2020-10-01T00:00:00"/>
    <d v="2020-09-01T00:00:00"/>
    <s v="FY21"/>
    <s v="t"/>
    <n v="0"/>
    <n v="0.19500000000000001"/>
    <n v="0"/>
    <n v="0.19500000000000001"/>
    <n v="0"/>
    <n v="1"/>
    <n v="0"/>
    <n v="1"/>
    <n v="0"/>
    <n v="100"/>
    <n v="0"/>
    <s v="Consolidation"/>
    <s v="CO2e and Base Measure"/>
    <n v="100"/>
    <n v="100"/>
    <n v="0.2"/>
    <m/>
    <m/>
    <m/>
    <m/>
    <m/>
    <n v="0.2535"/>
    <m/>
    <n v="0.2535"/>
    <m/>
    <m/>
    <m/>
    <m/>
    <m/>
    <s v="AUD"/>
    <s v="13565106Waste - General [t] - Scope 3"/>
    <n v="13565106"/>
  </r>
  <r>
    <d v="2019-07-01T00:00:00"/>
    <d v="2021-06-30T00:00:00"/>
    <s v="Telstra"/>
    <s v="NETWORK"/>
    <s v="Network - InfraCo"/>
    <s v="NT"/>
    <s v="Australia"/>
    <s v="McMinns Lagoon"/>
    <s v="NOONAMAH EXCHANGE"/>
    <n v="423030687200"/>
    <s v="Waste"/>
    <x v="1"/>
    <x v="2"/>
    <s v="Account"/>
    <s v="Remondis General Waste"/>
    <m/>
    <s v="423030687200_WGENERALW"/>
    <s v="GENERAL WASTE"/>
    <s v="Remondis"/>
    <m/>
    <m/>
    <d v="2020-10-01T00:00:00"/>
    <d v="2020-10-01T00:00:00"/>
    <s v="FY21"/>
    <s v="t"/>
    <n v="0"/>
    <n v="0"/>
    <n v="6.7000000000000002E-3"/>
    <n v="6.7000000000000002E-3"/>
    <n v="0"/>
    <n v="0"/>
    <n v="1"/>
    <n v="1"/>
    <n v="0"/>
    <n v="0"/>
    <n v="100"/>
    <s v="Consolidation"/>
    <s v="CO2e and Base Measure"/>
    <n v="100"/>
    <n v="100"/>
    <n v="0.01"/>
    <m/>
    <m/>
    <m/>
    <m/>
    <m/>
    <n v="8.6999999999999994E-3"/>
    <m/>
    <n v="8.6999999999999994E-3"/>
    <m/>
    <m/>
    <m/>
    <m/>
    <m/>
    <s v="AUD"/>
    <s v="13565106Waste - General [t] - Scope 3"/>
    <n v="13565106"/>
  </r>
  <r>
    <d v="2019-07-01T00:00:00"/>
    <d v="2021-06-30T00:00:00"/>
    <s v="Telstra"/>
    <s v="NETWORK"/>
    <s v="Network - InfraCo"/>
    <s v="NSW"/>
    <s v="Australia"/>
    <s v="Rathmines"/>
    <s v="NORDS WHARF EXCHANGE"/>
    <n v="423030286600"/>
    <s v="Waste"/>
    <x v="1"/>
    <x v="2"/>
    <s v="Account"/>
    <s v="Remondis General Waste"/>
    <m/>
    <s v="423030286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71Waste - General [t] - Scope 3"/>
    <n v="13564371"/>
  </r>
  <r>
    <d v="2019-07-01T00:00:00"/>
    <d v="2021-06-30T00:00:00"/>
    <s v="Telstra"/>
    <s v="NETWORK"/>
    <s v="Network - InfraCo"/>
    <s v="NSW"/>
    <s v="Australia"/>
    <s v="Rathmines"/>
    <s v="NORDS WHARF EXCHANGE"/>
    <n v="423030286600"/>
    <s v="Waste"/>
    <x v="1"/>
    <x v="2"/>
    <s v="Account"/>
    <s v="Remondis General Waste"/>
    <m/>
    <s v="423030286600_WGENERALW"/>
    <s v="GENERAL WASTE"/>
    <s v="Remondis"/>
    <m/>
    <m/>
    <d v="2021-01-01T00:00:00"/>
    <d v="2021-01-01T00:00:00"/>
    <s v="FY21"/>
    <s v="t"/>
    <n v="0"/>
    <n v="0"/>
    <n v="3.3E-3"/>
    <n v="3.3E-3"/>
    <n v="0"/>
    <n v="0"/>
    <n v="1"/>
    <n v="1"/>
    <n v="0"/>
    <n v="0"/>
    <n v="100"/>
    <s v="Consolidation"/>
    <s v="CO2e and Base Measure"/>
    <n v="100"/>
    <n v="100"/>
    <n v="0"/>
    <m/>
    <m/>
    <m/>
    <m/>
    <m/>
    <n v="4.3E-3"/>
    <m/>
    <n v="4.3E-3"/>
    <m/>
    <m/>
    <m/>
    <m/>
    <m/>
    <s v="AUD"/>
    <s v="13564371Waste - General [t] - Scope 3"/>
    <n v="13564371"/>
  </r>
  <r>
    <d v="2019-07-01T00:00:00"/>
    <d v="2021-06-30T00:00:00"/>
    <s v="Telstra"/>
    <s v="NETWORK"/>
    <s v="Network - InfraCo"/>
    <s v="QLD"/>
    <s v="Australia"/>
    <s v="Mount Isa"/>
    <s v="NORMANTON EXCHANGE"/>
    <n v="423030236300"/>
    <s v="Recycled Waste"/>
    <x v="0"/>
    <x v="1"/>
    <s v="Account"/>
    <s v="Remondis Batteries - Mixed Recycled"/>
    <m/>
    <s v="423030236300_RBATTERY."/>
    <s v="Batteries - Mixed Recycled"/>
    <s v="Remondis"/>
    <m/>
    <d v="2019-10-01T00:00:00"/>
    <d v="2020-11-01T00:00:00"/>
    <d v="2020-10-01T00:00:00"/>
    <s v="FY21"/>
    <s v="t"/>
    <n v="2.0640000000000001"/>
    <n v="0"/>
    <n v="0"/>
    <n v="2.0640000000000001"/>
    <n v="1"/>
    <n v="0"/>
    <n v="0"/>
    <n v="1"/>
    <n v="100"/>
    <n v="0"/>
    <n v="0"/>
    <s v="Consolidation"/>
    <s v="CO2e and Base Measure"/>
    <n v="100"/>
    <n v="100"/>
    <n v="2.06"/>
    <m/>
    <m/>
    <m/>
    <m/>
    <m/>
    <m/>
    <m/>
    <m/>
    <m/>
    <m/>
    <m/>
    <m/>
    <m/>
    <s v="AUD"/>
    <s v="13578177Waste Recycled - E-waste [t]"/>
    <n v="13578177"/>
  </r>
  <r>
    <d v="2019-07-01T00:00:00"/>
    <d v="2021-06-30T00:00:00"/>
    <s v="Telstra"/>
    <s v="NETWORK"/>
    <s v="Network - InfraCo"/>
    <s v="QLD"/>
    <s v="Australia"/>
    <s v="Mount Isa"/>
    <s v="NORMANTON EXCHANGE"/>
    <n v="423030236300"/>
    <s v="Recycled Waste"/>
    <x v="0"/>
    <x v="1"/>
    <s v="Account"/>
    <s v="Remondis Batteries - Mixed Recycled"/>
    <m/>
    <s v="423030236300_RBATTERY."/>
    <s v="Batteries - Mixed Recycled"/>
    <s v="Remondis"/>
    <m/>
    <d v="2019-10-01T00:00:00"/>
    <d v="2020-11-01T00:00:00"/>
    <d v="2020-11-01T00:00:00"/>
    <s v="FY21"/>
    <s v="t"/>
    <n v="0"/>
    <n v="0"/>
    <n v="6.88E-2"/>
    <n v="6.88E-2"/>
    <n v="0"/>
    <n v="0"/>
    <n v="1"/>
    <n v="1"/>
    <n v="0"/>
    <n v="0"/>
    <n v="100"/>
    <s v="Consolidation"/>
    <s v="CO2e and Base Measure"/>
    <n v="100"/>
    <n v="100"/>
    <n v="7.0000000000000007E-2"/>
    <m/>
    <m/>
    <m/>
    <m/>
    <m/>
    <m/>
    <m/>
    <m/>
    <m/>
    <m/>
    <m/>
    <m/>
    <m/>
    <s v="AUD"/>
    <s v="13578177Waste Recycled - E-waste [t]"/>
    <n v="13578177"/>
  </r>
  <r>
    <d v="2019-07-01T00:00:00"/>
    <d v="2021-06-30T00:00:00"/>
    <s v="Telstra"/>
    <s v="NETWORK"/>
    <s v="Network - InfraCo"/>
    <s v="VIC"/>
    <s v="Australia"/>
    <s v="North Melbourne"/>
    <s v="NORTH MELBOURNE EXCHANGE"/>
    <n v="423030757600"/>
    <s v="Recycled Waste"/>
    <x v="0"/>
    <x v="0"/>
    <s v="Account"/>
    <s v="Remondis Cardboard - Loose - Recycled"/>
    <m/>
    <s v="423030757600_RCARDBOAR"/>
    <s v="CARDBOARD - LOOSE - RECYCLED"/>
    <s v="Remondis"/>
    <m/>
    <m/>
    <d v="2021-01-01T00:00:00"/>
    <d v="2020-12-01T00:00:00"/>
    <s v="FY21"/>
    <s v="t"/>
    <n v="0"/>
    <n v="4.6600000000000003E-2"/>
    <n v="0"/>
    <n v="4.6600000000000003E-2"/>
    <n v="0"/>
    <n v="1"/>
    <n v="0"/>
    <n v="1"/>
    <n v="0"/>
    <n v="100"/>
    <n v="0"/>
    <s v="Consolidation"/>
    <s v="CO2e and Base Measure"/>
    <n v="100"/>
    <n v="100"/>
    <n v="0.05"/>
    <m/>
    <m/>
    <m/>
    <m/>
    <m/>
    <m/>
    <n v="0"/>
    <m/>
    <m/>
    <m/>
    <m/>
    <m/>
    <m/>
    <s v="AUD"/>
    <s v="13565181Waste Recycled - Cardboard [t]"/>
    <n v="13565181"/>
  </r>
  <r>
    <d v="2019-07-01T00:00:00"/>
    <d v="2021-06-30T00:00:00"/>
    <s v="Telstra"/>
    <s v="NETWORK"/>
    <s v="Network - InfraCo"/>
    <s v="VIC"/>
    <s v="Australia"/>
    <s v="North Melbourne"/>
    <s v="NORTH MELBOURNE EXCHANGE"/>
    <n v="423030757600"/>
    <s v="Recycled Waste"/>
    <x v="0"/>
    <x v="0"/>
    <s v="Account"/>
    <s v="Remondis Cardboard - Loose - Recycled"/>
    <m/>
    <s v="423030757600_RCARDBOAR"/>
    <s v="CARDBOARD - LOOSE - RECYCLED"/>
    <s v="Remondis"/>
    <m/>
    <m/>
    <d v="2021-01-01T00:00:00"/>
    <d v="2021-01-01T00:00:00"/>
    <s v="FY21"/>
    <s v="t"/>
    <n v="0"/>
    <n v="0"/>
    <n v="2.0000000000000001E-4"/>
    <n v="2.0000000000000001E-4"/>
    <n v="0"/>
    <n v="0"/>
    <n v="1"/>
    <n v="1"/>
    <n v="0"/>
    <n v="0"/>
    <n v="100"/>
    <s v="Consolidation"/>
    <s v="CO2e and Base Measure"/>
    <n v="100"/>
    <n v="100"/>
    <n v="0"/>
    <m/>
    <m/>
    <m/>
    <m/>
    <m/>
    <m/>
    <n v="0"/>
    <m/>
    <m/>
    <m/>
    <m/>
    <m/>
    <m/>
    <s v="AUD"/>
    <s v="13565181Waste Recycled - Cardboard [t]"/>
    <n v="13565181"/>
  </r>
  <r>
    <d v="2019-07-01T00:00:00"/>
    <d v="2021-06-30T00:00:00"/>
    <s v="Telstra"/>
    <s v="NETWORK"/>
    <s v="Network - InfraCo"/>
    <s v="VIC"/>
    <s v="Australia"/>
    <s v="North Melbourne"/>
    <s v="NORTH MELBOURNE EXCHANGE"/>
    <n v="423030757600"/>
    <s v="Recycled Waste"/>
    <x v="0"/>
    <x v="1"/>
    <s v="Account"/>
    <s v="Remondis Electrical Comp. (E-Waste)"/>
    <m/>
    <s v="423030757600_RELECTRIC"/>
    <s v="ELECTRICAL COMP. E-WASTE"/>
    <s v="Remondis"/>
    <m/>
    <m/>
    <d v="2020-12-01T00:00:00"/>
    <d v="2020-11-01T00:00:00"/>
    <s v="FY21"/>
    <s v="t"/>
    <n v="0"/>
    <n v="0.12540000000000001"/>
    <n v="0"/>
    <n v="0.12540000000000001"/>
    <n v="0"/>
    <n v="1"/>
    <n v="0"/>
    <n v="1"/>
    <n v="0"/>
    <n v="100"/>
    <n v="0"/>
    <s v="Consolidation"/>
    <s v="CO2e and Base Measure"/>
    <n v="100"/>
    <n v="100"/>
    <n v="0.13"/>
    <m/>
    <m/>
    <m/>
    <m/>
    <m/>
    <m/>
    <m/>
    <m/>
    <m/>
    <m/>
    <m/>
    <m/>
    <m/>
    <s v="AUD"/>
    <s v="13565183Waste Recycled - E-waste [t]"/>
    <n v="13565183"/>
  </r>
  <r>
    <d v="2019-07-01T00:00:00"/>
    <d v="2021-06-30T00:00:00"/>
    <s v="Telstra"/>
    <s v="NETWORK"/>
    <s v="Network - InfraCo"/>
    <s v="VIC"/>
    <s v="Australia"/>
    <s v="North Melbourne"/>
    <s v="NORTH MELBOURNE EXCHANGE"/>
    <n v="423030757600"/>
    <s v="Recycled Waste"/>
    <x v="0"/>
    <x v="1"/>
    <s v="Account"/>
    <s v="Remondis Electrical Comp. (E-Waste)"/>
    <m/>
    <s v="423030757600_RELECTRIC"/>
    <s v="ELECTRICAL COMP. E-WASTE"/>
    <s v="Remondis"/>
    <m/>
    <m/>
    <d v="2020-12-01T00:00:00"/>
    <d v="2020-12-01T00:00:00"/>
    <s v="FY21"/>
    <s v="t"/>
    <n v="0"/>
    <n v="0"/>
    <n v="1.4E-3"/>
    <n v="1.4E-3"/>
    <n v="0"/>
    <n v="0"/>
    <n v="1"/>
    <n v="1"/>
    <n v="0"/>
    <n v="0"/>
    <n v="100"/>
    <s v="Consolidation"/>
    <s v="CO2e and Base Measure"/>
    <n v="100"/>
    <n v="100"/>
    <n v="0"/>
    <m/>
    <m/>
    <m/>
    <m/>
    <m/>
    <m/>
    <m/>
    <m/>
    <m/>
    <m/>
    <m/>
    <m/>
    <m/>
    <s v="AUD"/>
    <s v="13565183Waste Recycled - E-waste [t]"/>
    <n v="13565183"/>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07-01T00:00:00"/>
    <s v="FY21"/>
    <s v="t"/>
    <n v="0"/>
    <n v="0.14430000000000001"/>
    <n v="0"/>
    <n v="0.14430000000000001"/>
    <n v="0"/>
    <n v="1"/>
    <n v="0"/>
    <n v="1"/>
    <n v="0"/>
    <n v="100"/>
    <n v="0"/>
    <s v="Consolidation"/>
    <s v="CO2e and Base Measure"/>
    <n v="100"/>
    <n v="100"/>
    <n v="0.14000000000000001"/>
    <m/>
    <m/>
    <m/>
    <m/>
    <m/>
    <n v="0.18759999999999999"/>
    <m/>
    <n v="0.18759999999999999"/>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08-01T00:00:00"/>
    <s v="FY21"/>
    <s v="t"/>
    <n v="0"/>
    <n v="7.22E-2"/>
    <n v="0"/>
    <n v="7.22E-2"/>
    <n v="0"/>
    <n v="1"/>
    <n v="0"/>
    <n v="1"/>
    <n v="0"/>
    <n v="100"/>
    <n v="0"/>
    <s v="Consolidation"/>
    <s v="CO2e and Base Measure"/>
    <n v="100"/>
    <n v="100"/>
    <n v="7.0000000000000007E-2"/>
    <m/>
    <m/>
    <m/>
    <m/>
    <m/>
    <n v="9.3899999999999997E-2"/>
    <m/>
    <n v="9.3899999999999997E-2"/>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1-01-01T00:00:00"/>
    <s v="FY21"/>
    <s v="t"/>
    <n v="0"/>
    <n v="0"/>
    <n v="4.7000000000000002E-3"/>
    <n v="4.7000000000000002E-3"/>
    <n v="0"/>
    <n v="0"/>
    <n v="1"/>
    <n v="1"/>
    <n v="0"/>
    <n v="0"/>
    <n v="100"/>
    <s v="Consolidation"/>
    <s v="CO2e and Base Measure"/>
    <n v="100"/>
    <n v="100"/>
    <n v="0"/>
    <m/>
    <m/>
    <m/>
    <m/>
    <m/>
    <n v="6.1000000000000004E-3"/>
    <m/>
    <n v="6.1000000000000004E-3"/>
    <m/>
    <m/>
    <m/>
    <m/>
    <m/>
    <s v="AUD"/>
    <s v="13565184Waste - General [t] - Scope 3"/>
    <n v="13565184"/>
  </r>
  <r>
    <d v="2019-07-01T00:00:00"/>
    <d v="2021-06-30T00:00:00"/>
    <s v="Telstra"/>
    <s v="NETWORK"/>
    <s v="Network - InfraCo"/>
    <s v="VIC"/>
    <s v="Australia"/>
    <s v="North Melbourne"/>
    <s v="NORTH MELBOURNE EXCHANGE"/>
    <n v="423030757600"/>
    <s v="Recycled Waste"/>
    <x v="0"/>
    <x v="5"/>
    <s v="Account"/>
    <s v="Remondis Construction &amp; Demolition - Recycled"/>
    <m/>
    <s v="423030757600_RCONSDEM"/>
    <s v="CONSTRUCTION &amp; DEMOLITION - RECYLED"/>
    <s v="Remondis"/>
    <m/>
    <m/>
    <d v="2020-11-01T00:00:00"/>
    <d v="2020-10-01T00:00:00"/>
    <s v="FY21"/>
    <s v="t"/>
    <n v="2.34"/>
    <n v="0"/>
    <n v="0"/>
    <n v="2.34"/>
    <n v="1"/>
    <n v="0"/>
    <n v="0"/>
    <n v="1"/>
    <n v="100"/>
    <n v="0"/>
    <n v="0"/>
    <s v="Consolidation"/>
    <s v="CO2e and Base Measure"/>
    <n v="100"/>
    <n v="100"/>
    <n v="2.34"/>
    <m/>
    <m/>
    <m/>
    <m/>
    <m/>
    <m/>
    <m/>
    <m/>
    <m/>
    <m/>
    <m/>
    <m/>
    <m/>
    <s v="AUD"/>
    <s v="13592852Waste Recycled - Construction and Demolition [t]"/>
    <n v="13592852"/>
  </r>
  <r>
    <d v="2019-07-01T00:00:00"/>
    <d v="2021-06-30T00:00:00"/>
    <s v="Telstra"/>
    <s v="NETWORK"/>
    <s v="Network - InfraCo"/>
    <s v="VIC"/>
    <s v="Australia"/>
    <s v="North Melbourne"/>
    <s v="NORTH MELBOURNE EXCHANGE"/>
    <n v="423030757600"/>
    <s v="Recycled Waste"/>
    <x v="0"/>
    <x v="5"/>
    <s v="Account"/>
    <s v="Remondis Construction &amp; Demolition - Recycled"/>
    <m/>
    <s v="423030757600_RCONSDEM"/>
    <s v="CONSTRUCTION &amp; DEMOLITION - RECYLED"/>
    <s v="Remondis"/>
    <m/>
    <m/>
    <d v="2020-11-01T00:00:00"/>
    <d v="2020-11-01T00:00:00"/>
    <s v="FY21"/>
    <s v="t"/>
    <n v="0"/>
    <n v="0"/>
    <n v="7.8E-2"/>
    <n v="7.8E-2"/>
    <n v="0"/>
    <n v="0"/>
    <n v="1"/>
    <n v="1"/>
    <n v="0"/>
    <n v="0"/>
    <n v="100"/>
    <s v="Consolidation"/>
    <s v="CO2e and Base Measure"/>
    <n v="100"/>
    <n v="100"/>
    <n v="0.08"/>
    <m/>
    <m/>
    <m/>
    <m/>
    <m/>
    <m/>
    <m/>
    <m/>
    <m/>
    <m/>
    <m/>
    <m/>
    <m/>
    <s v="AUD"/>
    <s v="13592852Waste Recycled - Construction and Demolition [t]"/>
    <n v="13592852"/>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0-12-01T00:00:00"/>
    <s v="FY21"/>
    <s v="t"/>
    <n v="0"/>
    <n v="9.9000000000000005E-2"/>
    <n v="0"/>
    <n v="9.9000000000000005E-2"/>
    <n v="0"/>
    <n v="1"/>
    <n v="0"/>
    <n v="1"/>
    <n v="0"/>
    <n v="100"/>
    <n v="0"/>
    <s v="Consolidation"/>
    <s v="CO2e and Base Measure"/>
    <n v="100"/>
    <n v="100"/>
    <n v="0.1"/>
    <m/>
    <m/>
    <m/>
    <m/>
    <m/>
    <n v="0.12870000000000001"/>
    <m/>
    <n v="0.12870000000000001"/>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1-01T00:00:00"/>
    <s v="FY21"/>
    <s v="t"/>
    <n v="0"/>
    <n v="0.19800000000000001"/>
    <n v="0"/>
    <n v="0.19800000000000001"/>
    <n v="0"/>
    <n v="2"/>
    <n v="0"/>
    <n v="2"/>
    <n v="0"/>
    <n v="100"/>
    <n v="0"/>
    <s v="Consolidation"/>
    <s v="CO2e and Base Measure"/>
    <n v="100"/>
    <n v="100"/>
    <n v="0.2"/>
    <m/>
    <m/>
    <m/>
    <m/>
    <m/>
    <n v="0.25740000000000002"/>
    <m/>
    <n v="0.25740000000000002"/>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2-01T00:00:00"/>
    <s v="FY21"/>
    <s v="t"/>
    <n v="0"/>
    <n v="0.19800000000000001"/>
    <n v="0"/>
    <n v="0.19800000000000001"/>
    <n v="0"/>
    <n v="2"/>
    <n v="0"/>
    <n v="2"/>
    <n v="0"/>
    <n v="100"/>
    <n v="0"/>
    <s v="Consolidation"/>
    <s v="CO2e and Base Measure"/>
    <n v="100"/>
    <n v="100"/>
    <n v="0.2"/>
    <m/>
    <m/>
    <m/>
    <m/>
    <m/>
    <n v="0.25740000000000002"/>
    <m/>
    <n v="0.25740000000000002"/>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3-01T00:00:00"/>
    <s v="FY21"/>
    <s v="t"/>
    <n v="7.4"/>
    <n v="0.29699999999999999"/>
    <n v="0"/>
    <n v="7.6970000000000001"/>
    <n v="3"/>
    <n v="3"/>
    <n v="0"/>
    <n v="6"/>
    <n v="96.14"/>
    <n v="3.85"/>
    <n v="0"/>
    <s v="Consolidation"/>
    <s v="CO2e and Base Measure"/>
    <n v="100"/>
    <n v="100"/>
    <n v="7.7"/>
    <m/>
    <m/>
    <m/>
    <m/>
    <m/>
    <n v="10.0061"/>
    <m/>
    <n v="10.0061"/>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4-01T00:00:00"/>
    <s v="FY21"/>
    <s v="t"/>
    <n v="0"/>
    <n v="0"/>
    <n v="2.0489999999999999"/>
    <n v="2.0489999999999999"/>
    <n v="0"/>
    <n v="0"/>
    <n v="30"/>
    <n v="30"/>
    <n v="0"/>
    <n v="0"/>
    <n v="100"/>
    <s v="Consolidation"/>
    <s v="CO2e and Base Measure"/>
    <n v="100"/>
    <n v="100"/>
    <n v="2.0499999999999998"/>
    <m/>
    <m/>
    <m/>
    <m/>
    <m/>
    <n v="2.6637"/>
    <m/>
    <n v="2.6637"/>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5-01T00:00:00"/>
    <s v="FY21"/>
    <s v="t"/>
    <n v="0"/>
    <n v="0"/>
    <n v="2.1173000000000002"/>
    <n v="2.1173000000000002"/>
    <n v="0"/>
    <n v="0"/>
    <n v="31"/>
    <n v="31"/>
    <n v="0"/>
    <n v="0"/>
    <n v="100"/>
    <s v="Consolidation"/>
    <s v="CO2e and Base Measure"/>
    <n v="100"/>
    <n v="100"/>
    <n v="2.12"/>
    <m/>
    <m/>
    <m/>
    <m/>
    <m/>
    <n v="2.7524999999999999"/>
    <m/>
    <n v="2.7524999999999999"/>
    <m/>
    <m/>
    <m/>
    <m/>
    <m/>
    <s v="AUD"/>
    <s v="13634208Waste - General [t] - Scope 3"/>
    <n v="13634208"/>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0-12-01T00:00:00"/>
    <s v="FY21"/>
    <s v="t"/>
    <n v="3.4000000000000002E-2"/>
    <n v="2.75E-2"/>
    <n v="0"/>
    <n v="6.1499999999999999E-2"/>
    <n v="1"/>
    <n v="1"/>
    <n v="0"/>
    <n v="2"/>
    <n v="55.28"/>
    <n v="44.71"/>
    <n v="0"/>
    <s v="Consolidation"/>
    <s v="CO2e and Base Measure"/>
    <n v="100"/>
    <n v="100"/>
    <n v="0.06"/>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1-01T00:00:00"/>
    <s v="FY21"/>
    <s v="t"/>
    <n v="0"/>
    <n v="5.5E-2"/>
    <n v="0"/>
    <n v="5.5E-2"/>
    <n v="0"/>
    <n v="2"/>
    <n v="0"/>
    <n v="2"/>
    <n v="0"/>
    <n v="100"/>
    <n v="0"/>
    <s v="Consolidation"/>
    <s v="CO2e and Base Measure"/>
    <n v="100"/>
    <n v="100"/>
    <n v="0.06"/>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2-01T00:00:00"/>
    <s v="FY21"/>
    <s v="t"/>
    <n v="0"/>
    <n v="2.75E-2"/>
    <n v="0"/>
    <n v="2.75E-2"/>
    <n v="0"/>
    <n v="1"/>
    <n v="0"/>
    <n v="1"/>
    <n v="0"/>
    <n v="100"/>
    <n v="0"/>
    <s v="Consolidation"/>
    <s v="CO2e and Base Measure"/>
    <n v="100"/>
    <n v="100"/>
    <n v="0.03"/>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3-01T00:00:00"/>
    <s v="FY21"/>
    <s v="t"/>
    <n v="0"/>
    <n v="8.2500000000000004E-2"/>
    <n v="0"/>
    <n v="8.2500000000000004E-2"/>
    <n v="0"/>
    <n v="3"/>
    <n v="0"/>
    <n v="3"/>
    <n v="0"/>
    <n v="100"/>
    <n v="0"/>
    <s v="Consolidation"/>
    <s v="CO2e and Base Measure"/>
    <n v="100"/>
    <n v="100"/>
    <n v="0.08"/>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4-01T00:00:00"/>
    <s v="FY21"/>
    <s v="t"/>
    <n v="0"/>
    <n v="0"/>
    <n v="5.7000000000000002E-2"/>
    <n v="5.7000000000000002E-2"/>
    <n v="0"/>
    <n v="0"/>
    <n v="30"/>
    <n v="30"/>
    <n v="0"/>
    <n v="0"/>
    <n v="100"/>
    <s v="Consolidation"/>
    <s v="CO2e and Base Measure"/>
    <n v="100"/>
    <n v="100"/>
    <n v="0.06"/>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5-01T00:00:00"/>
    <s v="FY21"/>
    <s v="t"/>
    <n v="0"/>
    <n v="0"/>
    <n v="5.8900000000000001E-2"/>
    <n v="5.8900000000000001E-2"/>
    <n v="0"/>
    <n v="0"/>
    <n v="31"/>
    <n v="31"/>
    <n v="0"/>
    <n v="0"/>
    <n v="100"/>
    <s v="Consolidation"/>
    <s v="CO2e and Base Measure"/>
    <n v="100"/>
    <n v="100"/>
    <n v="0.06"/>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0-11-01T00:00:00"/>
    <s v="FY21"/>
    <s v="t"/>
    <n v="0"/>
    <n v="0.6"/>
    <n v="0"/>
    <n v="0.6"/>
    <n v="0"/>
    <n v="1"/>
    <n v="0"/>
    <n v="1"/>
    <n v="0"/>
    <n v="100"/>
    <n v="0"/>
    <s v="Consolidation"/>
    <s v="CO2e and Base Measure"/>
    <n v="100"/>
    <n v="100"/>
    <n v="0.6"/>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0-12-01T00:00:00"/>
    <s v="FY21"/>
    <s v="t"/>
    <n v="0"/>
    <n v="0"/>
    <n v="0.64170000000000005"/>
    <n v="0.64170000000000005"/>
    <n v="0"/>
    <n v="0"/>
    <n v="31"/>
    <n v="31"/>
    <n v="0"/>
    <n v="0"/>
    <n v="100"/>
    <s v="Consolidation"/>
    <s v="CO2e and Base Measure"/>
    <n v="100"/>
    <n v="100"/>
    <n v="0.64"/>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1-01T00:00:00"/>
    <s v="FY21"/>
    <s v="t"/>
    <n v="0"/>
    <n v="0"/>
    <n v="0.64170000000000005"/>
    <n v="0.64170000000000005"/>
    <n v="0"/>
    <n v="0"/>
    <n v="31"/>
    <n v="31"/>
    <n v="0"/>
    <n v="0"/>
    <n v="100"/>
    <s v="Consolidation"/>
    <s v="CO2e and Base Measure"/>
    <n v="100"/>
    <n v="100"/>
    <n v="0.64"/>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2-01T00:00:00"/>
    <s v="FY21"/>
    <s v="t"/>
    <n v="0"/>
    <n v="0"/>
    <n v="0.5796"/>
    <n v="0.5796"/>
    <n v="0"/>
    <n v="0"/>
    <n v="28"/>
    <n v="28"/>
    <n v="0"/>
    <n v="0"/>
    <n v="100"/>
    <s v="Consolidation"/>
    <s v="CO2e and Base Measure"/>
    <n v="100"/>
    <n v="100"/>
    <n v="0.57999999999999996"/>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3-01T00:00:00"/>
    <s v="FY21"/>
    <s v="t"/>
    <n v="0"/>
    <n v="0"/>
    <n v="0.64170000000000005"/>
    <n v="0.64170000000000005"/>
    <n v="0"/>
    <n v="0"/>
    <n v="31"/>
    <n v="31"/>
    <n v="0"/>
    <n v="0"/>
    <n v="100"/>
    <s v="Consolidation"/>
    <s v="CO2e and Base Measure"/>
    <n v="100"/>
    <n v="100"/>
    <n v="0.64"/>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4-01T00:00:00"/>
    <s v="FY21"/>
    <s v="t"/>
    <n v="0"/>
    <n v="0"/>
    <n v="0.621"/>
    <n v="0.621"/>
    <n v="0"/>
    <n v="0"/>
    <n v="30"/>
    <n v="30"/>
    <n v="0"/>
    <n v="0"/>
    <n v="100"/>
    <s v="Consolidation"/>
    <s v="CO2e and Base Measure"/>
    <n v="100"/>
    <n v="100"/>
    <n v="0.62"/>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5-01T00:00:00"/>
    <s v="FY21"/>
    <s v="t"/>
    <n v="0"/>
    <n v="0"/>
    <n v="0.64170000000000005"/>
    <n v="0.64170000000000005"/>
    <n v="0"/>
    <n v="0"/>
    <n v="31"/>
    <n v="31"/>
    <n v="0"/>
    <n v="0"/>
    <n v="100"/>
    <s v="Consolidation"/>
    <s v="CO2e and Base Measure"/>
    <n v="100"/>
    <n v="100"/>
    <n v="0.64"/>
    <m/>
    <m/>
    <m/>
    <m/>
    <m/>
    <m/>
    <m/>
    <m/>
    <m/>
    <m/>
    <m/>
    <m/>
    <m/>
    <s v="AUD"/>
    <s v="13634601Waste Recycled - Construction and Demolition [t]"/>
    <n v="13634601"/>
  </r>
  <r>
    <d v="2019-07-01T00:00:00"/>
    <d v="2021-06-30T00:00:00"/>
    <s v="Telstra"/>
    <s v="NETWORK"/>
    <s v="Network - InfraCo"/>
    <s v="NSW"/>
    <s v="Australia"/>
    <s v="Parramatta"/>
    <s v="NORTH PARRAMATTA EXCHANGE"/>
    <n v="423030291500"/>
    <s v="Waste"/>
    <x v="1"/>
    <x v="2"/>
    <s v="Account"/>
    <s v="Remondis General Waste"/>
    <m/>
    <s v="423030291500_WGENERALW"/>
    <s v="GENERAL WASTE"/>
    <s v="Remondis"/>
    <m/>
    <m/>
    <d v="2021-01-01T00:00:00"/>
    <d v="2020-11-01T00:00:00"/>
    <s v="FY21"/>
    <s v="t"/>
    <n v="2.82"/>
    <n v="0"/>
    <n v="0"/>
    <n v="2.82"/>
    <n v="3"/>
    <n v="0"/>
    <n v="0"/>
    <n v="3"/>
    <n v="100"/>
    <n v="0"/>
    <n v="0"/>
    <s v="Consolidation"/>
    <s v="CO2e and Base Measure"/>
    <n v="100"/>
    <n v="100"/>
    <n v="2.82"/>
    <m/>
    <m/>
    <m/>
    <m/>
    <m/>
    <n v="3.6659999999999999"/>
    <m/>
    <n v="3.6659999999999999"/>
    <m/>
    <m/>
    <m/>
    <m/>
    <m/>
    <s v="AUD"/>
    <s v="13586288Waste - General [t] - Scope 3"/>
    <n v="13586288"/>
  </r>
  <r>
    <d v="2019-07-01T00:00:00"/>
    <d v="2021-06-30T00:00:00"/>
    <s v="Telstra"/>
    <s v="NETWORK"/>
    <s v="Network - InfraCo"/>
    <s v="NSW"/>
    <s v="Australia"/>
    <s v="Parramatta"/>
    <s v="NORTH PARRAMATTA EXCHANGE"/>
    <n v="423030291500"/>
    <s v="Waste"/>
    <x v="1"/>
    <x v="2"/>
    <s v="Account"/>
    <s v="Remondis General Waste"/>
    <m/>
    <s v="423030291500_WGENERALW"/>
    <s v="GENERAL WASTE"/>
    <s v="Remondis"/>
    <m/>
    <m/>
    <d v="2021-01-01T00:00:00"/>
    <d v="2020-12-01T00:00:00"/>
    <s v="FY21"/>
    <s v="t"/>
    <n v="1"/>
    <n v="0"/>
    <n v="0"/>
    <n v="1"/>
    <n v="1"/>
    <n v="0"/>
    <n v="0"/>
    <n v="1"/>
    <n v="100"/>
    <n v="0"/>
    <n v="0"/>
    <s v="Consolidation"/>
    <s v="CO2e and Base Measure"/>
    <n v="100"/>
    <n v="100"/>
    <n v="1"/>
    <m/>
    <m/>
    <m/>
    <m/>
    <m/>
    <n v="1.3"/>
    <m/>
    <n v="1.3"/>
    <m/>
    <m/>
    <m/>
    <m/>
    <m/>
    <s v="AUD"/>
    <s v="13586288Waste - General [t] - Scope 3"/>
    <n v="13586288"/>
  </r>
  <r>
    <d v="2019-07-01T00:00:00"/>
    <d v="2021-06-30T00:00:00"/>
    <s v="Telstra"/>
    <s v="NETWORK"/>
    <s v="Network - InfraCo"/>
    <s v="NSW"/>
    <s v="Australia"/>
    <s v="Parramatta"/>
    <s v="NORTH PARRAMATTA EXCHANGE"/>
    <n v="423030291500"/>
    <s v="Waste"/>
    <x v="1"/>
    <x v="2"/>
    <s v="Account"/>
    <s v="Remondis General Waste"/>
    <m/>
    <s v="423030291500_WGENERALW"/>
    <s v="GENERAL WASTE"/>
    <s v="Remondis"/>
    <m/>
    <m/>
    <d v="2021-01-01T00:00:00"/>
    <d v="2021-01-01T00:00:00"/>
    <s v="FY21"/>
    <s v="t"/>
    <n v="0"/>
    <n v="0"/>
    <n v="6.3700000000000007E-2"/>
    <n v="6.3700000000000007E-2"/>
    <n v="0"/>
    <n v="0"/>
    <n v="1"/>
    <n v="1"/>
    <n v="0"/>
    <n v="0"/>
    <n v="100"/>
    <s v="Consolidation"/>
    <s v="CO2e and Base Measure"/>
    <n v="100"/>
    <n v="100"/>
    <n v="0.06"/>
    <m/>
    <m/>
    <m/>
    <m/>
    <m/>
    <n v="8.2799999999999999E-2"/>
    <m/>
    <n v="8.2799999999999999E-2"/>
    <m/>
    <m/>
    <m/>
    <m/>
    <m/>
    <s v="AUD"/>
    <s v="13586288Waste - General [t] - Scope 3"/>
    <n v="13586288"/>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07-01T00:00:00"/>
    <s v="FY21"/>
    <s v="t"/>
    <n v="2.0139999999999998"/>
    <n v="0.14430000000000001"/>
    <n v="0"/>
    <n v="2.1583000000000001"/>
    <n v="3"/>
    <n v="1"/>
    <n v="0"/>
    <n v="4"/>
    <n v="93.31"/>
    <n v="6.68"/>
    <n v="0"/>
    <s v="Consolidation"/>
    <s v="CO2e and Base Measure"/>
    <n v="100"/>
    <n v="100"/>
    <n v="2.16"/>
    <m/>
    <m/>
    <m/>
    <m/>
    <m/>
    <n v="2.8058000000000001"/>
    <m/>
    <n v="2.8058000000000001"/>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08-01T00:00:00"/>
    <s v="FY21"/>
    <s v="t"/>
    <n v="0.96799999999999997"/>
    <n v="0"/>
    <n v="0"/>
    <n v="0.96799999999999997"/>
    <n v="5"/>
    <n v="0"/>
    <n v="0"/>
    <n v="5"/>
    <n v="100"/>
    <n v="0"/>
    <n v="0"/>
    <s v="Consolidation"/>
    <s v="CO2e and Base Measure"/>
    <n v="100"/>
    <n v="100"/>
    <n v="0.97"/>
    <m/>
    <m/>
    <m/>
    <m/>
    <m/>
    <n v="1.2584"/>
    <m/>
    <n v="1.2584"/>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09-01T00:00:00"/>
    <s v="FY21"/>
    <s v="t"/>
    <n v="1.976"/>
    <n v="0"/>
    <n v="0"/>
    <n v="1.976"/>
    <n v="8"/>
    <n v="0"/>
    <n v="0"/>
    <n v="8"/>
    <n v="100"/>
    <n v="0"/>
    <n v="0"/>
    <s v="Consolidation"/>
    <s v="CO2e and Base Measure"/>
    <n v="100"/>
    <n v="100"/>
    <n v="1.98"/>
    <m/>
    <m/>
    <m/>
    <m/>
    <m/>
    <n v="2.5688"/>
    <m/>
    <n v="2.5688"/>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10-01T00:00:00"/>
    <s v="FY21"/>
    <s v="t"/>
    <n v="0.52400000000000002"/>
    <n v="0"/>
    <n v="0"/>
    <n v="0.52400000000000002"/>
    <n v="5"/>
    <n v="0"/>
    <n v="0"/>
    <n v="5"/>
    <n v="100"/>
    <n v="0"/>
    <n v="0"/>
    <s v="Consolidation"/>
    <s v="CO2e and Base Measure"/>
    <n v="100"/>
    <n v="100"/>
    <n v="0.52"/>
    <m/>
    <m/>
    <m/>
    <m/>
    <m/>
    <n v="0.68120000000000003"/>
    <m/>
    <n v="0.68120000000000003"/>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11-01T00:00:00"/>
    <s v="FY21"/>
    <s v="t"/>
    <n v="1.5049999999999999"/>
    <n v="0"/>
    <n v="0"/>
    <n v="1.5049999999999999"/>
    <n v="6"/>
    <n v="0"/>
    <n v="0"/>
    <n v="6"/>
    <n v="100"/>
    <n v="0"/>
    <n v="0"/>
    <s v="Consolidation"/>
    <s v="CO2e and Base Measure"/>
    <n v="100"/>
    <n v="100"/>
    <n v="1.51"/>
    <m/>
    <m/>
    <m/>
    <m/>
    <m/>
    <n v="1.9564999999999999"/>
    <m/>
    <n v="1.9564999999999999"/>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12-01T00:00:00"/>
    <s v="FY21"/>
    <s v="t"/>
    <n v="1"/>
    <n v="0.28860000000000002"/>
    <n v="0"/>
    <n v="1.2886"/>
    <n v="1"/>
    <n v="1"/>
    <n v="0"/>
    <n v="2"/>
    <n v="77.599999999999994"/>
    <n v="22.39"/>
    <n v="0"/>
    <s v="Consolidation"/>
    <s v="CO2e and Base Measure"/>
    <n v="100"/>
    <n v="100"/>
    <n v="1.29"/>
    <m/>
    <m/>
    <m/>
    <m/>
    <m/>
    <n v="1.6752"/>
    <m/>
    <n v="1.6752"/>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1-01-01T00:00:00"/>
    <s v="FY21"/>
    <s v="t"/>
    <n v="0"/>
    <n v="0"/>
    <n v="5.0999999999999997E-2"/>
    <n v="5.0999999999999997E-2"/>
    <n v="0"/>
    <n v="0"/>
    <n v="1"/>
    <n v="1"/>
    <n v="0"/>
    <n v="0"/>
    <n v="100"/>
    <s v="Consolidation"/>
    <s v="CO2e and Base Measure"/>
    <n v="100"/>
    <n v="100"/>
    <n v="0.05"/>
    <m/>
    <m/>
    <m/>
    <m/>
    <m/>
    <n v="6.6299999999999998E-2"/>
    <m/>
    <n v="6.6299999999999998E-2"/>
    <m/>
    <m/>
    <m/>
    <m/>
    <m/>
    <s v="AUD"/>
    <s v="13564382Waste - General [t] - Scope 3"/>
    <n v="13564382"/>
  </r>
  <r>
    <d v="2019-07-01T00:00:00"/>
    <d v="2021-06-30T00:00:00"/>
    <s v="Telstra"/>
    <s v="NETWORK"/>
    <s v="Network - InfraCo"/>
    <s v="NSW"/>
    <s v="Australia"/>
    <s v="North Sydney"/>
    <s v="NORTH SYDNEY EXCHANGE"/>
    <n v="423030288100"/>
    <s v="Waste"/>
    <x v="1"/>
    <x v="4"/>
    <s v="Account"/>
    <s v="Remondis Asbestos"/>
    <m/>
    <s v="423030288100_WASBESTOS"/>
    <m/>
    <s v="Remondis"/>
    <m/>
    <d v="2020-08-13T00:00:00"/>
    <d v="2020-09-01T00:00:00"/>
    <d v="2020-08-01T00:00:00"/>
    <s v="FY21"/>
    <s v="t"/>
    <n v="0"/>
    <n v="0.12"/>
    <n v="0"/>
    <n v="0.12"/>
    <n v="0"/>
    <n v="1"/>
    <n v="0"/>
    <n v="1"/>
    <n v="0"/>
    <n v="100"/>
    <n v="0"/>
    <s v="Consolidation"/>
    <s v="CO2e and Base Measure"/>
    <n v="100"/>
    <n v="100"/>
    <n v="0.12"/>
    <m/>
    <m/>
    <m/>
    <m/>
    <m/>
    <n v="0.14399999999999999"/>
    <m/>
    <n v="0.14399999999999999"/>
    <m/>
    <m/>
    <m/>
    <m/>
    <m/>
    <s v="AUD"/>
    <s v="13629320Waste - Construction and Demolition [t]"/>
    <n v="13629320"/>
  </r>
  <r>
    <d v="2019-07-01T00:00:00"/>
    <d v="2021-06-30T00:00:00"/>
    <s v="Telstra"/>
    <s v="NETWORK"/>
    <s v="Network - InfraCo"/>
    <s v="NSW"/>
    <s v="Australia"/>
    <s v="North Sydney"/>
    <s v="NORTH SYDNEY EXCHANGE"/>
    <n v="423030288100"/>
    <s v="Waste"/>
    <x v="1"/>
    <x v="4"/>
    <s v="Account"/>
    <s v="Remondis Asbestos"/>
    <m/>
    <s v="423030288100_WASBESTOS"/>
    <m/>
    <s v="Remondis"/>
    <m/>
    <d v="2020-08-13T00:00:00"/>
    <d v="2020-09-01T00:00:00"/>
    <d v="2020-09-01T00:00:00"/>
    <s v="FY21"/>
    <s v="t"/>
    <n v="0"/>
    <n v="0"/>
    <n v="4.0000000000000001E-3"/>
    <n v="4.0000000000000001E-3"/>
    <n v="0"/>
    <n v="0"/>
    <n v="1"/>
    <n v="1"/>
    <n v="0"/>
    <n v="0"/>
    <n v="100"/>
    <s v="Consolidation"/>
    <s v="CO2e and Base Measure"/>
    <n v="100"/>
    <n v="100"/>
    <n v="0"/>
    <m/>
    <m/>
    <m/>
    <m/>
    <m/>
    <n v="4.7999999999999996E-3"/>
    <m/>
    <n v="4.7999999999999996E-3"/>
    <m/>
    <m/>
    <m/>
    <m/>
    <m/>
    <s v="AUD"/>
    <s v="13629320Waste - Construction and Demolition [t]"/>
    <n v="13629320"/>
  </r>
  <r>
    <d v="2019-07-01T00:00:00"/>
    <d v="2021-06-30T00:00:00"/>
    <s v="Telstra"/>
    <s v="NETWORK"/>
    <s v="Network - InfraCo"/>
    <s v="NSW"/>
    <s v="Australia"/>
    <s v="North Sydney"/>
    <s v="NORTH SYDNEY EXCHANGE"/>
    <n v="423030288100"/>
    <s v="Recycled Waste"/>
    <x v="0"/>
    <x v="5"/>
    <s v="Account"/>
    <s v="Remondis Metal - Mixed All"/>
    <m/>
    <s v="423030288100_RMETMIXED"/>
    <s v="METAL - MIXED ALL"/>
    <s v="Remondis"/>
    <m/>
    <d v="2020-08-27T00:00:00"/>
    <d v="2020-09-01T00:00:00"/>
    <d v="2020-08-01T00:00:00"/>
    <s v="FY21"/>
    <s v="t"/>
    <n v="1.24"/>
    <n v="0"/>
    <n v="0"/>
    <n v="1.24"/>
    <n v="1"/>
    <n v="0"/>
    <n v="0"/>
    <n v="1"/>
    <n v="100"/>
    <n v="0"/>
    <n v="0"/>
    <s v="Consolidation"/>
    <s v="CO2e and Base Measure"/>
    <n v="100"/>
    <n v="100"/>
    <n v="1.24"/>
    <m/>
    <m/>
    <m/>
    <m/>
    <m/>
    <m/>
    <m/>
    <m/>
    <m/>
    <m/>
    <m/>
    <m/>
    <m/>
    <s v="AUD"/>
    <s v="13631694Waste Recycled - Construction and Demolition [t]"/>
    <n v="13631694"/>
  </r>
  <r>
    <d v="2019-07-01T00:00:00"/>
    <d v="2021-06-30T00:00:00"/>
    <s v="Telstra"/>
    <s v="NETWORK"/>
    <s v="Network - InfraCo"/>
    <s v="NSW"/>
    <s v="Australia"/>
    <s v="North Sydney"/>
    <s v="NORTH SYDNEY EXCHANGE"/>
    <n v="423030288100"/>
    <s v="Recycled Waste"/>
    <x v="0"/>
    <x v="5"/>
    <s v="Account"/>
    <s v="Remondis Metal - Mixed All"/>
    <m/>
    <s v="423030288100_RMETMIXED"/>
    <s v="METAL - MIXED ALL"/>
    <s v="Remondis"/>
    <m/>
    <d v="2020-08-27T00:00:00"/>
    <d v="2020-09-01T00:00:00"/>
    <d v="2020-09-01T00:00:00"/>
    <s v="FY21"/>
    <s v="t"/>
    <n v="0"/>
    <n v="0"/>
    <n v="4.1300000000000003E-2"/>
    <n v="4.1300000000000003E-2"/>
    <n v="0"/>
    <n v="0"/>
    <n v="1"/>
    <n v="1"/>
    <n v="0"/>
    <n v="0"/>
    <n v="100"/>
    <s v="Consolidation"/>
    <s v="CO2e and Base Measure"/>
    <n v="100"/>
    <n v="100"/>
    <n v="0.04"/>
    <m/>
    <m/>
    <m/>
    <m/>
    <m/>
    <m/>
    <m/>
    <m/>
    <m/>
    <m/>
    <m/>
    <m/>
    <m/>
    <s v="AUD"/>
    <s v="13631694Waste Recycled - Construction and Demolition [t]"/>
    <n v="13631694"/>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0-12-01T00:00:00"/>
    <s v="FY21"/>
    <s v="t"/>
    <n v="0.23799999999999999"/>
    <n v="0"/>
    <n v="0"/>
    <n v="0.23799999999999999"/>
    <n v="1"/>
    <n v="0"/>
    <n v="0"/>
    <n v="1"/>
    <n v="100"/>
    <n v="0"/>
    <n v="0"/>
    <s v="Consolidation"/>
    <s v="CO2e and Base Measure"/>
    <n v="100"/>
    <n v="100"/>
    <n v="0.24"/>
    <m/>
    <m/>
    <m/>
    <m/>
    <m/>
    <n v="0.30940000000000001"/>
    <m/>
    <n v="0.30940000000000001"/>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1-01T00:00:00"/>
    <s v="FY21"/>
    <s v="t"/>
    <n v="0.12"/>
    <n v="0"/>
    <n v="0"/>
    <n v="0.12"/>
    <n v="1"/>
    <n v="0"/>
    <n v="0"/>
    <n v="1"/>
    <n v="100"/>
    <n v="0"/>
    <n v="0"/>
    <s v="Consolidation"/>
    <s v="CO2e and Base Measure"/>
    <n v="100"/>
    <n v="100"/>
    <n v="0.12"/>
    <m/>
    <m/>
    <m/>
    <m/>
    <m/>
    <n v="0.156"/>
    <m/>
    <n v="0.156"/>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2-01T00:00:00"/>
    <s v="FY21"/>
    <s v="t"/>
    <n v="0.184"/>
    <n v="0"/>
    <n v="0"/>
    <n v="0.184"/>
    <n v="2"/>
    <n v="0"/>
    <n v="0"/>
    <n v="2"/>
    <n v="100"/>
    <n v="0"/>
    <n v="0"/>
    <s v="Consolidation"/>
    <s v="CO2e and Base Measure"/>
    <n v="100"/>
    <n v="100"/>
    <n v="0.18"/>
    <m/>
    <m/>
    <m/>
    <m/>
    <m/>
    <n v="0.2392"/>
    <m/>
    <n v="0.2392"/>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3-01T00:00:00"/>
    <s v="FY21"/>
    <s v="t"/>
    <n v="0.53600000000000003"/>
    <n v="0"/>
    <n v="0"/>
    <n v="0.53600000000000003"/>
    <n v="5"/>
    <n v="0"/>
    <n v="0"/>
    <n v="5"/>
    <n v="100"/>
    <n v="0"/>
    <n v="0"/>
    <s v="Consolidation"/>
    <s v="CO2e and Base Measure"/>
    <n v="100"/>
    <n v="100"/>
    <n v="0.54"/>
    <m/>
    <m/>
    <m/>
    <m/>
    <m/>
    <n v="0.69679999999999997"/>
    <m/>
    <n v="0.69679999999999997"/>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4-01T00:00:00"/>
    <s v="FY21"/>
    <s v="t"/>
    <n v="0"/>
    <n v="0"/>
    <n v="0.27"/>
    <n v="0.27"/>
    <n v="0"/>
    <n v="0"/>
    <n v="30"/>
    <n v="30"/>
    <n v="0"/>
    <n v="0"/>
    <n v="100"/>
    <s v="Consolidation"/>
    <s v="CO2e and Base Measure"/>
    <n v="100"/>
    <n v="100"/>
    <n v="0.27"/>
    <m/>
    <m/>
    <m/>
    <m/>
    <m/>
    <n v="0.35099999999999998"/>
    <m/>
    <n v="0.35099999999999998"/>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5-01T00:00:00"/>
    <s v="FY21"/>
    <s v="t"/>
    <n v="0"/>
    <n v="0"/>
    <n v="0.27900000000000003"/>
    <n v="0.27900000000000003"/>
    <n v="0"/>
    <n v="0"/>
    <n v="31"/>
    <n v="31"/>
    <n v="0"/>
    <n v="0"/>
    <n v="100"/>
    <s v="Consolidation"/>
    <s v="CO2e and Base Measure"/>
    <n v="100"/>
    <n v="100"/>
    <n v="0.28000000000000003"/>
    <m/>
    <m/>
    <m/>
    <m/>
    <m/>
    <n v="0.36270000000000002"/>
    <m/>
    <n v="0.36270000000000002"/>
    <m/>
    <m/>
    <m/>
    <m/>
    <m/>
    <s v="AUD"/>
    <s v="13634212Waste - General [t] - Scope 3"/>
    <n v="13634212"/>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1-01T00:00:00"/>
    <s v="FY21"/>
    <s v="t"/>
    <n v="3.5000000000000003E-2"/>
    <n v="0"/>
    <n v="0"/>
    <n v="3.5000000000000003E-2"/>
    <n v="1"/>
    <n v="0"/>
    <n v="0"/>
    <n v="1"/>
    <n v="100"/>
    <n v="0"/>
    <n v="0"/>
    <s v="Consolidation"/>
    <s v="CO2e and Base Measure"/>
    <n v="100"/>
    <n v="100"/>
    <n v="0.04"/>
    <m/>
    <m/>
    <m/>
    <m/>
    <m/>
    <m/>
    <m/>
    <m/>
    <m/>
    <m/>
    <m/>
    <m/>
    <m/>
    <s v="AUD"/>
    <s v="13634457Waste Recycled - Paper and Cardboard [t]"/>
    <n v="13634457"/>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2-01T00:00:00"/>
    <s v="FY21"/>
    <s v="t"/>
    <n v="1.4999999999999999E-2"/>
    <n v="8.2500000000000004E-2"/>
    <n v="0"/>
    <n v="9.7500000000000003E-2"/>
    <n v="1"/>
    <n v="3"/>
    <n v="0"/>
    <n v="4"/>
    <n v="15.38"/>
    <n v="84.61"/>
    <n v="0"/>
    <s v="Consolidation"/>
    <s v="CO2e and Base Measure"/>
    <n v="100"/>
    <n v="100"/>
    <n v="0.1"/>
    <m/>
    <m/>
    <m/>
    <m/>
    <m/>
    <m/>
    <m/>
    <m/>
    <m/>
    <m/>
    <m/>
    <m/>
    <m/>
    <s v="AUD"/>
    <s v="13634457Waste Recycled - Paper and Cardboard [t]"/>
    <n v="13634457"/>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3-01T00:00:00"/>
    <s v="FY21"/>
    <s v="t"/>
    <n v="0.04"/>
    <n v="2.75E-2"/>
    <n v="0"/>
    <n v="6.7500000000000004E-2"/>
    <n v="2"/>
    <n v="1"/>
    <n v="0"/>
    <n v="3"/>
    <n v="59.25"/>
    <n v="40.74"/>
    <n v="0"/>
    <s v="Consolidation"/>
    <s v="CO2e and Base Measure"/>
    <n v="100"/>
    <n v="100"/>
    <n v="7.0000000000000007E-2"/>
    <m/>
    <m/>
    <m/>
    <m/>
    <m/>
    <m/>
    <m/>
    <m/>
    <m/>
    <m/>
    <m/>
    <m/>
    <m/>
    <s v="AUD"/>
    <s v="13634457Waste Recycled - Paper and Cardboard [t]"/>
    <n v="13634457"/>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4-01T00:00:00"/>
    <s v="FY21"/>
    <s v="t"/>
    <n v="0"/>
    <n v="0"/>
    <n v="6.6000000000000003E-2"/>
    <n v="6.6000000000000003E-2"/>
    <n v="0"/>
    <n v="0"/>
    <n v="30"/>
    <n v="30"/>
    <n v="0"/>
    <n v="0"/>
    <n v="100"/>
    <s v="Consolidation"/>
    <s v="CO2e and Base Measure"/>
    <n v="100"/>
    <n v="100"/>
    <n v="7.0000000000000007E-2"/>
    <m/>
    <m/>
    <m/>
    <m/>
    <m/>
    <m/>
    <m/>
    <m/>
    <m/>
    <m/>
    <m/>
    <m/>
    <m/>
    <s v="AUD"/>
    <s v="13634457Waste Recycled - Paper and Cardboard [t]"/>
    <n v="13634457"/>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5-01T00:00:00"/>
    <s v="FY21"/>
    <s v="t"/>
    <n v="0"/>
    <n v="0"/>
    <n v="6.8199999999999997E-2"/>
    <n v="6.8199999999999997E-2"/>
    <n v="0"/>
    <n v="0"/>
    <n v="31"/>
    <n v="31"/>
    <n v="0"/>
    <n v="0"/>
    <n v="100"/>
    <s v="Consolidation"/>
    <s v="CO2e and Base Measure"/>
    <n v="100"/>
    <n v="100"/>
    <n v="7.0000000000000007E-2"/>
    <m/>
    <m/>
    <m/>
    <m/>
    <m/>
    <m/>
    <m/>
    <m/>
    <m/>
    <m/>
    <m/>
    <m/>
    <m/>
    <s v="AUD"/>
    <s v="13634457Waste Recycled - Paper and Cardboard [t]"/>
    <n v="13634457"/>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5355Waste - General [t] - Scope 3"/>
    <n v="13565355"/>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0-11-01T00:00:00"/>
    <s v="FY21"/>
    <s v="t"/>
    <n v="0"/>
    <n v="2.5"/>
    <n v="0"/>
    <n v="2.5"/>
    <n v="0"/>
    <n v="1"/>
    <n v="0"/>
    <n v="1"/>
    <n v="0"/>
    <n v="100"/>
    <n v="0"/>
    <s v="Consolidation"/>
    <s v="CO2e and Base Measure"/>
    <n v="100"/>
    <n v="100"/>
    <n v="2.5"/>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0-12-01T00:00:00"/>
    <s v="FY21"/>
    <s v="t"/>
    <n v="0"/>
    <n v="0"/>
    <n v="2.6722000000000001"/>
    <n v="2.6722000000000001"/>
    <n v="0"/>
    <n v="0"/>
    <n v="31"/>
    <n v="31"/>
    <n v="0"/>
    <n v="0"/>
    <n v="100"/>
    <s v="Consolidation"/>
    <s v="CO2e and Base Measure"/>
    <n v="100"/>
    <n v="100"/>
    <n v="2.67"/>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1-01T00:00:00"/>
    <s v="FY21"/>
    <s v="t"/>
    <n v="0"/>
    <n v="0"/>
    <n v="2.6722000000000001"/>
    <n v="2.6722000000000001"/>
    <n v="0"/>
    <n v="0"/>
    <n v="31"/>
    <n v="31"/>
    <n v="0"/>
    <n v="0"/>
    <n v="100"/>
    <s v="Consolidation"/>
    <s v="CO2e and Base Measure"/>
    <n v="100"/>
    <n v="100"/>
    <n v="2.67"/>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2-01T00:00:00"/>
    <s v="FY21"/>
    <s v="t"/>
    <n v="0"/>
    <n v="0"/>
    <n v="2.4136000000000002"/>
    <n v="2.4136000000000002"/>
    <n v="0"/>
    <n v="0"/>
    <n v="28"/>
    <n v="28"/>
    <n v="0"/>
    <n v="0"/>
    <n v="100"/>
    <s v="Consolidation"/>
    <s v="CO2e and Base Measure"/>
    <n v="100"/>
    <n v="100"/>
    <n v="2.41"/>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3-01T00:00:00"/>
    <s v="FY21"/>
    <s v="t"/>
    <n v="0"/>
    <n v="0"/>
    <n v="2.6722000000000001"/>
    <n v="2.6722000000000001"/>
    <n v="0"/>
    <n v="0"/>
    <n v="31"/>
    <n v="31"/>
    <n v="0"/>
    <n v="0"/>
    <n v="100"/>
    <s v="Consolidation"/>
    <s v="CO2e and Base Measure"/>
    <n v="100"/>
    <n v="100"/>
    <n v="2.67"/>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4-01T00:00:00"/>
    <s v="FY21"/>
    <s v="t"/>
    <n v="0"/>
    <n v="0"/>
    <n v="2.5859999999999999"/>
    <n v="2.5859999999999999"/>
    <n v="0"/>
    <n v="0"/>
    <n v="30"/>
    <n v="30"/>
    <n v="0"/>
    <n v="0"/>
    <n v="100"/>
    <s v="Consolidation"/>
    <s v="CO2e and Base Measure"/>
    <n v="100"/>
    <n v="100"/>
    <n v="2.59"/>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5-01T00:00:00"/>
    <s v="FY21"/>
    <s v="t"/>
    <n v="0"/>
    <n v="0"/>
    <n v="2.6722000000000001"/>
    <n v="2.6722000000000001"/>
    <n v="0"/>
    <n v="0"/>
    <n v="31"/>
    <n v="31"/>
    <n v="0"/>
    <n v="0"/>
    <n v="100"/>
    <s v="Consolidation"/>
    <s v="CO2e and Base Measure"/>
    <n v="100"/>
    <n v="100"/>
    <n v="2.67"/>
    <m/>
    <m/>
    <m/>
    <m/>
    <m/>
    <m/>
    <m/>
    <m/>
    <m/>
    <m/>
    <m/>
    <m/>
    <m/>
    <s v="AUD"/>
    <s v="13632356Waste Recycled - Construction and Demolition [t]"/>
    <n v="13632356"/>
  </r>
  <r>
    <d v="2019-07-01T00:00:00"/>
    <d v="2021-06-30T00:00:00"/>
    <s v="Telstra"/>
    <s v="NETWORK"/>
    <s v="Network - InfraCo"/>
    <s v="WA"/>
    <s v="Australia"/>
    <s v="Northam"/>
    <s v="NORTHAM EXCHANGE REGEN"/>
    <n v="423030841400"/>
    <s v="Waste"/>
    <x v="1"/>
    <x v="2"/>
    <s v="Account"/>
    <s v="CLEANAWAY General"/>
    <m/>
    <s v="12904_Landfill_General"/>
    <s v="General"/>
    <s v="Cleanaway"/>
    <m/>
    <m/>
    <m/>
    <d v="2021-03-01T00:00:00"/>
    <s v="FY21"/>
    <s v="t"/>
    <n v="0.64"/>
    <n v="0"/>
    <n v="0"/>
    <n v="0.64"/>
    <n v="1"/>
    <n v="0"/>
    <n v="0"/>
    <n v="1"/>
    <n v="100"/>
    <n v="0"/>
    <n v="0"/>
    <s v="Consolidation"/>
    <s v="CO2e and Base Measure"/>
    <n v="100"/>
    <n v="100"/>
    <n v="0.64"/>
    <m/>
    <m/>
    <m/>
    <m/>
    <m/>
    <n v="0.83199999999999996"/>
    <m/>
    <n v="0.83199999999999996"/>
    <m/>
    <m/>
    <m/>
    <m/>
    <m/>
    <s v="AUD"/>
    <s v="13641241Waste - General [t] - Scope 3"/>
    <n v="13641241"/>
  </r>
  <r>
    <d v="2019-07-01T00:00:00"/>
    <d v="2021-06-30T00:00:00"/>
    <s v="Telstra"/>
    <s v="NETWORK"/>
    <s v="Network - InfraCo"/>
    <s v="WA"/>
    <s v="Australia"/>
    <s v="Northam"/>
    <s v="NORTHAM EXCHANGE REGEN"/>
    <n v="423030841400"/>
    <s v="Waste"/>
    <x v="1"/>
    <x v="2"/>
    <s v="Account"/>
    <s v="CLEANAWAY General"/>
    <m/>
    <s v="12904_Landfill_General"/>
    <s v="General"/>
    <s v="Cleanaway"/>
    <m/>
    <m/>
    <m/>
    <d v="2021-04-01T00:00:00"/>
    <s v="FY21"/>
    <s v="t"/>
    <n v="0"/>
    <n v="0"/>
    <n v="0.63900000000000001"/>
    <n v="0.63900000000000001"/>
    <n v="0"/>
    <n v="0"/>
    <n v="30"/>
    <n v="30"/>
    <n v="0"/>
    <n v="0"/>
    <n v="100"/>
    <s v="Consolidation"/>
    <s v="CO2e and Base Measure"/>
    <n v="100"/>
    <n v="100"/>
    <n v="0.64"/>
    <m/>
    <m/>
    <m/>
    <m/>
    <m/>
    <n v="0.83069999999999999"/>
    <m/>
    <n v="0.83069999999999999"/>
    <m/>
    <m/>
    <m/>
    <m/>
    <m/>
    <s v="AUD"/>
    <s v="13641241Waste - General [t] - Scope 3"/>
    <n v="13641241"/>
  </r>
  <r>
    <d v="2019-07-01T00:00:00"/>
    <d v="2021-06-30T00:00:00"/>
    <s v="Telstra"/>
    <s v="NETWORK"/>
    <s v="Network - InfraCo"/>
    <s v="WA"/>
    <s v="Australia"/>
    <s v="Northam"/>
    <s v="NORTHAM EXCHANGE REGEN"/>
    <n v="423030841400"/>
    <s v="Waste"/>
    <x v="1"/>
    <x v="2"/>
    <s v="Account"/>
    <s v="CLEANAWAY General"/>
    <m/>
    <s v="12904_Landfill_General"/>
    <s v="General"/>
    <s v="Cleanaway"/>
    <m/>
    <m/>
    <m/>
    <d v="2021-05-01T00:00:00"/>
    <s v="FY21"/>
    <s v="t"/>
    <n v="0"/>
    <n v="0"/>
    <n v="0.6603"/>
    <n v="0.6603"/>
    <n v="0"/>
    <n v="0"/>
    <n v="31"/>
    <n v="31"/>
    <n v="0"/>
    <n v="0"/>
    <n v="100"/>
    <s v="Consolidation"/>
    <s v="CO2e and Base Measure"/>
    <n v="100"/>
    <n v="100"/>
    <n v="0.66"/>
    <m/>
    <m/>
    <m/>
    <m/>
    <m/>
    <n v="0.85840000000000005"/>
    <m/>
    <n v="0.85840000000000005"/>
    <m/>
    <m/>
    <m/>
    <m/>
    <m/>
    <s v="AUD"/>
    <s v="13641241Waste - General [t] - Scope 3"/>
    <n v="13641241"/>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07-01T00:00:00"/>
    <s v="FY21"/>
    <s v="t"/>
    <n v="0"/>
    <n v="0.11650000000000001"/>
    <n v="0"/>
    <n v="0.11650000000000001"/>
    <n v="0"/>
    <n v="5"/>
    <n v="0"/>
    <n v="5"/>
    <n v="0"/>
    <n v="100"/>
    <n v="0"/>
    <s v="Consolidation"/>
    <s v="CO2e and Base Measure"/>
    <n v="100"/>
    <n v="100"/>
    <n v="0.12"/>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08-01T00:00:00"/>
    <s v="FY21"/>
    <s v="t"/>
    <n v="0"/>
    <n v="9.3200000000000005E-2"/>
    <n v="0"/>
    <n v="9.3200000000000005E-2"/>
    <n v="0"/>
    <n v="4"/>
    <n v="0"/>
    <n v="4"/>
    <n v="0"/>
    <n v="100"/>
    <n v="0"/>
    <s v="Consolidation"/>
    <s v="CO2e and Base Measure"/>
    <n v="100"/>
    <n v="100"/>
    <n v="0.09"/>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09-01T00:00:00"/>
    <s v="FY21"/>
    <s v="t"/>
    <n v="0"/>
    <n v="9.3200000000000005E-2"/>
    <n v="0"/>
    <n v="9.3200000000000005E-2"/>
    <n v="0"/>
    <n v="4"/>
    <n v="0"/>
    <n v="4"/>
    <n v="0"/>
    <n v="100"/>
    <n v="0"/>
    <s v="Consolidation"/>
    <s v="CO2e and Base Measure"/>
    <n v="100"/>
    <n v="100"/>
    <n v="0.09"/>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10-01T00:00:00"/>
    <s v="FY21"/>
    <s v="t"/>
    <n v="0"/>
    <n v="0.11650000000000001"/>
    <n v="0"/>
    <n v="0.11650000000000001"/>
    <n v="0"/>
    <n v="5"/>
    <n v="0"/>
    <n v="5"/>
    <n v="0"/>
    <n v="100"/>
    <n v="0"/>
    <s v="Consolidation"/>
    <s v="CO2e and Base Measure"/>
    <n v="100"/>
    <n v="100"/>
    <n v="0.12"/>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11-01T00:00:00"/>
    <s v="FY21"/>
    <s v="t"/>
    <n v="0"/>
    <n v="9.3200000000000005E-2"/>
    <n v="0"/>
    <n v="9.3200000000000005E-2"/>
    <n v="0"/>
    <n v="4"/>
    <n v="0"/>
    <n v="4"/>
    <n v="0"/>
    <n v="100"/>
    <n v="0"/>
    <s v="Consolidation"/>
    <s v="CO2e and Base Measure"/>
    <n v="100"/>
    <n v="100"/>
    <n v="0.09"/>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12-01T00:00:00"/>
    <s v="FY21"/>
    <s v="t"/>
    <n v="0"/>
    <n v="0"/>
    <n v="3.3E-3"/>
    <n v="3.3E-3"/>
    <n v="0"/>
    <n v="0"/>
    <n v="1"/>
    <n v="1"/>
    <n v="0"/>
    <n v="0"/>
    <n v="100"/>
    <s v="Consolidation"/>
    <s v="CO2e and Base Measure"/>
    <n v="100"/>
    <n v="100"/>
    <n v="0"/>
    <m/>
    <m/>
    <m/>
    <m/>
    <m/>
    <m/>
    <n v="0"/>
    <m/>
    <m/>
    <m/>
    <m/>
    <m/>
    <m/>
    <s v="AUD"/>
    <s v="13565188Waste Recycled - Cardboard [t]"/>
    <n v="13565188"/>
  </r>
  <r>
    <d v="2019-07-01T00:00:00"/>
    <d v="2021-06-30T00:00:00"/>
    <s v="Telstra"/>
    <s v="NETWORK"/>
    <s v="Network - InfraCo"/>
    <s v="VIC"/>
    <s v="Australia"/>
    <s v="Collingwood"/>
    <s v="NORTHCOTE EXCHANGE"/>
    <n v="423030757800"/>
    <s v="Recycled Waste"/>
    <x v="0"/>
    <x v="1"/>
    <s v="Account"/>
    <s v="Remondis Electrical Comp. (E-Waste)"/>
    <m/>
    <s v="423030757800_RELECTRIC"/>
    <s v="ELECTRICAL COMP. E-WASTE"/>
    <s v="Remondis"/>
    <m/>
    <m/>
    <d v="2020-12-01T00:00:00"/>
    <d v="2020-07-01T00:00:00"/>
    <s v="FY21"/>
    <s v="t"/>
    <n v="0"/>
    <n v="0.42180000000000001"/>
    <n v="0"/>
    <n v="0.42180000000000001"/>
    <n v="0"/>
    <n v="1"/>
    <n v="0"/>
    <n v="1"/>
    <n v="0"/>
    <n v="100"/>
    <n v="0"/>
    <s v="Consolidation"/>
    <s v="CO2e and Base Measure"/>
    <n v="100"/>
    <n v="100"/>
    <n v="0.42"/>
    <m/>
    <m/>
    <m/>
    <m/>
    <m/>
    <m/>
    <m/>
    <m/>
    <m/>
    <m/>
    <m/>
    <m/>
    <m/>
    <s v="AUD"/>
    <s v="13565190Waste Recycled - E-waste [t]"/>
    <n v="13565190"/>
  </r>
  <r>
    <d v="2019-07-01T00:00:00"/>
    <d v="2021-06-30T00:00:00"/>
    <s v="Telstra"/>
    <s v="NETWORK"/>
    <s v="Network - InfraCo"/>
    <s v="VIC"/>
    <s v="Australia"/>
    <s v="Collingwood"/>
    <s v="NORTHCOTE EXCHANGE"/>
    <n v="423030757800"/>
    <s v="Recycled Waste"/>
    <x v="0"/>
    <x v="1"/>
    <s v="Account"/>
    <s v="Remondis Electrical Comp. (E-Waste)"/>
    <m/>
    <s v="423030757800_RELECTRIC"/>
    <s v="ELECTRICAL COMP. E-WASTE"/>
    <s v="Remondis"/>
    <m/>
    <m/>
    <d v="2020-12-01T00:00:00"/>
    <d v="2020-11-01T00:00:00"/>
    <s v="FY21"/>
    <s v="t"/>
    <n v="0"/>
    <n v="0.63270000000000004"/>
    <n v="0"/>
    <n v="0.63270000000000004"/>
    <n v="0"/>
    <n v="2"/>
    <n v="0"/>
    <n v="2"/>
    <n v="0"/>
    <n v="100"/>
    <n v="0"/>
    <s v="Consolidation"/>
    <s v="CO2e and Base Measure"/>
    <n v="100"/>
    <n v="100"/>
    <n v="0.63"/>
    <m/>
    <m/>
    <m/>
    <m/>
    <m/>
    <m/>
    <m/>
    <m/>
    <m/>
    <m/>
    <m/>
    <m/>
    <m/>
    <s v="AUD"/>
    <s v="13565190Waste Recycled - E-waste [t]"/>
    <n v="13565190"/>
  </r>
  <r>
    <d v="2019-07-01T00:00:00"/>
    <d v="2021-06-30T00:00:00"/>
    <s v="Telstra"/>
    <s v="NETWORK"/>
    <s v="Network - InfraCo"/>
    <s v="VIC"/>
    <s v="Australia"/>
    <s v="Collingwood"/>
    <s v="NORTHCOTE EXCHANGE"/>
    <n v="423030757800"/>
    <s v="Recycled Waste"/>
    <x v="0"/>
    <x v="1"/>
    <s v="Account"/>
    <s v="Remondis Electrical Comp. (E-Waste)"/>
    <m/>
    <s v="423030757800_RELECTRIC"/>
    <s v="ELECTRICAL COMP. E-WASTE"/>
    <s v="Remondis"/>
    <m/>
    <m/>
    <d v="2020-12-01T00:00:00"/>
    <d v="2020-12-01T00:00:00"/>
    <s v="FY21"/>
    <s v="t"/>
    <n v="0"/>
    <n v="0"/>
    <n v="8.0999999999999996E-3"/>
    <n v="8.0999999999999996E-3"/>
    <n v="0"/>
    <n v="0"/>
    <n v="1"/>
    <n v="1"/>
    <n v="0"/>
    <n v="0"/>
    <n v="100"/>
    <s v="Consolidation"/>
    <s v="CO2e and Base Measure"/>
    <n v="100"/>
    <n v="100"/>
    <n v="0.01"/>
    <m/>
    <m/>
    <m/>
    <m/>
    <m/>
    <m/>
    <m/>
    <m/>
    <m/>
    <m/>
    <m/>
    <m/>
    <m/>
    <s v="AUD"/>
    <s v="13565190Waste Recycled - E-waste [t]"/>
    <n v="13565190"/>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07-01T00:00:00"/>
    <s v="FY21"/>
    <s v="t"/>
    <n v="0"/>
    <n v="0.36099999999999999"/>
    <n v="0"/>
    <n v="0.36099999999999999"/>
    <n v="0"/>
    <n v="5"/>
    <n v="0"/>
    <n v="5"/>
    <n v="0"/>
    <n v="100"/>
    <n v="0"/>
    <s v="Consolidation"/>
    <s v="CO2e and Base Measure"/>
    <n v="100"/>
    <n v="100"/>
    <n v="0.36"/>
    <m/>
    <m/>
    <m/>
    <m/>
    <m/>
    <n v="0.46929999999999999"/>
    <m/>
    <n v="0.46929999999999999"/>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08-01T00:00:00"/>
    <s v="FY21"/>
    <s v="t"/>
    <n v="0"/>
    <n v="0.3609"/>
    <n v="0"/>
    <n v="0.3609"/>
    <n v="0"/>
    <n v="4"/>
    <n v="0"/>
    <n v="4"/>
    <n v="0"/>
    <n v="100"/>
    <n v="0"/>
    <s v="Consolidation"/>
    <s v="CO2e and Base Measure"/>
    <n v="100"/>
    <n v="100"/>
    <n v="0.36"/>
    <m/>
    <m/>
    <m/>
    <m/>
    <m/>
    <n v="0.46920000000000001"/>
    <m/>
    <n v="0.46920000000000001"/>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09-01T00:00:00"/>
    <s v="FY21"/>
    <s v="t"/>
    <n v="0"/>
    <n v="0.2888"/>
    <n v="0"/>
    <n v="0.2888"/>
    <n v="0"/>
    <n v="4"/>
    <n v="0"/>
    <n v="4"/>
    <n v="0"/>
    <n v="100"/>
    <n v="0"/>
    <s v="Consolidation"/>
    <s v="CO2e and Base Measure"/>
    <n v="100"/>
    <n v="100"/>
    <n v="0.28999999999999998"/>
    <m/>
    <m/>
    <m/>
    <m/>
    <m/>
    <n v="0.37540000000000001"/>
    <m/>
    <n v="0.37540000000000001"/>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10-01T00:00:00"/>
    <s v="FY21"/>
    <s v="t"/>
    <n v="0"/>
    <n v="0.36099999999999999"/>
    <n v="0"/>
    <n v="0.36099999999999999"/>
    <n v="0"/>
    <n v="5"/>
    <n v="0"/>
    <n v="5"/>
    <n v="0"/>
    <n v="100"/>
    <n v="0"/>
    <s v="Consolidation"/>
    <s v="CO2e and Base Measure"/>
    <n v="100"/>
    <n v="100"/>
    <n v="0.36"/>
    <m/>
    <m/>
    <m/>
    <m/>
    <m/>
    <n v="0.46929999999999999"/>
    <m/>
    <n v="0.46929999999999999"/>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11-01T00:00:00"/>
    <s v="FY21"/>
    <s v="t"/>
    <n v="0"/>
    <n v="0.2888"/>
    <n v="0"/>
    <n v="0.2888"/>
    <n v="0"/>
    <n v="4"/>
    <n v="0"/>
    <n v="4"/>
    <n v="0"/>
    <n v="100"/>
    <n v="0"/>
    <s v="Consolidation"/>
    <s v="CO2e and Base Measure"/>
    <n v="100"/>
    <n v="100"/>
    <n v="0.28999999999999998"/>
    <m/>
    <m/>
    <m/>
    <m/>
    <m/>
    <n v="0.37540000000000001"/>
    <m/>
    <n v="0.37540000000000001"/>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12-01T00:00:00"/>
    <s v="FY21"/>
    <s v="t"/>
    <n v="0"/>
    <n v="0"/>
    <n v="1.11E-2"/>
    <n v="1.11E-2"/>
    <n v="0"/>
    <n v="0"/>
    <n v="1"/>
    <n v="1"/>
    <n v="0"/>
    <n v="0"/>
    <n v="100"/>
    <s v="Consolidation"/>
    <s v="CO2e and Base Measure"/>
    <n v="100"/>
    <n v="100"/>
    <n v="0.01"/>
    <m/>
    <m/>
    <m/>
    <m/>
    <m/>
    <n v="1.44E-2"/>
    <m/>
    <n v="1.44E-2"/>
    <m/>
    <m/>
    <m/>
    <m/>
    <m/>
    <s v="AUD"/>
    <s v="13565191Waste - General [t] - Scope 3"/>
    <n v="13565191"/>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07-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08-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09-01T00:00:00"/>
    <s v="FY21"/>
    <s v="t"/>
    <n v="0"/>
    <n v="0"/>
    <n v="5.7000000000000002E-2"/>
    <n v="5.7000000000000002E-2"/>
    <n v="0"/>
    <n v="0"/>
    <n v="30"/>
    <n v="30"/>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10-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11-01T00:00:00"/>
    <s v="FY21"/>
    <s v="t"/>
    <n v="0"/>
    <n v="0"/>
    <n v="5.7000000000000002E-2"/>
    <n v="5.7000000000000002E-2"/>
    <n v="0"/>
    <n v="0"/>
    <n v="30"/>
    <n v="30"/>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12-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1-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2-01T00:00:00"/>
    <s v="FY21"/>
    <s v="t"/>
    <n v="0"/>
    <n v="0"/>
    <n v="5.3199999999999997E-2"/>
    <n v="5.3199999999999997E-2"/>
    <n v="0"/>
    <n v="0"/>
    <n v="28"/>
    <n v="28"/>
    <n v="0"/>
    <n v="0"/>
    <n v="100"/>
    <s v="Consolidation"/>
    <s v="CO2e and Base Measure"/>
    <n v="100"/>
    <n v="100"/>
    <n v="0.05"/>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3-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4-01T00:00:00"/>
    <s v="FY21"/>
    <s v="t"/>
    <n v="0"/>
    <n v="0"/>
    <n v="5.7000000000000002E-2"/>
    <n v="5.7000000000000002E-2"/>
    <n v="0"/>
    <n v="0"/>
    <n v="30"/>
    <n v="30"/>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5-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Waste"/>
    <x v="1"/>
    <x v="2"/>
    <s v="Account"/>
    <s v="Remondis Commingled - Landfill"/>
    <m/>
    <s v="423030757800_WCOMINGLE"/>
    <s v="COMMINGLED - LANDFILL"/>
    <s v="Remondis"/>
    <m/>
    <d v="2019-11-01T00:00:00"/>
    <d v="2020-12-01T00:00:00"/>
    <d v="2020-11-01T00:00:00"/>
    <s v="FY21"/>
    <s v="t"/>
    <n v="0"/>
    <n v="0.111"/>
    <n v="0"/>
    <n v="0.111"/>
    <n v="0"/>
    <n v="1"/>
    <n v="0"/>
    <n v="1"/>
    <n v="0"/>
    <n v="100"/>
    <n v="0"/>
    <s v="Consolidation"/>
    <s v="CO2e and Base Measure"/>
    <n v="100"/>
    <n v="100"/>
    <n v="0.11"/>
    <m/>
    <m/>
    <m/>
    <m/>
    <m/>
    <n v="0.14430000000000001"/>
    <m/>
    <n v="0.14430000000000001"/>
    <m/>
    <m/>
    <m/>
    <m/>
    <m/>
    <s v="AUD"/>
    <s v="13578185Waste - General [t] - Scope 3"/>
    <n v="13578185"/>
  </r>
  <r>
    <d v="2019-07-01T00:00:00"/>
    <d v="2021-06-30T00:00:00"/>
    <s v="Telstra"/>
    <s v="NETWORK"/>
    <s v="Network - InfraCo"/>
    <s v="VIC"/>
    <s v="Australia"/>
    <s v="Collingwood"/>
    <s v="NORTHCOTE EXCHANGE"/>
    <n v="423030757800"/>
    <s v="Waste"/>
    <x v="1"/>
    <x v="2"/>
    <s v="Account"/>
    <s v="Remondis Commingled - Landfill"/>
    <m/>
    <s v="423030757800_WCOMINGLE"/>
    <s v="COMMINGLED - LANDFILL"/>
    <s v="Remondis"/>
    <m/>
    <d v="2019-11-01T00:00:00"/>
    <d v="2020-12-01T00:00:00"/>
    <d v="2020-12-01T00:00:00"/>
    <s v="FY21"/>
    <s v="t"/>
    <n v="0"/>
    <n v="0"/>
    <n v="1.1999999999999999E-3"/>
    <n v="1.1999999999999999E-3"/>
    <n v="0"/>
    <n v="0"/>
    <n v="1"/>
    <n v="1"/>
    <n v="0"/>
    <n v="0"/>
    <n v="100"/>
    <s v="Consolidation"/>
    <s v="CO2e and Base Measure"/>
    <n v="100"/>
    <n v="100"/>
    <n v="0"/>
    <m/>
    <m/>
    <m/>
    <m/>
    <m/>
    <n v="1.6000000000000001E-3"/>
    <m/>
    <n v="1.6000000000000001E-3"/>
    <m/>
    <m/>
    <m/>
    <m/>
    <m/>
    <s v="AUD"/>
    <s v="13578185Waste - General [t] - Scope 3"/>
    <n v="13578185"/>
  </r>
  <r>
    <d v="2019-07-01T00:00:00"/>
    <d v="2021-06-30T00:00:00"/>
    <s v="Telstra"/>
    <s v="NETWORK"/>
    <s v="Network - InfraCo"/>
    <s v="VIC"/>
    <s v="Australia"/>
    <s v="Collingwood"/>
    <s v="NORTHCOTE EXCHANGE"/>
    <n v="423030757800"/>
    <s v="Waste"/>
    <x v="1"/>
    <x v="2"/>
    <s v="Account"/>
    <s v="CLEANAWAY General"/>
    <m/>
    <s v="26406_Landfill_General"/>
    <s v="General"/>
    <s v="Cleanaway"/>
    <m/>
    <d v="2021-02-09T00:00:00"/>
    <m/>
    <d v="2021-02-01T00:00:00"/>
    <s v="FY21"/>
    <s v="t"/>
    <n v="0"/>
    <n v="8.9099999999999999E-2"/>
    <n v="0"/>
    <n v="8.9099999999999999E-2"/>
    <n v="0"/>
    <n v="3"/>
    <n v="0"/>
    <n v="3"/>
    <n v="0"/>
    <n v="100"/>
    <n v="0"/>
    <s v="Consolidation"/>
    <s v="CO2e and Base Measure"/>
    <n v="100"/>
    <n v="100"/>
    <n v="0.09"/>
    <m/>
    <m/>
    <m/>
    <m/>
    <m/>
    <n v="0.1158"/>
    <m/>
    <n v="0.1158"/>
    <m/>
    <m/>
    <m/>
    <m/>
    <m/>
    <s v="AUD"/>
    <s v="13639904Waste - General [t] - Scope 3"/>
    <n v="13639904"/>
  </r>
  <r>
    <d v="2019-07-01T00:00:00"/>
    <d v="2021-06-30T00:00:00"/>
    <s v="Telstra"/>
    <s v="NETWORK"/>
    <s v="Network - InfraCo"/>
    <s v="VIC"/>
    <s v="Australia"/>
    <s v="Collingwood"/>
    <s v="NORTHCOTE EXCHANGE"/>
    <n v="423030757800"/>
    <s v="Waste"/>
    <x v="1"/>
    <x v="2"/>
    <s v="Account"/>
    <s v="CLEANAWAY General"/>
    <m/>
    <s v="26406_Landfill_General"/>
    <s v="General"/>
    <s v="Cleanaway"/>
    <m/>
    <d v="2021-02-09T00:00:00"/>
    <m/>
    <d v="2021-03-01T00:00:00"/>
    <s v="FY21"/>
    <s v="t"/>
    <n v="0"/>
    <n v="8.9099999999999999E-2"/>
    <n v="0"/>
    <n v="8.9099999999999999E-2"/>
    <n v="0"/>
    <n v="3"/>
    <n v="0"/>
    <n v="3"/>
    <n v="0"/>
    <n v="100"/>
    <n v="0"/>
    <s v="Consolidation"/>
    <s v="CO2e and Base Measure"/>
    <n v="100"/>
    <n v="100"/>
    <n v="0.09"/>
    <m/>
    <m/>
    <m/>
    <m/>
    <m/>
    <n v="0.1158"/>
    <m/>
    <n v="0.1158"/>
    <m/>
    <m/>
    <m/>
    <m/>
    <m/>
    <s v="AUD"/>
    <s v="13639904Waste - General [t] - Scope 3"/>
    <n v="13639904"/>
  </r>
  <r>
    <d v="2019-07-01T00:00:00"/>
    <d v="2021-06-30T00:00:00"/>
    <s v="Telstra"/>
    <s v="NETWORK"/>
    <s v="Network - InfraCo"/>
    <s v="VIC"/>
    <s v="Australia"/>
    <s v="Collingwood"/>
    <s v="NORTHCOTE EXCHANGE"/>
    <n v="423030757800"/>
    <s v="Waste"/>
    <x v="1"/>
    <x v="2"/>
    <s v="Account"/>
    <s v="CLEANAWAY General"/>
    <m/>
    <s v="26406_Landfill_General"/>
    <s v="General"/>
    <s v="Cleanaway"/>
    <m/>
    <d v="2021-02-09T00:00:00"/>
    <m/>
    <d v="2021-04-01T00:00:00"/>
    <s v="FY21"/>
    <s v="t"/>
    <n v="0"/>
    <n v="0"/>
    <n v="9.2999999999999999E-2"/>
    <n v="9.2999999999999999E-2"/>
    <n v="0"/>
    <n v="0"/>
    <n v="30"/>
    <n v="30"/>
    <n v="0"/>
    <n v="0"/>
    <n v="100"/>
    <s v="Consolidation"/>
    <s v="CO2e and Base Measure"/>
    <n v="100"/>
    <n v="100"/>
    <n v="0.09"/>
    <m/>
    <m/>
    <m/>
    <m/>
    <m/>
    <n v="0.12089999999999999"/>
    <m/>
    <n v="0.12089999999999999"/>
    <m/>
    <m/>
    <m/>
    <m/>
    <m/>
    <s v="AUD"/>
    <s v="13639904Waste - General [t] - Scope 3"/>
    <n v="13639904"/>
  </r>
  <r>
    <d v="2019-07-01T00:00:00"/>
    <d v="2021-06-30T00:00:00"/>
    <s v="Telstra"/>
    <s v="NETWORK"/>
    <s v="Network - InfraCo"/>
    <s v="VIC"/>
    <s v="Australia"/>
    <s v="Collingwood"/>
    <s v="NORTHCOTE EXCHANGE"/>
    <n v="423030757800"/>
    <s v="Waste"/>
    <x v="1"/>
    <x v="2"/>
    <s v="Account"/>
    <s v="CLEANAWAY General"/>
    <m/>
    <s v="26406_Landfill_General"/>
    <s v="General"/>
    <s v="Cleanaway"/>
    <m/>
    <d v="2021-02-09T00:00:00"/>
    <m/>
    <d v="2021-05-01T00:00:00"/>
    <s v="FY21"/>
    <s v="t"/>
    <n v="0"/>
    <n v="0"/>
    <n v="9.6100000000000005E-2"/>
    <n v="9.6100000000000005E-2"/>
    <n v="0"/>
    <n v="0"/>
    <n v="31"/>
    <n v="31"/>
    <n v="0"/>
    <n v="0"/>
    <n v="100"/>
    <s v="Consolidation"/>
    <s v="CO2e and Base Measure"/>
    <n v="100"/>
    <n v="100"/>
    <n v="0.1"/>
    <m/>
    <m/>
    <m/>
    <m/>
    <m/>
    <n v="0.1249"/>
    <m/>
    <n v="0.1249"/>
    <m/>
    <m/>
    <m/>
    <m/>
    <m/>
    <s v="AUD"/>
    <s v="13639904Waste - General [t] - Scope 3"/>
    <n v="13639904"/>
  </r>
  <r>
    <d v="2019-07-01T00:00:00"/>
    <d v="2021-06-30T00:00:00"/>
    <s v="Telstra"/>
    <s v="NETWORK"/>
    <s v="Network - InfraCo"/>
    <s v="VIC"/>
    <s v="Australia"/>
    <s v="Collingwood"/>
    <s v="NORTHCOTE EXCHANGE"/>
    <n v="423030757800"/>
    <s v="Recycled Waste"/>
    <x v="0"/>
    <x v="0"/>
    <s v="Account"/>
    <s v="CLEANAWAY Cardboard"/>
    <m/>
    <s v="26406_Diversion_Cardboard"/>
    <s v="Cardboard"/>
    <s v="Cleanaway"/>
    <m/>
    <d v="2021-02-16T00:00:00"/>
    <m/>
    <d v="2021-02-01T00:00:00"/>
    <s v="FY21"/>
    <s v="t"/>
    <n v="1.6E-2"/>
    <n v="0"/>
    <n v="0"/>
    <n v="1.6E-2"/>
    <n v="1"/>
    <n v="0"/>
    <n v="0"/>
    <n v="1"/>
    <n v="100"/>
    <n v="0"/>
    <n v="0"/>
    <s v="Consolidation"/>
    <s v="CO2e and Base Measure"/>
    <n v="100"/>
    <n v="100"/>
    <n v="0.02"/>
    <m/>
    <m/>
    <m/>
    <m/>
    <m/>
    <m/>
    <m/>
    <m/>
    <m/>
    <m/>
    <m/>
    <m/>
    <m/>
    <s v="AUD"/>
    <s v="13639905Waste Recycled - Paper and Cardboard [t]"/>
    <n v="13639905"/>
  </r>
  <r>
    <d v="2019-07-01T00:00:00"/>
    <d v="2021-06-30T00:00:00"/>
    <s v="Telstra"/>
    <s v="NETWORK"/>
    <s v="Network - InfraCo"/>
    <s v="VIC"/>
    <s v="Australia"/>
    <s v="Collingwood"/>
    <s v="NORTHCOTE EXCHANGE"/>
    <n v="423030757800"/>
    <s v="Recycled Waste"/>
    <x v="0"/>
    <x v="0"/>
    <s v="Account"/>
    <s v="CLEANAWAY Cardboard"/>
    <m/>
    <s v="26406_Diversion_Cardboard"/>
    <s v="Cardboard"/>
    <s v="Cleanaway"/>
    <m/>
    <d v="2021-02-16T00:00:00"/>
    <m/>
    <d v="2021-03-01T00:00:00"/>
    <s v="FY21"/>
    <s v="t"/>
    <n v="0"/>
    <n v="3.3000000000000002E-2"/>
    <n v="0"/>
    <n v="3.3000000000000002E-2"/>
    <n v="0"/>
    <n v="2"/>
    <n v="0"/>
    <n v="2"/>
    <n v="0"/>
    <n v="100"/>
    <n v="0"/>
    <s v="Consolidation"/>
    <s v="CO2e and Base Measure"/>
    <n v="100"/>
    <n v="100"/>
    <n v="0.03"/>
    <m/>
    <m/>
    <m/>
    <m/>
    <m/>
    <m/>
    <m/>
    <m/>
    <m/>
    <m/>
    <m/>
    <m/>
    <m/>
    <s v="AUD"/>
    <s v="13639905Waste Recycled - Paper and Cardboard [t]"/>
    <n v="13639905"/>
  </r>
  <r>
    <d v="2019-07-01T00:00:00"/>
    <d v="2021-06-30T00:00:00"/>
    <s v="Telstra"/>
    <s v="NETWORK"/>
    <s v="Network - InfraCo"/>
    <s v="VIC"/>
    <s v="Australia"/>
    <s v="Collingwood"/>
    <s v="NORTHCOTE EXCHANGE"/>
    <n v="423030757800"/>
    <s v="Recycled Waste"/>
    <x v="0"/>
    <x v="0"/>
    <s v="Account"/>
    <s v="CLEANAWAY Cardboard"/>
    <m/>
    <s v="26406_Diversion_Cardboard"/>
    <s v="Cardboard"/>
    <s v="Cleanaway"/>
    <m/>
    <d v="2021-02-16T00:00:00"/>
    <m/>
    <d v="2021-04-01T00:00:00"/>
    <s v="FY21"/>
    <s v="t"/>
    <n v="0"/>
    <n v="0"/>
    <n v="2.4E-2"/>
    <n v="2.4E-2"/>
    <n v="0"/>
    <n v="0"/>
    <n v="30"/>
    <n v="30"/>
    <n v="0"/>
    <n v="0"/>
    <n v="100"/>
    <s v="Consolidation"/>
    <s v="CO2e and Base Measure"/>
    <n v="100"/>
    <n v="100"/>
    <n v="0.02"/>
    <m/>
    <m/>
    <m/>
    <m/>
    <m/>
    <m/>
    <m/>
    <m/>
    <m/>
    <m/>
    <m/>
    <m/>
    <m/>
    <s v="AUD"/>
    <s v="13639905Waste Recycled - Paper and Cardboard [t]"/>
    <n v="13639905"/>
  </r>
  <r>
    <d v="2019-07-01T00:00:00"/>
    <d v="2021-06-30T00:00:00"/>
    <s v="Telstra"/>
    <s v="NETWORK"/>
    <s v="Network - InfraCo"/>
    <s v="VIC"/>
    <s v="Australia"/>
    <s v="Collingwood"/>
    <s v="NORTHCOTE EXCHANGE"/>
    <n v="423030757800"/>
    <s v="Recycled Waste"/>
    <x v="0"/>
    <x v="0"/>
    <s v="Account"/>
    <s v="CLEANAWAY Cardboard"/>
    <m/>
    <s v="26406_Diversion_Cardboard"/>
    <s v="Cardboard"/>
    <s v="Cleanaway"/>
    <m/>
    <d v="2021-02-16T00:00:00"/>
    <m/>
    <d v="2021-05-01T00:00:00"/>
    <s v="FY21"/>
    <s v="t"/>
    <n v="0"/>
    <n v="0"/>
    <n v="2.4799999999999999E-2"/>
    <n v="2.4799999999999999E-2"/>
    <n v="0"/>
    <n v="0"/>
    <n v="31"/>
    <n v="31"/>
    <n v="0"/>
    <n v="0"/>
    <n v="100"/>
    <s v="Consolidation"/>
    <s v="CO2e and Base Measure"/>
    <n v="100"/>
    <n v="100"/>
    <n v="0.02"/>
    <m/>
    <m/>
    <m/>
    <m/>
    <m/>
    <m/>
    <m/>
    <m/>
    <m/>
    <m/>
    <m/>
    <m/>
    <m/>
    <s v="AUD"/>
    <s v="13639905Waste Recycled - Paper and Cardboard [t]"/>
    <n v="13639905"/>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07-01T00:00:00"/>
    <s v="FY21"/>
    <s v="t"/>
    <n v="2.7E-2"/>
    <n v="0"/>
    <n v="0"/>
    <n v="2.7E-2"/>
    <n v="1"/>
    <n v="0"/>
    <n v="0"/>
    <n v="1"/>
    <n v="100"/>
    <n v="0"/>
    <n v="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09-01T00:00:00"/>
    <s v="FY21"/>
    <s v="t"/>
    <n v="0"/>
    <n v="0"/>
    <n v="2.7E-2"/>
    <n v="2.7E-2"/>
    <n v="0"/>
    <n v="0"/>
    <n v="30"/>
    <n v="30"/>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11-01T00:00:00"/>
    <s v="FY21"/>
    <s v="t"/>
    <n v="0"/>
    <n v="0"/>
    <n v="2.7E-2"/>
    <n v="2.7E-2"/>
    <n v="0"/>
    <n v="0"/>
    <n v="30"/>
    <n v="30"/>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2-01T00:00:00"/>
    <s v="FY21"/>
    <s v="t"/>
    <n v="0"/>
    <n v="0"/>
    <n v="2.52E-2"/>
    <n v="2.52E-2"/>
    <n v="0"/>
    <n v="0"/>
    <n v="28"/>
    <n v="28"/>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4-01T00:00:00"/>
    <s v="FY21"/>
    <s v="t"/>
    <n v="0"/>
    <n v="0"/>
    <n v="2.7E-2"/>
    <n v="2.7E-2"/>
    <n v="0"/>
    <n v="0"/>
    <n v="30"/>
    <n v="30"/>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07-01T00:00:00"/>
    <s v="FY21"/>
    <s v="t"/>
    <n v="0"/>
    <n v="0.189"/>
    <n v="0"/>
    <n v="0.189"/>
    <n v="0"/>
    <n v="3"/>
    <n v="0"/>
    <n v="3"/>
    <n v="0"/>
    <n v="100"/>
    <n v="0"/>
    <s v="Consolidation"/>
    <s v="CO2e and Base Measure"/>
    <n v="100"/>
    <n v="100"/>
    <n v="0.19"/>
    <m/>
    <m/>
    <m/>
    <m/>
    <m/>
    <m/>
    <n v="0"/>
    <m/>
    <m/>
    <m/>
    <m/>
    <m/>
    <m/>
    <s v="AUD"/>
    <s v="13564885Waste Recycled - Cardboard [t]"/>
    <n v="13564885"/>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08-01T00:00:00"/>
    <s v="FY21"/>
    <s v="t"/>
    <n v="0"/>
    <n v="6.3E-2"/>
    <n v="0"/>
    <n v="6.3E-2"/>
    <n v="0"/>
    <n v="1"/>
    <n v="0"/>
    <n v="1"/>
    <n v="0"/>
    <n v="100"/>
    <n v="0"/>
    <s v="Consolidation"/>
    <s v="CO2e and Base Measure"/>
    <n v="100"/>
    <n v="100"/>
    <n v="0.06"/>
    <m/>
    <m/>
    <m/>
    <m/>
    <m/>
    <m/>
    <n v="0"/>
    <m/>
    <m/>
    <m/>
    <m/>
    <m/>
    <m/>
    <s v="AUD"/>
    <s v="13564885Waste Recycled - Cardboard [t]"/>
    <n v="13564885"/>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09-01T00:00:00"/>
    <s v="FY21"/>
    <s v="t"/>
    <n v="0"/>
    <n v="6.3E-2"/>
    <n v="0"/>
    <n v="6.3E-2"/>
    <n v="0"/>
    <n v="1"/>
    <n v="0"/>
    <n v="1"/>
    <n v="0"/>
    <n v="100"/>
    <n v="0"/>
    <s v="Consolidation"/>
    <s v="CO2e and Base Measure"/>
    <n v="100"/>
    <n v="100"/>
    <n v="0.06"/>
    <m/>
    <m/>
    <m/>
    <m/>
    <m/>
    <m/>
    <n v="0"/>
    <m/>
    <m/>
    <m/>
    <m/>
    <m/>
    <m/>
    <s v="AUD"/>
    <s v="13564885Waste Recycled - Cardboard [t]"/>
    <n v="13564885"/>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10-01T00:00:00"/>
    <s v="FY21"/>
    <s v="t"/>
    <n v="0"/>
    <n v="0.126"/>
    <n v="0"/>
    <n v="0.126"/>
    <n v="0"/>
    <n v="2"/>
    <n v="0"/>
    <n v="2"/>
    <n v="0"/>
    <n v="100"/>
    <n v="0"/>
    <s v="Consolidation"/>
    <s v="CO2e and Base Measure"/>
    <n v="100"/>
    <n v="100"/>
    <n v="0.13"/>
    <m/>
    <m/>
    <m/>
    <m/>
    <m/>
    <m/>
    <n v="0"/>
    <m/>
    <m/>
    <m/>
    <m/>
    <m/>
    <m/>
    <s v="AUD"/>
    <s v="13564885Waste Recycled - Cardboard [t]"/>
    <n v="13564885"/>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11-01T00:00:00"/>
    <s v="FY21"/>
    <s v="t"/>
    <n v="0"/>
    <n v="0"/>
    <n v="3.7000000000000002E-3"/>
    <n v="3.7000000000000002E-3"/>
    <n v="0"/>
    <n v="0"/>
    <n v="1"/>
    <n v="1"/>
    <n v="0"/>
    <n v="0"/>
    <n v="100"/>
    <s v="Consolidation"/>
    <s v="CO2e and Base Measure"/>
    <n v="100"/>
    <n v="100"/>
    <n v="0"/>
    <m/>
    <m/>
    <m/>
    <m/>
    <m/>
    <m/>
    <n v="0"/>
    <m/>
    <m/>
    <m/>
    <m/>
    <m/>
    <m/>
    <s v="AUD"/>
    <s v="13564885Waste Recycled - Cardboard [t]"/>
    <n v="13564885"/>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07-01T00:00:00"/>
    <s v="FY21"/>
    <s v="t"/>
    <n v="0"/>
    <n v="0.21060000000000001"/>
    <n v="0"/>
    <n v="0.21060000000000001"/>
    <n v="0"/>
    <n v="3"/>
    <n v="0"/>
    <n v="3"/>
    <n v="0"/>
    <n v="100"/>
    <n v="0"/>
    <s v="Consolidation"/>
    <s v="CO2e and Base Measure"/>
    <n v="100"/>
    <n v="100"/>
    <n v="0.21"/>
    <m/>
    <m/>
    <m/>
    <m/>
    <m/>
    <n v="0.27379999999999999"/>
    <m/>
    <n v="0.27379999999999999"/>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08-01T00:00:00"/>
    <s v="FY21"/>
    <s v="t"/>
    <n v="0"/>
    <n v="0.21060000000000001"/>
    <n v="0"/>
    <n v="0.21060000000000001"/>
    <n v="0"/>
    <n v="3"/>
    <n v="0"/>
    <n v="3"/>
    <n v="0"/>
    <n v="100"/>
    <n v="0"/>
    <s v="Consolidation"/>
    <s v="CO2e and Base Measure"/>
    <n v="100"/>
    <n v="100"/>
    <n v="0.21"/>
    <m/>
    <m/>
    <m/>
    <m/>
    <m/>
    <n v="0.27379999999999999"/>
    <m/>
    <n v="0.27379999999999999"/>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1-01-01T00:00:00"/>
    <s v="FY21"/>
    <s v="t"/>
    <n v="0"/>
    <n v="0"/>
    <n v="6.6E-3"/>
    <n v="6.6E-3"/>
    <n v="0"/>
    <n v="0"/>
    <n v="1"/>
    <n v="1"/>
    <n v="0"/>
    <n v="0"/>
    <n v="100"/>
    <s v="Consolidation"/>
    <s v="CO2e and Base Measure"/>
    <n v="100"/>
    <n v="100"/>
    <n v="0.01"/>
    <m/>
    <m/>
    <m/>
    <m/>
    <m/>
    <n v="8.6E-3"/>
    <m/>
    <n v="8.6E-3"/>
    <m/>
    <m/>
    <m/>
    <m/>
    <m/>
    <s v="AUD"/>
    <s v="13564887Waste - General [t] - Scope 3"/>
    <n v="13564887"/>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0-12-01T00:00:00"/>
    <s v="FY21"/>
    <s v="t"/>
    <n v="5.8999999999999997E-2"/>
    <n v="0"/>
    <n v="0"/>
    <n v="5.8999999999999997E-2"/>
    <n v="2"/>
    <n v="0"/>
    <n v="0"/>
    <n v="2"/>
    <n v="100"/>
    <n v="0"/>
    <n v="0"/>
    <s v="Consolidation"/>
    <s v="CO2e and Base Measure"/>
    <n v="100"/>
    <n v="100"/>
    <n v="0.06"/>
    <m/>
    <m/>
    <m/>
    <m/>
    <m/>
    <n v="7.6700000000000004E-2"/>
    <m/>
    <n v="7.6700000000000004E-2"/>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1-01T00:00:00"/>
    <s v="FY21"/>
    <s v="t"/>
    <n v="0.36699999999999999"/>
    <n v="0"/>
    <n v="0"/>
    <n v="0.36699999999999999"/>
    <n v="2"/>
    <n v="0"/>
    <n v="0"/>
    <n v="2"/>
    <n v="100"/>
    <n v="0"/>
    <n v="0"/>
    <s v="Consolidation"/>
    <s v="CO2e and Base Measure"/>
    <n v="100"/>
    <n v="100"/>
    <n v="0.37"/>
    <m/>
    <m/>
    <m/>
    <m/>
    <m/>
    <n v="0.47710000000000002"/>
    <m/>
    <n v="0.47710000000000002"/>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2-01T00:00:00"/>
    <s v="FY21"/>
    <s v="t"/>
    <n v="0.28299999999999997"/>
    <n v="0"/>
    <n v="0"/>
    <n v="0.28299999999999997"/>
    <n v="2"/>
    <n v="0"/>
    <n v="0"/>
    <n v="2"/>
    <n v="100"/>
    <n v="0"/>
    <n v="0"/>
    <s v="Consolidation"/>
    <s v="CO2e and Base Measure"/>
    <n v="100"/>
    <n v="100"/>
    <n v="0.28000000000000003"/>
    <m/>
    <m/>
    <m/>
    <m/>
    <m/>
    <n v="0.3679"/>
    <m/>
    <n v="0.3679"/>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3-01T00:00:00"/>
    <s v="FY21"/>
    <s v="t"/>
    <n v="0.13800000000000001"/>
    <n v="0"/>
    <n v="0"/>
    <n v="0.13800000000000001"/>
    <n v="2"/>
    <n v="0"/>
    <n v="0"/>
    <n v="2"/>
    <n v="100"/>
    <n v="0"/>
    <n v="0"/>
    <s v="Consolidation"/>
    <s v="CO2e and Base Measure"/>
    <n v="100"/>
    <n v="100"/>
    <n v="0.14000000000000001"/>
    <m/>
    <m/>
    <m/>
    <m/>
    <m/>
    <n v="0.1794"/>
    <m/>
    <n v="0.1794"/>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4-01T00:00:00"/>
    <s v="FY21"/>
    <s v="t"/>
    <n v="0"/>
    <n v="0"/>
    <n v="0.21299999999999999"/>
    <n v="0.21299999999999999"/>
    <n v="0"/>
    <n v="0"/>
    <n v="30"/>
    <n v="30"/>
    <n v="0"/>
    <n v="0"/>
    <n v="100"/>
    <s v="Consolidation"/>
    <s v="CO2e and Base Measure"/>
    <n v="100"/>
    <n v="100"/>
    <n v="0.21"/>
    <m/>
    <m/>
    <m/>
    <m/>
    <m/>
    <n v="0.27689999999999998"/>
    <m/>
    <n v="0.27689999999999998"/>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5-01T00:00:00"/>
    <s v="FY21"/>
    <s v="t"/>
    <n v="0"/>
    <n v="0"/>
    <n v="0.22009999999999999"/>
    <n v="0.22009999999999999"/>
    <n v="0"/>
    <n v="0"/>
    <n v="31"/>
    <n v="31"/>
    <n v="0"/>
    <n v="0"/>
    <n v="100"/>
    <s v="Consolidation"/>
    <s v="CO2e and Base Measure"/>
    <n v="100"/>
    <n v="100"/>
    <n v="0.22"/>
    <m/>
    <m/>
    <m/>
    <m/>
    <m/>
    <n v="0.28610000000000002"/>
    <m/>
    <n v="0.28610000000000002"/>
    <m/>
    <m/>
    <m/>
    <m/>
    <m/>
    <s v="AUD"/>
    <s v="13634213Waste - General [t] - Scope 3"/>
    <n v="13634213"/>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0-12-01T00:00:00"/>
    <s v="FY21"/>
    <s v="t"/>
    <n v="0.03"/>
    <n v="7.4999999999999997E-2"/>
    <n v="0"/>
    <n v="0.105"/>
    <n v="1"/>
    <n v="1"/>
    <n v="0"/>
    <n v="2"/>
    <n v="28.57"/>
    <n v="71.42"/>
    <n v="0"/>
    <s v="Consolidation"/>
    <s v="CO2e and Base Measure"/>
    <n v="100"/>
    <n v="100"/>
    <n v="0.11"/>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1-01T00:00:00"/>
    <s v="FY21"/>
    <s v="t"/>
    <n v="0.02"/>
    <n v="0"/>
    <n v="0"/>
    <n v="0.02"/>
    <n v="1"/>
    <n v="0"/>
    <n v="0"/>
    <n v="1"/>
    <n v="100"/>
    <n v="0"/>
    <n v="0"/>
    <s v="Consolidation"/>
    <s v="CO2e and Base Measure"/>
    <n v="100"/>
    <n v="100"/>
    <n v="0.02"/>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2-01T00:00:00"/>
    <s v="FY21"/>
    <s v="t"/>
    <n v="0.02"/>
    <n v="7.4999999999999997E-2"/>
    <n v="0"/>
    <n v="9.5000000000000001E-2"/>
    <n v="1"/>
    <n v="1"/>
    <n v="0"/>
    <n v="2"/>
    <n v="21.05"/>
    <n v="78.94"/>
    <n v="0"/>
    <s v="Consolidation"/>
    <s v="CO2e and Base Measure"/>
    <n v="100"/>
    <n v="100"/>
    <n v="0.1"/>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3-01T00:00:00"/>
    <s v="FY21"/>
    <s v="t"/>
    <n v="6.0999999999999999E-2"/>
    <n v="0"/>
    <n v="0"/>
    <n v="6.0999999999999999E-2"/>
    <n v="2"/>
    <n v="0"/>
    <n v="0"/>
    <n v="2"/>
    <n v="100"/>
    <n v="0"/>
    <n v="0"/>
    <s v="Consolidation"/>
    <s v="CO2e and Base Measure"/>
    <n v="100"/>
    <n v="100"/>
    <n v="0.06"/>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4-01T00:00:00"/>
    <s v="FY21"/>
    <s v="t"/>
    <n v="0"/>
    <n v="0"/>
    <n v="6.9000000000000006E-2"/>
    <n v="6.9000000000000006E-2"/>
    <n v="0"/>
    <n v="0"/>
    <n v="30"/>
    <n v="30"/>
    <n v="0"/>
    <n v="0"/>
    <n v="100"/>
    <s v="Consolidation"/>
    <s v="CO2e and Base Measure"/>
    <n v="100"/>
    <n v="100"/>
    <n v="7.0000000000000007E-2"/>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5-01T00:00:00"/>
    <s v="FY21"/>
    <s v="t"/>
    <n v="0"/>
    <n v="0"/>
    <n v="7.1300000000000002E-2"/>
    <n v="7.1300000000000002E-2"/>
    <n v="0"/>
    <n v="0"/>
    <n v="31"/>
    <n v="31"/>
    <n v="0"/>
    <n v="0"/>
    <n v="100"/>
    <s v="Consolidation"/>
    <s v="CO2e and Base Measure"/>
    <n v="100"/>
    <n v="100"/>
    <n v="7.0000000000000007E-2"/>
    <m/>
    <m/>
    <m/>
    <m/>
    <m/>
    <m/>
    <m/>
    <m/>
    <m/>
    <m/>
    <m/>
    <m/>
    <m/>
    <s v="AUD"/>
    <s v="13634214Waste Recycled - Paper and Cardboard [t]"/>
    <n v="1363421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12-01T00:00:00"/>
    <s v="FY21"/>
    <s v="t"/>
    <n v="0"/>
    <n v="0"/>
    <n v="1.29E-2"/>
    <n v="1.29E-2"/>
    <n v="0"/>
    <n v="0"/>
    <n v="1"/>
    <n v="1"/>
    <n v="0"/>
    <n v="0"/>
    <n v="100"/>
    <s v="Consolidation"/>
    <s v="CO2e and Base Measure"/>
    <n v="100"/>
    <n v="100"/>
    <n v="0.01"/>
    <m/>
    <m/>
    <m/>
    <m/>
    <m/>
    <n v="1.6799999999999999E-2"/>
    <m/>
    <n v="1.6799999999999999E-2"/>
    <m/>
    <m/>
    <m/>
    <m/>
    <m/>
    <s v="AUD"/>
    <s v="13564384Waste - General [t] - Scope 3"/>
    <n v="13564384"/>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0-10-01T00:00:00"/>
    <s v="FY21"/>
    <s v="t"/>
    <n v="0"/>
    <n v="0.12540000000000001"/>
    <n v="0"/>
    <n v="0.12540000000000001"/>
    <n v="0"/>
    <n v="1"/>
    <n v="0"/>
    <n v="1"/>
    <n v="0"/>
    <n v="100"/>
    <n v="0"/>
    <s v="Consolidation"/>
    <s v="CO2e and Base Measure"/>
    <n v="100"/>
    <n v="100"/>
    <n v="0.13"/>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0-12-01T00:00:00"/>
    <s v="FY21"/>
    <s v="t"/>
    <n v="0"/>
    <n v="0.12540000000000001"/>
    <n v="0"/>
    <n v="0.12540000000000001"/>
    <n v="0"/>
    <n v="1"/>
    <n v="0"/>
    <n v="1"/>
    <n v="0"/>
    <n v="100"/>
    <n v="0"/>
    <s v="Consolidation"/>
    <s v="CO2e and Base Measure"/>
    <n v="100"/>
    <n v="100"/>
    <n v="0.13"/>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1-01T00:00:00"/>
    <s v="FY21"/>
    <s v="t"/>
    <n v="0"/>
    <n v="0"/>
    <n v="8.6800000000000002E-2"/>
    <n v="8.6800000000000002E-2"/>
    <n v="0"/>
    <n v="0"/>
    <n v="31"/>
    <n v="31"/>
    <n v="0"/>
    <n v="0"/>
    <n v="100"/>
    <s v="Consolidation"/>
    <s v="CO2e and Base Measure"/>
    <n v="100"/>
    <n v="100"/>
    <n v="0.09"/>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2-01T00:00:00"/>
    <s v="FY21"/>
    <s v="t"/>
    <n v="0"/>
    <n v="0"/>
    <n v="7.8399999999999997E-2"/>
    <n v="7.8399999999999997E-2"/>
    <n v="0"/>
    <n v="0"/>
    <n v="28"/>
    <n v="28"/>
    <n v="0"/>
    <n v="0"/>
    <n v="100"/>
    <s v="Consolidation"/>
    <s v="CO2e and Base Measure"/>
    <n v="100"/>
    <n v="100"/>
    <n v="0.08"/>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3-01T00:00:00"/>
    <s v="FY21"/>
    <s v="t"/>
    <n v="0"/>
    <n v="0"/>
    <n v="8.6800000000000002E-2"/>
    <n v="8.6800000000000002E-2"/>
    <n v="0"/>
    <n v="0"/>
    <n v="31"/>
    <n v="31"/>
    <n v="0"/>
    <n v="0"/>
    <n v="100"/>
    <s v="Consolidation"/>
    <s v="CO2e and Base Measure"/>
    <n v="100"/>
    <n v="100"/>
    <n v="0.09"/>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4-01T00:00:00"/>
    <s v="FY21"/>
    <s v="t"/>
    <n v="0"/>
    <n v="0"/>
    <n v="8.4000000000000005E-2"/>
    <n v="8.4000000000000005E-2"/>
    <n v="0"/>
    <n v="0"/>
    <n v="30"/>
    <n v="30"/>
    <n v="0"/>
    <n v="0"/>
    <n v="100"/>
    <s v="Consolidation"/>
    <s v="CO2e and Base Measure"/>
    <n v="100"/>
    <n v="100"/>
    <n v="0.08"/>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5-01T00:00:00"/>
    <s v="FY21"/>
    <s v="t"/>
    <n v="0"/>
    <n v="0"/>
    <n v="8.6800000000000002E-2"/>
    <n v="8.6800000000000002E-2"/>
    <n v="0"/>
    <n v="0"/>
    <n v="31"/>
    <n v="31"/>
    <n v="0"/>
    <n v="0"/>
    <n v="100"/>
    <s v="Consolidation"/>
    <s v="CO2e and Base Measure"/>
    <n v="100"/>
    <n v="100"/>
    <n v="0.09"/>
    <m/>
    <m/>
    <m/>
    <m/>
    <m/>
    <m/>
    <m/>
    <m/>
    <m/>
    <m/>
    <m/>
    <m/>
    <m/>
    <s v="AUD"/>
    <s v="13576185Waste Recycled - E-waste [t]"/>
    <n v="1357618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0-12-01T00:00:00"/>
    <s v="FY21"/>
    <s v="t"/>
    <n v="0.51900000000000002"/>
    <n v="0"/>
    <n v="0"/>
    <n v="0.51900000000000002"/>
    <n v="3"/>
    <n v="0"/>
    <n v="0"/>
    <n v="3"/>
    <n v="100"/>
    <n v="0"/>
    <n v="0"/>
    <s v="Consolidation"/>
    <s v="CO2e and Base Measure"/>
    <n v="100"/>
    <n v="100"/>
    <n v="0.52"/>
    <m/>
    <m/>
    <m/>
    <m/>
    <m/>
    <n v="0.67469999999999997"/>
    <m/>
    <n v="0.67469999999999997"/>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1-01T00:00:00"/>
    <s v="FY21"/>
    <s v="t"/>
    <n v="0.38900000000000001"/>
    <n v="0"/>
    <n v="0"/>
    <n v="0.38900000000000001"/>
    <n v="2"/>
    <n v="0"/>
    <n v="0"/>
    <n v="2"/>
    <n v="100"/>
    <n v="0"/>
    <n v="0"/>
    <s v="Consolidation"/>
    <s v="CO2e and Base Measure"/>
    <n v="100"/>
    <n v="100"/>
    <n v="0.39"/>
    <m/>
    <m/>
    <m/>
    <m/>
    <m/>
    <n v="0.50570000000000004"/>
    <m/>
    <n v="0.50570000000000004"/>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2-01T00:00:00"/>
    <s v="FY21"/>
    <s v="t"/>
    <n v="0.32100000000000001"/>
    <n v="0"/>
    <n v="0"/>
    <n v="0.32100000000000001"/>
    <n v="2"/>
    <n v="0"/>
    <n v="0"/>
    <n v="2"/>
    <n v="100"/>
    <n v="0"/>
    <n v="0"/>
    <s v="Consolidation"/>
    <s v="CO2e and Base Measure"/>
    <n v="100"/>
    <n v="100"/>
    <n v="0.32"/>
    <m/>
    <m/>
    <m/>
    <m/>
    <m/>
    <n v="0.4173"/>
    <m/>
    <n v="0.4173"/>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3-01T00:00:00"/>
    <s v="FY21"/>
    <s v="t"/>
    <n v="0.83899999999999997"/>
    <n v="0"/>
    <n v="0"/>
    <n v="0.83899999999999997"/>
    <n v="3"/>
    <n v="0"/>
    <n v="0"/>
    <n v="3"/>
    <n v="100"/>
    <n v="0"/>
    <n v="0"/>
    <s v="Consolidation"/>
    <s v="CO2e and Base Measure"/>
    <n v="100"/>
    <n v="100"/>
    <n v="0.84"/>
    <m/>
    <m/>
    <m/>
    <m/>
    <m/>
    <n v="1.0907"/>
    <m/>
    <n v="1.0907"/>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4-01T00:00:00"/>
    <s v="FY21"/>
    <s v="t"/>
    <n v="0"/>
    <n v="0"/>
    <n v="0.51600000000000001"/>
    <n v="0.51600000000000001"/>
    <n v="0"/>
    <n v="0"/>
    <n v="30"/>
    <n v="30"/>
    <n v="0"/>
    <n v="0"/>
    <n v="100"/>
    <s v="Consolidation"/>
    <s v="CO2e and Base Measure"/>
    <n v="100"/>
    <n v="100"/>
    <n v="0.52"/>
    <m/>
    <m/>
    <m/>
    <m/>
    <m/>
    <n v="0.67079999999999995"/>
    <m/>
    <n v="0.67079999999999995"/>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5-01T00:00:00"/>
    <s v="FY21"/>
    <s v="t"/>
    <n v="0"/>
    <n v="0"/>
    <n v="0.53320000000000001"/>
    <n v="0.53320000000000001"/>
    <n v="0"/>
    <n v="0"/>
    <n v="31"/>
    <n v="31"/>
    <n v="0"/>
    <n v="0"/>
    <n v="100"/>
    <s v="Consolidation"/>
    <s v="CO2e and Base Measure"/>
    <n v="100"/>
    <n v="100"/>
    <n v="0.53"/>
    <m/>
    <m/>
    <m/>
    <m/>
    <m/>
    <n v="0.69320000000000004"/>
    <m/>
    <n v="0.69320000000000004"/>
    <m/>
    <m/>
    <m/>
    <m/>
    <m/>
    <s v="AUD"/>
    <s v="13634215Waste - General [t] - Scope 3"/>
    <n v="13634215"/>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07-01T00:00:00"/>
    <s v="FY21"/>
    <s v="t"/>
    <n v="0"/>
    <n v="0.39"/>
    <n v="0"/>
    <n v="0.39"/>
    <n v="0"/>
    <n v="4"/>
    <n v="0"/>
    <n v="4"/>
    <n v="0"/>
    <n v="100"/>
    <n v="0"/>
    <s v="Consolidation"/>
    <s v="CO2e and Base Measure"/>
    <n v="100"/>
    <n v="100"/>
    <n v="0.39"/>
    <m/>
    <m/>
    <m/>
    <m/>
    <m/>
    <n v="0.50700000000000001"/>
    <m/>
    <n v="0.50700000000000001"/>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09-01T00:00:00"/>
    <s v="FY21"/>
    <s v="t"/>
    <n v="0"/>
    <n v="0.48749999999999999"/>
    <n v="0"/>
    <n v="0.48749999999999999"/>
    <n v="0"/>
    <n v="5"/>
    <n v="0"/>
    <n v="5"/>
    <n v="0"/>
    <n v="100"/>
    <n v="0"/>
    <s v="Consolidation"/>
    <s v="CO2e and Base Measure"/>
    <n v="100"/>
    <n v="100"/>
    <n v="0.49"/>
    <m/>
    <m/>
    <m/>
    <m/>
    <m/>
    <n v="0.63380000000000003"/>
    <m/>
    <n v="0.63380000000000003"/>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10-01T00:00:00"/>
    <s v="FY21"/>
    <s v="t"/>
    <n v="0"/>
    <n v="0.39"/>
    <n v="0"/>
    <n v="0.39"/>
    <n v="0"/>
    <n v="4"/>
    <n v="0"/>
    <n v="4"/>
    <n v="0"/>
    <n v="100"/>
    <n v="0"/>
    <s v="Consolidation"/>
    <s v="CO2e and Base Measure"/>
    <n v="100"/>
    <n v="100"/>
    <n v="0.39"/>
    <m/>
    <m/>
    <m/>
    <m/>
    <m/>
    <n v="0.50700000000000001"/>
    <m/>
    <n v="0.50700000000000001"/>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11-01T00:00:00"/>
    <s v="FY21"/>
    <s v="t"/>
    <n v="0"/>
    <n v="0.29249999999999998"/>
    <n v="0"/>
    <n v="0.29249999999999998"/>
    <n v="0"/>
    <n v="3"/>
    <n v="0"/>
    <n v="3"/>
    <n v="0"/>
    <n v="100"/>
    <n v="0"/>
    <s v="Consolidation"/>
    <s v="CO2e and Base Measure"/>
    <n v="100"/>
    <n v="100"/>
    <n v="0.28999999999999998"/>
    <m/>
    <m/>
    <m/>
    <m/>
    <m/>
    <n v="0.38030000000000003"/>
    <m/>
    <n v="0.38030000000000003"/>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12-01T00:00:00"/>
    <s v="FY21"/>
    <s v="t"/>
    <n v="0"/>
    <n v="0"/>
    <n v="1.23E-2"/>
    <n v="1.23E-2"/>
    <n v="0"/>
    <n v="0"/>
    <n v="1"/>
    <n v="1"/>
    <n v="0"/>
    <n v="0"/>
    <n v="100"/>
    <s v="Consolidation"/>
    <s v="CO2e and Base Measure"/>
    <n v="100"/>
    <n v="100"/>
    <n v="0.01"/>
    <m/>
    <m/>
    <m/>
    <m/>
    <m/>
    <n v="1.6E-2"/>
    <m/>
    <n v="1.6E-2"/>
    <m/>
    <m/>
    <m/>
    <m/>
    <m/>
    <s v="AUD"/>
    <s v="13565231Waste - General [t] - Scope 3"/>
    <n v="13565231"/>
  </r>
  <r>
    <d v="2019-07-01T00:00:00"/>
    <d v="2021-06-30T00:00:00"/>
    <s v="Telstra"/>
    <s v="NETWORK"/>
    <s v="Network - InfraCo"/>
    <s v="VIC"/>
    <s v="Australia"/>
    <s v="Shepparton"/>
    <s v="NUMURKAH EXCHANGE"/>
    <n v="423030777300"/>
    <s v="Waste"/>
    <x v="1"/>
    <x v="4"/>
    <s v="Account"/>
    <s v="Remondis Asbestos"/>
    <m/>
    <s v="4230307773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76244Waste - Construction and Demolition [t]"/>
    <n v="13576244"/>
  </r>
  <r>
    <d v="2019-07-01T00:00:00"/>
    <d v="2021-06-30T00:00:00"/>
    <s v="Telstra"/>
    <s v="NETWORK"/>
    <s v="Network - InfraCo"/>
    <s v="VIC"/>
    <s v="Australia"/>
    <s v="Shepparton"/>
    <s v="NUMURKAH EXCHANGE"/>
    <n v="423030777300"/>
    <s v="Waste"/>
    <x v="1"/>
    <x v="4"/>
    <s v="Account"/>
    <s v="Remondis Asbestos"/>
    <m/>
    <s v="4230307773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76244Waste - Construction and Demolition [t]"/>
    <n v="13576244"/>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1-01T00:00:00"/>
    <s v="FY21"/>
    <s v="t"/>
    <n v="0.03"/>
    <n v="0"/>
    <n v="0"/>
    <n v="0.03"/>
    <n v="1"/>
    <n v="0"/>
    <n v="0"/>
    <n v="1"/>
    <n v="100"/>
    <n v="0"/>
    <n v="0"/>
    <s v="Consolidation"/>
    <s v="CO2e and Base Measure"/>
    <n v="100"/>
    <n v="100"/>
    <n v="0.03"/>
    <m/>
    <m/>
    <m/>
    <m/>
    <m/>
    <n v="3.9E-2"/>
    <m/>
    <n v="3.9E-2"/>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2-01T00:00:00"/>
    <s v="FY21"/>
    <s v="t"/>
    <n v="1.0999999999999999E-2"/>
    <n v="0"/>
    <n v="0"/>
    <n v="1.0999999999999999E-2"/>
    <n v="1"/>
    <n v="0"/>
    <n v="0"/>
    <n v="1"/>
    <n v="100"/>
    <n v="0"/>
    <n v="0"/>
    <s v="Consolidation"/>
    <s v="CO2e and Base Measure"/>
    <n v="100"/>
    <n v="100"/>
    <n v="0.01"/>
    <m/>
    <m/>
    <m/>
    <m/>
    <m/>
    <n v="1.43E-2"/>
    <m/>
    <n v="1.43E-2"/>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3-01T00:00:00"/>
    <s v="FY21"/>
    <s v="t"/>
    <n v="9.6000000000000002E-2"/>
    <n v="0"/>
    <n v="0"/>
    <n v="9.6000000000000002E-2"/>
    <n v="1"/>
    <n v="0"/>
    <n v="0"/>
    <n v="1"/>
    <n v="100"/>
    <n v="0"/>
    <n v="0"/>
    <s v="Consolidation"/>
    <s v="CO2e and Base Measure"/>
    <n v="100"/>
    <n v="100"/>
    <n v="0.1"/>
    <m/>
    <m/>
    <m/>
    <m/>
    <m/>
    <n v="0.12479999999999999"/>
    <m/>
    <n v="0.12479999999999999"/>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216Waste - General [t] - Scope 3"/>
    <n v="13634216"/>
  </r>
  <r>
    <d v="2019-07-01T00:00:00"/>
    <d v="2021-06-30T00:00:00"/>
    <s v="Telstra"/>
    <s v="NETWORK"/>
    <s v="Network - InfraCo"/>
    <s v="QLD"/>
    <s v="Australia"/>
    <s v="Chermside"/>
    <s v="NUNDAH EXCHANGE"/>
    <n v="423030161400"/>
    <s v="Recycled Waste"/>
    <x v="0"/>
    <x v="0"/>
    <s v="Account"/>
    <s v="Remondis Cardboard - Loose - Recycled"/>
    <m/>
    <s v="4230301614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233Waste Recycled - Cardboard [t]"/>
    <n v="13564233"/>
  </r>
  <r>
    <d v="2019-07-01T00:00:00"/>
    <d v="2021-06-30T00:00:00"/>
    <s v="Telstra"/>
    <s v="NETWORK"/>
    <s v="Network - InfraCo"/>
    <s v="QLD"/>
    <s v="Australia"/>
    <s v="Chermside"/>
    <s v="NUNDAH EXCHANGE"/>
    <n v="423030161400"/>
    <s v="Recycled Waste"/>
    <x v="0"/>
    <x v="0"/>
    <s v="Account"/>
    <s v="Remondis Cardboard - Loose - Recycled"/>
    <m/>
    <s v="423030161400_RCARDBOAR"/>
    <s v="CARDBOARD - LOOSE - RECYCLED"/>
    <s v="Remondis"/>
    <m/>
    <m/>
    <d v="2021-01-01T00:00:00"/>
    <d v="2021-01-01T00:00:00"/>
    <s v="FY21"/>
    <s v="t"/>
    <n v="0"/>
    <n v="0"/>
    <n v="8.0000000000000004E-4"/>
    <n v="8.0000000000000004E-4"/>
    <n v="0"/>
    <n v="0"/>
    <n v="1"/>
    <n v="1"/>
    <n v="0"/>
    <n v="0"/>
    <n v="100"/>
    <s v="Consolidation"/>
    <s v="CO2e and Base Measure"/>
    <n v="100"/>
    <n v="100"/>
    <n v="0"/>
    <m/>
    <m/>
    <m/>
    <m/>
    <m/>
    <m/>
    <n v="0"/>
    <m/>
    <m/>
    <m/>
    <m/>
    <m/>
    <m/>
    <s v="AUD"/>
    <s v="13564233Waste Recycled - Cardboard [t]"/>
    <n v="13564233"/>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07-01T00:00:00"/>
    <s v="FY21"/>
    <s v="t"/>
    <n v="4.2999999999999997E-2"/>
    <n v="0"/>
    <n v="0"/>
    <n v="4.2999999999999997E-2"/>
    <n v="2"/>
    <n v="0"/>
    <n v="0"/>
    <n v="2"/>
    <n v="100"/>
    <n v="0"/>
    <n v="0"/>
    <s v="Consolidation"/>
    <s v="CO2e and Base Measure"/>
    <n v="100"/>
    <n v="100"/>
    <n v="0.04"/>
    <m/>
    <m/>
    <m/>
    <m/>
    <m/>
    <n v="5.5899999999999998E-2"/>
    <m/>
    <n v="5.5899999999999998E-2"/>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08-01T00:00:00"/>
    <s v="FY21"/>
    <s v="t"/>
    <n v="0.108"/>
    <n v="0"/>
    <n v="0"/>
    <n v="0.108"/>
    <n v="2"/>
    <n v="0"/>
    <n v="0"/>
    <n v="2"/>
    <n v="100"/>
    <n v="0"/>
    <n v="0"/>
    <s v="Consolidation"/>
    <s v="CO2e and Base Measure"/>
    <n v="100"/>
    <n v="100"/>
    <n v="0.11"/>
    <m/>
    <m/>
    <m/>
    <m/>
    <m/>
    <n v="0.1404"/>
    <m/>
    <n v="0.1404"/>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09-01T00:00:00"/>
    <s v="FY21"/>
    <s v="t"/>
    <n v="0.04"/>
    <n v="0"/>
    <n v="0"/>
    <n v="0.04"/>
    <n v="2"/>
    <n v="0"/>
    <n v="0"/>
    <n v="2"/>
    <n v="100"/>
    <n v="0"/>
    <n v="0"/>
    <s v="Consolidation"/>
    <s v="CO2e and Base Measure"/>
    <n v="100"/>
    <n v="100"/>
    <n v="0.04"/>
    <m/>
    <m/>
    <m/>
    <m/>
    <m/>
    <n v="5.1999999999999998E-2"/>
    <m/>
    <n v="5.1999999999999998E-2"/>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10-01T00:00:00"/>
    <s v="FY21"/>
    <s v="t"/>
    <n v="8.5000000000000006E-2"/>
    <n v="0"/>
    <n v="0"/>
    <n v="8.5000000000000006E-2"/>
    <n v="3"/>
    <n v="0"/>
    <n v="0"/>
    <n v="3"/>
    <n v="100"/>
    <n v="0"/>
    <n v="0"/>
    <s v="Consolidation"/>
    <s v="CO2e and Base Measure"/>
    <n v="100"/>
    <n v="100"/>
    <n v="0.09"/>
    <m/>
    <m/>
    <m/>
    <m/>
    <m/>
    <n v="0.1105"/>
    <m/>
    <n v="0.1105"/>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11-01T00:00:00"/>
    <s v="FY21"/>
    <s v="t"/>
    <n v="2.8000000000000001E-2"/>
    <n v="0"/>
    <n v="0"/>
    <n v="2.8000000000000001E-2"/>
    <n v="1"/>
    <n v="0"/>
    <n v="0"/>
    <n v="1"/>
    <n v="100"/>
    <n v="0"/>
    <n v="0"/>
    <s v="Consolidation"/>
    <s v="CO2e and Base Measure"/>
    <n v="100"/>
    <n v="100"/>
    <n v="0.03"/>
    <m/>
    <m/>
    <m/>
    <m/>
    <m/>
    <n v="3.6400000000000002E-2"/>
    <m/>
    <n v="3.6400000000000002E-2"/>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1-01-01T00:00:00"/>
    <s v="FY21"/>
    <s v="t"/>
    <n v="0"/>
    <n v="0"/>
    <n v="2.2000000000000001E-3"/>
    <n v="2.2000000000000001E-3"/>
    <n v="0"/>
    <n v="0"/>
    <n v="1"/>
    <n v="1"/>
    <n v="0"/>
    <n v="0"/>
    <n v="100"/>
    <s v="Consolidation"/>
    <s v="CO2e and Base Measure"/>
    <n v="100"/>
    <n v="100"/>
    <n v="0"/>
    <m/>
    <m/>
    <m/>
    <m/>
    <m/>
    <n v="2.8999999999999998E-3"/>
    <m/>
    <n v="2.8999999999999998E-3"/>
    <m/>
    <m/>
    <m/>
    <m/>
    <m/>
    <s v="AUD"/>
    <s v="13564234Waste - General [t] - Scope 3"/>
    <n v="13564234"/>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0-12-01T00:00:00"/>
    <s v="FY21"/>
    <s v="t"/>
    <n v="0.06"/>
    <n v="4.9500000000000002E-2"/>
    <n v="0"/>
    <n v="0.1095"/>
    <n v="1"/>
    <n v="1"/>
    <n v="0"/>
    <n v="2"/>
    <n v="54.79"/>
    <n v="45.2"/>
    <n v="0"/>
    <s v="Consolidation"/>
    <s v="CO2e and Base Measure"/>
    <n v="100"/>
    <n v="100"/>
    <n v="0.11"/>
    <m/>
    <m/>
    <m/>
    <m/>
    <m/>
    <n v="0.1424"/>
    <m/>
    <n v="0.1424"/>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1-01T00:00:00"/>
    <s v="FY21"/>
    <s v="t"/>
    <n v="0.05"/>
    <n v="0"/>
    <n v="0"/>
    <n v="0.05"/>
    <n v="1"/>
    <n v="0"/>
    <n v="0"/>
    <n v="1"/>
    <n v="100"/>
    <n v="0"/>
    <n v="0"/>
    <s v="Consolidation"/>
    <s v="CO2e and Base Measure"/>
    <n v="100"/>
    <n v="100"/>
    <n v="0.05"/>
    <m/>
    <m/>
    <m/>
    <m/>
    <m/>
    <n v="6.5000000000000002E-2"/>
    <m/>
    <n v="6.5000000000000002E-2"/>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3-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17Waste - General [t] - Scope 3"/>
    <n v="13634217"/>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0-12-01T00:00:00"/>
    <s v="FY21"/>
    <s v="t"/>
    <n v="0"/>
    <n v="5.5E-2"/>
    <n v="0"/>
    <n v="5.5E-2"/>
    <n v="0"/>
    <n v="2"/>
    <n v="0"/>
    <n v="2"/>
    <n v="0"/>
    <n v="100"/>
    <n v="0"/>
    <s v="Consolidation"/>
    <s v="CO2e and Base Measure"/>
    <n v="100"/>
    <n v="100"/>
    <n v="0.06"/>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1-01T00:00:00"/>
    <s v="FY21"/>
    <s v="t"/>
    <n v="0"/>
    <n v="2.75E-2"/>
    <n v="0"/>
    <n v="2.75E-2"/>
    <n v="0"/>
    <n v="1"/>
    <n v="0"/>
    <n v="1"/>
    <n v="0"/>
    <n v="100"/>
    <n v="0"/>
    <s v="Consolidation"/>
    <s v="CO2e and Base Measure"/>
    <n v="100"/>
    <n v="100"/>
    <n v="0.03"/>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2-01T00:00:00"/>
    <s v="FY21"/>
    <s v="t"/>
    <n v="0"/>
    <n v="5.5E-2"/>
    <n v="0"/>
    <n v="5.5E-2"/>
    <n v="0"/>
    <n v="2"/>
    <n v="0"/>
    <n v="2"/>
    <n v="0"/>
    <n v="100"/>
    <n v="0"/>
    <s v="Consolidation"/>
    <s v="CO2e and Base Measure"/>
    <n v="100"/>
    <n v="100"/>
    <n v="0.06"/>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3-01T00:00:00"/>
    <s v="FY21"/>
    <s v="t"/>
    <n v="0"/>
    <n v="0"/>
    <n v="4.65E-2"/>
    <n v="4.65E-2"/>
    <n v="0"/>
    <n v="0"/>
    <n v="31"/>
    <n v="31"/>
    <n v="0"/>
    <n v="0"/>
    <n v="100"/>
    <s v="Consolidation"/>
    <s v="CO2e and Base Measure"/>
    <n v="100"/>
    <n v="100"/>
    <n v="0.05"/>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4-01T00:00:00"/>
    <s v="FY21"/>
    <s v="t"/>
    <n v="0"/>
    <n v="0"/>
    <n v="4.4999999999999998E-2"/>
    <n v="4.4999999999999998E-2"/>
    <n v="0"/>
    <n v="0"/>
    <n v="30"/>
    <n v="30"/>
    <n v="0"/>
    <n v="0"/>
    <n v="100"/>
    <s v="Consolidation"/>
    <s v="CO2e and Base Measure"/>
    <n v="100"/>
    <n v="100"/>
    <n v="0.05"/>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5-01T00:00:00"/>
    <s v="FY21"/>
    <s v="t"/>
    <n v="0"/>
    <n v="0"/>
    <n v="4.65E-2"/>
    <n v="4.65E-2"/>
    <n v="0"/>
    <n v="0"/>
    <n v="31"/>
    <n v="31"/>
    <n v="0"/>
    <n v="0"/>
    <n v="100"/>
    <s v="Consolidation"/>
    <s v="CO2e and Base Measure"/>
    <n v="100"/>
    <n v="100"/>
    <n v="0.05"/>
    <m/>
    <m/>
    <m/>
    <m/>
    <m/>
    <m/>
    <m/>
    <m/>
    <m/>
    <m/>
    <m/>
    <m/>
    <m/>
    <s v="AUD"/>
    <s v="13634218Waste Recycled - Paper and Cardboard [t]"/>
    <n v="13634218"/>
  </r>
  <r>
    <d v="2019-07-01T00:00:00"/>
    <d v="2021-06-30T00:00:00"/>
    <s v="Telstra"/>
    <s v="NETWORK"/>
    <s v="Network - InfraCo"/>
    <s v="SA"/>
    <s v="Australia"/>
    <s v="Nuriootpa"/>
    <s v="NURIOOTPA EXCHANGE"/>
    <n v="423030574600"/>
    <s v="Recycled Waste"/>
    <x v="0"/>
    <x v="0"/>
    <s v="Account"/>
    <s v="Remondis Cardboard - Loose - Recycled"/>
    <m/>
    <s v="423030574600_RCARDBOAR"/>
    <s v="CARDBOARD - LOOSE - RECYCLED"/>
    <s v="Remondis"/>
    <m/>
    <m/>
    <d v="2020-07-01T00:00:00"/>
    <d v="2020-07-01T00:00:00"/>
    <s v="FY21"/>
    <s v="t"/>
    <n v="0"/>
    <n v="0"/>
    <n v="1.1000000000000001E-3"/>
    <n v="1.1000000000000001E-3"/>
    <n v="0"/>
    <n v="0"/>
    <n v="1"/>
    <n v="1"/>
    <n v="0"/>
    <n v="0"/>
    <n v="100"/>
    <s v="Consolidation"/>
    <s v="CO2e and Base Measure"/>
    <n v="100"/>
    <n v="100"/>
    <n v="0"/>
    <m/>
    <m/>
    <m/>
    <m/>
    <m/>
    <m/>
    <n v="0"/>
    <m/>
    <m/>
    <m/>
    <m/>
    <m/>
    <m/>
    <s v="AUD"/>
    <s v="13564880Waste Recycled - Cardboard [t]"/>
    <n v="13564880"/>
  </r>
  <r>
    <d v="2019-07-01T00:00:00"/>
    <d v="2021-06-30T00:00:00"/>
    <s v="Telstra"/>
    <s v="NETWORK"/>
    <s v="Network - InfraCo"/>
    <s v="SA"/>
    <s v="Australia"/>
    <s v="Nuriootpa"/>
    <s v="NURIOOTPA EXCHANGE"/>
    <n v="423030574600"/>
    <s v="Waste"/>
    <x v="1"/>
    <x v="2"/>
    <s v="Account"/>
    <s v="Remondis General Waste"/>
    <m/>
    <s v="423030574600_WGENERALW"/>
    <s v="GENERAL WASTE"/>
    <s v="Remondis"/>
    <m/>
    <m/>
    <d v="2020-07-01T00:00:00"/>
    <d v="2020-07-01T00:00:00"/>
    <s v="FY21"/>
    <s v="t"/>
    <n v="0"/>
    <n v="0"/>
    <n v="3.3999999999999998E-3"/>
    <n v="3.3999999999999998E-3"/>
    <n v="0"/>
    <n v="0"/>
    <n v="1"/>
    <n v="1"/>
    <n v="0"/>
    <n v="0"/>
    <n v="100"/>
    <s v="Consolidation"/>
    <s v="CO2e and Base Measure"/>
    <n v="100"/>
    <n v="100"/>
    <n v="0"/>
    <m/>
    <m/>
    <m/>
    <m/>
    <m/>
    <n v="4.4000000000000003E-3"/>
    <m/>
    <n v="4.4000000000000003E-3"/>
    <m/>
    <m/>
    <m/>
    <m/>
    <m/>
    <s v="AUD"/>
    <s v="13564881Waste - General [t] - Scope 3"/>
    <n v="13564881"/>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1-01T00:00:00"/>
    <s v="FY21"/>
    <s v="t"/>
    <n v="0"/>
    <n v="1.9199999999999998E-2"/>
    <n v="0"/>
    <n v="1.9199999999999998E-2"/>
    <n v="0"/>
    <n v="1"/>
    <n v="0"/>
    <n v="1"/>
    <n v="0"/>
    <n v="100"/>
    <n v="0"/>
    <s v="Consolidation"/>
    <s v="CO2e and Base Measure"/>
    <n v="100"/>
    <n v="100"/>
    <n v="0.02"/>
    <m/>
    <m/>
    <m/>
    <m/>
    <m/>
    <n v="2.3E-2"/>
    <m/>
    <n v="2.3E-2"/>
    <m/>
    <m/>
    <m/>
    <m/>
    <m/>
    <s v="AUD"/>
    <s v="13634597Hazardous Waste [t]"/>
    <n v="13634597"/>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2-01T00:00:00"/>
    <s v="FY21"/>
    <s v="t"/>
    <n v="0"/>
    <n v="0"/>
    <n v="1.6799999999999999E-2"/>
    <n v="1.6799999999999999E-2"/>
    <n v="0"/>
    <n v="0"/>
    <n v="28"/>
    <n v="28"/>
    <n v="0"/>
    <n v="0"/>
    <n v="100"/>
    <s v="Consolidation"/>
    <s v="CO2e and Base Measure"/>
    <n v="100"/>
    <n v="100"/>
    <n v="0.02"/>
    <m/>
    <m/>
    <m/>
    <m/>
    <m/>
    <n v="2.0199999999999999E-2"/>
    <m/>
    <n v="2.0199999999999999E-2"/>
    <m/>
    <m/>
    <m/>
    <m/>
    <m/>
    <s v="AUD"/>
    <s v="13634597Hazardous Waste [t]"/>
    <n v="13634597"/>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3-01T00:00:00"/>
    <s v="FY21"/>
    <s v="t"/>
    <n v="0"/>
    <n v="0"/>
    <n v="1.8599999999999998E-2"/>
    <n v="1.8599999999999998E-2"/>
    <n v="0"/>
    <n v="0"/>
    <n v="31"/>
    <n v="31"/>
    <n v="0"/>
    <n v="0"/>
    <n v="100"/>
    <s v="Consolidation"/>
    <s v="CO2e and Base Measure"/>
    <n v="100"/>
    <n v="100"/>
    <n v="0.02"/>
    <m/>
    <m/>
    <m/>
    <m/>
    <m/>
    <n v="2.23E-2"/>
    <m/>
    <n v="2.23E-2"/>
    <m/>
    <m/>
    <m/>
    <m/>
    <m/>
    <s v="AUD"/>
    <s v="13634597Hazardous Waste [t]"/>
    <n v="13634597"/>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4-01T00:00:00"/>
    <s v="FY21"/>
    <s v="t"/>
    <n v="0"/>
    <n v="0"/>
    <n v="1.7999999999999999E-2"/>
    <n v="1.7999999999999999E-2"/>
    <n v="0"/>
    <n v="0"/>
    <n v="30"/>
    <n v="30"/>
    <n v="0"/>
    <n v="0"/>
    <n v="100"/>
    <s v="Consolidation"/>
    <s v="CO2e and Base Measure"/>
    <n v="100"/>
    <n v="100"/>
    <n v="0.02"/>
    <m/>
    <m/>
    <m/>
    <m/>
    <m/>
    <n v="2.1600000000000001E-2"/>
    <m/>
    <n v="2.1600000000000001E-2"/>
    <m/>
    <m/>
    <m/>
    <m/>
    <m/>
    <s v="AUD"/>
    <s v="13634597Hazardous Waste [t]"/>
    <n v="13634597"/>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5-01T00:00:00"/>
    <s v="FY21"/>
    <s v="t"/>
    <n v="0"/>
    <n v="0"/>
    <n v="1.8599999999999998E-2"/>
    <n v="1.8599999999999998E-2"/>
    <n v="0"/>
    <n v="0"/>
    <n v="31"/>
    <n v="31"/>
    <n v="0"/>
    <n v="0"/>
    <n v="100"/>
    <s v="Consolidation"/>
    <s v="CO2e and Base Measure"/>
    <n v="100"/>
    <n v="100"/>
    <n v="0.02"/>
    <m/>
    <m/>
    <m/>
    <m/>
    <m/>
    <n v="2.23E-2"/>
    <m/>
    <n v="2.23E-2"/>
    <m/>
    <m/>
    <m/>
    <m/>
    <m/>
    <s v="AUD"/>
    <s v="13634597Hazardous Waste [t]"/>
    <n v="13634597"/>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0-12-01T00:00:00"/>
    <s v="FY21"/>
    <s v="t"/>
    <n v="0.38"/>
    <n v="0"/>
    <n v="0"/>
    <n v="0.38"/>
    <n v="1"/>
    <n v="0"/>
    <n v="0"/>
    <n v="1"/>
    <n v="100"/>
    <n v="0"/>
    <n v="0"/>
    <s v="Consolidation"/>
    <s v="CO2e and Base Measure"/>
    <n v="100"/>
    <n v="100"/>
    <n v="0.38"/>
    <m/>
    <m/>
    <m/>
    <m/>
    <m/>
    <n v="0.49399999999999999"/>
    <m/>
    <n v="0.49399999999999999"/>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1-01T00:00:00"/>
    <s v="FY21"/>
    <s v="t"/>
    <n v="0"/>
    <n v="0"/>
    <n v="0.39369999999999999"/>
    <n v="0.39369999999999999"/>
    <n v="0"/>
    <n v="0"/>
    <n v="31"/>
    <n v="31"/>
    <n v="0"/>
    <n v="0"/>
    <n v="100"/>
    <s v="Consolidation"/>
    <s v="CO2e and Base Measure"/>
    <n v="100"/>
    <n v="100"/>
    <n v="0.39"/>
    <m/>
    <m/>
    <m/>
    <m/>
    <m/>
    <n v="0.51180000000000003"/>
    <m/>
    <n v="0.51180000000000003"/>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2-01T00:00:00"/>
    <s v="FY21"/>
    <s v="t"/>
    <n v="0"/>
    <n v="0"/>
    <n v="0.35560000000000003"/>
    <n v="0.35560000000000003"/>
    <n v="0"/>
    <n v="0"/>
    <n v="28"/>
    <n v="28"/>
    <n v="0"/>
    <n v="0"/>
    <n v="100"/>
    <s v="Consolidation"/>
    <s v="CO2e and Base Measure"/>
    <n v="100"/>
    <n v="100"/>
    <n v="0.36"/>
    <m/>
    <m/>
    <m/>
    <m/>
    <m/>
    <n v="0.46229999999999999"/>
    <m/>
    <n v="0.46229999999999999"/>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3-01T00:00:00"/>
    <s v="FY21"/>
    <s v="t"/>
    <n v="0"/>
    <n v="0"/>
    <n v="0.39369999999999999"/>
    <n v="0.39369999999999999"/>
    <n v="0"/>
    <n v="0"/>
    <n v="31"/>
    <n v="31"/>
    <n v="0"/>
    <n v="0"/>
    <n v="100"/>
    <s v="Consolidation"/>
    <s v="CO2e and Base Measure"/>
    <n v="100"/>
    <n v="100"/>
    <n v="0.39"/>
    <m/>
    <m/>
    <m/>
    <m/>
    <m/>
    <n v="0.51180000000000003"/>
    <m/>
    <n v="0.51180000000000003"/>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4-01T00:00:00"/>
    <s v="FY21"/>
    <s v="t"/>
    <n v="0"/>
    <n v="0"/>
    <n v="0.38100000000000001"/>
    <n v="0.38100000000000001"/>
    <n v="0"/>
    <n v="0"/>
    <n v="30"/>
    <n v="30"/>
    <n v="0"/>
    <n v="0"/>
    <n v="100"/>
    <s v="Consolidation"/>
    <s v="CO2e and Base Measure"/>
    <n v="100"/>
    <n v="100"/>
    <n v="0.38"/>
    <m/>
    <m/>
    <m/>
    <m/>
    <m/>
    <n v="0.49530000000000002"/>
    <m/>
    <n v="0.49530000000000002"/>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5-01T00:00:00"/>
    <s v="FY21"/>
    <s v="t"/>
    <n v="0"/>
    <n v="0"/>
    <n v="0.39369999999999999"/>
    <n v="0.39369999999999999"/>
    <n v="0"/>
    <n v="0"/>
    <n v="31"/>
    <n v="31"/>
    <n v="0"/>
    <n v="0"/>
    <n v="100"/>
    <s v="Consolidation"/>
    <s v="CO2e and Base Measure"/>
    <n v="100"/>
    <n v="100"/>
    <n v="0.39"/>
    <m/>
    <m/>
    <m/>
    <m/>
    <m/>
    <n v="0.51180000000000003"/>
    <m/>
    <n v="0.51180000000000003"/>
    <m/>
    <m/>
    <m/>
    <m/>
    <m/>
    <s v="AUD"/>
    <s v="13634596Waste - General [t] - Scope 3"/>
    <n v="1363459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1-01-01T00:00:00"/>
    <s v="FY21"/>
    <s v="t"/>
    <n v="0"/>
    <n v="0"/>
    <n v="6.0000000000000001E-3"/>
    <n v="6.0000000000000001E-3"/>
    <n v="0"/>
    <n v="0"/>
    <n v="1"/>
    <n v="1"/>
    <n v="0"/>
    <n v="0"/>
    <n v="100"/>
    <s v="Consolidation"/>
    <s v="CO2e and Base Measure"/>
    <n v="100"/>
    <n v="100"/>
    <n v="0.01"/>
    <m/>
    <m/>
    <m/>
    <m/>
    <m/>
    <n v="7.7999999999999996E-3"/>
    <m/>
    <n v="7.7999999999999996E-3"/>
    <m/>
    <m/>
    <m/>
    <m/>
    <m/>
    <s v="AUD"/>
    <s v="13564216Waste - General [t] - Scope 3"/>
    <n v="13564216"/>
  </r>
  <r>
    <d v="2019-07-01T00:00:00"/>
    <d v="2021-06-30T00:00:00"/>
    <s v="Telstra"/>
    <s v="NETWORK"/>
    <s v="Network - InfraCo"/>
    <s v="VIC"/>
    <s v="Australia"/>
    <s v="Murrumbeena"/>
    <s v="OAKLEIGH EXCHANGE __ LINE DEPOT"/>
    <n v="423030603900"/>
    <s v="Recycled Waste"/>
    <x v="0"/>
    <x v="5"/>
    <s v="Account"/>
    <s v="Remondis Construction &amp; Demolition - Recycled"/>
    <m/>
    <s v="423030603900_RCONSDEM"/>
    <s v="CONSTRUCTION &amp; DEMOLITION - RECYLED"/>
    <s v="Remondis"/>
    <m/>
    <d v="2020-08-27T00:00:00"/>
    <d v="2020-09-01T00:00:00"/>
    <d v="2020-08-01T00:00:00"/>
    <s v="FY21"/>
    <s v="t"/>
    <n v="4.1100000000000003"/>
    <n v="0"/>
    <n v="0"/>
    <n v="4.1100000000000003"/>
    <n v="1"/>
    <n v="0"/>
    <n v="0"/>
    <n v="1"/>
    <n v="100"/>
    <n v="0"/>
    <n v="0"/>
    <s v="Consolidation"/>
    <s v="CO2e and Base Measure"/>
    <n v="100"/>
    <n v="100"/>
    <n v="4.1100000000000003"/>
    <m/>
    <m/>
    <m/>
    <m/>
    <m/>
    <m/>
    <m/>
    <m/>
    <m/>
    <m/>
    <m/>
    <m/>
    <m/>
    <s v="AUD"/>
    <s v="13625672Waste Recycled - Construction and Demolition [t]"/>
    <n v="13625672"/>
  </r>
  <r>
    <d v="2019-07-01T00:00:00"/>
    <d v="2021-06-30T00:00:00"/>
    <s v="Telstra"/>
    <s v="NETWORK"/>
    <s v="Network - InfraCo"/>
    <s v="VIC"/>
    <s v="Australia"/>
    <s v="Murrumbeena"/>
    <s v="OAKLEIGH EXCHANGE __ LINE DEPOT"/>
    <n v="423030603900"/>
    <s v="Recycled Waste"/>
    <x v="0"/>
    <x v="5"/>
    <s v="Account"/>
    <s v="Remondis Construction &amp; Demolition - Recycled"/>
    <m/>
    <s v="423030603900_RCONSDEM"/>
    <s v="CONSTRUCTION &amp; DEMOLITION - RECYLED"/>
    <s v="Remondis"/>
    <m/>
    <d v="2020-08-27T00:00:00"/>
    <d v="2020-09-01T00:00:00"/>
    <d v="2020-09-01T00:00:00"/>
    <s v="FY21"/>
    <s v="t"/>
    <n v="0"/>
    <n v="0"/>
    <n v="0.13700000000000001"/>
    <n v="0.13700000000000001"/>
    <n v="0"/>
    <n v="0"/>
    <n v="1"/>
    <n v="1"/>
    <n v="0"/>
    <n v="0"/>
    <n v="100"/>
    <s v="Consolidation"/>
    <s v="CO2e and Base Measure"/>
    <n v="100"/>
    <n v="100"/>
    <n v="0.14000000000000001"/>
    <m/>
    <m/>
    <m/>
    <m/>
    <m/>
    <m/>
    <m/>
    <m/>
    <m/>
    <m/>
    <m/>
    <m/>
    <m/>
    <s v="AUD"/>
    <s v="13625672Waste Recycled - Construction and Demolition [t]"/>
    <n v="13625672"/>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07-01T00:00:00"/>
    <s v="FY21"/>
    <s v="t"/>
    <n v="0.09"/>
    <n v="0.126"/>
    <n v="0"/>
    <n v="0.216"/>
    <n v="1"/>
    <n v="2"/>
    <n v="0"/>
    <n v="3"/>
    <n v="41.66"/>
    <n v="58.33"/>
    <n v="0"/>
    <s v="Consolidation"/>
    <s v="CO2e and Base Measure"/>
    <n v="100"/>
    <n v="100"/>
    <n v="0.22"/>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08-01T00:00:00"/>
    <s v="FY21"/>
    <s v="t"/>
    <n v="0.06"/>
    <n v="6.3E-2"/>
    <n v="0"/>
    <n v="0.123"/>
    <n v="1"/>
    <n v="1"/>
    <n v="0"/>
    <n v="2"/>
    <n v="48.78"/>
    <n v="51.21"/>
    <n v="0"/>
    <s v="Consolidation"/>
    <s v="CO2e and Base Measure"/>
    <n v="100"/>
    <n v="100"/>
    <n v="0.12"/>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09-01T00:00:00"/>
    <s v="FY21"/>
    <s v="t"/>
    <n v="6.5000000000000002E-2"/>
    <n v="0"/>
    <n v="0"/>
    <n v="6.5000000000000002E-2"/>
    <n v="2"/>
    <n v="0"/>
    <n v="0"/>
    <n v="2"/>
    <n v="100"/>
    <n v="0"/>
    <n v="0"/>
    <s v="Consolidation"/>
    <s v="CO2e and Base Measure"/>
    <n v="100"/>
    <n v="100"/>
    <n v="7.0000000000000007E-2"/>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10-01T00:00:00"/>
    <s v="FY21"/>
    <s v="t"/>
    <n v="2.5000000000000001E-2"/>
    <n v="0"/>
    <n v="0"/>
    <n v="2.5000000000000001E-2"/>
    <n v="1"/>
    <n v="0"/>
    <n v="0"/>
    <n v="1"/>
    <n v="100"/>
    <n v="0"/>
    <n v="0"/>
    <s v="Consolidation"/>
    <s v="CO2e and Base Measure"/>
    <n v="100"/>
    <n v="100"/>
    <n v="0.03"/>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11-01T00:00:00"/>
    <s v="FY21"/>
    <s v="t"/>
    <n v="0.13500000000000001"/>
    <n v="6.3E-2"/>
    <n v="0"/>
    <n v="0.19800000000000001"/>
    <n v="1"/>
    <n v="1"/>
    <n v="0"/>
    <n v="2"/>
    <n v="68.180000000000007"/>
    <n v="31.81"/>
    <n v="0"/>
    <s v="Consolidation"/>
    <s v="CO2e and Base Measure"/>
    <n v="100"/>
    <n v="100"/>
    <n v="0.2"/>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1-01-01T00:00:00"/>
    <s v="FY21"/>
    <s v="t"/>
    <n v="0"/>
    <n v="0"/>
    <n v="6.0000000000000001E-3"/>
    <n v="6.0000000000000001E-3"/>
    <n v="0"/>
    <n v="0"/>
    <n v="1"/>
    <n v="1"/>
    <n v="0"/>
    <n v="0"/>
    <n v="100"/>
    <s v="Consolidation"/>
    <s v="CO2e and Base Measure"/>
    <n v="100"/>
    <n v="100"/>
    <n v="0.01"/>
    <m/>
    <m/>
    <m/>
    <m/>
    <m/>
    <m/>
    <n v="0"/>
    <m/>
    <m/>
    <m/>
    <m/>
    <m/>
    <m/>
    <s v="AUD"/>
    <s v="13564958Waste Recycled - Cardboard [t]"/>
    <n v="13564958"/>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07-01T00:00:00"/>
    <s v="FY21"/>
    <s v="t"/>
    <n v="0.45"/>
    <n v="0"/>
    <n v="0"/>
    <n v="0.45"/>
    <n v="2"/>
    <n v="0"/>
    <n v="0"/>
    <n v="2"/>
    <n v="100"/>
    <n v="0"/>
    <n v="0"/>
    <s v="Consolidation"/>
    <s v="CO2e and Base Measure"/>
    <n v="100"/>
    <n v="100"/>
    <n v="0.45"/>
    <m/>
    <m/>
    <m/>
    <m/>
    <m/>
    <n v="0.58499999999999996"/>
    <m/>
    <n v="0.58499999999999996"/>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08-01T00:00:00"/>
    <s v="FY21"/>
    <s v="t"/>
    <n v="0.33500000000000002"/>
    <n v="0"/>
    <n v="0"/>
    <n v="0.33500000000000002"/>
    <n v="1"/>
    <n v="0"/>
    <n v="0"/>
    <n v="1"/>
    <n v="100"/>
    <n v="0"/>
    <n v="0"/>
    <s v="Consolidation"/>
    <s v="CO2e and Base Measure"/>
    <n v="100"/>
    <n v="100"/>
    <n v="0.34"/>
    <m/>
    <m/>
    <m/>
    <m/>
    <m/>
    <n v="0.4355"/>
    <m/>
    <n v="0.4355"/>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09-01T00:00:00"/>
    <s v="FY21"/>
    <s v="t"/>
    <n v="0.2"/>
    <n v="0"/>
    <n v="0"/>
    <n v="0.2"/>
    <n v="2"/>
    <n v="0"/>
    <n v="0"/>
    <n v="2"/>
    <n v="100"/>
    <n v="0"/>
    <n v="0"/>
    <s v="Consolidation"/>
    <s v="CO2e and Base Measure"/>
    <n v="100"/>
    <n v="100"/>
    <n v="0.2"/>
    <m/>
    <m/>
    <m/>
    <m/>
    <m/>
    <n v="0.26"/>
    <m/>
    <n v="0.26"/>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10-01T00:00:00"/>
    <s v="FY21"/>
    <s v="t"/>
    <n v="0.38"/>
    <n v="0"/>
    <n v="0"/>
    <n v="0.38"/>
    <n v="2"/>
    <n v="0"/>
    <n v="0"/>
    <n v="2"/>
    <n v="100"/>
    <n v="0"/>
    <n v="0"/>
    <s v="Consolidation"/>
    <s v="CO2e and Base Measure"/>
    <n v="100"/>
    <n v="100"/>
    <n v="0.38"/>
    <m/>
    <m/>
    <m/>
    <m/>
    <m/>
    <n v="0.49399999999999999"/>
    <m/>
    <n v="0.49399999999999999"/>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11-01T00:00:00"/>
    <s v="FY21"/>
    <s v="t"/>
    <n v="0.1"/>
    <n v="0.39"/>
    <n v="0"/>
    <n v="0.49"/>
    <n v="1"/>
    <n v="1"/>
    <n v="0"/>
    <n v="2"/>
    <n v="20.399999999999999"/>
    <n v="79.59"/>
    <n v="0"/>
    <s v="Consolidation"/>
    <s v="CO2e and Base Measure"/>
    <n v="100"/>
    <n v="100"/>
    <n v="0.49"/>
    <m/>
    <m/>
    <m/>
    <m/>
    <m/>
    <n v="0.63700000000000001"/>
    <m/>
    <n v="0.63700000000000001"/>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12-01T00:00:00"/>
    <s v="FY21"/>
    <s v="t"/>
    <n v="0.24"/>
    <n v="0"/>
    <n v="0"/>
    <n v="0.24"/>
    <n v="1"/>
    <n v="0"/>
    <n v="0"/>
    <n v="1"/>
    <n v="100"/>
    <n v="0"/>
    <n v="0"/>
    <s v="Consolidation"/>
    <s v="CO2e and Base Measure"/>
    <n v="100"/>
    <n v="100"/>
    <n v="0.24"/>
    <m/>
    <m/>
    <m/>
    <m/>
    <m/>
    <n v="0.312"/>
    <m/>
    <n v="0.312"/>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1-01-01T00:00:00"/>
    <s v="FY21"/>
    <s v="t"/>
    <n v="0"/>
    <n v="0"/>
    <n v="1.14E-2"/>
    <n v="1.14E-2"/>
    <n v="0"/>
    <n v="0"/>
    <n v="1"/>
    <n v="1"/>
    <n v="0"/>
    <n v="0"/>
    <n v="100"/>
    <s v="Consolidation"/>
    <s v="CO2e and Base Measure"/>
    <n v="100"/>
    <n v="100"/>
    <n v="0.01"/>
    <m/>
    <m/>
    <m/>
    <m/>
    <m/>
    <n v="1.4800000000000001E-2"/>
    <m/>
    <n v="1.4800000000000001E-2"/>
    <m/>
    <m/>
    <m/>
    <m/>
    <m/>
    <s v="AUD"/>
    <s v="13564959Waste - General [t] - Scope 3"/>
    <n v="1356495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0-12-01T00:00:00"/>
    <s v="FY21"/>
    <s v="t"/>
    <n v="0.12"/>
    <n v="0"/>
    <n v="0"/>
    <n v="0.12"/>
    <n v="1"/>
    <n v="0"/>
    <n v="0"/>
    <n v="1"/>
    <n v="100"/>
    <n v="0"/>
    <n v="0"/>
    <s v="Consolidation"/>
    <s v="CO2e and Base Measure"/>
    <n v="100"/>
    <n v="100"/>
    <n v="0.12"/>
    <m/>
    <m/>
    <m/>
    <m/>
    <m/>
    <n v="0.156"/>
    <m/>
    <n v="0.156"/>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1-01T00:00:00"/>
    <s v="FY21"/>
    <s v="t"/>
    <n v="0.316"/>
    <n v="0"/>
    <n v="0"/>
    <n v="0.316"/>
    <n v="1"/>
    <n v="0"/>
    <n v="0"/>
    <n v="1"/>
    <n v="100"/>
    <n v="0"/>
    <n v="0"/>
    <s v="Consolidation"/>
    <s v="CO2e and Base Measure"/>
    <n v="100"/>
    <n v="100"/>
    <n v="0.32"/>
    <m/>
    <m/>
    <m/>
    <m/>
    <m/>
    <n v="0.4108"/>
    <m/>
    <n v="0.4108"/>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2-01T00:00:00"/>
    <s v="FY21"/>
    <s v="t"/>
    <n v="0.56000000000000005"/>
    <n v="0.13500000000000001"/>
    <n v="0"/>
    <n v="0.69499999999999995"/>
    <n v="1"/>
    <n v="1"/>
    <n v="0"/>
    <n v="2"/>
    <n v="80.569999999999993"/>
    <n v="19.420000000000002"/>
    <n v="0"/>
    <s v="Consolidation"/>
    <s v="CO2e and Base Measure"/>
    <n v="100"/>
    <n v="100"/>
    <n v="0.7"/>
    <m/>
    <m/>
    <m/>
    <m/>
    <m/>
    <n v="0.90349999999999997"/>
    <m/>
    <n v="0.90349999999999997"/>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3-01T00:00:00"/>
    <s v="FY21"/>
    <s v="t"/>
    <n v="0.46700000000000003"/>
    <n v="0"/>
    <n v="0"/>
    <n v="0.46700000000000003"/>
    <n v="3"/>
    <n v="0"/>
    <n v="0"/>
    <n v="3"/>
    <n v="100"/>
    <n v="0"/>
    <n v="0"/>
    <s v="Consolidation"/>
    <s v="CO2e and Base Measure"/>
    <n v="100"/>
    <n v="100"/>
    <n v="0.47"/>
    <m/>
    <m/>
    <m/>
    <m/>
    <m/>
    <n v="0.60709999999999997"/>
    <m/>
    <n v="0.60709999999999997"/>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4-01T00:00:00"/>
    <s v="FY21"/>
    <s v="t"/>
    <n v="0"/>
    <n v="0"/>
    <n v="0.39900000000000002"/>
    <n v="0.39900000000000002"/>
    <n v="0"/>
    <n v="0"/>
    <n v="30"/>
    <n v="30"/>
    <n v="0"/>
    <n v="0"/>
    <n v="100"/>
    <s v="Consolidation"/>
    <s v="CO2e and Base Measure"/>
    <n v="100"/>
    <n v="100"/>
    <n v="0.4"/>
    <m/>
    <m/>
    <m/>
    <m/>
    <m/>
    <n v="0.51870000000000005"/>
    <m/>
    <n v="0.51870000000000005"/>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5-01T00:00:00"/>
    <s v="FY21"/>
    <s v="t"/>
    <n v="0"/>
    <n v="0"/>
    <n v="0.4123"/>
    <n v="0.4123"/>
    <n v="0"/>
    <n v="0"/>
    <n v="31"/>
    <n v="31"/>
    <n v="0"/>
    <n v="0"/>
    <n v="100"/>
    <s v="Consolidation"/>
    <s v="CO2e and Base Measure"/>
    <n v="100"/>
    <n v="100"/>
    <n v="0.41"/>
    <m/>
    <m/>
    <m/>
    <m/>
    <m/>
    <n v="0.53600000000000003"/>
    <m/>
    <n v="0.53600000000000003"/>
    <m/>
    <m/>
    <m/>
    <m/>
    <m/>
    <s v="AUD"/>
    <s v="13634219Waste - General [t] - Scope 3"/>
    <n v="13634219"/>
  </r>
  <r>
    <d v="2019-07-01T00:00:00"/>
    <d v="2021-06-30T00:00:00"/>
    <s v="Telstra"/>
    <s v="NETWORK"/>
    <s v="Network - InfraCo"/>
    <s v="VIC"/>
    <s v="Australia"/>
    <s v="Bentleigh East"/>
    <s v="OAKLEIGH SOUTH_EXCHANGE"/>
    <n v="423030603800"/>
    <s v="Recycled Waste"/>
    <x v="0"/>
    <x v="0"/>
    <s v="Account"/>
    <s v="CLEANAWAY Cardboard"/>
    <m/>
    <s v="25680_Diversion_Cardboard"/>
    <s v="Cardboard"/>
    <s v="Cleanaway"/>
    <m/>
    <d v="2021-03-01T00:00:00"/>
    <m/>
    <d v="2021-03-01T00:00:00"/>
    <s v="FY21"/>
    <s v="t"/>
    <n v="0.10100000000000001"/>
    <n v="0"/>
    <n v="0"/>
    <n v="0.10100000000000001"/>
    <n v="1"/>
    <n v="0"/>
    <n v="0"/>
    <n v="1"/>
    <n v="100"/>
    <n v="0"/>
    <n v="0"/>
    <s v="Consolidation"/>
    <s v="CO2e and Base Measure"/>
    <n v="100"/>
    <n v="100"/>
    <n v="0.1"/>
    <m/>
    <m/>
    <m/>
    <m/>
    <m/>
    <m/>
    <m/>
    <m/>
    <m/>
    <m/>
    <m/>
    <m/>
    <m/>
    <s v="AUD"/>
    <s v="13641219Waste Recycled - Paper and Cardboard [t]"/>
    <n v="13641219"/>
  </r>
  <r>
    <d v="2019-07-01T00:00:00"/>
    <d v="2021-06-30T00:00:00"/>
    <s v="Telstra"/>
    <s v="NETWORK"/>
    <s v="Network - InfraCo"/>
    <s v="VIC"/>
    <s v="Australia"/>
    <s v="Bentleigh East"/>
    <s v="OAKLEIGH SOUTH_EXCHANGE"/>
    <n v="423030603800"/>
    <s v="Recycled Waste"/>
    <x v="0"/>
    <x v="0"/>
    <s v="Account"/>
    <s v="CLEANAWAY Cardboard"/>
    <m/>
    <s v="25680_Diversion_Cardboard"/>
    <s v="Cardboard"/>
    <s v="Cleanaway"/>
    <m/>
    <d v="2021-03-01T00:00:00"/>
    <m/>
    <d v="2021-04-01T00:00:00"/>
    <s v="FY21"/>
    <s v="t"/>
    <n v="0"/>
    <n v="0"/>
    <n v="0.10199999999999999"/>
    <n v="0.10199999999999999"/>
    <n v="0"/>
    <n v="0"/>
    <n v="30"/>
    <n v="30"/>
    <n v="0"/>
    <n v="0"/>
    <n v="100"/>
    <s v="Consolidation"/>
    <s v="CO2e and Base Measure"/>
    <n v="100"/>
    <n v="100"/>
    <n v="0.1"/>
    <m/>
    <m/>
    <m/>
    <m/>
    <m/>
    <m/>
    <m/>
    <m/>
    <m/>
    <m/>
    <m/>
    <m/>
    <m/>
    <s v="AUD"/>
    <s v="13641219Waste Recycled - Paper and Cardboard [t]"/>
    <n v="13641219"/>
  </r>
  <r>
    <d v="2019-07-01T00:00:00"/>
    <d v="2021-06-30T00:00:00"/>
    <s v="Telstra"/>
    <s v="NETWORK"/>
    <s v="Network - InfraCo"/>
    <s v="VIC"/>
    <s v="Australia"/>
    <s v="Bentleigh East"/>
    <s v="OAKLEIGH SOUTH_EXCHANGE"/>
    <n v="423030603800"/>
    <s v="Recycled Waste"/>
    <x v="0"/>
    <x v="0"/>
    <s v="Account"/>
    <s v="CLEANAWAY Cardboard"/>
    <m/>
    <s v="25680_Diversion_Cardboard"/>
    <s v="Cardboard"/>
    <s v="Cleanaway"/>
    <m/>
    <d v="2021-03-01T00:00:00"/>
    <m/>
    <d v="2021-05-01T00:00:00"/>
    <s v="FY21"/>
    <s v="t"/>
    <n v="0"/>
    <n v="0"/>
    <n v="0.10539999999999999"/>
    <n v="0.10539999999999999"/>
    <n v="0"/>
    <n v="0"/>
    <n v="31"/>
    <n v="31"/>
    <n v="0"/>
    <n v="0"/>
    <n v="100"/>
    <s v="Consolidation"/>
    <s v="CO2e and Base Measure"/>
    <n v="100"/>
    <n v="100"/>
    <n v="0.11"/>
    <m/>
    <m/>
    <m/>
    <m/>
    <m/>
    <m/>
    <m/>
    <m/>
    <m/>
    <m/>
    <m/>
    <m/>
    <m/>
    <s v="AUD"/>
    <s v="13641219Waste Recycled - Paper and Cardboard [t]"/>
    <n v="13641219"/>
  </r>
  <r>
    <d v="2019-07-01T00:00:00"/>
    <d v="2021-06-30T00:00:00"/>
    <s v="Telstra"/>
    <s v="NETWORK"/>
    <s v="Network - InfraCo"/>
    <s v="VIC"/>
    <s v="Australia"/>
    <s v="Leopold"/>
    <s v="OCEAN GROVE EXCHANGE"/>
    <n v="423030603700"/>
    <s v="Recycled Waste"/>
    <x v="0"/>
    <x v="5"/>
    <s v="Account"/>
    <s v="Remondis Construction &amp; Demolition - Recycled"/>
    <m/>
    <s v="423030603700_RCONSDEM"/>
    <s v="CONSTRUCTION &amp; DEMOLITION - RECYLED"/>
    <s v="Remondis"/>
    <m/>
    <d v="2020-09-03T00:00:00"/>
    <d v="2020-10-01T00:00:00"/>
    <d v="2020-09-01T00:00:00"/>
    <s v="FY21"/>
    <s v="t"/>
    <n v="0"/>
    <n v="0.75"/>
    <n v="0"/>
    <n v="0.75"/>
    <n v="0"/>
    <n v="1"/>
    <n v="0"/>
    <n v="1"/>
    <n v="0"/>
    <n v="100"/>
    <n v="0"/>
    <s v="Consolidation"/>
    <s v="CO2e and Base Measure"/>
    <n v="100"/>
    <n v="100"/>
    <n v="0.75"/>
    <m/>
    <m/>
    <m/>
    <m/>
    <m/>
    <m/>
    <m/>
    <m/>
    <m/>
    <m/>
    <m/>
    <m/>
    <m/>
    <s v="AUD"/>
    <s v="13629333Waste Recycled - Construction and Demolition [t]"/>
    <n v="13629333"/>
  </r>
  <r>
    <d v="2019-07-01T00:00:00"/>
    <d v="2021-06-30T00:00:00"/>
    <s v="Telstra"/>
    <s v="NETWORK"/>
    <s v="Network - InfraCo"/>
    <s v="VIC"/>
    <s v="Australia"/>
    <s v="Leopold"/>
    <s v="OCEAN GROVE EXCHANGE"/>
    <n v="423030603700"/>
    <s v="Recycled Waste"/>
    <x v="0"/>
    <x v="5"/>
    <s v="Account"/>
    <s v="Remondis Construction &amp; Demolition - Recycled"/>
    <m/>
    <s v="423030603700_RCONSDEM"/>
    <s v="CONSTRUCTION &amp; DEMOLITION - RECYLED"/>
    <s v="Remondis"/>
    <m/>
    <d v="2020-09-03T00:00:00"/>
    <d v="2020-10-01T00:00:00"/>
    <d v="2020-10-01T00:00:00"/>
    <s v="FY21"/>
    <s v="t"/>
    <n v="0"/>
    <n v="0"/>
    <n v="2.5899999999999999E-2"/>
    <n v="2.5899999999999999E-2"/>
    <n v="0"/>
    <n v="0"/>
    <n v="1"/>
    <n v="1"/>
    <n v="0"/>
    <n v="0"/>
    <n v="100"/>
    <s v="Consolidation"/>
    <s v="CO2e and Base Measure"/>
    <n v="100"/>
    <n v="100"/>
    <n v="0.03"/>
    <m/>
    <m/>
    <m/>
    <m/>
    <m/>
    <m/>
    <m/>
    <m/>
    <m/>
    <m/>
    <m/>
    <m/>
    <m/>
    <s v="AUD"/>
    <s v="13629333Waste Recycled - Construction and Demolition [t]"/>
    <n v="13629333"/>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07-01T00:00:00"/>
    <s v="FY21"/>
    <s v="t"/>
    <n v="0"/>
    <n v="0.56699999999999995"/>
    <n v="0"/>
    <n v="0.56699999999999995"/>
    <n v="0"/>
    <n v="9"/>
    <n v="0"/>
    <n v="9"/>
    <n v="0"/>
    <n v="100"/>
    <n v="0"/>
    <s v="Consolidation"/>
    <s v="CO2e and Base Measure"/>
    <n v="100"/>
    <n v="100"/>
    <n v="0.5699999999999999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08-01T00:00:00"/>
    <s v="FY21"/>
    <s v="t"/>
    <n v="0"/>
    <n v="0.504"/>
    <n v="0"/>
    <n v="0.504"/>
    <n v="0"/>
    <n v="8"/>
    <n v="0"/>
    <n v="8"/>
    <n v="0"/>
    <n v="100"/>
    <n v="0"/>
    <s v="Consolidation"/>
    <s v="CO2e and Base Measure"/>
    <n v="100"/>
    <n v="100"/>
    <n v="0.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09-01T00:00:00"/>
    <s v="FY21"/>
    <s v="t"/>
    <n v="0"/>
    <n v="0.56699999999999995"/>
    <n v="0"/>
    <n v="0.56699999999999995"/>
    <n v="0"/>
    <n v="9"/>
    <n v="0"/>
    <n v="9"/>
    <n v="0"/>
    <n v="100"/>
    <n v="0"/>
    <s v="Consolidation"/>
    <s v="CO2e and Base Measure"/>
    <n v="100"/>
    <n v="100"/>
    <n v="0.5699999999999999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10-01T00:00:00"/>
    <s v="FY21"/>
    <s v="t"/>
    <n v="0"/>
    <n v="0.56699999999999995"/>
    <n v="0"/>
    <n v="0.56699999999999995"/>
    <n v="0"/>
    <n v="9"/>
    <n v="0"/>
    <n v="9"/>
    <n v="0"/>
    <n v="100"/>
    <n v="0"/>
    <s v="Consolidation"/>
    <s v="CO2e and Base Measure"/>
    <n v="100"/>
    <n v="100"/>
    <n v="0.5699999999999999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11-01T00:00:00"/>
    <s v="FY21"/>
    <s v="t"/>
    <n v="0"/>
    <n v="0.504"/>
    <n v="0"/>
    <n v="0.504"/>
    <n v="0"/>
    <n v="8"/>
    <n v="0"/>
    <n v="8"/>
    <n v="0"/>
    <n v="100"/>
    <n v="0"/>
    <s v="Consolidation"/>
    <s v="CO2e and Base Measure"/>
    <n v="100"/>
    <n v="100"/>
    <n v="0.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12-01T00:00:00"/>
    <s v="FY21"/>
    <s v="t"/>
    <n v="0"/>
    <n v="0.189"/>
    <n v="0"/>
    <n v="0.189"/>
    <n v="0"/>
    <n v="3"/>
    <n v="0"/>
    <n v="3"/>
    <n v="0"/>
    <n v="100"/>
    <n v="0"/>
    <s v="Consolidation"/>
    <s v="CO2e and Base Measure"/>
    <n v="100"/>
    <n v="100"/>
    <n v="0.19"/>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1-01-01T00:00:00"/>
    <s v="FY21"/>
    <s v="t"/>
    <n v="0"/>
    <n v="0"/>
    <n v="1.6299999999999999E-2"/>
    <n v="1.6299999999999999E-2"/>
    <n v="0"/>
    <n v="0"/>
    <n v="1"/>
    <n v="1"/>
    <n v="0"/>
    <n v="0"/>
    <n v="100"/>
    <s v="Consolidation"/>
    <s v="CO2e and Base Measure"/>
    <n v="100"/>
    <n v="100"/>
    <n v="0.02"/>
    <m/>
    <m/>
    <m/>
    <m/>
    <m/>
    <m/>
    <n v="0"/>
    <m/>
    <m/>
    <m/>
    <m/>
    <m/>
    <m/>
    <s v="AUD"/>
    <s v="13564491Waste Recycled - Cardboard [t]"/>
    <n v="13564491"/>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12-01T00:00:00"/>
    <s v="FY21"/>
    <s v="t"/>
    <n v="0"/>
    <n v="0.43680000000000002"/>
    <n v="0"/>
    <n v="0.43680000000000002"/>
    <n v="0"/>
    <n v="3"/>
    <n v="0"/>
    <n v="3"/>
    <n v="0"/>
    <n v="100"/>
    <n v="0"/>
    <s v="Consolidation"/>
    <s v="CO2e and Base Measure"/>
    <n v="100"/>
    <n v="100"/>
    <n v="0.44"/>
    <m/>
    <m/>
    <m/>
    <m/>
    <m/>
    <n v="0.56779999999999997"/>
    <m/>
    <n v="0.56779999999999997"/>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1-01-01T00:00:00"/>
    <s v="FY21"/>
    <s v="t"/>
    <n v="0"/>
    <n v="0"/>
    <n v="1.4E-2"/>
    <n v="1.4E-2"/>
    <n v="0"/>
    <n v="0"/>
    <n v="1"/>
    <n v="1"/>
    <n v="0"/>
    <n v="0"/>
    <n v="100"/>
    <s v="Consolidation"/>
    <s v="CO2e and Base Measure"/>
    <n v="100"/>
    <n v="100"/>
    <n v="0.01"/>
    <m/>
    <m/>
    <m/>
    <m/>
    <m/>
    <n v="1.8200000000000001E-2"/>
    <m/>
    <n v="1.8200000000000001E-2"/>
    <m/>
    <m/>
    <m/>
    <m/>
    <m/>
    <s v="AUD"/>
    <s v="13564492Waste - General [t] - Scope 3"/>
    <n v="13564492"/>
  </r>
  <r>
    <d v="2019-07-01T00:00:00"/>
    <d v="2021-06-30T00:00:00"/>
    <s v="Telstra"/>
    <s v="NETWORK"/>
    <s v="Network - InfraCo"/>
    <s v="NSW"/>
    <s v="Australia"/>
    <s v="Orange"/>
    <s v="ORANGE EXCHANGE"/>
    <n v="423030305800"/>
    <s v="Recycled Waste"/>
    <x v="0"/>
    <x v="5"/>
    <s v="Account"/>
    <s v="Remondis Metal - Mixed All"/>
    <m/>
    <s v="423030305800_RMETMIXED"/>
    <s v="METAL - MIXED ALL"/>
    <s v="Remondis"/>
    <m/>
    <d v="2020-09-11T00:00:00"/>
    <d v="2020-10-01T00:00:00"/>
    <d v="2020-09-01T00:00:00"/>
    <s v="FY21"/>
    <s v="t"/>
    <n v="0.79300000000000004"/>
    <n v="0"/>
    <n v="0"/>
    <n v="0.79300000000000004"/>
    <n v="1"/>
    <n v="0"/>
    <n v="0"/>
    <n v="1"/>
    <n v="100"/>
    <n v="0"/>
    <n v="0"/>
    <s v="Consolidation"/>
    <s v="CO2e and Base Measure"/>
    <n v="100"/>
    <n v="100"/>
    <n v="0.79"/>
    <m/>
    <m/>
    <m/>
    <m/>
    <m/>
    <m/>
    <m/>
    <m/>
    <m/>
    <m/>
    <m/>
    <m/>
    <m/>
    <s v="AUD"/>
    <s v="13631696Waste Recycled - Construction and Demolition [t]"/>
    <n v="13631696"/>
  </r>
  <r>
    <d v="2019-07-01T00:00:00"/>
    <d v="2021-06-30T00:00:00"/>
    <s v="Telstra"/>
    <s v="NETWORK"/>
    <s v="Network - InfraCo"/>
    <s v="NSW"/>
    <s v="Australia"/>
    <s v="Orange"/>
    <s v="ORANGE EXCHANGE"/>
    <n v="423030305800"/>
    <s v="Recycled Waste"/>
    <x v="0"/>
    <x v="5"/>
    <s v="Account"/>
    <s v="Remondis Metal - Mixed All"/>
    <m/>
    <s v="423030305800_RMETMIXED"/>
    <s v="METAL - MIXED ALL"/>
    <s v="Remondis"/>
    <m/>
    <d v="2020-09-11T00:00:00"/>
    <d v="2020-10-01T00:00:00"/>
    <d v="2020-10-01T00:00:00"/>
    <s v="FY21"/>
    <s v="t"/>
    <n v="0"/>
    <n v="0"/>
    <n v="2.7300000000000001E-2"/>
    <n v="2.7300000000000001E-2"/>
    <n v="0"/>
    <n v="0"/>
    <n v="1"/>
    <n v="1"/>
    <n v="0"/>
    <n v="0"/>
    <n v="100"/>
    <s v="Consolidation"/>
    <s v="CO2e and Base Measure"/>
    <n v="100"/>
    <n v="100"/>
    <n v="0.03"/>
    <m/>
    <m/>
    <m/>
    <m/>
    <m/>
    <m/>
    <m/>
    <m/>
    <m/>
    <m/>
    <m/>
    <m/>
    <m/>
    <s v="AUD"/>
    <s v="13631696Waste Recycled - Construction and Demolition [t]"/>
    <n v="13631696"/>
  </r>
  <r>
    <d v="2019-07-01T00:00:00"/>
    <d v="2021-06-30T00:00:00"/>
    <s v="Telstra"/>
    <s v="NETWORK"/>
    <s v="Network - InfraCo"/>
    <s v="NSW"/>
    <s v="Australia"/>
    <s v="Orange"/>
    <s v="ORANGE EXCHANGE"/>
    <n v="423030305800"/>
    <s v="Recycled Waste"/>
    <x v="0"/>
    <x v="1"/>
    <s v="Account"/>
    <s v="Remondis Batteries - Lead Acid"/>
    <m/>
    <s v="423030305800_RBATLEDAC"/>
    <s v="BATTERIES - LEAD ACID"/>
    <s v="Remondis"/>
    <m/>
    <d v="2020-09-11T00:00:00"/>
    <d v="2020-10-01T00:00:00"/>
    <d v="2020-09-01T00:00:00"/>
    <s v="FY21"/>
    <s v="t"/>
    <n v="0.107"/>
    <n v="0"/>
    <n v="0"/>
    <n v="0.107"/>
    <n v="1"/>
    <n v="0"/>
    <n v="0"/>
    <n v="1"/>
    <n v="100"/>
    <n v="0"/>
    <n v="0"/>
    <s v="Consolidation"/>
    <s v="CO2e and Base Measure"/>
    <n v="100"/>
    <n v="100"/>
    <n v="0.11"/>
    <m/>
    <m/>
    <m/>
    <m/>
    <m/>
    <m/>
    <m/>
    <m/>
    <m/>
    <m/>
    <m/>
    <m/>
    <m/>
    <s v="AUD"/>
    <s v="13631702Waste Recycled - E-waste [t]"/>
    <n v="13631702"/>
  </r>
  <r>
    <d v="2019-07-01T00:00:00"/>
    <d v="2021-06-30T00:00:00"/>
    <s v="Telstra"/>
    <s v="NETWORK"/>
    <s v="Network - InfraCo"/>
    <s v="NSW"/>
    <s v="Australia"/>
    <s v="Orange"/>
    <s v="ORANGE EXCHANGE"/>
    <n v="423030305800"/>
    <s v="Recycled Waste"/>
    <x v="0"/>
    <x v="1"/>
    <s v="Account"/>
    <s v="Remondis Batteries - Lead Acid"/>
    <m/>
    <s v="423030305800_RBATLEDAC"/>
    <s v="BATTERIES - LEAD ACID"/>
    <s v="Remondis"/>
    <m/>
    <d v="2020-09-11T00:00:00"/>
    <d v="2020-10-01T00:00:00"/>
    <d v="2020-10-01T00:00:00"/>
    <s v="FY21"/>
    <s v="t"/>
    <n v="0"/>
    <n v="0"/>
    <n v="3.7000000000000002E-3"/>
    <n v="3.7000000000000002E-3"/>
    <n v="0"/>
    <n v="0"/>
    <n v="1"/>
    <n v="1"/>
    <n v="0"/>
    <n v="0"/>
    <n v="100"/>
    <s v="Consolidation"/>
    <s v="CO2e and Base Measure"/>
    <n v="100"/>
    <n v="100"/>
    <n v="0"/>
    <m/>
    <m/>
    <m/>
    <m/>
    <m/>
    <m/>
    <m/>
    <m/>
    <m/>
    <m/>
    <m/>
    <m/>
    <m/>
    <s v="AUD"/>
    <s v="13631702Waste Recycled - E-waste [t]"/>
    <n v="13631702"/>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017Waste - General [t] - Scope 3"/>
    <n v="13565017"/>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08-01T00:00:00"/>
    <s v="FY21"/>
    <s v="t"/>
    <n v="0.53"/>
    <n v="0"/>
    <n v="0"/>
    <n v="0.53"/>
    <n v="1"/>
    <n v="0"/>
    <n v="0"/>
    <n v="1"/>
    <n v="100"/>
    <n v="0"/>
    <n v="0"/>
    <s v="Consolidation"/>
    <s v="CO2e and Base Measure"/>
    <n v="100"/>
    <n v="100"/>
    <n v="0.53"/>
    <m/>
    <m/>
    <m/>
    <m/>
    <m/>
    <n v="0.68899999999999995"/>
    <m/>
    <n v="0.68899999999999995"/>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09-01T00:00:00"/>
    <s v="FY21"/>
    <s v="t"/>
    <n v="0.48399999999999999"/>
    <n v="0"/>
    <n v="0"/>
    <n v="0.48399999999999999"/>
    <n v="1"/>
    <n v="0"/>
    <n v="0"/>
    <n v="1"/>
    <n v="100"/>
    <n v="0"/>
    <n v="0"/>
    <s v="Consolidation"/>
    <s v="CO2e and Base Measure"/>
    <n v="100"/>
    <n v="100"/>
    <n v="0.48"/>
    <m/>
    <m/>
    <m/>
    <m/>
    <m/>
    <n v="0.62919999999999998"/>
    <m/>
    <n v="0.62919999999999998"/>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10-01T00:00:00"/>
    <s v="FY21"/>
    <s v="t"/>
    <n v="0.4"/>
    <n v="0"/>
    <n v="0"/>
    <n v="0.4"/>
    <n v="1"/>
    <n v="0"/>
    <n v="0"/>
    <n v="1"/>
    <n v="100"/>
    <n v="0"/>
    <n v="0"/>
    <s v="Consolidation"/>
    <s v="CO2e and Base Measure"/>
    <n v="100"/>
    <n v="100"/>
    <n v="0.4"/>
    <m/>
    <m/>
    <m/>
    <m/>
    <m/>
    <n v="0.52"/>
    <m/>
    <n v="0.52"/>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11-01T00:00:00"/>
    <s v="FY21"/>
    <s v="t"/>
    <n v="1.2250000000000001"/>
    <n v="0"/>
    <n v="0"/>
    <n v="1.2250000000000001"/>
    <n v="2"/>
    <n v="0"/>
    <n v="0"/>
    <n v="2"/>
    <n v="100"/>
    <n v="0"/>
    <n v="0"/>
    <s v="Consolidation"/>
    <s v="CO2e and Base Measure"/>
    <n v="100"/>
    <n v="100"/>
    <n v="1.23"/>
    <m/>
    <m/>
    <m/>
    <m/>
    <m/>
    <n v="1.5925"/>
    <m/>
    <n v="1.5925"/>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1-01-01T00:00:00"/>
    <s v="FY21"/>
    <s v="t"/>
    <n v="0"/>
    <n v="0"/>
    <n v="2.0199999999999999E-2"/>
    <n v="2.0199999999999999E-2"/>
    <n v="0"/>
    <n v="0"/>
    <n v="1"/>
    <n v="1"/>
    <n v="0"/>
    <n v="0"/>
    <n v="100"/>
    <s v="Consolidation"/>
    <s v="CO2e and Base Measure"/>
    <n v="100"/>
    <n v="100"/>
    <n v="0.02"/>
    <m/>
    <m/>
    <m/>
    <m/>
    <m/>
    <n v="2.63E-2"/>
    <m/>
    <n v="2.63E-2"/>
    <m/>
    <m/>
    <m/>
    <m/>
    <m/>
    <s v="AUD"/>
    <s v="13564498Waste - General [t] - Scope 3"/>
    <n v="13564498"/>
  </r>
  <r>
    <d v="2019-07-01T00:00:00"/>
    <d v="2021-06-30T00:00:00"/>
    <s v="Telstra"/>
    <s v="NETWORK"/>
    <s v="Network - InfraCo"/>
    <s v="NSW"/>
    <s v="Australia"/>
    <s v="Penrith"/>
    <s v="ORCHARD HILLS EXCHANGE"/>
    <n v="423030306900"/>
    <s v="Waste"/>
    <x v="1"/>
    <x v="2"/>
    <s v="Account"/>
    <s v="CLEANAWAY General"/>
    <m/>
    <s v="44216_Landfill_General"/>
    <s v="General"/>
    <s v="Cleanaway"/>
    <m/>
    <d v="2021-02-18T00:00:00"/>
    <m/>
    <d v="2021-02-01T00:00:00"/>
    <s v="FY21"/>
    <s v="t"/>
    <n v="0.87"/>
    <n v="0"/>
    <n v="0"/>
    <n v="0.87"/>
    <n v="2"/>
    <n v="0"/>
    <n v="0"/>
    <n v="2"/>
    <n v="100"/>
    <n v="0"/>
    <n v="0"/>
    <s v="Consolidation"/>
    <s v="CO2e and Base Measure"/>
    <n v="100"/>
    <n v="100"/>
    <n v="0.87"/>
    <m/>
    <m/>
    <m/>
    <m/>
    <m/>
    <n v="1.131"/>
    <m/>
    <n v="1.131"/>
    <m/>
    <m/>
    <m/>
    <m/>
    <m/>
    <s v="AUD"/>
    <s v="13639906Waste - General [t] - Scope 3"/>
    <n v="13639906"/>
  </r>
  <r>
    <d v="2019-07-01T00:00:00"/>
    <d v="2021-06-30T00:00:00"/>
    <s v="Telstra"/>
    <s v="NETWORK"/>
    <s v="Network - InfraCo"/>
    <s v="NSW"/>
    <s v="Australia"/>
    <s v="Penrith"/>
    <s v="ORCHARD HILLS EXCHANGE"/>
    <n v="423030306900"/>
    <s v="Waste"/>
    <x v="1"/>
    <x v="2"/>
    <s v="Account"/>
    <s v="CLEANAWAY General"/>
    <m/>
    <s v="44216_Landfill_General"/>
    <s v="General"/>
    <s v="Cleanaway"/>
    <m/>
    <d v="2021-02-18T00:00:00"/>
    <m/>
    <d v="2021-03-01T00:00:00"/>
    <s v="FY21"/>
    <s v="t"/>
    <n v="0"/>
    <n v="0"/>
    <n v="0.99819999999999998"/>
    <n v="0.99819999999999998"/>
    <n v="0"/>
    <n v="0"/>
    <n v="31"/>
    <n v="31"/>
    <n v="0"/>
    <n v="0"/>
    <n v="100"/>
    <s v="Consolidation"/>
    <s v="CO2e and Base Measure"/>
    <n v="100"/>
    <n v="100"/>
    <n v="1"/>
    <m/>
    <m/>
    <m/>
    <m/>
    <m/>
    <n v="1.2977000000000001"/>
    <m/>
    <n v="1.2977000000000001"/>
    <m/>
    <m/>
    <m/>
    <m/>
    <m/>
    <s v="AUD"/>
    <s v="13639906Waste - General [t] - Scope 3"/>
    <n v="13639906"/>
  </r>
  <r>
    <d v="2019-07-01T00:00:00"/>
    <d v="2021-06-30T00:00:00"/>
    <s v="Telstra"/>
    <s v="NETWORK"/>
    <s v="Network - InfraCo"/>
    <s v="NSW"/>
    <s v="Australia"/>
    <s v="Penrith"/>
    <s v="ORCHARD HILLS EXCHANGE"/>
    <n v="423030306900"/>
    <s v="Waste"/>
    <x v="1"/>
    <x v="2"/>
    <s v="Account"/>
    <s v="CLEANAWAY General"/>
    <m/>
    <s v="44216_Landfill_General"/>
    <s v="General"/>
    <s v="Cleanaway"/>
    <m/>
    <d v="2021-02-18T00:00:00"/>
    <m/>
    <d v="2021-04-01T00:00:00"/>
    <s v="FY21"/>
    <s v="t"/>
    <n v="0"/>
    <n v="0"/>
    <n v="0.96599999999999997"/>
    <n v="0.96599999999999997"/>
    <n v="0"/>
    <n v="0"/>
    <n v="30"/>
    <n v="30"/>
    <n v="0"/>
    <n v="0"/>
    <n v="100"/>
    <s v="Consolidation"/>
    <s v="CO2e and Base Measure"/>
    <n v="100"/>
    <n v="100"/>
    <n v="0.97"/>
    <m/>
    <m/>
    <m/>
    <m/>
    <m/>
    <n v="1.2558"/>
    <m/>
    <n v="1.2558"/>
    <m/>
    <m/>
    <m/>
    <m/>
    <m/>
    <s v="AUD"/>
    <s v="13639906Waste - General [t] - Scope 3"/>
    <n v="13639906"/>
  </r>
  <r>
    <d v="2019-07-01T00:00:00"/>
    <d v="2021-06-30T00:00:00"/>
    <s v="Telstra"/>
    <s v="NETWORK"/>
    <s v="Network - InfraCo"/>
    <s v="NSW"/>
    <s v="Australia"/>
    <s v="Penrith"/>
    <s v="ORCHARD HILLS EXCHANGE"/>
    <n v="423030306900"/>
    <s v="Waste"/>
    <x v="1"/>
    <x v="2"/>
    <s v="Account"/>
    <s v="CLEANAWAY General"/>
    <m/>
    <s v="44216_Landfill_General"/>
    <s v="General"/>
    <s v="Cleanaway"/>
    <m/>
    <d v="2021-02-18T00:00:00"/>
    <m/>
    <d v="2021-05-01T00:00:00"/>
    <s v="FY21"/>
    <s v="t"/>
    <n v="0"/>
    <n v="0"/>
    <n v="0.99819999999999998"/>
    <n v="0.99819999999999998"/>
    <n v="0"/>
    <n v="0"/>
    <n v="31"/>
    <n v="31"/>
    <n v="0"/>
    <n v="0"/>
    <n v="100"/>
    <s v="Consolidation"/>
    <s v="CO2e and Base Measure"/>
    <n v="100"/>
    <n v="100"/>
    <n v="1"/>
    <m/>
    <m/>
    <m/>
    <m/>
    <m/>
    <n v="1.2977000000000001"/>
    <m/>
    <n v="1.2977000000000001"/>
    <m/>
    <m/>
    <m/>
    <m/>
    <m/>
    <s v="AUD"/>
    <s v="13639906Waste - General [t] - Scope 3"/>
    <n v="13639906"/>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0-11-01T00:00:00"/>
    <s v="FY21"/>
    <s v="t"/>
    <n v="2.7E-2"/>
    <n v="0"/>
    <n v="0"/>
    <n v="2.7E-2"/>
    <n v="1"/>
    <n v="0"/>
    <n v="0"/>
    <n v="1"/>
    <n v="100"/>
    <n v="0"/>
    <n v="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2-01T00:00:00"/>
    <s v="FY21"/>
    <s v="t"/>
    <n v="0"/>
    <n v="0"/>
    <n v="2.52E-2"/>
    <n v="2.52E-2"/>
    <n v="0"/>
    <n v="0"/>
    <n v="28"/>
    <n v="28"/>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4-01T00:00:00"/>
    <s v="FY21"/>
    <s v="t"/>
    <n v="0"/>
    <n v="0"/>
    <n v="2.7E-2"/>
    <n v="2.7E-2"/>
    <n v="0"/>
    <n v="0"/>
    <n v="30"/>
    <n v="30"/>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435Waste Recycled - Paper and Cardboard [t]"/>
    <n v="13566435"/>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0-10-01T00:00:00"/>
    <s v="FY21"/>
    <s v="t"/>
    <n v="0.11"/>
    <n v="0"/>
    <n v="0"/>
    <n v="0.11"/>
    <n v="1"/>
    <n v="0"/>
    <n v="0"/>
    <n v="1"/>
    <n v="100"/>
    <n v="0"/>
    <n v="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0-11-01T00:00:00"/>
    <s v="FY21"/>
    <s v="t"/>
    <n v="0"/>
    <n v="0"/>
    <n v="0.111"/>
    <n v="0.111"/>
    <n v="0"/>
    <n v="0"/>
    <n v="30"/>
    <n v="30"/>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0-12-01T00:00:00"/>
    <s v="FY21"/>
    <s v="t"/>
    <n v="0"/>
    <n v="0"/>
    <n v="0.1147"/>
    <n v="0.1147"/>
    <n v="0"/>
    <n v="0"/>
    <n v="31"/>
    <n v="31"/>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1-01T00:00:00"/>
    <s v="FY21"/>
    <s v="t"/>
    <n v="0"/>
    <n v="0"/>
    <n v="0.1147"/>
    <n v="0.1147"/>
    <n v="0"/>
    <n v="0"/>
    <n v="31"/>
    <n v="31"/>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2-01T00:00:00"/>
    <s v="FY21"/>
    <s v="t"/>
    <n v="0"/>
    <n v="0"/>
    <n v="0.1036"/>
    <n v="0.1036"/>
    <n v="0"/>
    <n v="0"/>
    <n v="28"/>
    <n v="28"/>
    <n v="0"/>
    <n v="0"/>
    <n v="100"/>
    <s v="Consolidation"/>
    <s v="CO2e and Base Measure"/>
    <n v="100"/>
    <n v="100"/>
    <n v="0.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3-01T00:00:00"/>
    <s v="FY21"/>
    <s v="t"/>
    <n v="0"/>
    <n v="0"/>
    <n v="0.1147"/>
    <n v="0.1147"/>
    <n v="0"/>
    <n v="0"/>
    <n v="31"/>
    <n v="31"/>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4-01T00:00:00"/>
    <s v="FY21"/>
    <s v="t"/>
    <n v="0"/>
    <n v="0"/>
    <n v="0.111"/>
    <n v="0.111"/>
    <n v="0"/>
    <n v="0"/>
    <n v="30"/>
    <n v="30"/>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5-01T00:00:00"/>
    <s v="FY21"/>
    <s v="t"/>
    <n v="0"/>
    <n v="0"/>
    <n v="0.1147"/>
    <n v="0.1147"/>
    <n v="0"/>
    <n v="0"/>
    <n v="31"/>
    <n v="31"/>
    <n v="0"/>
    <n v="0"/>
    <n v="100"/>
    <s v="Consolidation"/>
    <s v="CO2e and Base Measure"/>
    <n v="100"/>
    <n v="100"/>
    <n v="0.11"/>
    <m/>
    <m/>
    <m/>
    <m/>
    <m/>
    <m/>
    <m/>
    <m/>
    <m/>
    <m/>
    <m/>
    <m/>
    <m/>
    <s v="AUD"/>
    <s v="13634598Waste Recycled - Construction and Demolition [t]"/>
    <n v="13634598"/>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09-01T00:00:00"/>
    <s v="FY21"/>
    <s v="t"/>
    <n v="0"/>
    <n v="3.8899999999999997E-2"/>
    <n v="0"/>
    <n v="3.8899999999999997E-2"/>
    <n v="0"/>
    <n v="1"/>
    <n v="0"/>
    <n v="1"/>
    <n v="0"/>
    <n v="100"/>
    <n v="0"/>
    <s v="Consolidation"/>
    <s v="CO2e and Base Measure"/>
    <n v="100"/>
    <n v="100"/>
    <n v="0.04"/>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10-01T00:00:00"/>
    <s v="FY21"/>
    <s v="t"/>
    <n v="6.7000000000000004E-2"/>
    <n v="0"/>
    <n v="0"/>
    <n v="6.7000000000000004E-2"/>
    <n v="3"/>
    <n v="0"/>
    <n v="0"/>
    <n v="3"/>
    <n v="100"/>
    <n v="0"/>
    <n v="0"/>
    <s v="Consolidation"/>
    <s v="CO2e and Base Measure"/>
    <n v="100"/>
    <n v="100"/>
    <n v="7.0000000000000007E-2"/>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11-01T00:00:00"/>
    <s v="FY21"/>
    <s v="t"/>
    <n v="8.4000000000000005E-2"/>
    <n v="0"/>
    <n v="0"/>
    <n v="8.4000000000000005E-2"/>
    <n v="2"/>
    <n v="0"/>
    <n v="0"/>
    <n v="2"/>
    <n v="100"/>
    <n v="0"/>
    <n v="0"/>
    <s v="Consolidation"/>
    <s v="CO2e and Base Measure"/>
    <n v="100"/>
    <n v="100"/>
    <n v="0.08"/>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1"/>
    <s v="Account"/>
    <s v="Remondis Electrical Comp. (E-Waste)"/>
    <m/>
    <s v="423031228400_RELECTRIC"/>
    <s v="ELECTRICAL COMP. E-WASTE"/>
    <s v="Remondis"/>
    <m/>
    <m/>
    <d v="2021-01-01T00:00:00"/>
    <d v="2020-11-01T00:00:00"/>
    <s v="FY21"/>
    <s v="t"/>
    <n v="0.222"/>
    <n v="0"/>
    <n v="0"/>
    <n v="0.222"/>
    <n v="1"/>
    <n v="0"/>
    <n v="0"/>
    <n v="1"/>
    <n v="100"/>
    <n v="0"/>
    <n v="0"/>
    <s v="Consolidation"/>
    <s v="CO2e and Base Measure"/>
    <n v="100"/>
    <n v="100"/>
    <n v="0.22"/>
    <m/>
    <m/>
    <m/>
    <m/>
    <m/>
    <m/>
    <m/>
    <m/>
    <m/>
    <m/>
    <m/>
    <m/>
    <m/>
    <s v="AUD"/>
    <s v="13565599Waste Recycled - E-waste [t]"/>
    <n v="13565599"/>
  </r>
  <r>
    <d v="2019-07-01T00:00:00"/>
    <d v="2021-06-30T00:00:00"/>
    <s v="Telstra"/>
    <s v="NETWORK"/>
    <s v="Network - Telstra/InfraCo Split"/>
    <s v="NSW"/>
    <s v="Australia"/>
    <s v="Warringah"/>
    <s v="OXFORD FALLS SATELLITE EARTH S"/>
    <n v="423031228400"/>
    <s v="Recycled Waste"/>
    <x v="0"/>
    <x v="1"/>
    <s v="Account"/>
    <s v="Remondis Electrical Comp. (E-Waste)"/>
    <m/>
    <s v="423031228400_RELECTRIC"/>
    <s v="ELECTRICAL COMP. E-WASTE"/>
    <s v="Remondis"/>
    <m/>
    <m/>
    <d v="2021-01-01T00:00:00"/>
    <d v="2020-12-01T00:00:00"/>
    <s v="FY21"/>
    <s v="t"/>
    <n v="0.01"/>
    <n v="0"/>
    <n v="0"/>
    <n v="0.01"/>
    <n v="1"/>
    <n v="0"/>
    <n v="0"/>
    <n v="1"/>
    <n v="100"/>
    <n v="0"/>
    <n v="0"/>
    <s v="Consolidation"/>
    <s v="CO2e and Base Measure"/>
    <n v="100"/>
    <n v="100"/>
    <n v="0.01"/>
    <m/>
    <m/>
    <m/>
    <m/>
    <m/>
    <m/>
    <m/>
    <m/>
    <m/>
    <m/>
    <m/>
    <m/>
    <m/>
    <s v="AUD"/>
    <s v="13565599Waste Recycled - E-waste [t]"/>
    <n v="13565599"/>
  </r>
  <r>
    <d v="2019-07-01T00:00:00"/>
    <d v="2021-06-30T00:00:00"/>
    <s v="Telstra"/>
    <s v="NETWORK"/>
    <s v="Network - Telstra/InfraCo Split"/>
    <s v="NSW"/>
    <s v="Australia"/>
    <s v="Warringah"/>
    <s v="OXFORD FALLS SATELLITE EARTH S"/>
    <n v="423031228400"/>
    <s v="Recycled Waste"/>
    <x v="0"/>
    <x v="1"/>
    <s v="Account"/>
    <s v="Remondis Electrical Comp. (E-Waste)"/>
    <m/>
    <s v="423031228400_RELECTRIC"/>
    <s v="ELECTRICAL COMP. E-WASTE"/>
    <s v="Remondis"/>
    <m/>
    <m/>
    <d v="2021-01-01T00:00:00"/>
    <d v="2021-01-01T00:00:00"/>
    <s v="FY21"/>
    <s v="t"/>
    <n v="0"/>
    <n v="0"/>
    <n v="3.8999999999999998E-3"/>
    <n v="3.8999999999999998E-3"/>
    <n v="0"/>
    <n v="0"/>
    <n v="1"/>
    <n v="1"/>
    <n v="0"/>
    <n v="0"/>
    <n v="100"/>
    <s v="Consolidation"/>
    <s v="CO2e and Base Measure"/>
    <n v="100"/>
    <n v="100"/>
    <n v="0"/>
    <m/>
    <m/>
    <m/>
    <m/>
    <m/>
    <m/>
    <m/>
    <m/>
    <m/>
    <m/>
    <m/>
    <m/>
    <m/>
    <s v="AUD"/>
    <s v="13565599Waste Recycled - E-waste [t]"/>
    <n v="13565599"/>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07-01T00:00:00"/>
    <s v="FY21"/>
    <s v="t"/>
    <n v="0.68700000000000006"/>
    <n v="0"/>
    <n v="0"/>
    <n v="0.68700000000000006"/>
    <n v="3"/>
    <n v="0"/>
    <n v="0"/>
    <n v="3"/>
    <n v="100"/>
    <n v="0"/>
    <n v="0"/>
    <s v="Consolidation"/>
    <s v="CO2e and Base Measure"/>
    <n v="100"/>
    <n v="100"/>
    <n v="0.69"/>
    <m/>
    <m/>
    <m/>
    <m/>
    <m/>
    <n v="0.8931"/>
    <m/>
    <n v="0.8931"/>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09-01T00:00:00"/>
    <s v="FY21"/>
    <s v="t"/>
    <n v="0.23"/>
    <n v="0"/>
    <n v="0"/>
    <n v="0.23"/>
    <n v="2"/>
    <n v="0"/>
    <n v="0"/>
    <n v="2"/>
    <n v="100"/>
    <n v="0"/>
    <n v="0"/>
    <s v="Consolidation"/>
    <s v="CO2e and Base Measure"/>
    <n v="100"/>
    <n v="100"/>
    <n v="0.23"/>
    <m/>
    <m/>
    <m/>
    <m/>
    <m/>
    <n v="0.29899999999999999"/>
    <m/>
    <n v="0.29899999999999999"/>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10-01T00:00:00"/>
    <s v="FY21"/>
    <s v="t"/>
    <n v="0.245"/>
    <n v="0"/>
    <n v="0"/>
    <n v="0.245"/>
    <n v="3"/>
    <n v="0"/>
    <n v="0"/>
    <n v="3"/>
    <n v="100"/>
    <n v="0"/>
    <n v="0"/>
    <s v="Consolidation"/>
    <s v="CO2e and Base Measure"/>
    <n v="100"/>
    <n v="100"/>
    <n v="0.25"/>
    <m/>
    <m/>
    <m/>
    <m/>
    <m/>
    <n v="0.31850000000000001"/>
    <m/>
    <n v="0.31850000000000001"/>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11-01T00:00:00"/>
    <s v="FY21"/>
    <s v="t"/>
    <n v="0.19"/>
    <n v="0"/>
    <n v="0"/>
    <n v="0.19"/>
    <n v="2"/>
    <n v="0"/>
    <n v="0"/>
    <n v="2"/>
    <n v="100"/>
    <n v="0"/>
    <n v="0"/>
    <s v="Consolidation"/>
    <s v="CO2e and Base Measure"/>
    <n v="100"/>
    <n v="100"/>
    <n v="0.19"/>
    <m/>
    <m/>
    <m/>
    <m/>
    <m/>
    <n v="0.247"/>
    <m/>
    <n v="0.247"/>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1-01-01T00:00:00"/>
    <s v="FY21"/>
    <s v="t"/>
    <n v="0"/>
    <n v="0"/>
    <n v="9.7999999999999997E-3"/>
    <n v="9.7999999999999997E-3"/>
    <n v="0"/>
    <n v="0"/>
    <n v="1"/>
    <n v="1"/>
    <n v="0"/>
    <n v="0"/>
    <n v="100"/>
    <s v="Consolidation"/>
    <s v="CO2e and Base Measure"/>
    <n v="100"/>
    <n v="100"/>
    <n v="0.01"/>
    <m/>
    <m/>
    <m/>
    <m/>
    <m/>
    <n v="1.2699999999999999E-2"/>
    <m/>
    <n v="1.2699999999999999E-2"/>
    <m/>
    <m/>
    <m/>
    <m/>
    <m/>
    <s v="AUD"/>
    <s v="13565600Waste - General [t] - Scope 3"/>
    <n v="13565600"/>
  </r>
  <r>
    <d v="2019-07-01T00:00:00"/>
    <d v="2021-06-30T00:00:00"/>
    <s v="Telstra"/>
    <s v="NETWORK"/>
    <s v="Network - Telstra/InfraCo Split"/>
    <s v="NSW"/>
    <s v="Australia"/>
    <s v="Warringah"/>
    <s v="OXFORD FALLS SATELLITE EARTH S"/>
    <n v="423031228400"/>
    <s v="Recycled Waste"/>
    <x v="0"/>
    <x v="1"/>
    <s v="Account"/>
    <s v="Remondis Metal - Copper"/>
    <m/>
    <s v="423031228400_RMETCOPPR"/>
    <s v="METAL - COPPER"/>
    <s v="Remondis"/>
    <m/>
    <m/>
    <d v="2021-01-01T00:00:00"/>
    <d v="2020-11-01T00:00:00"/>
    <s v="FY21"/>
    <s v="t"/>
    <n v="0"/>
    <n v="0.22500000000000001"/>
    <n v="0"/>
    <n v="0.22500000000000001"/>
    <n v="0"/>
    <n v="1"/>
    <n v="0"/>
    <n v="1"/>
    <n v="0"/>
    <n v="100"/>
    <n v="0"/>
    <s v="Consolidation"/>
    <s v="CO2e and Base Measure"/>
    <n v="100"/>
    <n v="100"/>
    <n v="0.23"/>
    <m/>
    <m/>
    <m/>
    <m/>
    <m/>
    <m/>
    <m/>
    <m/>
    <m/>
    <m/>
    <m/>
    <m/>
    <m/>
    <s v="AUD"/>
    <s v="13565601Waste Recycled - E-waste [t]"/>
    <n v="13565601"/>
  </r>
  <r>
    <d v="2019-07-01T00:00:00"/>
    <d v="2021-06-30T00:00:00"/>
    <s v="Telstra"/>
    <s v="NETWORK"/>
    <s v="Network - Telstra/InfraCo Split"/>
    <s v="NSW"/>
    <s v="Australia"/>
    <s v="Warringah"/>
    <s v="OXFORD FALLS SATELLITE EARTH S"/>
    <n v="423031228400"/>
    <s v="Recycled Waste"/>
    <x v="0"/>
    <x v="1"/>
    <s v="Account"/>
    <s v="Remondis Metal - Copper"/>
    <m/>
    <s v="423031228400_RMETCOPPR"/>
    <s v="METAL - COPPER"/>
    <s v="Remondis"/>
    <m/>
    <m/>
    <d v="2021-01-01T00:00:00"/>
    <d v="2020-12-01T00:00:00"/>
    <s v="FY21"/>
    <s v="t"/>
    <n v="0"/>
    <n v="0.22500000000000001"/>
    <n v="0"/>
    <n v="0.22500000000000001"/>
    <n v="0"/>
    <n v="1"/>
    <n v="0"/>
    <n v="1"/>
    <n v="0"/>
    <n v="100"/>
    <n v="0"/>
    <s v="Consolidation"/>
    <s v="CO2e and Base Measure"/>
    <n v="100"/>
    <n v="100"/>
    <n v="0.23"/>
    <m/>
    <m/>
    <m/>
    <m/>
    <m/>
    <m/>
    <m/>
    <m/>
    <m/>
    <m/>
    <m/>
    <m/>
    <m/>
    <s v="AUD"/>
    <s v="13565601Waste Recycled - E-waste [t]"/>
    <n v="13565601"/>
  </r>
  <r>
    <d v="2019-07-01T00:00:00"/>
    <d v="2021-06-30T00:00:00"/>
    <s v="Telstra"/>
    <s v="NETWORK"/>
    <s v="Network - Telstra/InfraCo Split"/>
    <s v="NSW"/>
    <s v="Australia"/>
    <s v="Warringah"/>
    <s v="OXFORD FALLS SATELLITE EARTH S"/>
    <n v="423031228400"/>
    <s v="Recycled Waste"/>
    <x v="0"/>
    <x v="1"/>
    <s v="Account"/>
    <s v="Remondis Metal - Copper"/>
    <m/>
    <s v="423031228400_RMETCOPPR"/>
    <s v="METAL - COPPER"/>
    <s v="Remondis"/>
    <m/>
    <m/>
    <d v="2021-01-01T00:00:00"/>
    <d v="2021-01-01T00:00:00"/>
    <s v="FY21"/>
    <s v="t"/>
    <n v="0"/>
    <n v="0"/>
    <n v="7.4999999999999997E-3"/>
    <n v="7.4999999999999997E-3"/>
    <n v="0"/>
    <n v="0"/>
    <n v="1"/>
    <n v="1"/>
    <n v="0"/>
    <n v="0"/>
    <n v="100"/>
    <s v="Consolidation"/>
    <s v="CO2e and Base Measure"/>
    <n v="100"/>
    <n v="100"/>
    <n v="0.01"/>
    <m/>
    <m/>
    <m/>
    <m/>
    <m/>
    <m/>
    <m/>
    <m/>
    <m/>
    <m/>
    <m/>
    <m/>
    <m/>
    <s v="AUD"/>
    <s v="13565601Waste Recycled - E-waste [t]"/>
    <n v="1356560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07-01T00:00:00"/>
    <s v="FY21"/>
    <s v="t"/>
    <n v="7.0000000000000001E-3"/>
    <n v="4.8000000000000001E-2"/>
    <n v="0"/>
    <n v="5.5E-2"/>
    <n v="3"/>
    <n v="2"/>
    <n v="0"/>
    <n v="5"/>
    <n v="12.72"/>
    <n v="87.27"/>
    <n v="0"/>
    <s v="Consolidation"/>
    <s v="CO2e and Base Measure"/>
    <n v="100"/>
    <n v="100"/>
    <n v="0.06"/>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08-01T00:00:00"/>
    <s v="FY21"/>
    <s v="t"/>
    <n v="0"/>
    <n v="7.1999999999999995E-2"/>
    <n v="0"/>
    <n v="7.1999999999999995E-2"/>
    <n v="0"/>
    <n v="3"/>
    <n v="0"/>
    <n v="3"/>
    <n v="0"/>
    <n v="100"/>
    <n v="0"/>
    <s v="Consolidation"/>
    <s v="CO2e and Base Measure"/>
    <n v="100"/>
    <n v="100"/>
    <n v="7.0000000000000007E-2"/>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09-01T00:00:00"/>
    <s v="FY21"/>
    <s v="t"/>
    <n v="1.9E-2"/>
    <n v="2.4E-2"/>
    <n v="0"/>
    <n v="4.2999999999999997E-2"/>
    <n v="1"/>
    <n v="1"/>
    <n v="0"/>
    <n v="2"/>
    <n v="44.18"/>
    <n v="55.81"/>
    <n v="0"/>
    <s v="Consolidation"/>
    <s v="CO2e and Base Measure"/>
    <n v="100"/>
    <n v="100"/>
    <n v="0.04"/>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10-01T00:00:00"/>
    <s v="FY21"/>
    <s v="t"/>
    <n v="1.9E-2"/>
    <n v="2.4E-2"/>
    <n v="0"/>
    <n v="4.2999999999999997E-2"/>
    <n v="2"/>
    <n v="1"/>
    <n v="0"/>
    <n v="3"/>
    <n v="44.18"/>
    <n v="55.81"/>
    <n v="0"/>
    <s v="Consolidation"/>
    <s v="CO2e and Base Measure"/>
    <n v="100"/>
    <n v="100"/>
    <n v="0.04"/>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11-01T00:00:00"/>
    <s v="FY21"/>
    <s v="t"/>
    <n v="0"/>
    <n v="0"/>
    <n v="1.8E-3"/>
    <n v="1.8E-3"/>
    <n v="0"/>
    <n v="0"/>
    <n v="1"/>
    <n v="1"/>
    <n v="0"/>
    <n v="0"/>
    <n v="100"/>
    <s v="Consolidation"/>
    <s v="CO2e and Base Measure"/>
    <n v="100"/>
    <n v="100"/>
    <n v="0"/>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1-01T00:00:00"/>
    <s v="FY21"/>
    <s v="t"/>
    <n v="0"/>
    <n v="5.5E-2"/>
    <n v="0"/>
    <n v="5.5E-2"/>
    <n v="0"/>
    <n v="1"/>
    <n v="0"/>
    <n v="1"/>
    <n v="0"/>
    <n v="100"/>
    <n v="0"/>
    <s v="Consolidation"/>
    <s v="CO2e and Base Measure"/>
    <n v="100"/>
    <n v="100"/>
    <n v="0.06"/>
    <m/>
    <m/>
    <m/>
    <m/>
    <m/>
    <m/>
    <m/>
    <m/>
    <m/>
    <m/>
    <m/>
    <m/>
    <m/>
    <s v="AUD"/>
    <s v="13634458Waste Recycled - Paper and Cardboard [t]"/>
    <n v="13634458"/>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2-01T00:00:00"/>
    <s v="FY21"/>
    <s v="t"/>
    <n v="0"/>
    <n v="5.5E-2"/>
    <n v="0"/>
    <n v="5.5E-2"/>
    <n v="0"/>
    <n v="2"/>
    <n v="0"/>
    <n v="2"/>
    <n v="0"/>
    <n v="100"/>
    <n v="0"/>
    <s v="Consolidation"/>
    <s v="CO2e and Base Measure"/>
    <n v="100"/>
    <n v="100"/>
    <n v="0.06"/>
    <m/>
    <m/>
    <m/>
    <m/>
    <m/>
    <m/>
    <m/>
    <m/>
    <m/>
    <m/>
    <m/>
    <m/>
    <m/>
    <s v="AUD"/>
    <s v="13634458Waste Recycled - Paper and Cardboard [t]"/>
    <n v="13634458"/>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3-01T00:00:00"/>
    <s v="FY21"/>
    <s v="t"/>
    <n v="5.5E-2"/>
    <n v="8.2500000000000004E-2"/>
    <n v="0"/>
    <n v="0.13750000000000001"/>
    <n v="1"/>
    <n v="2"/>
    <n v="0"/>
    <n v="3"/>
    <n v="40"/>
    <n v="60"/>
    <n v="0"/>
    <s v="Consolidation"/>
    <s v="CO2e and Base Measure"/>
    <n v="100"/>
    <n v="100"/>
    <n v="0.14000000000000001"/>
    <m/>
    <m/>
    <m/>
    <m/>
    <m/>
    <m/>
    <m/>
    <m/>
    <m/>
    <m/>
    <m/>
    <m/>
    <m/>
    <s v="AUD"/>
    <s v="13634458Waste Recycled - Paper and Cardboard [t]"/>
    <n v="13634458"/>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4-01T00:00:00"/>
    <s v="FY21"/>
    <s v="t"/>
    <n v="0"/>
    <n v="0"/>
    <n v="8.4000000000000005E-2"/>
    <n v="8.4000000000000005E-2"/>
    <n v="0"/>
    <n v="0"/>
    <n v="30"/>
    <n v="30"/>
    <n v="0"/>
    <n v="0"/>
    <n v="100"/>
    <s v="Consolidation"/>
    <s v="CO2e and Base Measure"/>
    <n v="100"/>
    <n v="100"/>
    <n v="0.08"/>
    <m/>
    <m/>
    <m/>
    <m/>
    <m/>
    <m/>
    <m/>
    <m/>
    <m/>
    <m/>
    <m/>
    <m/>
    <m/>
    <s v="AUD"/>
    <s v="13634458Waste Recycled - Paper and Cardboard [t]"/>
    <n v="13634458"/>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5-01T00:00:00"/>
    <s v="FY21"/>
    <s v="t"/>
    <n v="0"/>
    <n v="0"/>
    <n v="8.6800000000000002E-2"/>
    <n v="8.6800000000000002E-2"/>
    <n v="0"/>
    <n v="0"/>
    <n v="31"/>
    <n v="31"/>
    <n v="0"/>
    <n v="0"/>
    <n v="100"/>
    <s v="Consolidation"/>
    <s v="CO2e and Base Measure"/>
    <n v="100"/>
    <n v="100"/>
    <n v="0.09"/>
    <m/>
    <m/>
    <m/>
    <m/>
    <m/>
    <m/>
    <m/>
    <m/>
    <m/>
    <m/>
    <m/>
    <m/>
    <m/>
    <s v="AUD"/>
    <s v="13634458Waste Recycled - Paper and Cardboard [t]"/>
    <n v="13634458"/>
  </r>
  <r>
    <d v="2019-07-01T00:00:00"/>
    <d v="2021-06-30T00:00:00"/>
    <s v="Telstra"/>
    <s v="NETWORK"/>
    <s v="Network - Telstra/InfraCo Split"/>
    <s v="NSW"/>
    <s v="Australia"/>
    <s v="Warringah"/>
    <s v="OXFORD FALLS SATELLITE EARTH S"/>
    <n v="423031228400"/>
    <s v="Waste"/>
    <x v="1"/>
    <x v="2"/>
    <s v="Account"/>
    <s v="CLEANAWAY General"/>
    <m/>
    <s v="45783_Landfill_General"/>
    <s v="General"/>
    <s v="Cleanaway"/>
    <m/>
    <d v="2021-02-10T00:00:00"/>
    <m/>
    <d v="2021-02-01T00:00:00"/>
    <s v="FY21"/>
    <s v="t"/>
    <n v="0.30099999999999999"/>
    <n v="0"/>
    <n v="0"/>
    <n v="0.30099999999999999"/>
    <n v="2"/>
    <n v="0"/>
    <n v="0"/>
    <n v="2"/>
    <n v="100"/>
    <n v="0"/>
    <n v="0"/>
    <s v="Consolidation"/>
    <s v="CO2e and Base Measure"/>
    <n v="100"/>
    <n v="100"/>
    <n v="0.3"/>
    <m/>
    <m/>
    <m/>
    <m/>
    <m/>
    <n v="0.39129999999999998"/>
    <m/>
    <n v="0.39129999999999998"/>
    <m/>
    <m/>
    <m/>
    <m/>
    <m/>
    <s v="AUD"/>
    <s v="13639907Waste - General [t] - Scope 3"/>
    <n v="13639907"/>
  </r>
  <r>
    <d v="2019-07-01T00:00:00"/>
    <d v="2021-06-30T00:00:00"/>
    <s v="Telstra"/>
    <s v="NETWORK"/>
    <s v="Network - Telstra/InfraCo Split"/>
    <s v="NSW"/>
    <s v="Australia"/>
    <s v="Warringah"/>
    <s v="OXFORD FALLS SATELLITE EARTH S"/>
    <n v="423031228400"/>
    <s v="Waste"/>
    <x v="1"/>
    <x v="2"/>
    <s v="Account"/>
    <s v="CLEANAWAY General"/>
    <m/>
    <s v="45783_Landfill_General"/>
    <s v="General"/>
    <s v="Cleanaway"/>
    <m/>
    <d v="2021-02-10T00:00:00"/>
    <m/>
    <d v="2021-03-01T00:00:00"/>
    <s v="FY21"/>
    <s v="t"/>
    <n v="0.25800000000000001"/>
    <n v="0"/>
    <n v="0"/>
    <n v="0.25800000000000001"/>
    <n v="2"/>
    <n v="0"/>
    <n v="0"/>
    <n v="2"/>
    <n v="100"/>
    <n v="0"/>
    <n v="0"/>
    <s v="Consolidation"/>
    <s v="CO2e and Base Measure"/>
    <n v="100"/>
    <n v="100"/>
    <n v="0.26"/>
    <m/>
    <m/>
    <m/>
    <m/>
    <m/>
    <n v="0.33539999999999998"/>
    <m/>
    <n v="0.33539999999999998"/>
    <m/>
    <m/>
    <m/>
    <m/>
    <m/>
    <s v="AUD"/>
    <s v="13639907Waste - General [t] - Scope 3"/>
    <n v="13639907"/>
  </r>
  <r>
    <d v="2019-07-01T00:00:00"/>
    <d v="2021-06-30T00:00:00"/>
    <s v="Telstra"/>
    <s v="NETWORK"/>
    <s v="Network - Telstra/InfraCo Split"/>
    <s v="NSW"/>
    <s v="Australia"/>
    <s v="Warringah"/>
    <s v="OXFORD FALLS SATELLITE EARTH S"/>
    <n v="423031228400"/>
    <s v="Waste"/>
    <x v="1"/>
    <x v="2"/>
    <s v="Account"/>
    <s v="CLEANAWAY General"/>
    <m/>
    <s v="45783_Landfill_General"/>
    <s v="General"/>
    <s v="Cleanaway"/>
    <m/>
    <d v="2021-02-10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9907Waste - General [t] - Scope 3"/>
    <n v="13639907"/>
  </r>
  <r>
    <d v="2019-07-01T00:00:00"/>
    <d v="2021-06-30T00:00:00"/>
    <s v="Telstra"/>
    <s v="NETWORK"/>
    <s v="Network - Telstra/InfraCo Split"/>
    <s v="NSW"/>
    <s v="Australia"/>
    <s v="Warringah"/>
    <s v="OXFORD FALLS SATELLITE EARTH S"/>
    <n v="423031228400"/>
    <s v="Waste"/>
    <x v="1"/>
    <x v="2"/>
    <s v="Account"/>
    <s v="CLEANAWAY General"/>
    <m/>
    <s v="45783_Landfill_General"/>
    <s v="General"/>
    <s v="Cleanaway"/>
    <m/>
    <d v="2021-02-10T00:00:00"/>
    <m/>
    <d v="2021-05-01T00:00:00"/>
    <s v="FY21"/>
    <s v="t"/>
    <n v="0"/>
    <n v="0"/>
    <n v="0.29759999999999998"/>
    <n v="0.29759999999999998"/>
    <n v="0"/>
    <n v="0"/>
    <n v="31"/>
    <n v="31"/>
    <n v="0"/>
    <n v="0"/>
    <n v="100"/>
    <s v="Consolidation"/>
    <s v="CO2e and Base Measure"/>
    <n v="100"/>
    <n v="100"/>
    <n v="0.3"/>
    <m/>
    <m/>
    <m/>
    <m/>
    <m/>
    <n v="0.38690000000000002"/>
    <m/>
    <n v="0.38690000000000002"/>
    <m/>
    <m/>
    <m/>
    <m/>
    <m/>
    <s v="AUD"/>
    <s v="13639907Waste - General [t] - Scope 3"/>
    <n v="13639907"/>
  </r>
  <r>
    <d v="2019-07-01T00:00:00"/>
    <d v="2021-06-30T00:00:00"/>
    <s v="Telstra"/>
    <s v="NETWORK"/>
    <s v="Network - Telstra/InfraCo Split"/>
    <s v="NSW"/>
    <s v="Australia"/>
    <s v="Warringah"/>
    <s v="OXFORD FALLS SATELLITE EARTH S"/>
    <n v="423031228400"/>
    <s v="Recycled Waste"/>
    <x v="0"/>
    <x v="3"/>
    <s v="Account"/>
    <s v="CLEANAWAY Commingle - Diversion"/>
    <m/>
    <s v="45783_Diversion_Commingle"/>
    <s v="Commingle"/>
    <s v="Cleanaway"/>
    <m/>
    <d v="2021-02-02T00:00:00"/>
    <m/>
    <d v="2021-02-01T00:00:00"/>
    <s v="FY21"/>
    <s v="t"/>
    <n v="0"/>
    <n v="9.5999999999999992E-3"/>
    <n v="0"/>
    <n v="9.5999999999999992E-3"/>
    <n v="0"/>
    <n v="2"/>
    <n v="0"/>
    <n v="2"/>
    <n v="0"/>
    <n v="100"/>
    <n v="0"/>
    <s v="Consolidation"/>
    <s v="CO2e and Base Measure"/>
    <n v="100"/>
    <n v="100"/>
    <n v="0.01"/>
    <m/>
    <m/>
    <m/>
    <m/>
    <m/>
    <m/>
    <n v="0"/>
    <m/>
    <m/>
    <m/>
    <m/>
    <m/>
    <m/>
    <s v="AUD"/>
    <s v="13639908Waste Recycled - Commingled [t]"/>
    <n v="13639908"/>
  </r>
  <r>
    <d v="2019-07-01T00:00:00"/>
    <d v="2021-06-30T00:00:00"/>
    <s v="Telstra"/>
    <s v="NETWORK"/>
    <s v="Network - Telstra/InfraCo Split"/>
    <s v="NSW"/>
    <s v="Australia"/>
    <s v="Warringah"/>
    <s v="OXFORD FALLS SATELLITE EARTH S"/>
    <n v="423031228400"/>
    <s v="Recycled Waste"/>
    <x v="0"/>
    <x v="3"/>
    <s v="Account"/>
    <s v="CLEANAWAY Commingle - Diversion"/>
    <m/>
    <s v="45783_Diversion_Commingle"/>
    <s v="Commingle"/>
    <s v="Cleanaway"/>
    <m/>
    <d v="2021-02-02T00:00:00"/>
    <m/>
    <d v="2021-03-01T00:00:00"/>
    <s v="FY21"/>
    <s v="t"/>
    <n v="0"/>
    <n v="4.7999999999999996E-3"/>
    <n v="0"/>
    <n v="4.7999999999999996E-3"/>
    <n v="0"/>
    <n v="1"/>
    <n v="0"/>
    <n v="1"/>
    <n v="0"/>
    <n v="100"/>
    <n v="0"/>
    <s v="Consolidation"/>
    <s v="CO2e and Base Measure"/>
    <n v="100"/>
    <n v="100"/>
    <n v="0"/>
    <m/>
    <m/>
    <m/>
    <m/>
    <m/>
    <m/>
    <n v="0"/>
    <m/>
    <m/>
    <m/>
    <m/>
    <m/>
    <m/>
    <s v="AUD"/>
    <s v="13639908Waste Recycled - Commingled [t]"/>
    <n v="13639908"/>
  </r>
  <r>
    <d v="2019-07-01T00:00:00"/>
    <d v="2021-06-30T00:00:00"/>
    <s v="Telstra"/>
    <s v="NETWORK"/>
    <s v="Network - Telstra/InfraCo Split"/>
    <s v="NSW"/>
    <s v="Australia"/>
    <s v="Warringah"/>
    <s v="OXFORD FALLS SATELLITE EARTH S"/>
    <n v="423031228400"/>
    <s v="Recycled Waste"/>
    <x v="0"/>
    <x v="3"/>
    <s v="Account"/>
    <s v="CLEANAWAY Commingle - Diversion"/>
    <m/>
    <s v="45783_Diversion_Commingle"/>
    <s v="Commingle"/>
    <s v="Cleanaway"/>
    <m/>
    <d v="2021-02-02T00:00:00"/>
    <m/>
    <d v="2021-04-01T00:00:00"/>
    <s v="FY21"/>
    <s v="t"/>
    <n v="0"/>
    <n v="0"/>
    <n v="6.0000000000000001E-3"/>
    <n v="6.0000000000000001E-3"/>
    <n v="0"/>
    <n v="0"/>
    <n v="30"/>
    <n v="30"/>
    <n v="0"/>
    <n v="0"/>
    <n v="100"/>
    <s v="Consolidation"/>
    <s v="CO2e and Base Measure"/>
    <n v="100"/>
    <n v="100"/>
    <n v="0.01"/>
    <m/>
    <m/>
    <m/>
    <m/>
    <m/>
    <m/>
    <n v="0"/>
    <m/>
    <m/>
    <m/>
    <m/>
    <m/>
    <m/>
    <s v="AUD"/>
    <s v="13639908Waste Recycled - Commingled [t]"/>
    <n v="13639908"/>
  </r>
  <r>
    <d v="2019-07-01T00:00:00"/>
    <d v="2021-06-30T00:00:00"/>
    <s v="Telstra"/>
    <s v="NETWORK"/>
    <s v="Network - Telstra/InfraCo Split"/>
    <s v="NSW"/>
    <s v="Australia"/>
    <s v="Warringah"/>
    <s v="OXFORD FALLS SATELLITE EARTH S"/>
    <n v="423031228400"/>
    <s v="Recycled Waste"/>
    <x v="0"/>
    <x v="3"/>
    <s v="Account"/>
    <s v="CLEANAWAY Commingle - Diversion"/>
    <m/>
    <s v="45783_Diversion_Commingle"/>
    <s v="Commingle"/>
    <s v="Cleanaway"/>
    <m/>
    <d v="2021-02-02T00:00:00"/>
    <m/>
    <d v="2021-05-01T00:00:00"/>
    <s v="FY21"/>
    <s v="t"/>
    <n v="0"/>
    <n v="0"/>
    <n v="6.1999999999999998E-3"/>
    <n v="6.1999999999999998E-3"/>
    <n v="0"/>
    <n v="0"/>
    <n v="31"/>
    <n v="31"/>
    <n v="0"/>
    <n v="0"/>
    <n v="100"/>
    <s v="Consolidation"/>
    <s v="CO2e and Base Measure"/>
    <n v="100"/>
    <n v="100"/>
    <n v="0.01"/>
    <m/>
    <m/>
    <m/>
    <m/>
    <m/>
    <m/>
    <n v="0"/>
    <m/>
    <m/>
    <m/>
    <m/>
    <m/>
    <m/>
    <s v="AUD"/>
    <s v="13639908Waste Recycled - Commingled [t]"/>
    <n v="13639908"/>
  </r>
  <r>
    <d v="2019-07-01T00:00:00"/>
    <d v="2021-06-30T00:00:00"/>
    <s v="Telstra"/>
    <s v="NETWORK"/>
    <s v="Network - Telstra/InfraCo Split"/>
    <s v="NSW"/>
    <s v="Australia"/>
    <s v="City of Sydney"/>
    <s v="PACNET 133 Liverpool St SYDNEY"/>
    <n v="423033065100"/>
    <s v="Recycled Waste"/>
    <x v="0"/>
    <x v="1"/>
    <s v="Account"/>
    <s v="Remondis Electrical Comp. (E-Waste)"/>
    <m/>
    <s v="423033065100_RELECTRIC"/>
    <s v="ELECTRICAL COMP. E-WASTE"/>
    <s v="Remondis"/>
    <m/>
    <m/>
    <d v="2021-02-01T00:00:00"/>
    <d v="2020-12-01T00:00:00"/>
    <s v="FY21"/>
    <s v="t"/>
    <n v="0"/>
    <n v="0.12540000000000001"/>
    <n v="0"/>
    <n v="0.12540000000000001"/>
    <n v="0"/>
    <n v="1"/>
    <n v="0"/>
    <n v="1"/>
    <n v="0"/>
    <n v="100"/>
    <n v="0"/>
    <s v="Consolidation"/>
    <s v="CO2e and Base Measure"/>
    <n v="100"/>
    <n v="100"/>
    <n v="0.13"/>
    <m/>
    <m/>
    <m/>
    <m/>
    <m/>
    <m/>
    <m/>
    <m/>
    <m/>
    <m/>
    <m/>
    <m/>
    <m/>
    <s v="AUD"/>
    <s v="13576291Waste Recycled - E-waste [t]"/>
    <n v="13576291"/>
  </r>
  <r>
    <d v="2019-07-01T00:00:00"/>
    <d v="2021-06-30T00:00:00"/>
    <s v="Telstra"/>
    <s v="NETWORK"/>
    <s v="Network - Telstra/InfraCo Split"/>
    <s v="NSW"/>
    <s v="Australia"/>
    <s v="City of Sydney"/>
    <s v="PACNET 133 Liverpool St SYDNEY"/>
    <n v="423033065100"/>
    <s v="Recycled Waste"/>
    <x v="0"/>
    <x v="1"/>
    <s v="Account"/>
    <s v="Remondis Electrical Comp. (E-Waste)"/>
    <m/>
    <s v="423033065100_RELECTRIC"/>
    <s v="ELECTRICAL COMP. E-WASTE"/>
    <s v="Remondis"/>
    <m/>
    <m/>
    <d v="2021-02-01T00:00:00"/>
    <d v="2021-01-01T00:00:00"/>
    <s v="FY21"/>
    <s v="t"/>
    <n v="0"/>
    <n v="0.12540000000000001"/>
    <n v="0"/>
    <n v="0.12540000000000001"/>
    <n v="0"/>
    <n v="1"/>
    <n v="0"/>
    <n v="1"/>
    <n v="0"/>
    <n v="100"/>
    <n v="0"/>
    <s v="Consolidation"/>
    <s v="CO2e and Base Measure"/>
    <n v="100"/>
    <n v="100"/>
    <n v="0.13"/>
    <m/>
    <m/>
    <m/>
    <m/>
    <m/>
    <m/>
    <m/>
    <m/>
    <m/>
    <m/>
    <m/>
    <m/>
    <m/>
    <s v="AUD"/>
    <s v="13576291Waste Recycled - E-waste [t]"/>
    <n v="13576291"/>
  </r>
  <r>
    <d v="2019-07-01T00:00:00"/>
    <d v="2021-06-30T00:00:00"/>
    <s v="Telstra"/>
    <s v="NETWORK"/>
    <s v="Network - Telstra/InfraCo Split"/>
    <s v="NSW"/>
    <s v="Australia"/>
    <s v="City of Sydney"/>
    <s v="PACNET 133 Liverpool St SYDNEY"/>
    <n v="423033065100"/>
    <s v="Recycled Waste"/>
    <x v="0"/>
    <x v="1"/>
    <s v="Account"/>
    <s v="Remondis Electrical Comp. (E-Waste)"/>
    <m/>
    <s v="423033065100_RELECTRIC"/>
    <s v="ELECTRICAL COMP. E-WASTE"/>
    <s v="Remondis"/>
    <m/>
    <m/>
    <d v="2021-02-01T00:00:00"/>
    <d v="2021-02-01T00:00:00"/>
    <s v="FY21"/>
    <s v="t"/>
    <n v="0"/>
    <n v="0"/>
    <n v="4.1000000000000003E-3"/>
    <n v="4.1000000000000003E-3"/>
    <n v="0"/>
    <n v="0"/>
    <n v="1"/>
    <n v="1"/>
    <n v="0"/>
    <n v="0"/>
    <n v="100"/>
    <s v="Consolidation"/>
    <s v="CO2e and Base Measure"/>
    <n v="100"/>
    <n v="100"/>
    <n v="0"/>
    <m/>
    <m/>
    <m/>
    <m/>
    <m/>
    <m/>
    <m/>
    <m/>
    <m/>
    <m/>
    <m/>
    <m/>
    <m/>
    <s v="AUD"/>
    <s v="13576291Waste Recycled - E-waste [t]"/>
    <n v="13576291"/>
  </r>
  <r>
    <d v="2019-07-01T00:00:00"/>
    <d v="2021-06-30T00:00:00"/>
    <s v="Telstra"/>
    <s v="NETWORK"/>
    <s v="Network - Telstra/InfraCo Split"/>
    <s v="NSW"/>
    <s v="Australia"/>
    <s v="City of Sydney"/>
    <s v="PACNET 133 Liverpool St SYDNEY"/>
    <n v="423033065100"/>
    <s v="Waste"/>
    <x v="1"/>
    <x v="2"/>
    <s v="Account"/>
    <s v="Remondis General Waste"/>
    <m/>
    <s v="423033065100_WGENERALW"/>
    <s v="GENERAL WASTE"/>
    <s v="Remondis"/>
    <m/>
    <m/>
    <d v="2021-02-01T00:00:00"/>
    <d v="2021-01-01T00:00:00"/>
    <s v="FY21"/>
    <s v="t"/>
    <n v="0"/>
    <n v="5.8500000000000003E-2"/>
    <n v="0"/>
    <n v="5.8500000000000003E-2"/>
    <n v="0"/>
    <n v="2"/>
    <n v="0"/>
    <n v="2"/>
    <n v="0"/>
    <n v="100"/>
    <n v="0"/>
    <s v="Consolidation"/>
    <s v="CO2e and Base Measure"/>
    <n v="100"/>
    <n v="100"/>
    <n v="0.06"/>
    <m/>
    <m/>
    <m/>
    <m/>
    <m/>
    <n v="7.6100000000000001E-2"/>
    <m/>
    <n v="7.6100000000000001E-2"/>
    <m/>
    <m/>
    <m/>
    <m/>
    <m/>
    <s v="AUD"/>
    <s v="13576292Waste - General [t] - Scope 3"/>
    <n v="13576292"/>
  </r>
  <r>
    <d v="2019-07-01T00:00:00"/>
    <d v="2021-06-30T00:00:00"/>
    <s v="Telstra"/>
    <s v="NETWORK"/>
    <s v="Network - Telstra/InfraCo Split"/>
    <s v="NSW"/>
    <s v="Australia"/>
    <s v="City of Sydney"/>
    <s v="PACNET 133 Liverpool St SYDNEY"/>
    <n v="423033065100"/>
    <s v="Waste"/>
    <x v="1"/>
    <x v="2"/>
    <s v="Account"/>
    <s v="Remondis General Waste"/>
    <m/>
    <s v="423033065100_WGENERALW"/>
    <s v="GENERAL WASTE"/>
    <s v="Remondis"/>
    <m/>
    <m/>
    <d v="2021-02-01T00:00:00"/>
    <d v="2021-02-01T00:00:00"/>
    <s v="FY21"/>
    <s v="t"/>
    <n v="0"/>
    <n v="0"/>
    <n v="2E-3"/>
    <n v="2E-3"/>
    <n v="0"/>
    <n v="0"/>
    <n v="1"/>
    <n v="1"/>
    <n v="0"/>
    <n v="0"/>
    <n v="100"/>
    <s v="Consolidation"/>
    <s v="CO2e and Base Measure"/>
    <n v="100"/>
    <n v="100"/>
    <n v="0"/>
    <m/>
    <m/>
    <m/>
    <m/>
    <m/>
    <n v="2.5999999999999999E-3"/>
    <m/>
    <n v="2.5999999999999999E-3"/>
    <m/>
    <m/>
    <m/>
    <m/>
    <m/>
    <s v="AUD"/>
    <s v="13576292Waste - General [t] - Scope 3"/>
    <n v="13576292"/>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07-01T00:00:00"/>
    <s v="FY21"/>
    <s v="t"/>
    <n v="0.157"/>
    <n v="0"/>
    <n v="0"/>
    <n v="0.157"/>
    <n v="2"/>
    <n v="0"/>
    <n v="0"/>
    <n v="2"/>
    <n v="100"/>
    <n v="0"/>
    <n v="0"/>
    <s v="Consolidation"/>
    <s v="CO2e and Base Measure"/>
    <n v="100"/>
    <n v="100"/>
    <n v="0.16"/>
    <m/>
    <m/>
    <m/>
    <m/>
    <m/>
    <n v="0.2041"/>
    <m/>
    <n v="0.2041"/>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08-01T00:00:00"/>
    <s v="FY21"/>
    <s v="t"/>
    <n v="0.11799999999999999"/>
    <n v="0"/>
    <n v="0"/>
    <n v="0.11799999999999999"/>
    <n v="2"/>
    <n v="0"/>
    <n v="0"/>
    <n v="2"/>
    <n v="100"/>
    <n v="0"/>
    <n v="0"/>
    <s v="Consolidation"/>
    <s v="CO2e and Base Measure"/>
    <n v="100"/>
    <n v="100"/>
    <n v="0.12"/>
    <m/>
    <m/>
    <m/>
    <m/>
    <m/>
    <n v="0.15340000000000001"/>
    <m/>
    <n v="0.15340000000000001"/>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09-01T00:00:00"/>
    <s v="FY21"/>
    <s v="t"/>
    <n v="0.104"/>
    <n v="7.22E-2"/>
    <n v="0"/>
    <n v="0.1762"/>
    <n v="2"/>
    <n v="1"/>
    <n v="0"/>
    <n v="3"/>
    <n v="59.02"/>
    <n v="40.97"/>
    <n v="0"/>
    <s v="Consolidation"/>
    <s v="CO2e and Base Measure"/>
    <n v="100"/>
    <n v="100"/>
    <n v="0.18"/>
    <m/>
    <m/>
    <m/>
    <m/>
    <m/>
    <n v="0.2291"/>
    <m/>
    <n v="0.2291"/>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10-01T00:00:00"/>
    <s v="FY21"/>
    <s v="t"/>
    <n v="0"/>
    <n v="7.22E-2"/>
    <n v="0"/>
    <n v="7.22E-2"/>
    <n v="0"/>
    <n v="1"/>
    <n v="0"/>
    <n v="1"/>
    <n v="0"/>
    <n v="100"/>
    <n v="0"/>
    <s v="Consolidation"/>
    <s v="CO2e and Base Measure"/>
    <n v="100"/>
    <n v="100"/>
    <n v="7.0000000000000007E-2"/>
    <m/>
    <m/>
    <m/>
    <m/>
    <m/>
    <n v="9.3899999999999997E-2"/>
    <m/>
    <n v="9.3899999999999997E-2"/>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11-01T00:00:00"/>
    <s v="FY21"/>
    <s v="t"/>
    <n v="0.20100000000000001"/>
    <n v="0"/>
    <n v="0"/>
    <n v="0.20100000000000001"/>
    <n v="3"/>
    <n v="0"/>
    <n v="0"/>
    <n v="3"/>
    <n v="100"/>
    <n v="0"/>
    <n v="0"/>
    <s v="Consolidation"/>
    <s v="CO2e and Base Measure"/>
    <n v="100"/>
    <n v="100"/>
    <n v="0.2"/>
    <m/>
    <m/>
    <m/>
    <m/>
    <m/>
    <n v="0.26129999999999998"/>
    <m/>
    <n v="0.26129999999999998"/>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1-01-01T00:00:00"/>
    <s v="FY21"/>
    <s v="t"/>
    <n v="0"/>
    <n v="0"/>
    <n v="4.1999999999999997E-3"/>
    <n v="4.1999999999999997E-3"/>
    <n v="0"/>
    <n v="0"/>
    <n v="1"/>
    <n v="1"/>
    <n v="0"/>
    <n v="0"/>
    <n v="100"/>
    <s v="Consolidation"/>
    <s v="CO2e and Base Measure"/>
    <n v="100"/>
    <n v="100"/>
    <n v="0"/>
    <m/>
    <m/>
    <m/>
    <m/>
    <m/>
    <n v="5.4999999999999997E-3"/>
    <m/>
    <n v="5.4999999999999997E-3"/>
    <m/>
    <m/>
    <m/>
    <m/>
    <m/>
    <s v="AUD"/>
    <s v="13564261Waste - General [t] - Scope 3"/>
    <n v="13564261"/>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459Waste - General [t] - Scope 3"/>
    <n v="13634459"/>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2-01T00:00:00"/>
    <s v="FY21"/>
    <s v="t"/>
    <n v="0"/>
    <n v="9.9000000000000005E-2"/>
    <n v="0"/>
    <n v="9.9000000000000005E-2"/>
    <n v="0"/>
    <n v="2"/>
    <n v="0"/>
    <n v="2"/>
    <n v="0"/>
    <n v="100"/>
    <n v="0"/>
    <s v="Consolidation"/>
    <s v="CO2e and Base Measure"/>
    <n v="100"/>
    <n v="100"/>
    <n v="0.1"/>
    <m/>
    <m/>
    <m/>
    <m/>
    <m/>
    <n v="0.12870000000000001"/>
    <m/>
    <n v="0.12870000000000001"/>
    <m/>
    <m/>
    <m/>
    <m/>
    <m/>
    <s v="AUD"/>
    <s v="13634459Waste - General [t] - Scope 3"/>
    <n v="13634459"/>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3-01T00:00:00"/>
    <s v="FY21"/>
    <s v="t"/>
    <n v="0"/>
    <n v="9.9000000000000005E-2"/>
    <n v="0"/>
    <n v="9.9000000000000005E-2"/>
    <n v="0"/>
    <n v="2"/>
    <n v="0"/>
    <n v="2"/>
    <n v="0"/>
    <n v="100"/>
    <n v="0"/>
    <s v="Consolidation"/>
    <s v="CO2e and Base Measure"/>
    <n v="100"/>
    <n v="100"/>
    <n v="0.1"/>
    <m/>
    <m/>
    <m/>
    <m/>
    <m/>
    <n v="0.12870000000000001"/>
    <m/>
    <n v="0.12870000000000001"/>
    <m/>
    <m/>
    <m/>
    <m/>
    <m/>
    <s v="AUD"/>
    <s v="13634459Waste - General [t] - Scope 3"/>
    <n v="13634459"/>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4-01T00:00:00"/>
    <s v="FY21"/>
    <s v="t"/>
    <n v="0"/>
    <n v="0"/>
    <n v="8.4000000000000005E-2"/>
    <n v="8.4000000000000005E-2"/>
    <n v="0"/>
    <n v="0"/>
    <n v="30"/>
    <n v="30"/>
    <n v="0"/>
    <n v="0"/>
    <n v="100"/>
    <s v="Consolidation"/>
    <s v="CO2e and Base Measure"/>
    <n v="100"/>
    <n v="100"/>
    <n v="0.08"/>
    <m/>
    <m/>
    <m/>
    <m/>
    <m/>
    <n v="0.10920000000000001"/>
    <m/>
    <n v="0.10920000000000001"/>
    <m/>
    <m/>
    <m/>
    <m/>
    <m/>
    <s v="AUD"/>
    <s v="13634459Waste - General [t] - Scope 3"/>
    <n v="13634459"/>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5-01T00:00:00"/>
    <s v="FY21"/>
    <s v="t"/>
    <n v="0"/>
    <n v="0"/>
    <n v="8.6800000000000002E-2"/>
    <n v="8.6800000000000002E-2"/>
    <n v="0"/>
    <n v="0"/>
    <n v="31"/>
    <n v="31"/>
    <n v="0"/>
    <n v="0"/>
    <n v="100"/>
    <s v="Consolidation"/>
    <s v="CO2e and Base Measure"/>
    <n v="100"/>
    <n v="100"/>
    <n v="0.09"/>
    <m/>
    <m/>
    <m/>
    <m/>
    <m/>
    <n v="0.1128"/>
    <m/>
    <n v="0.1128"/>
    <m/>
    <m/>
    <m/>
    <m/>
    <m/>
    <s v="AUD"/>
    <s v="13634459Waste - General [t] - Scope 3"/>
    <n v="13634459"/>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1-01T00:00:00"/>
    <s v="FY21"/>
    <s v="t"/>
    <n v="0"/>
    <n v="2.1999999999999999E-2"/>
    <n v="0"/>
    <n v="2.1999999999999999E-2"/>
    <n v="0"/>
    <n v="1"/>
    <n v="0"/>
    <n v="1"/>
    <n v="0"/>
    <n v="100"/>
    <n v="0"/>
    <s v="Consolidation"/>
    <s v="CO2e and Base Measure"/>
    <n v="100"/>
    <n v="100"/>
    <n v="0.02"/>
    <m/>
    <m/>
    <m/>
    <m/>
    <m/>
    <m/>
    <n v="0"/>
    <m/>
    <m/>
    <m/>
    <m/>
    <m/>
    <m/>
    <s v="AUD"/>
    <s v="13634460Waste Recycled - Commingled [t]"/>
    <n v="13634460"/>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2-01T00:00:00"/>
    <s v="FY21"/>
    <s v="t"/>
    <n v="0"/>
    <n v="0"/>
    <n v="1.9599999999999999E-2"/>
    <n v="1.9599999999999999E-2"/>
    <n v="0"/>
    <n v="0"/>
    <n v="28"/>
    <n v="28"/>
    <n v="0"/>
    <n v="0"/>
    <n v="100"/>
    <s v="Consolidation"/>
    <s v="CO2e and Base Measure"/>
    <n v="100"/>
    <n v="100"/>
    <n v="0.02"/>
    <m/>
    <m/>
    <m/>
    <m/>
    <m/>
    <m/>
    <n v="0"/>
    <m/>
    <m/>
    <m/>
    <m/>
    <m/>
    <m/>
    <s v="AUD"/>
    <s v="13634460Waste Recycled - Commingled [t]"/>
    <n v="13634460"/>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3-01T00:00:00"/>
    <s v="FY21"/>
    <s v="t"/>
    <n v="0"/>
    <n v="0"/>
    <n v="2.1700000000000001E-2"/>
    <n v="2.1700000000000001E-2"/>
    <n v="0"/>
    <n v="0"/>
    <n v="31"/>
    <n v="31"/>
    <n v="0"/>
    <n v="0"/>
    <n v="100"/>
    <s v="Consolidation"/>
    <s v="CO2e and Base Measure"/>
    <n v="100"/>
    <n v="100"/>
    <n v="0.02"/>
    <m/>
    <m/>
    <m/>
    <m/>
    <m/>
    <m/>
    <n v="0"/>
    <m/>
    <m/>
    <m/>
    <m/>
    <m/>
    <m/>
    <s v="AUD"/>
    <s v="13634460Waste Recycled - Commingled [t]"/>
    <n v="13634460"/>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4-01T00:00:00"/>
    <s v="FY21"/>
    <s v="t"/>
    <n v="0"/>
    <n v="0"/>
    <n v="2.1000000000000001E-2"/>
    <n v="2.1000000000000001E-2"/>
    <n v="0"/>
    <n v="0"/>
    <n v="30"/>
    <n v="30"/>
    <n v="0"/>
    <n v="0"/>
    <n v="100"/>
    <s v="Consolidation"/>
    <s v="CO2e and Base Measure"/>
    <n v="100"/>
    <n v="100"/>
    <n v="0.02"/>
    <m/>
    <m/>
    <m/>
    <m/>
    <m/>
    <m/>
    <n v="0"/>
    <m/>
    <m/>
    <m/>
    <m/>
    <m/>
    <m/>
    <s v="AUD"/>
    <s v="13634460Waste Recycled - Commingled [t]"/>
    <n v="13634460"/>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5-01T00:00:00"/>
    <s v="FY21"/>
    <s v="t"/>
    <n v="0"/>
    <n v="0"/>
    <n v="2.1700000000000001E-2"/>
    <n v="2.1700000000000001E-2"/>
    <n v="0"/>
    <n v="0"/>
    <n v="31"/>
    <n v="31"/>
    <n v="0"/>
    <n v="0"/>
    <n v="100"/>
    <s v="Consolidation"/>
    <s v="CO2e and Base Measure"/>
    <n v="100"/>
    <n v="100"/>
    <n v="0.02"/>
    <m/>
    <m/>
    <m/>
    <m/>
    <m/>
    <m/>
    <n v="0"/>
    <m/>
    <m/>
    <m/>
    <m/>
    <m/>
    <m/>
    <s v="AUD"/>
    <s v="13634460Waste Recycled - Commingled [t]"/>
    <n v="13634460"/>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07-01T00:00:00"/>
    <s v="FY21"/>
    <s v="t"/>
    <n v="0.09"/>
    <n v="0"/>
    <n v="0"/>
    <n v="0.09"/>
    <n v="2"/>
    <n v="0"/>
    <n v="0"/>
    <n v="2"/>
    <n v="100"/>
    <n v="0"/>
    <n v="0"/>
    <s v="Consolidation"/>
    <s v="CO2e and Base Measure"/>
    <n v="100"/>
    <n v="100"/>
    <n v="0.09"/>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08-01T00:00:00"/>
    <s v="FY21"/>
    <s v="t"/>
    <n v="5.3999999999999999E-2"/>
    <n v="2.3300000000000001E-2"/>
    <n v="0"/>
    <n v="7.7299999999999994E-2"/>
    <n v="1"/>
    <n v="1"/>
    <n v="0"/>
    <n v="2"/>
    <n v="69.849999999999994"/>
    <n v="30.14"/>
    <n v="0"/>
    <s v="Consolidation"/>
    <s v="CO2e and Base Measure"/>
    <n v="100"/>
    <n v="100"/>
    <n v="0.08"/>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09-01T00:00:00"/>
    <s v="FY21"/>
    <s v="t"/>
    <n v="8.2000000000000003E-2"/>
    <n v="0"/>
    <n v="0"/>
    <n v="8.2000000000000003E-2"/>
    <n v="2"/>
    <n v="0"/>
    <n v="0"/>
    <n v="2"/>
    <n v="100"/>
    <n v="0"/>
    <n v="0"/>
    <s v="Consolidation"/>
    <s v="CO2e and Base Measure"/>
    <n v="100"/>
    <n v="100"/>
    <n v="0.08"/>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10-01T00:00:00"/>
    <s v="FY21"/>
    <s v="t"/>
    <n v="0"/>
    <n v="2.3300000000000001E-2"/>
    <n v="0"/>
    <n v="2.3300000000000001E-2"/>
    <n v="0"/>
    <n v="1"/>
    <n v="0"/>
    <n v="1"/>
    <n v="0"/>
    <n v="100"/>
    <n v="0"/>
    <s v="Consolidation"/>
    <s v="CO2e and Base Measure"/>
    <n v="100"/>
    <n v="100"/>
    <n v="0.02"/>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11-01T00:00:00"/>
    <s v="FY21"/>
    <s v="t"/>
    <n v="5.6000000000000001E-2"/>
    <n v="0"/>
    <n v="0"/>
    <n v="5.6000000000000001E-2"/>
    <n v="2"/>
    <n v="0"/>
    <n v="0"/>
    <n v="2"/>
    <n v="100"/>
    <n v="0"/>
    <n v="0"/>
    <s v="Consolidation"/>
    <s v="CO2e and Base Measure"/>
    <n v="100"/>
    <n v="100"/>
    <n v="0.06"/>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12-01T00:00:00"/>
    <s v="FY21"/>
    <s v="t"/>
    <n v="1E-3"/>
    <n v="2.3300000000000001E-2"/>
    <n v="0"/>
    <n v="2.4299999999999999E-2"/>
    <n v="1"/>
    <n v="1"/>
    <n v="0"/>
    <n v="2"/>
    <n v="4.1100000000000003"/>
    <n v="95.88"/>
    <n v="0"/>
    <s v="Consolidation"/>
    <s v="CO2e and Base Measure"/>
    <n v="100"/>
    <n v="100"/>
    <n v="0.02"/>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1-01-01T00:00:00"/>
    <s v="FY21"/>
    <s v="t"/>
    <n v="0"/>
    <n v="0"/>
    <n v="1.9E-3"/>
    <n v="1.9E-3"/>
    <n v="0"/>
    <n v="0"/>
    <n v="1"/>
    <n v="1"/>
    <n v="0"/>
    <n v="0"/>
    <n v="100"/>
    <s v="Consolidation"/>
    <s v="CO2e and Base Measure"/>
    <n v="100"/>
    <n v="100"/>
    <n v="0"/>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07-01T00:00:00"/>
    <s v="FY21"/>
    <s v="t"/>
    <n v="4.0000000000000001E-3"/>
    <n v="0"/>
    <n v="0"/>
    <n v="4.0000000000000001E-3"/>
    <n v="1"/>
    <n v="0"/>
    <n v="0"/>
    <n v="1"/>
    <n v="100"/>
    <n v="0"/>
    <n v="0"/>
    <s v="Consolidation"/>
    <s v="CO2e and Base Measure"/>
    <n v="100"/>
    <n v="100"/>
    <n v="0"/>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08-01T00:00:00"/>
    <s v="FY21"/>
    <s v="t"/>
    <n v="0"/>
    <n v="0.111"/>
    <n v="0"/>
    <n v="0.111"/>
    <n v="0"/>
    <n v="1"/>
    <n v="0"/>
    <n v="1"/>
    <n v="0"/>
    <n v="100"/>
    <n v="0"/>
    <s v="Consolidation"/>
    <s v="CO2e and Base Measure"/>
    <n v="100"/>
    <n v="100"/>
    <n v="0.11"/>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09-01T00:00:00"/>
    <s v="FY21"/>
    <s v="t"/>
    <n v="0"/>
    <n v="0.111"/>
    <n v="0"/>
    <n v="0.111"/>
    <n v="0"/>
    <n v="1"/>
    <n v="0"/>
    <n v="1"/>
    <n v="0"/>
    <n v="100"/>
    <n v="0"/>
    <s v="Consolidation"/>
    <s v="CO2e and Base Measure"/>
    <n v="100"/>
    <n v="100"/>
    <n v="0.11"/>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10-01T00:00:00"/>
    <s v="FY21"/>
    <s v="t"/>
    <n v="0"/>
    <n v="0.111"/>
    <n v="0"/>
    <n v="0.111"/>
    <n v="0"/>
    <n v="1"/>
    <n v="0"/>
    <n v="1"/>
    <n v="0"/>
    <n v="100"/>
    <n v="0"/>
    <s v="Consolidation"/>
    <s v="CO2e and Base Measure"/>
    <n v="100"/>
    <n v="100"/>
    <n v="0.11"/>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11-01T00:00:00"/>
    <s v="FY21"/>
    <s v="t"/>
    <n v="1E-3"/>
    <n v="0"/>
    <n v="0"/>
    <n v="1E-3"/>
    <n v="1"/>
    <n v="0"/>
    <n v="0"/>
    <n v="1"/>
    <n v="100"/>
    <n v="0"/>
    <n v="0"/>
    <s v="Consolidation"/>
    <s v="CO2e and Base Measure"/>
    <n v="100"/>
    <n v="100"/>
    <n v="0"/>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12-01T00:00:00"/>
    <s v="FY21"/>
    <s v="t"/>
    <n v="0"/>
    <n v="0.222"/>
    <n v="0"/>
    <n v="0.222"/>
    <n v="0"/>
    <n v="2"/>
    <n v="0"/>
    <n v="2"/>
    <n v="0"/>
    <n v="100"/>
    <n v="0"/>
    <s v="Consolidation"/>
    <s v="CO2e and Base Measure"/>
    <n v="100"/>
    <n v="100"/>
    <n v="0.22"/>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1-01-01T00:00:00"/>
    <s v="FY21"/>
    <s v="t"/>
    <n v="0"/>
    <n v="0"/>
    <n v="3.2000000000000002E-3"/>
    <n v="3.2000000000000002E-3"/>
    <n v="0"/>
    <n v="0"/>
    <n v="1"/>
    <n v="1"/>
    <n v="0"/>
    <n v="0"/>
    <n v="100"/>
    <s v="Consolidation"/>
    <s v="CO2e and Base Measure"/>
    <n v="100"/>
    <n v="100"/>
    <n v="0"/>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1"/>
    <s v="Account"/>
    <s v="Remondis Electrical Comp. (E-Waste)"/>
    <m/>
    <s v="423031228500_RELECTRIC"/>
    <s v="ELECTRICAL COMP. E-WASTE"/>
    <s v="Remondis"/>
    <m/>
    <m/>
    <d v="2020-10-01T00:00:00"/>
    <d v="2020-09-01T00:00:00"/>
    <s v="FY21"/>
    <s v="t"/>
    <n v="0"/>
    <n v="0.37619999999999998"/>
    <n v="0"/>
    <n v="0.37619999999999998"/>
    <n v="0"/>
    <n v="1"/>
    <n v="0"/>
    <n v="1"/>
    <n v="0"/>
    <n v="100"/>
    <n v="0"/>
    <s v="Consolidation"/>
    <s v="CO2e and Base Measure"/>
    <n v="100"/>
    <n v="100"/>
    <n v="0.38"/>
    <m/>
    <m/>
    <m/>
    <m/>
    <m/>
    <m/>
    <m/>
    <m/>
    <m/>
    <m/>
    <m/>
    <m/>
    <m/>
    <s v="AUD"/>
    <s v="13565607Waste Recycled - E-waste [t]"/>
    <n v="13565607"/>
  </r>
  <r>
    <d v="2019-07-01T00:00:00"/>
    <d v="2021-06-30T00:00:00"/>
    <s v="Telstra"/>
    <s v="NETWORK"/>
    <s v="Network - InfraCo"/>
    <s v="NSW"/>
    <s v="Australia"/>
    <s v="Paddington"/>
    <s v="PADDINGTON INTERNATIONAL EXCHANGE"/>
    <n v="423031228500"/>
    <s v="Recycled Waste"/>
    <x v="0"/>
    <x v="1"/>
    <s v="Account"/>
    <s v="Remondis Electrical Comp. (E-Waste)"/>
    <m/>
    <s v="423031228500_RELECTRIC"/>
    <s v="ELECTRICAL COMP. E-WASTE"/>
    <s v="Remondis"/>
    <m/>
    <m/>
    <d v="2020-10-01T00:00:00"/>
    <d v="2020-10-01T00:00:00"/>
    <s v="FY21"/>
    <s v="t"/>
    <n v="0"/>
    <n v="0"/>
    <n v="1.2999999999999999E-2"/>
    <n v="1.2999999999999999E-2"/>
    <n v="0"/>
    <n v="0"/>
    <n v="1"/>
    <n v="1"/>
    <n v="0"/>
    <n v="0"/>
    <n v="100"/>
    <s v="Consolidation"/>
    <s v="CO2e and Base Measure"/>
    <n v="100"/>
    <n v="100"/>
    <n v="0.01"/>
    <m/>
    <m/>
    <m/>
    <m/>
    <m/>
    <m/>
    <m/>
    <m/>
    <m/>
    <m/>
    <m/>
    <m/>
    <m/>
    <s v="AUD"/>
    <s v="13565607Waste Recycled - E-waste [t]"/>
    <n v="13565607"/>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07-01T00:00:00"/>
    <s v="FY21"/>
    <s v="t"/>
    <n v="0.45200000000000001"/>
    <n v="0.50539999999999996"/>
    <n v="0"/>
    <n v="0.95740000000000003"/>
    <n v="15"/>
    <n v="7"/>
    <n v="0"/>
    <n v="22"/>
    <n v="47.21"/>
    <n v="52.78"/>
    <n v="0"/>
    <s v="Consolidation"/>
    <s v="CO2e and Base Measure"/>
    <n v="100"/>
    <n v="100"/>
    <n v="0.96"/>
    <m/>
    <m/>
    <m/>
    <m/>
    <m/>
    <n v="1.2445999999999999"/>
    <m/>
    <n v="1.2445999999999999"/>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08-01T00:00:00"/>
    <s v="FY21"/>
    <s v="t"/>
    <n v="0.46600000000000003"/>
    <n v="0.1444"/>
    <n v="0"/>
    <n v="0.61040000000000005"/>
    <n v="19"/>
    <n v="2"/>
    <n v="0"/>
    <n v="21"/>
    <n v="76.34"/>
    <n v="23.65"/>
    <n v="0"/>
    <s v="Consolidation"/>
    <s v="CO2e and Base Measure"/>
    <n v="100"/>
    <n v="100"/>
    <n v="0.61"/>
    <m/>
    <m/>
    <m/>
    <m/>
    <m/>
    <n v="0.79349999999999998"/>
    <m/>
    <n v="0.79349999999999998"/>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09-01T00:00:00"/>
    <s v="FY21"/>
    <s v="t"/>
    <n v="0.54400000000000004"/>
    <n v="7.22E-2"/>
    <n v="0"/>
    <n v="0.61619999999999997"/>
    <n v="20"/>
    <n v="1"/>
    <n v="0"/>
    <n v="21"/>
    <n v="88.28"/>
    <n v="11.71"/>
    <n v="0"/>
    <s v="Consolidation"/>
    <s v="CO2e and Base Measure"/>
    <n v="100"/>
    <n v="100"/>
    <n v="0.62"/>
    <m/>
    <m/>
    <m/>
    <m/>
    <m/>
    <n v="0.80110000000000003"/>
    <m/>
    <n v="0.80110000000000003"/>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10-01T00:00:00"/>
    <s v="FY21"/>
    <s v="t"/>
    <n v="0.59199999999999997"/>
    <n v="0"/>
    <n v="0"/>
    <n v="0.59199999999999997"/>
    <n v="17"/>
    <n v="0"/>
    <n v="0"/>
    <n v="17"/>
    <n v="100"/>
    <n v="0"/>
    <n v="0"/>
    <s v="Consolidation"/>
    <s v="CO2e and Base Measure"/>
    <n v="100"/>
    <n v="100"/>
    <n v="0.59"/>
    <m/>
    <m/>
    <m/>
    <m/>
    <m/>
    <n v="0.76959999999999995"/>
    <m/>
    <n v="0.76959999999999995"/>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11-01T00:00:00"/>
    <s v="FY21"/>
    <s v="t"/>
    <n v="0.51200000000000001"/>
    <n v="7.22E-2"/>
    <n v="0"/>
    <n v="0.58420000000000005"/>
    <n v="15"/>
    <n v="1"/>
    <n v="0"/>
    <n v="16"/>
    <n v="87.64"/>
    <n v="12.35"/>
    <n v="0"/>
    <s v="Consolidation"/>
    <s v="CO2e and Base Measure"/>
    <n v="100"/>
    <n v="100"/>
    <n v="0.57999999999999996"/>
    <m/>
    <m/>
    <m/>
    <m/>
    <m/>
    <n v="0.75949999999999995"/>
    <m/>
    <n v="0.75949999999999995"/>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12-01T00:00:00"/>
    <s v="FY21"/>
    <s v="t"/>
    <n v="0.11"/>
    <n v="0.1444"/>
    <n v="0"/>
    <n v="0.25440000000000002"/>
    <n v="2"/>
    <n v="2"/>
    <n v="0"/>
    <n v="4"/>
    <n v="43.23"/>
    <n v="56.76"/>
    <n v="0"/>
    <s v="Consolidation"/>
    <s v="CO2e and Base Measure"/>
    <n v="100"/>
    <n v="100"/>
    <n v="0.25"/>
    <m/>
    <m/>
    <m/>
    <m/>
    <m/>
    <n v="0.33069999999999999"/>
    <m/>
    <n v="0.33069999999999999"/>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1-01-01T00:00:00"/>
    <s v="FY21"/>
    <s v="t"/>
    <n v="0"/>
    <n v="0"/>
    <n v="0.02"/>
    <n v="0.02"/>
    <n v="0"/>
    <n v="0"/>
    <n v="1"/>
    <n v="1"/>
    <n v="0"/>
    <n v="0"/>
    <n v="100"/>
    <s v="Consolidation"/>
    <s v="CO2e and Base Measure"/>
    <n v="100"/>
    <n v="100"/>
    <n v="0.02"/>
    <m/>
    <m/>
    <m/>
    <m/>
    <m/>
    <n v="2.5999999999999999E-2"/>
    <m/>
    <n v="2.5999999999999999E-2"/>
    <m/>
    <m/>
    <m/>
    <m/>
    <m/>
    <s v="AUD"/>
    <s v="13565608Waste - General [t] - Scope 3"/>
    <n v="13565608"/>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07-01T00:00:00"/>
    <s v="FY21"/>
    <s v="t"/>
    <n v="5.3999999999999999E-2"/>
    <n v="0"/>
    <n v="0"/>
    <n v="5.3999999999999999E-2"/>
    <n v="2"/>
    <n v="0"/>
    <n v="0"/>
    <n v="2"/>
    <n v="100"/>
    <n v="0"/>
    <n v="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08-01T00:00:00"/>
    <s v="FY21"/>
    <s v="t"/>
    <n v="8.1000000000000003E-2"/>
    <n v="0"/>
    <n v="0"/>
    <n v="8.1000000000000003E-2"/>
    <n v="3"/>
    <n v="0"/>
    <n v="0"/>
    <n v="3"/>
    <n v="100"/>
    <n v="0"/>
    <n v="0"/>
    <s v="Consolidation"/>
    <s v="CO2e and Base Measure"/>
    <n v="100"/>
    <n v="100"/>
    <n v="0.08"/>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09-01T00:00:00"/>
    <s v="FY21"/>
    <s v="t"/>
    <n v="8.0000000000000002E-3"/>
    <n v="0"/>
    <n v="0"/>
    <n v="8.0000000000000002E-3"/>
    <n v="4"/>
    <n v="0"/>
    <n v="0"/>
    <n v="4"/>
    <n v="100"/>
    <n v="0"/>
    <n v="0"/>
    <s v="Consolidation"/>
    <s v="CO2e and Base Measure"/>
    <n v="100"/>
    <n v="100"/>
    <n v="0.01"/>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10-01T00:00:00"/>
    <s v="FY21"/>
    <s v="t"/>
    <n v="2.7E-2"/>
    <n v="0"/>
    <n v="0"/>
    <n v="2.7E-2"/>
    <n v="1"/>
    <n v="0"/>
    <n v="0"/>
    <n v="1"/>
    <n v="100"/>
    <n v="0"/>
    <n v="0"/>
    <s v="Consolidation"/>
    <s v="CO2e and Base Measure"/>
    <n v="100"/>
    <n v="100"/>
    <n v="0.03"/>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11-01T00:00:00"/>
    <s v="FY21"/>
    <s v="t"/>
    <n v="8.1000000000000003E-2"/>
    <n v="0"/>
    <n v="0"/>
    <n v="8.1000000000000003E-2"/>
    <n v="3"/>
    <n v="0"/>
    <n v="0"/>
    <n v="3"/>
    <n v="100"/>
    <n v="0"/>
    <n v="0"/>
    <s v="Consolidation"/>
    <s v="CO2e and Base Measure"/>
    <n v="100"/>
    <n v="100"/>
    <n v="0.08"/>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12-01T00:00:00"/>
    <s v="FY21"/>
    <s v="t"/>
    <n v="2.7E-2"/>
    <n v="0"/>
    <n v="0"/>
    <n v="2.7E-2"/>
    <n v="1"/>
    <n v="0"/>
    <n v="0"/>
    <n v="1"/>
    <n v="100"/>
    <n v="0"/>
    <n v="0"/>
    <s v="Consolidation"/>
    <s v="CO2e and Base Measure"/>
    <n v="100"/>
    <n v="100"/>
    <n v="0.03"/>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1-01T00:00:00"/>
    <s v="FY21"/>
    <s v="t"/>
    <n v="0"/>
    <n v="0"/>
    <n v="5.2699999999999997E-2"/>
    <n v="5.2699999999999997E-2"/>
    <n v="0"/>
    <n v="0"/>
    <n v="31"/>
    <n v="31"/>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2-01T00:00:00"/>
    <s v="FY21"/>
    <s v="t"/>
    <n v="0"/>
    <n v="0"/>
    <n v="4.7600000000000003E-2"/>
    <n v="4.7600000000000003E-2"/>
    <n v="0"/>
    <n v="0"/>
    <n v="28"/>
    <n v="28"/>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3-01T00:00:00"/>
    <s v="FY21"/>
    <s v="t"/>
    <n v="0"/>
    <n v="0"/>
    <n v="5.2699999999999997E-2"/>
    <n v="5.2699999999999997E-2"/>
    <n v="0"/>
    <n v="0"/>
    <n v="31"/>
    <n v="31"/>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4-01T00:00:00"/>
    <s v="FY21"/>
    <s v="t"/>
    <n v="0"/>
    <n v="0"/>
    <n v="5.0999999999999997E-2"/>
    <n v="5.0999999999999997E-2"/>
    <n v="0"/>
    <n v="0"/>
    <n v="30"/>
    <n v="30"/>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5-01T00:00:00"/>
    <s v="FY21"/>
    <s v="t"/>
    <n v="0"/>
    <n v="0"/>
    <n v="5.2699999999999997E-2"/>
    <n v="5.2699999999999997E-2"/>
    <n v="0"/>
    <n v="0"/>
    <n v="31"/>
    <n v="31"/>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0-12-01T00:00:00"/>
    <s v="FY21"/>
    <s v="t"/>
    <n v="0"/>
    <n v="0.59399999999999997"/>
    <n v="0"/>
    <n v="0.59399999999999997"/>
    <n v="0"/>
    <n v="12"/>
    <n v="0"/>
    <n v="12"/>
    <n v="0"/>
    <n v="100"/>
    <n v="0"/>
    <s v="Consolidation"/>
    <s v="CO2e and Base Measure"/>
    <n v="100"/>
    <n v="100"/>
    <n v="0.59"/>
    <m/>
    <m/>
    <m/>
    <m/>
    <m/>
    <n v="0.7722"/>
    <m/>
    <n v="0.7722"/>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1-01T00:00:00"/>
    <s v="FY21"/>
    <s v="t"/>
    <n v="0"/>
    <n v="0.59399999999999997"/>
    <n v="0"/>
    <n v="0.59399999999999997"/>
    <n v="0"/>
    <n v="12"/>
    <n v="0"/>
    <n v="12"/>
    <n v="0"/>
    <n v="100"/>
    <n v="0"/>
    <s v="Consolidation"/>
    <s v="CO2e and Base Measure"/>
    <n v="100"/>
    <n v="100"/>
    <n v="0.59"/>
    <m/>
    <m/>
    <m/>
    <m/>
    <m/>
    <n v="0.7722"/>
    <m/>
    <n v="0.7722"/>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2-01T00:00:00"/>
    <s v="FY21"/>
    <s v="t"/>
    <n v="0"/>
    <n v="0.59399999999999997"/>
    <n v="0"/>
    <n v="0.59399999999999997"/>
    <n v="0"/>
    <n v="12"/>
    <n v="0"/>
    <n v="12"/>
    <n v="0"/>
    <n v="100"/>
    <n v="0"/>
    <s v="Consolidation"/>
    <s v="CO2e and Base Measure"/>
    <n v="100"/>
    <n v="100"/>
    <n v="0.59"/>
    <m/>
    <m/>
    <m/>
    <m/>
    <m/>
    <n v="0.7722"/>
    <m/>
    <n v="0.7722"/>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3-01T00:00:00"/>
    <s v="FY21"/>
    <s v="t"/>
    <n v="0"/>
    <n v="0.69299999999999995"/>
    <n v="0"/>
    <n v="0.69299999999999995"/>
    <n v="0"/>
    <n v="14"/>
    <n v="0"/>
    <n v="14"/>
    <n v="0"/>
    <n v="100"/>
    <n v="0"/>
    <s v="Consolidation"/>
    <s v="CO2e and Base Measure"/>
    <n v="100"/>
    <n v="100"/>
    <n v="0.69"/>
    <m/>
    <m/>
    <m/>
    <m/>
    <m/>
    <n v="0.90090000000000003"/>
    <m/>
    <n v="0.90090000000000003"/>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4-01T00:00:00"/>
    <s v="FY21"/>
    <s v="t"/>
    <n v="0"/>
    <n v="0"/>
    <n v="0.61799999999999999"/>
    <n v="0.61799999999999999"/>
    <n v="0"/>
    <n v="0"/>
    <n v="30"/>
    <n v="30"/>
    <n v="0"/>
    <n v="0"/>
    <n v="100"/>
    <s v="Consolidation"/>
    <s v="CO2e and Base Measure"/>
    <n v="100"/>
    <n v="100"/>
    <n v="0.62"/>
    <m/>
    <m/>
    <m/>
    <m/>
    <m/>
    <n v="0.8034"/>
    <m/>
    <n v="0.8034"/>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5-01T00:00:00"/>
    <s v="FY21"/>
    <s v="t"/>
    <n v="0"/>
    <n v="0"/>
    <n v="0.63859999999999995"/>
    <n v="0.63859999999999995"/>
    <n v="0"/>
    <n v="0"/>
    <n v="31"/>
    <n v="31"/>
    <n v="0"/>
    <n v="0"/>
    <n v="100"/>
    <s v="Consolidation"/>
    <s v="CO2e and Base Measure"/>
    <n v="100"/>
    <n v="100"/>
    <n v="0.64"/>
    <m/>
    <m/>
    <m/>
    <m/>
    <m/>
    <n v="0.83020000000000005"/>
    <m/>
    <n v="0.83020000000000005"/>
    <m/>
    <m/>
    <m/>
    <m/>
    <m/>
    <s v="AUD"/>
    <s v="13634220Waste - General [t] - Scope 3"/>
    <n v="13634220"/>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0-12-01T00:00:00"/>
    <s v="FY21"/>
    <s v="t"/>
    <n v="0"/>
    <n v="2.75E-2"/>
    <n v="0"/>
    <n v="2.75E-2"/>
    <n v="0"/>
    <n v="1"/>
    <n v="0"/>
    <n v="1"/>
    <n v="0"/>
    <n v="100"/>
    <n v="0"/>
    <s v="Consolidation"/>
    <s v="CO2e and Base Measure"/>
    <n v="100"/>
    <n v="100"/>
    <n v="0.03"/>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1-01-01T00:00:00"/>
    <s v="FY21"/>
    <s v="t"/>
    <n v="0"/>
    <n v="2.75E-2"/>
    <n v="0"/>
    <n v="2.75E-2"/>
    <n v="0"/>
    <n v="1"/>
    <n v="0"/>
    <n v="1"/>
    <n v="0"/>
    <n v="100"/>
    <n v="0"/>
    <s v="Consolidation"/>
    <s v="CO2e and Base Measure"/>
    <n v="100"/>
    <n v="100"/>
    <n v="0.03"/>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1-03-01T00:00:00"/>
    <s v="FY21"/>
    <s v="t"/>
    <n v="0.09"/>
    <n v="2.75E-2"/>
    <n v="0"/>
    <n v="0.11749999999999999"/>
    <n v="1"/>
    <n v="1"/>
    <n v="0"/>
    <n v="2"/>
    <n v="76.59"/>
    <n v="23.4"/>
    <n v="0"/>
    <s v="Consolidation"/>
    <s v="CO2e and Base Measure"/>
    <n v="100"/>
    <n v="100"/>
    <n v="0.12"/>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1-04-01T00:00:00"/>
    <s v="FY21"/>
    <s v="t"/>
    <n v="0"/>
    <n v="0"/>
    <n v="4.2000000000000003E-2"/>
    <n v="4.2000000000000003E-2"/>
    <n v="0"/>
    <n v="0"/>
    <n v="30"/>
    <n v="30"/>
    <n v="0"/>
    <n v="0"/>
    <n v="100"/>
    <s v="Consolidation"/>
    <s v="CO2e and Base Measure"/>
    <n v="100"/>
    <n v="100"/>
    <n v="0.04"/>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1-05-01T00:00:00"/>
    <s v="FY21"/>
    <s v="t"/>
    <n v="0"/>
    <n v="0"/>
    <n v="4.3400000000000001E-2"/>
    <n v="4.3400000000000001E-2"/>
    <n v="0"/>
    <n v="0"/>
    <n v="31"/>
    <n v="31"/>
    <n v="0"/>
    <n v="0"/>
    <n v="100"/>
    <s v="Consolidation"/>
    <s v="CO2e and Base Measure"/>
    <n v="100"/>
    <n v="100"/>
    <n v="0.04"/>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3"/>
    <s v="Account"/>
    <s v="CLEANAWAY Commingle - Diversion"/>
    <m/>
    <s v="45788_Diversion_Commingle"/>
    <s v="Commingle"/>
    <s v="Cleanaway"/>
    <m/>
    <d v="2021-02-02T00:00:00"/>
    <m/>
    <d v="2021-02-01T00:00:00"/>
    <s v="FY21"/>
    <s v="t"/>
    <n v="0"/>
    <n v="2.1999999999999999E-2"/>
    <n v="0"/>
    <n v="2.1999999999999999E-2"/>
    <n v="0"/>
    <n v="1"/>
    <n v="0"/>
    <n v="1"/>
    <n v="0"/>
    <n v="100"/>
    <n v="0"/>
    <s v="Consolidation"/>
    <s v="CO2e and Base Measure"/>
    <n v="100"/>
    <n v="100"/>
    <n v="0.02"/>
    <m/>
    <m/>
    <m/>
    <m/>
    <m/>
    <m/>
    <n v="0"/>
    <m/>
    <m/>
    <m/>
    <m/>
    <m/>
    <m/>
    <s v="AUD"/>
    <s v="13639909Waste Recycled - Commingled [t]"/>
    <n v="13639909"/>
  </r>
  <r>
    <d v="2019-07-01T00:00:00"/>
    <d v="2021-06-30T00:00:00"/>
    <s v="Telstra"/>
    <s v="NETWORK"/>
    <s v="Network - InfraCo"/>
    <s v="NSW"/>
    <s v="Australia"/>
    <s v="Paddington"/>
    <s v="PADDINGTON INTERNATIONAL EXCHANGE"/>
    <n v="423031228500"/>
    <s v="Recycled Waste"/>
    <x v="0"/>
    <x v="3"/>
    <s v="Account"/>
    <s v="CLEANAWAY Commingle - Diversion"/>
    <m/>
    <s v="45788_Diversion_Commingle"/>
    <s v="Commingle"/>
    <s v="Cleanaway"/>
    <m/>
    <d v="2021-02-02T00:00:00"/>
    <m/>
    <d v="2021-03-01T00:00:00"/>
    <s v="FY21"/>
    <s v="t"/>
    <n v="0"/>
    <n v="4.3999999999999997E-2"/>
    <n v="0"/>
    <n v="4.3999999999999997E-2"/>
    <n v="0"/>
    <n v="2"/>
    <n v="0"/>
    <n v="2"/>
    <n v="0"/>
    <n v="100"/>
    <n v="0"/>
    <s v="Consolidation"/>
    <s v="CO2e and Base Measure"/>
    <n v="100"/>
    <n v="100"/>
    <n v="0.04"/>
    <m/>
    <m/>
    <m/>
    <m/>
    <m/>
    <m/>
    <n v="0"/>
    <m/>
    <m/>
    <m/>
    <m/>
    <m/>
    <m/>
    <s v="AUD"/>
    <s v="13639909Waste Recycled - Commingled [t]"/>
    <n v="13639909"/>
  </r>
  <r>
    <d v="2019-07-01T00:00:00"/>
    <d v="2021-06-30T00:00:00"/>
    <s v="Telstra"/>
    <s v="NETWORK"/>
    <s v="Network - InfraCo"/>
    <s v="NSW"/>
    <s v="Australia"/>
    <s v="Paddington"/>
    <s v="PADDINGTON INTERNATIONAL EXCHANGE"/>
    <n v="423031228500"/>
    <s v="Recycled Waste"/>
    <x v="0"/>
    <x v="3"/>
    <s v="Account"/>
    <s v="CLEANAWAY Commingle - Diversion"/>
    <m/>
    <s v="45788_Diversion_Commingle"/>
    <s v="Commingle"/>
    <s v="Cleanaway"/>
    <m/>
    <d v="2021-02-02T00:00:00"/>
    <m/>
    <d v="2021-04-01T00:00:00"/>
    <s v="FY21"/>
    <s v="t"/>
    <n v="0"/>
    <n v="0"/>
    <n v="3.3000000000000002E-2"/>
    <n v="3.3000000000000002E-2"/>
    <n v="0"/>
    <n v="0"/>
    <n v="30"/>
    <n v="30"/>
    <n v="0"/>
    <n v="0"/>
    <n v="100"/>
    <s v="Consolidation"/>
    <s v="CO2e and Base Measure"/>
    <n v="100"/>
    <n v="100"/>
    <n v="0.03"/>
    <m/>
    <m/>
    <m/>
    <m/>
    <m/>
    <m/>
    <n v="0"/>
    <m/>
    <m/>
    <m/>
    <m/>
    <m/>
    <m/>
    <s v="AUD"/>
    <s v="13639909Waste Recycled - Commingled [t]"/>
    <n v="13639909"/>
  </r>
  <r>
    <d v="2019-07-01T00:00:00"/>
    <d v="2021-06-30T00:00:00"/>
    <s v="Telstra"/>
    <s v="NETWORK"/>
    <s v="Network - InfraCo"/>
    <s v="NSW"/>
    <s v="Australia"/>
    <s v="Paddington"/>
    <s v="PADDINGTON INTERNATIONAL EXCHANGE"/>
    <n v="423031228500"/>
    <s v="Recycled Waste"/>
    <x v="0"/>
    <x v="3"/>
    <s v="Account"/>
    <s v="CLEANAWAY Commingle - Diversion"/>
    <m/>
    <s v="45788_Diversion_Commingle"/>
    <s v="Commingle"/>
    <s v="Cleanaway"/>
    <m/>
    <d v="2021-02-02T00:00:00"/>
    <m/>
    <d v="2021-05-01T00:00:00"/>
    <s v="FY21"/>
    <s v="t"/>
    <n v="0"/>
    <n v="0"/>
    <n v="3.4099999999999998E-2"/>
    <n v="3.4099999999999998E-2"/>
    <n v="0"/>
    <n v="0"/>
    <n v="31"/>
    <n v="31"/>
    <n v="0"/>
    <n v="0"/>
    <n v="100"/>
    <s v="Consolidation"/>
    <s v="CO2e and Base Measure"/>
    <n v="100"/>
    <n v="100"/>
    <n v="0.03"/>
    <m/>
    <m/>
    <m/>
    <m/>
    <m/>
    <m/>
    <n v="0"/>
    <m/>
    <m/>
    <m/>
    <m/>
    <m/>
    <m/>
    <s v="AUD"/>
    <s v="13639909Waste Recycled - Commingled [t]"/>
    <n v="13639909"/>
  </r>
  <r>
    <d v="2019-07-01T00:00:00"/>
    <d v="2021-06-30T00:00:00"/>
    <s v="Telstra"/>
    <s v="NETWORK"/>
    <s v="Network - InfraCo"/>
    <s v="QLD"/>
    <s v="Australia"/>
    <s v="Mackay"/>
    <s v="PAGET EXCHANGE"/>
    <n v="423030186400"/>
    <s v="Waste"/>
    <x v="1"/>
    <x v="2"/>
    <s v="Account"/>
    <s v="Remondis General Waste"/>
    <m/>
    <s v="423030186400_WGENERALW"/>
    <s v="GENERAL WASTE"/>
    <s v="Remondis"/>
    <m/>
    <m/>
    <d v="2020-11-01T00:00:00"/>
    <d v="2020-10-01T00:00:00"/>
    <s v="FY21"/>
    <s v="t"/>
    <n v="0"/>
    <n v="0.19500000000000001"/>
    <n v="0"/>
    <n v="0.19500000000000001"/>
    <n v="0"/>
    <n v="1"/>
    <n v="0"/>
    <n v="1"/>
    <n v="0"/>
    <n v="100"/>
    <n v="0"/>
    <s v="Consolidation"/>
    <s v="CO2e and Base Measure"/>
    <n v="100"/>
    <n v="100"/>
    <n v="0.2"/>
    <m/>
    <m/>
    <m/>
    <m/>
    <m/>
    <n v="0.2535"/>
    <m/>
    <n v="0.2535"/>
    <m/>
    <m/>
    <m/>
    <m/>
    <m/>
    <s v="AUD"/>
    <s v="13564263Waste - General [t] - Scope 3"/>
    <n v="13564263"/>
  </r>
  <r>
    <d v="2019-07-01T00:00:00"/>
    <d v="2021-06-30T00:00:00"/>
    <s v="Telstra"/>
    <s v="NETWORK"/>
    <s v="Network - InfraCo"/>
    <s v="QLD"/>
    <s v="Australia"/>
    <s v="Mackay"/>
    <s v="PAGET EXCHANGE"/>
    <n v="423030186400"/>
    <s v="Waste"/>
    <x v="1"/>
    <x v="2"/>
    <s v="Account"/>
    <s v="Remondis General Waste"/>
    <m/>
    <s v="423030186400_WGENERALW"/>
    <s v="GENERAL WASTE"/>
    <s v="Remondis"/>
    <m/>
    <m/>
    <d v="2020-11-01T00:00:00"/>
    <d v="2020-11-01T00:00:00"/>
    <s v="FY21"/>
    <s v="t"/>
    <n v="0"/>
    <n v="0"/>
    <n v="6.4999999999999997E-3"/>
    <n v="6.4999999999999997E-3"/>
    <n v="0"/>
    <n v="0"/>
    <n v="1"/>
    <n v="1"/>
    <n v="0"/>
    <n v="0"/>
    <n v="100"/>
    <s v="Consolidation"/>
    <s v="CO2e and Base Measure"/>
    <n v="100"/>
    <n v="100"/>
    <n v="0.01"/>
    <m/>
    <m/>
    <m/>
    <m/>
    <m/>
    <n v="8.5000000000000006E-3"/>
    <m/>
    <n v="8.5000000000000006E-3"/>
    <m/>
    <m/>
    <m/>
    <m/>
    <m/>
    <s v="AUD"/>
    <s v="13564263Waste - General [t] - Scope 3"/>
    <n v="13564263"/>
  </r>
  <r>
    <d v="2019-07-01T00:00:00"/>
    <d v="2021-06-30T00:00:00"/>
    <s v="Telstra"/>
    <s v="NETWORK"/>
    <s v="Network - InfraCo"/>
    <s v="QLD"/>
    <s v="Australia"/>
    <s v="Mackay"/>
    <s v="PAGET EXCHANGE"/>
    <n v="423030186400"/>
    <s v="Waste"/>
    <x v="1"/>
    <x v="4"/>
    <s v="Account"/>
    <s v="CLEANAWAY Asbestos"/>
    <m/>
    <s v="57365_Landfill_Asbestos"/>
    <m/>
    <s v="Cleanaway"/>
    <m/>
    <m/>
    <m/>
    <d v="2021-03-01T00:00:00"/>
    <s v="FY21"/>
    <s v="t"/>
    <n v="0.46"/>
    <n v="0"/>
    <n v="0"/>
    <n v="0.46"/>
    <n v="1"/>
    <n v="0"/>
    <n v="0"/>
    <n v="1"/>
    <n v="100"/>
    <n v="0"/>
    <n v="0"/>
    <s v="Consolidation"/>
    <s v="CO2e and Base Measure"/>
    <n v="100"/>
    <n v="100"/>
    <n v="0.46"/>
    <m/>
    <m/>
    <m/>
    <m/>
    <m/>
    <n v="0.55200000000000005"/>
    <m/>
    <n v="0.55200000000000005"/>
    <m/>
    <m/>
    <m/>
    <m/>
    <m/>
    <s v="AUD"/>
    <s v="13641251Waste - Construction and Demolition [t]"/>
    <n v="13641251"/>
  </r>
  <r>
    <d v="2019-07-01T00:00:00"/>
    <d v="2021-06-30T00:00:00"/>
    <s v="Telstra"/>
    <s v="NETWORK"/>
    <s v="Network - InfraCo"/>
    <s v="QLD"/>
    <s v="Australia"/>
    <s v="Mackay"/>
    <s v="PAGET EXCHANGE"/>
    <n v="423030186400"/>
    <s v="Waste"/>
    <x v="1"/>
    <x v="4"/>
    <s v="Account"/>
    <s v="CLEANAWAY Asbestos"/>
    <m/>
    <s v="57365_Landfill_Asbestos"/>
    <m/>
    <s v="Cleanaway"/>
    <m/>
    <m/>
    <m/>
    <d v="2021-04-01T00:00:00"/>
    <s v="FY21"/>
    <s v="t"/>
    <n v="0"/>
    <n v="0"/>
    <n v="0.45900000000000002"/>
    <n v="0.45900000000000002"/>
    <n v="0"/>
    <n v="0"/>
    <n v="30"/>
    <n v="30"/>
    <n v="0"/>
    <n v="0"/>
    <n v="100"/>
    <s v="Consolidation"/>
    <s v="CO2e and Base Measure"/>
    <n v="100"/>
    <n v="100"/>
    <n v="0.46"/>
    <m/>
    <m/>
    <m/>
    <m/>
    <m/>
    <n v="0.55079999999999996"/>
    <m/>
    <n v="0.55079999999999996"/>
    <m/>
    <m/>
    <m/>
    <m/>
    <m/>
    <s v="AUD"/>
    <s v="13641251Waste - Construction and Demolition [t]"/>
    <n v="13641251"/>
  </r>
  <r>
    <d v="2019-07-01T00:00:00"/>
    <d v="2021-06-30T00:00:00"/>
    <s v="Telstra"/>
    <s v="NETWORK"/>
    <s v="Network - InfraCo"/>
    <s v="QLD"/>
    <s v="Australia"/>
    <s v="Mackay"/>
    <s v="PAGET EXCHANGE"/>
    <n v="423030186400"/>
    <s v="Waste"/>
    <x v="1"/>
    <x v="4"/>
    <s v="Account"/>
    <s v="CLEANAWAY Asbestos"/>
    <m/>
    <s v="57365_Landfill_Asbestos"/>
    <m/>
    <s v="Cleanaway"/>
    <m/>
    <m/>
    <m/>
    <d v="2021-05-01T00:00:00"/>
    <s v="FY21"/>
    <s v="t"/>
    <n v="0"/>
    <n v="0"/>
    <n v="0.4743"/>
    <n v="0.4743"/>
    <n v="0"/>
    <n v="0"/>
    <n v="31"/>
    <n v="31"/>
    <n v="0"/>
    <n v="0"/>
    <n v="100"/>
    <s v="Consolidation"/>
    <s v="CO2e and Base Measure"/>
    <n v="100"/>
    <n v="100"/>
    <n v="0.47"/>
    <m/>
    <m/>
    <m/>
    <m/>
    <m/>
    <n v="0.56920000000000004"/>
    <m/>
    <n v="0.56920000000000004"/>
    <m/>
    <m/>
    <m/>
    <m/>
    <m/>
    <s v="AUD"/>
    <s v="13641251Waste - Construction and Demolition [t]"/>
    <n v="13641251"/>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07-01T00:00:00"/>
    <s v="FY21"/>
    <s v="t"/>
    <n v="0"/>
    <n v="0.43290000000000001"/>
    <n v="0"/>
    <n v="0.43290000000000001"/>
    <n v="0"/>
    <n v="3"/>
    <n v="0"/>
    <n v="3"/>
    <n v="0"/>
    <n v="100"/>
    <n v="0"/>
    <s v="Consolidation"/>
    <s v="CO2e and Base Measure"/>
    <n v="100"/>
    <n v="100"/>
    <n v="0.43"/>
    <m/>
    <m/>
    <m/>
    <m/>
    <m/>
    <n v="0.56279999999999997"/>
    <m/>
    <n v="0.56279999999999997"/>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08-01T00:00:00"/>
    <s v="FY21"/>
    <s v="t"/>
    <n v="0"/>
    <n v="0.28860000000000002"/>
    <n v="0"/>
    <n v="0.28860000000000002"/>
    <n v="0"/>
    <n v="2"/>
    <n v="0"/>
    <n v="2"/>
    <n v="0"/>
    <n v="100"/>
    <n v="0"/>
    <s v="Consolidation"/>
    <s v="CO2e and Base Measure"/>
    <n v="100"/>
    <n v="100"/>
    <n v="0.28999999999999998"/>
    <m/>
    <m/>
    <m/>
    <m/>
    <m/>
    <n v="0.37519999999999998"/>
    <m/>
    <n v="0.37519999999999998"/>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09-01T00:00:00"/>
    <s v="FY21"/>
    <s v="t"/>
    <n v="0"/>
    <n v="0.28860000000000002"/>
    <n v="0"/>
    <n v="0.28860000000000002"/>
    <n v="0"/>
    <n v="2"/>
    <n v="0"/>
    <n v="2"/>
    <n v="0"/>
    <n v="100"/>
    <n v="0"/>
    <s v="Consolidation"/>
    <s v="CO2e and Base Measure"/>
    <n v="100"/>
    <n v="100"/>
    <n v="0.28999999999999998"/>
    <m/>
    <m/>
    <m/>
    <m/>
    <m/>
    <n v="0.37519999999999998"/>
    <m/>
    <n v="0.37519999999999998"/>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10-01T00:00:00"/>
    <s v="FY21"/>
    <s v="t"/>
    <n v="0"/>
    <n v="0.28860000000000002"/>
    <n v="0"/>
    <n v="0.28860000000000002"/>
    <n v="0"/>
    <n v="2"/>
    <n v="0"/>
    <n v="2"/>
    <n v="0"/>
    <n v="100"/>
    <n v="0"/>
    <s v="Consolidation"/>
    <s v="CO2e and Base Measure"/>
    <n v="100"/>
    <n v="100"/>
    <n v="0.28999999999999998"/>
    <m/>
    <m/>
    <m/>
    <m/>
    <m/>
    <n v="0.37519999999999998"/>
    <m/>
    <n v="0.37519999999999998"/>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11-01T00:00:00"/>
    <s v="FY21"/>
    <s v="t"/>
    <n v="0"/>
    <n v="0.28860000000000002"/>
    <n v="0"/>
    <n v="0.28860000000000002"/>
    <n v="0"/>
    <n v="2"/>
    <n v="0"/>
    <n v="2"/>
    <n v="0"/>
    <n v="100"/>
    <n v="0"/>
    <s v="Consolidation"/>
    <s v="CO2e and Base Measure"/>
    <n v="100"/>
    <n v="100"/>
    <n v="0.28999999999999998"/>
    <m/>
    <m/>
    <m/>
    <m/>
    <m/>
    <n v="0.37519999999999998"/>
    <m/>
    <n v="0.37519999999999998"/>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1-01-01T00:00:00"/>
    <s v="FY21"/>
    <s v="t"/>
    <n v="0"/>
    <n v="0"/>
    <n v="9.4999999999999998E-3"/>
    <n v="9.4999999999999998E-3"/>
    <n v="0"/>
    <n v="0"/>
    <n v="1"/>
    <n v="1"/>
    <n v="0"/>
    <n v="0"/>
    <n v="100"/>
    <s v="Consolidation"/>
    <s v="CO2e and Base Measure"/>
    <n v="100"/>
    <n v="100"/>
    <n v="0.01"/>
    <m/>
    <m/>
    <m/>
    <m/>
    <m/>
    <n v="1.24E-2"/>
    <m/>
    <n v="1.24E-2"/>
    <m/>
    <m/>
    <m/>
    <m/>
    <m/>
    <s v="AUD"/>
    <s v="13565030Waste - General [t] - Scope 3"/>
    <n v="13565030"/>
  </r>
  <r>
    <d v="2019-07-01T00:00:00"/>
    <d v="2021-06-30T00:00:00"/>
    <s v="Telstra"/>
    <s v="NETWORK"/>
    <s v="Network - InfraCo"/>
    <s v="VIC"/>
    <s v="Australia"/>
    <s v="Pakenham Upper"/>
    <s v="PAKENHAM EXCHANGE"/>
    <n v="423030636600"/>
    <s v="Recycled Waste"/>
    <x v="0"/>
    <x v="1"/>
    <s v="Account"/>
    <s v="Remondis Electrical Comp. (E-Waste)"/>
    <m/>
    <s v="423030636600_RELECTRIC"/>
    <s v="ELECTRICAL COMP. E-WASTE"/>
    <s v="Remondis"/>
    <m/>
    <m/>
    <d v="2020-10-01T00:00:00"/>
    <d v="2020-09-01T00:00:00"/>
    <s v="FY21"/>
    <s v="t"/>
    <n v="0"/>
    <n v="0.12540000000000001"/>
    <n v="0"/>
    <n v="0.12540000000000001"/>
    <n v="0"/>
    <n v="1"/>
    <n v="0"/>
    <n v="1"/>
    <n v="0"/>
    <n v="100"/>
    <n v="0"/>
    <s v="Consolidation"/>
    <s v="CO2e and Base Measure"/>
    <n v="100"/>
    <n v="100"/>
    <n v="0.13"/>
    <m/>
    <m/>
    <m/>
    <m/>
    <m/>
    <m/>
    <m/>
    <m/>
    <m/>
    <m/>
    <m/>
    <m/>
    <m/>
    <s v="AUD"/>
    <s v="13576236Waste Recycled - E-waste [t]"/>
    <n v="13576236"/>
  </r>
  <r>
    <d v="2019-07-01T00:00:00"/>
    <d v="2021-06-30T00:00:00"/>
    <s v="Telstra"/>
    <s v="NETWORK"/>
    <s v="Network - InfraCo"/>
    <s v="VIC"/>
    <s v="Australia"/>
    <s v="Pakenham Upper"/>
    <s v="PAKENHAM EXCHANGE"/>
    <n v="423030636600"/>
    <s v="Recycled Waste"/>
    <x v="0"/>
    <x v="1"/>
    <s v="Account"/>
    <s v="Remondis Electrical Comp. (E-Waste)"/>
    <m/>
    <s v="423030636600_RELECTRIC"/>
    <s v="ELECTRICAL COMP. E-WASTE"/>
    <s v="Remondis"/>
    <m/>
    <m/>
    <d v="2020-10-01T00:00:00"/>
    <d v="2020-10-01T00:00:00"/>
    <s v="FY21"/>
    <s v="t"/>
    <n v="0"/>
    <n v="0"/>
    <n v="4.3E-3"/>
    <n v="4.3E-3"/>
    <n v="0"/>
    <n v="0"/>
    <n v="1"/>
    <n v="1"/>
    <n v="0"/>
    <n v="0"/>
    <n v="100"/>
    <s v="Consolidation"/>
    <s v="CO2e and Base Measure"/>
    <n v="100"/>
    <n v="100"/>
    <n v="0"/>
    <m/>
    <m/>
    <m/>
    <m/>
    <m/>
    <m/>
    <m/>
    <m/>
    <m/>
    <m/>
    <m/>
    <m/>
    <m/>
    <s v="AUD"/>
    <s v="13576236Waste Recycled - E-waste [t]"/>
    <n v="13576236"/>
  </r>
  <r>
    <d v="2019-07-01T00:00:00"/>
    <d v="2021-06-30T00:00:00"/>
    <s v="Telstra"/>
    <s v="NETWORK"/>
    <s v="Network - InfraCo"/>
    <s v="VIC"/>
    <s v="Australia"/>
    <s v="Pakenham Upper"/>
    <s v="PAKENHAM EXCHANGE"/>
    <n v="423030636600"/>
    <s v="Recycled Waste"/>
    <x v="0"/>
    <x v="1"/>
    <s v="Account"/>
    <s v="Remondis Metal - Copper"/>
    <m/>
    <s v="423030636600_RMETCOPPR"/>
    <s v="METAL - COPPER"/>
    <s v="Remondis"/>
    <m/>
    <m/>
    <d v="2021-01-01T00:00:00"/>
    <d v="2020-11-01T00:00:00"/>
    <s v="FY21"/>
    <s v="t"/>
    <n v="0.126"/>
    <n v="0"/>
    <n v="0"/>
    <n v="0.126"/>
    <n v="1"/>
    <n v="0"/>
    <n v="0"/>
    <n v="1"/>
    <n v="100"/>
    <n v="0"/>
    <n v="0"/>
    <s v="Consolidation"/>
    <s v="CO2e and Base Measure"/>
    <n v="100"/>
    <n v="100"/>
    <n v="0.13"/>
    <m/>
    <m/>
    <m/>
    <m/>
    <m/>
    <m/>
    <m/>
    <m/>
    <m/>
    <m/>
    <m/>
    <m/>
    <m/>
    <s v="AUD"/>
    <s v="13633443Waste Recycled - E-waste [t]"/>
    <n v="13633443"/>
  </r>
  <r>
    <d v="2019-07-01T00:00:00"/>
    <d v="2021-06-30T00:00:00"/>
    <s v="Telstra"/>
    <s v="NETWORK"/>
    <s v="Network - InfraCo"/>
    <s v="VIC"/>
    <s v="Australia"/>
    <s v="Pakenham Upper"/>
    <s v="PAKENHAM EXCHANGE"/>
    <n v="423030636600"/>
    <s v="Recycled Waste"/>
    <x v="0"/>
    <x v="1"/>
    <s v="Account"/>
    <s v="Remondis Metal - Copper"/>
    <m/>
    <s v="423030636600_RMETCOPPR"/>
    <s v="METAL - COPPER"/>
    <s v="Remondis"/>
    <m/>
    <m/>
    <d v="2021-01-01T00:00:00"/>
    <d v="2020-12-01T00:00:00"/>
    <s v="FY21"/>
    <s v="t"/>
    <n v="0"/>
    <n v="0.15"/>
    <n v="0"/>
    <n v="0.15"/>
    <n v="0"/>
    <n v="1"/>
    <n v="0"/>
    <n v="1"/>
    <n v="0"/>
    <n v="100"/>
    <n v="0"/>
    <s v="Consolidation"/>
    <s v="CO2e and Base Measure"/>
    <n v="100"/>
    <n v="100"/>
    <n v="0.15"/>
    <m/>
    <m/>
    <m/>
    <m/>
    <m/>
    <m/>
    <m/>
    <m/>
    <m/>
    <m/>
    <m/>
    <m/>
    <m/>
    <s v="AUD"/>
    <s v="13633443Waste Recycled - E-waste [t]"/>
    <n v="13633443"/>
  </r>
  <r>
    <d v="2019-07-01T00:00:00"/>
    <d v="2021-06-30T00:00:00"/>
    <s v="Telstra"/>
    <s v="NETWORK"/>
    <s v="Network - InfraCo"/>
    <s v="VIC"/>
    <s v="Australia"/>
    <s v="Pakenham Upper"/>
    <s v="PAKENHAM EXCHANGE"/>
    <n v="423030636600"/>
    <s v="Recycled Waste"/>
    <x v="0"/>
    <x v="1"/>
    <s v="Account"/>
    <s v="Remondis Metal - Copper"/>
    <m/>
    <s v="423030636600_RMETCOPPR"/>
    <s v="METAL - COPPER"/>
    <s v="Remondis"/>
    <m/>
    <m/>
    <d v="2021-01-01T00:00:00"/>
    <d v="2021-01-01T00:00:00"/>
    <s v="FY21"/>
    <s v="t"/>
    <n v="0"/>
    <n v="0"/>
    <n v="4.5999999999999999E-3"/>
    <n v="4.5999999999999999E-3"/>
    <n v="0"/>
    <n v="0"/>
    <n v="1"/>
    <n v="1"/>
    <n v="0"/>
    <n v="0"/>
    <n v="100"/>
    <s v="Consolidation"/>
    <s v="CO2e and Base Measure"/>
    <n v="100"/>
    <n v="100"/>
    <n v="0"/>
    <m/>
    <m/>
    <m/>
    <m/>
    <m/>
    <m/>
    <m/>
    <m/>
    <m/>
    <m/>
    <m/>
    <m/>
    <m/>
    <s v="AUD"/>
    <s v="13633443Waste Recycled - E-waste [t]"/>
    <n v="13633443"/>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1-01T00:00:00"/>
    <s v="FY21"/>
    <s v="t"/>
    <n v="0.189"/>
    <n v="0"/>
    <n v="0"/>
    <n v="0.189"/>
    <n v="2"/>
    <n v="0"/>
    <n v="0"/>
    <n v="2"/>
    <n v="100"/>
    <n v="0"/>
    <n v="0"/>
    <s v="Consolidation"/>
    <s v="CO2e and Base Measure"/>
    <n v="100"/>
    <n v="100"/>
    <n v="0.19"/>
    <m/>
    <m/>
    <m/>
    <m/>
    <m/>
    <n v="0.2457"/>
    <m/>
    <n v="0.2457"/>
    <m/>
    <m/>
    <m/>
    <m/>
    <m/>
    <s v="AUD"/>
    <s v="13634461Waste - General [t] - Scope 3"/>
    <n v="13634461"/>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2-01T00:00:00"/>
    <s v="FY21"/>
    <s v="t"/>
    <n v="0.19600000000000001"/>
    <n v="0"/>
    <n v="0"/>
    <n v="0.19600000000000001"/>
    <n v="1"/>
    <n v="0"/>
    <n v="0"/>
    <n v="1"/>
    <n v="100"/>
    <n v="0"/>
    <n v="0"/>
    <s v="Consolidation"/>
    <s v="CO2e and Base Measure"/>
    <n v="100"/>
    <n v="100"/>
    <n v="0.2"/>
    <m/>
    <m/>
    <m/>
    <m/>
    <m/>
    <n v="0.25480000000000003"/>
    <m/>
    <n v="0.25480000000000003"/>
    <m/>
    <m/>
    <m/>
    <m/>
    <m/>
    <s v="AUD"/>
    <s v="13634461Waste - General [t] - Scope 3"/>
    <n v="13634461"/>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3-01T00:00:00"/>
    <s v="FY21"/>
    <s v="t"/>
    <n v="0.16200000000000001"/>
    <n v="9.9000000000000005E-2"/>
    <n v="0"/>
    <n v="0.26100000000000001"/>
    <n v="2"/>
    <n v="1"/>
    <n v="0"/>
    <n v="3"/>
    <n v="62.06"/>
    <n v="37.93"/>
    <n v="0"/>
    <s v="Consolidation"/>
    <s v="CO2e and Base Measure"/>
    <n v="100"/>
    <n v="100"/>
    <n v="0.26"/>
    <m/>
    <m/>
    <m/>
    <m/>
    <m/>
    <n v="0.33929999999999999"/>
    <m/>
    <n v="0.33929999999999999"/>
    <m/>
    <m/>
    <m/>
    <m/>
    <m/>
    <s v="AUD"/>
    <s v="13634461Waste - General [t] - Scope 3"/>
    <n v="13634461"/>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4-01T00:00:00"/>
    <s v="FY21"/>
    <s v="t"/>
    <n v="0"/>
    <n v="0"/>
    <n v="0.219"/>
    <n v="0.219"/>
    <n v="0"/>
    <n v="0"/>
    <n v="30"/>
    <n v="30"/>
    <n v="0"/>
    <n v="0"/>
    <n v="100"/>
    <s v="Consolidation"/>
    <s v="CO2e and Base Measure"/>
    <n v="100"/>
    <n v="100"/>
    <n v="0.22"/>
    <m/>
    <m/>
    <m/>
    <m/>
    <m/>
    <n v="0.28470000000000001"/>
    <m/>
    <n v="0.28470000000000001"/>
    <m/>
    <m/>
    <m/>
    <m/>
    <m/>
    <s v="AUD"/>
    <s v="13634461Waste - General [t] - Scope 3"/>
    <n v="13634461"/>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5-01T00:00:00"/>
    <s v="FY21"/>
    <s v="t"/>
    <n v="0"/>
    <n v="0"/>
    <n v="0.2263"/>
    <n v="0.2263"/>
    <n v="0"/>
    <n v="0"/>
    <n v="31"/>
    <n v="31"/>
    <n v="0"/>
    <n v="0"/>
    <n v="100"/>
    <s v="Consolidation"/>
    <s v="CO2e and Base Measure"/>
    <n v="100"/>
    <n v="100"/>
    <n v="0.23"/>
    <m/>
    <m/>
    <m/>
    <m/>
    <m/>
    <n v="0.29420000000000002"/>
    <m/>
    <n v="0.29420000000000002"/>
    <m/>
    <m/>
    <m/>
    <m/>
    <m/>
    <s v="AUD"/>
    <s v="13634461Waste - General [t] - Scope 3"/>
    <n v="13634461"/>
  </r>
  <r>
    <d v="2019-07-01T00:00:00"/>
    <d v="2021-06-30T00:00:00"/>
    <s v="Telstra"/>
    <s v="NETWORK"/>
    <s v="Network - InfraCo"/>
    <s v="NT"/>
    <s v="Australia"/>
    <s v="Palmerston"/>
    <s v="PALMERSTON EXCHANGE"/>
    <n v="423030693900"/>
    <s v="Waste"/>
    <x v="1"/>
    <x v="2"/>
    <s v="Account"/>
    <s v="Remondis General Waste"/>
    <m/>
    <s v="423030693900_WGENERALW"/>
    <s v="GENERAL WASTE"/>
    <s v="Remondis"/>
    <m/>
    <m/>
    <d v="2020-08-01T00:00:00"/>
    <d v="2020-07-01T00:00:00"/>
    <s v="FY21"/>
    <s v="t"/>
    <n v="0"/>
    <n v="0.19500000000000001"/>
    <n v="0"/>
    <n v="0.19500000000000001"/>
    <n v="0"/>
    <n v="1"/>
    <n v="0"/>
    <n v="1"/>
    <n v="0"/>
    <n v="100"/>
    <n v="0"/>
    <s v="Consolidation"/>
    <s v="CO2e and Base Measure"/>
    <n v="100"/>
    <n v="100"/>
    <n v="0.2"/>
    <m/>
    <m/>
    <m/>
    <m/>
    <m/>
    <n v="0.2535"/>
    <m/>
    <n v="0.2535"/>
    <m/>
    <m/>
    <m/>
    <m/>
    <m/>
    <s v="AUD"/>
    <s v="13565110Waste - General [t] - Scope 3"/>
    <n v="13565110"/>
  </r>
  <r>
    <d v="2019-07-01T00:00:00"/>
    <d v="2021-06-30T00:00:00"/>
    <s v="Telstra"/>
    <s v="NETWORK"/>
    <s v="Network - InfraCo"/>
    <s v="NT"/>
    <s v="Australia"/>
    <s v="Palmerston"/>
    <s v="PALMERSTON EXCHANGE"/>
    <n v="423030693900"/>
    <s v="Waste"/>
    <x v="1"/>
    <x v="2"/>
    <s v="Account"/>
    <s v="Remondis General Waste"/>
    <m/>
    <s v="423030693900_WGENERALW"/>
    <s v="GENERAL WASTE"/>
    <s v="Remondis"/>
    <m/>
    <m/>
    <d v="2020-08-01T00:00:00"/>
    <d v="2020-08-01T00:00:00"/>
    <s v="FY21"/>
    <s v="t"/>
    <n v="0"/>
    <n v="0"/>
    <n v="6.4999999999999997E-3"/>
    <n v="6.4999999999999997E-3"/>
    <n v="0"/>
    <n v="0"/>
    <n v="1"/>
    <n v="1"/>
    <n v="0"/>
    <n v="0"/>
    <n v="100"/>
    <s v="Consolidation"/>
    <s v="CO2e and Base Measure"/>
    <n v="100"/>
    <n v="100"/>
    <n v="0.01"/>
    <m/>
    <m/>
    <m/>
    <m/>
    <m/>
    <n v="8.5000000000000006E-3"/>
    <m/>
    <n v="8.5000000000000006E-3"/>
    <m/>
    <m/>
    <m/>
    <m/>
    <m/>
    <s v="AUD"/>
    <s v="13565110Waste - General [t] - Scope 3"/>
    <n v="13565110"/>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07-01T00:00:00"/>
    <s v="FY21"/>
    <s v="t"/>
    <n v="0"/>
    <n v="0.1444"/>
    <n v="0"/>
    <n v="0.1444"/>
    <n v="0"/>
    <n v="2"/>
    <n v="0"/>
    <n v="2"/>
    <n v="0"/>
    <n v="100"/>
    <n v="0"/>
    <s v="Consolidation"/>
    <s v="CO2e and Base Measure"/>
    <n v="100"/>
    <n v="100"/>
    <n v="0.14000000000000001"/>
    <m/>
    <m/>
    <m/>
    <m/>
    <m/>
    <n v="0.18770000000000001"/>
    <m/>
    <n v="0.18770000000000001"/>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08-01T00:00:00"/>
    <s v="FY21"/>
    <s v="t"/>
    <n v="0"/>
    <n v="0.1444"/>
    <n v="0"/>
    <n v="0.1444"/>
    <n v="0"/>
    <n v="2"/>
    <n v="0"/>
    <n v="2"/>
    <n v="0"/>
    <n v="100"/>
    <n v="0"/>
    <s v="Consolidation"/>
    <s v="CO2e and Base Measure"/>
    <n v="100"/>
    <n v="100"/>
    <n v="0.14000000000000001"/>
    <m/>
    <m/>
    <m/>
    <m/>
    <m/>
    <n v="0.18770000000000001"/>
    <m/>
    <n v="0.18770000000000001"/>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1-01-01T00:00:00"/>
    <s v="FY21"/>
    <s v="t"/>
    <n v="0"/>
    <n v="0"/>
    <n v="5.1000000000000004E-3"/>
    <n v="5.1000000000000004E-3"/>
    <n v="0"/>
    <n v="0"/>
    <n v="1"/>
    <n v="1"/>
    <n v="0"/>
    <n v="0"/>
    <n v="100"/>
    <s v="Consolidation"/>
    <s v="CO2e and Base Measure"/>
    <n v="100"/>
    <n v="100"/>
    <n v="0.01"/>
    <m/>
    <m/>
    <m/>
    <m/>
    <m/>
    <n v="6.6E-3"/>
    <m/>
    <n v="6.6E-3"/>
    <m/>
    <m/>
    <m/>
    <m/>
    <m/>
    <s v="AUD"/>
    <s v="13564912Waste - General [t] - Scope 3"/>
    <n v="1356491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1-01T00:00:00"/>
    <s v="FY21"/>
    <s v="t"/>
    <n v="0.151"/>
    <n v="0"/>
    <n v="0"/>
    <n v="0.151"/>
    <n v="2"/>
    <n v="0"/>
    <n v="0"/>
    <n v="2"/>
    <n v="100"/>
    <n v="0"/>
    <n v="0"/>
    <s v="Consolidation"/>
    <s v="CO2e and Base Measure"/>
    <n v="100"/>
    <n v="100"/>
    <n v="0.15"/>
    <m/>
    <m/>
    <m/>
    <m/>
    <m/>
    <n v="0.1963"/>
    <m/>
    <n v="0.1963"/>
    <m/>
    <m/>
    <m/>
    <m/>
    <m/>
    <s v="AUD"/>
    <s v="13634462Waste - General [t] - Scope 3"/>
    <n v="1363446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2-01T00:00:00"/>
    <s v="FY21"/>
    <s v="t"/>
    <n v="2.4E-2"/>
    <n v="0"/>
    <n v="0"/>
    <n v="2.4E-2"/>
    <n v="1"/>
    <n v="0"/>
    <n v="0"/>
    <n v="1"/>
    <n v="100"/>
    <n v="0"/>
    <n v="0"/>
    <s v="Consolidation"/>
    <s v="CO2e and Base Measure"/>
    <n v="100"/>
    <n v="100"/>
    <n v="0.02"/>
    <m/>
    <m/>
    <m/>
    <m/>
    <m/>
    <n v="3.1199999999999999E-2"/>
    <m/>
    <n v="3.1199999999999999E-2"/>
    <m/>
    <m/>
    <m/>
    <m/>
    <m/>
    <s v="AUD"/>
    <s v="13634462Waste - General [t] - Scope 3"/>
    <n v="1363446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3-01T00:00:00"/>
    <s v="FY21"/>
    <s v="t"/>
    <n v="5.2999999999999999E-2"/>
    <n v="4.9500000000000002E-2"/>
    <n v="0"/>
    <n v="0.10249999999999999"/>
    <n v="2"/>
    <n v="1"/>
    <n v="0"/>
    <n v="3"/>
    <n v="51.7"/>
    <n v="48.29"/>
    <n v="0"/>
    <s v="Consolidation"/>
    <s v="CO2e and Base Measure"/>
    <n v="100"/>
    <n v="100"/>
    <n v="0.1"/>
    <m/>
    <m/>
    <m/>
    <m/>
    <m/>
    <n v="0.1333"/>
    <m/>
    <n v="0.1333"/>
    <m/>
    <m/>
    <m/>
    <m/>
    <m/>
    <s v="AUD"/>
    <s v="13634462Waste - General [t] - Scope 3"/>
    <n v="1363446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4-01T00:00:00"/>
    <s v="FY21"/>
    <s v="t"/>
    <n v="0"/>
    <n v="0"/>
    <n v="9.2999999999999999E-2"/>
    <n v="9.2999999999999999E-2"/>
    <n v="0"/>
    <n v="0"/>
    <n v="30"/>
    <n v="30"/>
    <n v="0"/>
    <n v="0"/>
    <n v="100"/>
    <s v="Consolidation"/>
    <s v="CO2e and Base Measure"/>
    <n v="100"/>
    <n v="100"/>
    <n v="0.09"/>
    <m/>
    <m/>
    <m/>
    <m/>
    <m/>
    <n v="0.12089999999999999"/>
    <m/>
    <n v="0.12089999999999999"/>
    <m/>
    <m/>
    <m/>
    <m/>
    <m/>
    <s v="AUD"/>
    <s v="13634462Waste - General [t] - Scope 3"/>
    <n v="1363446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5-01T00:00:00"/>
    <s v="FY21"/>
    <s v="t"/>
    <n v="0"/>
    <n v="0"/>
    <n v="9.6100000000000005E-2"/>
    <n v="9.6100000000000005E-2"/>
    <n v="0"/>
    <n v="0"/>
    <n v="31"/>
    <n v="31"/>
    <n v="0"/>
    <n v="0"/>
    <n v="100"/>
    <s v="Consolidation"/>
    <s v="CO2e and Base Measure"/>
    <n v="100"/>
    <n v="100"/>
    <n v="0.1"/>
    <m/>
    <m/>
    <m/>
    <m/>
    <m/>
    <n v="0.1249"/>
    <m/>
    <n v="0.1249"/>
    <m/>
    <m/>
    <m/>
    <m/>
    <m/>
    <s v="AUD"/>
    <s v="13634462Waste - General [t] - Scope 3"/>
    <n v="13634462"/>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1-01-01T00:00:00"/>
    <s v="FY21"/>
    <s v="t"/>
    <n v="0"/>
    <n v="0"/>
    <n v="3.3E-3"/>
    <n v="3.3E-3"/>
    <n v="0"/>
    <n v="0"/>
    <n v="1"/>
    <n v="1"/>
    <n v="0"/>
    <n v="0"/>
    <n v="100"/>
    <s v="Consolidation"/>
    <s v="CO2e and Base Measure"/>
    <n v="100"/>
    <n v="100"/>
    <n v="0"/>
    <m/>
    <m/>
    <m/>
    <m/>
    <m/>
    <m/>
    <n v="0"/>
    <m/>
    <m/>
    <m/>
    <m/>
    <m/>
    <m/>
    <s v="AUD"/>
    <s v="13564264Waste Recycled - Cardboard [t]"/>
    <n v="13564264"/>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07-01T00:00:00"/>
    <s v="FY21"/>
    <s v="t"/>
    <n v="0.5"/>
    <n v="0"/>
    <n v="0"/>
    <n v="0.5"/>
    <n v="2"/>
    <n v="0"/>
    <n v="0"/>
    <n v="2"/>
    <n v="100"/>
    <n v="0"/>
    <n v="0"/>
    <s v="Consolidation"/>
    <s v="CO2e and Base Measure"/>
    <n v="100"/>
    <n v="100"/>
    <n v="0.5"/>
    <m/>
    <m/>
    <m/>
    <m/>
    <m/>
    <n v="0.65"/>
    <m/>
    <n v="0.65"/>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08-01T00:00:00"/>
    <s v="FY21"/>
    <s v="t"/>
    <n v="0.27"/>
    <n v="0"/>
    <n v="0"/>
    <n v="0.27"/>
    <n v="2"/>
    <n v="0"/>
    <n v="0"/>
    <n v="2"/>
    <n v="100"/>
    <n v="0"/>
    <n v="0"/>
    <s v="Consolidation"/>
    <s v="CO2e and Base Measure"/>
    <n v="100"/>
    <n v="100"/>
    <n v="0.27"/>
    <m/>
    <m/>
    <m/>
    <m/>
    <m/>
    <n v="0.35099999999999998"/>
    <m/>
    <n v="0.35099999999999998"/>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09-01T00:00:00"/>
    <s v="FY21"/>
    <s v="t"/>
    <n v="0.19"/>
    <n v="0"/>
    <n v="0"/>
    <n v="0.19"/>
    <n v="2"/>
    <n v="0"/>
    <n v="0"/>
    <n v="2"/>
    <n v="100"/>
    <n v="0"/>
    <n v="0"/>
    <s v="Consolidation"/>
    <s v="CO2e and Base Measure"/>
    <n v="100"/>
    <n v="100"/>
    <n v="0.19"/>
    <m/>
    <m/>
    <m/>
    <m/>
    <m/>
    <n v="0.247"/>
    <m/>
    <n v="0.247"/>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10-01T00:00:00"/>
    <s v="FY21"/>
    <s v="t"/>
    <n v="0.41"/>
    <n v="0"/>
    <n v="0"/>
    <n v="0.41"/>
    <n v="3"/>
    <n v="0"/>
    <n v="0"/>
    <n v="3"/>
    <n v="100"/>
    <n v="0"/>
    <n v="0"/>
    <s v="Consolidation"/>
    <s v="CO2e and Base Measure"/>
    <n v="100"/>
    <n v="100"/>
    <n v="0.41"/>
    <m/>
    <m/>
    <m/>
    <m/>
    <m/>
    <n v="0.53300000000000003"/>
    <m/>
    <n v="0.53300000000000003"/>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11-01T00:00:00"/>
    <s v="FY21"/>
    <s v="t"/>
    <n v="0.32"/>
    <n v="0"/>
    <n v="0"/>
    <n v="0.32"/>
    <n v="2"/>
    <n v="0"/>
    <n v="0"/>
    <n v="2"/>
    <n v="100"/>
    <n v="0"/>
    <n v="0"/>
    <s v="Consolidation"/>
    <s v="CO2e and Base Measure"/>
    <n v="100"/>
    <n v="100"/>
    <n v="0.32"/>
    <m/>
    <m/>
    <m/>
    <m/>
    <m/>
    <n v="0.41599999999999998"/>
    <m/>
    <n v="0.41599999999999998"/>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1-01-01T00:00:00"/>
    <s v="FY21"/>
    <s v="t"/>
    <n v="0"/>
    <n v="0"/>
    <n v="1.0500000000000001E-2"/>
    <n v="1.0500000000000001E-2"/>
    <n v="0"/>
    <n v="0"/>
    <n v="1"/>
    <n v="1"/>
    <n v="0"/>
    <n v="0"/>
    <n v="100"/>
    <s v="Consolidation"/>
    <s v="CO2e and Base Measure"/>
    <n v="100"/>
    <n v="100"/>
    <n v="0.01"/>
    <m/>
    <m/>
    <m/>
    <m/>
    <m/>
    <n v="1.37E-2"/>
    <m/>
    <n v="1.37E-2"/>
    <m/>
    <m/>
    <m/>
    <m/>
    <m/>
    <s v="AUD"/>
    <s v="13564265Waste - General [t] - Scope 3"/>
    <n v="13564265"/>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1-01T00:00:00"/>
    <s v="FY21"/>
    <s v="t"/>
    <n v="4.5999999999999999E-2"/>
    <n v="0"/>
    <n v="0"/>
    <n v="4.5999999999999999E-2"/>
    <n v="2"/>
    <n v="0"/>
    <n v="0"/>
    <n v="2"/>
    <n v="100"/>
    <n v="0"/>
    <n v="0"/>
    <s v="Consolidation"/>
    <s v="CO2e and Base Measure"/>
    <n v="100"/>
    <n v="100"/>
    <n v="0.05"/>
    <m/>
    <m/>
    <m/>
    <m/>
    <m/>
    <m/>
    <m/>
    <m/>
    <m/>
    <m/>
    <m/>
    <m/>
    <m/>
    <s v="AUD"/>
    <s v="13634463Waste Recycled - Paper and Cardboard [t]"/>
    <n v="13634463"/>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2-01T00:00:00"/>
    <s v="FY21"/>
    <s v="t"/>
    <n v="1.4999999999999999E-2"/>
    <n v="7.4999999999999997E-2"/>
    <n v="0"/>
    <n v="0.09"/>
    <n v="1"/>
    <n v="1"/>
    <n v="0"/>
    <n v="2"/>
    <n v="16.66"/>
    <n v="83.33"/>
    <n v="0"/>
    <s v="Consolidation"/>
    <s v="CO2e and Base Measure"/>
    <n v="100"/>
    <n v="100"/>
    <n v="0.09"/>
    <m/>
    <m/>
    <m/>
    <m/>
    <m/>
    <m/>
    <m/>
    <m/>
    <m/>
    <m/>
    <m/>
    <m/>
    <m/>
    <s v="AUD"/>
    <s v="13634463Waste Recycled - Paper and Cardboard [t]"/>
    <n v="13634463"/>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3-01T00:00:00"/>
    <s v="FY21"/>
    <s v="t"/>
    <n v="6.7000000000000004E-2"/>
    <n v="0"/>
    <n v="0"/>
    <n v="6.7000000000000004E-2"/>
    <n v="1"/>
    <n v="0"/>
    <n v="0"/>
    <n v="1"/>
    <n v="100"/>
    <n v="0"/>
    <n v="0"/>
    <s v="Consolidation"/>
    <s v="CO2e and Base Measure"/>
    <n v="100"/>
    <n v="100"/>
    <n v="7.0000000000000007E-2"/>
    <m/>
    <m/>
    <m/>
    <m/>
    <m/>
    <m/>
    <m/>
    <m/>
    <m/>
    <m/>
    <m/>
    <m/>
    <m/>
    <s v="AUD"/>
    <s v="13634463Waste Recycled - Paper and Cardboard [t]"/>
    <n v="13634463"/>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4-01T00:00:00"/>
    <s v="FY21"/>
    <s v="t"/>
    <n v="0"/>
    <n v="0"/>
    <n v="6.9000000000000006E-2"/>
    <n v="6.9000000000000006E-2"/>
    <n v="0"/>
    <n v="0"/>
    <n v="30"/>
    <n v="30"/>
    <n v="0"/>
    <n v="0"/>
    <n v="100"/>
    <s v="Consolidation"/>
    <s v="CO2e and Base Measure"/>
    <n v="100"/>
    <n v="100"/>
    <n v="7.0000000000000007E-2"/>
    <m/>
    <m/>
    <m/>
    <m/>
    <m/>
    <m/>
    <m/>
    <m/>
    <m/>
    <m/>
    <m/>
    <m/>
    <m/>
    <s v="AUD"/>
    <s v="13634463Waste Recycled - Paper and Cardboard [t]"/>
    <n v="13634463"/>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5-01T00:00:00"/>
    <s v="FY21"/>
    <s v="t"/>
    <n v="0"/>
    <n v="0"/>
    <n v="7.1300000000000002E-2"/>
    <n v="7.1300000000000002E-2"/>
    <n v="0"/>
    <n v="0"/>
    <n v="31"/>
    <n v="31"/>
    <n v="0"/>
    <n v="0"/>
    <n v="100"/>
    <s v="Consolidation"/>
    <s v="CO2e and Base Measure"/>
    <n v="100"/>
    <n v="100"/>
    <n v="7.0000000000000007E-2"/>
    <m/>
    <m/>
    <m/>
    <m/>
    <m/>
    <m/>
    <m/>
    <m/>
    <m/>
    <m/>
    <m/>
    <m/>
    <m/>
    <s v="AUD"/>
    <s v="13634463Waste Recycled - Paper and Cardboard [t]"/>
    <n v="13634463"/>
  </r>
  <r>
    <d v="2019-07-01T00:00:00"/>
    <d v="2021-06-30T00:00:00"/>
    <s v="Telstra"/>
    <s v="NETWORK"/>
    <s v="Network - InfraCo"/>
    <s v="QLD"/>
    <s v="Australia"/>
    <s v="Woodridge"/>
    <s v="PARK RIDGE TE"/>
    <n v="423030187500"/>
    <s v="Waste"/>
    <x v="1"/>
    <x v="2"/>
    <s v="Account"/>
    <s v="CLEANAWAY General"/>
    <m/>
    <s v="57377_Landfill_General"/>
    <s v="General"/>
    <s v="Cleanaway"/>
    <m/>
    <d v="2021-02-03T00:00:00"/>
    <m/>
    <d v="2021-02-01T00:00:00"/>
    <s v="FY21"/>
    <s v="t"/>
    <n v="0.63"/>
    <n v="0.27"/>
    <n v="0"/>
    <n v="0.9"/>
    <n v="2"/>
    <n v="2"/>
    <n v="0"/>
    <n v="4"/>
    <n v="70"/>
    <n v="30"/>
    <n v="0"/>
    <s v="Consolidation"/>
    <s v="CO2e and Base Measure"/>
    <n v="100"/>
    <n v="100"/>
    <n v="0.9"/>
    <m/>
    <m/>
    <m/>
    <m/>
    <m/>
    <n v="1.17"/>
    <m/>
    <n v="1.17"/>
    <m/>
    <m/>
    <m/>
    <m/>
    <m/>
    <s v="AUD"/>
    <s v="13639910Waste - General [t] - Scope 3"/>
    <n v="13639910"/>
  </r>
  <r>
    <d v="2019-07-01T00:00:00"/>
    <d v="2021-06-30T00:00:00"/>
    <s v="Telstra"/>
    <s v="NETWORK"/>
    <s v="Network - InfraCo"/>
    <s v="QLD"/>
    <s v="Australia"/>
    <s v="Woodridge"/>
    <s v="PARK RIDGE TE"/>
    <n v="423030187500"/>
    <s v="Waste"/>
    <x v="1"/>
    <x v="2"/>
    <s v="Account"/>
    <s v="CLEANAWAY General"/>
    <m/>
    <s v="57377_Landfill_General"/>
    <s v="General"/>
    <s v="Cleanaway"/>
    <m/>
    <d v="2021-02-03T00:00:00"/>
    <m/>
    <d v="2021-03-01T00:00:00"/>
    <s v="FY21"/>
    <s v="t"/>
    <n v="0.55800000000000005"/>
    <n v="0"/>
    <n v="0"/>
    <n v="0.55800000000000005"/>
    <n v="4"/>
    <n v="0"/>
    <n v="0"/>
    <n v="4"/>
    <n v="100"/>
    <n v="0"/>
    <n v="0"/>
    <s v="Consolidation"/>
    <s v="CO2e and Base Measure"/>
    <n v="100"/>
    <n v="100"/>
    <n v="0.56000000000000005"/>
    <m/>
    <m/>
    <m/>
    <m/>
    <m/>
    <n v="0.72540000000000004"/>
    <m/>
    <n v="0.72540000000000004"/>
    <m/>
    <m/>
    <m/>
    <m/>
    <m/>
    <s v="AUD"/>
    <s v="13639910Waste - General [t] - Scope 3"/>
    <n v="13639910"/>
  </r>
  <r>
    <d v="2019-07-01T00:00:00"/>
    <d v="2021-06-30T00:00:00"/>
    <s v="Telstra"/>
    <s v="NETWORK"/>
    <s v="Network - InfraCo"/>
    <s v="QLD"/>
    <s v="Australia"/>
    <s v="Woodridge"/>
    <s v="PARK RIDGE TE"/>
    <n v="423030187500"/>
    <s v="Waste"/>
    <x v="1"/>
    <x v="2"/>
    <s v="Account"/>
    <s v="CLEANAWAY General"/>
    <m/>
    <s v="57377_Landfill_General"/>
    <s v="General"/>
    <s v="Cleanaway"/>
    <m/>
    <d v="2021-02-03T00:00:00"/>
    <m/>
    <d v="2021-04-01T00:00:00"/>
    <s v="FY21"/>
    <s v="t"/>
    <n v="0"/>
    <n v="0"/>
    <n v="0.753"/>
    <n v="0.753"/>
    <n v="0"/>
    <n v="0"/>
    <n v="30"/>
    <n v="30"/>
    <n v="0"/>
    <n v="0"/>
    <n v="100"/>
    <s v="Consolidation"/>
    <s v="CO2e and Base Measure"/>
    <n v="100"/>
    <n v="100"/>
    <n v="0.75"/>
    <m/>
    <m/>
    <m/>
    <m/>
    <m/>
    <n v="0.97889999999999999"/>
    <m/>
    <n v="0.97889999999999999"/>
    <m/>
    <m/>
    <m/>
    <m/>
    <m/>
    <s v="AUD"/>
    <s v="13639910Waste - General [t] - Scope 3"/>
    <n v="13639910"/>
  </r>
  <r>
    <d v="2019-07-01T00:00:00"/>
    <d v="2021-06-30T00:00:00"/>
    <s v="Telstra"/>
    <s v="NETWORK"/>
    <s v="Network - InfraCo"/>
    <s v="QLD"/>
    <s v="Australia"/>
    <s v="Woodridge"/>
    <s v="PARK RIDGE TE"/>
    <n v="423030187500"/>
    <s v="Waste"/>
    <x v="1"/>
    <x v="2"/>
    <s v="Account"/>
    <s v="CLEANAWAY General"/>
    <m/>
    <s v="57377_Landfill_General"/>
    <s v="General"/>
    <s v="Cleanaway"/>
    <m/>
    <d v="2021-02-03T00:00:00"/>
    <m/>
    <d v="2021-05-01T00:00:00"/>
    <s v="FY21"/>
    <s v="t"/>
    <n v="0"/>
    <n v="0"/>
    <n v="0.77810000000000001"/>
    <n v="0.77810000000000001"/>
    <n v="0"/>
    <n v="0"/>
    <n v="31"/>
    <n v="31"/>
    <n v="0"/>
    <n v="0"/>
    <n v="100"/>
    <s v="Consolidation"/>
    <s v="CO2e and Base Measure"/>
    <n v="100"/>
    <n v="100"/>
    <n v="0.78"/>
    <m/>
    <m/>
    <m/>
    <m/>
    <m/>
    <n v="1.0115000000000001"/>
    <m/>
    <n v="1.0115000000000001"/>
    <m/>
    <m/>
    <m/>
    <m/>
    <m/>
    <s v="AUD"/>
    <s v="13639910Waste - General [t] - Scope 3"/>
    <n v="13639910"/>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09-01T00:00:00"/>
    <s v="FY21"/>
    <s v="t"/>
    <n v="0"/>
    <n v="0.189"/>
    <n v="0"/>
    <n v="0.189"/>
    <n v="0"/>
    <n v="3"/>
    <n v="0"/>
    <n v="3"/>
    <n v="0"/>
    <n v="100"/>
    <n v="0"/>
    <s v="Consolidation"/>
    <s v="CO2e and Base Measure"/>
    <n v="100"/>
    <n v="100"/>
    <n v="0.19"/>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10-01T00:00:00"/>
    <s v="FY21"/>
    <s v="t"/>
    <n v="0"/>
    <n v="6.3E-2"/>
    <n v="0"/>
    <n v="6.3E-2"/>
    <n v="0"/>
    <n v="1"/>
    <n v="0"/>
    <n v="1"/>
    <n v="0"/>
    <n v="100"/>
    <n v="0"/>
    <s v="Consolidation"/>
    <s v="CO2e and Base Measure"/>
    <n v="100"/>
    <n v="100"/>
    <n v="0.06"/>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64389Waste Recycled - Cardboard [t]"/>
    <n v="13564389"/>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390Waste - General [t] - Scope 3"/>
    <n v="13564390"/>
  </r>
  <r>
    <d v="2019-07-01T00:00:00"/>
    <d v="2021-06-30T00:00:00"/>
    <s v="Telstra"/>
    <s v="NON-NETWORK"/>
    <s v="NON-NETWORK"/>
    <s v="NSW"/>
    <s v="Australia"/>
    <s v="Canberra Capital Hill"/>
    <s v="Parkes 34 Clarinda St"/>
    <n v="423030289900"/>
    <s v="Waste"/>
    <x v="1"/>
    <x v="4"/>
    <s v="Account"/>
    <s v="Remondis Asbestos"/>
    <m/>
    <s v="423030289900_WASBESTOS"/>
    <m/>
    <s v="Remondis"/>
    <m/>
    <d v="2020-08-14T00:00:00"/>
    <d v="2020-09-01T00:00:00"/>
    <d v="2020-08-01T00:00:00"/>
    <s v="FY21"/>
    <s v="t"/>
    <n v="0.78"/>
    <n v="0"/>
    <n v="0"/>
    <n v="0.78"/>
    <n v="1"/>
    <n v="0"/>
    <n v="0"/>
    <n v="1"/>
    <n v="100"/>
    <n v="0"/>
    <n v="0"/>
    <s v="Consolidation"/>
    <s v="CO2e and Base Measure"/>
    <n v="100"/>
    <n v="100"/>
    <n v="0.78"/>
    <m/>
    <m/>
    <m/>
    <m/>
    <m/>
    <n v="0.93600000000000005"/>
    <m/>
    <n v="0.93600000000000005"/>
    <m/>
    <m/>
    <m/>
    <m/>
    <m/>
    <s v="AUD"/>
    <s v="13625665Waste - Construction and Demolition [t]"/>
    <n v="13625665"/>
  </r>
  <r>
    <d v="2019-07-01T00:00:00"/>
    <d v="2021-06-30T00:00:00"/>
    <s v="Telstra"/>
    <s v="NON-NETWORK"/>
    <s v="NON-NETWORK"/>
    <s v="NSW"/>
    <s v="Australia"/>
    <s v="Canberra Capital Hill"/>
    <s v="Parkes 34 Clarinda St"/>
    <n v="423030289900"/>
    <s v="Waste"/>
    <x v="1"/>
    <x v="4"/>
    <s v="Account"/>
    <s v="Remondis Asbestos"/>
    <m/>
    <s v="423030289900_WASBESTOS"/>
    <m/>
    <s v="Remondis"/>
    <m/>
    <d v="2020-08-14T00:00:00"/>
    <d v="2020-09-01T00:00:00"/>
    <d v="2020-09-01T00:00:00"/>
    <s v="FY21"/>
    <s v="t"/>
    <n v="0"/>
    <n v="0"/>
    <n v="2.5999999999999999E-2"/>
    <n v="2.5999999999999999E-2"/>
    <n v="0"/>
    <n v="0"/>
    <n v="1"/>
    <n v="1"/>
    <n v="0"/>
    <n v="0"/>
    <n v="100"/>
    <s v="Consolidation"/>
    <s v="CO2e and Base Measure"/>
    <n v="100"/>
    <n v="100"/>
    <n v="0.03"/>
    <m/>
    <m/>
    <m/>
    <m/>
    <m/>
    <n v="3.1199999999999999E-2"/>
    <m/>
    <n v="3.1199999999999999E-2"/>
    <m/>
    <m/>
    <m/>
    <m/>
    <m/>
    <s v="AUD"/>
    <s v="13625665Waste - Construction and Demolition [t]"/>
    <n v="13625665"/>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1-01T00:00:00"/>
    <s v="FY21"/>
    <s v="t"/>
    <n v="0"/>
    <n v="0.27"/>
    <n v="0"/>
    <n v="0.27"/>
    <n v="0"/>
    <n v="2"/>
    <n v="0"/>
    <n v="2"/>
    <n v="0"/>
    <n v="100"/>
    <n v="0"/>
    <s v="Consolidation"/>
    <s v="CO2e and Base Measure"/>
    <n v="100"/>
    <n v="100"/>
    <n v="0.27"/>
    <m/>
    <m/>
    <m/>
    <m/>
    <m/>
    <n v="0.35099999999999998"/>
    <m/>
    <n v="0.35099999999999998"/>
    <m/>
    <m/>
    <m/>
    <m/>
    <m/>
    <s v="AUD"/>
    <s v="13639880Waste - General [t] - Scope 3"/>
    <n v="13639880"/>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2-01T00:00:00"/>
    <s v="FY21"/>
    <s v="t"/>
    <n v="0"/>
    <n v="0.27"/>
    <n v="0"/>
    <n v="0.27"/>
    <n v="0"/>
    <n v="2"/>
    <n v="0"/>
    <n v="2"/>
    <n v="0"/>
    <n v="100"/>
    <n v="0"/>
    <s v="Consolidation"/>
    <s v="CO2e and Base Measure"/>
    <n v="100"/>
    <n v="100"/>
    <n v="0.27"/>
    <m/>
    <m/>
    <m/>
    <m/>
    <m/>
    <n v="0.35099999999999998"/>
    <m/>
    <n v="0.35099999999999998"/>
    <m/>
    <m/>
    <m/>
    <m/>
    <m/>
    <s v="AUD"/>
    <s v="13639880Waste - General [t] - Scope 3"/>
    <n v="13639880"/>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3-01T00:00:00"/>
    <s v="FY21"/>
    <s v="t"/>
    <n v="0"/>
    <n v="0.27"/>
    <n v="0"/>
    <n v="0.27"/>
    <n v="0"/>
    <n v="2"/>
    <n v="0"/>
    <n v="2"/>
    <n v="0"/>
    <n v="100"/>
    <n v="0"/>
    <s v="Consolidation"/>
    <s v="CO2e and Base Measure"/>
    <n v="100"/>
    <n v="100"/>
    <n v="0.27"/>
    <m/>
    <m/>
    <m/>
    <m/>
    <m/>
    <n v="0.35099999999999998"/>
    <m/>
    <n v="0.35099999999999998"/>
    <m/>
    <m/>
    <m/>
    <m/>
    <m/>
    <s v="AUD"/>
    <s v="13639880Waste - General [t] - Scope 3"/>
    <n v="13639880"/>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4-01T00:00:00"/>
    <s v="FY21"/>
    <s v="t"/>
    <n v="0"/>
    <n v="0"/>
    <n v="0.27300000000000002"/>
    <n v="0.27300000000000002"/>
    <n v="0"/>
    <n v="0"/>
    <n v="30"/>
    <n v="30"/>
    <n v="0"/>
    <n v="0"/>
    <n v="100"/>
    <s v="Consolidation"/>
    <s v="CO2e and Base Measure"/>
    <n v="100"/>
    <n v="100"/>
    <n v="0.27"/>
    <m/>
    <m/>
    <m/>
    <m/>
    <m/>
    <n v="0.35489999999999999"/>
    <m/>
    <n v="0.35489999999999999"/>
    <m/>
    <m/>
    <m/>
    <m/>
    <m/>
    <s v="AUD"/>
    <s v="13639880Waste - General [t] - Scope 3"/>
    <n v="13639880"/>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5-01T00:00:00"/>
    <s v="FY21"/>
    <s v="t"/>
    <n v="0"/>
    <n v="0"/>
    <n v="0.28210000000000002"/>
    <n v="0.28210000000000002"/>
    <n v="0"/>
    <n v="0"/>
    <n v="31"/>
    <n v="31"/>
    <n v="0"/>
    <n v="0"/>
    <n v="100"/>
    <s v="Consolidation"/>
    <s v="CO2e and Base Measure"/>
    <n v="100"/>
    <n v="100"/>
    <n v="0.28000000000000003"/>
    <m/>
    <m/>
    <m/>
    <m/>
    <m/>
    <n v="0.36670000000000003"/>
    <m/>
    <n v="0.36670000000000003"/>
    <m/>
    <m/>
    <m/>
    <m/>
    <m/>
    <s v="AUD"/>
    <s v="13639880Waste - General [t] - Scope 3"/>
    <n v="13639880"/>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1-01T00:00:00"/>
    <s v="FY21"/>
    <s v="t"/>
    <n v="0"/>
    <n v="0.15"/>
    <n v="0"/>
    <n v="0.15"/>
    <n v="0"/>
    <n v="2"/>
    <n v="0"/>
    <n v="2"/>
    <n v="0"/>
    <n v="100"/>
    <n v="0"/>
    <s v="Consolidation"/>
    <s v="CO2e and Base Measure"/>
    <n v="100"/>
    <n v="100"/>
    <n v="0.15"/>
    <m/>
    <m/>
    <m/>
    <m/>
    <m/>
    <m/>
    <m/>
    <m/>
    <m/>
    <m/>
    <m/>
    <m/>
    <m/>
    <s v="AUD"/>
    <s v="13639881Waste Recycled - Paper and Cardboard [t]"/>
    <n v="13639881"/>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2-01T00:00:00"/>
    <s v="FY21"/>
    <s v="t"/>
    <n v="0"/>
    <n v="0.15"/>
    <n v="0"/>
    <n v="0.15"/>
    <n v="0"/>
    <n v="2"/>
    <n v="0"/>
    <n v="2"/>
    <n v="0"/>
    <n v="100"/>
    <n v="0"/>
    <s v="Consolidation"/>
    <s v="CO2e and Base Measure"/>
    <n v="100"/>
    <n v="100"/>
    <n v="0.15"/>
    <m/>
    <m/>
    <m/>
    <m/>
    <m/>
    <m/>
    <m/>
    <m/>
    <m/>
    <m/>
    <m/>
    <m/>
    <m/>
    <s v="AUD"/>
    <s v="13639881Waste Recycled - Paper and Cardboard [t]"/>
    <n v="13639881"/>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3-01T00:00:00"/>
    <s v="FY21"/>
    <s v="t"/>
    <n v="0"/>
    <n v="0.15"/>
    <n v="0"/>
    <n v="0.15"/>
    <n v="0"/>
    <n v="2"/>
    <n v="0"/>
    <n v="2"/>
    <n v="0"/>
    <n v="100"/>
    <n v="0"/>
    <s v="Consolidation"/>
    <s v="CO2e and Base Measure"/>
    <n v="100"/>
    <n v="100"/>
    <n v="0.15"/>
    <m/>
    <m/>
    <m/>
    <m/>
    <m/>
    <m/>
    <m/>
    <m/>
    <m/>
    <m/>
    <m/>
    <m/>
    <m/>
    <s v="AUD"/>
    <s v="13639881Waste Recycled - Paper and Cardboard [t]"/>
    <n v="13639881"/>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4-01T00:00:00"/>
    <s v="FY21"/>
    <s v="t"/>
    <n v="0"/>
    <n v="0"/>
    <n v="0.153"/>
    <n v="0.153"/>
    <n v="0"/>
    <n v="0"/>
    <n v="30"/>
    <n v="30"/>
    <n v="0"/>
    <n v="0"/>
    <n v="100"/>
    <s v="Consolidation"/>
    <s v="CO2e and Base Measure"/>
    <n v="100"/>
    <n v="100"/>
    <n v="0.15"/>
    <m/>
    <m/>
    <m/>
    <m/>
    <m/>
    <m/>
    <m/>
    <m/>
    <m/>
    <m/>
    <m/>
    <m/>
    <m/>
    <s v="AUD"/>
    <s v="13639881Waste Recycled - Paper and Cardboard [t]"/>
    <n v="13639881"/>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5-01T00:00:00"/>
    <s v="FY21"/>
    <s v="t"/>
    <n v="0"/>
    <n v="0"/>
    <n v="0.15809999999999999"/>
    <n v="0.15809999999999999"/>
    <n v="0"/>
    <n v="0"/>
    <n v="31"/>
    <n v="31"/>
    <n v="0"/>
    <n v="0"/>
    <n v="100"/>
    <s v="Consolidation"/>
    <s v="CO2e and Base Measure"/>
    <n v="100"/>
    <n v="100"/>
    <n v="0.16"/>
    <m/>
    <m/>
    <m/>
    <m/>
    <m/>
    <m/>
    <m/>
    <m/>
    <m/>
    <m/>
    <m/>
    <m/>
    <m/>
    <s v="AUD"/>
    <s v="13639881Waste Recycled - Paper and Cardboard [t]"/>
    <n v="13639881"/>
  </r>
  <r>
    <d v="2019-07-01T00:00:00"/>
    <d v="2021-06-30T00:00:00"/>
    <s v="Telstra"/>
    <s v="NETWORK"/>
    <s v="Network - InfraCo"/>
    <s v="NSW"/>
    <s v="Australia"/>
    <s v="Parkes"/>
    <s v="PARKES EXCHANGE"/>
    <n v="423030290200"/>
    <s v="Waste"/>
    <x v="1"/>
    <x v="2"/>
    <s v="Account"/>
    <s v="Remondis General Waste"/>
    <m/>
    <s v="423030290200_WGENERALW"/>
    <s v="GENERAL WASTE"/>
    <s v="Remondis"/>
    <m/>
    <d v="2020-06-03T00:00:00"/>
    <d v="2020-07-01T00:00:00"/>
    <d v="2020-07-01T00:00:00"/>
    <s v="FY21"/>
    <s v="t"/>
    <n v="0"/>
    <n v="0"/>
    <n v="5.3800000000000001E-2"/>
    <n v="5.3800000000000001E-2"/>
    <n v="0"/>
    <n v="0"/>
    <n v="1"/>
    <n v="1"/>
    <n v="0"/>
    <n v="0"/>
    <n v="100"/>
    <s v="Consolidation"/>
    <s v="CO2e and Base Measure"/>
    <n v="100"/>
    <n v="100"/>
    <n v="0.05"/>
    <m/>
    <m/>
    <m/>
    <m/>
    <m/>
    <n v="6.9900000000000004E-2"/>
    <m/>
    <n v="6.9900000000000004E-2"/>
    <m/>
    <m/>
    <m/>
    <m/>
    <m/>
    <s v="AUD"/>
    <s v="13612588Waste - General [t] - Scope 3"/>
    <n v="13612588"/>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07-01T00:00:00"/>
    <s v="FY21"/>
    <s v="t"/>
    <n v="2.5000000000000001E-2"/>
    <n v="0"/>
    <n v="0"/>
    <n v="2.5000000000000001E-2"/>
    <n v="2"/>
    <n v="0"/>
    <n v="0"/>
    <n v="2"/>
    <n v="100"/>
    <n v="0"/>
    <n v="0"/>
    <s v="Consolidation"/>
    <s v="CO2e and Base Measure"/>
    <n v="100"/>
    <n v="100"/>
    <n v="0.03"/>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09-01T00:00:00"/>
    <s v="FY21"/>
    <s v="t"/>
    <n v="0"/>
    <n v="4.8000000000000001E-2"/>
    <n v="0"/>
    <n v="4.8000000000000001E-2"/>
    <n v="0"/>
    <n v="2"/>
    <n v="0"/>
    <n v="2"/>
    <n v="0"/>
    <n v="100"/>
    <n v="0"/>
    <s v="Consolidation"/>
    <s v="CO2e and Base Measure"/>
    <n v="100"/>
    <n v="100"/>
    <n v="0.05"/>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10-01T00:00:00"/>
    <s v="FY21"/>
    <s v="t"/>
    <n v="5.0000000000000001E-3"/>
    <n v="2.4E-2"/>
    <n v="0"/>
    <n v="2.9000000000000001E-2"/>
    <n v="1"/>
    <n v="1"/>
    <n v="0"/>
    <n v="2"/>
    <n v="17.239999999999998"/>
    <n v="82.75"/>
    <n v="0"/>
    <s v="Consolidation"/>
    <s v="CO2e and Base Measure"/>
    <n v="100"/>
    <n v="100"/>
    <n v="0.03"/>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11-01T00:00:00"/>
    <s v="FY21"/>
    <s v="t"/>
    <n v="0"/>
    <n v="4.8000000000000001E-2"/>
    <n v="0"/>
    <n v="4.8000000000000001E-2"/>
    <n v="0"/>
    <n v="2"/>
    <n v="0"/>
    <n v="2"/>
    <n v="0"/>
    <n v="100"/>
    <n v="0"/>
    <s v="Consolidation"/>
    <s v="CO2e and Base Measure"/>
    <n v="100"/>
    <n v="100"/>
    <n v="0.05"/>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12-01T00:00:00"/>
    <s v="FY21"/>
    <s v="t"/>
    <n v="0"/>
    <n v="0"/>
    <n v="1.1999999999999999E-3"/>
    <n v="1.1999999999999999E-3"/>
    <n v="0"/>
    <n v="0"/>
    <n v="1"/>
    <n v="1"/>
    <n v="0"/>
    <n v="0"/>
    <n v="100"/>
    <s v="Consolidation"/>
    <s v="CO2e and Base Measure"/>
    <n v="100"/>
    <n v="100"/>
    <n v="0"/>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07-01T00:00:00"/>
    <s v="FY21"/>
    <s v="t"/>
    <n v="0.27"/>
    <n v="0"/>
    <n v="0"/>
    <n v="0.27"/>
    <n v="2"/>
    <n v="0"/>
    <n v="0"/>
    <n v="2"/>
    <n v="100"/>
    <n v="0"/>
    <n v="0"/>
    <s v="Consolidation"/>
    <s v="CO2e and Base Measure"/>
    <n v="100"/>
    <n v="100"/>
    <n v="0.27"/>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08-01T00:00:00"/>
    <s v="FY21"/>
    <s v="t"/>
    <n v="0.64800000000000002"/>
    <n v="0"/>
    <n v="0"/>
    <n v="0.64800000000000002"/>
    <n v="3"/>
    <n v="0"/>
    <n v="0"/>
    <n v="3"/>
    <n v="100"/>
    <n v="0"/>
    <n v="0"/>
    <s v="Consolidation"/>
    <s v="CO2e and Base Measure"/>
    <n v="100"/>
    <n v="100"/>
    <n v="0.65"/>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09-01T00:00:00"/>
    <s v="FY21"/>
    <s v="t"/>
    <n v="8.0000000000000002E-3"/>
    <n v="0"/>
    <n v="0"/>
    <n v="8.0000000000000002E-3"/>
    <n v="2"/>
    <n v="0"/>
    <n v="0"/>
    <n v="2"/>
    <n v="100"/>
    <n v="0"/>
    <n v="0"/>
    <s v="Consolidation"/>
    <s v="CO2e and Base Measure"/>
    <n v="100"/>
    <n v="100"/>
    <n v="0.01"/>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10-01T00:00:00"/>
    <s v="FY21"/>
    <s v="t"/>
    <n v="0.108"/>
    <n v="0"/>
    <n v="0"/>
    <n v="0.108"/>
    <n v="2"/>
    <n v="0"/>
    <n v="0"/>
    <n v="2"/>
    <n v="100"/>
    <n v="0"/>
    <n v="0"/>
    <s v="Consolidation"/>
    <s v="CO2e and Base Measure"/>
    <n v="100"/>
    <n v="100"/>
    <n v="0.11"/>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11-01T00:00:00"/>
    <s v="FY21"/>
    <s v="t"/>
    <n v="0.108"/>
    <n v="0"/>
    <n v="0"/>
    <n v="0.108"/>
    <n v="2"/>
    <n v="0"/>
    <n v="0"/>
    <n v="2"/>
    <n v="100"/>
    <n v="0"/>
    <n v="0"/>
    <s v="Consolidation"/>
    <s v="CO2e and Base Measure"/>
    <n v="100"/>
    <n v="100"/>
    <n v="0.11"/>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12-01T00:00:00"/>
    <s v="FY21"/>
    <s v="t"/>
    <n v="0.108"/>
    <n v="0"/>
    <n v="0"/>
    <n v="0.108"/>
    <n v="2"/>
    <n v="0"/>
    <n v="0"/>
    <n v="2"/>
    <n v="100"/>
    <n v="0"/>
    <n v="0"/>
    <s v="Consolidation"/>
    <s v="CO2e and Base Measure"/>
    <n v="100"/>
    <n v="100"/>
    <n v="0.11"/>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1-01T00:00:00"/>
    <s v="FY21"/>
    <s v="t"/>
    <n v="0"/>
    <n v="0"/>
    <n v="0.24490000000000001"/>
    <n v="0.24490000000000001"/>
    <n v="0"/>
    <n v="0"/>
    <n v="31"/>
    <n v="31"/>
    <n v="0"/>
    <n v="0"/>
    <n v="100"/>
    <s v="Consolidation"/>
    <s v="CO2e and Base Measure"/>
    <n v="100"/>
    <n v="100"/>
    <n v="0.24"/>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2-01T00:00:00"/>
    <s v="FY21"/>
    <s v="t"/>
    <n v="0"/>
    <n v="0"/>
    <n v="0.22120000000000001"/>
    <n v="0.22120000000000001"/>
    <n v="0"/>
    <n v="0"/>
    <n v="28"/>
    <n v="28"/>
    <n v="0"/>
    <n v="0"/>
    <n v="100"/>
    <s v="Consolidation"/>
    <s v="CO2e and Base Measure"/>
    <n v="100"/>
    <n v="100"/>
    <n v="0.22"/>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3-01T00:00:00"/>
    <s v="FY21"/>
    <s v="t"/>
    <n v="0"/>
    <n v="0"/>
    <n v="0.24490000000000001"/>
    <n v="0.24490000000000001"/>
    <n v="0"/>
    <n v="0"/>
    <n v="31"/>
    <n v="31"/>
    <n v="0"/>
    <n v="0"/>
    <n v="100"/>
    <s v="Consolidation"/>
    <s v="CO2e and Base Measure"/>
    <n v="100"/>
    <n v="100"/>
    <n v="0.24"/>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4-01T00:00:00"/>
    <s v="FY21"/>
    <s v="t"/>
    <n v="0"/>
    <n v="0"/>
    <n v="0.23699999999999999"/>
    <n v="0.23699999999999999"/>
    <n v="0"/>
    <n v="0"/>
    <n v="30"/>
    <n v="30"/>
    <n v="0"/>
    <n v="0"/>
    <n v="100"/>
    <s v="Consolidation"/>
    <s v="CO2e and Base Measure"/>
    <n v="100"/>
    <n v="100"/>
    <n v="0.24"/>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5-01T00:00:00"/>
    <s v="FY21"/>
    <s v="t"/>
    <n v="0"/>
    <n v="0"/>
    <n v="0.24490000000000001"/>
    <n v="0.24490000000000001"/>
    <n v="0"/>
    <n v="0"/>
    <n v="31"/>
    <n v="31"/>
    <n v="0"/>
    <n v="0"/>
    <n v="100"/>
    <s v="Consolidation"/>
    <s v="CO2e and Base Measure"/>
    <n v="100"/>
    <n v="100"/>
    <n v="0.24"/>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3"/>
    <s v="Account"/>
    <s v="CLEANAWAY Commingle - Diversion"/>
    <m/>
    <s v="31640300_Diversion_Commingle"/>
    <s v="Commingle - Diversion"/>
    <s v="Cleanaway"/>
    <m/>
    <d v="2020-12-07T00:00:00"/>
    <m/>
    <d v="2020-12-01T00:00:00"/>
    <s v="FY21"/>
    <s v="t"/>
    <n v="0"/>
    <n v="4.7999999999999996E-3"/>
    <n v="0"/>
    <n v="4.7999999999999996E-3"/>
    <n v="0"/>
    <n v="1"/>
    <n v="0"/>
    <n v="1"/>
    <n v="0"/>
    <n v="100"/>
    <n v="0"/>
    <s v="Consolidation"/>
    <s v="CO2e and Base Measure"/>
    <n v="100"/>
    <n v="100"/>
    <n v="0"/>
    <m/>
    <m/>
    <m/>
    <m/>
    <m/>
    <m/>
    <n v="0"/>
    <m/>
    <m/>
    <m/>
    <m/>
    <m/>
    <m/>
    <s v="AUD"/>
    <s v="13634384Waste Recycled - Commingled [t]"/>
    <n v="13634384"/>
  </r>
  <r>
    <d v="2019-07-01T00:00:00"/>
    <d v="2021-06-30T00:00:00"/>
    <s v="Telstra"/>
    <s v="NON-NETWORK"/>
    <s v="NON-NETWORK"/>
    <s v="NSW"/>
    <s v="Australia"/>
    <s v="City of Parramatta"/>
    <s v="Parramatta 18 Smith St"/>
    <n v="423031640300"/>
    <s v="Recycled Waste"/>
    <x v="0"/>
    <x v="3"/>
    <s v="Account"/>
    <s v="CLEANAWAY Commingle - Diversion"/>
    <m/>
    <s v="31640300_Diversion_Commingle"/>
    <s v="Commingle - Diversion"/>
    <s v="Cleanaway"/>
    <m/>
    <d v="2020-12-07T00:00:00"/>
    <m/>
    <d v="2021-03-01T00:00:00"/>
    <s v="FY21"/>
    <s v="t"/>
    <n v="0"/>
    <n v="9.5999999999999992E-3"/>
    <n v="0"/>
    <n v="9.5999999999999992E-3"/>
    <n v="0"/>
    <n v="2"/>
    <n v="0"/>
    <n v="2"/>
    <n v="0"/>
    <n v="100"/>
    <n v="0"/>
    <s v="Consolidation"/>
    <s v="CO2e and Base Measure"/>
    <n v="100"/>
    <n v="100"/>
    <n v="0.01"/>
    <m/>
    <m/>
    <m/>
    <m/>
    <m/>
    <m/>
    <n v="0"/>
    <m/>
    <m/>
    <m/>
    <m/>
    <m/>
    <m/>
    <s v="AUD"/>
    <s v="13634384Waste Recycled - Commingled [t]"/>
    <n v="13634384"/>
  </r>
  <r>
    <d v="2019-07-01T00:00:00"/>
    <d v="2021-06-30T00:00:00"/>
    <s v="Telstra"/>
    <s v="NON-NETWORK"/>
    <s v="NON-NETWORK"/>
    <s v="NSW"/>
    <s v="Australia"/>
    <s v="City of Parramatta"/>
    <s v="Parramatta 18 Smith St"/>
    <n v="423031640300"/>
    <s v="Recycled Waste"/>
    <x v="0"/>
    <x v="3"/>
    <s v="Account"/>
    <s v="CLEANAWAY Commingle - Diversion"/>
    <m/>
    <s v="31640300_Diversion_Commingle"/>
    <s v="Commingle - Diversion"/>
    <s v="Cleanaway"/>
    <m/>
    <d v="2020-12-07T00:00:00"/>
    <m/>
    <d v="2021-04-01T00:00:00"/>
    <s v="FY21"/>
    <s v="t"/>
    <n v="0"/>
    <n v="0"/>
    <n v="3.0000000000000001E-3"/>
    <n v="3.0000000000000001E-3"/>
    <n v="0"/>
    <n v="0"/>
    <n v="30"/>
    <n v="30"/>
    <n v="0"/>
    <n v="0"/>
    <n v="100"/>
    <s v="Consolidation"/>
    <s v="CO2e and Base Measure"/>
    <n v="100"/>
    <n v="100"/>
    <n v="0"/>
    <m/>
    <m/>
    <m/>
    <m/>
    <m/>
    <m/>
    <n v="0"/>
    <m/>
    <m/>
    <m/>
    <m/>
    <m/>
    <m/>
    <s v="AUD"/>
    <s v="13634384Waste Recycled - Commingled [t]"/>
    <n v="13634384"/>
  </r>
  <r>
    <d v="2019-07-01T00:00:00"/>
    <d v="2021-06-30T00:00:00"/>
    <s v="Telstra"/>
    <s v="NON-NETWORK"/>
    <s v="NON-NETWORK"/>
    <s v="NSW"/>
    <s v="Australia"/>
    <s v="City of Parramatta"/>
    <s v="Parramatta 18 Smith St"/>
    <n v="423031640300"/>
    <s v="Recycled Waste"/>
    <x v="0"/>
    <x v="3"/>
    <s v="Account"/>
    <s v="CLEANAWAY Commingle - Diversion"/>
    <m/>
    <s v="31640300_Diversion_Commingle"/>
    <s v="Commingle - Diversion"/>
    <s v="Cleanaway"/>
    <m/>
    <d v="2020-12-07T00:00:00"/>
    <m/>
    <d v="2021-05-01T00:00:00"/>
    <s v="FY21"/>
    <s v="t"/>
    <n v="0"/>
    <n v="0"/>
    <n v="3.0999999999999999E-3"/>
    <n v="3.0999999999999999E-3"/>
    <n v="0"/>
    <n v="0"/>
    <n v="31"/>
    <n v="31"/>
    <n v="0"/>
    <n v="0"/>
    <n v="100"/>
    <s v="Consolidation"/>
    <s v="CO2e and Base Measure"/>
    <n v="100"/>
    <n v="100"/>
    <n v="0"/>
    <m/>
    <m/>
    <m/>
    <m/>
    <m/>
    <m/>
    <n v="0"/>
    <m/>
    <m/>
    <m/>
    <m/>
    <m/>
    <m/>
    <s v="AUD"/>
    <s v="13634384Waste Recycled - Commingled [t]"/>
    <n v="13634384"/>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07-01T00:00:00"/>
    <s v="FY21"/>
    <s v="t"/>
    <n v="0.62"/>
    <n v="0.14430000000000001"/>
    <n v="0"/>
    <n v="0.76429999999999998"/>
    <n v="7"/>
    <n v="1"/>
    <n v="0"/>
    <n v="8"/>
    <n v="81.11"/>
    <n v="18.88"/>
    <n v="0"/>
    <s v="Consolidation"/>
    <s v="CO2e and Base Measure"/>
    <n v="100"/>
    <n v="100"/>
    <n v="0.76"/>
    <m/>
    <m/>
    <m/>
    <m/>
    <m/>
    <n v="0.99360000000000004"/>
    <m/>
    <n v="0.99360000000000004"/>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08-01T00:00:00"/>
    <s v="FY21"/>
    <s v="t"/>
    <n v="0.442"/>
    <n v="0"/>
    <n v="0"/>
    <n v="0.442"/>
    <n v="7"/>
    <n v="0"/>
    <n v="0"/>
    <n v="7"/>
    <n v="100"/>
    <n v="0"/>
    <n v="0"/>
    <s v="Consolidation"/>
    <s v="CO2e and Base Measure"/>
    <n v="100"/>
    <n v="100"/>
    <n v="0.44"/>
    <m/>
    <m/>
    <m/>
    <m/>
    <m/>
    <n v="0.5746"/>
    <m/>
    <n v="0.5746"/>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09-01T00:00:00"/>
    <s v="FY21"/>
    <s v="t"/>
    <n v="0.48399999999999999"/>
    <n v="7.22E-2"/>
    <n v="0"/>
    <n v="0.55620000000000003"/>
    <n v="8"/>
    <n v="1"/>
    <n v="0"/>
    <n v="9"/>
    <n v="87.01"/>
    <n v="12.98"/>
    <n v="0"/>
    <s v="Consolidation"/>
    <s v="CO2e and Base Measure"/>
    <n v="100"/>
    <n v="100"/>
    <n v="0.56000000000000005"/>
    <m/>
    <m/>
    <m/>
    <m/>
    <m/>
    <n v="0.72309999999999997"/>
    <m/>
    <n v="0.72309999999999997"/>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10-01T00:00:00"/>
    <s v="FY21"/>
    <s v="t"/>
    <n v="0.28000000000000003"/>
    <n v="0"/>
    <n v="0"/>
    <n v="0.28000000000000003"/>
    <n v="5"/>
    <n v="0"/>
    <n v="0"/>
    <n v="5"/>
    <n v="100"/>
    <n v="0"/>
    <n v="0"/>
    <s v="Consolidation"/>
    <s v="CO2e and Base Measure"/>
    <n v="100"/>
    <n v="100"/>
    <n v="0.28000000000000003"/>
    <m/>
    <m/>
    <m/>
    <m/>
    <m/>
    <n v="0.36399999999999999"/>
    <m/>
    <n v="0.36399999999999999"/>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11-01T00:00:00"/>
    <s v="FY21"/>
    <s v="t"/>
    <n v="0.74199999999999999"/>
    <n v="0"/>
    <n v="0"/>
    <n v="0.74199999999999999"/>
    <n v="8"/>
    <n v="0"/>
    <n v="0"/>
    <n v="8"/>
    <n v="100"/>
    <n v="0"/>
    <n v="0"/>
    <s v="Consolidation"/>
    <s v="CO2e and Base Measure"/>
    <n v="100"/>
    <n v="100"/>
    <n v="0.74"/>
    <m/>
    <m/>
    <m/>
    <m/>
    <m/>
    <n v="0.96460000000000001"/>
    <m/>
    <n v="0.96460000000000001"/>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12-01T00:00:00"/>
    <s v="FY21"/>
    <s v="t"/>
    <n v="0"/>
    <n v="0.2165"/>
    <n v="0"/>
    <n v="0.2165"/>
    <n v="0"/>
    <n v="2"/>
    <n v="0"/>
    <n v="2"/>
    <n v="0"/>
    <n v="100"/>
    <n v="0"/>
    <s v="Consolidation"/>
    <s v="CO2e and Base Measure"/>
    <n v="100"/>
    <n v="100"/>
    <n v="0.22"/>
    <m/>
    <m/>
    <m/>
    <m/>
    <m/>
    <n v="0.28149999999999997"/>
    <m/>
    <n v="0.28149999999999997"/>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1-01-01T00:00:00"/>
    <s v="FY21"/>
    <s v="t"/>
    <n v="0"/>
    <n v="0"/>
    <n v="1.7999999999999999E-2"/>
    <n v="1.7999999999999999E-2"/>
    <n v="0"/>
    <n v="0"/>
    <n v="1"/>
    <n v="1"/>
    <n v="0"/>
    <n v="0"/>
    <n v="100"/>
    <s v="Consolidation"/>
    <s v="CO2e and Base Measure"/>
    <n v="100"/>
    <n v="100"/>
    <n v="0.02"/>
    <m/>
    <m/>
    <m/>
    <m/>
    <m/>
    <n v="2.3400000000000001E-2"/>
    <m/>
    <n v="2.3400000000000001E-2"/>
    <m/>
    <m/>
    <m/>
    <m/>
    <m/>
    <s v="AUD"/>
    <s v="13564396Waste - General [t] - Scope 3"/>
    <n v="13564396"/>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0-12-01T00:00:00"/>
    <s v="FY21"/>
    <s v="t"/>
    <n v="0"/>
    <n v="0.69299999999999995"/>
    <n v="0"/>
    <n v="0.69299999999999995"/>
    <n v="0"/>
    <n v="7"/>
    <n v="0"/>
    <n v="7"/>
    <n v="0"/>
    <n v="100"/>
    <n v="0"/>
    <s v="Consolidation"/>
    <s v="CO2e and Base Measure"/>
    <n v="100"/>
    <n v="100"/>
    <n v="0.69"/>
    <m/>
    <m/>
    <m/>
    <m/>
    <m/>
    <n v="0.90090000000000003"/>
    <m/>
    <n v="0.90090000000000003"/>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1-01T00:00:00"/>
    <s v="FY21"/>
    <s v="t"/>
    <n v="0"/>
    <n v="0.64349999999999996"/>
    <n v="0"/>
    <n v="0.64349999999999996"/>
    <n v="0"/>
    <n v="7"/>
    <n v="0"/>
    <n v="7"/>
    <n v="0"/>
    <n v="100"/>
    <n v="0"/>
    <s v="Consolidation"/>
    <s v="CO2e and Base Measure"/>
    <n v="100"/>
    <n v="100"/>
    <n v="0.64"/>
    <m/>
    <m/>
    <m/>
    <m/>
    <m/>
    <n v="0.83660000000000001"/>
    <m/>
    <n v="0.83660000000000001"/>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2-01T00:00:00"/>
    <s v="FY21"/>
    <s v="t"/>
    <n v="0"/>
    <n v="0.64349999999999996"/>
    <n v="0"/>
    <n v="0.64349999999999996"/>
    <n v="0"/>
    <n v="7"/>
    <n v="0"/>
    <n v="7"/>
    <n v="0"/>
    <n v="100"/>
    <n v="0"/>
    <s v="Consolidation"/>
    <s v="CO2e and Base Measure"/>
    <n v="100"/>
    <n v="100"/>
    <n v="0.64"/>
    <m/>
    <m/>
    <m/>
    <m/>
    <m/>
    <n v="0.83660000000000001"/>
    <m/>
    <n v="0.83660000000000001"/>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3-01T00:00:00"/>
    <s v="FY21"/>
    <s v="t"/>
    <n v="0"/>
    <n v="0.84150000000000003"/>
    <n v="0"/>
    <n v="0.84150000000000003"/>
    <n v="0"/>
    <n v="9"/>
    <n v="0"/>
    <n v="9"/>
    <n v="0"/>
    <n v="100"/>
    <n v="0"/>
    <s v="Consolidation"/>
    <s v="CO2e and Base Measure"/>
    <n v="100"/>
    <n v="100"/>
    <n v="0.84"/>
    <m/>
    <m/>
    <m/>
    <m/>
    <m/>
    <n v="1.0940000000000001"/>
    <m/>
    <n v="1.0940000000000001"/>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4-01T00:00:00"/>
    <s v="FY21"/>
    <s v="t"/>
    <n v="0"/>
    <n v="0"/>
    <n v="0.70499999999999996"/>
    <n v="0.70499999999999996"/>
    <n v="0"/>
    <n v="0"/>
    <n v="30"/>
    <n v="30"/>
    <n v="0"/>
    <n v="0"/>
    <n v="100"/>
    <s v="Consolidation"/>
    <s v="CO2e and Base Measure"/>
    <n v="100"/>
    <n v="100"/>
    <n v="0.71"/>
    <m/>
    <m/>
    <m/>
    <m/>
    <m/>
    <n v="0.91649999999999998"/>
    <m/>
    <n v="0.91649999999999998"/>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5-01T00:00:00"/>
    <s v="FY21"/>
    <s v="t"/>
    <n v="0"/>
    <n v="0"/>
    <n v="0.72850000000000004"/>
    <n v="0.72850000000000004"/>
    <n v="0"/>
    <n v="0"/>
    <n v="31"/>
    <n v="31"/>
    <n v="0"/>
    <n v="0"/>
    <n v="100"/>
    <s v="Consolidation"/>
    <s v="CO2e and Base Measure"/>
    <n v="100"/>
    <n v="100"/>
    <n v="0.73"/>
    <m/>
    <m/>
    <m/>
    <m/>
    <m/>
    <n v="0.94710000000000005"/>
    <m/>
    <n v="0.94710000000000005"/>
    <m/>
    <m/>
    <m/>
    <m/>
    <m/>
    <s v="AUD"/>
    <s v="13634222Waste - General [t] - Scope 3"/>
    <n v="13634222"/>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0-11-01T00:00:00"/>
    <s v="FY21"/>
    <s v="t"/>
    <n v="2.7E-2"/>
    <n v="0"/>
    <n v="0"/>
    <n v="2.7E-2"/>
    <n v="1"/>
    <n v="0"/>
    <n v="0"/>
    <n v="1"/>
    <n v="100"/>
    <n v="0"/>
    <n v="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2-01T00:00:00"/>
    <s v="FY21"/>
    <s v="t"/>
    <n v="0"/>
    <n v="0"/>
    <n v="2.52E-2"/>
    <n v="2.52E-2"/>
    <n v="0"/>
    <n v="0"/>
    <n v="28"/>
    <n v="28"/>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4-01T00:00:00"/>
    <s v="FY21"/>
    <s v="t"/>
    <n v="0"/>
    <n v="0"/>
    <n v="2.7E-2"/>
    <n v="2.7E-2"/>
    <n v="0"/>
    <n v="0"/>
    <n v="30"/>
    <n v="30"/>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26Waste Recycled - Paper and Cardboard [t]"/>
    <n v="13566526"/>
  </r>
  <r>
    <d v="2019-07-01T00:00:00"/>
    <d v="2021-06-30T00:00:00"/>
    <s v="Telstra"/>
    <s v="NETWORK"/>
    <s v="Network - InfraCo"/>
    <s v="NSW"/>
    <s v="Australia"/>
    <s v="Peakhurst"/>
    <s v="PEAKHURST EXCHANGE"/>
    <n v="423030290100"/>
    <s v="Waste"/>
    <x v="1"/>
    <x v="2"/>
    <s v="Account"/>
    <s v="Remondis General Waste"/>
    <m/>
    <s v="423030290100_WGENERALW"/>
    <s v="GENERAL WASTE"/>
    <s v="Remondis"/>
    <m/>
    <m/>
    <d v="2021-01-01T00:00:00"/>
    <d v="2020-07-01T00:00:00"/>
    <s v="FY21"/>
    <s v="t"/>
    <n v="1.72"/>
    <n v="0"/>
    <n v="0"/>
    <n v="1.72"/>
    <n v="1"/>
    <n v="0"/>
    <n v="0"/>
    <n v="1"/>
    <n v="100"/>
    <n v="0"/>
    <n v="0"/>
    <s v="Consolidation"/>
    <s v="CO2e and Base Measure"/>
    <n v="100"/>
    <n v="100"/>
    <n v="1.72"/>
    <m/>
    <m/>
    <m/>
    <m/>
    <m/>
    <n v="2.2360000000000002"/>
    <m/>
    <n v="2.2360000000000002"/>
    <m/>
    <m/>
    <m/>
    <m/>
    <m/>
    <s v="AUD"/>
    <s v="13564391Waste - General [t] - Scope 3"/>
    <n v="13564391"/>
  </r>
  <r>
    <d v="2019-07-01T00:00:00"/>
    <d v="2021-06-30T00:00:00"/>
    <s v="Telstra"/>
    <s v="NETWORK"/>
    <s v="Network - InfraCo"/>
    <s v="NSW"/>
    <s v="Australia"/>
    <s v="Peakhurst"/>
    <s v="PEAKHURST EXCHANGE"/>
    <n v="423030290100"/>
    <s v="Waste"/>
    <x v="1"/>
    <x v="2"/>
    <s v="Account"/>
    <s v="Remondis General Waste"/>
    <m/>
    <s v="423030290100_WGENERALW"/>
    <s v="GENERAL WASTE"/>
    <s v="Remondis"/>
    <m/>
    <m/>
    <d v="2021-01-01T00:00:00"/>
    <d v="2020-08-01T00:00:00"/>
    <s v="FY21"/>
    <s v="t"/>
    <n v="0"/>
    <n v="0.8"/>
    <n v="0"/>
    <n v="0.8"/>
    <n v="0"/>
    <n v="1"/>
    <n v="0"/>
    <n v="1"/>
    <n v="0"/>
    <n v="100"/>
    <n v="0"/>
    <s v="Consolidation"/>
    <s v="CO2e and Base Measure"/>
    <n v="100"/>
    <n v="100"/>
    <n v="0.8"/>
    <m/>
    <m/>
    <m/>
    <m/>
    <m/>
    <n v="1.04"/>
    <m/>
    <n v="1.04"/>
    <m/>
    <m/>
    <m/>
    <m/>
    <m/>
    <s v="AUD"/>
    <s v="13564391Waste - General [t] - Scope 3"/>
    <n v="13564391"/>
  </r>
  <r>
    <d v="2019-07-01T00:00:00"/>
    <d v="2021-06-30T00:00:00"/>
    <s v="Telstra"/>
    <s v="NETWORK"/>
    <s v="Network - InfraCo"/>
    <s v="NSW"/>
    <s v="Australia"/>
    <s v="Peakhurst"/>
    <s v="PEAKHURST EXCHANGE"/>
    <n v="423030290100"/>
    <s v="Waste"/>
    <x v="1"/>
    <x v="2"/>
    <s v="Account"/>
    <s v="Remondis General Waste"/>
    <m/>
    <s v="423030290100_WGENERALW"/>
    <s v="GENERAL WASTE"/>
    <s v="Remondis"/>
    <m/>
    <m/>
    <d v="2021-01-01T00:00:00"/>
    <d v="2020-12-01T00:00:00"/>
    <s v="FY21"/>
    <s v="t"/>
    <n v="13.3"/>
    <n v="0"/>
    <n v="0"/>
    <n v="13.3"/>
    <n v="1"/>
    <n v="0"/>
    <n v="0"/>
    <n v="1"/>
    <n v="100"/>
    <n v="0"/>
    <n v="0"/>
    <s v="Consolidation"/>
    <s v="CO2e and Base Measure"/>
    <n v="100"/>
    <n v="100"/>
    <n v="13.3"/>
    <m/>
    <m/>
    <m/>
    <m/>
    <m/>
    <n v="17.29"/>
    <m/>
    <n v="17.29"/>
    <m/>
    <m/>
    <m/>
    <m/>
    <m/>
    <s v="AUD"/>
    <s v="13564391Waste - General [t] - Scope 3"/>
    <n v="13564391"/>
  </r>
  <r>
    <d v="2019-07-01T00:00:00"/>
    <d v="2021-06-30T00:00:00"/>
    <s v="Telstra"/>
    <s v="NETWORK"/>
    <s v="Network - InfraCo"/>
    <s v="NSW"/>
    <s v="Australia"/>
    <s v="Peakhurst"/>
    <s v="PEAKHURST EXCHANGE"/>
    <n v="423030290100"/>
    <s v="Waste"/>
    <x v="1"/>
    <x v="2"/>
    <s v="Account"/>
    <s v="Remondis General Waste"/>
    <m/>
    <s v="423030290100_WGENERALW"/>
    <s v="GENERAL WASTE"/>
    <s v="Remondis"/>
    <m/>
    <m/>
    <d v="2021-01-01T00:00:00"/>
    <d v="2021-01-01T00:00:00"/>
    <s v="FY21"/>
    <s v="t"/>
    <n v="0"/>
    <n v="0"/>
    <n v="8.2199999999999995E-2"/>
    <n v="8.2199999999999995E-2"/>
    <n v="0"/>
    <n v="0"/>
    <n v="1"/>
    <n v="1"/>
    <n v="0"/>
    <n v="0"/>
    <n v="100"/>
    <s v="Consolidation"/>
    <s v="CO2e and Base Measure"/>
    <n v="100"/>
    <n v="100"/>
    <n v="0.08"/>
    <m/>
    <m/>
    <m/>
    <m/>
    <m/>
    <n v="0.1069"/>
    <m/>
    <n v="0.1069"/>
    <m/>
    <m/>
    <m/>
    <m/>
    <m/>
    <s v="AUD"/>
    <s v="13564391Waste - General [t] - Scope 3"/>
    <n v="13564391"/>
  </r>
  <r>
    <d v="2019-07-01T00:00:00"/>
    <d v="2021-06-30T00:00:00"/>
    <s v="Telstra"/>
    <s v="NETWORK"/>
    <s v="Network - InfraCo"/>
    <s v="NSW"/>
    <s v="Australia"/>
    <s v="Peakhurst"/>
    <s v="PEAKHURST EXCHANGE"/>
    <n v="423030290100"/>
    <s v="Recycled Waste"/>
    <x v="0"/>
    <x v="6"/>
    <s v="Account"/>
    <s v="Remondis Green Waste Recycled"/>
    <m/>
    <s v="423030290100_RGREENWST"/>
    <s v="GREEN WASTE RECYCLED"/>
    <s v="Remondis"/>
    <m/>
    <d v="2020-09-02T00:00:00"/>
    <d v="2020-10-01T00:00:00"/>
    <d v="2020-09-01T00:00:00"/>
    <s v="FY21"/>
    <s v="t"/>
    <n v="0.64"/>
    <n v="0"/>
    <n v="0"/>
    <n v="0.64"/>
    <n v="1"/>
    <n v="0"/>
    <n v="0"/>
    <n v="1"/>
    <n v="100"/>
    <n v="0"/>
    <n v="0"/>
    <s v="Consolidation"/>
    <s v="CO2e and Base Measure"/>
    <n v="100"/>
    <n v="100"/>
    <n v="0.64"/>
    <m/>
    <m/>
    <m/>
    <m/>
    <m/>
    <m/>
    <m/>
    <m/>
    <m/>
    <m/>
    <m/>
    <m/>
    <m/>
    <s v="AUD"/>
    <s v="13629339Waste Recycled - Other [t]"/>
    <n v="13629339"/>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07-01T00:00:00"/>
    <s v="FY21"/>
    <s v="t"/>
    <n v="0.58399999999999996"/>
    <n v="0"/>
    <n v="0"/>
    <n v="0.58399999999999996"/>
    <n v="3"/>
    <n v="0"/>
    <n v="0"/>
    <n v="3"/>
    <n v="100"/>
    <n v="0"/>
    <n v="0"/>
    <s v="Consolidation"/>
    <s v="CO2e and Base Measure"/>
    <n v="100"/>
    <n v="100"/>
    <n v="0.57999999999999996"/>
    <m/>
    <m/>
    <m/>
    <m/>
    <m/>
    <n v="0.75919999999999999"/>
    <m/>
    <n v="0.75919999999999999"/>
    <m/>
    <m/>
    <m/>
    <m/>
    <m/>
    <s v="AUD"/>
    <s v="13564392Waste - General [t] - Scope 3"/>
    <n v="13564392"/>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09-01T00:00:00"/>
    <s v="FY21"/>
    <s v="t"/>
    <n v="0.17199999999999999"/>
    <n v="0"/>
    <n v="0"/>
    <n v="0.17199999999999999"/>
    <n v="1"/>
    <n v="0"/>
    <n v="0"/>
    <n v="1"/>
    <n v="100"/>
    <n v="0"/>
    <n v="0"/>
    <s v="Consolidation"/>
    <s v="CO2e and Base Measure"/>
    <n v="100"/>
    <n v="100"/>
    <n v="0.17"/>
    <m/>
    <m/>
    <m/>
    <m/>
    <m/>
    <n v="0.22359999999999999"/>
    <m/>
    <n v="0.22359999999999999"/>
    <m/>
    <m/>
    <m/>
    <m/>
    <m/>
    <s v="AUD"/>
    <s v="13564392Waste - General [t] - Scope 3"/>
    <n v="13564392"/>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10-01T00:00:00"/>
    <s v="FY21"/>
    <s v="t"/>
    <n v="0.248"/>
    <n v="0"/>
    <n v="0"/>
    <n v="0.248"/>
    <n v="1"/>
    <n v="0"/>
    <n v="0"/>
    <n v="1"/>
    <n v="100"/>
    <n v="0"/>
    <n v="0"/>
    <s v="Consolidation"/>
    <s v="CO2e and Base Measure"/>
    <n v="100"/>
    <n v="100"/>
    <n v="0.25"/>
    <m/>
    <m/>
    <m/>
    <m/>
    <m/>
    <n v="0.32240000000000002"/>
    <m/>
    <n v="0.32240000000000002"/>
    <m/>
    <m/>
    <m/>
    <m/>
    <m/>
    <s v="AUD"/>
    <s v="13564392Waste - General [t] - Scope 3"/>
    <n v="13564392"/>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11-01T00:00:00"/>
    <s v="FY21"/>
    <s v="t"/>
    <n v="0.21199999999999999"/>
    <n v="0"/>
    <n v="0"/>
    <n v="0.21199999999999999"/>
    <n v="1"/>
    <n v="0"/>
    <n v="0"/>
    <n v="1"/>
    <n v="100"/>
    <n v="0"/>
    <n v="0"/>
    <s v="Consolidation"/>
    <s v="CO2e and Base Measure"/>
    <n v="100"/>
    <n v="100"/>
    <n v="0.21"/>
    <m/>
    <m/>
    <m/>
    <m/>
    <m/>
    <n v="0.27560000000000001"/>
    <m/>
    <n v="0.27560000000000001"/>
    <m/>
    <m/>
    <m/>
    <m/>
    <m/>
    <s v="AUD"/>
    <s v="13564392Waste - General [t] - Scope 3"/>
    <n v="13564392"/>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12-01T00:00:00"/>
    <s v="FY21"/>
    <s v="t"/>
    <n v="0"/>
    <n v="0"/>
    <n v="1.44E-2"/>
    <n v="1.44E-2"/>
    <n v="0"/>
    <n v="0"/>
    <n v="1"/>
    <n v="1"/>
    <n v="0"/>
    <n v="0"/>
    <n v="100"/>
    <s v="Consolidation"/>
    <s v="CO2e and Base Measure"/>
    <n v="100"/>
    <n v="100"/>
    <n v="0.01"/>
    <m/>
    <m/>
    <m/>
    <m/>
    <m/>
    <n v="1.8700000000000001E-2"/>
    <m/>
    <n v="1.8700000000000001E-2"/>
    <m/>
    <m/>
    <m/>
    <m/>
    <m/>
    <s v="AUD"/>
    <s v="13564392Waste - General [t] - Scope 3"/>
    <n v="13564392"/>
  </r>
  <r>
    <d v="2019-07-01T00:00:00"/>
    <d v="2021-06-30T00:00:00"/>
    <s v="Telstra"/>
    <s v="NETWORK"/>
    <s v="Network - InfraCo"/>
    <s v="NSW"/>
    <s v="Australia"/>
    <s v="Girraween"/>
    <s v="PENDLE HILL EXCHANGE"/>
    <n v="423030290600"/>
    <s v="Waste"/>
    <x v="1"/>
    <x v="2"/>
    <s v="Account"/>
    <s v="CLEANAWAY General"/>
    <m/>
    <s v="44106_Landfill_General"/>
    <s v="General"/>
    <s v="Cleanaway"/>
    <m/>
    <d v="2021-03-16T00:00:00"/>
    <m/>
    <d v="2021-03-01T00:00:00"/>
    <s v="FY21"/>
    <s v="t"/>
    <n v="0"/>
    <n v="0.2475"/>
    <n v="0"/>
    <n v="0.2475"/>
    <n v="0"/>
    <n v="1"/>
    <n v="0"/>
    <n v="1"/>
    <n v="0"/>
    <n v="100"/>
    <n v="0"/>
    <s v="Consolidation"/>
    <s v="CO2e and Base Measure"/>
    <n v="100"/>
    <n v="100"/>
    <n v="0.25"/>
    <m/>
    <m/>
    <m/>
    <m/>
    <m/>
    <n v="0.32179999999999997"/>
    <m/>
    <n v="0.32179999999999997"/>
    <m/>
    <m/>
    <m/>
    <m/>
    <m/>
    <s v="AUD"/>
    <s v="13641215Waste - General [t] - Scope 3"/>
    <n v="13641215"/>
  </r>
  <r>
    <d v="2019-07-01T00:00:00"/>
    <d v="2021-06-30T00:00:00"/>
    <s v="Telstra"/>
    <s v="NETWORK"/>
    <s v="Network - InfraCo"/>
    <s v="NSW"/>
    <s v="Australia"/>
    <s v="Girraween"/>
    <s v="PENDLE HILL EXCHANGE"/>
    <n v="423030290600"/>
    <s v="Waste"/>
    <x v="1"/>
    <x v="2"/>
    <s v="Account"/>
    <s v="CLEANAWAY General"/>
    <m/>
    <s v="44106_Landfill_General"/>
    <s v="General"/>
    <s v="Cleanaway"/>
    <m/>
    <d v="2021-03-16T00:00:00"/>
    <m/>
    <d v="2021-04-01T00:00:00"/>
    <s v="FY21"/>
    <s v="t"/>
    <n v="0"/>
    <n v="0"/>
    <n v="0.249"/>
    <n v="0.249"/>
    <n v="0"/>
    <n v="0"/>
    <n v="30"/>
    <n v="30"/>
    <n v="0"/>
    <n v="0"/>
    <n v="100"/>
    <s v="Consolidation"/>
    <s v="CO2e and Base Measure"/>
    <n v="100"/>
    <n v="100"/>
    <n v="0.25"/>
    <m/>
    <m/>
    <m/>
    <m/>
    <m/>
    <n v="0.32369999999999999"/>
    <m/>
    <n v="0.32369999999999999"/>
    <m/>
    <m/>
    <m/>
    <m/>
    <m/>
    <s v="AUD"/>
    <s v="13641215Waste - General [t] - Scope 3"/>
    <n v="13641215"/>
  </r>
  <r>
    <d v="2019-07-01T00:00:00"/>
    <d v="2021-06-30T00:00:00"/>
    <s v="Telstra"/>
    <s v="NETWORK"/>
    <s v="Network - InfraCo"/>
    <s v="NSW"/>
    <s v="Australia"/>
    <s v="Girraween"/>
    <s v="PENDLE HILL EXCHANGE"/>
    <n v="423030290600"/>
    <s v="Waste"/>
    <x v="1"/>
    <x v="2"/>
    <s v="Account"/>
    <s v="CLEANAWAY General"/>
    <m/>
    <s v="44106_Landfill_General"/>
    <s v="General"/>
    <s v="Cleanaway"/>
    <m/>
    <d v="2021-03-16T00:00:00"/>
    <m/>
    <d v="2021-05-01T00:00:00"/>
    <s v="FY21"/>
    <s v="t"/>
    <n v="0"/>
    <n v="0"/>
    <n v="0.25729999999999997"/>
    <n v="0.25729999999999997"/>
    <n v="0"/>
    <n v="0"/>
    <n v="31"/>
    <n v="31"/>
    <n v="0"/>
    <n v="0"/>
    <n v="100"/>
    <s v="Consolidation"/>
    <s v="CO2e and Base Measure"/>
    <n v="100"/>
    <n v="100"/>
    <n v="0.26"/>
    <m/>
    <m/>
    <m/>
    <m/>
    <m/>
    <n v="0.33450000000000002"/>
    <m/>
    <n v="0.33450000000000002"/>
    <m/>
    <m/>
    <m/>
    <m/>
    <m/>
    <s v="AUD"/>
    <s v="13641215Waste - General [t] - Scope 3"/>
    <n v="13641215"/>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07-01T00:00:00"/>
    <s v="FY21"/>
    <s v="t"/>
    <n v="0"/>
    <n v="0.50519999999999998"/>
    <n v="0"/>
    <n v="0.50519999999999998"/>
    <n v="0"/>
    <n v="4"/>
    <n v="0"/>
    <n v="4"/>
    <n v="0"/>
    <n v="100"/>
    <n v="0"/>
    <s v="Consolidation"/>
    <s v="CO2e and Base Measure"/>
    <n v="100"/>
    <n v="100"/>
    <n v="0.51"/>
    <m/>
    <m/>
    <m/>
    <m/>
    <m/>
    <n v="0.65680000000000005"/>
    <m/>
    <n v="0.65680000000000005"/>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08-01T00:00:00"/>
    <s v="FY21"/>
    <s v="t"/>
    <n v="0.10299999999999999"/>
    <n v="0"/>
    <n v="0"/>
    <n v="0.10299999999999999"/>
    <n v="3"/>
    <n v="0"/>
    <n v="0"/>
    <n v="3"/>
    <n v="100"/>
    <n v="0"/>
    <n v="0"/>
    <s v="Consolidation"/>
    <s v="CO2e and Base Measure"/>
    <n v="100"/>
    <n v="100"/>
    <n v="0.1"/>
    <m/>
    <m/>
    <m/>
    <m/>
    <m/>
    <n v="0.13389999999999999"/>
    <m/>
    <n v="0.13389999999999999"/>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09-01T00:00:00"/>
    <s v="FY21"/>
    <s v="t"/>
    <n v="8.4000000000000005E-2"/>
    <n v="0.64"/>
    <n v="0"/>
    <n v="0.72399999999999998"/>
    <n v="4"/>
    <n v="1"/>
    <n v="0"/>
    <n v="5"/>
    <n v="11.6"/>
    <n v="88.39"/>
    <n v="0"/>
    <s v="Consolidation"/>
    <s v="CO2e and Base Measure"/>
    <n v="100"/>
    <n v="100"/>
    <n v="0.72"/>
    <m/>
    <m/>
    <m/>
    <m/>
    <m/>
    <n v="0.94120000000000004"/>
    <m/>
    <n v="0.94120000000000004"/>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10-01T00:00:00"/>
    <s v="FY21"/>
    <s v="t"/>
    <n v="1.506"/>
    <n v="7.22E-2"/>
    <n v="0"/>
    <n v="1.5782"/>
    <n v="5"/>
    <n v="1"/>
    <n v="0"/>
    <n v="6"/>
    <n v="95.42"/>
    <n v="4.57"/>
    <n v="0"/>
    <s v="Consolidation"/>
    <s v="CO2e and Base Measure"/>
    <n v="100"/>
    <n v="100"/>
    <n v="1.58"/>
    <m/>
    <m/>
    <m/>
    <m/>
    <m/>
    <n v="2.0516999999999999"/>
    <m/>
    <n v="2.0516999999999999"/>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11-01T00:00:00"/>
    <s v="FY21"/>
    <s v="t"/>
    <n v="0.16"/>
    <n v="0"/>
    <n v="0"/>
    <n v="0.16"/>
    <n v="4"/>
    <n v="0"/>
    <n v="0"/>
    <n v="4"/>
    <n v="100"/>
    <n v="0"/>
    <n v="0"/>
    <s v="Consolidation"/>
    <s v="CO2e and Base Measure"/>
    <n v="100"/>
    <n v="100"/>
    <n v="0.16"/>
    <m/>
    <m/>
    <m/>
    <m/>
    <m/>
    <n v="0.20799999999999999"/>
    <m/>
    <n v="0.20799999999999999"/>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12-01T00:00:00"/>
    <s v="FY21"/>
    <s v="t"/>
    <n v="0"/>
    <n v="0"/>
    <n v="1.89E-2"/>
    <n v="1.89E-2"/>
    <n v="0"/>
    <n v="0"/>
    <n v="1"/>
    <n v="1"/>
    <n v="0"/>
    <n v="0"/>
    <n v="100"/>
    <s v="Consolidation"/>
    <s v="CO2e and Base Measure"/>
    <n v="100"/>
    <n v="100"/>
    <n v="0.02"/>
    <m/>
    <m/>
    <m/>
    <m/>
    <m/>
    <n v="2.46E-2"/>
    <m/>
    <n v="2.46E-2"/>
    <m/>
    <m/>
    <m/>
    <m/>
    <m/>
    <s v="AUD"/>
    <s v="13564403Waste - General [t] - Scope 3"/>
    <n v="13564403"/>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464Waste - General [t] - Scope 3"/>
    <n v="13634464"/>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2-01T00:00:00"/>
    <s v="FY21"/>
    <s v="t"/>
    <n v="0"/>
    <n v="0.14849999999999999"/>
    <n v="0"/>
    <n v="0.14849999999999999"/>
    <n v="0"/>
    <n v="1"/>
    <n v="0"/>
    <n v="1"/>
    <n v="0"/>
    <n v="100"/>
    <n v="0"/>
    <s v="Consolidation"/>
    <s v="CO2e and Base Measure"/>
    <n v="100"/>
    <n v="100"/>
    <n v="0.15"/>
    <m/>
    <m/>
    <m/>
    <m/>
    <m/>
    <n v="0.19309999999999999"/>
    <m/>
    <n v="0.19309999999999999"/>
    <m/>
    <m/>
    <m/>
    <m/>
    <m/>
    <s v="AUD"/>
    <s v="13634464Waste - General [t] - Scope 3"/>
    <n v="13634464"/>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464Waste - General [t] - Scope 3"/>
    <n v="13634464"/>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4-01T00:00:00"/>
    <s v="FY21"/>
    <s v="t"/>
    <n v="0"/>
    <n v="0"/>
    <n v="8.4000000000000005E-2"/>
    <n v="8.4000000000000005E-2"/>
    <n v="0"/>
    <n v="0"/>
    <n v="30"/>
    <n v="30"/>
    <n v="0"/>
    <n v="0"/>
    <n v="100"/>
    <s v="Consolidation"/>
    <s v="CO2e and Base Measure"/>
    <n v="100"/>
    <n v="100"/>
    <n v="0.08"/>
    <m/>
    <m/>
    <m/>
    <m/>
    <m/>
    <n v="0.10920000000000001"/>
    <m/>
    <n v="0.10920000000000001"/>
    <m/>
    <m/>
    <m/>
    <m/>
    <m/>
    <s v="AUD"/>
    <s v="13634464Waste - General [t] - Scope 3"/>
    <n v="13634464"/>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5-01T00:00:00"/>
    <s v="FY21"/>
    <s v="t"/>
    <n v="0"/>
    <n v="0"/>
    <n v="8.6800000000000002E-2"/>
    <n v="8.6800000000000002E-2"/>
    <n v="0"/>
    <n v="0"/>
    <n v="31"/>
    <n v="31"/>
    <n v="0"/>
    <n v="0"/>
    <n v="100"/>
    <s v="Consolidation"/>
    <s v="CO2e and Base Measure"/>
    <n v="100"/>
    <n v="100"/>
    <n v="0.09"/>
    <m/>
    <m/>
    <m/>
    <m/>
    <m/>
    <n v="0.1128"/>
    <m/>
    <n v="0.1128"/>
    <m/>
    <m/>
    <m/>
    <m/>
    <m/>
    <s v="AUD"/>
    <s v="13634464Waste - General [t] - Scope 3"/>
    <n v="13634464"/>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07-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08-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09-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10-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11-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12-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1-01T00:00:00"/>
    <s v="FY21"/>
    <s v="t"/>
    <n v="0"/>
    <n v="0"/>
    <n v="1.24E-2"/>
    <n v="1.24E-2"/>
    <n v="0"/>
    <n v="0"/>
    <n v="31"/>
    <n v="31"/>
    <n v="0"/>
    <n v="0"/>
    <n v="10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2-01T00:00:00"/>
    <s v="FY21"/>
    <s v="t"/>
    <n v="0"/>
    <n v="0"/>
    <n v="1.12E-2"/>
    <n v="1.12E-2"/>
    <n v="0"/>
    <n v="0"/>
    <n v="28"/>
    <n v="28"/>
    <n v="0"/>
    <n v="0"/>
    <n v="10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3-01T00:00:00"/>
    <s v="FY21"/>
    <s v="t"/>
    <n v="0"/>
    <n v="0"/>
    <n v="1.24E-2"/>
    <n v="1.24E-2"/>
    <n v="0"/>
    <n v="0"/>
    <n v="31"/>
    <n v="31"/>
    <n v="0"/>
    <n v="0"/>
    <n v="10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4-01T00:00:00"/>
    <s v="FY21"/>
    <s v="t"/>
    <n v="0"/>
    <n v="0"/>
    <n v="1.2E-2"/>
    <n v="1.2E-2"/>
    <n v="0"/>
    <n v="0"/>
    <n v="30"/>
    <n v="30"/>
    <n v="0"/>
    <n v="0"/>
    <n v="10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5-01T00:00:00"/>
    <s v="FY21"/>
    <s v="t"/>
    <n v="0"/>
    <n v="0"/>
    <n v="1.24E-2"/>
    <n v="1.24E-2"/>
    <n v="0"/>
    <n v="0"/>
    <n v="31"/>
    <n v="31"/>
    <n v="0"/>
    <n v="0"/>
    <n v="100"/>
    <s v="Consolidation"/>
    <s v="CO2e and Base Measure"/>
    <n v="100"/>
    <n v="100"/>
    <n v="0.01"/>
    <m/>
    <m/>
    <m/>
    <m/>
    <m/>
    <m/>
    <m/>
    <m/>
    <m/>
    <m/>
    <m/>
    <m/>
    <m/>
    <s v="AUD"/>
    <s v="13566653Waste Recycled - Paper and Cardboard [t]"/>
    <n v="135666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07-01T00:00:00"/>
    <s v="FY21"/>
    <s v="t"/>
    <n v="2.5000000000000001E-2"/>
    <n v="0"/>
    <n v="0"/>
    <n v="2.5000000000000001E-2"/>
    <n v="1"/>
    <n v="0"/>
    <n v="0"/>
    <n v="1"/>
    <n v="100"/>
    <n v="0"/>
    <n v="0"/>
    <s v="Consolidation"/>
    <s v="CO2e and Base Measure"/>
    <n v="100"/>
    <n v="100"/>
    <n v="0.03"/>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08-01T00:00:00"/>
    <s v="FY21"/>
    <s v="t"/>
    <n v="0.13500000000000001"/>
    <n v="0"/>
    <n v="0"/>
    <n v="0.13500000000000001"/>
    <n v="1"/>
    <n v="0"/>
    <n v="0"/>
    <n v="1"/>
    <n v="100"/>
    <n v="0"/>
    <n v="0"/>
    <s v="Consolidation"/>
    <s v="CO2e and Base Measure"/>
    <n v="100"/>
    <n v="100"/>
    <n v="0.14000000000000001"/>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11-01T00:00:00"/>
    <s v="FY21"/>
    <s v="t"/>
    <n v="0"/>
    <n v="6.3E-2"/>
    <n v="0"/>
    <n v="6.3E-2"/>
    <n v="0"/>
    <n v="1"/>
    <n v="0"/>
    <n v="1"/>
    <n v="0"/>
    <n v="100"/>
    <n v="0"/>
    <s v="Consolidation"/>
    <s v="CO2e and Base Measure"/>
    <n v="100"/>
    <n v="100"/>
    <n v="0.06"/>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1-01-01T00:00:00"/>
    <s v="FY21"/>
    <s v="t"/>
    <n v="0"/>
    <n v="0"/>
    <n v="2.8E-3"/>
    <n v="2.8E-3"/>
    <n v="0"/>
    <n v="0"/>
    <n v="1"/>
    <n v="1"/>
    <n v="0"/>
    <n v="0"/>
    <n v="100"/>
    <s v="Consolidation"/>
    <s v="CO2e and Base Measure"/>
    <n v="100"/>
    <n v="100"/>
    <n v="0"/>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1"/>
    <s v="Account"/>
    <s v="Remondis Electrical Comp. (E-Waste)"/>
    <m/>
    <s v="4230303205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4554Waste Recycled - E-waste [t]"/>
    <n v="13564554"/>
  </r>
  <r>
    <d v="2019-07-01T00:00:00"/>
    <d v="2021-06-30T00:00:00"/>
    <s v="Telstra"/>
    <s v="NETWORK"/>
    <s v="Network - Telstra/InfraCo Split"/>
    <s v="NSW"/>
    <s v="Australia"/>
    <s v="Penrith"/>
    <s v="PENRITH EXCHANGE BUILDING 2"/>
    <n v="423030320500"/>
    <s v="Recycled Waste"/>
    <x v="0"/>
    <x v="1"/>
    <s v="Account"/>
    <s v="Remondis Electrical Comp. (E-Waste)"/>
    <m/>
    <s v="423030320500_RELECTRIC"/>
    <s v="ELECTRICAL COMP. E-WASTE"/>
    <s v="Remondis"/>
    <m/>
    <m/>
    <d v="2021-01-01T00:00:00"/>
    <d v="2021-01-01T00:00:00"/>
    <s v="FY21"/>
    <s v="t"/>
    <n v="0"/>
    <n v="0"/>
    <n v="1.1999999999999999E-3"/>
    <n v="1.1999999999999999E-3"/>
    <n v="0"/>
    <n v="0"/>
    <n v="1"/>
    <n v="1"/>
    <n v="0"/>
    <n v="0"/>
    <n v="100"/>
    <s v="Consolidation"/>
    <s v="CO2e and Base Measure"/>
    <n v="100"/>
    <n v="100"/>
    <n v="0"/>
    <m/>
    <m/>
    <m/>
    <m/>
    <m/>
    <m/>
    <m/>
    <m/>
    <m/>
    <m/>
    <m/>
    <m/>
    <m/>
    <s v="AUD"/>
    <s v="13564554Waste Recycled - E-waste [t]"/>
    <n v="13564554"/>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07-01T00:00:00"/>
    <s v="FY21"/>
    <s v="t"/>
    <n v="1.7450000000000001"/>
    <n v="0"/>
    <n v="0"/>
    <n v="1.7450000000000001"/>
    <n v="4"/>
    <n v="0"/>
    <n v="0"/>
    <n v="4"/>
    <n v="100"/>
    <n v="0"/>
    <n v="0"/>
    <s v="Consolidation"/>
    <s v="CO2e and Base Measure"/>
    <n v="100"/>
    <n v="100"/>
    <n v="1.75"/>
    <m/>
    <m/>
    <m/>
    <m/>
    <m/>
    <n v="2.2685"/>
    <m/>
    <n v="2.2685"/>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08-01T00:00:00"/>
    <s v="FY21"/>
    <s v="t"/>
    <n v="0.57499999999999996"/>
    <n v="0"/>
    <n v="0"/>
    <n v="0.57499999999999996"/>
    <n v="3"/>
    <n v="0"/>
    <n v="0"/>
    <n v="3"/>
    <n v="100"/>
    <n v="0"/>
    <n v="0"/>
    <s v="Consolidation"/>
    <s v="CO2e and Base Measure"/>
    <n v="100"/>
    <n v="100"/>
    <n v="0.57999999999999996"/>
    <m/>
    <m/>
    <m/>
    <m/>
    <m/>
    <n v="0.74750000000000005"/>
    <m/>
    <n v="0.74750000000000005"/>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09-01T00:00:00"/>
    <s v="FY21"/>
    <s v="t"/>
    <n v="0.45"/>
    <n v="0"/>
    <n v="0"/>
    <n v="0.45"/>
    <n v="1"/>
    <n v="0"/>
    <n v="0"/>
    <n v="1"/>
    <n v="100"/>
    <n v="0"/>
    <n v="0"/>
    <s v="Consolidation"/>
    <s v="CO2e and Base Measure"/>
    <n v="100"/>
    <n v="100"/>
    <n v="0.45"/>
    <m/>
    <m/>
    <m/>
    <m/>
    <m/>
    <n v="0.58499999999999996"/>
    <m/>
    <n v="0.58499999999999996"/>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10-01T00:00:00"/>
    <s v="FY21"/>
    <s v="t"/>
    <n v="0.72"/>
    <n v="0"/>
    <n v="0"/>
    <n v="0.72"/>
    <n v="2"/>
    <n v="0"/>
    <n v="0"/>
    <n v="2"/>
    <n v="100"/>
    <n v="0"/>
    <n v="0"/>
    <s v="Consolidation"/>
    <s v="CO2e and Base Measure"/>
    <n v="100"/>
    <n v="100"/>
    <n v="0.72"/>
    <m/>
    <m/>
    <m/>
    <m/>
    <m/>
    <n v="0.93600000000000005"/>
    <m/>
    <n v="0.93600000000000005"/>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11-01T00:00:00"/>
    <s v="FY21"/>
    <s v="t"/>
    <n v="0.41499999999999998"/>
    <n v="0"/>
    <n v="0"/>
    <n v="0.41499999999999998"/>
    <n v="1"/>
    <n v="0"/>
    <n v="0"/>
    <n v="1"/>
    <n v="100"/>
    <n v="0"/>
    <n v="0"/>
    <s v="Consolidation"/>
    <s v="CO2e and Base Measure"/>
    <n v="100"/>
    <n v="100"/>
    <n v="0.42"/>
    <m/>
    <m/>
    <m/>
    <m/>
    <m/>
    <n v="0.53949999999999998"/>
    <m/>
    <n v="0.53949999999999998"/>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1-01-01T00:00:00"/>
    <s v="FY21"/>
    <s v="t"/>
    <n v="0"/>
    <n v="0"/>
    <n v="2.4199999999999999E-2"/>
    <n v="2.4199999999999999E-2"/>
    <n v="0"/>
    <n v="0"/>
    <n v="1"/>
    <n v="1"/>
    <n v="0"/>
    <n v="0"/>
    <n v="100"/>
    <s v="Consolidation"/>
    <s v="CO2e and Base Measure"/>
    <n v="100"/>
    <n v="100"/>
    <n v="0.02"/>
    <m/>
    <m/>
    <m/>
    <m/>
    <m/>
    <n v="3.15E-2"/>
    <m/>
    <n v="3.15E-2"/>
    <m/>
    <m/>
    <m/>
    <m/>
    <m/>
    <s v="AUD"/>
    <s v="13564555Waste - General [t] - Scope 3"/>
    <n v="13564555"/>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0-12-01T00:00:00"/>
    <s v="FY21"/>
    <s v="t"/>
    <n v="0"/>
    <n v="6.4999999999999997E-3"/>
    <n v="0"/>
    <n v="6.4999999999999997E-3"/>
    <n v="0"/>
    <n v="1"/>
    <n v="0"/>
    <n v="1"/>
    <n v="0"/>
    <n v="100"/>
    <n v="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1-01T00:00:00"/>
    <s v="FY21"/>
    <s v="t"/>
    <n v="0"/>
    <n v="0"/>
    <n v="6.1999999999999998E-3"/>
    <n v="6.1999999999999998E-3"/>
    <n v="0"/>
    <n v="0"/>
    <n v="31"/>
    <n v="31"/>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2-01T00:00:00"/>
    <s v="FY21"/>
    <s v="t"/>
    <n v="0"/>
    <n v="0"/>
    <n v="5.5999999999999999E-3"/>
    <n v="5.5999999999999999E-3"/>
    <n v="0"/>
    <n v="0"/>
    <n v="28"/>
    <n v="28"/>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3-01T00:00:00"/>
    <s v="FY21"/>
    <s v="t"/>
    <n v="0"/>
    <n v="0"/>
    <n v="6.1999999999999998E-3"/>
    <n v="6.1999999999999998E-3"/>
    <n v="0"/>
    <n v="0"/>
    <n v="31"/>
    <n v="31"/>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4-01T00:00:00"/>
    <s v="FY21"/>
    <s v="t"/>
    <n v="0"/>
    <n v="0"/>
    <n v="6.0000000000000001E-3"/>
    <n v="6.0000000000000001E-3"/>
    <n v="0"/>
    <n v="0"/>
    <n v="30"/>
    <n v="30"/>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5-01T00:00:00"/>
    <s v="FY21"/>
    <s v="t"/>
    <n v="0"/>
    <n v="0"/>
    <n v="6.1999999999999998E-3"/>
    <n v="6.1999999999999998E-3"/>
    <n v="0"/>
    <n v="0"/>
    <n v="31"/>
    <n v="31"/>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1-01T00:00:00"/>
    <s v="FY21"/>
    <s v="t"/>
    <n v="0.56399999999999995"/>
    <n v="0"/>
    <n v="0"/>
    <n v="0.56399999999999995"/>
    <n v="1"/>
    <n v="0"/>
    <n v="0"/>
    <n v="1"/>
    <n v="100"/>
    <n v="0"/>
    <n v="0"/>
    <s v="Consolidation"/>
    <s v="CO2e and Base Measure"/>
    <n v="100"/>
    <n v="100"/>
    <n v="0.56000000000000005"/>
    <m/>
    <m/>
    <m/>
    <m/>
    <m/>
    <n v="0.73319999999999996"/>
    <m/>
    <n v="0.73319999999999996"/>
    <m/>
    <m/>
    <m/>
    <m/>
    <m/>
    <s v="AUD"/>
    <s v="13634465Waste - General [t] - Scope 3"/>
    <n v="13634465"/>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2-01T00:00:00"/>
    <s v="FY21"/>
    <s v="t"/>
    <n v="0.42799999999999999"/>
    <n v="0"/>
    <n v="0"/>
    <n v="0.42799999999999999"/>
    <n v="2"/>
    <n v="0"/>
    <n v="0"/>
    <n v="2"/>
    <n v="100"/>
    <n v="0"/>
    <n v="0"/>
    <s v="Consolidation"/>
    <s v="CO2e and Base Measure"/>
    <n v="100"/>
    <n v="100"/>
    <n v="0.43"/>
    <m/>
    <m/>
    <m/>
    <m/>
    <m/>
    <n v="0.55640000000000001"/>
    <m/>
    <n v="0.55640000000000001"/>
    <m/>
    <m/>
    <m/>
    <m/>
    <m/>
    <s v="AUD"/>
    <s v="13634465Waste - General [t] - Scope 3"/>
    <n v="13634465"/>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3-01T00:00:00"/>
    <s v="FY21"/>
    <s v="t"/>
    <n v="1.1559999999999999"/>
    <n v="0"/>
    <n v="0"/>
    <n v="1.1559999999999999"/>
    <n v="3"/>
    <n v="0"/>
    <n v="0"/>
    <n v="3"/>
    <n v="100"/>
    <n v="0"/>
    <n v="0"/>
    <s v="Consolidation"/>
    <s v="CO2e and Base Measure"/>
    <n v="100"/>
    <n v="100"/>
    <n v="1.1599999999999999"/>
    <m/>
    <m/>
    <m/>
    <m/>
    <m/>
    <n v="1.5027999999999999"/>
    <m/>
    <n v="1.5027999999999999"/>
    <m/>
    <m/>
    <m/>
    <m/>
    <m/>
    <s v="AUD"/>
    <s v="13634465Waste - General [t] - Scope 3"/>
    <n v="13634465"/>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4-01T00:00:00"/>
    <s v="FY21"/>
    <s v="t"/>
    <n v="0"/>
    <n v="0"/>
    <n v="0.72299999999999998"/>
    <n v="0.72299999999999998"/>
    <n v="0"/>
    <n v="0"/>
    <n v="30"/>
    <n v="30"/>
    <n v="0"/>
    <n v="0"/>
    <n v="100"/>
    <s v="Consolidation"/>
    <s v="CO2e and Base Measure"/>
    <n v="100"/>
    <n v="100"/>
    <n v="0.72"/>
    <m/>
    <m/>
    <m/>
    <m/>
    <m/>
    <n v="0.93989999999999996"/>
    <m/>
    <n v="0.93989999999999996"/>
    <m/>
    <m/>
    <m/>
    <m/>
    <m/>
    <s v="AUD"/>
    <s v="13634465Waste - General [t] - Scope 3"/>
    <n v="13634465"/>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5-01T00:00:00"/>
    <s v="FY21"/>
    <s v="t"/>
    <n v="0"/>
    <n v="0"/>
    <n v="0.74709999999999999"/>
    <n v="0.74709999999999999"/>
    <n v="0"/>
    <n v="0"/>
    <n v="31"/>
    <n v="31"/>
    <n v="0"/>
    <n v="0"/>
    <n v="100"/>
    <s v="Consolidation"/>
    <s v="CO2e and Base Measure"/>
    <n v="100"/>
    <n v="100"/>
    <n v="0.75"/>
    <m/>
    <m/>
    <m/>
    <m/>
    <m/>
    <n v="0.97119999999999995"/>
    <m/>
    <n v="0.97119999999999995"/>
    <m/>
    <m/>
    <m/>
    <m/>
    <m/>
    <s v="AUD"/>
    <s v="13634465Waste - General [t] - Scope 3"/>
    <n v="13634465"/>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1-01T00:00:00"/>
    <s v="FY21"/>
    <s v="t"/>
    <n v="0.129"/>
    <n v="0"/>
    <n v="0"/>
    <n v="0.129"/>
    <n v="1"/>
    <n v="0"/>
    <n v="0"/>
    <n v="1"/>
    <n v="100"/>
    <n v="0"/>
    <n v="0"/>
    <s v="Consolidation"/>
    <s v="CO2e and Base Measure"/>
    <n v="100"/>
    <n v="100"/>
    <n v="0.13"/>
    <m/>
    <m/>
    <m/>
    <m/>
    <m/>
    <m/>
    <m/>
    <m/>
    <m/>
    <m/>
    <m/>
    <m/>
    <m/>
    <s v="AUD"/>
    <s v="13634466Waste Recycled - Paper and Cardboard [t]"/>
    <n v="13634466"/>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2-01T00:00:00"/>
    <s v="FY21"/>
    <s v="t"/>
    <n v="8.7999999999999995E-2"/>
    <n v="0"/>
    <n v="0"/>
    <n v="8.7999999999999995E-2"/>
    <n v="2"/>
    <n v="0"/>
    <n v="0"/>
    <n v="2"/>
    <n v="100"/>
    <n v="0"/>
    <n v="0"/>
    <s v="Consolidation"/>
    <s v="CO2e and Base Measure"/>
    <n v="100"/>
    <n v="100"/>
    <n v="0.09"/>
    <m/>
    <m/>
    <m/>
    <m/>
    <m/>
    <m/>
    <m/>
    <m/>
    <m/>
    <m/>
    <m/>
    <m/>
    <m/>
    <s v="AUD"/>
    <s v="13634466Waste Recycled - Paper and Cardboard [t]"/>
    <n v="13634466"/>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3-01T00:00:00"/>
    <s v="FY21"/>
    <s v="t"/>
    <n v="0.25900000000000001"/>
    <n v="0"/>
    <n v="0"/>
    <n v="0.25900000000000001"/>
    <n v="3"/>
    <n v="0"/>
    <n v="0"/>
    <n v="3"/>
    <n v="100"/>
    <n v="0"/>
    <n v="0"/>
    <s v="Consolidation"/>
    <s v="CO2e and Base Measure"/>
    <n v="100"/>
    <n v="100"/>
    <n v="0.26"/>
    <m/>
    <m/>
    <m/>
    <m/>
    <m/>
    <m/>
    <m/>
    <m/>
    <m/>
    <m/>
    <m/>
    <m/>
    <m/>
    <s v="AUD"/>
    <s v="13634466Waste Recycled - Paper and Cardboard [t]"/>
    <n v="13634466"/>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4-01T00:00:00"/>
    <s v="FY21"/>
    <s v="t"/>
    <n v="0"/>
    <n v="0"/>
    <n v="0.159"/>
    <n v="0.159"/>
    <n v="0"/>
    <n v="0"/>
    <n v="30"/>
    <n v="30"/>
    <n v="0"/>
    <n v="0"/>
    <n v="100"/>
    <s v="Consolidation"/>
    <s v="CO2e and Base Measure"/>
    <n v="100"/>
    <n v="100"/>
    <n v="0.16"/>
    <m/>
    <m/>
    <m/>
    <m/>
    <m/>
    <m/>
    <m/>
    <m/>
    <m/>
    <m/>
    <m/>
    <m/>
    <m/>
    <s v="AUD"/>
    <s v="13634466Waste Recycled - Paper and Cardboard [t]"/>
    <n v="13634466"/>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5-01T00:00:00"/>
    <s v="FY21"/>
    <s v="t"/>
    <n v="0"/>
    <n v="0"/>
    <n v="0.1643"/>
    <n v="0.1643"/>
    <n v="0"/>
    <n v="0"/>
    <n v="31"/>
    <n v="31"/>
    <n v="0"/>
    <n v="0"/>
    <n v="100"/>
    <s v="Consolidation"/>
    <s v="CO2e and Base Measure"/>
    <n v="100"/>
    <n v="100"/>
    <n v="0.16"/>
    <m/>
    <m/>
    <m/>
    <m/>
    <m/>
    <m/>
    <m/>
    <m/>
    <m/>
    <m/>
    <m/>
    <m/>
    <m/>
    <s v="AUD"/>
    <s v="13634466Waste Recycled - Paper and Cardboard [t]"/>
    <n v="13634466"/>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07-01T00:00:00"/>
    <s v="FY21"/>
    <s v="t"/>
    <n v="0.14000000000000001"/>
    <n v="7.22E-2"/>
    <n v="0"/>
    <n v="0.2122"/>
    <n v="2"/>
    <n v="1"/>
    <n v="0"/>
    <n v="3"/>
    <n v="65.97"/>
    <n v="34.020000000000003"/>
    <n v="0"/>
    <s v="Consolidation"/>
    <s v="CO2e and Base Measure"/>
    <n v="100"/>
    <n v="100"/>
    <n v="0.21"/>
    <m/>
    <m/>
    <m/>
    <m/>
    <m/>
    <n v="0.27589999999999998"/>
    <m/>
    <n v="0.27589999999999998"/>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08-01T00:00:00"/>
    <s v="FY21"/>
    <s v="t"/>
    <n v="0.19400000000000001"/>
    <n v="0"/>
    <n v="0"/>
    <n v="0.19400000000000001"/>
    <n v="2"/>
    <n v="0"/>
    <n v="0"/>
    <n v="2"/>
    <n v="100"/>
    <n v="0"/>
    <n v="0"/>
    <s v="Consolidation"/>
    <s v="CO2e and Base Measure"/>
    <n v="100"/>
    <n v="100"/>
    <n v="0.19"/>
    <m/>
    <m/>
    <m/>
    <m/>
    <m/>
    <n v="0.25219999999999998"/>
    <m/>
    <n v="0.25219999999999998"/>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09-01T00:00:00"/>
    <s v="FY21"/>
    <s v="t"/>
    <n v="0"/>
    <n v="0.1444"/>
    <n v="0"/>
    <n v="0.1444"/>
    <n v="0"/>
    <n v="2"/>
    <n v="0"/>
    <n v="2"/>
    <n v="0"/>
    <n v="100"/>
    <n v="0"/>
    <s v="Consolidation"/>
    <s v="CO2e and Base Measure"/>
    <n v="100"/>
    <n v="100"/>
    <n v="0.14000000000000001"/>
    <m/>
    <m/>
    <m/>
    <m/>
    <m/>
    <n v="0.18770000000000001"/>
    <m/>
    <n v="0.18770000000000001"/>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10-01T00:00:00"/>
    <s v="FY21"/>
    <s v="t"/>
    <n v="7.3999999999999996E-2"/>
    <n v="0"/>
    <n v="0"/>
    <n v="7.3999999999999996E-2"/>
    <n v="2"/>
    <n v="0"/>
    <n v="0"/>
    <n v="2"/>
    <n v="100"/>
    <n v="0"/>
    <n v="0"/>
    <s v="Consolidation"/>
    <s v="CO2e and Base Measure"/>
    <n v="100"/>
    <n v="100"/>
    <n v="7.0000000000000007E-2"/>
    <m/>
    <m/>
    <m/>
    <m/>
    <m/>
    <n v="9.6199999999999994E-2"/>
    <m/>
    <n v="9.6199999999999994E-2"/>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11-01T00:00:00"/>
    <s v="FY21"/>
    <s v="t"/>
    <n v="0.14199999999999999"/>
    <n v="0"/>
    <n v="0"/>
    <n v="0.14199999999999999"/>
    <n v="2"/>
    <n v="0"/>
    <n v="0"/>
    <n v="2"/>
    <n v="100"/>
    <n v="0"/>
    <n v="0"/>
    <s v="Consolidation"/>
    <s v="CO2e and Base Measure"/>
    <n v="100"/>
    <n v="100"/>
    <n v="0.14000000000000001"/>
    <m/>
    <m/>
    <m/>
    <m/>
    <m/>
    <n v="0.18459999999999999"/>
    <m/>
    <n v="0.18459999999999999"/>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12-01T00:00:00"/>
    <s v="FY21"/>
    <s v="t"/>
    <n v="0"/>
    <n v="0"/>
    <n v="4.8999999999999998E-3"/>
    <n v="4.8999999999999998E-3"/>
    <n v="0"/>
    <n v="0"/>
    <n v="1"/>
    <n v="1"/>
    <n v="0"/>
    <n v="0"/>
    <n v="100"/>
    <s v="Consolidation"/>
    <s v="CO2e and Base Measure"/>
    <n v="100"/>
    <n v="100"/>
    <n v="0"/>
    <m/>
    <m/>
    <m/>
    <m/>
    <m/>
    <n v="6.4000000000000003E-3"/>
    <m/>
    <n v="6.4000000000000003E-3"/>
    <m/>
    <m/>
    <m/>
    <m/>
    <m/>
    <s v="AUD"/>
    <s v="13565391Waste - General [t] - Scope 3"/>
    <n v="13565391"/>
  </r>
  <r>
    <d v="2019-07-01T00:00:00"/>
    <d v="2021-06-30T00:00:00"/>
    <s v="Telstra"/>
    <s v="NETWORK"/>
    <s v="Network - InfraCo"/>
    <s v="WA"/>
    <s v="Australia"/>
    <s v="Perth"/>
    <s v="PERTH BULWER EXCHANGE"/>
    <n v="423030867300"/>
    <s v="Waste"/>
    <x v="1"/>
    <x v="2"/>
    <s v="Account"/>
    <s v="CLEANAWAY General"/>
    <m/>
    <s v="13086_Landfill_General"/>
    <s v="General"/>
    <s v="Cleanaway"/>
    <m/>
    <d v="2020-12-15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223Waste - General [t] - Scope 3"/>
    <n v="13634223"/>
  </r>
  <r>
    <d v="2019-07-01T00:00:00"/>
    <d v="2021-06-30T00:00:00"/>
    <s v="Telstra"/>
    <s v="NETWORK"/>
    <s v="Network - InfraCo"/>
    <s v="WA"/>
    <s v="Australia"/>
    <s v="Perth"/>
    <s v="PERTH BULWER EXCHANGE"/>
    <n v="423030867300"/>
    <s v="Waste"/>
    <x v="1"/>
    <x v="2"/>
    <s v="Account"/>
    <s v="CLEANAWAY General"/>
    <m/>
    <s v="13086_Landfill_General"/>
    <s v="General"/>
    <s v="Cleanaway"/>
    <m/>
    <d v="2020-12-15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223Waste - General [t] - Scope 3"/>
    <n v="13634223"/>
  </r>
  <r>
    <d v="2019-07-01T00:00:00"/>
    <d v="2021-06-30T00:00:00"/>
    <s v="Telstra"/>
    <s v="NETWORK"/>
    <s v="Network - InfraCo"/>
    <s v="WA"/>
    <s v="Australia"/>
    <s v="Perth"/>
    <s v="PERTH BULWER EXCHANGE"/>
    <n v="423030867300"/>
    <s v="Waste"/>
    <x v="1"/>
    <x v="2"/>
    <s v="Account"/>
    <s v="CLEANAWAY General"/>
    <m/>
    <s v="13086_Landfill_General"/>
    <s v="General"/>
    <s v="Cleanaway"/>
    <m/>
    <d v="2020-12-15T00:00:00"/>
    <m/>
    <d v="2021-04-01T00:00:00"/>
    <s v="FY21"/>
    <s v="t"/>
    <n v="0"/>
    <n v="0"/>
    <n v="2.4E-2"/>
    <n v="2.4E-2"/>
    <n v="0"/>
    <n v="0"/>
    <n v="30"/>
    <n v="30"/>
    <n v="0"/>
    <n v="0"/>
    <n v="100"/>
    <s v="Consolidation"/>
    <s v="CO2e and Base Measure"/>
    <n v="100"/>
    <n v="100"/>
    <n v="0.02"/>
    <m/>
    <m/>
    <m/>
    <m/>
    <m/>
    <n v="3.1199999999999999E-2"/>
    <m/>
    <n v="3.1199999999999999E-2"/>
    <m/>
    <m/>
    <m/>
    <m/>
    <m/>
    <s v="AUD"/>
    <s v="13634223Waste - General [t] - Scope 3"/>
    <n v="13634223"/>
  </r>
  <r>
    <d v="2019-07-01T00:00:00"/>
    <d v="2021-06-30T00:00:00"/>
    <s v="Telstra"/>
    <s v="NETWORK"/>
    <s v="Network - InfraCo"/>
    <s v="WA"/>
    <s v="Australia"/>
    <s v="Perth"/>
    <s v="PERTH BULWER EXCHANGE"/>
    <n v="423030867300"/>
    <s v="Waste"/>
    <x v="1"/>
    <x v="2"/>
    <s v="Account"/>
    <s v="CLEANAWAY General"/>
    <m/>
    <s v="13086_Landfill_General"/>
    <s v="General"/>
    <s v="Cleanaway"/>
    <m/>
    <d v="2020-12-15T00:00:00"/>
    <m/>
    <d v="2021-05-01T00:00:00"/>
    <s v="FY21"/>
    <s v="t"/>
    <n v="0"/>
    <n v="0"/>
    <n v="2.4799999999999999E-2"/>
    <n v="2.4799999999999999E-2"/>
    <n v="0"/>
    <n v="0"/>
    <n v="31"/>
    <n v="31"/>
    <n v="0"/>
    <n v="0"/>
    <n v="100"/>
    <s v="Consolidation"/>
    <s v="CO2e and Base Measure"/>
    <n v="100"/>
    <n v="100"/>
    <n v="0.02"/>
    <m/>
    <m/>
    <m/>
    <m/>
    <m/>
    <n v="3.2199999999999999E-2"/>
    <m/>
    <n v="3.2199999999999999E-2"/>
    <m/>
    <m/>
    <m/>
    <m/>
    <m/>
    <s v="AUD"/>
    <s v="13634223Waste - General [t] - Scope 3"/>
    <n v="13634223"/>
  </r>
  <r>
    <d v="2019-07-01T00:00:00"/>
    <d v="2021-06-30T00:00:00"/>
    <s v="Telstra"/>
    <s v="NETWORK"/>
    <s v="Network - InfraCo"/>
    <s v="NSW"/>
    <s v="Australia"/>
    <s v="Leichhardt"/>
    <s v="PETERSHAM EXCHANGE"/>
    <n v="423030291800"/>
    <s v="Waste"/>
    <x v="1"/>
    <x v="2"/>
    <s v="Account"/>
    <s v="Remondis General Waste"/>
    <m/>
    <s v="423030291800_WGENERALW"/>
    <s v="GENERAL WASTE"/>
    <s v="Remondis"/>
    <m/>
    <m/>
    <d v="2021-01-01T00:00:00"/>
    <d v="2020-12-01T00:00:00"/>
    <s v="FY21"/>
    <s v="t"/>
    <n v="0"/>
    <n v="0.12870000000000001"/>
    <n v="0"/>
    <n v="0.12870000000000001"/>
    <n v="0"/>
    <n v="1"/>
    <n v="0"/>
    <n v="1"/>
    <n v="0"/>
    <n v="100"/>
    <n v="0"/>
    <s v="Consolidation"/>
    <s v="CO2e and Base Measure"/>
    <n v="100"/>
    <n v="100"/>
    <n v="0.13"/>
    <m/>
    <m/>
    <m/>
    <m/>
    <m/>
    <n v="0.1673"/>
    <m/>
    <n v="0.1673"/>
    <m/>
    <m/>
    <m/>
    <m/>
    <m/>
    <s v="AUD"/>
    <s v="13564407Waste - General [t] - Scope 3"/>
    <n v="13564407"/>
  </r>
  <r>
    <d v="2019-07-01T00:00:00"/>
    <d v="2021-06-30T00:00:00"/>
    <s v="Telstra"/>
    <s v="NETWORK"/>
    <s v="Network - InfraCo"/>
    <s v="NSW"/>
    <s v="Australia"/>
    <s v="Leichhardt"/>
    <s v="PETERSHAM EXCHANGE"/>
    <n v="423030291800"/>
    <s v="Waste"/>
    <x v="1"/>
    <x v="2"/>
    <s v="Account"/>
    <s v="Remondis General Waste"/>
    <m/>
    <s v="423030291800_WGENERALW"/>
    <s v="GENERAL WASTE"/>
    <s v="Remondis"/>
    <m/>
    <m/>
    <d v="2021-01-01T00:00:00"/>
    <d v="2021-01-01T00:00:00"/>
    <s v="FY21"/>
    <s v="t"/>
    <n v="0"/>
    <n v="0"/>
    <n v="2.3999999999999998E-3"/>
    <n v="2.3999999999999998E-3"/>
    <n v="0"/>
    <n v="0"/>
    <n v="1"/>
    <n v="1"/>
    <n v="0"/>
    <n v="0"/>
    <n v="100"/>
    <s v="Consolidation"/>
    <s v="CO2e and Base Measure"/>
    <n v="100"/>
    <n v="100"/>
    <n v="0"/>
    <m/>
    <m/>
    <m/>
    <m/>
    <m/>
    <n v="3.0999999999999999E-3"/>
    <m/>
    <n v="3.0999999999999999E-3"/>
    <m/>
    <m/>
    <m/>
    <m/>
    <m/>
    <s v="AUD"/>
    <s v="13564407Waste - General [t] - Scope 3"/>
    <n v="13564407"/>
  </r>
  <r>
    <d v="2019-07-01T00:00:00"/>
    <d v="2021-06-30T00:00:00"/>
    <s v="Telstra"/>
    <s v="NETWORK"/>
    <s v="Network - InfraCo"/>
    <s v="NSW"/>
    <s v="Australia"/>
    <s v="Leichhardt"/>
    <s v="PETERSHAM EXCHANGE"/>
    <n v="423030291800"/>
    <s v="Waste"/>
    <x v="1"/>
    <x v="2"/>
    <s v="Account"/>
    <s v="CLEANAWAY General"/>
    <m/>
    <s v="44114_Landfill_General"/>
    <s v="General"/>
    <s v="Cleanaway"/>
    <m/>
    <d v="2021-02-18T00:00:00"/>
    <m/>
    <d v="2021-02-01T00:00:00"/>
    <s v="FY21"/>
    <s v="t"/>
    <n v="0"/>
    <n v="0.19800000000000001"/>
    <n v="0"/>
    <n v="0.19800000000000001"/>
    <n v="0"/>
    <n v="2"/>
    <n v="0"/>
    <n v="2"/>
    <n v="0"/>
    <n v="100"/>
    <n v="0"/>
    <s v="Consolidation"/>
    <s v="CO2e and Base Measure"/>
    <n v="100"/>
    <n v="100"/>
    <n v="0.2"/>
    <m/>
    <m/>
    <m/>
    <m/>
    <m/>
    <n v="0.25740000000000002"/>
    <m/>
    <n v="0.25740000000000002"/>
    <m/>
    <m/>
    <m/>
    <m/>
    <m/>
    <s v="AUD"/>
    <s v="13639911Waste - General [t] - Scope 3"/>
    <n v="13639911"/>
  </r>
  <r>
    <d v="2019-07-01T00:00:00"/>
    <d v="2021-06-30T00:00:00"/>
    <s v="Telstra"/>
    <s v="NETWORK"/>
    <s v="Network - InfraCo"/>
    <s v="NSW"/>
    <s v="Australia"/>
    <s v="Leichhardt"/>
    <s v="PETERSHAM EXCHANGE"/>
    <n v="423030291800"/>
    <s v="Waste"/>
    <x v="1"/>
    <x v="2"/>
    <s v="Account"/>
    <s v="CLEANAWAY General"/>
    <m/>
    <s v="44114_Landfill_General"/>
    <s v="General"/>
    <s v="Cleanaway"/>
    <m/>
    <d v="2021-02-18T00:00:00"/>
    <m/>
    <d v="2021-03-01T00:00:00"/>
    <s v="FY21"/>
    <s v="t"/>
    <n v="0"/>
    <n v="0.19800000000000001"/>
    <n v="0"/>
    <n v="0.19800000000000001"/>
    <n v="0"/>
    <n v="3"/>
    <n v="0"/>
    <n v="3"/>
    <n v="0"/>
    <n v="100"/>
    <n v="0"/>
    <s v="Consolidation"/>
    <s v="CO2e and Base Measure"/>
    <n v="100"/>
    <n v="100"/>
    <n v="0.2"/>
    <m/>
    <m/>
    <m/>
    <m/>
    <m/>
    <n v="0.25740000000000002"/>
    <m/>
    <n v="0.25740000000000002"/>
    <m/>
    <m/>
    <m/>
    <m/>
    <m/>
    <s v="AUD"/>
    <s v="13639911Waste - General [t] - Scope 3"/>
    <n v="13639911"/>
  </r>
  <r>
    <d v="2019-07-01T00:00:00"/>
    <d v="2021-06-30T00:00:00"/>
    <s v="Telstra"/>
    <s v="NETWORK"/>
    <s v="Network - InfraCo"/>
    <s v="NSW"/>
    <s v="Australia"/>
    <s v="Leichhardt"/>
    <s v="PETERSHAM EXCHANGE"/>
    <n v="423030291800"/>
    <s v="Waste"/>
    <x v="1"/>
    <x v="2"/>
    <s v="Account"/>
    <s v="CLEANAWAY General"/>
    <m/>
    <s v="44114_Landfill_General"/>
    <s v="General"/>
    <s v="Cleanaway"/>
    <m/>
    <d v="2021-02-18T00:00:00"/>
    <m/>
    <d v="2021-04-01T00:00:00"/>
    <s v="FY21"/>
    <s v="t"/>
    <n v="0"/>
    <n v="0"/>
    <n v="0.20399999999999999"/>
    <n v="0.20399999999999999"/>
    <n v="0"/>
    <n v="0"/>
    <n v="30"/>
    <n v="30"/>
    <n v="0"/>
    <n v="0"/>
    <n v="100"/>
    <s v="Consolidation"/>
    <s v="CO2e and Base Measure"/>
    <n v="100"/>
    <n v="100"/>
    <n v="0.2"/>
    <m/>
    <m/>
    <m/>
    <m/>
    <m/>
    <n v="0.26519999999999999"/>
    <m/>
    <n v="0.26519999999999999"/>
    <m/>
    <m/>
    <m/>
    <m/>
    <m/>
    <s v="AUD"/>
    <s v="13639911Waste - General [t] - Scope 3"/>
    <n v="13639911"/>
  </r>
  <r>
    <d v="2019-07-01T00:00:00"/>
    <d v="2021-06-30T00:00:00"/>
    <s v="Telstra"/>
    <s v="NETWORK"/>
    <s v="Network - InfraCo"/>
    <s v="NSW"/>
    <s v="Australia"/>
    <s v="Leichhardt"/>
    <s v="PETERSHAM EXCHANGE"/>
    <n v="423030291800"/>
    <s v="Waste"/>
    <x v="1"/>
    <x v="2"/>
    <s v="Account"/>
    <s v="CLEANAWAY General"/>
    <m/>
    <s v="44114_Landfill_General"/>
    <s v="General"/>
    <s v="Cleanaway"/>
    <m/>
    <d v="2021-02-18T00:00:00"/>
    <m/>
    <d v="2021-05-01T00:00:00"/>
    <s v="FY21"/>
    <s v="t"/>
    <n v="0"/>
    <n v="0"/>
    <n v="0.21079999999999999"/>
    <n v="0.21079999999999999"/>
    <n v="0"/>
    <n v="0"/>
    <n v="31"/>
    <n v="31"/>
    <n v="0"/>
    <n v="0"/>
    <n v="100"/>
    <s v="Consolidation"/>
    <s v="CO2e and Base Measure"/>
    <n v="100"/>
    <n v="100"/>
    <n v="0.21"/>
    <m/>
    <m/>
    <m/>
    <m/>
    <m/>
    <n v="0.27400000000000002"/>
    <m/>
    <n v="0.27400000000000002"/>
    <m/>
    <m/>
    <m/>
    <m/>
    <m/>
    <s v="AUD"/>
    <s v="13639911Waste - General [t] - Scope 3"/>
    <n v="13639911"/>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07-01T00:00:00"/>
    <s v="FY21"/>
    <s v="t"/>
    <n v="0.41"/>
    <n v="0"/>
    <n v="0"/>
    <n v="0.41"/>
    <n v="5"/>
    <n v="0"/>
    <n v="0"/>
    <n v="5"/>
    <n v="100"/>
    <n v="0"/>
    <n v="0"/>
    <s v="Consolidation"/>
    <s v="CO2e and Base Measure"/>
    <n v="100"/>
    <n v="100"/>
    <n v="0.41"/>
    <m/>
    <m/>
    <m/>
    <m/>
    <m/>
    <n v="0.53300000000000003"/>
    <m/>
    <n v="0.53300000000000003"/>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08-01T00:00:00"/>
    <s v="FY21"/>
    <s v="t"/>
    <n v="0.34"/>
    <n v="0"/>
    <n v="0"/>
    <n v="0.34"/>
    <n v="2"/>
    <n v="0"/>
    <n v="0"/>
    <n v="2"/>
    <n v="100"/>
    <n v="0"/>
    <n v="0"/>
    <s v="Consolidation"/>
    <s v="CO2e and Base Measure"/>
    <n v="100"/>
    <n v="100"/>
    <n v="0.34"/>
    <m/>
    <m/>
    <m/>
    <m/>
    <m/>
    <n v="0.442"/>
    <m/>
    <n v="0.442"/>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09-01T00:00:00"/>
    <s v="FY21"/>
    <s v="t"/>
    <n v="0.43"/>
    <n v="0"/>
    <n v="0"/>
    <n v="0.43"/>
    <n v="4"/>
    <n v="0"/>
    <n v="0"/>
    <n v="4"/>
    <n v="100"/>
    <n v="0"/>
    <n v="0"/>
    <s v="Consolidation"/>
    <s v="CO2e and Base Measure"/>
    <n v="100"/>
    <n v="100"/>
    <n v="0.43"/>
    <m/>
    <m/>
    <m/>
    <m/>
    <m/>
    <n v="0.55900000000000005"/>
    <m/>
    <n v="0.55900000000000005"/>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10-01T00:00:00"/>
    <s v="FY21"/>
    <s v="t"/>
    <n v="0.49"/>
    <n v="0"/>
    <n v="0"/>
    <n v="0.49"/>
    <n v="5"/>
    <n v="0"/>
    <n v="0"/>
    <n v="5"/>
    <n v="100"/>
    <n v="0"/>
    <n v="0"/>
    <s v="Consolidation"/>
    <s v="CO2e and Base Measure"/>
    <n v="100"/>
    <n v="100"/>
    <n v="0.49"/>
    <m/>
    <m/>
    <m/>
    <m/>
    <m/>
    <n v="0.63700000000000001"/>
    <m/>
    <n v="0.63700000000000001"/>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11-01T00:00:00"/>
    <s v="FY21"/>
    <s v="t"/>
    <n v="0.18"/>
    <n v="0"/>
    <n v="0"/>
    <n v="0.18"/>
    <n v="4"/>
    <n v="0"/>
    <n v="0"/>
    <n v="4"/>
    <n v="100"/>
    <n v="0"/>
    <n v="0"/>
    <s v="Consolidation"/>
    <s v="CO2e and Base Measure"/>
    <n v="100"/>
    <n v="100"/>
    <n v="0.18"/>
    <m/>
    <m/>
    <m/>
    <m/>
    <m/>
    <n v="0.23400000000000001"/>
    <m/>
    <n v="0.23400000000000001"/>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12-01T00:00:00"/>
    <s v="FY21"/>
    <s v="t"/>
    <n v="0.06"/>
    <n v="0.32500000000000001"/>
    <n v="0"/>
    <n v="0.38500000000000001"/>
    <n v="1"/>
    <n v="2"/>
    <n v="0"/>
    <n v="3"/>
    <n v="15.58"/>
    <n v="84.41"/>
    <n v="0"/>
    <s v="Consolidation"/>
    <s v="CO2e and Base Measure"/>
    <n v="100"/>
    <n v="100"/>
    <n v="0.39"/>
    <m/>
    <m/>
    <m/>
    <m/>
    <m/>
    <n v="0.50049999999999994"/>
    <m/>
    <n v="0.50049999999999994"/>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1-01-01T00:00:00"/>
    <s v="FY21"/>
    <s v="t"/>
    <n v="0"/>
    <n v="0"/>
    <n v="1.17E-2"/>
    <n v="1.17E-2"/>
    <n v="0"/>
    <n v="0"/>
    <n v="1"/>
    <n v="1"/>
    <n v="0"/>
    <n v="0"/>
    <n v="100"/>
    <s v="Consolidation"/>
    <s v="CO2e and Base Measure"/>
    <n v="100"/>
    <n v="100"/>
    <n v="0.01"/>
    <m/>
    <m/>
    <m/>
    <m/>
    <m/>
    <n v="1.52E-2"/>
    <m/>
    <n v="1.52E-2"/>
    <m/>
    <m/>
    <m/>
    <m/>
    <m/>
    <s v="AUD"/>
    <s v="13564268Waste - General [t] - Scope 3"/>
    <n v="13564268"/>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0-12-01T00:00:00"/>
    <s v="FY21"/>
    <s v="t"/>
    <n v="0.44500000000000001"/>
    <n v="0"/>
    <n v="0"/>
    <n v="0.44500000000000001"/>
    <n v="4"/>
    <n v="0"/>
    <n v="0"/>
    <n v="4"/>
    <n v="100"/>
    <n v="0"/>
    <n v="0"/>
    <s v="Consolidation"/>
    <s v="CO2e and Base Measure"/>
    <n v="100"/>
    <n v="100"/>
    <n v="0.45"/>
    <m/>
    <m/>
    <m/>
    <m/>
    <m/>
    <n v="0.57850000000000001"/>
    <m/>
    <n v="0.57850000000000001"/>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1-01T00:00:00"/>
    <s v="FY21"/>
    <s v="t"/>
    <n v="0.73099999999999998"/>
    <n v="0"/>
    <n v="0"/>
    <n v="0.73099999999999998"/>
    <n v="4"/>
    <n v="0"/>
    <n v="0"/>
    <n v="4"/>
    <n v="100"/>
    <n v="0"/>
    <n v="0"/>
    <s v="Consolidation"/>
    <s v="CO2e and Base Measure"/>
    <n v="100"/>
    <n v="100"/>
    <n v="0.73"/>
    <m/>
    <m/>
    <m/>
    <m/>
    <m/>
    <n v="0.95030000000000003"/>
    <m/>
    <n v="0.95030000000000003"/>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2-01T00:00:00"/>
    <s v="FY21"/>
    <s v="t"/>
    <n v="0.28299999999999997"/>
    <n v="0"/>
    <n v="0"/>
    <n v="0.28299999999999997"/>
    <n v="4"/>
    <n v="0"/>
    <n v="0"/>
    <n v="4"/>
    <n v="100"/>
    <n v="0"/>
    <n v="0"/>
    <s v="Consolidation"/>
    <s v="CO2e and Base Measure"/>
    <n v="100"/>
    <n v="100"/>
    <n v="0.28000000000000003"/>
    <m/>
    <m/>
    <m/>
    <m/>
    <m/>
    <n v="0.3679"/>
    <m/>
    <n v="0.3679"/>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3-01T00:00:00"/>
    <s v="FY21"/>
    <s v="t"/>
    <n v="0.34899999999999998"/>
    <n v="0"/>
    <n v="0"/>
    <n v="0.34899999999999998"/>
    <n v="4"/>
    <n v="0"/>
    <n v="0"/>
    <n v="4"/>
    <n v="100"/>
    <n v="0"/>
    <n v="0"/>
    <s v="Consolidation"/>
    <s v="CO2e and Base Measure"/>
    <n v="100"/>
    <n v="100"/>
    <n v="0.35"/>
    <m/>
    <m/>
    <m/>
    <m/>
    <m/>
    <n v="0.45369999999999999"/>
    <m/>
    <n v="0.45369999999999999"/>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4-01T00:00:00"/>
    <s v="FY21"/>
    <s v="t"/>
    <n v="0"/>
    <n v="0"/>
    <n v="0.45300000000000001"/>
    <n v="0.45300000000000001"/>
    <n v="0"/>
    <n v="0"/>
    <n v="30"/>
    <n v="30"/>
    <n v="0"/>
    <n v="0"/>
    <n v="100"/>
    <s v="Consolidation"/>
    <s v="CO2e and Base Measure"/>
    <n v="100"/>
    <n v="100"/>
    <n v="0.45"/>
    <m/>
    <m/>
    <m/>
    <m/>
    <m/>
    <n v="0.58889999999999998"/>
    <m/>
    <n v="0.58889999999999998"/>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5-01T00:00:00"/>
    <s v="FY21"/>
    <s v="t"/>
    <n v="0"/>
    <n v="0"/>
    <n v="0.46810000000000002"/>
    <n v="0.46810000000000002"/>
    <n v="0"/>
    <n v="0"/>
    <n v="31"/>
    <n v="31"/>
    <n v="0"/>
    <n v="0"/>
    <n v="100"/>
    <s v="Consolidation"/>
    <s v="CO2e and Base Measure"/>
    <n v="100"/>
    <n v="100"/>
    <n v="0.47"/>
    <m/>
    <m/>
    <m/>
    <m/>
    <m/>
    <n v="0.60850000000000004"/>
    <m/>
    <n v="0.60850000000000004"/>
    <m/>
    <m/>
    <m/>
    <m/>
    <m/>
    <s v="AUD"/>
    <s v="13634226Waste - General [t] - Scope 3"/>
    <n v="13634226"/>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07-01T00:00:00"/>
    <s v="FY21"/>
    <s v="t"/>
    <n v="0.22"/>
    <n v="0.12"/>
    <n v="0"/>
    <n v="0.34"/>
    <n v="1"/>
    <n v="1"/>
    <n v="0"/>
    <n v="2"/>
    <n v="64.7"/>
    <n v="35.29"/>
    <n v="0"/>
    <s v="Consolidation"/>
    <s v="CO2e and Base Measure"/>
    <n v="100"/>
    <n v="100"/>
    <n v="0.34"/>
    <m/>
    <m/>
    <m/>
    <m/>
    <m/>
    <n v="0.40799999999999997"/>
    <m/>
    <n v="0.40799999999999997"/>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09-01T00:00:00"/>
    <s v="FY21"/>
    <s v="t"/>
    <n v="0.1"/>
    <n v="0.12"/>
    <n v="0"/>
    <n v="0.22"/>
    <n v="1"/>
    <n v="1"/>
    <n v="0"/>
    <n v="2"/>
    <n v="45.45"/>
    <n v="54.54"/>
    <n v="0"/>
    <s v="Consolidation"/>
    <s v="CO2e and Base Measure"/>
    <n v="100"/>
    <n v="100"/>
    <n v="0.22"/>
    <m/>
    <m/>
    <m/>
    <m/>
    <m/>
    <n v="0.26400000000000001"/>
    <m/>
    <n v="0.26400000000000001"/>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10-01T00:00:00"/>
    <s v="FY21"/>
    <s v="t"/>
    <n v="0.12"/>
    <n v="0.24"/>
    <n v="0"/>
    <n v="0.36"/>
    <n v="1"/>
    <n v="1"/>
    <n v="0"/>
    <n v="2"/>
    <n v="33.33"/>
    <n v="66.66"/>
    <n v="0"/>
    <s v="Consolidation"/>
    <s v="CO2e and Base Measure"/>
    <n v="100"/>
    <n v="100"/>
    <n v="0.36"/>
    <m/>
    <m/>
    <m/>
    <m/>
    <m/>
    <n v="0.432"/>
    <m/>
    <n v="0.432"/>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11-01T00:00:00"/>
    <s v="FY21"/>
    <s v="t"/>
    <n v="0.22"/>
    <n v="0.12"/>
    <n v="0"/>
    <n v="0.34"/>
    <n v="1"/>
    <n v="1"/>
    <n v="0"/>
    <n v="2"/>
    <n v="64.7"/>
    <n v="35.29"/>
    <n v="0"/>
    <s v="Consolidation"/>
    <s v="CO2e and Base Measure"/>
    <n v="100"/>
    <n v="100"/>
    <n v="0.34"/>
    <m/>
    <m/>
    <m/>
    <m/>
    <m/>
    <n v="0.40799999999999997"/>
    <m/>
    <n v="0.40799999999999997"/>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12-01T00:00:00"/>
    <s v="FY21"/>
    <s v="t"/>
    <n v="0"/>
    <n v="0.12"/>
    <n v="0"/>
    <n v="0.12"/>
    <n v="0"/>
    <n v="1"/>
    <n v="0"/>
    <n v="1"/>
    <n v="0"/>
    <n v="100"/>
    <n v="0"/>
    <s v="Consolidation"/>
    <s v="CO2e and Base Measure"/>
    <n v="100"/>
    <n v="100"/>
    <n v="0.12"/>
    <m/>
    <m/>
    <m/>
    <m/>
    <m/>
    <n v="0.14399999999999999"/>
    <m/>
    <n v="0.14399999999999999"/>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1-01-01T00:00:00"/>
    <s v="FY21"/>
    <s v="t"/>
    <n v="0"/>
    <n v="0"/>
    <n v="8.3000000000000001E-3"/>
    <n v="8.3000000000000001E-3"/>
    <n v="0"/>
    <n v="0"/>
    <n v="1"/>
    <n v="1"/>
    <n v="0"/>
    <n v="0"/>
    <n v="100"/>
    <s v="Consolidation"/>
    <s v="CO2e and Base Measure"/>
    <n v="100"/>
    <n v="100"/>
    <n v="0.01"/>
    <m/>
    <m/>
    <m/>
    <m/>
    <m/>
    <n v="0.01"/>
    <m/>
    <n v="0.01"/>
    <m/>
    <m/>
    <m/>
    <m/>
    <m/>
    <s v="AUD"/>
    <s v="13564269Waste - Construction and Demolition [t]"/>
    <n v="13564269"/>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07-01T00:00:00"/>
    <s v="FY21"/>
    <s v="t"/>
    <n v="0"/>
    <n v="0.65"/>
    <n v="0"/>
    <n v="0.65"/>
    <n v="0"/>
    <n v="5"/>
    <n v="0"/>
    <n v="5"/>
    <n v="0"/>
    <n v="100"/>
    <n v="0"/>
    <s v="Consolidation"/>
    <s v="CO2e and Base Measure"/>
    <n v="100"/>
    <n v="100"/>
    <n v="0.65"/>
    <m/>
    <m/>
    <m/>
    <m/>
    <m/>
    <n v="0.84499999999999997"/>
    <m/>
    <n v="0.84499999999999997"/>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08-01T00:00:00"/>
    <s v="FY21"/>
    <s v="t"/>
    <n v="0"/>
    <n v="0.52"/>
    <n v="0"/>
    <n v="0.52"/>
    <n v="0"/>
    <n v="4"/>
    <n v="0"/>
    <n v="4"/>
    <n v="0"/>
    <n v="100"/>
    <n v="0"/>
    <s v="Consolidation"/>
    <s v="CO2e and Base Measure"/>
    <n v="100"/>
    <n v="100"/>
    <n v="0.52"/>
    <m/>
    <m/>
    <m/>
    <m/>
    <m/>
    <n v="0.67600000000000005"/>
    <m/>
    <n v="0.67600000000000005"/>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09-01T00:00:00"/>
    <s v="FY21"/>
    <s v="t"/>
    <n v="0"/>
    <n v="0.65"/>
    <n v="0"/>
    <n v="0.65"/>
    <n v="0"/>
    <n v="5"/>
    <n v="0"/>
    <n v="5"/>
    <n v="0"/>
    <n v="100"/>
    <n v="0"/>
    <s v="Consolidation"/>
    <s v="CO2e and Base Measure"/>
    <n v="100"/>
    <n v="100"/>
    <n v="0.65"/>
    <m/>
    <m/>
    <m/>
    <m/>
    <m/>
    <n v="0.84499999999999997"/>
    <m/>
    <n v="0.84499999999999997"/>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10-01T00:00:00"/>
    <s v="FY21"/>
    <s v="t"/>
    <n v="0"/>
    <n v="0.52"/>
    <n v="0"/>
    <n v="0.52"/>
    <n v="0"/>
    <n v="4"/>
    <n v="0"/>
    <n v="4"/>
    <n v="0"/>
    <n v="100"/>
    <n v="0"/>
    <s v="Consolidation"/>
    <s v="CO2e and Base Measure"/>
    <n v="100"/>
    <n v="100"/>
    <n v="0.52"/>
    <m/>
    <m/>
    <m/>
    <m/>
    <m/>
    <n v="0.67600000000000005"/>
    <m/>
    <n v="0.67600000000000005"/>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11-01T00:00:00"/>
    <s v="FY21"/>
    <s v="t"/>
    <n v="0"/>
    <n v="0.52"/>
    <n v="0"/>
    <n v="0.52"/>
    <n v="0"/>
    <n v="4"/>
    <n v="0"/>
    <n v="4"/>
    <n v="0"/>
    <n v="100"/>
    <n v="0"/>
    <s v="Consolidation"/>
    <s v="CO2e and Base Measure"/>
    <n v="100"/>
    <n v="100"/>
    <n v="0.52"/>
    <m/>
    <m/>
    <m/>
    <m/>
    <m/>
    <n v="0.67600000000000005"/>
    <m/>
    <n v="0.67600000000000005"/>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12-01T00:00:00"/>
    <s v="FY21"/>
    <s v="t"/>
    <n v="0"/>
    <n v="0.26"/>
    <n v="0"/>
    <n v="0.26"/>
    <n v="0"/>
    <n v="2"/>
    <n v="0"/>
    <n v="2"/>
    <n v="0"/>
    <n v="100"/>
    <n v="0"/>
    <s v="Consolidation"/>
    <s v="CO2e and Base Measure"/>
    <n v="100"/>
    <n v="100"/>
    <n v="0.26"/>
    <m/>
    <m/>
    <m/>
    <m/>
    <m/>
    <n v="0.33800000000000002"/>
    <m/>
    <n v="0.33800000000000002"/>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1-01-01T00:00:00"/>
    <s v="FY21"/>
    <s v="t"/>
    <n v="0"/>
    <n v="0"/>
    <n v="1.7100000000000001E-2"/>
    <n v="1.7100000000000001E-2"/>
    <n v="0"/>
    <n v="0"/>
    <n v="1"/>
    <n v="1"/>
    <n v="0"/>
    <n v="0"/>
    <n v="100"/>
    <s v="Consolidation"/>
    <s v="CO2e and Base Measure"/>
    <n v="100"/>
    <n v="100"/>
    <n v="0.02"/>
    <m/>
    <m/>
    <m/>
    <m/>
    <m/>
    <n v="2.2200000000000001E-2"/>
    <m/>
    <n v="2.2200000000000001E-2"/>
    <m/>
    <m/>
    <m/>
    <m/>
    <m/>
    <s v="AUD"/>
    <s v="13564270Waste - General [t] - Scope 3"/>
    <n v="13564270"/>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07-01T00:00:00"/>
    <s v="FY21"/>
    <s v="t"/>
    <n v="2.7E-2"/>
    <n v="0"/>
    <n v="0"/>
    <n v="2.7E-2"/>
    <n v="1"/>
    <n v="0"/>
    <n v="0"/>
    <n v="1"/>
    <n v="100"/>
    <n v="0"/>
    <n v="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09-01T00:00:00"/>
    <s v="FY21"/>
    <s v="t"/>
    <n v="0"/>
    <n v="0"/>
    <n v="2.7E-2"/>
    <n v="2.7E-2"/>
    <n v="0"/>
    <n v="0"/>
    <n v="30"/>
    <n v="30"/>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11-01T00:00:00"/>
    <s v="FY21"/>
    <s v="t"/>
    <n v="0"/>
    <n v="0"/>
    <n v="2.7E-2"/>
    <n v="2.7E-2"/>
    <n v="0"/>
    <n v="0"/>
    <n v="30"/>
    <n v="30"/>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2-01T00:00:00"/>
    <s v="FY21"/>
    <s v="t"/>
    <n v="0"/>
    <n v="0"/>
    <n v="2.52E-2"/>
    <n v="2.52E-2"/>
    <n v="0"/>
    <n v="0"/>
    <n v="28"/>
    <n v="28"/>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4-01T00:00:00"/>
    <s v="FY21"/>
    <s v="t"/>
    <n v="0"/>
    <n v="0"/>
    <n v="2.7E-2"/>
    <n v="2.7E-2"/>
    <n v="0"/>
    <n v="0"/>
    <n v="30"/>
    <n v="30"/>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0-12-01T00:00:00"/>
    <s v="FY21"/>
    <s v="t"/>
    <n v="0.1"/>
    <n v="0"/>
    <n v="0"/>
    <n v="0.1"/>
    <n v="2"/>
    <n v="0"/>
    <n v="0"/>
    <n v="2"/>
    <n v="100"/>
    <n v="0"/>
    <n v="0"/>
    <s v="Consolidation"/>
    <s v="CO2e and Base Measure"/>
    <n v="100"/>
    <n v="100"/>
    <n v="0.1"/>
    <m/>
    <m/>
    <m/>
    <m/>
    <m/>
    <n v="0.13"/>
    <m/>
    <n v="0.13"/>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1-01T00:00:00"/>
    <s v="FY21"/>
    <s v="t"/>
    <n v="0.3"/>
    <n v="0"/>
    <n v="0"/>
    <n v="0.3"/>
    <n v="4"/>
    <n v="0"/>
    <n v="0"/>
    <n v="4"/>
    <n v="100"/>
    <n v="0"/>
    <n v="0"/>
    <s v="Consolidation"/>
    <s v="CO2e and Base Measure"/>
    <n v="100"/>
    <n v="100"/>
    <n v="0.3"/>
    <m/>
    <m/>
    <m/>
    <m/>
    <m/>
    <n v="0.39"/>
    <m/>
    <n v="0.39"/>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2-01T00:00:00"/>
    <s v="FY21"/>
    <s v="t"/>
    <n v="0.28000000000000003"/>
    <n v="0"/>
    <n v="0"/>
    <n v="0.28000000000000003"/>
    <n v="4"/>
    <n v="0"/>
    <n v="0"/>
    <n v="4"/>
    <n v="100"/>
    <n v="0"/>
    <n v="0"/>
    <s v="Consolidation"/>
    <s v="CO2e and Base Measure"/>
    <n v="100"/>
    <n v="100"/>
    <n v="0.28000000000000003"/>
    <m/>
    <m/>
    <m/>
    <m/>
    <m/>
    <n v="0.36399999999999999"/>
    <m/>
    <n v="0.36399999999999999"/>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3-01T00:00:00"/>
    <s v="FY21"/>
    <s v="t"/>
    <n v="0.4"/>
    <n v="0"/>
    <n v="0"/>
    <n v="0.4"/>
    <n v="5"/>
    <n v="0"/>
    <n v="0"/>
    <n v="5"/>
    <n v="100"/>
    <n v="0"/>
    <n v="0"/>
    <s v="Consolidation"/>
    <s v="CO2e and Base Measure"/>
    <n v="100"/>
    <n v="100"/>
    <n v="0.4"/>
    <m/>
    <m/>
    <m/>
    <m/>
    <m/>
    <n v="0.52"/>
    <m/>
    <n v="0.52"/>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4-01T00:00:00"/>
    <s v="FY21"/>
    <s v="t"/>
    <n v="0"/>
    <n v="0"/>
    <n v="0.27"/>
    <n v="0.27"/>
    <n v="0"/>
    <n v="0"/>
    <n v="30"/>
    <n v="30"/>
    <n v="0"/>
    <n v="0"/>
    <n v="100"/>
    <s v="Consolidation"/>
    <s v="CO2e and Base Measure"/>
    <n v="100"/>
    <n v="100"/>
    <n v="0.27"/>
    <m/>
    <m/>
    <m/>
    <m/>
    <m/>
    <n v="0.35099999999999998"/>
    <m/>
    <n v="0.35099999999999998"/>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5-01T00:00:00"/>
    <s v="FY21"/>
    <s v="t"/>
    <n v="0"/>
    <n v="0"/>
    <n v="0.27900000000000003"/>
    <n v="0.27900000000000003"/>
    <n v="0"/>
    <n v="0"/>
    <n v="31"/>
    <n v="31"/>
    <n v="0"/>
    <n v="0"/>
    <n v="100"/>
    <s v="Consolidation"/>
    <s v="CO2e and Base Measure"/>
    <n v="100"/>
    <n v="100"/>
    <n v="0.28000000000000003"/>
    <m/>
    <m/>
    <m/>
    <m/>
    <m/>
    <n v="0.36270000000000002"/>
    <m/>
    <n v="0.36270000000000002"/>
    <m/>
    <m/>
    <m/>
    <m/>
    <m/>
    <s v="AUD"/>
    <s v="13634227Waste - General [t] - Scope 3"/>
    <n v="13634227"/>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0-12-01T00:00:00"/>
    <s v="FY21"/>
    <s v="t"/>
    <n v="0"/>
    <n v="3.7499999999999999E-2"/>
    <n v="0"/>
    <n v="3.7499999999999999E-2"/>
    <n v="0"/>
    <n v="1"/>
    <n v="0"/>
    <n v="1"/>
    <n v="0"/>
    <n v="100"/>
    <n v="0"/>
    <s v="Consolidation"/>
    <s v="CO2e and Base Measure"/>
    <n v="100"/>
    <n v="100"/>
    <n v="0.04"/>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1-01T00:00:00"/>
    <s v="FY21"/>
    <s v="t"/>
    <n v="5.3999999999999999E-2"/>
    <n v="0"/>
    <n v="0"/>
    <n v="5.3999999999999999E-2"/>
    <n v="1"/>
    <n v="0"/>
    <n v="0"/>
    <n v="1"/>
    <n v="100"/>
    <n v="0"/>
    <n v="0"/>
    <s v="Consolidation"/>
    <s v="CO2e and Base Measure"/>
    <n v="100"/>
    <n v="100"/>
    <n v="0.05"/>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2-01T00:00:00"/>
    <s v="FY21"/>
    <s v="t"/>
    <n v="0"/>
    <n v="7.4999999999999997E-2"/>
    <n v="0"/>
    <n v="7.4999999999999997E-2"/>
    <n v="0"/>
    <n v="2"/>
    <n v="0"/>
    <n v="2"/>
    <n v="0"/>
    <n v="100"/>
    <n v="0"/>
    <s v="Consolidation"/>
    <s v="CO2e and Base Measure"/>
    <n v="100"/>
    <n v="100"/>
    <n v="0.08"/>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3-01T00:00:00"/>
    <s v="FY21"/>
    <s v="t"/>
    <n v="0"/>
    <n v="0.1125"/>
    <n v="0"/>
    <n v="0.1125"/>
    <n v="0"/>
    <n v="3"/>
    <n v="0"/>
    <n v="3"/>
    <n v="0"/>
    <n v="100"/>
    <n v="0"/>
    <s v="Consolidation"/>
    <s v="CO2e and Base Measure"/>
    <n v="100"/>
    <n v="100"/>
    <n v="0.11"/>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4-01T00:00:00"/>
    <s v="FY21"/>
    <s v="t"/>
    <n v="0"/>
    <n v="0"/>
    <n v="6.9000000000000006E-2"/>
    <n v="6.9000000000000006E-2"/>
    <n v="0"/>
    <n v="0"/>
    <n v="30"/>
    <n v="30"/>
    <n v="0"/>
    <n v="0"/>
    <n v="100"/>
    <s v="Consolidation"/>
    <s v="CO2e and Base Measure"/>
    <n v="100"/>
    <n v="100"/>
    <n v="7.0000000000000007E-2"/>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5-01T00:00:00"/>
    <s v="FY21"/>
    <s v="t"/>
    <n v="0"/>
    <n v="0"/>
    <n v="7.1300000000000002E-2"/>
    <n v="7.1300000000000002E-2"/>
    <n v="0"/>
    <n v="0"/>
    <n v="31"/>
    <n v="31"/>
    <n v="0"/>
    <n v="0"/>
    <n v="100"/>
    <s v="Consolidation"/>
    <s v="CO2e and Base Measure"/>
    <n v="100"/>
    <n v="100"/>
    <n v="7.0000000000000007E-2"/>
    <m/>
    <m/>
    <m/>
    <m/>
    <m/>
    <m/>
    <m/>
    <m/>
    <m/>
    <m/>
    <m/>
    <m/>
    <m/>
    <s v="AUD"/>
    <s v="13634228Waste Recycled - Paper and Cardboard [t]"/>
    <n v="13634228"/>
  </r>
  <r>
    <d v="2019-07-01T00:00:00"/>
    <d v="2021-06-30T00:00:00"/>
    <s v="Telstra"/>
    <s v="NETWORK"/>
    <s v="Network - InfraCo"/>
    <s v="WA"/>
    <s v="Australia"/>
    <s v="Glen Iris"/>
    <s v="PICTON EXCHANGE"/>
    <n v="423030858900"/>
    <s v="Waste"/>
    <x v="1"/>
    <x v="2"/>
    <s v="Account"/>
    <s v="Remondis General Waste"/>
    <m/>
    <s v="4230308589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92847Waste - General [t] - Scope 3"/>
    <n v="13592847"/>
  </r>
  <r>
    <d v="2019-07-01T00:00:00"/>
    <d v="2021-06-30T00:00:00"/>
    <s v="Telstra"/>
    <s v="NETWORK"/>
    <s v="Network - InfraCo"/>
    <s v="WA"/>
    <s v="Australia"/>
    <s v="Glen Iris"/>
    <s v="PICTON EXCHANGE"/>
    <n v="423030858900"/>
    <s v="Waste"/>
    <x v="1"/>
    <x v="2"/>
    <s v="Account"/>
    <s v="Remondis General Waste"/>
    <m/>
    <s v="4230308589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92847Waste - General [t] - Scope 3"/>
    <n v="13592847"/>
  </r>
  <r>
    <d v="2019-07-01T00:00:00"/>
    <d v="2021-06-30T00:00:00"/>
    <s v="Telstra"/>
    <s v="NETWORK"/>
    <s v="Network - InfraCo"/>
    <s v="WA"/>
    <s v="Australia"/>
    <s v="Glen Iris"/>
    <s v="PICTON EXCHANGE"/>
    <n v="423030858900"/>
    <s v="Waste"/>
    <x v="1"/>
    <x v="2"/>
    <s v="Account"/>
    <s v="Remondis General Waste"/>
    <m/>
    <s v="4230308589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92847Waste - General [t] - Scope 3"/>
    <n v="13592847"/>
  </r>
  <r>
    <d v="2019-07-01T00:00:00"/>
    <d v="2021-06-30T00:00:00"/>
    <s v="Telstra"/>
    <s v="NETWORK"/>
    <s v="Network - InfraCo"/>
    <s v="WA"/>
    <s v="Australia"/>
    <s v="Glen Iris"/>
    <s v="PICTON EXCHANGE"/>
    <n v="423030858900"/>
    <s v="Waste"/>
    <x v="1"/>
    <x v="2"/>
    <s v="Account"/>
    <s v="Remondis General Waste"/>
    <m/>
    <s v="423030858900_WGENERALW"/>
    <s v="GENERAL WASTE"/>
    <s v="Remondis"/>
    <m/>
    <m/>
    <d v="2020-12-01T00:00:00"/>
    <d v="2020-12-01T00:00:00"/>
    <s v="FY21"/>
    <s v="t"/>
    <n v="0"/>
    <n v="0"/>
    <n v="2.0999999999999999E-3"/>
    <n v="2.0999999999999999E-3"/>
    <n v="0"/>
    <n v="0"/>
    <n v="1"/>
    <n v="1"/>
    <n v="0"/>
    <n v="0"/>
    <n v="100"/>
    <s v="Consolidation"/>
    <s v="CO2e and Base Measure"/>
    <n v="100"/>
    <n v="100"/>
    <n v="0"/>
    <m/>
    <m/>
    <m/>
    <m/>
    <m/>
    <n v="2.7000000000000001E-3"/>
    <m/>
    <n v="2.7000000000000001E-3"/>
    <m/>
    <m/>
    <m/>
    <m/>
    <m/>
    <s v="AUD"/>
    <s v="13592847Waste - General [t] - Scope 3"/>
    <n v="13592847"/>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1-01T00:00:00"/>
    <s v="FY21"/>
    <s v="t"/>
    <n v="0"/>
    <n v="0.40500000000000003"/>
    <n v="0"/>
    <n v="0.40500000000000003"/>
    <n v="0"/>
    <n v="3"/>
    <n v="0"/>
    <n v="3"/>
    <n v="0"/>
    <n v="100"/>
    <n v="0"/>
    <s v="Consolidation"/>
    <s v="CO2e and Base Measure"/>
    <n v="100"/>
    <n v="100"/>
    <n v="0.41"/>
    <m/>
    <m/>
    <m/>
    <m/>
    <m/>
    <n v="0.52649999999999997"/>
    <m/>
    <n v="0.52649999999999997"/>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2-01T00:00:00"/>
    <s v="FY21"/>
    <s v="t"/>
    <n v="0"/>
    <n v="0.40500000000000003"/>
    <n v="0"/>
    <n v="0.40500000000000003"/>
    <n v="0"/>
    <n v="3"/>
    <n v="0"/>
    <n v="3"/>
    <n v="0"/>
    <n v="100"/>
    <n v="0"/>
    <s v="Consolidation"/>
    <s v="CO2e and Base Measure"/>
    <n v="100"/>
    <n v="100"/>
    <n v="0.41"/>
    <m/>
    <m/>
    <m/>
    <m/>
    <m/>
    <n v="0.52649999999999997"/>
    <m/>
    <n v="0.52649999999999997"/>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3-01T00:00:00"/>
    <s v="FY21"/>
    <s v="t"/>
    <n v="0"/>
    <n v="0"/>
    <n v="0.3286"/>
    <n v="0.3286"/>
    <n v="0"/>
    <n v="0"/>
    <n v="31"/>
    <n v="31"/>
    <n v="0"/>
    <n v="0"/>
    <n v="100"/>
    <s v="Consolidation"/>
    <s v="CO2e and Base Measure"/>
    <n v="100"/>
    <n v="100"/>
    <n v="0.33"/>
    <m/>
    <m/>
    <m/>
    <m/>
    <m/>
    <n v="0.42720000000000002"/>
    <m/>
    <n v="0.42720000000000002"/>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4-01T00:00:00"/>
    <s v="FY21"/>
    <s v="t"/>
    <n v="0"/>
    <n v="0"/>
    <n v="0.318"/>
    <n v="0.318"/>
    <n v="0"/>
    <n v="0"/>
    <n v="30"/>
    <n v="30"/>
    <n v="0"/>
    <n v="0"/>
    <n v="100"/>
    <s v="Consolidation"/>
    <s v="CO2e and Base Measure"/>
    <n v="100"/>
    <n v="100"/>
    <n v="0.32"/>
    <m/>
    <m/>
    <m/>
    <m/>
    <m/>
    <n v="0.41339999999999999"/>
    <m/>
    <n v="0.41339999999999999"/>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5-01T00:00:00"/>
    <s v="FY21"/>
    <s v="t"/>
    <n v="0"/>
    <n v="0"/>
    <n v="0.3286"/>
    <n v="0.3286"/>
    <n v="0"/>
    <n v="0"/>
    <n v="31"/>
    <n v="31"/>
    <n v="0"/>
    <n v="0"/>
    <n v="100"/>
    <s v="Consolidation"/>
    <s v="CO2e and Base Measure"/>
    <n v="100"/>
    <n v="100"/>
    <n v="0.33"/>
    <m/>
    <m/>
    <m/>
    <m/>
    <m/>
    <n v="0.42720000000000002"/>
    <m/>
    <n v="0.42720000000000002"/>
    <m/>
    <m/>
    <m/>
    <m/>
    <m/>
    <s v="AUD"/>
    <s v="13634229Waste - General [t] - Scope 3"/>
    <n v="13634229"/>
  </r>
  <r>
    <d v="2019-07-01T00:00:00"/>
    <d v="2021-06-30T00:00:00"/>
    <s v="Telstra"/>
    <s v="NETWORK"/>
    <s v="Network - InfraCo"/>
    <s v="WA"/>
    <s v="Australia"/>
    <s v="Glen Iris"/>
    <s v="PICTON EXCHANGE"/>
    <n v="423030858900"/>
    <s v="Waste"/>
    <x v="1"/>
    <x v="2"/>
    <s v="Account"/>
    <s v="CLEANAWAY General"/>
    <m/>
    <s v="13008_Landfill_General"/>
    <s v="General"/>
    <s v="Cleanaway"/>
    <m/>
    <d v="2021-01-06T00:00:00"/>
    <m/>
    <d v="2021-01-01T00:00:00"/>
    <s v="FY21"/>
    <s v="t"/>
    <n v="0.16"/>
    <n v="0"/>
    <n v="0"/>
    <n v="0.16"/>
    <n v="1"/>
    <n v="0"/>
    <n v="0"/>
    <n v="1"/>
    <n v="100"/>
    <n v="0"/>
    <n v="0"/>
    <s v="Consolidation"/>
    <s v="CO2e and Base Measure"/>
    <n v="100"/>
    <n v="100"/>
    <n v="0.16"/>
    <m/>
    <m/>
    <m/>
    <m/>
    <m/>
    <n v="0.20799999999999999"/>
    <m/>
    <n v="0.20799999999999999"/>
    <m/>
    <m/>
    <m/>
    <m/>
    <m/>
    <s v="AUD"/>
    <s v="13634492Waste - General [t] - Scope 3"/>
    <n v="13634492"/>
  </r>
  <r>
    <d v="2019-07-01T00:00:00"/>
    <d v="2021-06-30T00:00:00"/>
    <s v="Telstra"/>
    <s v="NETWORK"/>
    <s v="Network - InfraCo"/>
    <s v="WA"/>
    <s v="Australia"/>
    <s v="Glen Iris"/>
    <s v="PICTON EXCHANGE"/>
    <n v="423030858900"/>
    <s v="Waste"/>
    <x v="1"/>
    <x v="2"/>
    <s v="Account"/>
    <s v="CLEANAWAY General"/>
    <m/>
    <s v="13008_Landfill_General"/>
    <s v="General"/>
    <s v="Cleanaway"/>
    <m/>
    <d v="2021-01-06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492Waste - General [t] - Scope 3"/>
    <n v="13634492"/>
  </r>
  <r>
    <d v="2019-07-01T00:00:00"/>
    <d v="2021-06-30T00:00:00"/>
    <s v="Telstra"/>
    <s v="NETWORK"/>
    <s v="Network - InfraCo"/>
    <s v="WA"/>
    <s v="Australia"/>
    <s v="Glen Iris"/>
    <s v="PICTON EXCHANGE"/>
    <n v="423030858900"/>
    <s v="Waste"/>
    <x v="1"/>
    <x v="2"/>
    <s v="Account"/>
    <s v="CLEANAWAY General"/>
    <m/>
    <s v="13008_Landfill_General"/>
    <s v="General"/>
    <s v="Cleanaway"/>
    <m/>
    <d v="2021-01-06T00:00:00"/>
    <m/>
    <d v="2021-04-01T00:00:00"/>
    <s v="FY21"/>
    <s v="t"/>
    <n v="0"/>
    <n v="0"/>
    <n v="7.8E-2"/>
    <n v="7.8E-2"/>
    <n v="0"/>
    <n v="0"/>
    <n v="30"/>
    <n v="30"/>
    <n v="0"/>
    <n v="0"/>
    <n v="100"/>
    <s v="Consolidation"/>
    <s v="CO2e and Base Measure"/>
    <n v="100"/>
    <n v="100"/>
    <n v="0.08"/>
    <m/>
    <m/>
    <m/>
    <m/>
    <m/>
    <n v="0.1014"/>
    <m/>
    <n v="0.1014"/>
    <m/>
    <m/>
    <m/>
    <m/>
    <m/>
    <s v="AUD"/>
    <s v="13634492Waste - General [t] - Scope 3"/>
    <n v="13634492"/>
  </r>
  <r>
    <d v="2019-07-01T00:00:00"/>
    <d v="2021-06-30T00:00:00"/>
    <s v="Telstra"/>
    <s v="NETWORK"/>
    <s v="Network - InfraCo"/>
    <s v="WA"/>
    <s v="Australia"/>
    <s v="Glen Iris"/>
    <s v="PICTON EXCHANGE"/>
    <n v="423030858900"/>
    <s v="Waste"/>
    <x v="1"/>
    <x v="2"/>
    <s v="Account"/>
    <s v="CLEANAWAY General"/>
    <m/>
    <s v="13008_Landfill_General"/>
    <s v="General"/>
    <s v="Cleanaway"/>
    <m/>
    <d v="2021-01-06T00:00:00"/>
    <m/>
    <d v="2021-05-01T00:00:00"/>
    <s v="FY21"/>
    <s v="t"/>
    <n v="0"/>
    <n v="0"/>
    <n v="8.0600000000000005E-2"/>
    <n v="8.0600000000000005E-2"/>
    <n v="0"/>
    <n v="0"/>
    <n v="31"/>
    <n v="31"/>
    <n v="0"/>
    <n v="0"/>
    <n v="100"/>
    <s v="Consolidation"/>
    <s v="CO2e and Base Measure"/>
    <n v="100"/>
    <n v="100"/>
    <n v="0.08"/>
    <m/>
    <m/>
    <m/>
    <m/>
    <m/>
    <n v="0.1048"/>
    <m/>
    <n v="0.1048"/>
    <m/>
    <m/>
    <m/>
    <m/>
    <m/>
    <s v="AUD"/>
    <s v="13634492Waste - General [t] - Scope 3"/>
    <n v="1363449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07-01T00:00:00"/>
    <s v="FY21"/>
    <s v="t"/>
    <n v="0.02"/>
    <n v="0.19500000000000001"/>
    <n v="0"/>
    <n v="0.215"/>
    <n v="1"/>
    <n v="1"/>
    <n v="0"/>
    <n v="2"/>
    <n v="9.3000000000000007"/>
    <n v="90.69"/>
    <n v="0"/>
    <s v="Consolidation"/>
    <s v="CO2e and Base Measure"/>
    <n v="100"/>
    <n v="100"/>
    <n v="0.22"/>
    <m/>
    <m/>
    <m/>
    <m/>
    <m/>
    <n v="0.27950000000000003"/>
    <m/>
    <n v="0.27950000000000003"/>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08-01T00:00:00"/>
    <s v="FY21"/>
    <s v="t"/>
    <n v="0.125"/>
    <n v="0"/>
    <n v="0"/>
    <n v="0.125"/>
    <n v="2"/>
    <n v="0"/>
    <n v="0"/>
    <n v="2"/>
    <n v="100"/>
    <n v="0"/>
    <n v="0"/>
    <s v="Consolidation"/>
    <s v="CO2e and Base Measure"/>
    <n v="100"/>
    <n v="100"/>
    <n v="0.13"/>
    <m/>
    <m/>
    <m/>
    <m/>
    <m/>
    <n v="0.16250000000000001"/>
    <m/>
    <n v="0.16250000000000001"/>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09-01T00:00:00"/>
    <s v="FY21"/>
    <s v="t"/>
    <n v="0.12"/>
    <n v="0"/>
    <n v="0"/>
    <n v="0.12"/>
    <n v="2"/>
    <n v="0"/>
    <n v="0"/>
    <n v="2"/>
    <n v="100"/>
    <n v="0"/>
    <n v="0"/>
    <s v="Consolidation"/>
    <s v="CO2e and Base Measure"/>
    <n v="100"/>
    <n v="100"/>
    <n v="0.12"/>
    <m/>
    <m/>
    <m/>
    <m/>
    <m/>
    <n v="0.156"/>
    <m/>
    <n v="0.156"/>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10-01T00:00:00"/>
    <s v="FY21"/>
    <s v="t"/>
    <n v="0.115"/>
    <n v="0.19500000000000001"/>
    <n v="0"/>
    <n v="0.31"/>
    <n v="2"/>
    <n v="1"/>
    <n v="0"/>
    <n v="3"/>
    <n v="37.090000000000003"/>
    <n v="62.9"/>
    <n v="0"/>
    <s v="Consolidation"/>
    <s v="CO2e and Base Measure"/>
    <n v="100"/>
    <n v="100"/>
    <n v="0.31"/>
    <m/>
    <m/>
    <m/>
    <m/>
    <m/>
    <n v="0.40300000000000002"/>
    <m/>
    <n v="0.40300000000000002"/>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11-01T00:00:00"/>
    <s v="FY21"/>
    <s v="t"/>
    <n v="0.41"/>
    <n v="0.39"/>
    <n v="0"/>
    <n v="0.8"/>
    <n v="2"/>
    <n v="1"/>
    <n v="0"/>
    <n v="3"/>
    <n v="51.25"/>
    <n v="48.75"/>
    <n v="0"/>
    <s v="Consolidation"/>
    <s v="CO2e and Base Measure"/>
    <n v="100"/>
    <n v="100"/>
    <n v="0.8"/>
    <m/>
    <m/>
    <m/>
    <m/>
    <m/>
    <n v="1.04"/>
    <m/>
    <n v="1.04"/>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12-01T00:00:00"/>
    <s v="FY21"/>
    <s v="t"/>
    <n v="0"/>
    <n v="0"/>
    <n v="9.4999999999999998E-3"/>
    <n v="9.4999999999999998E-3"/>
    <n v="0"/>
    <n v="0"/>
    <n v="1"/>
    <n v="1"/>
    <n v="0"/>
    <n v="0"/>
    <n v="100"/>
    <s v="Consolidation"/>
    <s v="CO2e and Base Measure"/>
    <n v="100"/>
    <n v="100"/>
    <n v="0.01"/>
    <m/>
    <m/>
    <m/>
    <m/>
    <m/>
    <n v="1.24E-2"/>
    <m/>
    <n v="1.24E-2"/>
    <m/>
    <m/>
    <m/>
    <m/>
    <m/>
    <s v="AUD"/>
    <s v="13564412Waste - General [t] - Scope 3"/>
    <n v="13564412"/>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07-01T00:00:00"/>
    <s v="FY21"/>
    <s v="t"/>
    <n v="0.66800000000000004"/>
    <n v="0.1716"/>
    <n v="0"/>
    <n v="0.83960000000000001"/>
    <n v="8"/>
    <n v="2"/>
    <n v="0"/>
    <n v="10"/>
    <n v="79.56"/>
    <n v="20.43"/>
    <n v="0"/>
    <s v="Consolidation"/>
    <s v="CO2e and Base Measure"/>
    <n v="100"/>
    <n v="100"/>
    <n v="0.84"/>
    <m/>
    <m/>
    <m/>
    <m/>
    <m/>
    <n v="1.0914999999999999"/>
    <m/>
    <n v="1.0914999999999999"/>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08-01T00:00:00"/>
    <s v="FY21"/>
    <s v="t"/>
    <n v="3.5000000000000003E-2"/>
    <n v="0.25740000000000002"/>
    <n v="0"/>
    <n v="0.29239999999999999"/>
    <n v="5"/>
    <n v="3"/>
    <n v="0"/>
    <n v="8"/>
    <n v="11.96"/>
    <n v="88.03"/>
    <n v="0"/>
    <s v="Consolidation"/>
    <s v="CO2e and Base Measure"/>
    <n v="100"/>
    <n v="100"/>
    <n v="0.28999999999999998"/>
    <m/>
    <m/>
    <m/>
    <m/>
    <m/>
    <n v="0.38009999999999999"/>
    <m/>
    <n v="0.38009999999999999"/>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09-01T00:00:00"/>
    <s v="FY21"/>
    <s v="t"/>
    <n v="1.2999999999999999E-2"/>
    <n v="0.60060000000000002"/>
    <n v="0"/>
    <n v="0.61360000000000003"/>
    <n v="2"/>
    <n v="7"/>
    <n v="0"/>
    <n v="9"/>
    <n v="2.11"/>
    <n v="97.88"/>
    <n v="0"/>
    <s v="Consolidation"/>
    <s v="CO2e and Base Measure"/>
    <n v="100"/>
    <n v="100"/>
    <n v="0.61"/>
    <m/>
    <m/>
    <m/>
    <m/>
    <m/>
    <n v="0.79769999999999996"/>
    <m/>
    <n v="0.79769999999999996"/>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10-01T00:00:00"/>
    <s v="FY21"/>
    <s v="t"/>
    <n v="6.6000000000000003E-2"/>
    <n v="0.42899999999999999"/>
    <n v="0"/>
    <n v="0.495"/>
    <n v="4"/>
    <n v="5"/>
    <n v="0"/>
    <n v="9"/>
    <n v="13.33"/>
    <n v="86.66"/>
    <n v="0"/>
    <s v="Consolidation"/>
    <s v="CO2e and Base Measure"/>
    <n v="100"/>
    <n v="100"/>
    <n v="0.5"/>
    <m/>
    <m/>
    <m/>
    <m/>
    <m/>
    <n v="0.64349999999999996"/>
    <m/>
    <n v="0.64349999999999996"/>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11-01T00:00:00"/>
    <s v="FY21"/>
    <s v="t"/>
    <n v="6.3E-2"/>
    <n v="0.1716"/>
    <n v="0"/>
    <n v="0.2346"/>
    <n v="4"/>
    <n v="2"/>
    <n v="0"/>
    <n v="6"/>
    <n v="26.85"/>
    <n v="73.14"/>
    <n v="0"/>
    <s v="Consolidation"/>
    <s v="CO2e and Base Measure"/>
    <n v="100"/>
    <n v="100"/>
    <n v="0.23"/>
    <m/>
    <m/>
    <m/>
    <m/>
    <m/>
    <n v="0.30499999999999999"/>
    <m/>
    <n v="0.30499999999999999"/>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12-01T00:00:00"/>
    <s v="FY21"/>
    <s v="t"/>
    <n v="0"/>
    <n v="0"/>
    <n v="1.9099999999999999E-2"/>
    <n v="1.9099999999999999E-2"/>
    <n v="0"/>
    <n v="0"/>
    <n v="1"/>
    <n v="1"/>
    <n v="0"/>
    <n v="0"/>
    <n v="100"/>
    <s v="Consolidation"/>
    <s v="CO2e and Base Measure"/>
    <n v="100"/>
    <n v="100"/>
    <n v="0.02"/>
    <m/>
    <m/>
    <m/>
    <m/>
    <m/>
    <n v="2.4799999999999999E-2"/>
    <m/>
    <n v="2.4799999999999999E-2"/>
    <m/>
    <m/>
    <m/>
    <m/>
    <m/>
    <s v="AUD"/>
    <s v="13565373Waste - General [t] - Scope 3"/>
    <n v="13565373"/>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0-11-01T00:00:00"/>
    <s v="FY21"/>
    <s v="t"/>
    <n v="2.7E-2"/>
    <n v="0"/>
    <n v="0"/>
    <n v="2.7E-2"/>
    <n v="1"/>
    <n v="0"/>
    <n v="0"/>
    <n v="1"/>
    <n v="100"/>
    <n v="0"/>
    <n v="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2-01T00:00:00"/>
    <s v="FY21"/>
    <s v="t"/>
    <n v="0"/>
    <n v="0"/>
    <n v="2.52E-2"/>
    <n v="2.52E-2"/>
    <n v="0"/>
    <n v="0"/>
    <n v="28"/>
    <n v="28"/>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4-01T00:00:00"/>
    <s v="FY21"/>
    <s v="t"/>
    <n v="0"/>
    <n v="0"/>
    <n v="2.7E-2"/>
    <n v="2.7E-2"/>
    <n v="0"/>
    <n v="0"/>
    <n v="30"/>
    <n v="30"/>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Waste"/>
    <x v="1"/>
    <x v="2"/>
    <s v="Account"/>
    <s v="CLEANAWAY General"/>
    <m/>
    <s v="13038_Landfill_General"/>
    <s v="General"/>
    <s v="Cleanaway"/>
    <m/>
    <d v="2020-12-08T00:00:00"/>
    <m/>
    <d v="2020-12-01T00:00:00"/>
    <s v="FY21"/>
    <s v="t"/>
    <n v="0"/>
    <n v="0.3861"/>
    <n v="0"/>
    <n v="0.3861"/>
    <n v="0"/>
    <n v="7"/>
    <n v="0"/>
    <n v="7"/>
    <n v="0"/>
    <n v="100"/>
    <n v="0"/>
    <s v="Consolidation"/>
    <s v="CO2e and Base Measure"/>
    <n v="100"/>
    <n v="100"/>
    <n v="0.39"/>
    <m/>
    <m/>
    <m/>
    <m/>
    <m/>
    <n v="0.50190000000000001"/>
    <m/>
    <n v="0.50190000000000001"/>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1-01T00:00:00"/>
    <s v="FY21"/>
    <s v="t"/>
    <n v="0"/>
    <n v="0.32669999999999999"/>
    <n v="0"/>
    <n v="0.32669999999999999"/>
    <n v="0"/>
    <n v="6"/>
    <n v="0"/>
    <n v="6"/>
    <n v="0"/>
    <n v="100"/>
    <n v="0"/>
    <s v="Consolidation"/>
    <s v="CO2e and Base Measure"/>
    <n v="100"/>
    <n v="100"/>
    <n v="0.33"/>
    <m/>
    <m/>
    <m/>
    <m/>
    <m/>
    <n v="0.42470000000000002"/>
    <m/>
    <n v="0.42470000000000002"/>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2-01T00:00:00"/>
    <s v="FY21"/>
    <s v="t"/>
    <n v="0"/>
    <n v="0.29699999999999999"/>
    <n v="0"/>
    <n v="0.29699999999999999"/>
    <n v="0"/>
    <n v="5"/>
    <n v="0"/>
    <n v="5"/>
    <n v="0"/>
    <n v="100"/>
    <n v="0"/>
    <s v="Consolidation"/>
    <s v="CO2e and Base Measure"/>
    <n v="100"/>
    <n v="100"/>
    <n v="0.3"/>
    <m/>
    <m/>
    <m/>
    <m/>
    <m/>
    <n v="0.3861"/>
    <m/>
    <n v="0.3861"/>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3-01T00:00:00"/>
    <s v="FY21"/>
    <s v="t"/>
    <n v="0"/>
    <n v="0.4158"/>
    <n v="0"/>
    <n v="0.4158"/>
    <n v="0"/>
    <n v="7"/>
    <n v="0"/>
    <n v="7"/>
    <n v="0"/>
    <n v="100"/>
    <n v="0"/>
    <s v="Consolidation"/>
    <s v="CO2e and Base Measure"/>
    <n v="100"/>
    <n v="100"/>
    <n v="0.42"/>
    <m/>
    <m/>
    <m/>
    <m/>
    <m/>
    <n v="0.54049999999999998"/>
    <m/>
    <n v="0.54049999999999998"/>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4-01T00:00:00"/>
    <s v="FY21"/>
    <s v="t"/>
    <n v="0"/>
    <n v="0"/>
    <n v="0.35699999999999998"/>
    <n v="0.35699999999999998"/>
    <n v="0"/>
    <n v="0"/>
    <n v="30"/>
    <n v="30"/>
    <n v="0"/>
    <n v="0"/>
    <n v="100"/>
    <s v="Consolidation"/>
    <s v="CO2e and Base Measure"/>
    <n v="100"/>
    <n v="100"/>
    <n v="0.36"/>
    <m/>
    <m/>
    <m/>
    <m/>
    <m/>
    <n v="0.46410000000000001"/>
    <m/>
    <n v="0.46410000000000001"/>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5-01T00:00:00"/>
    <s v="FY21"/>
    <s v="t"/>
    <n v="0"/>
    <n v="0"/>
    <n v="0.36890000000000001"/>
    <n v="0.36890000000000001"/>
    <n v="0"/>
    <n v="0"/>
    <n v="31"/>
    <n v="31"/>
    <n v="0"/>
    <n v="0"/>
    <n v="100"/>
    <s v="Consolidation"/>
    <s v="CO2e and Base Measure"/>
    <n v="100"/>
    <n v="100"/>
    <n v="0.37"/>
    <m/>
    <m/>
    <m/>
    <m/>
    <m/>
    <n v="0.47960000000000003"/>
    <m/>
    <n v="0.47960000000000003"/>
    <m/>
    <m/>
    <m/>
    <m/>
    <m/>
    <s v="AUD"/>
    <s v="13634230Waste - General [t] - Scope 3"/>
    <n v="13634230"/>
  </r>
  <r>
    <d v="2019-07-01T00:00:00"/>
    <d v="2021-06-30T00:00:00"/>
    <s v="Telstra"/>
    <s v="NETWORK"/>
    <s v="Network - InfraCo"/>
    <s v="WA"/>
    <s v="Australia"/>
    <s v="Pinjarra"/>
    <s v="PINJARRA EXCHANGE"/>
    <n v="423030858600"/>
    <s v="Recycled Waste"/>
    <x v="0"/>
    <x v="0"/>
    <s v="Account"/>
    <s v="Remondis Cardboard - Loose - Recycled"/>
    <m/>
    <s v="423030858600_RCARDBOAR"/>
    <s v="CARDBOARD - LOOSE - RECYCLED"/>
    <s v="Remondis"/>
    <m/>
    <m/>
    <d v="2020-11-01T00:00:00"/>
    <d v="2020-07-01T00:00:00"/>
    <s v="FY21"/>
    <s v="t"/>
    <n v="0"/>
    <n v="3.15E-2"/>
    <n v="0"/>
    <n v="3.15E-2"/>
    <n v="0"/>
    <n v="1"/>
    <n v="0"/>
    <n v="1"/>
    <n v="0"/>
    <n v="100"/>
    <n v="0"/>
    <s v="Consolidation"/>
    <s v="CO2e and Base Measure"/>
    <n v="100"/>
    <n v="100"/>
    <n v="0.03"/>
    <m/>
    <m/>
    <m/>
    <m/>
    <m/>
    <m/>
    <n v="0"/>
    <m/>
    <m/>
    <m/>
    <m/>
    <m/>
    <m/>
    <s v="AUD"/>
    <s v="13565369Waste Recycled - Cardboard [t]"/>
    <n v="13565369"/>
  </r>
  <r>
    <d v="2019-07-01T00:00:00"/>
    <d v="2021-06-30T00:00:00"/>
    <s v="Telstra"/>
    <s v="NETWORK"/>
    <s v="Network - InfraCo"/>
    <s v="WA"/>
    <s v="Australia"/>
    <s v="Pinjarra"/>
    <s v="PINJARRA EXCHANGE"/>
    <n v="423030858600"/>
    <s v="Recycled Waste"/>
    <x v="0"/>
    <x v="0"/>
    <s v="Account"/>
    <s v="Remondis Cardboard - Loose - Recycled"/>
    <m/>
    <s v="423030858600_RCARDBOAR"/>
    <s v="CARDBOARD - LOOSE - RECYCLED"/>
    <s v="Remondis"/>
    <m/>
    <m/>
    <d v="2020-11-01T00:00:00"/>
    <d v="2020-08-01T00:00:00"/>
    <s v="FY21"/>
    <s v="t"/>
    <n v="0"/>
    <n v="3.15E-2"/>
    <n v="0"/>
    <n v="3.15E-2"/>
    <n v="0"/>
    <n v="1"/>
    <n v="0"/>
    <n v="1"/>
    <n v="0"/>
    <n v="100"/>
    <n v="0"/>
    <s v="Consolidation"/>
    <s v="CO2e and Base Measure"/>
    <n v="100"/>
    <n v="100"/>
    <n v="0.03"/>
    <m/>
    <m/>
    <m/>
    <m/>
    <m/>
    <m/>
    <n v="0"/>
    <m/>
    <m/>
    <m/>
    <m/>
    <m/>
    <m/>
    <s v="AUD"/>
    <s v="13565369Waste Recycled - Cardboard [t]"/>
    <n v="13565369"/>
  </r>
  <r>
    <d v="2019-07-01T00:00:00"/>
    <d v="2021-06-30T00:00:00"/>
    <s v="Telstra"/>
    <s v="NETWORK"/>
    <s v="Network - InfraCo"/>
    <s v="WA"/>
    <s v="Australia"/>
    <s v="Pinjarra"/>
    <s v="PINJARRA EXCHANGE"/>
    <n v="423030858600"/>
    <s v="Recycled Waste"/>
    <x v="0"/>
    <x v="0"/>
    <s v="Account"/>
    <s v="Remondis Cardboard - Loose - Recycled"/>
    <m/>
    <s v="423030858600_RCARDBOAR"/>
    <s v="CARDBOARD - LOOSE - RECYCLED"/>
    <s v="Remondis"/>
    <m/>
    <m/>
    <d v="2020-11-01T00:00:00"/>
    <d v="2020-10-01T00:00:00"/>
    <s v="FY21"/>
    <s v="t"/>
    <n v="0"/>
    <n v="3.15E-2"/>
    <n v="0"/>
    <n v="3.15E-2"/>
    <n v="0"/>
    <n v="1"/>
    <n v="0"/>
    <n v="1"/>
    <n v="0"/>
    <n v="100"/>
    <n v="0"/>
    <s v="Consolidation"/>
    <s v="CO2e and Base Measure"/>
    <n v="100"/>
    <n v="100"/>
    <n v="0.03"/>
    <m/>
    <m/>
    <m/>
    <m/>
    <m/>
    <m/>
    <n v="0"/>
    <m/>
    <m/>
    <m/>
    <m/>
    <m/>
    <m/>
    <s v="AUD"/>
    <s v="13565369Waste Recycled - Cardboard [t]"/>
    <n v="13565369"/>
  </r>
  <r>
    <d v="2019-07-01T00:00:00"/>
    <d v="2021-06-30T00:00:00"/>
    <s v="Telstra"/>
    <s v="NETWORK"/>
    <s v="Network - InfraCo"/>
    <s v="WA"/>
    <s v="Australia"/>
    <s v="Pinjarra"/>
    <s v="PINJARRA EXCHANGE"/>
    <n v="423030858600"/>
    <s v="Recycled Waste"/>
    <x v="0"/>
    <x v="0"/>
    <s v="Account"/>
    <s v="Remondis Cardboard - Loose - Recycled"/>
    <m/>
    <s v="423030858600_RCARDBOAR"/>
    <s v="CARDBOARD - LOOSE - RECYCLED"/>
    <s v="Remondis"/>
    <m/>
    <m/>
    <d v="2020-11-01T00:00:00"/>
    <d v="2020-11-01T00:00:00"/>
    <s v="FY21"/>
    <s v="t"/>
    <n v="0"/>
    <n v="0"/>
    <n v="8.0000000000000004E-4"/>
    <n v="8.0000000000000004E-4"/>
    <n v="0"/>
    <n v="0"/>
    <n v="1"/>
    <n v="1"/>
    <n v="0"/>
    <n v="0"/>
    <n v="100"/>
    <s v="Consolidation"/>
    <s v="CO2e and Base Measure"/>
    <n v="100"/>
    <n v="100"/>
    <n v="0"/>
    <m/>
    <m/>
    <m/>
    <m/>
    <m/>
    <m/>
    <n v="0"/>
    <m/>
    <m/>
    <m/>
    <m/>
    <m/>
    <m/>
    <s v="AUD"/>
    <s v="13565369Waste Recycled - Cardboard [t]"/>
    <n v="13565369"/>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07-01T00:00:00"/>
    <s v="FY21"/>
    <s v="t"/>
    <n v="0"/>
    <n v="0.19500000000000001"/>
    <n v="0"/>
    <n v="0.19500000000000001"/>
    <n v="0"/>
    <n v="2"/>
    <n v="0"/>
    <n v="2"/>
    <n v="0"/>
    <n v="100"/>
    <n v="0"/>
    <s v="Consolidation"/>
    <s v="CO2e and Base Measure"/>
    <n v="100"/>
    <n v="100"/>
    <n v="0.2"/>
    <m/>
    <m/>
    <m/>
    <m/>
    <m/>
    <n v="0.2535"/>
    <m/>
    <n v="0.2535"/>
    <m/>
    <m/>
    <m/>
    <m/>
    <m/>
    <s v="AUD"/>
    <s v="13565370Waste - General [t] - Scope 3"/>
    <n v="13565370"/>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08-01T00:00:00"/>
    <s v="FY21"/>
    <s v="t"/>
    <n v="0"/>
    <n v="9.7500000000000003E-2"/>
    <n v="0"/>
    <n v="9.7500000000000003E-2"/>
    <n v="0"/>
    <n v="1"/>
    <n v="0"/>
    <n v="1"/>
    <n v="0"/>
    <n v="100"/>
    <n v="0"/>
    <s v="Consolidation"/>
    <s v="CO2e and Base Measure"/>
    <n v="100"/>
    <n v="100"/>
    <n v="0.1"/>
    <m/>
    <m/>
    <m/>
    <m/>
    <m/>
    <n v="0.1268"/>
    <m/>
    <n v="0.1268"/>
    <m/>
    <m/>
    <m/>
    <m/>
    <m/>
    <s v="AUD"/>
    <s v="13565370Waste - General [t] - Scope 3"/>
    <n v="13565370"/>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09-01T00:00:00"/>
    <s v="FY21"/>
    <s v="t"/>
    <n v="0"/>
    <n v="9.7500000000000003E-2"/>
    <n v="0"/>
    <n v="9.7500000000000003E-2"/>
    <n v="0"/>
    <n v="1"/>
    <n v="0"/>
    <n v="1"/>
    <n v="0"/>
    <n v="100"/>
    <n v="0"/>
    <s v="Consolidation"/>
    <s v="CO2e and Base Measure"/>
    <n v="100"/>
    <n v="100"/>
    <n v="0.1"/>
    <m/>
    <m/>
    <m/>
    <m/>
    <m/>
    <n v="0.1268"/>
    <m/>
    <n v="0.1268"/>
    <m/>
    <m/>
    <m/>
    <m/>
    <m/>
    <s v="AUD"/>
    <s v="13565370Waste - General [t] - Scope 3"/>
    <n v="13565370"/>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10-01T00:00:00"/>
    <s v="FY21"/>
    <s v="t"/>
    <n v="0"/>
    <n v="9.7500000000000003E-2"/>
    <n v="0"/>
    <n v="9.7500000000000003E-2"/>
    <n v="0"/>
    <n v="1"/>
    <n v="0"/>
    <n v="1"/>
    <n v="0"/>
    <n v="100"/>
    <n v="0"/>
    <s v="Consolidation"/>
    <s v="CO2e and Base Measure"/>
    <n v="100"/>
    <n v="100"/>
    <n v="0.1"/>
    <m/>
    <m/>
    <m/>
    <m/>
    <m/>
    <n v="0.1268"/>
    <m/>
    <n v="0.1268"/>
    <m/>
    <m/>
    <m/>
    <m/>
    <m/>
    <s v="AUD"/>
    <s v="13565370Waste - General [t] - Scope 3"/>
    <n v="13565370"/>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11-01T00:00:00"/>
    <s v="FY21"/>
    <s v="t"/>
    <n v="0"/>
    <n v="0"/>
    <n v="5.1000000000000004E-3"/>
    <n v="5.1000000000000004E-3"/>
    <n v="0"/>
    <n v="0"/>
    <n v="1"/>
    <n v="1"/>
    <n v="0"/>
    <n v="0"/>
    <n v="100"/>
    <s v="Consolidation"/>
    <s v="CO2e and Base Measure"/>
    <n v="100"/>
    <n v="100"/>
    <n v="0.01"/>
    <m/>
    <m/>
    <m/>
    <m/>
    <m/>
    <n v="6.6E-3"/>
    <m/>
    <n v="6.6E-3"/>
    <m/>
    <m/>
    <m/>
    <m/>
    <m/>
    <s v="AUD"/>
    <s v="13565370Waste - General [t] - Scope 3"/>
    <n v="13565370"/>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07-01T00:00:00"/>
    <s v="FY21"/>
    <s v="t"/>
    <n v="9.9000000000000005E-2"/>
    <n v="0"/>
    <n v="0"/>
    <n v="9.9000000000000005E-2"/>
    <n v="4"/>
    <n v="0"/>
    <n v="0"/>
    <n v="4"/>
    <n v="100"/>
    <n v="0"/>
    <n v="0"/>
    <s v="Consolidation"/>
    <s v="CO2e and Base Measure"/>
    <n v="100"/>
    <n v="100"/>
    <n v="0.1"/>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08-01T00:00:00"/>
    <s v="FY21"/>
    <s v="t"/>
    <n v="0.19"/>
    <n v="0"/>
    <n v="0"/>
    <n v="0.19"/>
    <n v="5"/>
    <n v="0"/>
    <n v="0"/>
    <n v="5"/>
    <n v="100"/>
    <n v="0"/>
    <n v="0"/>
    <s v="Consolidation"/>
    <s v="CO2e and Base Measure"/>
    <n v="100"/>
    <n v="100"/>
    <n v="0.19"/>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09-01T00:00:00"/>
    <s v="FY21"/>
    <s v="t"/>
    <n v="7.5999999999999998E-2"/>
    <n v="0"/>
    <n v="0"/>
    <n v="7.5999999999999998E-2"/>
    <n v="4"/>
    <n v="0"/>
    <n v="0"/>
    <n v="4"/>
    <n v="100"/>
    <n v="0"/>
    <n v="0"/>
    <s v="Consolidation"/>
    <s v="CO2e and Base Measure"/>
    <n v="100"/>
    <n v="100"/>
    <n v="0.08"/>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10-01T00:00:00"/>
    <s v="FY21"/>
    <s v="t"/>
    <n v="0.106"/>
    <n v="0"/>
    <n v="0"/>
    <n v="0.106"/>
    <n v="3"/>
    <n v="0"/>
    <n v="0"/>
    <n v="3"/>
    <n v="100"/>
    <n v="0"/>
    <n v="0"/>
    <s v="Consolidation"/>
    <s v="CO2e and Base Measure"/>
    <n v="100"/>
    <n v="100"/>
    <n v="0.11"/>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11-01T00:00:00"/>
    <s v="FY21"/>
    <s v="t"/>
    <n v="7.9000000000000001E-2"/>
    <n v="0"/>
    <n v="0"/>
    <n v="7.9000000000000001E-2"/>
    <n v="5"/>
    <n v="0"/>
    <n v="0"/>
    <n v="5"/>
    <n v="100"/>
    <n v="0"/>
    <n v="0"/>
    <s v="Consolidation"/>
    <s v="CO2e and Base Measure"/>
    <n v="100"/>
    <n v="100"/>
    <n v="0.08"/>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12-01T00:00:00"/>
    <s v="FY21"/>
    <s v="t"/>
    <n v="0"/>
    <n v="0"/>
    <n v="3.2000000000000002E-3"/>
    <n v="3.2000000000000002E-3"/>
    <n v="0"/>
    <n v="0"/>
    <n v="1"/>
    <n v="1"/>
    <n v="0"/>
    <n v="0"/>
    <n v="100"/>
    <s v="Consolidation"/>
    <s v="CO2e and Base Measure"/>
    <n v="100"/>
    <n v="100"/>
    <n v="0"/>
    <m/>
    <m/>
    <m/>
    <m/>
    <m/>
    <m/>
    <n v="0"/>
    <m/>
    <m/>
    <m/>
    <m/>
    <m/>
    <m/>
    <s v="AUD"/>
    <s v="13564478Waste Recycled - Cardboard [t]"/>
    <n v="13564478"/>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07-01T00:00:00"/>
    <s v="FY21"/>
    <s v="t"/>
    <n v="0.28000000000000003"/>
    <n v="0"/>
    <n v="0"/>
    <n v="0.28000000000000003"/>
    <n v="9"/>
    <n v="0"/>
    <n v="0"/>
    <n v="9"/>
    <n v="100"/>
    <n v="0"/>
    <n v="0"/>
    <s v="Consolidation"/>
    <s v="CO2e and Base Measure"/>
    <n v="100"/>
    <n v="100"/>
    <n v="0.28000000000000003"/>
    <m/>
    <m/>
    <m/>
    <m/>
    <m/>
    <n v="0.36399999999999999"/>
    <m/>
    <n v="0.36399999999999999"/>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08-01T00:00:00"/>
    <s v="FY21"/>
    <s v="t"/>
    <n v="0.39800000000000002"/>
    <n v="0"/>
    <n v="0"/>
    <n v="0.39800000000000002"/>
    <n v="8"/>
    <n v="0"/>
    <n v="0"/>
    <n v="8"/>
    <n v="100"/>
    <n v="0"/>
    <n v="0"/>
    <s v="Consolidation"/>
    <s v="CO2e and Base Measure"/>
    <n v="100"/>
    <n v="100"/>
    <n v="0.4"/>
    <m/>
    <m/>
    <m/>
    <m/>
    <m/>
    <n v="0.51739999999999997"/>
    <m/>
    <n v="0.51739999999999997"/>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09-01T00:00:00"/>
    <s v="FY21"/>
    <s v="t"/>
    <n v="0.29399999999999998"/>
    <n v="0"/>
    <n v="0"/>
    <n v="0.29399999999999998"/>
    <n v="9"/>
    <n v="0"/>
    <n v="0"/>
    <n v="9"/>
    <n v="100"/>
    <n v="0"/>
    <n v="0"/>
    <s v="Consolidation"/>
    <s v="CO2e and Base Measure"/>
    <n v="100"/>
    <n v="100"/>
    <n v="0.28999999999999998"/>
    <m/>
    <m/>
    <m/>
    <m/>
    <m/>
    <n v="0.38219999999999998"/>
    <m/>
    <n v="0.38219999999999998"/>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10-01T00:00:00"/>
    <s v="FY21"/>
    <s v="t"/>
    <n v="0.64600000000000002"/>
    <n v="0"/>
    <n v="0"/>
    <n v="0.64600000000000002"/>
    <n v="9"/>
    <n v="0"/>
    <n v="0"/>
    <n v="9"/>
    <n v="100"/>
    <n v="0"/>
    <n v="0"/>
    <s v="Consolidation"/>
    <s v="CO2e and Base Measure"/>
    <n v="100"/>
    <n v="100"/>
    <n v="0.65"/>
    <m/>
    <m/>
    <m/>
    <m/>
    <m/>
    <n v="0.83979999999999999"/>
    <m/>
    <n v="0.83979999999999999"/>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11-01T00:00:00"/>
    <s v="FY21"/>
    <s v="t"/>
    <n v="0.25600000000000001"/>
    <n v="0"/>
    <n v="0"/>
    <n v="0.25600000000000001"/>
    <n v="7"/>
    <n v="0"/>
    <n v="0"/>
    <n v="7"/>
    <n v="100"/>
    <n v="0"/>
    <n v="0"/>
    <s v="Consolidation"/>
    <s v="CO2e and Base Measure"/>
    <n v="100"/>
    <n v="100"/>
    <n v="0.26"/>
    <m/>
    <m/>
    <m/>
    <m/>
    <m/>
    <n v="0.33279999999999998"/>
    <m/>
    <n v="0.33279999999999998"/>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12-01T00:00:00"/>
    <s v="FY21"/>
    <s v="t"/>
    <n v="0"/>
    <n v="0.433"/>
    <n v="0"/>
    <n v="0.433"/>
    <n v="0"/>
    <n v="3"/>
    <n v="0"/>
    <n v="3"/>
    <n v="0"/>
    <n v="100"/>
    <n v="0"/>
    <s v="Consolidation"/>
    <s v="CO2e and Base Measure"/>
    <n v="100"/>
    <n v="100"/>
    <n v="0.43"/>
    <m/>
    <m/>
    <m/>
    <m/>
    <m/>
    <n v="0.56289999999999996"/>
    <m/>
    <n v="0.56289999999999996"/>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1-01-01T00:00:00"/>
    <s v="FY21"/>
    <s v="t"/>
    <n v="0"/>
    <n v="0"/>
    <n v="1.29E-2"/>
    <n v="1.29E-2"/>
    <n v="0"/>
    <n v="0"/>
    <n v="1"/>
    <n v="1"/>
    <n v="0"/>
    <n v="0"/>
    <n v="100"/>
    <s v="Consolidation"/>
    <s v="CO2e and Base Measure"/>
    <n v="100"/>
    <n v="100"/>
    <n v="0.01"/>
    <m/>
    <m/>
    <m/>
    <m/>
    <m/>
    <n v="1.6799999999999999E-2"/>
    <m/>
    <n v="1.6799999999999999E-2"/>
    <m/>
    <m/>
    <m/>
    <m/>
    <m/>
    <s v="AUD"/>
    <s v="13564481Waste - General [t] - Scope 3"/>
    <n v="13564481"/>
  </r>
  <r>
    <d v="2019-07-01T00:00:00"/>
    <d v="2021-06-30T00:00:00"/>
    <s v="Telstra"/>
    <s v="NETWORK"/>
    <s v="Network - InfraCo"/>
    <s v="NSW"/>
    <s v="Australia"/>
    <s v="City of Sydney"/>
    <s v="PITT EXCHANGE"/>
    <n v="423030304300"/>
    <s v="Recycled Waste"/>
    <x v="0"/>
    <x v="5"/>
    <s v="Account"/>
    <s v="Remondis Construction &amp; Demolition - Recycled"/>
    <m/>
    <s v="423030304300_RCONSDEM"/>
    <s v="CONSTRUCTION &amp; DEMOLITION - RECYLED"/>
    <s v="Remondis"/>
    <m/>
    <m/>
    <d v="2020-11-01T00:00:00"/>
    <d v="2020-10-01T00:00:00"/>
    <s v="FY21"/>
    <s v="t"/>
    <n v="1.26"/>
    <n v="0"/>
    <n v="0"/>
    <n v="1.26"/>
    <n v="1"/>
    <n v="0"/>
    <n v="0"/>
    <n v="1"/>
    <n v="100"/>
    <n v="0"/>
    <n v="0"/>
    <s v="Consolidation"/>
    <s v="CO2e and Base Measure"/>
    <n v="100"/>
    <n v="100"/>
    <n v="1.26"/>
    <m/>
    <m/>
    <m/>
    <m/>
    <m/>
    <m/>
    <m/>
    <m/>
    <m/>
    <m/>
    <m/>
    <m/>
    <m/>
    <s v="AUD"/>
    <s v="13611163Waste Recycled - Construction and Demolition [t]"/>
    <n v="13611163"/>
  </r>
  <r>
    <d v="2019-07-01T00:00:00"/>
    <d v="2021-06-30T00:00:00"/>
    <s v="Telstra"/>
    <s v="NETWORK"/>
    <s v="Network - InfraCo"/>
    <s v="NSW"/>
    <s v="Australia"/>
    <s v="City of Sydney"/>
    <s v="PITT EXCHANGE"/>
    <n v="423030304300"/>
    <s v="Recycled Waste"/>
    <x v="0"/>
    <x v="5"/>
    <s v="Account"/>
    <s v="Remondis Construction &amp; Demolition - Recycled"/>
    <m/>
    <s v="423030304300_RCONSDEM"/>
    <s v="CONSTRUCTION &amp; DEMOLITION - RECYLED"/>
    <s v="Remondis"/>
    <m/>
    <m/>
    <d v="2020-11-01T00:00:00"/>
    <d v="2020-11-01T00:00:00"/>
    <s v="FY21"/>
    <s v="t"/>
    <n v="0"/>
    <n v="0"/>
    <n v="4.2000000000000003E-2"/>
    <n v="4.2000000000000003E-2"/>
    <n v="0"/>
    <n v="0"/>
    <n v="1"/>
    <n v="1"/>
    <n v="0"/>
    <n v="0"/>
    <n v="100"/>
    <s v="Consolidation"/>
    <s v="CO2e and Base Measure"/>
    <n v="100"/>
    <n v="100"/>
    <n v="0.04"/>
    <m/>
    <m/>
    <m/>
    <m/>
    <m/>
    <m/>
    <m/>
    <m/>
    <m/>
    <m/>
    <m/>
    <m/>
    <m/>
    <s v="AUD"/>
    <s v="13611163Waste Recycled - Construction and Demolition [t]"/>
    <n v="13611163"/>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07-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08-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09-01T00:00:00"/>
    <s v="FY21"/>
    <s v="t"/>
    <n v="0"/>
    <n v="0.38879999999999998"/>
    <n v="0"/>
    <n v="0.38879999999999998"/>
    <n v="0"/>
    <n v="30"/>
    <n v="0"/>
    <n v="30"/>
    <n v="0"/>
    <n v="100"/>
    <n v="0"/>
    <s v="Consolidation"/>
    <s v="CO2e and Base Measure"/>
    <n v="100"/>
    <n v="100"/>
    <n v="0.39"/>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10-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11-01T00:00:00"/>
    <s v="FY21"/>
    <s v="t"/>
    <n v="0"/>
    <n v="0.38879999999999998"/>
    <n v="0"/>
    <n v="0.38879999999999998"/>
    <n v="0"/>
    <n v="30"/>
    <n v="0"/>
    <n v="30"/>
    <n v="0"/>
    <n v="100"/>
    <n v="0"/>
    <s v="Consolidation"/>
    <s v="CO2e and Base Measure"/>
    <n v="100"/>
    <n v="100"/>
    <n v="0.39"/>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12-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1-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2-01T00:00:00"/>
    <s v="FY21"/>
    <s v="t"/>
    <n v="0"/>
    <n v="0.3629"/>
    <n v="0"/>
    <n v="0.3629"/>
    <n v="0"/>
    <n v="28"/>
    <n v="0"/>
    <n v="28"/>
    <n v="0"/>
    <n v="100"/>
    <n v="0"/>
    <s v="Consolidation"/>
    <s v="CO2e and Base Measure"/>
    <n v="100"/>
    <n v="100"/>
    <n v="0.36"/>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3-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4-01T00:00:00"/>
    <s v="FY21"/>
    <s v="t"/>
    <n v="0"/>
    <n v="0.38879999999999998"/>
    <n v="0"/>
    <n v="0.38879999999999998"/>
    <n v="0"/>
    <n v="30"/>
    <n v="0"/>
    <n v="30"/>
    <n v="0"/>
    <n v="100"/>
    <n v="0"/>
    <s v="Consolidation"/>
    <s v="CO2e and Base Measure"/>
    <n v="100"/>
    <n v="100"/>
    <n v="0.39"/>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5-01T00:00:00"/>
    <s v="FY21"/>
    <s v="t"/>
    <n v="0"/>
    <n v="0"/>
    <n v="0.40300000000000002"/>
    <n v="0.40300000000000002"/>
    <n v="0"/>
    <n v="0"/>
    <n v="31"/>
    <n v="31"/>
    <n v="0"/>
    <n v="0"/>
    <n v="100"/>
    <s v="Consolidation"/>
    <s v="CO2e and Base Measure"/>
    <n v="100"/>
    <n v="100"/>
    <n v="0.4"/>
    <m/>
    <m/>
    <m/>
    <m/>
    <m/>
    <m/>
    <m/>
    <m/>
    <m/>
    <m/>
    <m/>
    <m/>
    <m/>
    <s v="AUD"/>
    <s v="13644550Waste Recycled - E-waste [t]"/>
    <n v="13644550"/>
  </r>
  <r>
    <d v="2019-07-01T00:00:00"/>
    <d v="2021-06-30T00:00:00"/>
    <s v="Telstra"/>
    <s v="NON-NETWORK"/>
    <s v="NON-NETWORK"/>
    <s v="SA"/>
    <s v="Australia"/>
    <s v="Port Augusta"/>
    <s v="Port Augusta 14D Tassie St"/>
    <n v="423030580000"/>
    <s v="Recycled Waste"/>
    <x v="0"/>
    <x v="0"/>
    <s v="Account"/>
    <s v="Remondis Cardboard - Loose - Recycled"/>
    <m/>
    <s v="423030580000_RCARDBOAR"/>
    <s v="CARDBOARD - LOOSE - RECYCLED"/>
    <s v="Remondis"/>
    <m/>
    <m/>
    <d v="2021-01-01T00:00:00"/>
    <d v="2020-12-01T00:00:00"/>
    <s v="FY21"/>
    <s v="t"/>
    <n v="0"/>
    <n v="0.126"/>
    <n v="0"/>
    <n v="0.126"/>
    <n v="0"/>
    <n v="2"/>
    <n v="0"/>
    <n v="2"/>
    <n v="0"/>
    <n v="100"/>
    <n v="0"/>
    <s v="Consolidation"/>
    <s v="CO2e and Base Measure"/>
    <n v="100"/>
    <n v="100"/>
    <n v="0.13"/>
    <m/>
    <m/>
    <m/>
    <m/>
    <m/>
    <m/>
    <n v="0"/>
    <m/>
    <m/>
    <m/>
    <m/>
    <m/>
    <m/>
    <s v="AUD"/>
    <s v="13564903Waste Recycled - Cardboard [t]"/>
    <n v="13564903"/>
  </r>
  <r>
    <d v="2019-07-01T00:00:00"/>
    <d v="2021-06-30T00:00:00"/>
    <s v="Telstra"/>
    <s v="NON-NETWORK"/>
    <s v="NON-NETWORK"/>
    <s v="SA"/>
    <s v="Australia"/>
    <s v="Port Augusta"/>
    <s v="Port Augusta 14D Tassie St"/>
    <n v="423030580000"/>
    <s v="Recycled Waste"/>
    <x v="0"/>
    <x v="0"/>
    <s v="Account"/>
    <s v="Remondis Cardboard - Loose - Recycled"/>
    <m/>
    <s v="423030580000_RCARDBOAR"/>
    <s v="CARDBOARD - LOOSE - RECYCLED"/>
    <s v="Remondis"/>
    <m/>
    <m/>
    <d v="2021-01-01T00:00:00"/>
    <d v="2021-01-01T00:00:00"/>
    <s v="FY21"/>
    <s v="t"/>
    <n v="0"/>
    <n v="0"/>
    <n v="8.9999999999999998E-4"/>
    <n v="8.9999999999999998E-4"/>
    <n v="0"/>
    <n v="0"/>
    <n v="1"/>
    <n v="1"/>
    <n v="0"/>
    <n v="0"/>
    <n v="100"/>
    <s v="Consolidation"/>
    <s v="CO2e and Base Measure"/>
    <n v="100"/>
    <n v="100"/>
    <n v="0"/>
    <m/>
    <m/>
    <m/>
    <m/>
    <m/>
    <m/>
    <n v="0"/>
    <m/>
    <m/>
    <m/>
    <m/>
    <m/>
    <m/>
    <s v="AUD"/>
    <s v="13564903Waste Recycled - Cardboard [t]"/>
    <n v="13564903"/>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904Waste - General [t] - Scope 3"/>
    <n v="13564904"/>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904Waste - General [t] - Scope 3"/>
    <n v="13564904"/>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904Waste - General [t] - Scope 3"/>
    <n v="13564904"/>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4904Waste - General [t] - Scope 3"/>
    <n v="13564904"/>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4904Waste - General [t] - Scope 3"/>
    <n v="13564904"/>
  </r>
  <r>
    <d v="2019-07-01T00:00:00"/>
    <d v="2021-06-30T00:00:00"/>
    <s v="Telstra"/>
    <s v="NETWORK"/>
    <s v="Network - InfraCo"/>
    <s v="SA"/>
    <s v="Australia"/>
    <s v="Port Augusta"/>
    <s v="PORT AUGUSTA EXCHANGE"/>
    <n v="423030579200"/>
    <s v="Waste"/>
    <x v="1"/>
    <x v="2"/>
    <s v="Account"/>
    <s v="Remondis General Waste"/>
    <m/>
    <s v="423030579200_WGENERALW"/>
    <s v="GENERAL WASTE"/>
    <s v="Remondis"/>
    <m/>
    <m/>
    <d v="2020-11-01T00:00:00"/>
    <d v="2020-07-01T00:00:00"/>
    <s v="FY21"/>
    <s v="t"/>
    <n v="0"/>
    <n v="0.19500000000000001"/>
    <n v="0"/>
    <n v="0.19500000000000001"/>
    <n v="0"/>
    <n v="2"/>
    <n v="0"/>
    <n v="2"/>
    <n v="0"/>
    <n v="100"/>
    <n v="0"/>
    <s v="Consolidation"/>
    <s v="CO2e and Base Measure"/>
    <n v="100"/>
    <n v="100"/>
    <n v="0.2"/>
    <m/>
    <m/>
    <m/>
    <m/>
    <m/>
    <n v="0.2535"/>
    <m/>
    <n v="0.2535"/>
    <m/>
    <m/>
    <m/>
    <m/>
    <m/>
    <s v="AUD"/>
    <s v="13564902Waste - General [t] - Scope 3"/>
    <n v="13564902"/>
  </r>
  <r>
    <d v="2019-07-01T00:00:00"/>
    <d v="2021-06-30T00:00:00"/>
    <s v="Telstra"/>
    <s v="NETWORK"/>
    <s v="Network - InfraCo"/>
    <s v="SA"/>
    <s v="Australia"/>
    <s v="Port Augusta"/>
    <s v="PORT AUGUSTA EXCHANGE"/>
    <n v="423030579200"/>
    <s v="Waste"/>
    <x v="1"/>
    <x v="2"/>
    <s v="Account"/>
    <s v="Remondis General Waste"/>
    <m/>
    <s v="423030579200_WGENERALW"/>
    <s v="GENERAL WASTE"/>
    <s v="Remondis"/>
    <m/>
    <m/>
    <d v="2020-11-01T00:00:00"/>
    <d v="2020-09-01T00:00:00"/>
    <s v="FY21"/>
    <s v="t"/>
    <n v="0"/>
    <n v="0.19500000000000001"/>
    <n v="0"/>
    <n v="0.19500000000000001"/>
    <n v="0"/>
    <n v="2"/>
    <n v="0"/>
    <n v="2"/>
    <n v="0"/>
    <n v="100"/>
    <n v="0"/>
    <s v="Consolidation"/>
    <s v="CO2e and Base Measure"/>
    <n v="100"/>
    <n v="100"/>
    <n v="0.2"/>
    <m/>
    <m/>
    <m/>
    <m/>
    <m/>
    <n v="0.2535"/>
    <m/>
    <n v="0.2535"/>
    <m/>
    <m/>
    <m/>
    <m/>
    <m/>
    <s v="AUD"/>
    <s v="13564902Waste - General [t] - Scope 3"/>
    <n v="13564902"/>
  </r>
  <r>
    <d v="2019-07-01T00:00:00"/>
    <d v="2021-06-30T00:00:00"/>
    <s v="Telstra"/>
    <s v="NETWORK"/>
    <s v="Network - InfraCo"/>
    <s v="SA"/>
    <s v="Australia"/>
    <s v="Port Augusta"/>
    <s v="PORT AUGUSTA EXCHANGE"/>
    <n v="423030579200"/>
    <s v="Waste"/>
    <x v="1"/>
    <x v="2"/>
    <s v="Account"/>
    <s v="Remondis General Waste"/>
    <m/>
    <s v="423030579200_WGENERALW"/>
    <s v="GENERAL WASTE"/>
    <s v="Remondis"/>
    <m/>
    <m/>
    <d v="2020-11-01T00:00:00"/>
    <d v="2020-10-01T00:00:00"/>
    <s v="FY21"/>
    <s v="t"/>
    <n v="0"/>
    <n v="0.19500000000000001"/>
    <n v="0"/>
    <n v="0.19500000000000001"/>
    <n v="0"/>
    <n v="2"/>
    <n v="0"/>
    <n v="2"/>
    <n v="0"/>
    <n v="100"/>
    <n v="0"/>
    <s v="Consolidation"/>
    <s v="CO2e and Base Measure"/>
    <n v="100"/>
    <n v="100"/>
    <n v="0.2"/>
    <m/>
    <m/>
    <m/>
    <m/>
    <m/>
    <n v="0.2535"/>
    <m/>
    <n v="0.2535"/>
    <m/>
    <m/>
    <m/>
    <m/>
    <m/>
    <s v="AUD"/>
    <s v="13564902Waste - General [t] - Scope 3"/>
    <n v="13564902"/>
  </r>
  <r>
    <d v="2019-07-01T00:00:00"/>
    <d v="2021-06-30T00:00:00"/>
    <s v="Telstra"/>
    <s v="NETWORK"/>
    <s v="Network - InfraCo"/>
    <s v="SA"/>
    <s v="Australia"/>
    <s v="Port Augusta"/>
    <s v="PORT AUGUSTA EXCHANGE"/>
    <n v="423030579200"/>
    <s v="Waste"/>
    <x v="1"/>
    <x v="2"/>
    <s v="Account"/>
    <s v="Remondis General Waste"/>
    <m/>
    <s v="423030579200_WGENERALW"/>
    <s v="GENERAL WASTE"/>
    <s v="Remondis"/>
    <m/>
    <m/>
    <d v="2020-11-01T00:00:00"/>
    <d v="2020-11-01T00:00:00"/>
    <s v="FY21"/>
    <s v="t"/>
    <n v="0"/>
    <n v="0"/>
    <n v="5.7999999999999996E-3"/>
    <n v="5.7999999999999996E-3"/>
    <n v="0"/>
    <n v="0"/>
    <n v="1"/>
    <n v="1"/>
    <n v="0"/>
    <n v="0"/>
    <n v="100"/>
    <s v="Consolidation"/>
    <s v="CO2e and Base Measure"/>
    <n v="100"/>
    <n v="100"/>
    <n v="0.01"/>
    <m/>
    <m/>
    <m/>
    <m/>
    <m/>
    <n v="7.4999999999999997E-3"/>
    <m/>
    <n v="7.4999999999999997E-3"/>
    <m/>
    <m/>
    <m/>
    <m/>
    <m/>
    <s v="AUD"/>
    <s v="13564902Waste - General [t] - Scope 3"/>
    <n v="13564902"/>
  </r>
  <r>
    <d v="2019-07-01T00:00:00"/>
    <d v="2021-06-30T00:00:00"/>
    <s v="Telstra"/>
    <s v="NETWORK"/>
    <s v="Network - InfraCo"/>
    <s v="VIC"/>
    <s v="Australia"/>
    <s v="Warrnambool"/>
    <s v="PORT FAIRY EXCHANGE"/>
    <n v="423030773900"/>
    <s v="Waste"/>
    <x v="1"/>
    <x v="4"/>
    <s v="Account"/>
    <s v="Remondis Construction &amp; Demolition - Landfill"/>
    <m/>
    <s v="423030773900_WCONSDEM"/>
    <s v="CONSTRUCTION &amp; DEMOLITION - LANDFILL"/>
    <s v="Remondis"/>
    <m/>
    <m/>
    <d v="2020-08-01T00:00:00"/>
    <d v="2020-07-01T00:00:00"/>
    <s v="FY21"/>
    <s v="t"/>
    <n v="0.46"/>
    <n v="0"/>
    <n v="0"/>
    <n v="0.46"/>
    <n v="1"/>
    <n v="0"/>
    <n v="0"/>
    <n v="1"/>
    <n v="100"/>
    <n v="0"/>
    <n v="0"/>
    <s v="Consolidation"/>
    <s v="CO2e and Base Measure"/>
    <n v="100"/>
    <n v="100"/>
    <n v="0.46"/>
    <m/>
    <m/>
    <m/>
    <m/>
    <m/>
    <n v="0.55200000000000005"/>
    <m/>
    <n v="0.55200000000000005"/>
    <m/>
    <m/>
    <m/>
    <m/>
    <m/>
    <s v="AUD"/>
    <s v="13602590Waste - Construction and Demolition [t]"/>
    <n v="13602590"/>
  </r>
  <r>
    <d v="2019-07-01T00:00:00"/>
    <d v="2021-06-30T00:00:00"/>
    <s v="Telstra"/>
    <s v="NETWORK"/>
    <s v="Network - InfraCo"/>
    <s v="VIC"/>
    <s v="Australia"/>
    <s v="Warrnambool"/>
    <s v="PORT FAIRY EXCHANGE"/>
    <n v="423030773900"/>
    <s v="Waste"/>
    <x v="1"/>
    <x v="4"/>
    <s v="Account"/>
    <s v="Remondis Construction &amp; Demolition - Landfill"/>
    <m/>
    <s v="423030773900_WCONSDEM"/>
    <s v="CONSTRUCTION &amp; DEMOLITION - LANDFILL"/>
    <s v="Remondis"/>
    <m/>
    <m/>
    <d v="2020-08-01T00:00:00"/>
    <d v="2020-08-01T00:00:00"/>
    <s v="FY21"/>
    <s v="t"/>
    <n v="0"/>
    <n v="0"/>
    <n v="2.3E-2"/>
    <n v="2.3E-2"/>
    <n v="0"/>
    <n v="0"/>
    <n v="1"/>
    <n v="1"/>
    <n v="0"/>
    <n v="0"/>
    <n v="100"/>
    <s v="Consolidation"/>
    <s v="CO2e and Base Measure"/>
    <n v="100"/>
    <n v="100"/>
    <n v="0.02"/>
    <m/>
    <m/>
    <m/>
    <m/>
    <m/>
    <n v="2.76E-2"/>
    <m/>
    <n v="2.76E-2"/>
    <m/>
    <m/>
    <m/>
    <m/>
    <m/>
    <s v="AUD"/>
    <s v="13602590Waste - Construction and Demolition [t]"/>
    <n v="13602590"/>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07-01T00:00:00"/>
    <s v="FY21"/>
    <s v="t"/>
    <n v="0.06"/>
    <n v="0"/>
    <n v="0"/>
    <n v="0.06"/>
    <n v="2"/>
    <n v="0"/>
    <n v="0"/>
    <n v="2"/>
    <n v="100"/>
    <n v="0"/>
    <n v="0"/>
    <s v="Consolidation"/>
    <s v="CO2e and Base Measure"/>
    <n v="100"/>
    <n v="100"/>
    <n v="0.06"/>
    <m/>
    <m/>
    <m/>
    <m/>
    <m/>
    <n v="7.8E-2"/>
    <m/>
    <n v="7.8E-2"/>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09-01T00:00:00"/>
    <s v="FY21"/>
    <s v="t"/>
    <n v="8.5000000000000006E-2"/>
    <n v="0"/>
    <n v="0"/>
    <n v="8.5000000000000006E-2"/>
    <n v="2"/>
    <n v="0"/>
    <n v="0"/>
    <n v="2"/>
    <n v="100"/>
    <n v="0"/>
    <n v="0"/>
    <s v="Consolidation"/>
    <s v="CO2e and Base Measure"/>
    <n v="100"/>
    <n v="100"/>
    <n v="0.09"/>
    <m/>
    <m/>
    <m/>
    <m/>
    <m/>
    <n v="0.1105"/>
    <m/>
    <n v="0.1105"/>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10-01T00:00:00"/>
    <s v="FY21"/>
    <s v="t"/>
    <n v="0.56999999999999995"/>
    <n v="0"/>
    <n v="0"/>
    <n v="0.56999999999999995"/>
    <n v="2"/>
    <n v="0"/>
    <n v="0"/>
    <n v="2"/>
    <n v="100"/>
    <n v="0"/>
    <n v="0"/>
    <s v="Consolidation"/>
    <s v="CO2e and Base Measure"/>
    <n v="100"/>
    <n v="100"/>
    <n v="0.56999999999999995"/>
    <m/>
    <m/>
    <m/>
    <m/>
    <m/>
    <n v="0.74099999999999999"/>
    <m/>
    <n v="0.74099999999999999"/>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11-01T00:00:00"/>
    <s v="FY21"/>
    <s v="t"/>
    <n v="0.23499999999999999"/>
    <n v="0"/>
    <n v="0"/>
    <n v="0.23499999999999999"/>
    <n v="2"/>
    <n v="0"/>
    <n v="0"/>
    <n v="2"/>
    <n v="100"/>
    <n v="0"/>
    <n v="0"/>
    <s v="Consolidation"/>
    <s v="CO2e and Base Measure"/>
    <n v="100"/>
    <n v="100"/>
    <n v="0.24"/>
    <m/>
    <m/>
    <m/>
    <m/>
    <m/>
    <n v="0.30549999999999999"/>
    <m/>
    <n v="0.30549999999999999"/>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12-01T00:00:00"/>
    <s v="FY21"/>
    <s v="t"/>
    <n v="0"/>
    <n v="0"/>
    <n v="1.5699999999999999E-2"/>
    <n v="1.5699999999999999E-2"/>
    <n v="0"/>
    <n v="0"/>
    <n v="1"/>
    <n v="1"/>
    <n v="0"/>
    <n v="0"/>
    <n v="100"/>
    <s v="Consolidation"/>
    <s v="CO2e and Base Measure"/>
    <n v="100"/>
    <n v="100"/>
    <n v="0.02"/>
    <m/>
    <m/>
    <m/>
    <m/>
    <m/>
    <n v="2.0400000000000001E-2"/>
    <m/>
    <n v="2.0400000000000001E-2"/>
    <m/>
    <m/>
    <m/>
    <m/>
    <m/>
    <s v="AUD"/>
    <s v="13564413Waste - General [t] - Scope 3"/>
    <n v="1356441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0-12-01T00:00:00"/>
    <s v="FY21"/>
    <s v="t"/>
    <n v="5.1999999999999998E-2"/>
    <n v="0"/>
    <n v="0"/>
    <n v="5.1999999999999998E-2"/>
    <n v="1"/>
    <n v="0"/>
    <n v="0"/>
    <n v="1"/>
    <n v="100"/>
    <n v="0"/>
    <n v="0"/>
    <s v="Consolidation"/>
    <s v="CO2e and Base Measure"/>
    <n v="100"/>
    <n v="100"/>
    <n v="0.05"/>
    <m/>
    <m/>
    <m/>
    <m/>
    <m/>
    <n v="6.7599999999999993E-2"/>
    <m/>
    <n v="6.7599999999999993E-2"/>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1-01T00:00:00"/>
    <s v="FY21"/>
    <s v="t"/>
    <n v="9.4E-2"/>
    <n v="0"/>
    <n v="0"/>
    <n v="9.4E-2"/>
    <n v="2"/>
    <n v="0"/>
    <n v="0"/>
    <n v="2"/>
    <n v="100"/>
    <n v="0"/>
    <n v="0"/>
    <s v="Consolidation"/>
    <s v="CO2e and Base Measure"/>
    <n v="100"/>
    <n v="100"/>
    <n v="0.09"/>
    <m/>
    <m/>
    <m/>
    <m/>
    <m/>
    <n v="0.1222"/>
    <m/>
    <n v="0.1222"/>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2-01T00:00:00"/>
    <s v="FY21"/>
    <s v="t"/>
    <n v="0.114"/>
    <n v="0"/>
    <n v="0"/>
    <n v="0.114"/>
    <n v="2"/>
    <n v="0"/>
    <n v="0"/>
    <n v="2"/>
    <n v="100"/>
    <n v="0"/>
    <n v="0"/>
    <s v="Consolidation"/>
    <s v="CO2e and Base Measure"/>
    <n v="100"/>
    <n v="100"/>
    <n v="0.11"/>
    <m/>
    <m/>
    <m/>
    <m/>
    <m/>
    <n v="0.1482"/>
    <m/>
    <n v="0.1482"/>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3-01T00:00:00"/>
    <s v="FY21"/>
    <s v="t"/>
    <n v="4.1000000000000002E-2"/>
    <n v="0.13500000000000001"/>
    <n v="0"/>
    <n v="0.17599999999999999"/>
    <n v="1"/>
    <n v="2"/>
    <n v="0"/>
    <n v="3"/>
    <n v="23.29"/>
    <n v="76.7"/>
    <n v="0"/>
    <s v="Consolidation"/>
    <s v="CO2e and Base Measure"/>
    <n v="100"/>
    <n v="100"/>
    <n v="0.18"/>
    <m/>
    <m/>
    <m/>
    <m/>
    <m/>
    <n v="0.2288"/>
    <m/>
    <n v="0.2288"/>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4-01T00:00:00"/>
    <s v="FY21"/>
    <s v="t"/>
    <n v="0"/>
    <n v="0"/>
    <n v="0.108"/>
    <n v="0.108"/>
    <n v="0"/>
    <n v="0"/>
    <n v="30"/>
    <n v="30"/>
    <n v="0"/>
    <n v="0"/>
    <n v="100"/>
    <s v="Consolidation"/>
    <s v="CO2e and Base Measure"/>
    <n v="100"/>
    <n v="100"/>
    <n v="0.11"/>
    <m/>
    <m/>
    <m/>
    <m/>
    <m/>
    <n v="0.1404"/>
    <m/>
    <n v="0.1404"/>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5-01T00:00:00"/>
    <s v="FY21"/>
    <s v="t"/>
    <n v="0"/>
    <n v="0"/>
    <n v="0.1116"/>
    <n v="0.1116"/>
    <n v="0"/>
    <n v="0"/>
    <n v="31"/>
    <n v="31"/>
    <n v="0"/>
    <n v="0"/>
    <n v="100"/>
    <s v="Consolidation"/>
    <s v="CO2e and Base Measure"/>
    <n v="100"/>
    <n v="100"/>
    <n v="0.11"/>
    <m/>
    <m/>
    <m/>
    <m/>
    <m/>
    <n v="0.14510000000000001"/>
    <m/>
    <n v="0.14510000000000001"/>
    <m/>
    <m/>
    <m/>
    <m/>
    <m/>
    <s v="AUD"/>
    <s v="13634233Waste - General [t] - Scope 3"/>
    <n v="13634233"/>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08-01T00:00:00"/>
    <s v="FY21"/>
    <s v="t"/>
    <n v="0"/>
    <n v="3.15E-2"/>
    <n v="0"/>
    <n v="3.15E-2"/>
    <n v="0"/>
    <n v="1"/>
    <n v="0"/>
    <n v="1"/>
    <n v="0"/>
    <n v="100"/>
    <n v="0"/>
    <s v="Consolidation"/>
    <s v="CO2e and Base Measure"/>
    <n v="100"/>
    <n v="100"/>
    <n v="0.03"/>
    <m/>
    <m/>
    <m/>
    <m/>
    <m/>
    <m/>
    <n v="0"/>
    <m/>
    <m/>
    <m/>
    <m/>
    <m/>
    <m/>
    <s v="AUD"/>
    <s v="13564907Waste Recycled - Cardboard [t]"/>
    <n v="13564907"/>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907Waste Recycled - Cardboard [t]"/>
    <n v="13564907"/>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10-01T00:00:00"/>
    <s v="FY21"/>
    <s v="t"/>
    <n v="0"/>
    <n v="6.3E-2"/>
    <n v="0"/>
    <n v="6.3E-2"/>
    <n v="0"/>
    <n v="2"/>
    <n v="0"/>
    <n v="2"/>
    <n v="0"/>
    <n v="100"/>
    <n v="0"/>
    <s v="Consolidation"/>
    <s v="CO2e and Base Measure"/>
    <n v="100"/>
    <n v="100"/>
    <n v="0.06"/>
    <m/>
    <m/>
    <m/>
    <m/>
    <m/>
    <m/>
    <n v="0"/>
    <m/>
    <m/>
    <m/>
    <m/>
    <m/>
    <m/>
    <s v="AUD"/>
    <s v="13564907Waste Recycled - Cardboard [t]"/>
    <n v="13564907"/>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907Waste Recycled - Cardboard [t]"/>
    <n v="13564907"/>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12-01T00:00:00"/>
    <s v="FY21"/>
    <s v="t"/>
    <n v="0"/>
    <n v="0"/>
    <n v="1E-3"/>
    <n v="1E-3"/>
    <n v="0"/>
    <n v="0"/>
    <n v="1"/>
    <n v="1"/>
    <n v="0"/>
    <n v="0"/>
    <n v="100"/>
    <s v="Consolidation"/>
    <s v="CO2e and Base Measure"/>
    <n v="100"/>
    <n v="100"/>
    <n v="0"/>
    <m/>
    <m/>
    <m/>
    <m/>
    <m/>
    <m/>
    <n v="0"/>
    <m/>
    <m/>
    <m/>
    <m/>
    <m/>
    <m/>
    <s v="AUD"/>
    <s v="13564907Waste Recycled - Cardboard [t]"/>
    <n v="13564907"/>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908Waste - General [t] - Scope 3"/>
    <n v="13564908"/>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908Waste - General [t] - Scope 3"/>
    <n v="13564908"/>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908Waste - General [t] - Scope 3"/>
    <n v="13564908"/>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908Waste - General [t] - Scope 3"/>
    <n v="13564908"/>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908Waste - General [t] - Scope 3"/>
    <n v="13564908"/>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67Waste - General [t] - Scope 3"/>
    <n v="13634467"/>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67Waste - General [t] - Scope 3"/>
    <n v="13634467"/>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467Waste - General [t] - Scope 3"/>
    <n v="13634467"/>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4-01T00:00:00"/>
    <s v="FY21"/>
    <s v="t"/>
    <n v="0"/>
    <n v="0"/>
    <n v="0.13800000000000001"/>
    <n v="0.13800000000000001"/>
    <n v="0"/>
    <n v="0"/>
    <n v="30"/>
    <n v="30"/>
    <n v="0"/>
    <n v="0"/>
    <n v="100"/>
    <s v="Consolidation"/>
    <s v="CO2e and Base Measure"/>
    <n v="100"/>
    <n v="100"/>
    <n v="0.14000000000000001"/>
    <m/>
    <m/>
    <m/>
    <m/>
    <m/>
    <n v="0.1794"/>
    <m/>
    <n v="0.1794"/>
    <m/>
    <m/>
    <m/>
    <m/>
    <m/>
    <s v="AUD"/>
    <s v="13634467Waste - General [t] - Scope 3"/>
    <n v="13634467"/>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5-01T00:00:00"/>
    <s v="FY21"/>
    <s v="t"/>
    <n v="0"/>
    <n v="0"/>
    <n v="0.1426"/>
    <n v="0.1426"/>
    <n v="0"/>
    <n v="0"/>
    <n v="31"/>
    <n v="31"/>
    <n v="0"/>
    <n v="0"/>
    <n v="100"/>
    <s v="Consolidation"/>
    <s v="CO2e and Base Measure"/>
    <n v="100"/>
    <n v="100"/>
    <n v="0.14000000000000001"/>
    <m/>
    <m/>
    <m/>
    <m/>
    <m/>
    <n v="0.18540000000000001"/>
    <m/>
    <n v="0.18540000000000001"/>
    <m/>
    <m/>
    <m/>
    <m/>
    <m/>
    <s v="AUD"/>
    <s v="13634467Waste - General [t] - Scope 3"/>
    <n v="13634467"/>
  </r>
  <r>
    <d v="2019-07-01T00:00:00"/>
    <d v="2021-06-30T00:00:00"/>
    <s v="Telstra"/>
    <s v="NETWORK"/>
    <s v="Network - InfraCo"/>
    <s v="SA"/>
    <s v="Australia"/>
    <s v="Port Lincoln"/>
    <s v="PORT LINCOLN EXCHANGE"/>
    <n v="423030581300"/>
    <s v="Recycled Waste"/>
    <x v="0"/>
    <x v="0"/>
    <s v="Account"/>
    <s v="CLEANAWAY Cardboard"/>
    <m/>
    <s v="12296_Diversion_Cardboard"/>
    <s v="Cardboard"/>
    <s v="Cleanaway"/>
    <m/>
    <d v="2021-03-04T00:00:00"/>
    <m/>
    <d v="2021-03-01T00:00:00"/>
    <s v="FY21"/>
    <s v="t"/>
    <n v="0"/>
    <n v="3.7499999999999999E-2"/>
    <n v="0"/>
    <n v="3.7499999999999999E-2"/>
    <n v="0"/>
    <n v="1"/>
    <n v="0"/>
    <n v="1"/>
    <n v="0"/>
    <n v="100"/>
    <n v="0"/>
    <s v="Consolidation"/>
    <s v="CO2e and Base Measure"/>
    <n v="100"/>
    <n v="100"/>
    <n v="0.04"/>
    <m/>
    <m/>
    <m/>
    <m/>
    <m/>
    <m/>
    <m/>
    <m/>
    <m/>
    <m/>
    <m/>
    <m/>
    <m/>
    <s v="AUD"/>
    <s v="13641208Waste Recycled - Paper and Cardboard [t]"/>
    <n v="13641208"/>
  </r>
  <r>
    <d v="2019-07-01T00:00:00"/>
    <d v="2021-06-30T00:00:00"/>
    <s v="Telstra"/>
    <s v="NETWORK"/>
    <s v="Network - InfraCo"/>
    <s v="SA"/>
    <s v="Australia"/>
    <s v="Port Lincoln"/>
    <s v="PORT LINCOLN EXCHANGE"/>
    <n v="423030581300"/>
    <s v="Recycled Waste"/>
    <x v="0"/>
    <x v="0"/>
    <s v="Account"/>
    <s v="CLEANAWAY Cardboard"/>
    <m/>
    <s v="12296_Diversion_Cardboard"/>
    <s v="Cardboard"/>
    <s v="Cleanaway"/>
    <m/>
    <d v="2021-03-04T00:00:00"/>
    <m/>
    <d v="2021-04-01T00:00:00"/>
    <s v="FY21"/>
    <s v="t"/>
    <n v="0"/>
    <n v="0"/>
    <n v="3.9E-2"/>
    <n v="3.9E-2"/>
    <n v="0"/>
    <n v="0"/>
    <n v="30"/>
    <n v="30"/>
    <n v="0"/>
    <n v="0"/>
    <n v="100"/>
    <s v="Consolidation"/>
    <s v="CO2e and Base Measure"/>
    <n v="100"/>
    <n v="100"/>
    <n v="0.04"/>
    <m/>
    <m/>
    <m/>
    <m/>
    <m/>
    <m/>
    <m/>
    <m/>
    <m/>
    <m/>
    <m/>
    <m/>
    <m/>
    <s v="AUD"/>
    <s v="13641208Waste Recycled - Paper and Cardboard [t]"/>
    <n v="13641208"/>
  </r>
  <r>
    <d v="2019-07-01T00:00:00"/>
    <d v="2021-06-30T00:00:00"/>
    <s v="Telstra"/>
    <s v="NETWORK"/>
    <s v="Network - InfraCo"/>
    <s v="SA"/>
    <s v="Australia"/>
    <s v="Port Lincoln"/>
    <s v="PORT LINCOLN EXCHANGE"/>
    <n v="423030581300"/>
    <s v="Recycled Waste"/>
    <x v="0"/>
    <x v="0"/>
    <s v="Account"/>
    <s v="CLEANAWAY Cardboard"/>
    <m/>
    <s v="12296_Diversion_Cardboard"/>
    <s v="Cardboard"/>
    <s v="Cleanaway"/>
    <m/>
    <d v="2021-03-04T00:00:00"/>
    <m/>
    <d v="2021-05-01T00:00:00"/>
    <s v="FY21"/>
    <s v="t"/>
    <n v="0"/>
    <n v="0"/>
    <n v="4.0300000000000002E-2"/>
    <n v="4.0300000000000002E-2"/>
    <n v="0"/>
    <n v="0"/>
    <n v="31"/>
    <n v="31"/>
    <n v="0"/>
    <n v="0"/>
    <n v="100"/>
    <s v="Consolidation"/>
    <s v="CO2e and Base Measure"/>
    <n v="100"/>
    <n v="100"/>
    <n v="0.04"/>
    <m/>
    <m/>
    <m/>
    <m/>
    <m/>
    <m/>
    <m/>
    <m/>
    <m/>
    <m/>
    <m/>
    <m/>
    <m/>
    <s v="AUD"/>
    <s v="13641208Waste Recycled - Paper and Cardboard [t]"/>
    <n v="13641208"/>
  </r>
  <r>
    <d v="2019-07-01T00:00:00"/>
    <d v="2021-06-30T00:00:00"/>
    <s v="Telstra"/>
    <s v="NON-NETWORK"/>
    <s v="NON-NETWORK"/>
    <s v="NSW"/>
    <s v="Australia"/>
    <s v="Port Macquarie"/>
    <s v="Port Macquarie 12 Belah Rd"/>
    <n v="423031639700"/>
    <s v="Waste"/>
    <x v="1"/>
    <x v="2"/>
    <s v="Account"/>
    <s v="Remondis General Waste"/>
    <m/>
    <s v="423031639700_WGENERALW"/>
    <s v="GENERAL WASTE"/>
    <s v="Remondis"/>
    <m/>
    <m/>
    <d v="2020-12-01T00:00:00"/>
    <d v="2020-08-01T00:00:00"/>
    <s v="FY21"/>
    <s v="t"/>
    <n v="0"/>
    <n v="5.28E-2"/>
    <n v="0"/>
    <n v="5.28E-2"/>
    <n v="0"/>
    <n v="1"/>
    <n v="0"/>
    <n v="1"/>
    <n v="0"/>
    <n v="100"/>
    <n v="0"/>
    <s v="Consolidation"/>
    <s v="CO2e and Base Measure"/>
    <n v="100"/>
    <n v="100"/>
    <n v="0.05"/>
    <m/>
    <m/>
    <m/>
    <m/>
    <m/>
    <n v="6.8599999999999994E-2"/>
    <m/>
    <n v="6.8599999999999994E-2"/>
    <m/>
    <m/>
    <m/>
    <m/>
    <m/>
    <s v="AUD"/>
    <s v="13565743Waste - General [t] - Scope 3"/>
    <n v="13565743"/>
  </r>
  <r>
    <d v="2019-07-01T00:00:00"/>
    <d v="2021-06-30T00:00:00"/>
    <s v="Telstra"/>
    <s v="NON-NETWORK"/>
    <s v="NON-NETWORK"/>
    <s v="NSW"/>
    <s v="Australia"/>
    <s v="Port Macquarie"/>
    <s v="Port Macquarie 12 Belah Rd"/>
    <n v="423031639700"/>
    <s v="Waste"/>
    <x v="1"/>
    <x v="2"/>
    <s v="Account"/>
    <s v="Remondis General Waste"/>
    <m/>
    <s v="423031639700_WGENERALW"/>
    <s v="GENERAL WASTE"/>
    <s v="Remondis"/>
    <m/>
    <m/>
    <d v="2020-12-01T00:00:00"/>
    <d v="2020-11-01T00:00:00"/>
    <s v="FY21"/>
    <s v="t"/>
    <n v="0"/>
    <n v="8.5800000000000001E-2"/>
    <n v="0"/>
    <n v="8.5800000000000001E-2"/>
    <n v="0"/>
    <n v="2"/>
    <n v="0"/>
    <n v="2"/>
    <n v="0"/>
    <n v="100"/>
    <n v="0"/>
    <s v="Consolidation"/>
    <s v="CO2e and Base Measure"/>
    <n v="100"/>
    <n v="100"/>
    <n v="0.09"/>
    <m/>
    <m/>
    <m/>
    <m/>
    <m/>
    <n v="0.1115"/>
    <m/>
    <n v="0.1115"/>
    <m/>
    <m/>
    <m/>
    <m/>
    <m/>
    <s v="AUD"/>
    <s v="13565743Waste - General [t] - Scope 3"/>
    <n v="13565743"/>
  </r>
  <r>
    <d v="2019-07-01T00:00:00"/>
    <d v="2021-06-30T00:00:00"/>
    <s v="Telstra"/>
    <s v="NON-NETWORK"/>
    <s v="NON-NETWORK"/>
    <s v="NSW"/>
    <s v="Australia"/>
    <s v="Port Macquarie"/>
    <s v="Port Macquarie 12 Belah Rd"/>
    <n v="423031639700"/>
    <s v="Waste"/>
    <x v="1"/>
    <x v="2"/>
    <s v="Account"/>
    <s v="Remondis General Waste"/>
    <m/>
    <s v="423031639700_WGENERALW"/>
    <s v="GENERAL WASTE"/>
    <s v="Remondis"/>
    <m/>
    <m/>
    <d v="2020-12-01T00:00:00"/>
    <d v="2020-12-01T00:00:00"/>
    <s v="FY21"/>
    <s v="t"/>
    <n v="0"/>
    <n v="0"/>
    <n v="1.1000000000000001E-3"/>
    <n v="1.1000000000000001E-3"/>
    <n v="0"/>
    <n v="0"/>
    <n v="1"/>
    <n v="1"/>
    <n v="0"/>
    <n v="0"/>
    <n v="100"/>
    <s v="Consolidation"/>
    <s v="CO2e and Base Measure"/>
    <n v="100"/>
    <n v="100"/>
    <n v="0"/>
    <m/>
    <m/>
    <m/>
    <m/>
    <m/>
    <n v="1.4E-3"/>
    <m/>
    <n v="1.4E-3"/>
    <m/>
    <m/>
    <m/>
    <m/>
    <m/>
    <s v="AUD"/>
    <s v="13565743Waste - General [t] - Scope 3"/>
    <n v="13565743"/>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07-01T00:00:00"/>
    <s v="FY21"/>
    <s v="t"/>
    <n v="0"/>
    <n v="6.3E-2"/>
    <n v="0"/>
    <n v="6.3E-2"/>
    <n v="0"/>
    <n v="1"/>
    <n v="0"/>
    <n v="1"/>
    <n v="0"/>
    <n v="100"/>
    <n v="0"/>
    <s v="Consolidation"/>
    <s v="CO2e and Base Measure"/>
    <n v="100"/>
    <n v="100"/>
    <n v="0.06"/>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09-01T00:00:00"/>
    <s v="FY21"/>
    <s v="t"/>
    <n v="0"/>
    <n v="6.3E-2"/>
    <n v="0"/>
    <n v="6.3E-2"/>
    <n v="0"/>
    <n v="1"/>
    <n v="0"/>
    <n v="1"/>
    <n v="0"/>
    <n v="100"/>
    <n v="0"/>
    <s v="Consolidation"/>
    <s v="CO2e and Base Measure"/>
    <n v="100"/>
    <n v="100"/>
    <n v="0.06"/>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11-01T00:00:00"/>
    <s v="FY21"/>
    <s v="t"/>
    <n v="0"/>
    <n v="6.3E-2"/>
    <n v="0"/>
    <n v="6.3E-2"/>
    <n v="0"/>
    <n v="1"/>
    <n v="0"/>
    <n v="1"/>
    <n v="0"/>
    <n v="100"/>
    <n v="0"/>
    <s v="Consolidation"/>
    <s v="CO2e and Base Measure"/>
    <n v="100"/>
    <n v="100"/>
    <n v="0.06"/>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5100Waste Recycled - Cardboard [t]"/>
    <n v="13565100"/>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5101Waste - General [t] - Scope 3"/>
    <n v="13565101"/>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1-01T00:00:00"/>
    <s v="FY21"/>
    <s v="t"/>
    <n v="0.124"/>
    <n v="0"/>
    <n v="0"/>
    <n v="0.124"/>
    <n v="1"/>
    <n v="0"/>
    <n v="0"/>
    <n v="1"/>
    <n v="100"/>
    <n v="0"/>
    <n v="0"/>
    <s v="Consolidation"/>
    <s v="CO2e and Base Measure"/>
    <n v="100"/>
    <n v="100"/>
    <n v="0.12"/>
    <m/>
    <m/>
    <m/>
    <m/>
    <m/>
    <n v="0.16120000000000001"/>
    <m/>
    <n v="0.16120000000000001"/>
    <m/>
    <m/>
    <m/>
    <m/>
    <m/>
    <s v="AUD"/>
    <s v="13634468Waste - General [t] - Scope 3"/>
    <n v="13634468"/>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2-01T00:00:00"/>
    <s v="FY21"/>
    <s v="t"/>
    <n v="0.17199999999999999"/>
    <n v="0"/>
    <n v="0"/>
    <n v="0.17199999999999999"/>
    <n v="1"/>
    <n v="0"/>
    <n v="0"/>
    <n v="1"/>
    <n v="100"/>
    <n v="0"/>
    <n v="0"/>
    <s v="Consolidation"/>
    <s v="CO2e and Base Measure"/>
    <n v="100"/>
    <n v="100"/>
    <n v="0.17"/>
    <m/>
    <m/>
    <m/>
    <m/>
    <m/>
    <n v="0.22359999999999999"/>
    <m/>
    <n v="0.22359999999999999"/>
    <m/>
    <m/>
    <m/>
    <m/>
    <m/>
    <s v="AUD"/>
    <s v="13634468Waste - General [t] - Scope 3"/>
    <n v="13634468"/>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3-01T00:00:00"/>
    <s v="FY21"/>
    <s v="t"/>
    <n v="0"/>
    <n v="0"/>
    <n v="0.15809999999999999"/>
    <n v="0.15809999999999999"/>
    <n v="0"/>
    <n v="0"/>
    <n v="31"/>
    <n v="31"/>
    <n v="0"/>
    <n v="0"/>
    <n v="100"/>
    <s v="Consolidation"/>
    <s v="CO2e and Base Measure"/>
    <n v="100"/>
    <n v="100"/>
    <n v="0.16"/>
    <m/>
    <m/>
    <m/>
    <m/>
    <m/>
    <n v="0.20549999999999999"/>
    <m/>
    <n v="0.20549999999999999"/>
    <m/>
    <m/>
    <m/>
    <m/>
    <m/>
    <s v="AUD"/>
    <s v="13634468Waste - General [t] - Scope 3"/>
    <n v="13634468"/>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4-01T00:00:00"/>
    <s v="FY21"/>
    <s v="t"/>
    <n v="0"/>
    <n v="0"/>
    <n v="0.153"/>
    <n v="0.153"/>
    <n v="0"/>
    <n v="0"/>
    <n v="30"/>
    <n v="30"/>
    <n v="0"/>
    <n v="0"/>
    <n v="100"/>
    <s v="Consolidation"/>
    <s v="CO2e and Base Measure"/>
    <n v="100"/>
    <n v="100"/>
    <n v="0.15"/>
    <m/>
    <m/>
    <m/>
    <m/>
    <m/>
    <n v="0.19889999999999999"/>
    <m/>
    <n v="0.19889999999999999"/>
    <m/>
    <m/>
    <m/>
    <m/>
    <m/>
    <s v="AUD"/>
    <s v="13634468Waste - General [t] - Scope 3"/>
    <n v="13634468"/>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5-01T00:00:00"/>
    <s v="FY21"/>
    <s v="t"/>
    <n v="0"/>
    <n v="0"/>
    <n v="0.15809999999999999"/>
    <n v="0.15809999999999999"/>
    <n v="0"/>
    <n v="0"/>
    <n v="31"/>
    <n v="31"/>
    <n v="0"/>
    <n v="0"/>
    <n v="100"/>
    <s v="Consolidation"/>
    <s v="CO2e and Base Measure"/>
    <n v="100"/>
    <n v="100"/>
    <n v="0.16"/>
    <m/>
    <m/>
    <m/>
    <m/>
    <m/>
    <n v="0.20549999999999999"/>
    <m/>
    <n v="0.20549999999999999"/>
    <m/>
    <m/>
    <m/>
    <m/>
    <m/>
    <s v="AUD"/>
    <s v="13634468Waste - General [t] - Scope 3"/>
    <n v="13634468"/>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1-01T00:00:00"/>
    <s v="FY21"/>
    <s v="t"/>
    <n v="0.10299999999999999"/>
    <n v="0"/>
    <n v="0"/>
    <n v="0.10299999999999999"/>
    <n v="1"/>
    <n v="0"/>
    <n v="0"/>
    <n v="1"/>
    <n v="100"/>
    <n v="0"/>
    <n v="0"/>
    <s v="Consolidation"/>
    <s v="CO2e and Base Measure"/>
    <n v="100"/>
    <n v="100"/>
    <n v="0.1"/>
    <m/>
    <m/>
    <m/>
    <m/>
    <m/>
    <m/>
    <m/>
    <m/>
    <m/>
    <m/>
    <m/>
    <m/>
    <m/>
    <s v="AUD"/>
    <s v="13634469Waste Recycled - Paper and Cardboard [t]"/>
    <n v="13634469"/>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2-01T00:00:00"/>
    <s v="FY21"/>
    <s v="t"/>
    <n v="0"/>
    <n v="0"/>
    <n v="9.5200000000000007E-2"/>
    <n v="9.5200000000000007E-2"/>
    <n v="0"/>
    <n v="0"/>
    <n v="28"/>
    <n v="28"/>
    <n v="0"/>
    <n v="0"/>
    <n v="100"/>
    <s v="Consolidation"/>
    <s v="CO2e and Base Measure"/>
    <n v="100"/>
    <n v="100"/>
    <n v="0.1"/>
    <m/>
    <m/>
    <m/>
    <m/>
    <m/>
    <m/>
    <m/>
    <m/>
    <m/>
    <m/>
    <m/>
    <m/>
    <m/>
    <s v="AUD"/>
    <s v="13634469Waste Recycled - Paper and Cardboard [t]"/>
    <n v="13634469"/>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3-01T00:00:00"/>
    <s v="FY21"/>
    <s v="t"/>
    <n v="0"/>
    <n v="0"/>
    <n v="0.10539999999999999"/>
    <n v="0.10539999999999999"/>
    <n v="0"/>
    <n v="0"/>
    <n v="31"/>
    <n v="31"/>
    <n v="0"/>
    <n v="0"/>
    <n v="100"/>
    <s v="Consolidation"/>
    <s v="CO2e and Base Measure"/>
    <n v="100"/>
    <n v="100"/>
    <n v="0.11"/>
    <m/>
    <m/>
    <m/>
    <m/>
    <m/>
    <m/>
    <m/>
    <m/>
    <m/>
    <m/>
    <m/>
    <m/>
    <m/>
    <s v="AUD"/>
    <s v="13634469Waste Recycled - Paper and Cardboard [t]"/>
    <n v="13634469"/>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4-01T00:00:00"/>
    <s v="FY21"/>
    <s v="t"/>
    <n v="0"/>
    <n v="0"/>
    <n v="0.10199999999999999"/>
    <n v="0.10199999999999999"/>
    <n v="0"/>
    <n v="0"/>
    <n v="30"/>
    <n v="30"/>
    <n v="0"/>
    <n v="0"/>
    <n v="100"/>
    <s v="Consolidation"/>
    <s v="CO2e and Base Measure"/>
    <n v="100"/>
    <n v="100"/>
    <n v="0.1"/>
    <m/>
    <m/>
    <m/>
    <m/>
    <m/>
    <m/>
    <m/>
    <m/>
    <m/>
    <m/>
    <m/>
    <m/>
    <m/>
    <s v="AUD"/>
    <s v="13634469Waste Recycled - Paper and Cardboard [t]"/>
    <n v="13634469"/>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5-01T00:00:00"/>
    <s v="FY21"/>
    <s v="t"/>
    <n v="0"/>
    <n v="0"/>
    <n v="0.10539999999999999"/>
    <n v="0.10539999999999999"/>
    <n v="0"/>
    <n v="0"/>
    <n v="31"/>
    <n v="31"/>
    <n v="0"/>
    <n v="0"/>
    <n v="100"/>
    <s v="Consolidation"/>
    <s v="CO2e and Base Measure"/>
    <n v="100"/>
    <n v="100"/>
    <n v="0.11"/>
    <m/>
    <m/>
    <m/>
    <m/>
    <m/>
    <m/>
    <m/>
    <m/>
    <m/>
    <m/>
    <m/>
    <m/>
    <m/>
    <s v="AUD"/>
    <s v="13634469Waste Recycled - Paper and Cardboard [t]"/>
    <n v="13634469"/>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07-01T00:00:00"/>
    <s v="FY21"/>
    <s v="t"/>
    <n v="0"/>
    <n v="0.126"/>
    <n v="0"/>
    <n v="0.126"/>
    <n v="0"/>
    <n v="1"/>
    <n v="0"/>
    <n v="1"/>
    <n v="0"/>
    <n v="100"/>
    <n v="0"/>
    <s v="Consolidation"/>
    <s v="CO2e and Base Measure"/>
    <n v="100"/>
    <n v="100"/>
    <n v="0.13"/>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08-01T00:00:00"/>
    <s v="FY21"/>
    <s v="t"/>
    <n v="0"/>
    <n v="0.126"/>
    <n v="0"/>
    <n v="0.126"/>
    <n v="0"/>
    <n v="1"/>
    <n v="0"/>
    <n v="1"/>
    <n v="0"/>
    <n v="100"/>
    <n v="0"/>
    <s v="Consolidation"/>
    <s v="CO2e and Base Measure"/>
    <n v="100"/>
    <n v="100"/>
    <n v="0.13"/>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09-01T00:00:00"/>
    <s v="FY21"/>
    <s v="t"/>
    <n v="0"/>
    <n v="0.252"/>
    <n v="0"/>
    <n v="0.252"/>
    <n v="0"/>
    <n v="2"/>
    <n v="0"/>
    <n v="2"/>
    <n v="0"/>
    <n v="100"/>
    <n v="0"/>
    <s v="Consolidation"/>
    <s v="CO2e and Base Measure"/>
    <n v="100"/>
    <n v="100"/>
    <n v="0.25"/>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10-01T00:00:00"/>
    <s v="FY21"/>
    <s v="t"/>
    <n v="0"/>
    <n v="0.126"/>
    <n v="0"/>
    <n v="0.126"/>
    <n v="0"/>
    <n v="1"/>
    <n v="0"/>
    <n v="1"/>
    <n v="0"/>
    <n v="100"/>
    <n v="0"/>
    <s v="Consolidation"/>
    <s v="CO2e and Base Measure"/>
    <n v="100"/>
    <n v="100"/>
    <n v="0.13"/>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11-01T00:00:00"/>
    <s v="FY21"/>
    <s v="t"/>
    <n v="0"/>
    <n v="0.126"/>
    <n v="0"/>
    <n v="0.126"/>
    <n v="0"/>
    <n v="1"/>
    <n v="0"/>
    <n v="1"/>
    <n v="0"/>
    <n v="100"/>
    <n v="0"/>
    <s v="Consolidation"/>
    <s v="CO2e and Base Measure"/>
    <n v="100"/>
    <n v="100"/>
    <n v="0.13"/>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12-01T00:00:00"/>
    <s v="FY21"/>
    <s v="t"/>
    <n v="0"/>
    <n v="0"/>
    <n v="4.7999999999999996E-3"/>
    <n v="4.7999999999999996E-3"/>
    <n v="0"/>
    <n v="0"/>
    <n v="1"/>
    <n v="1"/>
    <n v="0"/>
    <n v="0"/>
    <n v="100"/>
    <s v="Consolidation"/>
    <s v="CO2e and Base Measure"/>
    <n v="100"/>
    <n v="100"/>
    <n v="0"/>
    <m/>
    <m/>
    <m/>
    <m/>
    <m/>
    <m/>
    <n v="0"/>
    <m/>
    <m/>
    <m/>
    <m/>
    <m/>
    <m/>
    <s v="AUD"/>
    <s v="13565228Waste Recycled - Cardboard [t]"/>
    <n v="13565228"/>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5229Waste - General [t] - Scope 3"/>
    <n v="13565229"/>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0-12-01T00:00:00"/>
    <s v="FY21"/>
    <s v="t"/>
    <n v="0.03"/>
    <n v="0"/>
    <n v="0"/>
    <n v="0.03"/>
    <n v="1"/>
    <n v="0"/>
    <n v="0"/>
    <n v="1"/>
    <n v="100"/>
    <n v="0"/>
    <n v="0"/>
    <s v="Consolidation"/>
    <s v="CO2e and Base Measure"/>
    <n v="100"/>
    <n v="100"/>
    <n v="0.03"/>
    <m/>
    <m/>
    <m/>
    <m/>
    <m/>
    <n v="3.9E-2"/>
    <m/>
    <n v="3.9E-2"/>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1-01T00:00:00"/>
    <s v="FY21"/>
    <s v="t"/>
    <n v="0.14499999999999999"/>
    <n v="0"/>
    <n v="0"/>
    <n v="0.14499999999999999"/>
    <n v="1"/>
    <n v="0"/>
    <n v="0"/>
    <n v="1"/>
    <n v="100"/>
    <n v="0"/>
    <n v="0"/>
    <s v="Consolidation"/>
    <s v="CO2e and Base Measure"/>
    <n v="100"/>
    <n v="100"/>
    <n v="0.15"/>
    <m/>
    <m/>
    <m/>
    <m/>
    <m/>
    <n v="0.1885"/>
    <m/>
    <n v="0.1885"/>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2-01T00:00:00"/>
    <s v="FY21"/>
    <s v="t"/>
    <n v="3.1E-2"/>
    <n v="0"/>
    <n v="0"/>
    <n v="3.1E-2"/>
    <n v="1"/>
    <n v="0"/>
    <n v="0"/>
    <n v="1"/>
    <n v="100"/>
    <n v="0"/>
    <n v="0"/>
    <s v="Consolidation"/>
    <s v="CO2e and Base Measure"/>
    <n v="100"/>
    <n v="100"/>
    <n v="0.03"/>
    <m/>
    <m/>
    <m/>
    <m/>
    <m/>
    <n v="4.0300000000000002E-2"/>
    <m/>
    <n v="4.0300000000000002E-2"/>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3-01T00:00:00"/>
    <s v="FY21"/>
    <s v="t"/>
    <n v="7.3999999999999996E-2"/>
    <n v="0"/>
    <n v="0"/>
    <n v="7.3999999999999996E-2"/>
    <n v="1"/>
    <n v="0"/>
    <n v="0"/>
    <n v="1"/>
    <n v="100"/>
    <n v="0"/>
    <n v="0"/>
    <s v="Consolidation"/>
    <s v="CO2e and Base Measure"/>
    <n v="100"/>
    <n v="100"/>
    <n v="7.0000000000000007E-2"/>
    <m/>
    <m/>
    <m/>
    <m/>
    <m/>
    <n v="9.6199999999999994E-2"/>
    <m/>
    <n v="9.6199999999999994E-2"/>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34Waste - General [t] - Scope 3"/>
    <n v="13634234"/>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0-12-01T00:00:00"/>
    <s v="FY21"/>
    <s v="t"/>
    <n v="0"/>
    <n v="0.15"/>
    <n v="0"/>
    <n v="0.15"/>
    <n v="0"/>
    <n v="1"/>
    <n v="0"/>
    <n v="1"/>
    <n v="0"/>
    <n v="100"/>
    <n v="0"/>
    <s v="Consolidation"/>
    <s v="CO2e and Base Measure"/>
    <n v="100"/>
    <n v="100"/>
    <n v="0.15"/>
    <m/>
    <m/>
    <m/>
    <m/>
    <m/>
    <m/>
    <m/>
    <m/>
    <m/>
    <m/>
    <m/>
    <m/>
    <m/>
    <s v="AUD"/>
    <s v="13634235Waste Recycled - Paper and Cardboard [t]"/>
    <n v="13634235"/>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1-02-01T00:00:00"/>
    <s v="FY21"/>
    <s v="t"/>
    <n v="0"/>
    <n v="0.15"/>
    <n v="0"/>
    <n v="0.15"/>
    <n v="0"/>
    <n v="1"/>
    <n v="0"/>
    <n v="1"/>
    <n v="0"/>
    <n v="100"/>
    <n v="0"/>
    <s v="Consolidation"/>
    <s v="CO2e and Base Measure"/>
    <n v="100"/>
    <n v="100"/>
    <n v="0.15"/>
    <m/>
    <m/>
    <m/>
    <m/>
    <m/>
    <m/>
    <m/>
    <m/>
    <m/>
    <m/>
    <m/>
    <m/>
    <m/>
    <s v="AUD"/>
    <s v="13634235Waste Recycled - Paper and Cardboard [t]"/>
    <n v="13634235"/>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1-03-01T00:00:00"/>
    <s v="FY21"/>
    <s v="t"/>
    <n v="0.05"/>
    <n v="0"/>
    <n v="0"/>
    <n v="0.05"/>
    <n v="1"/>
    <n v="0"/>
    <n v="0"/>
    <n v="1"/>
    <n v="100"/>
    <n v="0"/>
    <n v="0"/>
    <s v="Consolidation"/>
    <s v="CO2e and Base Measure"/>
    <n v="100"/>
    <n v="100"/>
    <n v="0.05"/>
    <m/>
    <m/>
    <m/>
    <m/>
    <m/>
    <m/>
    <m/>
    <m/>
    <m/>
    <m/>
    <m/>
    <m/>
    <m/>
    <s v="AUD"/>
    <s v="13634235Waste Recycled - Paper and Cardboard [t]"/>
    <n v="13634235"/>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1-04-01T00:00:00"/>
    <s v="FY21"/>
    <s v="t"/>
    <n v="0"/>
    <n v="0"/>
    <n v="8.6999999999999994E-2"/>
    <n v="8.6999999999999994E-2"/>
    <n v="0"/>
    <n v="0"/>
    <n v="30"/>
    <n v="30"/>
    <n v="0"/>
    <n v="0"/>
    <n v="100"/>
    <s v="Consolidation"/>
    <s v="CO2e and Base Measure"/>
    <n v="100"/>
    <n v="100"/>
    <n v="0.09"/>
    <m/>
    <m/>
    <m/>
    <m/>
    <m/>
    <m/>
    <m/>
    <m/>
    <m/>
    <m/>
    <m/>
    <m/>
    <m/>
    <s v="AUD"/>
    <s v="13634235Waste Recycled - Paper and Cardboard [t]"/>
    <n v="13634235"/>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1-05-01T00:00:00"/>
    <s v="FY21"/>
    <s v="t"/>
    <n v="0"/>
    <n v="0"/>
    <n v="8.9899999999999994E-2"/>
    <n v="8.9899999999999994E-2"/>
    <n v="0"/>
    <n v="0"/>
    <n v="31"/>
    <n v="31"/>
    <n v="0"/>
    <n v="0"/>
    <n v="100"/>
    <s v="Consolidation"/>
    <s v="CO2e and Base Measure"/>
    <n v="100"/>
    <n v="100"/>
    <n v="0.09"/>
    <m/>
    <m/>
    <m/>
    <m/>
    <m/>
    <m/>
    <m/>
    <m/>
    <m/>
    <m/>
    <m/>
    <m/>
    <m/>
    <s v="AUD"/>
    <s v="13634235Waste Recycled - Paper and Cardboard [t]"/>
    <n v="13634235"/>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07-01T00:00:00"/>
    <s v="FY21"/>
    <s v="t"/>
    <n v="0"/>
    <n v="0.36099999999999999"/>
    <n v="0"/>
    <n v="0.36099999999999999"/>
    <n v="0"/>
    <n v="5"/>
    <n v="0"/>
    <n v="5"/>
    <n v="0"/>
    <n v="100"/>
    <n v="0"/>
    <s v="Consolidation"/>
    <s v="CO2e and Base Measure"/>
    <n v="100"/>
    <n v="100"/>
    <n v="0.36"/>
    <m/>
    <m/>
    <m/>
    <m/>
    <m/>
    <n v="0.46929999999999999"/>
    <m/>
    <n v="0.46929999999999999"/>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08-01T00:00:00"/>
    <s v="FY21"/>
    <s v="t"/>
    <n v="0"/>
    <n v="0.2888"/>
    <n v="0"/>
    <n v="0.2888"/>
    <n v="0"/>
    <n v="4"/>
    <n v="0"/>
    <n v="4"/>
    <n v="0"/>
    <n v="100"/>
    <n v="0"/>
    <s v="Consolidation"/>
    <s v="CO2e and Base Measure"/>
    <n v="100"/>
    <n v="100"/>
    <n v="0.28999999999999998"/>
    <m/>
    <m/>
    <m/>
    <m/>
    <m/>
    <n v="0.37540000000000001"/>
    <m/>
    <n v="0.37540000000000001"/>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10-01T00:00:00"/>
    <s v="FY21"/>
    <s v="t"/>
    <n v="0"/>
    <n v="0.21659999999999999"/>
    <n v="0"/>
    <n v="0.21659999999999999"/>
    <n v="0"/>
    <n v="3"/>
    <n v="0"/>
    <n v="3"/>
    <n v="0"/>
    <n v="100"/>
    <n v="0"/>
    <s v="Consolidation"/>
    <s v="CO2e and Base Measure"/>
    <n v="100"/>
    <n v="100"/>
    <n v="0.22"/>
    <m/>
    <m/>
    <m/>
    <m/>
    <m/>
    <n v="0.28160000000000002"/>
    <m/>
    <n v="0.28160000000000002"/>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11-01T00:00:00"/>
    <s v="FY21"/>
    <s v="t"/>
    <n v="0"/>
    <n v="0.2888"/>
    <n v="0"/>
    <n v="0.2888"/>
    <n v="0"/>
    <n v="4"/>
    <n v="0"/>
    <n v="4"/>
    <n v="0"/>
    <n v="100"/>
    <n v="0"/>
    <s v="Consolidation"/>
    <s v="CO2e and Base Measure"/>
    <n v="100"/>
    <n v="100"/>
    <n v="0.28999999999999998"/>
    <m/>
    <m/>
    <m/>
    <m/>
    <m/>
    <n v="0.37540000000000001"/>
    <m/>
    <n v="0.37540000000000001"/>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12-01T00:00:00"/>
    <s v="FY21"/>
    <s v="t"/>
    <n v="0"/>
    <n v="0.1444"/>
    <n v="0"/>
    <n v="0.1444"/>
    <n v="0"/>
    <n v="2"/>
    <n v="0"/>
    <n v="2"/>
    <n v="0"/>
    <n v="100"/>
    <n v="0"/>
    <s v="Consolidation"/>
    <s v="CO2e and Base Measure"/>
    <n v="100"/>
    <n v="100"/>
    <n v="0.14000000000000001"/>
    <m/>
    <m/>
    <m/>
    <m/>
    <m/>
    <n v="0.18770000000000001"/>
    <m/>
    <n v="0.18770000000000001"/>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1-01-01T00:00:00"/>
    <s v="FY21"/>
    <s v="t"/>
    <n v="0"/>
    <n v="0"/>
    <n v="7.4999999999999997E-3"/>
    <n v="7.4999999999999997E-3"/>
    <n v="0"/>
    <n v="0"/>
    <n v="1"/>
    <n v="1"/>
    <n v="0"/>
    <n v="0"/>
    <n v="100"/>
    <s v="Consolidation"/>
    <s v="CO2e and Base Measure"/>
    <n v="100"/>
    <n v="100"/>
    <n v="0.01"/>
    <m/>
    <m/>
    <m/>
    <m/>
    <m/>
    <n v="9.7999999999999997E-3"/>
    <m/>
    <n v="9.7999999999999997E-3"/>
    <m/>
    <m/>
    <m/>
    <m/>
    <m/>
    <s v="AUD"/>
    <s v="13565027Waste - General [t] - Scope 3"/>
    <n v="13565027"/>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0-11-01T00:00:00"/>
    <s v="FY21"/>
    <s v="t"/>
    <n v="7.0000000000000007E-2"/>
    <n v="0"/>
    <n v="0"/>
    <n v="7.0000000000000007E-2"/>
    <n v="1"/>
    <n v="0"/>
    <n v="0"/>
    <n v="1"/>
    <n v="100"/>
    <n v="0"/>
    <n v="0"/>
    <s v="Consolidation"/>
    <s v="CO2e and Base Measure"/>
    <n v="100"/>
    <n v="100"/>
    <n v="7.0000000000000007E-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0-12-01T00:00:00"/>
    <s v="FY21"/>
    <s v="t"/>
    <n v="0"/>
    <n v="0"/>
    <n v="1.3237000000000001"/>
    <n v="1.3237000000000001"/>
    <n v="0"/>
    <n v="0"/>
    <n v="31"/>
    <n v="31"/>
    <n v="0"/>
    <n v="0"/>
    <n v="100"/>
    <s v="Consolidation"/>
    <s v="CO2e and Base Measure"/>
    <n v="100"/>
    <n v="100"/>
    <n v="1.3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1-01T00:00:00"/>
    <s v="FY21"/>
    <s v="t"/>
    <n v="0"/>
    <n v="0"/>
    <n v="1.3237000000000001"/>
    <n v="1.3237000000000001"/>
    <n v="0"/>
    <n v="0"/>
    <n v="31"/>
    <n v="31"/>
    <n v="0"/>
    <n v="0"/>
    <n v="100"/>
    <s v="Consolidation"/>
    <s v="CO2e and Base Measure"/>
    <n v="100"/>
    <n v="100"/>
    <n v="1.3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2-01T00:00:00"/>
    <s v="FY21"/>
    <s v="t"/>
    <n v="0"/>
    <n v="0"/>
    <n v="1.1956"/>
    <n v="1.1956"/>
    <n v="0"/>
    <n v="0"/>
    <n v="28"/>
    <n v="28"/>
    <n v="0"/>
    <n v="0"/>
    <n v="100"/>
    <s v="Consolidation"/>
    <s v="CO2e and Base Measure"/>
    <n v="100"/>
    <n v="100"/>
    <n v="1.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3-01T00:00:00"/>
    <s v="FY21"/>
    <s v="t"/>
    <n v="0"/>
    <n v="0"/>
    <n v="1.3237000000000001"/>
    <n v="1.3237000000000001"/>
    <n v="0"/>
    <n v="0"/>
    <n v="31"/>
    <n v="31"/>
    <n v="0"/>
    <n v="0"/>
    <n v="100"/>
    <s v="Consolidation"/>
    <s v="CO2e and Base Measure"/>
    <n v="100"/>
    <n v="100"/>
    <n v="1.3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4-01T00:00:00"/>
    <s v="FY21"/>
    <s v="t"/>
    <n v="0"/>
    <n v="0"/>
    <n v="1.2809999999999999"/>
    <n v="1.2809999999999999"/>
    <n v="0"/>
    <n v="0"/>
    <n v="30"/>
    <n v="30"/>
    <n v="0"/>
    <n v="0"/>
    <n v="100"/>
    <s v="Consolidation"/>
    <s v="CO2e and Base Measure"/>
    <n v="100"/>
    <n v="100"/>
    <n v="1.28"/>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5-01T00:00:00"/>
    <s v="FY21"/>
    <s v="t"/>
    <n v="0"/>
    <n v="0"/>
    <n v="1.3237000000000001"/>
    <n v="1.3237000000000001"/>
    <n v="0"/>
    <n v="0"/>
    <n v="31"/>
    <n v="31"/>
    <n v="0"/>
    <n v="0"/>
    <n v="100"/>
    <s v="Consolidation"/>
    <s v="CO2e and Base Measure"/>
    <n v="100"/>
    <n v="100"/>
    <n v="1.32"/>
    <m/>
    <m/>
    <m/>
    <m/>
    <m/>
    <m/>
    <m/>
    <m/>
    <m/>
    <m/>
    <m/>
    <m/>
    <m/>
    <s v="AUD"/>
    <s v="13566495Waste Recycled - E-waste [t]"/>
    <n v="13566495"/>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07-01T00:00:00"/>
    <s v="FY21"/>
    <s v="t"/>
    <n v="0.39150000000000001"/>
    <n v="0"/>
    <n v="0"/>
    <n v="0.39150000000000001"/>
    <n v="4"/>
    <n v="0"/>
    <n v="0"/>
    <n v="4"/>
    <n v="100"/>
    <n v="0"/>
    <n v="0"/>
    <s v="Consolidation"/>
    <s v="CO2e and Base Measure"/>
    <n v="100"/>
    <n v="100"/>
    <n v="0.39"/>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09-01T00:00:00"/>
    <s v="FY21"/>
    <s v="t"/>
    <n v="2.35E-2"/>
    <n v="0"/>
    <n v="0"/>
    <n v="2.35E-2"/>
    <n v="2"/>
    <n v="0"/>
    <n v="0"/>
    <n v="2"/>
    <n v="100"/>
    <n v="0"/>
    <n v="0"/>
    <s v="Consolidation"/>
    <s v="CO2e and Base Measure"/>
    <n v="100"/>
    <n v="100"/>
    <n v="0.02"/>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10-01T00:00:00"/>
    <s v="FY21"/>
    <s v="t"/>
    <n v="0.29699999999999999"/>
    <n v="0"/>
    <n v="0"/>
    <n v="0.29699999999999999"/>
    <n v="4"/>
    <n v="0"/>
    <n v="0"/>
    <n v="4"/>
    <n v="100"/>
    <n v="0"/>
    <n v="0"/>
    <s v="Consolidation"/>
    <s v="CO2e and Base Measure"/>
    <n v="100"/>
    <n v="100"/>
    <n v="0.3"/>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11-01T00:00:00"/>
    <s v="FY21"/>
    <s v="t"/>
    <n v="0.25650000000000001"/>
    <n v="0"/>
    <n v="0"/>
    <n v="0.25650000000000001"/>
    <n v="2"/>
    <n v="0"/>
    <n v="0"/>
    <n v="2"/>
    <n v="100"/>
    <n v="0"/>
    <n v="0"/>
    <s v="Consolidation"/>
    <s v="CO2e and Base Measure"/>
    <n v="100"/>
    <n v="100"/>
    <n v="0.2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12-01T00:00:00"/>
    <s v="FY21"/>
    <s v="t"/>
    <n v="0"/>
    <n v="0"/>
    <n v="0.66339999999999999"/>
    <n v="0.66339999999999999"/>
    <n v="0"/>
    <n v="0"/>
    <n v="31"/>
    <n v="31"/>
    <n v="0"/>
    <n v="0"/>
    <n v="100"/>
    <s v="Consolidation"/>
    <s v="CO2e and Base Measure"/>
    <n v="100"/>
    <n v="100"/>
    <n v="0.6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1-01T00:00:00"/>
    <s v="FY21"/>
    <s v="t"/>
    <n v="0"/>
    <n v="0"/>
    <n v="0.66339999999999999"/>
    <n v="0.66339999999999999"/>
    <n v="0"/>
    <n v="0"/>
    <n v="31"/>
    <n v="31"/>
    <n v="0"/>
    <n v="0"/>
    <n v="100"/>
    <s v="Consolidation"/>
    <s v="CO2e and Base Measure"/>
    <n v="100"/>
    <n v="100"/>
    <n v="0.6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2-01T00:00:00"/>
    <s v="FY21"/>
    <s v="t"/>
    <n v="0"/>
    <n v="0"/>
    <n v="0.59919999999999995"/>
    <n v="0.59919999999999995"/>
    <n v="0"/>
    <n v="0"/>
    <n v="28"/>
    <n v="28"/>
    <n v="0"/>
    <n v="0"/>
    <n v="100"/>
    <s v="Consolidation"/>
    <s v="CO2e and Base Measure"/>
    <n v="100"/>
    <n v="100"/>
    <n v="0.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3-01T00:00:00"/>
    <s v="FY21"/>
    <s v="t"/>
    <n v="0"/>
    <n v="0"/>
    <n v="0.66339999999999999"/>
    <n v="0.66339999999999999"/>
    <n v="0"/>
    <n v="0"/>
    <n v="31"/>
    <n v="31"/>
    <n v="0"/>
    <n v="0"/>
    <n v="100"/>
    <s v="Consolidation"/>
    <s v="CO2e and Base Measure"/>
    <n v="100"/>
    <n v="100"/>
    <n v="0.6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4-01T00:00:00"/>
    <s v="FY21"/>
    <s v="t"/>
    <n v="0"/>
    <n v="0"/>
    <n v="0.64200000000000002"/>
    <n v="0.64200000000000002"/>
    <n v="0"/>
    <n v="0"/>
    <n v="30"/>
    <n v="30"/>
    <n v="0"/>
    <n v="0"/>
    <n v="100"/>
    <s v="Consolidation"/>
    <s v="CO2e and Base Measure"/>
    <n v="100"/>
    <n v="100"/>
    <n v="0.64"/>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5-01T00:00:00"/>
    <s v="FY21"/>
    <s v="t"/>
    <n v="0"/>
    <n v="0"/>
    <n v="0.66339999999999999"/>
    <n v="0.66339999999999999"/>
    <n v="0"/>
    <n v="0"/>
    <n v="31"/>
    <n v="31"/>
    <n v="0"/>
    <n v="0"/>
    <n v="100"/>
    <s v="Consolidation"/>
    <s v="CO2e and Base Measure"/>
    <n v="100"/>
    <n v="100"/>
    <n v="0.66"/>
    <m/>
    <m/>
    <m/>
    <m/>
    <m/>
    <m/>
    <m/>
    <m/>
    <m/>
    <m/>
    <m/>
    <m/>
    <m/>
    <s v="AUD"/>
    <s v="13566496Waste Recycled - Paper and Cardboard [t]"/>
    <n v="13566496"/>
  </r>
  <r>
    <d v="2019-07-01T00:00:00"/>
    <d v="2021-06-30T00:00:00"/>
    <s v="Telstra"/>
    <s v="NETWORK"/>
    <s v="Network - InfraCo"/>
    <s v="QLD"/>
    <s v="Australia"/>
    <s v="Red Hill"/>
    <s v="PROSERPINE EXCHANGE"/>
    <n v="423030199900"/>
    <s v="Waste"/>
    <x v="1"/>
    <x v="4"/>
    <s v="Account"/>
    <s v="Remondis Asbestos"/>
    <m/>
    <s v="423030199900_WASBESTOS"/>
    <s v="ASBESTOS"/>
    <s v="Remondis"/>
    <m/>
    <m/>
    <d v="2021-01-01T00:00:00"/>
    <d v="2020-11-01T00:00:00"/>
    <s v="FY21"/>
    <s v="t"/>
    <n v="1"/>
    <n v="0"/>
    <n v="0"/>
    <n v="1"/>
    <n v="1"/>
    <n v="0"/>
    <n v="0"/>
    <n v="1"/>
    <n v="100"/>
    <n v="0"/>
    <n v="0"/>
    <s v="Consolidation"/>
    <s v="CO2e and Base Measure"/>
    <n v="100"/>
    <n v="100"/>
    <n v="1"/>
    <m/>
    <m/>
    <m/>
    <m/>
    <m/>
    <n v="1.2"/>
    <m/>
    <n v="1.2"/>
    <m/>
    <m/>
    <m/>
    <m/>
    <m/>
    <s v="AUD"/>
    <s v="13564273Waste - Construction and Demolition [t]"/>
    <n v="13564273"/>
  </r>
  <r>
    <d v="2019-07-01T00:00:00"/>
    <d v="2021-06-30T00:00:00"/>
    <s v="Telstra"/>
    <s v="NETWORK"/>
    <s v="Network - InfraCo"/>
    <s v="QLD"/>
    <s v="Australia"/>
    <s v="Red Hill"/>
    <s v="PROSERPINE EXCHANGE"/>
    <n v="423030199900"/>
    <s v="Waste"/>
    <x v="1"/>
    <x v="4"/>
    <s v="Account"/>
    <s v="Remondis Asbestos"/>
    <m/>
    <s v="423030199900_WASBESTOS"/>
    <s v="ASBESTOS"/>
    <s v="Remondis"/>
    <m/>
    <m/>
    <d v="2021-01-01T00:00:00"/>
    <d v="2020-12-01T00:00:00"/>
    <s v="FY21"/>
    <s v="t"/>
    <n v="0.08"/>
    <n v="0"/>
    <n v="0"/>
    <n v="0.08"/>
    <n v="1"/>
    <n v="0"/>
    <n v="0"/>
    <n v="1"/>
    <n v="100"/>
    <n v="0"/>
    <n v="0"/>
    <s v="Consolidation"/>
    <s v="CO2e and Base Measure"/>
    <n v="100"/>
    <n v="100"/>
    <n v="0.08"/>
    <m/>
    <m/>
    <m/>
    <m/>
    <m/>
    <n v="9.6000000000000002E-2"/>
    <m/>
    <n v="9.6000000000000002E-2"/>
    <m/>
    <m/>
    <m/>
    <m/>
    <m/>
    <s v="AUD"/>
    <s v="13564273Waste - Construction and Demolition [t]"/>
    <n v="13564273"/>
  </r>
  <r>
    <d v="2019-07-01T00:00:00"/>
    <d v="2021-06-30T00:00:00"/>
    <s v="Telstra"/>
    <s v="NETWORK"/>
    <s v="Network - InfraCo"/>
    <s v="QLD"/>
    <s v="Australia"/>
    <s v="Red Hill"/>
    <s v="PROSERPINE EXCHANGE"/>
    <n v="423030199900"/>
    <s v="Waste"/>
    <x v="1"/>
    <x v="4"/>
    <s v="Account"/>
    <s v="Remondis Asbestos"/>
    <m/>
    <s v="423030199900_WASBESTOS"/>
    <s v="ASBESTOS"/>
    <s v="Remondis"/>
    <m/>
    <m/>
    <d v="2021-01-01T00:00:00"/>
    <d v="2021-01-01T00:00:00"/>
    <s v="FY21"/>
    <s v="t"/>
    <n v="0"/>
    <n v="0"/>
    <n v="1.7999999999999999E-2"/>
    <n v="1.7999999999999999E-2"/>
    <n v="0"/>
    <n v="0"/>
    <n v="1"/>
    <n v="1"/>
    <n v="0"/>
    <n v="0"/>
    <n v="100"/>
    <s v="Consolidation"/>
    <s v="CO2e and Base Measure"/>
    <n v="100"/>
    <n v="100"/>
    <n v="0.02"/>
    <m/>
    <m/>
    <m/>
    <m/>
    <m/>
    <n v="2.1600000000000001E-2"/>
    <m/>
    <n v="2.1600000000000001E-2"/>
    <m/>
    <m/>
    <m/>
    <m/>
    <m/>
    <s v="AUD"/>
    <s v="13564273Waste - Construction and Demolition [t]"/>
    <n v="13564273"/>
  </r>
  <r>
    <d v="2019-07-01T00:00:00"/>
    <d v="2021-06-30T00:00:00"/>
    <s v="Telstra"/>
    <s v="NETWORK"/>
    <s v="Network - InfraCo"/>
    <s v="QLD"/>
    <s v="Australia"/>
    <s v="Red Hill"/>
    <s v="PROSERPINE EXCHANGE"/>
    <n v="423030199900"/>
    <s v="Recycled Waste"/>
    <x v="0"/>
    <x v="1"/>
    <s v="Account"/>
    <s v="Remondis Electrical Comp. (E-Waste)"/>
    <m/>
    <s v="423030199900_RELECTRIC"/>
    <s v="ELECTRICAL COMP. E-WASTE"/>
    <s v="Remondis"/>
    <m/>
    <m/>
    <d v="2020-07-01T00:00:00"/>
    <d v="2020-07-01T00:00:00"/>
    <s v="FY21"/>
    <s v="t"/>
    <n v="0"/>
    <n v="0"/>
    <n v="1.6000000000000001E-3"/>
    <n v="1.6000000000000001E-3"/>
    <n v="0"/>
    <n v="0"/>
    <n v="1"/>
    <n v="1"/>
    <n v="0"/>
    <n v="0"/>
    <n v="100"/>
    <s v="Consolidation"/>
    <s v="CO2e and Base Measure"/>
    <n v="100"/>
    <n v="100"/>
    <n v="0"/>
    <m/>
    <m/>
    <m/>
    <m/>
    <m/>
    <m/>
    <m/>
    <m/>
    <m/>
    <m/>
    <m/>
    <m/>
    <m/>
    <s v="AUD"/>
    <s v="13564274Waste Recycled - E-waste [t]"/>
    <n v="13564274"/>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275Waste - General [t] - Scope 3"/>
    <n v="13564275"/>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0-12-01T00:00:00"/>
    <s v="FY21"/>
    <s v="t"/>
    <n v="4.3999999999999997E-2"/>
    <n v="0.13500000000000001"/>
    <n v="0"/>
    <n v="0.17899999999999999"/>
    <n v="1"/>
    <n v="1"/>
    <n v="0"/>
    <n v="2"/>
    <n v="24.58"/>
    <n v="75.41"/>
    <n v="0"/>
    <s v="Consolidation"/>
    <s v="CO2e and Base Measure"/>
    <n v="100"/>
    <n v="100"/>
    <n v="0.18"/>
    <m/>
    <m/>
    <m/>
    <m/>
    <m/>
    <n v="0.23269999999999999"/>
    <m/>
    <n v="0.23269999999999999"/>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1-01T00:00:00"/>
    <s v="FY21"/>
    <s v="t"/>
    <n v="0.16200000000000001"/>
    <n v="0"/>
    <n v="0"/>
    <n v="0.16200000000000001"/>
    <n v="2"/>
    <n v="0"/>
    <n v="0"/>
    <n v="2"/>
    <n v="100"/>
    <n v="0"/>
    <n v="0"/>
    <s v="Consolidation"/>
    <s v="CO2e and Base Measure"/>
    <n v="100"/>
    <n v="100"/>
    <n v="0.16"/>
    <m/>
    <m/>
    <m/>
    <m/>
    <m/>
    <n v="0.21060000000000001"/>
    <m/>
    <n v="0.21060000000000001"/>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2-01T00:00:00"/>
    <s v="FY21"/>
    <s v="t"/>
    <n v="0.11899999999999999"/>
    <n v="0"/>
    <n v="0"/>
    <n v="0.11899999999999999"/>
    <n v="2"/>
    <n v="0"/>
    <n v="0"/>
    <n v="2"/>
    <n v="100"/>
    <n v="0"/>
    <n v="0"/>
    <s v="Consolidation"/>
    <s v="CO2e and Base Measure"/>
    <n v="100"/>
    <n v="100"/>
    <n v="0.12"/>
    <m/>
    <m/>
    <m/>
    <m/>
    <m/>
    <n v="0.1547"/>
    <m/>
    <n v="0.1547"/>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3-01T00:00:00"/>
    <s v="FY21"/>
    <s v="t"/>
    <n v="0.14899999999999999"/>
    <n v="0.13500000000000001"/>
    <n v="0"/>
    <n v="0.28399999999999997"/>
    <n v="2"/>
    <n v="1"/>
    <n v="0"/>
    <n v="3"/>
    <n v="52.46"/>
    <n v="47.53"/>
    <n v="0"/>
    <s v="Consolidation"/>
    <s v="CO2e and Base Measure"/>
    <n v="100"/>
    <n v="100"/>
    <n v="0.28000000000000003"/>
    <m/>
    <m/>
    <m/>
    <m/>
    <m/>
    <n v="0.36919999999999997"/>
    <m/>
    <n v="0.36919999999999997"/>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4-01T00:00:00"/>
    <s v="FY21"/>
    <s v="t"/>
    <n v="0"/>
    <n v="0"/>
    <n v="0.186"/>
    <n v="0.186"/>
    <n v="0"/>
    <n v="0"/>
    <n v="30"/>
    <n v="30"/>
    <n v="0"/>
    <n v="0"/>
    <n v="100"/>
    <s v="Consolidation"/>
    <s v="CO2e and Base Measure"/>
    <n v="100"/>
    <n v="100"/>
    <n v="0.19"/>
    <m/>
    <m/>
    <m/>
    <m/>
    <m/>
    <n v="0.24179999999999999"/>
    <m/>
    <n v="0.24179999999999999"/>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5-01T00:00:00"/>
    <s v="FY21"/>
    <s v="t"/>
    <n v="0"/>
    <n v="0"/>
    <n v="0.19220000000000001"/>
    <n v="0.19220000000000001"/>
    <n v="0"/>
    <n v="0"/>
    <n v="31"/>
    <n v="31"/>
    <n v="0"/>
    <n v="0"/>
    <n v="100"/>
    <s v="Consolidation"/>
    <s v="CO2e and Base Measure"/>
    <n v="100"/>
    <n v="100"/>
    <n v="0.19"/>
    <m/>
    <m/>
    <m/>
    <m/>
    <m/>
    <n v="0.24990000000000001"/>
    <m/>
    <n v="0.24990000000000001"/>
    <m/>
    <m/>
    <m/>
    <m/>
    <m/>
    <s v="AUD"/>
    <s v="13634236Waste - General [t] - Scope 3"/>
    <n v="13634236"/>
  </r>
  <r>
    <d v="2019-07-01T00:00:00"/>
    <d v="2021-06-30T00:00:00"/>
    <s v="Telstra"/>
    <s v="NETWORK"/>
    <s v="Network - InfraCo"/>
    <s v="NSW"/>
    <s v="Australia"/>
    <s v="Pymble"/>
    <s v="PYMBLE EXCHANGE"/>
    <n v="423030296800"/>
    <s v="Waste"/>
    <x v="1"/>
    <x v="2"/>
    <s v="Account"/>
    <s v="Remondis General Waste"/>
    <m/>
    <s v="423030296800_WGENERALW"/>
    <s v="GENERAL WASTE"/>
    <s v="Remondis"/>
    <m/>
    <m/>
    <d v="2020-11-01T00:00:00"/>
    <d v="2020-07-01T00:00:00"/>
    <s v="FY21"/>
    <s v="t"/>
    <n v="0.37"/>
    <n v="0"/>
    <n v="0"/>
    <n v="0.37"/>
    <n v="2"/>
    <n v="0"/>
    <n v="0"/>
    <n v="2"/>
    <n v="100"/>
    <n v="0"/>
    <n v="0"/>
    <s v="Consolidation"/>
    <s v="CO2e and Base Measure"/>
    <n v="100"/>
    <n v="100"/>
    <n v="0.37"/>
    <m/>
    <m/>
    <m/>
    <m/>
    <m/>
    <n v="0.48099999999999998"/>
    <m/>
    <n v="0.48099999999999998"/>
    <m/>
    <m/>
    <m/>
    <m/>
    <m/>
    <s v="AUD"/>
    <s v="13564430Waste - General [t] - Scope 3"/>
    <n v="13564430"/>
  </r>
  <r>
    <d v="2019-07-01T00:00:00"/>
    <d v="2021-06-30T00:00:00"/>
    <s v="Telstra"/>
    <s v="NETWORK"/>
    <s v="Network - InfraCo"/>
    <s v="NSW"/>
    <s v="Australia"/>
    <s v="Pymble"/>
    <s v="PYMBLE EXCHANGE"/>
    <n v="423030296800"/>
    <s v="Waste"/>
    <x v="1"/>
    <x v="2"/>
    <s v="Account"/>
    <s v="Remondis General Waste"/>
    <m/>
    <s v="423030296800_WGENERALW"/>
    <s v="GENERAL WASTE"/>
    <s v="Remondis"/>
    <m/>
    <m/>
    <d v="2020-11-01T00:00:00"/>
    <d v="2020-08-01T00:00:00"/>
    <s v="FY21"/>
    <s v="t"/>
    <n v="0.156"/>
    <n v="0"/>
    <n v="0"/>
    <n v="0.156"/>
    <n v="1"/>
    <n v="0"/>
    <n v="0"/>
    <n v="1"/>
    <n v="100"/>
    <n v="0"/>
    <n v="0"/>
    <s v="Consolidation"/>
    <s v="CO2e and Base Measure"/>
    <n v="100"/>
    <n v="100"/>
    <n v="0.16"/>
    <m/>
    <m/>
    <m/>
    <m/>
    <m/>
    <n v="0.20280000000000001"/>
    <m/>
    <n v="0.20280000000000001"/>
    <m/>
    <m/>
    <m/>
    <m/>
    <m/>
    <s v="AUD"/>
    <s v="13564430Waste - General [t] - Scope 3"/>
    <n v="13564430"/>
  </r>
  <r>
    <d v="2019-07-01T00:00:00"/>
    <d v="2021-06-30T00:00:00"/>
    <s v="Telstra"/>
    <s v="NETWORK"/>
    <s v="Network - InfraCo"/>
    <s v="NSW"/>
    <s v="Australia"/>
    <s v="Pymble"/>
    <s v="PYMBLE EXCHANGE"/>
    <n v="423030296800"/>
    <s v="Waste"/>
    <x v="1"/>
    <x v="2"/>
    <s v="Account"/>
    <s v="Remondis General Waste"/>
    <m/>
    <s v="423030296800_WGENERALW"/>
    <s v="GENERAL WASTE"/>
    <s v="Remondis"/>
    <m/>
    <m/>
    <d v="2020-11-01T00:00:00"/>
    <d v="2020-10-01T00:00:00"/>
    <s v="FY21"/>
    <s v="t"/>
    <n v="7.8E-2"/>
    <n v="0"/>
    <n v="0"/>
    <n v="7.8E-2"/>
    <n v="1"/>
    <n v="0"/>
    <n v="0"/>
    <n v="1"/>
    <n v="100"/>
    <n v="0"/>
    <n v="0"/>
    <s v="Consolidation"/>
    <s v="CO2e and Base Measure"/>
    <n v="100"/>
    <n v="100"/>
    <n v="0.08"/>
    <m/>
    <m/>
    <m/>
    <m/>
    <m/>
    <n v="0.1014"/>
    <m/>
    <n v="0.1014"/>
    <m/>
    <m/>
    <m/>
    <m/>
    <m/>
    <s v="AUD"/>
    <s v="13564430Waste - General [t] - Scope 3"/>
    <n v="13564430"/>
  </r>
  <r>
    <d v="2019-07-01T00:00:00"/>
    <d v="2021-06-30T00:00:00"/>
    <s v="Telstra"/>
    <s v="NETWORK"/>
    <s v="Network - InfraCo"/>
    <s v="NSW"/>
    <s v="Australia"/>
    <s v="Pymble"/>
    <s v="PYMBLE EXCHANGE"/>
    <n v="423030296800"/>
    <s v="Waste"/>
    <x v="1"/>
    <x v="2"/>
    <s v="Account"/>
    <s v="Remondis General Waste"/>
    <m/>
    <s v="423030296800_WGENERALW"/>
    <s v="GENERAL WASTE"/>
    <s v="Remondis"/>
    <m/>
    <m/>
    <d v="2020-11-01T00:00:00"/>
    <d v="2020-11-01T00:00:00"/>
    <s v="FY21"/>
    <s v="t"/>
    <n v="0"/>
    <n v="0"/>
    <n v="4.5999999999999999E-3"/>
    <n v="4.5999999999999999E-3"/>
    <n v="0"/>
    <n v="0"/>
    <n v="1"/>
    <n v="1"/>
    <n v="0"/>
    <n v="0"/>
    <n v="100"/>
    <s v="Consolidation"/>
    <s v="CO2e and Base Measure"/>
    <n v="100"/>
    <n v="100"/>
    <n v="0"/>
    <m/>
    <m/>
    <m/>
    <m/>
    <m/>
    <n v="6.0000000000000001E-3"/>
    <m/>
    <n v="6.0000000000000001E-3"/>
    <m/>
    <m/>
    <m/>
    <m/>
    <m/>
    <s v="AUD"/>
    <s v="13564430Waste - General [t] - Scope 3"/>
    <n v="13564430"/>
  </r>
  <r>
    <d v="2019-07-01T00:00:00"/>
    <d v="2021-06-30T00:00:00"/>
    <s v="Telstra"/>
    <s v="NETWORK"/>
    <s v="Network - InfraCo"/>
    <s v="NSW"/>
    <s v="Australia"/>
    <s v="Pymble"/>
    <s v="PYMBLE EXCHANGE"/>
    <n v="423030296800"/>
    <s v="Recycled Waste"/>
    <x v="0"/>
    <x v="5"/>
    <s v="Account"/>
    <s v="Remondis Construction &amp; Demolition - Recycled"/>
    <m/>
    <s v="423030296800_RCONSDEM"/>
    <s v="CONSTRUCTION &amp; DEMOLITION - RECYLED"/>
    <s v="Remondis"/>
    <m/>
    <d v="2019-11-01T00:00:00"/>
    <d v="2020-12-01T00:00:00"/>
    <d v="2020-11-01T00:00:00"/>
    <s v="FY21"/>
    <s v="t"/>
    <n v="3.38"/>
    <n v="0"/>
    <n v="0"/>
    <n v="3.38"/>
    <n v="1"/>
    <n v="0"/>
    <n v="0"/>
    <n v="1"/>
    <n v="100"/>
    <n v="0"/>
    <n v="0"/>
    <s v="Consolidation"/>
    <s v="CO2e and Base Measure"/>
    <n v="100"/>
    <n v="100"/>
    <n v="3.38"/>
    <m/>
    <m/>
    <m/>
    <m/>
    <m/>
    <m/>
    <m/>
    <m/>
    <m/>
    <m/>
    <m/>
    <m/>
    <m/>
    <s v="AUD"/>
    <s v="13578192Waste Recycled - Construction and Demolition [t]"/>
    <n v="13578192"/>
  </r>
  <r>
    <d v="2019-07-01T00:00:00"/>
    <d v="2021-06-30T00:00:00"/>
    <s v="Telstra"/>
    <s v="NETWORK"/>
    <s v="Network - InfraCo"/>
    <s v="NSW"/>
    <s v="Australia"/>
    <s v="Pymble"/>
    <s v="PYMBLE EXCHANGE"/>
    <n v="423030296800"/>
    <s v="Recycled Waste"/>
    <x v="0"/>
    <x v="5"/>
    <s v="Account"/>
    <s v="Remondis Construction &amp; Demolition - Recycled"/>
    <m/>
    <s v="423030296800_RCONSDEM"/>
    <s v="CONSTRUCTION &amp; DEMOLITION - RECYLED"/>
    <s v="Remondis"/>
    <m/>
    <d v="2019-11-01T00:00:00"/>
    <d v="2020-12-01T00:00:00"/>
    <d v="2020-12-01T00:00:00"/>
    <s v="FY21"/>
    <s v="t"/>
    <n v="0"/>
    <n v="0"/>
    <n v="0.1166"/>
    <n v="0.1166"/>
    <n v="0"/>
    <n v="0"/>
    <n v="1"/>
    <n v="1"/>
    <n v="0"/>
    <n v="0"/>
    <n v="100"/>
    <s v="Consolidation"/>
    <s v="CO2e and Base Measure"/>
    <n v="100"/>
    <n v="100"/>
    <n v="0.12"/>
    <m/>
    <m/>
    <m/>
    <m/>
    <m/>
    <m/>
    <m/>
    <m/>
    <m/>
    <m/>
    <m/>
    <m/>
    <m/>
    <s v="AUD"/>
    <s v="13578192Waste Recycled - Construction and Demolition [t]"/>
    <n v="13578192"/>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07-01T00:00:00"/>
    <s v="FY21"/>
    <s v="t"/>
    <n v="1.512"/>
    <n v="0"/>
    <n v="0"/>
    <n v="1.512"/>
    <n v="2"/>
    <n v="0"/>
    <n v="0"/>
    <n v="2"/>
    <n v="100"/>
    <n v="0"/>
    <n v="0"/>
    <s v="Consolidation"/>
    <s v="CO2e and Base Measure"/>
    <n v="100"/>
    <n v="100"/>
    <n v="1.51"/>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08-01T00:00:00"/>
    <s v="FY21"/>
    <s v="t"/>
    <n v="1.5660000000000001"/>
    <n v="0"/>
    <n v="0"/>
    <n v="1.5660000000000001"/>
    <n v="2"/>
    <n v="0"/>
    <n v="0"/>
    <n v="2"/>
    <n v="100"/>
    <n v="0"/>
    <n v="0"/>
    <s v="Consolidation"/>
    <s v="CO2e and Base Measure"/>
    <n v="100"/>
    <n v="100"/>
    <n v="1.57"/>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09-01T00:00:00"/>
    <s v="FY21"/>
    <s v="t"/>
    <n v="0.11600000000000001"/>
    <n v="0"/>
    <n v="0"/>
    <n v="0.11600000000000001"/>
    <n v="2"/>
    <n v="0"/>
    <n v="0"/>
    <n v="2"/>
    <n v="100"/>
    <n v="0"/>
    <n v="0"/>
    <s v="Consolidation"/>
    <s v="CO2e and Base Measure"/>
    <n v="100"/>
    <n v="100"/>
    <n v="0.12"/>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10-01T00:00:00"/>
    <s v="FY21"/>
    <s v="t"/>
    <n v="1.62"/>
    <n v="0"/>
    <n v="0"/>
    <n v="1.62"/>
    <n v="2"/>
    <n v="0"/>
    <n v="0"/>
    <n v="2"/>
    <n v="100"/>
    <n v="0"/>
    <n v="0"/>
    <s v="Consolidation"/>
    <s v="CO2e and Base Measure"/>
    <n v="100"/>
    <n v="100"/>
    <n v="1.62"/>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11-01T00:00:00"/>
    <s v="FY21"/>
    <s v="t"/>
    <n v="1.62"/>
    <n v="0"/>
    <n v="0"/>
    <n v="1.62"/>
    <n v="2"/>
    <n v="0"/>
    <n v="0"/>
    <n v="2"/>
    <n v="100"/>
    <n v="0"/>
    <n v="0"/>
    <s v="Consolidation"/>
    <s v="CO2e and Base Measure"/>
    <n v="100"/>
    <n v="100"/>
    <n v="1.62"/>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12-01T00:00:00"/>
    <s v="FY21"/>
    <s v="t"/>
    <n v="1.62"/>
    <n v="0"/>
    <n v="0"/>
    <n v="1.62"/>
    <n v="2"/>
    <n v="0"/>
    <n v="0"/>
    <n v="2"/>
    <n v="100"/>
    <n v="0"/>
    <n v="0"/>
    <s v="Consolidation"/>
    <s v="CO2e and Base Measure"/>
    <n v="100"/>
    <n v="100"/>
    <n v="1.62"/>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1-01T00:00:00"/>
    <s v="FY21"/>
    <s v="t"/>
    <n v="0"/>
    <n v="0"/>
    <n v="1.3918999999999999"/>
    <n v="1.3918999999999999"/>
    <n v="0"/>
    <n v="0"/>
    <n v="31"/>
    <n v="31"/>
    <n v="0"/>
    <n v="0"/>
    <n v="100"/>
    <s v="Consolidation"/>
    <s v="CO2e and Base Measure"/>
    <n v="100"/>
    <n v="100"/>
    <n v="1.39"/>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2-01T00:00:00"/>
    <s v="FY21"/>
    <s v="t"/>
    <n v="0"/>
    <n v="0"/>
    <n v="1.2572000000000001"/>
    <n v="1.2572000000000001"/>
    <n v="0"/>
    <n v="0"/>
    <n v="28"/>
    <n v="28"/>
    <n v="0"/>
    <n v="0"/>
    <n v="100"/>
    <s v="Consolidation"/>
    <s v="CO2e and Base Measure"/>
    <n v="100"/>
    <n v="100"/>
    <n v="1.26"/>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3-01T00:00:00"/>
    <s v="FY21"/>
    <s v="t"/>
    <n v="0"/>
    <n v="0"/>
    <n v="1.3918999999999999"/>
    <n v="1.3918999999999999"/>
    <n v="0"/>
    <n v="0"/>
    <n v="31"/>
    <n v="31"/>
    <n v="0"/>
    <n v="0"/>
    <n v="100"/>
    <s v="Consolidation"/>
    <s v="CO2e and Base Measure"/>
    <n v="100"/>
    <n v="100"/>
    <n v="1.39"/>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4-01T00:00:00"/>
    <s v="FY21"/>
    <s v="t"/>
    <n v="0"/>
    <n v="0"/>
    <n v="1.347"/>
    <n v="1.347"/>
    <n v="0"/>
    <n v="0"/>
    <n v="30"/>
    <n v="30"/>
    <n v="0"/>
    <n v="0"/>
    <n v="100"/>
    <s v="Consolidation"/>
    <s v="CO2e and Base Measure"/>
    <n v="100"/>
    <n v="100"/>
    <n v="1.35"/>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5-01T00:00:00"/>
    <s v="FY21"/>
    <s v="t"/>
    <n v="0"/>
    <n v="0"/>
    <n v="1.3918999999999999"/>
    <n v="1.3918999999999999"/>
    <n v="0"/>
    <n v="0"/>
    <n v="31"/>
    <n v="31"/>
    <n v="0"/>
    <n v="0"/>
    <n v="100"/>
    <s v="Consolidation"/>
    <s v="CO2e and Base Measure"/>
    <n v="100"/>
    <n v="100"/>
    <n v="1.39"/>
    <m/>
    <m/>
    <m/>
    <m/>
    <m/>
    <m/>
    <m/>
    <m/>
    <m/>
    <m/>
    <m/>
    <m/>
    <m/>
    <s v="AUD"/>
    <s v="13566517Waste Recycled - Paper and Cardboard [t]"/>
    <n v="13566517"/>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0-07-01T00:00:00"/>
    <s v="FY21"/>
    <s v="t"/>
    <n v="1.161"/>
    <n v="0"/>
    <n v="0"/>
    <n v="1.161"/>
    <n v="3"/>
    <n v="0"/>
    <n v="0"/>
    <n v="3"/>
    <n v="100"/>
    <n v="0"/>
    <n v="0"/>
    <s v="Consolidation"/>
    <s v="CO2e and Base Measure"/>
    <n v="100"/>
    <n v="100"/>
    <n v="1.1599999999999999"/>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0-08-01T00:00:00"/>
    <s v="FY21"/>
    <s v="t"/>
    <n v="0.97199999999999998"/>
    <n v="0"/>
    <n v="0"/>
    <n v="0.97199999999999998"/>
    <n v="2"/>
    <n v="0"/>
    <n v="0"/>
    <n v="2"/>
    <n v="100"/>
    <n v="0"/>
    <n v="0"/>
    <s v="Consolidation"/>
    <s v="CO2e and Base Measure"/>
    <n v="100"/>
    <n v="100"/>
    <n v="0.97"/>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0-11-01T00:00:00"/>
    <s v="FY21"/>
    <s v="t"/>
    <n v="0.189"/>
    <n v="0"/>
    <n v="0"/>
    <n v="0.189"/>
    <n v="1"/>
    <n v="0"/>
    <n v="0"/>
    <n v="1"/>
    <n v="100"/>
    <n v="0"/>
    <n v="0"/>
    <s v="Consolidation"/>
    <s v="CO2e and Base Measure"/>
    <n v="100"/>
    <n v="100"/>
    <n v="0.19"/>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0-12-01T00:00:00"/>
    <s v="FY21"/>
    <s v="t"/>
    <n v="0"/>
    <n v="0"/>
    <n v="0.56110000000000004"/>
    <n v="0.56110000000000004"/>
    <n v="0"/>
    <n v="0"/>
    <n v="31"/>
    <n v="31"/>
    <n v="0"/>
    <n v="0"/>
    <n v="100"/>
    <s v="Consolidation"/>
    <s v="CO2e and Base Measure"/>
    <n v="100"/>
    <n v="100"/>
    <n v="0.56000000000000005"/>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1-01T00:00:00"/>
    <s v="FY21"/>
    <s v="t"/>
    <n v="0"/>
    <n v="0"/>
    <n v="0.56110000000000004"/>
    <n v="0.56110000000000004"/>
    <n v="0"/>
    <n v="0"/>
    <n v="31"/>
    <n v="31"/>
    <n v="0"/>
    <n v="0"/>
    <n v="100"/>
    <s v="Consolidation"/>
    <s v="CO2e and Base Measure"/>
    <n v="100"/>
    <n v="100"/>
    <n v="0.56000000000000005"/>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2-01T00:00:00"/>
    <s v="FY21"/>
    <s v="t"/>
    <n v="0"/>
    <n v="0"/>
    <n v="0.50680000000000003"/>
    <n v="0.50680000000000003"/>
    <n v="0"/>
    <n v="0"/>
    <n v="28"/>
    <n v="28"/>
    <n v="0"/>
    <n v="0"/>
    <n v="100"/>
    <s v="Consolidation"/>
    <s v="CO2e and Base Measure"/>
    <n v="100"/>
    <n v="100"/>
    <n v="0.51"/>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3-01T00:00:00"/>
    <s v="FY21"/>
    <s v="t"/>
    <n v="0"/>
    <n v="0"/>
    <n v="0.56110000000000004"/>
    <n v="0.56110000000000004"/>
    <n v="0"/>
    <n v="0"/>
    <n v="31"/>
    <n v="31"/>
    <n v="0"/>
    <n v="0"/>
    <n v="100"/>
    <s v="Consolidation"/>
    <s v="CO2e and Base Measure"/>
    <n v="100"/>
    <n v="100"/>
    <n v="0.56000000000000005"/>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4-01T00:00:00"/>
    <s v="FY21"/>
    <s v="t"/>
    <n v="0"/>
    <n v="0"/>
    <n v="0.54300000000000004"/>
    <n v="0.54300000000000004"/>
    <n v="0"/>
    <n v="0"/>
    <n v="30"/>
    <n v="30"/>
    <n v="0"/>
    <n v="0"/>
    <n v="100"/>
    <s v="Consolidation"/>
    <s v="CO2e and Base Measure"/>
    <n v="100"/>
    <n v="100"/>
    <n v="0.54"/>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5-01T00:00:00"/>
    <s v="FY21"/>
    <s v="t"/>
    <n v="0"/>
    <n v="0"/>
    <n v="0.56110000000000004"/>
    <n v="0.56110000000000004"/>
    <n v="0"/>
    <n v="0"/>
    <n v="31"/>
    <n v="31"/>
    <n v="0"/>
    <n v="0"/>
    <n v="100"/>
    <s v="Consolidation"/>
    <s v="CO2e and Base Measure"/>
    <n v="100"/>
    <n v="100"/>
    <n v="0.56000000000000005"/>
    <m/>
    <m/>
    <m/>
    <m/>
    <m/>
    <m/>
    <m/>
    <m/>
    <m/>
    <m/>
    <m/>
    <m/>
    <m/>
    <s v="AUD"/>
    <s v="13566529Waste Recycled - Paper and Cardboard [t]"/>
    <n v="13566529"/>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07-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08-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09-01T00:00:00"/>
    <s v="FY21"/>
    <s v="t"/>
    <n v="2E-3"/>
    <n v="0"/>
    <n v="0"/>
    <n v="2E-3"/>
    <n v="1"/>
    <n v="0"/>
    <n v="0"/>
    <n v="1"/>
    <n v="100"/>
    <n v="0"/>
    <n v="0"/>
    <s v="Consolidation"/>
    <s v="CO2e and Base Measure"/>
    <n v="100"/>
    <n v="100"/>
    <n v="0"/>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10-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11-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12-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2-01T00:00:00"/>
    <s v="FY21"/>
    <s v="t"/>
    <n v="0"/>
    <n v="0"/>
    <n v="2.52E-2"/>
    <n v="2.52E-2"/>
    <n v="0"/>
    <n v="0"/>
    <n v="28"/>
    <n v="28"/>
    <n v="0"/>
    <n v="0"/>
    <n v="10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4-01T00:00:00"/>
    <s v="FY21"/>
    <s v="t"/>
    <n v="0"/>
    <n v="0"/>
    <n v="2.7E-2"/>
    <n v="2.7E-2"/>
    <n v="0"/>
    <n v="0"/>
    <n v="30"/>
    <n v="30"/>
    <n v="0"/>
    <n v="0"/>
    <n v="10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05Waste Recycled - Paper and Cardboard [t]"/>
    <n v="13566505"/>
  </r>
  <r>
    <d v="2019-07-01T00:00:00"/>
    <d v="2021-06-30T00:00:00"/>
    <s v="Telstra"/>
    <s v="NETWORK"/>
    <s v="Network - InfraCo"/>
    <s v="TAS"/>
    <s v="Australia"/>
    <s v="Queenstown"/>
    <s v="QUEENSTOWN EXCHANGE"/>
    <n v="423030921700"/>
    <s v="Waste"/>
    <x v="1"/>
    <x v="2"/>
    <s v="Account"/>
    <s v="Remondis General Waste"/>
    <m/>
    <s v="4230309217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463Waste - General [t] - Scope 3"/>
    <n v="13565463"/>
  </r>
  <r>
    <d v="2019-07-01T00:00:00"/>
    <d v="2021-06-30T00:00:00"/>
    <s v="Telstra"/>
    <s v="NETWORK"/>
    <s v="Network - InfraCo"/>
    <s v="TAS"/>
    <s v="Australia"/>
    <s v="Queenstown"/>
    <s v="QUEENSTOWN EXCHANGE"/>
    <n v="423030921700"/>
    <s v="Waste"/>
    <x v="1"/>
    <x v="2"/>
    <s v="Account"/>
    <s v="Remondis General Waste"/>
    <m/>
    <s v="423030921700_WGENERALW"/>
    <s v="GENERAL WASTE"/>
    <s v="Remondis"/>
    <m/>
    <m/>
    <d v="2020-12-01T00:00:00"/>
    <d v="2020-12-01T00:00:00"/>
    <s v="FY21"/>
    <s v="t"/>
    <n v="0"/>
    <n v="0"/>
    <n v="6.7000000000000002E-3"/>
    <n v="6.7000000000000002E-3"/>
    <n v="0"/>
    <n v="0"/>
    <n v="1"/>
    <n v="1"/>
    <n v="0"/>
    <n v="0"/>
    <n v="100"/>
    <s v="Consolidation"/>
    <s v="CO2e and Base Measure"/>
    <n v="100"/>
    <n v="100"/>
    <n v="0.01"/>
    <m/>
    <m/>
    <m/>
    <m/>
    <m/>
    <n v="8.6999999999999994E-3"/>
    <m/>
    <n v="8.6999999999999994E-3"/>
    <m/>
    <m/>
    <m/>
    <m/>
    <m/>
    <s v="AUD"/>
    <s v="13565463Waste - General [t] - Scope 3"/>
    <n v="13565463"/>
  </r>
  <r>
    <d v="2019-07-01T00:00:00"/>
    <d v="2021-06-30T00:00:00"/>
    <s v="Telstra"/>
    <s v="NETWORK"/>
    <s v="Network - InfraCo"/>
    <s v="NSW"/>
    <s v="Australia"/>
    <s v="Ramsgate"/>
    <s v="RAMSGATE EXCHANGE"/>
    <n v="423030295500"/>
    <s v="Waste"/>
    <x v="1"/>
    <x v="2"/>
    <s v="Account"/>
    <s v="Remondis General Waste"/>
    <m/>
    <s v="423030295500_WGENERALW"/>
    <s v="GENERAL WASTE"/>
    <s v="Remondis"/>
    <m/>
    <d v="2020-06-12T00:00:00"/>
    <d v="2020-07-01T00:00:00"/>
    <d v="2020-07-01T00:00:00"/>
    <s v="FY21"/>
    <s v="t"/>
    <n v="0"/>
    <n v="0"/>
    <n v="6.9000000000000006E-2"/>
    <n v="6.9000000000000006E-2"/>
    <n v="0"/>
    <n v="0"/>
    <n v="1"/>
    <n v="1"/>
    <n v="0"/>
    <n v="0"/>
    <n v="100"/>
    <s v="Consolidation"/>
    <s v="CO2e and Base Measure"/>
    <n v="100"/>
    <n v="100"/>
    <n v="7.0000000000000007E-2"/>
    <m/>
    <m/>
    <m/>
    <m/>
    <m/>
    <n v="8.9700000000000002E-2"/>
    <m/>
    <n v="8.9700000000000002E-2"/>
    <m/>
    <m/>
    <m/>
    <m/>
    <m/>
    <s v="AUD"/>
    <s v="13612589Waste - General [t] - Scope 3"/>
    <n v="13612589"/>
  </r>
  <r>
    <d v="2019-07-01T00:00:00"/>
    <d v="2021-06-30T00:00:00"/>
    <s v="Telstra"/>
    <s v="NETWORK"/>
    <s v="Network - InfraCo"/>
    <s v="QLD"/>
    <s v="Australia"/>
    <s v="Redbank Plains"/>
    <s v="REDBANK PLAINS EXCHANGE BG 1"/>
    <n v="423030157800"/>
    <s v="Recycled Waste"/>
    <x v="0"/>
    <x v="0"/>
    <s v="Account"/>
    <s v="Remondis Cardboard - Loose - Recycled"/>
    <m/>
    <s v="4230301578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227Waste Recycled - Cardboard [t]"/>
    <n v="13564227"/>
  </r>
  <r>
    <d v="2019-07-01T00:00:00"/>
    <d v="2021-06-30T00:00:00"/>
    <s v="Telstra"/>
    <s v="NETWORK"/>
    <s v="Network - InfraCo"/>
    <s v="QLD"/>
    <s v="Australia"/>
    <s v="Redbank Plains"/>
    <s v="REDBANK PLAINS EXCHANGE BG 1"/>
    <n v="423030157800"/>
    <s v="Recycled Waste"/>
    <x v="0"/>
    <x v="0"/>
    <s v="Account"/>
    <s v="Remondis Cardboard - Loose - Recycled"/>
    <m/>
    <s v="4230301578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227Waste Recycled - Cardboard [t]"/>
    <n v="13564227"/>
  </r>
  <r>
    <d v="2019-07-01T00:00:00"/>
    <d v="2021-06-30T00:00:00"/>
    <s v="Telstra"/>
    <s v="NETWORK"/>
    <s v="Network - InfraCo"/>
    <s v="QLD"/>
    <s v="Australia"/>
    <s v="Redbank Plains"/>
    <s v="REDBANK PLAINS EXCHANGE BG 1"/>
    <n v="423030157800"/>
    <s v="Recycled Waste"/>
    <x v="0"/>
    <x v="0"/>
    <s v="Account"/>
    <s v="Remondis Cardboard - Loose - Recycled"/>
    <m/>
    <s v="423030157800_RCARDBOAR"/>
    <s v="CARDBOARD - LOOSE - RECYCLED"/>
    <s v="Remondis"/>
    <m/>
    <m/>
    <d v="2021-01-01T00:00:00"/>
    <d v="2021-01-01T00:00:00"/>
    <s v="FY21"/>
    <s v="t"/>
    <n v="0"/>
    <n v="0"/>
    <n v="6.9999999999999999E-4"/>
    <n v="6.9999999999999999E-4"/>
    <n v="0"/>
    <n v="0"/>
    <n v="1"/>
    <n v="1"/>
    <n v="0"/>
    <n v="0"/>
    <n v="100"/>
    <s v="Consolidation"/>
    <s v="CO2e and Base Measure"/>
    <n v="100"/>
    <n v="100"/>
    <n v="0"/>
    <m/>
    <m/>
    <m/>
    <m/>
    <m/>
    <m/>
    <n v="0"/>
    <m/>
    <m/>
    <m/>
    <m/>
    <m/>
    <m/>
    <s v="AUD"/>
    <s v="13564227Waste Recycled - Cardboard [t]"/>
    <n v="13564227"/>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07-01T00:00:00"/>
    <s v="FY21"/>
    <s v="t"/>
    <n v="0.13"/>
    <n v="0"/>
    <n v="0"/>
    <n v="0.13"/>
    <n v="2"/>
    <n v="0"/>
    <n v="0"/>
    <n v="2"/>
    <n v="100"/>
    <n v="0"/>
    <n v="0"/>
    <s v="Consolidation"/>
    <s v="CO2e and Base Measure"/>
    <n v="100"/>
    <n v="100"/>
    <n v="0.13"/>
    <m/>
    <m/>
    <m/>
    <m/>
    <m/>
    <n v="0.16900000000000001"/>
    <m/>
    <n v="0.16900000000000001"/>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08-01T00:00:00"/>
    <s v="FY21"/>
    <s v="t"/>
    <n v="0.04"/>
    <n v="0"/>
    <n v="0"/>
    <n v="0.04"/>
    <n v="1"/>
    <n v="0"/>
    <n v="0"/>
    <n v="1"/>
    <n v="100"/>
    <n v="0"/>
    <n v="0"/>
    <s v="Consolidation"/>
    <s v="CO2e and Base Measure"/>
    <n v="100"/>
    <n v="100"/>
    <n v="0.04"/>
    <m/>
    <m/>
    <m/>
    <m/>
    <m/>
    <n v="5.1999999999999998E-2"/>
    <m/>
    <n v="5.1999999999999998E-2"/>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09-01T00:00:00"/>
    <s v="FY21"/>
    <s v="t"/>
    <n v="0.1"/>
    <n v="0"/>
    <n v="0"/>
    <n v="0.1"/>
    <n v="2"/>
    <n v="0"/>
    <n v="0"/>
    <n v="2"/>
    <n v="100"/>
    <n v="0"/>
    <n v="0"/>
    <s v="Consolidation"/>
    <s v="CO2e and Base Measure"/>
    <n v="100"/>
    <n v="100"/>
    <n v="0.1"/>
    <m/>
    <m/>
    <m/>
    <m/>
    <m/>
    <n v="0.13"/>
    <m/>
    <n v="0.13"/>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10-01T00:00:00"/>
    <s v="FY21"/>
    <s v="t"/>
    <n v="0.04"/>
    <n v="0"/>
    <n v="0"/>
    <n v="0.04"/>
    <n v="1"/>
    <n v="0"/>
    <n v="0"/>
    <n v="1"/>
    <n v="100"/>
    <n v="0"/>
    <n v="0"/>
    <s v="Consolidation"/>
    <s v="CO2e and Base Measure"/>
    <n v="100"/>
    <n v="100"/>
    <n v="0.04"/>
    <m/>
    <m/>
    <m/>
    <m/>
    <m/>
    <n v="5.1999999999999998E-2"/>
    <m/>
    <n v="5.1999999999999998E-2"/>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11-01T00:00:00"/>
    <s v="FY21"/>
    <s v="t"/>
    <n v="0.03"/>
    <n v="9.7500000000000003E-2"/>
    <n v="0"/>
    <n v="0.1275"/>
    <n v="1"/>
    <n v="1"/>
    <n v="0"/>
    <n v="2"/>
    <n v="23.52"/>
    <n v="76.47"/>
    <n v="0"/>
    <s v="Consolidation"/>
    <s v="CO2e and Base Measure"/>
    <n v="100"/>
    <n v="100"/>
    <n v="0.13"/>
    <m/>
    <m/>
    <m/>
    <m/>
    <m/>
    <n v="0.1658"/>
    <m/>
    <n v="0.1658"/>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1-01-01T00:00:00"/>
    <s v="FY21"/>
    <s v="t"/>
    <n v="0"/>
    <n v="0"/>
    <n v="2.8E-3"/>
    <n v="2.8E-3"/>
    <n v="0"/>
    <n v="0"/>
    <n v="1"/>
    <n v="1"/>
    <n v="0"/>
    <n v="0"/>
    <n v="100"/>
    <s v="Consolidation"/>
    <s v="CO2e and Base Measure"/>
    <n v="100"/>
    <n v="100"/>
    <n v="0"/>
    <m/>
    <m/>
    <m/>
    <m/>
    <m/>
    <n v="3.5999999999999999E-3"/>
    <m/>
    <n v="3.5999999999999999E-3"/>
    <m/>
    <m/>
    <m/>
    <m/>
    <m/>
    <s v="AUD"/>
    <s v="13564228Waste - General [t] - Scope 3"/>
    <n v="13564228"/>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07-01T00:00:00"/>
    <s v="FY21"/>
    <s v="t"/>
    <n v="0.23"/>
    <n v="0"/>
    <n v="0"/>
    <n v="0.23"/>
    <n v="2"/>
    <n v="0"/>
    <n v="0"/>
    <n v="2"/>
    <n v="100"/>
    <n v="0"/>
    <n v="0"/>
    <s v="Consolidation"/>
    <s v="CO2e and Base Measure"/>
    <n v="100"/>
    <n v="100"/>
    <n v="0.23"/>
    <m/>
    <m/>
    <m/>
    <m/>
    <m/>
    <n v="0.29899999999999999"/>
    <m/>
    <n v="0.29899999999999999"/>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08-01T00:00:00"/>
    <s v="FY21"/>
    <s v="t"/>
    <n v="0.22"/>
    <n v="0"/>
    <n v="0"/>
    <n v="0.22"/>
    <n v="3"/>
    <n v="0"/>
    <n v="0"/>
    <n v="3"/>
    <n v="100"/>
    <n v="0"/>
    <n v="0"/>
    <s v="Consolidation"/>
    <s v="CO2e and Base Measure"/>
    <n v="100"/>
    <n v="100"/>
    <n v="0.22"/>
    <m/>
    <m/>
    <m/>
    <m/>
    <m/>
    <n v="0.28599999999999998"/>
    <m/>
    <n v="0.28599999999999998"/>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09-01T00:00:00"/>
    <s v="FY21"/>
    <s v="t"/>
    <n v="0.3"/>
    <n v="0"/>
    <n v="0"/>
    <n v="0.3"/>
    <n v="2"/>
    <n v="0"/>
    <n v="0"/>
    <n v="2"/>
    <n v="100"/>
    <n v="0"/>
    <n v="0"/>
    <s v="Consolidation"/>
    <s v="CO2e and Base Measure"/>
    <n v="100"/>
    <n v="100"/>
    <n v="0.3"/>
    <m/>
    <m/>
    <m/>
    <m/>
    <m/>
    <n v="0.39"/>
    <m/>
    <n v="0.39"/>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10-01T00:00:00"/>
    <s v="FY21"/>
    <s v="t"/>
    <n v="0.1"/>
    <n v="9.7500000000000003E-2"/>
    <n v="0"/>
    <n v="0.19750000000000001"/>
    <n v="1"/>
    <n v="1"/>
    <n v="0"/>
    <n v="2"/>
    <n v="50.63"/>
    <n v="49.36"/>
    <n v="0"/>
    <s v="Consolidation"/>
    <s v="CO2e and Base Measure"/>
    <n v="100"/>
    <n v="100"/>
    <n v="0.2"/>
    <m/>
    <m/>
    <m/>
    <m/>
    <m/>
    <n v="0.25679999999999997"/>
    <m/>
    <n v="0.25679999999999997"/>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11-01T00:00:00"/>
    <s v="FY21"/>
    <s v="t"/>
    <n v="0.23"/>
    <n v="0"/>
    <n v="0"/>
    <n v="0.23"/>
    <n v="1"/>
    <n v="0"/>
    <n v="0"/>
    <n v="1"/>
    <n v="100"/>
    <n v="0"/>
    <n v="0"/>
    <s v="Consolidation"/>
    <s v="CO2e and Base Measure"/>
    <n v="100"/>
    <n v="100"/>
    <n v="0.23"/>
    <m/>
    <m/>
    <m/>
    <m/>
    <m/>
    <n v="0.29899999999999999"/>
    <m/>
    <n v="0.29899999999999999"/>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4229Waste - General [t] - Scope 3"/>
    <n v="13564229"/>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0-12-01T00:00:00"/>
    <s v="FY21"/>
    <s v="t"/>
    <n v="0.21299999999999999"/>
    <n v="0"/>
    <n v="0"/>
    <n v="0.21299999999999999"/>
    <n v="2"/>
    <n v="0"/>
    <n v="0"/>
    <n v="2"/>
    <n v="100"/>
    <n v="0"/>
    <n v="0"/>
    <s v="Consolidation"/>
    <s v="CO2e and Base Measure"/>
    <n v="100"/>
    <n v="100"/>
    <n v="0.21"/>
    <m/>
    <m/>
    <m/>
    <m/>
    <m/>
    <n v="0.27689999999999998"/>
    <m/>
    <n v="0.27689999999999998"/>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1-01T00:00:00"/>
    <s v="FY21"/>
    <s v="t"/>
    <n v="0.24299999999999999"/>
    <n v="0"/>
    <n v="0"/>
    <n v="0.24299999999999999"/>
    <n v="2"/>
    <n v="0"/>
    <n v="0"/>
    <n v="2"/>
    <n v="100"/>
    <n v="0"/>
    <n v="0"/>
    <s v="Consolidation"/>
    <s v="CO2e and Base Measure"/>
    <n v="100"/>
    <n v="100"/>
    <n v="0.24"/>
    <m/>
    <m/>
    <m/>
    <m/>
    <m/>
    <n v="0.31590000000000001"/>
    <m/>
    <n v="0.31590000000000001"/>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2-01T00:00:00"/>
    <s v="FY21"/>
    <s v="t"/>
    <n v="0.28899999999999998"/>
    <n v="0"/>
    <n v="0"/>
    <n v="0.28899999999999998"/>
    <n v="2"/>
    <n v="0"/>
    <n v="0"/>
    <n v="2"/>
    <n v="100"/>
    <n v="0"/>
    <n v="0"/>
    <s v="Consolidation"/>
    <s v="CO2e and Base Measure"/>
    <n v="100"/>
    <n v="100"/>
    <n v="0.28999999999999998"/>
    <m/>
    <m/>
    <m/>
    <m/>
    <m/>
    <n v="0.37569999999999998"/>
    <m/>
    <n v="0.37569999999999998"/>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3-01T00:00:00"/>
    <s v="FY21"/>
    <s v="t"/>
    <n v="0.11799999999999999"/>
    <n v="0"/>
    <n v="0"/>
    <n v="0.11799999999999999"/>
    <n v="2"/>
    <n v="0"/>
    <n v="0"/>
    <n v="2"/>
    <n v="100"/>
    <n v="0"/>
    <n v="0"/>
    <s v="Consolidation"/>
    <s v="CO2e and Base Measure"/>
    <n v="100"/>
    <n v="100"/>
    <n v="0.12"/>
    <m/>
    <m/>
    <m/>
    <m/>
    <m/>
    <n v="0.15340000000000001"/>
    <m/>
    <n v="0.15340000000000001"/>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4-01T00:00:00"/>
    <s v="FY21"/>
    <s v="t"/>
    <n v="0"/>
    <n v="0"/>
    <n v="0.216"/>
    <n v="0.216"/>
    <n v="0"/>
    <n v="0"/>
    <n v="30"/>
    <n v="30"/>
    <n v="0"/>
    <n v="0"/>
    <n v="100"/>
    <s v="Consolidation"/>
    <s v="CO2e and Base Measure"/>
    <n v="100"/>
    <n v="100"/>
    <n v="0.22"/>
    <m/>
    <m/>
    <m/>
    <m/>
    <m/>
    <n v="0.28079999999999999"/>
    <m/>
    <n v="0.28079999999999999"/>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5-01T00:00:00"/>
    <s v="FY21"/>
    <s v="t"/>
    <n v="0"/>
    <n v="0"/>
    <n v="0.22320000000000001"/>
    <n v="0.22320000000000001"/>
    <n v="0"/>
    <n v="0"/>
    <n v="31"/>
    <n v="31"/>
    <n v="0"/>
    <n v="0"/>
    <n v="100"/>
    <s v="Consolidation"/>
    <s v="CO2e and Base Measure"/>
    <n v="100"/>
    <n v="100"/>
    <n v="0.22"/>
    <m/>
    <m/>
    <m/>
    <m/>
    <m/>
    <n v="0.29020000000000001"/>
    <m/>
    <n v="0.29020000000000001"/>
    <m/>
    <m/>
    <m/>
    <m/>
    <m/>
    <s v="AUD"/>
    <s v="13634238Waste - General [t] - Scope 3"/>
    <n v="13634238"/>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0-07-01T00:00:00"/>
    <s v="FY21"/>
    <s v="t"/>
    <n v="5.5E-2"/>
    <n v="0"/>
    <n v="0"/>
    <n v="5.5E-2"/>
    <n v="1"/>
    <n v="0"/>
    <n v="0"/>
    <n v="1"/>
    <n v="100"/>
    <n v="0"/>
    <n v="0"/>
    <s v="Consolidation"/>
    <s v="CO2e and Base Measure"/>
    <n v="100"/>
    <n v="100"/>
    <n v="0.06"/>
    <m/>
    <m/>
    <m/>
    <m/>
    <m/>
    <n v="7.1499999999999994E-2"/>
    <m/>
    <n v="7.1499999999999994E-2"/>
    <m/>
    <m/>
    <m/>
    <m/>
    <m/>
    <s v="AUD"/>
    <s v="13564420Waste - General [t] - Scope 3"/>
    <n v="13564420"/>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0-08-01T00:00:00"/>
    <s v="FY21"/>
    <s v="t"/>
    <n v="0.16400000000000001"/>
    <n v="0"/>
    <n v="0"/>
    <n v="0.16400000000000001"/>
    <n v="1"/>
    <n v="0"/>
    <n v="0"/>
    <n v="1"/>
    <n v="100"/>
    <n v="0"/>
    <n v="0"/>
    <s v="Consolidation"/>
    <s v="CO2e and Base Measure"/>
    <n v="100"/>
    <n v="100"/>
    <n v="0.16"/>
    <m/>
    <m/>
    <m/>
    <m/>
    <m/>
    <n v="0.2132"/>
    <m/>
    <n v="0.2132"/>
    <m/>
    <m/>
    <m/>
    <m/>
    <m/>
    <s v="AUD"/>
    <s v="13564420Waste - General [t] - Scope 3"/>
    <n v="13564420"/>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0-11-01T00:00:00"/>
    <s v="FY21"/>
    <s v="t"/>
    <n v="0.24399999999999999"/>
    <n v="0"/>
    <n v="0"/>
    <n v="0.24399999999999999"/>
    <n v="3"/>
    <n v="0"/>
    <n v="0"/>
    <n v="3"/>
    <n v="100"/>
    <n v="0"/>
    <n v="0"/>
    <s v="Consolidation"/>
    <s v="CO2e and Base Measure"/>
    <n v="100"/>
    <n v="100"/>
    <n v="0.24"/>
    <m/>
    <m/>
    <m/>
    <m/>
    <m/>
    <n v="0.31719999999999998"/>
    <m/>
    <n v="0.31719999999999998"/>
    <m/>
    <m/>
    <m/>
    <m/>
    <m/>
    <s v="AUD"/>
    <s v="13564420Waste - General [t] - Scope 3"/>
    <n v="13564420"/>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0-12-01T00:00:00"/>
    <s v="FY21"/>
    <s v="t"/>
    <n v="0"/>
    <n v="0.12870000000000001"/>
    <n v="0"/>
    <n v="0.12870000000000001"/>
    <n v="0"/>
    <n v="2"/>
    <n v="0"/>
    <n v="2"/>
    <n v="0"/>
    <n v="100"/>
    <n v="0"/>
    <s v="Consolidation"/>
    <s v="CO2e and Base Measure"/>
    <n v="100"/>
    <n v="100"/>
    <n v="0.13"/>
    <m/>
    <m/>
    <m/>
    <m/>
    <m/>
    <n v="0.1673"/>
    <m/>
    <n v="0.1673"/>
    <m/>
    <m/>
    <m/>
    <m/>
    <m/>
    <s v="AUD"/>
    <s v="13564420Waste - General [t] - Scope 3"/>
    <n v="13564420"/>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1-01-01T00:00:00"/>
    <s v="FY21"/>
    <s v="t"/>
    <n v="0"/>
    <n v="0"/>
    <n v="3.3999999999999998E-3"/>
    <n v="3.3999999999999998E-3"/>
    <n v="0"/>
    <n v="0"/>
    <n v="1"/>
    <n v="1"/>
    <n v="0"/>
    <n v="0"/>
    <n v="100"/>
    <s v="Consolidation"/>
    <s v="CO2e and Base Measure"/>
    <n v="100"/>
    <n v="100"/>
    <n v="0"/>
    <m/>
    <m/>
    <m/>
    <m/>
    <m/>
    <n v="4.4000000000000003E-3"/>
    <m/>
    <n v="4.4000000000000003E-3"/>
    <m/>
    <m/>
    <m/>
    <m/>
    <m/>
    <s v="AUD"/>
    <s v="13564420Waste - General [t] - Scope 3"/>
    <n v="13564420"/>
  </r>
  <r>
    <d v="2019-07-01T00:00:00"/>
    <d v="2021-06-30T00:00:00"/>
    <s v="Telstra"/>
    <s v="NETWORK"/>
    <s v="Network - InfraCo"/>
    <s v="NSW"/>
    <s v="Australia"/>
    <s v="Redfern"/>
    <s v="REDFERN EXCHANGE"/>
    <n v="423030295900"/>
    <s v="Recycled Waste"/>
    <x v="0"/>
    <x v="5"/>
    <s v="Account"/>
    <s v="Remondis Metal - Mixed All"/>
    <m/>
    <s v="423030295900_RMETMIXED"/>
    <s v="METAL - MIXED ALL"/>
    <s v="Remondis"/>
    <m/>
    <d v="2020-10-23T00:00:00"/>
    <d v="2021-01-01T00:00:00"/>
    <d v="2020-10-01T00:00:00"/>
    <s v="FY21"/>
    <s v="t"/>
    <n v="5.42"/>
    <n v="0"/>
    <n v="0"/>
    <n v="5.42"/>
    <n v="2"/>
    <n v="0"/>
    <n v="0"/>
    <n v="2"/>
    <n v="100"/>
    <n v="0"/>
    <n v="0"/>
    <s v="Consolidation"/>
    <s v="CO2e and Base Measure"/>
    <n v="100"/>
    <n v="100"/>
    <n v="5.42"/>
    <m/>
    <m/>
    <m/>
    <m/>
    <m/>
    <m/>
    <m/>
    <m/>
    <m/>
    <m/>
    <m/>
    <m/>
    <m/>
    <s v="AUD"/>
    <s v="13631695Waste Recycled - Construction and Demolition [t]"/>
    <n v="13631695"/>
  </r>
  <r>
    <d v="2019-07-01T00:00:00"/>
    <d v="2021-06-30T00:00:00"/>
    <s v="Telstra"/>
    <s v="NETWORK"/>
    <s v="Network - InfraCo"/>
    <s v="NSW"/>
    <s v="Australia"/>
    <s v="Redfern"/>
    <s v="REDFERN EXCHANGE"/>
    <n v="423030295900"/>
    <s v="Recycled Waste"/>
    <x v="0"/>
    <x v="5"/>
    <s v="Account"/>
    <s v="Remondis Metal - Mixed All"/>
    <m/>
    <s v="423030295900_RMETMIXED"/>
    <s v="METAL - MIXED ALL"/>
    <s v="Remondis"/>
    <m/>
    <d v="2020-10-23T00:00:00"/>
    <d v="2021-01-01T00:00:00"/>
    <d v="2020-11-01T00:00:00"/>
    <s v="FY21"/>
    <s v="t"/>
    <n v="1.52"/>
    <n v="0"/>
    <n v="0"/>
    <n v="1.52"/>
    <n v="1"/>
    <n v="0"/>
    <n v="0"/>
    <n v="1"/>
    <n v="100"/>
    <n v="0"/>
    <n v="0"/>
    <s v="Consolidation"/>
    <s v="CO2e and Base Measure"/>
    <n v="100"/>
    <n v="100"/>
    <n v="1.52"/>
    <m/>
    <m/>
    <m/>
    <m/>
    <m/>
    <m/>
    <m/>
    <m/>
    <m/>
    <m/>
    <m/>
    <m/>
    <m/>
    <s v="AUD"/>
    <s v="13631695Waste Recycled - Construction and Demolition [t]"/>
    <n v="13631695"/>
  </r>
  <r>
    <d v="2019-07-01T00:00:00"/>
    <d v="2021-06-30T00:00:00"/>
    <s v="Telstra"/>
    <s v="NETWORK"/>
    <s v="Network - InfraCo"/>
    <s v="NSW"/>
    <s v="Australia"/>
    <s v="Redfern"/>
    <s v="REDFERN EXCHANGE"/>
    <n v="423030295900"/>
    <s v="Recycled Waste"/>
    <x v="0"/>
    <x v="5"/>
    <s v="Account"/>
    <s v="Remondis Metal - Mixed All"/>
    <m/>
    <s v="423030295900_RMETMIXED"/>
    <s v="METAL - MIXED ALL"/>
    <s v="Remondis"/>
    <m/>
    <d v="2020-10-23T00:00:00"/>
    <d v="2021-01-01T00:00:00"/>
    <d v="2020-12-01T00:00:00"/>
    <s v="FY21"/>
    <s v="t"/>
    <n v="7.74"/>
    <n v="0"/>
    <n v="0"/>
    <n v="7.74"/>
    <n v="2"/>
    <n v="0"/>
    <n v="0"/>
    <n v="2"/>
    <n v="100"/>
    <n v="0"/>
    <n v="0"/>
    <s v="Consolidation"/>
    <s v="CO2e and Base Measure"/>
    <n v="100"/>
    <n v="100"/>
    <n v="7.74"/>
    <m/>
    <m/>
    <m/>
    <m/>
    <m/>
    <m/>
    <m/>
    <m/>
    <m/>
    <m/>
    <m/>
    <m/>
    <m/>
    <s v="AUD"/>
    <s v="13631695Waste Recycled - Construction and Demolition [t]"/>
    <n v="13631695"/>
  </r>
  <r>
    <d v="2019-07-01T00:00:00"/>
    <d v="2021-06-30T00:00:00"/>
    <s v="Telstra"/>
    <s v="NETWORK"/>
    <s v="Network - InfraCo"/>
    <s v="NSW"/>
    <s v="Australia"/>
    <s v="Redfern"/>
    <s v="REDFERN EXCHANGE"/>
    <n v="423030295900"/>
    <s v="Recycled Waste"/>
    <x v="0"/>
    <x v="5"/>
    <s v="Account"/>
    <s v="Remondis Metal - Mixed All"/>
    <m/>
    <s v="423030295900_RMETMIXED"/>
    <s v="METAL - MIXED ALL"/>
    <s v="Remondis"/>
    <m/>
    <d v="2020-10-23T00:00:00"/>
    <d v="2021-01-01T00:00:00"/>
    <d v="2021-01-01T00:00:00"/>
    <s v="FY21"/>
    <s v="t"/>
    <n v="0"/>
    <n v="0"/>
    <n v="0.1613"/>
    <n v="0.1613"/>
    <n v="0"/>
    <n v="0"/>
    <n v="1"/>
    <n v="1"/>
    <n v="0"/>
    <n v="0"/>
    <n v="100"/>
    <s v="Consolidation"/>
    <s v="CO2e and Base Measure"/>
    <n v="100"/>
    <n v="100"/>
    <n v="0.16"/>
    <m/>
    <m/>
    <m/>
    <m/>
    <m/>
    <m/>
    <m/>
    <m/>
    <m/>
    <m/>
    <m/>
    <m/>
    <m/>
    <s v="AUD"/>
    <s v="13631695Waste Recycled - Construction and Demolition [t]"/>
    <n v="13631695"/>
  </r>
  <r>
    <d v="2019-07-01T00:00:00"/>
    <d v="2021-06-30T00:00:00"/>
    <s v="Telstra"/>
    <s v="NETWORK"/>
    <s v="Network - InfraCo"/>
    <s v="NSW"/>
    <s v="Australia"/>
    <s v="Redfern"/>
    <s v="REDFERN EXCHANGE"/>
    <n v="423030295900"/>
    <s v="Waste"/>
    <x v="1"/>
    <x v="2"/>
    <s v="Account"/>
    <s v="CLEANAWAY General"/>
    <m/>
    <s v="44138_Landfill_General"/>
    <s v="General"/>
    <s v="Cleanaway"/>
    <m/>
    <d v="2021-02-17T00:00:00"/>
    <m/>
    <d v="2021-02-01T00:00:00"/>
    <s v="FY21"/>
    <s v="t"/>
    <n v="2.2000000000000002"/>
    <n v="0"/>
    <n v="0"/>
    <n v="2.2000000000000002"/>
    <n v="1"/>
    <n v="0"/>
    <n v="0"/>
    <n v="1"/>
    <n v="100"/>
    <n v="0"/>
    <n v="0"/>
    <s v="Consolidation"/>
    <s v="CO2e and Base Measure"/>
    <n v="100"/>
    <n v="100"/>
    <n v="2.2000000000000002"/>
    <m/>
    <m/>
    <m/>
    <m/>
    <m/>
    <n v="2.86"/>
    <m/>
    <n v="2.86"/>
    <m/>
    <m/>
    <m/>
    <m/>
    <m/>
    <s v="AUD"/>
    <s v="13639938Waste - General [t] - Scope 3"/>
    <n v="13639938"/>
  </r>
  <r>
    <d v="2019-07-01T00:00:00"/>
    <d v="2021-06-30T00:00:00"/>
    <s v="Telstra"/>
    <s v="NETWORK"/>
    <s v="Network - InfraCo"/>
    <s v="NSW"/>
    <s v="Australia"/>
    <s v="Redfern"/>
    <s v="REDFERN EXCHANGE"/>
    <n v="423030295900"/>
    <s v="Waste"/>
    <x v="1"/>
    <x v="2"/>
    <s v="Account"/>
    <s v="CLEANAWAY General"/>
    <m/>
    <s v="44138_Landfill_General"/>
    <s v="General"/>
    <s v="Cleanaway"/>
    <m/>
    <d v="2021-02-17T00:00:00"/>
    <m/>
    <d v="2021-03-01T00:00:00"/>
    <s v="FY21"/>
    <s v="t"/>
    <n v="0"/>
    <n v="0.14849999999999999"/>
    <n v="0"/>
    <n v="0.14849999999999999"/>
    <n v="0"/>
    <n v="2"/>
    <n v="0"/>
    <n v="2"/>
    <n v="0"/>
    <n v="100"/>
    <n v="0"/>
    <s v="Consolidation"/>
    <s v="CO2e and Base Measure"/>
    <n v="100"/>
    <n v="100"/>
    <n v="0.15"/>
    <m/>
    <m/>
    <m/>
    <m/>
    <m/>
    <n v="0.19309999999999999"/>
    <m/>
    <n v="0.19309999999999999"/>
    <m/>
    <m/>
    <m/>
    <m/>
    <m/>
    <s v="AUD"/>
    <s v="13639938Waste - General [t] - Scope 3"/>
    <n v="13639938"/>
  </r>
  <r>
    <d v="2019-07-01T00:00:00"/>
    <d v="2021-06-30T00:00:00"/>
    <s v="Telstra"/>
    <s v="NETWORK"/>
    <s v="Network - InfraCo"/>
    <s v="NSW"/>
    <s v="Australia"/>
    <s v="Redfern"/>
    <s v="REDFERN EXCHANGE"/>
    <n v="423030295900"/>
    <s v="Waste"/>
    <x v="1"/>
    <x v="2"/>
    <s v="Account"/>
    <s v="CLEANAWAY General"/>
    <m/>
    <s v="44138_Landfill_General"/>
    <s v="General"/>
    <s v="Cleanaway"/>
    <m/>
    <d v="2021-02-17T00:00:00"/>
    <m/>
    <d v="2021-04-01T00:00:00"/>
    <s v="FY21"/>
    <s v="t"/>
    <n v="0"/>
    <n v="0"/>
    <n v="1.2150000000000001"/>
    <n v="1.2150000000000001"/>
    <n v="0"/>
    <n v="0"/>
    <n v="30"/>
    <n v="30"/>
    <n v="0"/>
    <n v="0"/>
    <n v="100"/>
    <s v="Consolidation"/>
    <s v="CO2e and Base Measure"/>
    <n v="100"/>
    <n v="100"/>
    <n v="1.22"/>
    <m/>
    <m/>
    <m/>
    <m/>
    <m/>
    <n v="1.5794999999999999"/>
    <m/>
    <n v="1.5794999999999999"/>
    <m/>
    <m/>
    <m/>
    <m/>
    <m/>
    <s v="AUD"/>
    <s v="13639938Waste - General [t] - Scope 3"/>
    <n v="13639938"/>
  </r>
  <r>
    <d v="2019-07-01T00:00:00"/>
    <d v="2021-06-30T00:00:00"/>
    <s v="Telstra"/>
    <s v="NETWORK"/>
    <s v="Network - InfraCo"/>
    <s v="NSW"/>
    <s v="Australia"/>
    <s v="Redfern"/>
    <s v="REDFERN EXCHANGE"/>
    <n v="423030295900"/>
    <s v="Waste"/>
    <x v="1"/>
    <x v="2"/>
    <s v="Account"/>
    <s v="CLEANAWAY General"/>
    <m/>
    <s v="44138_Landfill_General"/>
    <s v="General"/>
    <s v="Cleanaway"/>
    <m/>
    <d v="2021-02-17T00:00:00"/>
    <m/>
    <d v="2021-05-01T00:00:00"/>
    <s v="FY21"/>
    <s v="t"/>
    <n v="0"/>
    <n v="0"/>
    <n v="1.2555000000000001"/>
    <n v="1.2555000000000001"/>
    <n v="0"/>
    <n v="0"/>
    <n v="31"/>
    <n v="31"/>
    <n v="0"/>
    <n v="0"/>
    <n v="100"/>
    <s v="Consolidation"/>
    <s v="CO2e and Base Measure"/>
    <n v="100"/>
    <n v="100"/>
    <n v="1.26"/>
    <m/>
    <m/>
    <m/>
    <m/>
    <m/>
    <n v="1.6322000000000001"/>
    <m/>
    <n v="1.6322000000000001"/>
    <m/>
    <m/>
    <m/>
    <m/>
    <m/>
    <s v="AUD"/>
    <s v="13639938Waste - General [t] - Scope 3"/>
    <n v="13639938"/>
  </r>
  <r>
    <d v="2019-07-01T00:00:00"/>
    <d v="2021-06-30T00:00:00"/>
    <s v="Telstra"/>
    <s v="NON-NETWORK"/>
    <s v="NON-NETWORK"/>
    <s v="NSW"/>
    <s v="Australia"/>
    <s v="Regents Park"/>
    <s v="Regents Park_Block U_Unit 1"/>
    <n v="423031054100"/>
    <s v="Recycled Waste"/>
    <x v="0"/>
    <x v="1"/>
    <s v="Account"/>
    <s v="Remondis Electrical Comp. (E-Waste)"/>
    <m/>
    <s v="423031054100_RELECTRIC"/>
    <s v="ELECTRICAL COMP. E-WASTE"/>
    <s v="Remondis"/>
    <m/>
    <m/>
    <d v="2021-01-01T00:00:00"/>
    <d v="2020-12-01T00:00:00"/>
    <s v="FY21"/>
    <s v="t"/>
    <n v="0.23799999999999999"/>
    <n v="0"/>
    <n v="0"/>
    <n v="0.23799999999999999"/>
    <n v="1"/>
    <n v="0"/>
    <n v="0"/>
    <n v="1"/>
    <n v="100"/>
    <n v="0"/>
    <n v="0"/>
    <s v="Consolidation"/>
    <s v="CO2e and Base Measure"/>
    <n v="100"/>
    <n v="100"/>
    <n v="0.24"/>
    <m/>
    <m/>
    <m/>
    <m/>
    <m/>
    <m/>
    <m/>
    <m/>
    <m/>
    <m/>
    <m/>
    <m/>
    <m/>
    <s v="AUD"/>
    <s v="13566084Waste Recycled - E-waste [t]"/>
    <n v="13566084"/>
  </r>
  <r>
    <d v="2019-07-01T00:00:00"/>
    <d v="2021-06-30T00:00:00"/>
    <s v="Telstra"/>
    <s v="NON-NETWORK"/>
    <s v="NON-NETWORK"/>
    <s v="NSW"/>
    <s v="Australia"/>
    <s v="Regents Park"/>
    <s v="Regents Park_Block U_Unit 1"/>
    <n v="423031054100"/>
    <s v="Recycled Waste"/>
    <x v="0"/>
    <x v="1"/>
    <s v="Account"/>
    <s v="Remondis Electrical Comp. (E-Waste)"/>
    <m/>
    <s v="423031054100_RELECTRIC"/>
    <s v="ELECTRICAL COMP. E-WASTE"/>
    <s v="Remondis"/>
    <m/>
    <m/>
    <d v="2021-01-01T00:00:00"/>
    <d v="2021-01-01T00:00:00"/>
    <s v="FY21"/>
    <s v="t"/>
    <n v="0"/>
    <n v="0"/>
    <n v="4.3E-3"/>
    <n v="4.3E-3"/>
    <n v="0"/>
    <n v="0"/>
    <n v="1"/>
    <n v="1"/>
    <n v="0"/>
    <n v="0"/>
    <n v="100"/>
    <s v="Consolidation"/>
    <s v="CO2e and Base Measure"/>
    <n v="100"/>
    <n v="100"/>
    <n v="0"/>
    <m/>
    <m/>
    <m/>
    <m/>
    <m/>
    <m/>
    <m/>
    <m/>
    <m/>
    <m/>
    <m/>
    <m/>
    <m/>
    <s v="AUD"/>
    <s v="13566084Waste Recycled - E-waste [t]"/>
    <n v="13566084"/>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08-01T00:00:00"/>
    <s v="FY21"/>
    <s v="t"/>
    <n v="2.7E-2"/>
    <n v="0"/>
    <n v="0"/>
    <n v="2.7E-2"/>
    <n v="1"/>
    <n v="0"/>
    <n v="0"/>
    <n v="1"/>
    <n v="100"/>
    <n v="0"/>
    <n v="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09-01T00:00:00"/>
    <s v="FY21"/>
    <s v="t"/>
    <n v="0"/>
    <n v="0"/>
    <n v="2.7E-2"/>
    <n v="2.7E-2"/>
    <n v="0"/>
    <n v="0"/>
    <n v="30"/>
    <n v="30"/>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11-01T00:00:00"/>
    <s v="FY21"/>
    <s v="t"/>
    <n v="0"/>
    <n v="0"/>
    <n v="2.7E-2"/>
    <n v="2.7E-2"/>
    <n v="0"/>
    <n v="0"/>
    <n v="30"/>
    <n v="30"/>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2-01T00:00:00"/>
    <s v="FY21"/>
    <s v="t"/>
    <n v="0"/>
    <n v="0"/>
    <n v="2.52E-2"/>
    <n v="2.52E-2"/>
    <n v="0"/>
    <n v="0"/>
    <n v="28"/>
    <n v="28"/>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4-01T00:00:00"/>
    <s v="FY21"/>
    <s v="t"/>
    <n v="0"/>
    <n v="0"/>
    <n v="2.7E-2"/>
    <n v="2.7E-2"/>
    <n v="0"/>
    <n v="0"/>
    <n v="30"/>
    <n v="30"/>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Corporate"/>
    <s v="Corporate"/>
    <s v="Waste"/>
    <s v="Australia"/>
    <s v="New South Wales"/>
    <s v="Remondis ADHOCCOP Virtual Loc"/>
    <s v="ADHOCCOP"/>
    <s v="Recycled Waste"/>
    <x v="0"/>
    <x v="1"/>
    <s v="Account"/>
    <s v="Remondis Metal - Copper"/>
    <m/>
    <s v="ADHOCCOP_RMETCOPPR"/>
    <s v="METAL - COPPER"/>
    <s v="Remondis"/>
    <m/>
    <m/>
    <d v="2020-07-01T00:00:00"/>
    <d v="2020-07-01T00:00:00"/>
    <s v="FY21"/>
    <s v="t"/>
    <n v="0"/>
    <n v="0"/>
    <n v="5.6899999999999999E-2"/>
    <n v="5.6899999999999999E-2"/>
    <n v="0"/>
    <n v="0"/>
    <n v="1"/>
    <n v="1"/>
    <n v="0"/>
    <n v="0"/>
    <n v="100"/>
    <s v="Consolidation"/>
    <s v="CO2e and Base Measure"/>
    <n v="100"/>
    <n v="100"/>
    <n v="0.06"/>
    <m/>
    <m/>
    <m/>
    <m/>
    <m/>
    <m/>
    <m/>
    <m/>
    <m/>
    <m/>
    <m/>
    <m/>
    <m/>
    <s v="AUD"/>
    <s v="13566029Waste Recycled - E-waste [t]"/>
    <n v="13566029"/>
  </r>
  <r>
    <d v="2019-07-01T00:00:00"/>
    <d v="2021-06-30T00:00:00"/>
    <s v="Telstra"/>
    <s v="Corporate"/>
    <s v="Corporate"/>
    <s v="Waste"/>
    <s v="Australia"/>
    <s v="New South Wales"/>
    <s v="Remondis ADHOCMCP Virtual Loc"/>
    <s v="ADHOCMCP"/>
    <s v="Recycled Waste"/>
    <x v="0"/>
    <x v="1"/>
    <s v="Account"/>
    <s v="Remondis Metal - Copper"/>
    <m/>
    <s v="ADHOCMCP_RMETCOPPR"/>
    <s v="METAL - COPPER"/>
    <s v="Remondis"/>
    <m/>
    <m/>
    <d v="2020-10-01T00:00:00"/>
    <d v="2020-07-01T00:00:00"/>
    <s v="FY21"/>
    <s v="t"/>
    <n v="2.04"/>
    <n v="0"/>
    <n v="0"/>
    <n v="2.04"/>
    <n v="1"/>
    <n v="0"/>
    <n v="0"/>
    <n v="1"/>
    <n v="100"/>
    <n v="0"/>
    <n v="0"/>
    <s v="Consolidation"/>
    <s v="CO2e and Base Measure"/>
    <n v="100"/>
    <n v="100"/>
    <n v="2.04"/>
    <m/>
    <m/>
    <m/>
    <m/>
    <m/>
    <m/>
    <m/>
    <m/>
    <m/>
    <m/>
    <m/>
    <m/>
    <m/>
    <s v="AUD"/>
    <s v="13566030Waste Recycled - E-waste [t]"/>
    <n v="13566030"/>
  </r>
  <r>
    <d v="2019-07-01T00:00:00"/>
    <d v="2021-06-30T00:00:00"/>
    <s v="Telstra"/>
    <s v="Corporate"/>
    <s v="Corporate"/>
    <s v="Waste"/>
    <s v="Australia"/>
    <s v="New South Wales"/>
    <s v="Remondis ADHOCMCP Virtual Loc"/>
    <s v="ADHOCMCP"/>
    <s v="Recycled Waste"/>
    <x v="0"/>
    <x v="1"/>
    <s v="Account"/>
    <s v="Remondis Metal - Copper"/>
    <m/>
    <s v="ADHOCMCP_RMETCOPPR"/>
    <s v="METAL - COPPER"/>
    <s v="Remondis"/>
    <m/>
    <m/>
    <d v="2020-10-01T00:00:00"/>
    <d v="2020-08-01T00:00:00"/>
    <s v="FY21"/>
    <s v="t"/>
    <n v="4.46"/>
    <n v="0"/>
    <n v="0"/>
    <n v="4.46"/>
    <n v="3"/>
    <n v="0"/>
    <n v="0"/>
    <n v="3"/>
    <n v="100"/>
    <n v="0"/>
    <n v="0"/>
    <s v="Consolidation"/>
    <s v="CO2e and Base Measure"/>
    <n v="100"/>
    <n v="100"/>
    <n v="4.46"/>
    <m/>
    <m/>
    <m/>
    <m/>
    <m/>
    <m/>
    <m/>
    <m/>
    <m/>
    <m/>
    <m/>
    <m/>
    <m/>
    <s v="AUD"/>
    <s v="13566030Waste Recycled - E-waste [t]"/>
    <n v="13566030"/>
  </r>
  <r>
    <d v="2019-07-01T00:00:00"/>
    <d v="2021-06-30T00:00:00"/>
    <s v="Telstra"/>
    <s v="Corporate"/>
    <s v="Corporate"/>
    <s v="Waste"/>
    <s v="Australia"/>
    <s v="New South Wales"/>
    <s v="Remondis ADHOCMCP Virtual Loc"/>
    <s v="ADHOCMCP"/>
    <s v="Recycled Waste"/>
    <x v="0"/>
    <x v="1"/>
    <s v="Account"/>
    <s v="Remondis Metal - Copper"/>
    <m/>
    <s v="ADHOCMCP_RMETCOPPR"/>
    <s v="METAL - COPPER"/>
    <s v="Remondis"/>
    <m/>
    <m/>
    <d v="2020-10-01T00:00:00"/>
    <d v="2020-09-01T00:00:00"/>
    <s v="FY21"/>
    <s v="t"/>
    <n v="2.62"/>
    <n v="0"/>
    <n v="0"/>
    <n v="2.62"/>
    <n v="1"/>
    <n v="0"/>
    <n v="0"/>
    <n v="1"/>
    <n v="100"/>
    <n v="0"/>
    <n v="0"/>
    <s v="Consolidation"/>
    <s v="CO2e and Base Measure"/>
    <n v="100"/>
    <n v="100"/>
    <n v="2.62"/>
    <m/>
    <m/>
    <m/>
    <m/>
    <m/>
    <m/>
    <m/>
    <m/>
    <m/>
    <m/>
    <m/>
    <m/>
    <m/>
    <s v="AUD"/>
    <s v="13566030Waste Recycled - E-waste [t]"/>
    <n v="13566030"/>
  </r>
  <r>
    <d v="2019-07-01T00:00:00"/>
    <d v="2021-06-30T00:00:00"/>
    <s v="Telstra"/>
    <s v="Corporate"/>
    <s v="Corporate"/>
    <s v="Waste"/>
    <s v="Australia"/>
    <s v="New South Wales"/>
    <s v="Remondis ADHOCMCP Virtual Loc"/>
    <s v="ADHOCMCP"/>
    <s v="Recycled Waste"/>
    <x v="0"/>
    <x v="1"/>
    <s v="Account"/>
    <s v="Remondis Metal - Copper"/>
    <m/>
    <s v="ADHOCMCP_RMETCOPPR"/>
    <s v="METAL - COPPER"/>
    <s v="Remondis"/>
    <m/>
    <m/>
    <d v="2020-10-01T00:00:00"/>
    <d v="2020-10-01T00:00:00"/>
    <s v="FY21"/>
    <s v="t"/>
    <n v="0"/>
    <n v="0"/>
    <n v="8.5199999999999998E-2"/>
    <n v="8.5199999999999998E-2"/>
    <n v="0"/>
    <n v="0"/>
    <n v="1"/>
    <n v="1"/>
    <n v="0"/>
    <n v="0"/>
    <n v="100"/>
    <s v="Consolidation"/>
    <s v="CO2e and Base Measure"/>
    <n v="100"/>
    <n v="100"/>
    <n v="0.09"/>
    <m/>
    <m/>
    <m/>
    <m/>
    <m/>
    <m/>
    <m/>
    <m/>
    <m/>
    <m/>
    <m/>
    <m/>
    <m/>
    <s v="AUD"/>
    <s v="13566030Waste Recycled - E-waste [t]"/>
    <n v="13566030"/>
  </r>
  <r>
    <d v="2019-07-01T00:00:00"/>
    <d v="2021-06-30T00:00:00"/>
    <s v="Telstra"/>
    <s v="Corporate"/>
    <s v="Corporate"/>
    <s v="Waste"/>
    <s v="Australia"/>
    <s v="Victoria"/>
    <s v="Remondis ADHOCNAD Virtual Loc"/>
    <s v="ADHOCNAD"/>
    <s v="Recycled Waste"/>
    <x v="0"/>
    <x v="1"/>
    <s v="Account"/>
    <s v="Remondis Electrical Comp. (E-Waste)"/>
    <m/>
    <s v="ADHOCNAD_RELECTRIC"/>
    <s v="ELECTRICAL COMP. E-WASTE"/>
    <s v="Remondis"/>
    <m/>
    <m/>
    <d v="2020-07-01T00:00:00"/>
    <d v="2020-07-01T00:00:00"/>
    <s v="FY21"/>
    <s v="t"/>
    <n v="0"/>
    <n v="0"/>
    <n v="0.17380000000000001"/>
    <n v="0.17380000000000001"/>
    <n v="0"/>
    <n v="0"/>
    <n v="1"/>
    <n v="1"/>
    <n v="0"/>
    <n v="0"/>
    <n v="100"/>
    <s v="Consolidation"/>
    <s v="CO2e and Base Measure"/>
    <n v="100"/>
    <n v="100"/>
    <n v="0.17"/>
    <m/>
    <m/>
    <m/>
    <m/>
    <m/>
    <m/>
    <m/>
    <m/>
    <m/>
    <m/>
    <m/>
    <m/>
    <m/>
    <s v="AUD"/>
    <s v="13566031Waste Recycled - E-waste [t]"/>
    <n v="13566031"/>
  </r>
  <r>
    <d v="2019-07-01T00:00:00"/>
    <d v="2021-06-30T00:00:00"/>
    <s v="Telstra"/>
    <s v="Corporate"/>
    <s v="Corporate"/>
    <s v="Waste"/>
    <s v="Australia"/>
    <s v="Victoria"/>
    <s v="Remondis ADHOCNAD Virtual Loc"/>
    <s v="ADHOCNAD"/>
    <s v="Recycled Waste"/>
    <x v="0"/>
    <x v="1"/>
    <s v="Account"/>
    <s v="Remondis Batteries - Mixed Recycled"/>
    <m/>
    <s v="ADHOCNAD_RBATTERY."/>
    <s v="BATTERIES - MIXED RECYCLED"/>
    <s v="Remondis"/>
    <m/>
    <d v="2020-06-30T00:00:00"/>
    <d v="2020-07-01T00:00:00"/>
    <d v="2020-07-01T00:00:00"/>
    <s v="FY21"/>
    <s v="t"/>
    <n v="0"/>
    <n v="0"/>
    <n v="3.8600000000000002E-2"/>
    <n v="3.8600000000000002E-2"/>
    <n v="0"/>
    <n v="0"/>
    <n v="1"/>
    <n v="1"/>
    <n v="0"/>
    <n v="0"/>
    <n v="100"/>
    <s v="Consolidation"/>
    <s v="CO2e and Base Measure"/>
    <n v="100"/>
    <n v="100"/>
    <n v="0.04"/>
    <m/>
    <m/>
    <m/>
    <m/>
    <m/>
    <m/>
    <m/>
    <m/>
    <m/>
    <m/>
    <m/>
    <m/>
    <m/>
    <s v="AUD"/>
    <s v="13612608Waste Recycled - E-waste [t]"/>
    <n v="13612608"/>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07-01T00:00:00"/>
    <s v="FY21"/>
    <s v="kL"/>
    <n v="2.62"/>
    <n v="0"/>
    <n v="0"/>
    <n v="2.62"/>
    <n v="1"/>
    <n v="0"/>
    <n v="0"/>
    <n v="1"/>
    <n v="100"/>
    <n v="0"/>
    <n v="0"/>
    <s v="Consolidation"/>
    <s v="CO2e and Base Measure"/>
    <n v="100"/>
    <n v="100"/>
    <n v="2.62"/>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08-01T00:00:00"/>
    <s v="FY21"/>
    <s v="kL"/>
    <n v="14"/>
    <n v="0"/>
    <n v="0"/>
    <n v="14"/>
    <n v="5"/>
    <n v="0"/>
    <n v="0"/>
    <n v="5"/>
    <n v="100"/>
    <n v="0"/>
    <n v="0"/>
    <s v="Consolidation"/>
    <s v="CO2e and Base Measure"/>
    <n v="100"/>
    <n v="100"/>
    <n v="14"/>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09-01T00:00:00"/>
    <s v="FY21"/>
    <s v="kL"/>
    <n v="0.44"/>
    <n v="0"/>
    <n v="0"/>
    <n v="0.44"/>
    <n v="1"/>
    <n v="0"/>
    <n v="0"/>
    <n v="1"/>
    <n v="100"/>
    <n v="0"/>
    <n v="0"/>
    <s v="Consolidation"/>
    <s v="CO2e and Base Measure"/>
    <n v="100"/>
    <n v="100"/>
    <n v="0.44"/>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10-01T00:00:00"/>
    <s v="FY21"/>
    <s v="kL"/>
    <n v="2.7"/>
    <n v="0"/>
    <n v="0"/>
    <n v="2.7"/>
    <n v="1"/>
    <n v="0"/>
    <n v="0"/>
    <n v="1"/>
    <n v="100"/>
    <n v="0"/>
    <n v="0"/>
    <s v="Consolidation"/>
    <s v="CO2e and Base Measure"/>
    <n v="100"/>
    <n v="100"/>
    <n v="2.7"/>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11-01T00:00:00"/>
    <s v="FY21"/>
    <s v="kL"/>
    <n v="10.64"/>
    <n v="0"/>
    <n v="0"/>
    <n v="10.64"/>
    <n v="4"/>
    <n v="0"/>
    <n v="0"/>
    <n v="4"/>
    <n v="100"/>
    <n v="0"/>
    <n v="0"/>
    <s v="Consolidation"/>
    <s v="CO2e and Base Measure"/>
    <n v="100"/>
    <n v="100"/>
    <n v="10.64"/>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1-01-01T00:00:00"/>
    <s v="FY21"/>
    <s v="kL"/>
    <n v="11.98"/>
    <n v="0"/>
    <n v="0"/>
    <n v="11.98"/>
    <n v="2"/>
    <n v="0"/>
    <n v="0"/>
    <n v="2"/>
    <n v="100"/>
    <n v="0"/>
    <n v="0"/>
    <s v="Consolidation"/>
    <s v="CO2e and Base Measure"/>
    <n v="100"/>
    <n v="100"/>
    <n v="11.98"/>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1-02-01T00:00:00"/>
    <s v="FY21"/>
    <s v="kL"/>
    <n v="0"/>
    <n v="0"/>
    <n v="0.39019999999999999"/>
    <n v="0.39019999999999999"/>
    <n v="0"/>
    <n v="0"/>
    <n v="1"/>
    <n v="1"/>
    <n v="0"/>
    <n v="0"/>
    <n v="100"/>
    <s v="Consolidation"/>
    <s v="CO2e and Base Measure"/>
    <n v="100"/>
    <n v="100"/>
    <n v="0.39"/>
    <m/>
    <m/>
    <m/>
    <m/>
    <m/>
    <m/>
    <m/>
    <m/>
    <m/>
    <m/>
    <m/>
    <m/>
    <m/>
    <s v="AUD"/>
    <s v="13566037Wastewater [kL]"/>
    <n v="13566037"/>
  </r>
  <r>
    <d v="2019-07-01T00:00:00"/>
    <d v="2021-06-30T00:00:00"/>
    <s v="Telstra"/>
    <s v="Corporate"/>
    <s v="Corporate"/>
    <s v="Waste"/>
    <s v="Australia"/>
    <s v="Northern Territory"/>
    <s v="Remondis ADHOCNT Virtual Loc"/>
    <s v="ADHOCNT"/>
    <s v="Waste"/>
    <x v="1"/>
    <x v="4"/>
    <s v="Account"/>
    <s v="Remondis Construction &amp; Demolition - Landfill"/>
    <m/>
    <s v="ADHOCNT_WCONSDEM"/>
    <s v="CONSTRUCTION &amp; DEMOLITION - LANDFILL"/>
    <s v="Remondis"/>
    <m/>
    <d v="2021-01-18T00:00:00"/>
    <d v="2021-01-18T00:00:00"/>
    <d v="2021-01-01T00:00:00"/>
    <s v="FY21"/>
    <s v="t"/>
    <n v="23.84"/>
    <n v="0"/>
    <n v="0"/>
    <n v="23.84"/>
    <n v="1"/>
    <n v="0"/>
    <n v="0"/>
    <n v="1"/>
    <n v="100"/>
    <n v="0"/>
    <n v="0"/>
    <s v="Consolidation"/>
    <s v="CO2e and Base Measure"/>
    <n v="100"/>
    <n v="100"/>
    <n v="23.84"/>
    <m/>
    <m/>
    <m/>
    <m/>
    <m/>
    <n v="28.608000000000001"/>
    <m/>
    <n v="28.608000000000001"/>
    <m/>
    <m/>
    <m/>
    <m/>
    <m/>
    <s v="AUD"/>
    <s v="13634594Waste - Construction and Demolition [t]"/>
    <n v="1363459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07-01T00:00:00"/>
    <s v="FY21"/>
    <s v="kL"/>
    <n v="1.3"/>
    <n v="0"/>
    <n v="0"/>
    <n v="1.3"/>
    <n v="2"/>
    <n v="0"/>
    <n v="0"/>
    <n v="2"/>
    <n v="100"/>
    <n v="0"/>
    <n v="0"/>
    <s v="Consolidation"/>
    <s v="CO2e and Base Measure"/>
    <n v="100"/>
    <n v="100"/>
    <n v="1.3"/>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08-01T00:00:00"/>
    <s v="FY21"/>
    <s v="kL"/>
    <n v="13.72"/>
    <n v="0"/>
    <n v="0"/>
    <n v="13.72"/>
    <n v="3"/>
    <n v="0"/>
    <n v="0"/>
    <n v="3"/>
    <n v="100"/>
    <n v="0"/>
    <n v="0"/>
    <s v="Consolidation"/>
    <s v="CO2e and Base Measure"/>
    <n v="100"/>
    <n v="100"/>
    <n v="13.72"/>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09-01T00:00:00"/>
    <s v="FY21"/>
    <s v="kL"/>
    <n v="7.18"/>
    <n v="0"/>
    <n v="0"/>
    <n v="7.18"/>
    <n v="2"/>
    <n v="0"/>
    <n v="0"/>
    <n v="2"/>
    <n v="100"/>
    <n v="0"/>
    <n v="0"/>
    <s v="Consolidation"/>
    <s v="CO2e and Base Measure"/>
    <n v="100"/>
    <n v="100"/>
    <n v="7.18"/>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11-01T00:00:00"/>
    <s v="FY21"/>
    <s v="kL"/>
    <n v="20"/>
    <n v="0"/>
    <n v="0"/>
    <n v="20"/>
    <n v="1"/>
    <n v="0"/>
    <n v="0"/>
    <n v="1"/>
    <n v="100"/>
    <n v="0"/>
    <n v="0"/>
    <s v="Consolidation"/>
    <s v="CO2e and Base Measure"/>
    <n v="100"/>
    <n v="100"/>
    <n v="20"/>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12-01T00:00:00"/>
    <s v="FY21"/>
    <s v="kL"/>
    <n v="16"/>
    <n v="0"/>
    <n v="0"/>
    <n v="16"/>
    <n v="1"/>
    <n v="0"/>
    <n v="0"/>
    <n v="1"/>
    <n v="100"/>
    <n v="0"/>
    <n v="0"/>
    <s v="Consolidation"/>
    <s v="CO2e and Base Measure"/>
    <n v="100"/>
    <n v="100"/>
    <n v="16"/>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1-01-01T00:00:00"/>
    <s v="FY21"/>
    <s v="kL"/>
    <n v="0"/>
    <n v="0"/>
    <n v="0.34839999999999999"/>
    <n v="0.34839999999999999"/>
    <n v="0"/>
    <n v="0"/>
    <n v="1"/>
    <n v="1"/>
    <n v="0"/>
    <n v="0"/>
    <n v="100"/>
    <s v="Consolidation"/>
    <s v="CO2e and Base Measure"/>
    <n v="100"/>
    <n v="100"/>
    <n v="0.35"/>
    <m/>
    <m/>
    <m/>
    <m/>
    <m/>
    <m/>
    <m/>
    <m/>
    <m/>
    <m/>
    <m/>
    <m/>
    <m/>
    <s v="AUD"/>
    <s v="13566044Wastewater [kL]"/>
    <n v="13566044"/>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07-01T00:00:00"/>
    <s v="FY21"/>
    <s v="kL"/>
    <n v="10.66"/>
    <n v="0"/>
    <n v="0"/>
    <n v="10.66"/>
    <n v="3"/>
    <n v="0"/>
    <n v="0"/>
    <n v="3"/>
    <n v="100"/>
    <n v="0"/>
    <n v="0"/>
    <s v="Consolidation"/>
    <s v="CO2e and Base Measure"/>
    <n v="100"/>
    <n v="100"/>
    <n v="10.66"/>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08-01T00:00:00"/>
    <s v="FY21"/>
    <s v="kL"/>
    <n v="1.3"/>
    <n v="0"/>
    <n v="0"/>
    <n v="1.3"/>
    <n v="2"/>
    <n v="0"/>
    <n v="0"/>
    <n v="2"/>
    <n v="100"/>
    <n v="0"/>
    <n v="0"/>
    <s v="Consolidation"/>
    <s v="CO2e and Base Measure"/>
    <n v="100"/>
    <n v="100"/>
    <n v="1.3"/>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09-01T00:00:00"/>
    <s v="FY21"/>
    <s v="kL"/>
    <n v="2.2000000000000002"/>
    <n v="0"/>
    <n v="0"/>
    <n v="2.2000000000000002"/>
    <n v="2"/>
    <n v="0"/>
    <n v="0"/>
    <n v="2"/>
    <n v="100"/>
    <n v="0"/>
    <n v="0"/>
    <s v="Consolidation"/>
    <s v="CO2e and Base Measure"/>
    <n v="100"/>
    <n v="100"/>
    <n v="2.2000000000000002"/>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10-01T00:00:00"/>
    <s v="FY21"/>
    <s v="kL"/>
    <n v="11.4"/>
    <n v="0"/>
    <n v="0"/>
    <n v="11.4"/>
    <n v="7"/>
    <n v="0"/>
    <n v="0"/>
    <n v="7"/>
    <n v="100"/>
    <n v="0"/>
    <n v="0"/>
    <s v="Consolidation"/>
    <s v="CO2e and Base Measure"/>
    <n v="100"/>
    <n v="100"/>
    <n v="11.4"/>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11-01T00:00:00"/>
    <s v="FY21"/>
    <s v="kL"/>
    <n v="1"/>
    <n v="0"/>
    <n v="0"/>
    <n v="1"/>
    <n v="1"/>
    <n v="0"/>
    <n v="0"/>
    <n v="1"/>
    <n v="100"/>
    <n v="0"/>
    <n v="0"/>
    <s v="Consolidation"/>
    <s v="CO2e and Base Measure"/>
    <n v="100"/>
    <n v="100"/>
    <n v="1"/>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12-01T00:00:00"/>
    <s v="FY21"/>
    <s v="kL"/>
    <n v="0"/>
    <n v="0"/>
    <n v="0.1855"/>
    <n v="0.1855"/>
    <n v="0"/>
    <n v="0"/>
    <n v="1"/>
    <n v="1"/>
    <n v="0"/>
    <n v="0"/>
    <n v="100"/>
    <s v="Consolidation"/>
    <s v="CO2e and Base Measure"/>
    <n v="100"/>
    <n v="100"/>
    <n v="0.19"/>
    <m/>
    <m/>
    <m/>
    <m/>
    <m/>
    <m/>
    <m/>
    <m/>
    <m/>
    <m/>
    <m/>
    <m/>
    <m/>
    <s v="AUD"/>
    <s v="13566047Wastewater [kL]"/>
    <n v="13566047"/>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07-01T00:00:00"/>
    <s v="FY21"/>
    <s v="kL"/>
    <n v="65.3"/>
    <n v="0"/>
    <n v="0"/>
    <n v="65.3"/>
    <n v="10"/>
    <n v="0"/>
    <n v="0"/>
    <n v="10"/>
    <n v="100"/>
    <n v="0"/>
    <n v="0"/>
    <s v="Consolidation"/>
    <s v="CO2e and Base Measure"/>
    <n v="100"/>
    <n v="100"/>
    <n v="65.3"/>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08-01T00:00:00"/>
    <s v="FY21"/>
    <s v="kL"/>
    <n v="7.5"/>
    <n v="0"/>
    <n v="0"/>
    <n v="7.5"/>
    <n v="3"/>
    <n v="0"/>
    <n v="0"/>
    <n v="3"/>
    <n v="100"/>
    <n v="0"/>
    <n v="0"/>
    <s v="Consolidation"/>
    <s v="CO2e and Base Measure"/>
    <n v="100"/>
    <n v="100"/>
    <n v="7.5"/>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09-01T00:00:00"/>
    <s v="FY21"/>
    <s v="kL"/>
    <n v="48.267000000000003"/>
    <n v="0"/>
    <n v="0"/>
    <n v="48.267000000000003"/>
    <n v="12"/>
    <n v="0"/>
    <n v="0"/>
    <n v="12"/>
    <n v="100"/>
    <n v="0"/>
    <n v="0"/>
    <s v="Consolidation"/>
    <s v="CO2e and Base Measure"/>
    <n v="100"/>
    <n v="100"/>
    <n v="48.27"/>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10-01T00:00:00"/>
    <s v="FY21"/>
    <s v="kL"/>
    <n v="87"/>
    <n v="0"/>
    <n v="0"/>
    <n v="87"/>
    <n v="11"/>
    <n v="0"/>
    <n v="0"/>
    <n v="11"/>
    <n v="100"/>
    <n v="0"/>
    <n v="0"/>
    <s v="Consolidation"/>
    <s v="CO2e and Base Measure"/>
    <n v="100"/>
    <n v="100"/>
    <n v="87"/>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11-01T00:00:00"/>
    <s v="FY21"/>
    <s v="kL"/>
    <n v="36.700000000000003"/>
    <n v="0"/>
    <n v="0"/>
    <n v="36.700000000000003"/>
    <n v="7"/>
    <n v="0"/>
    <n v="0"/>
    <n v="7"/>
    <n v="100"/>
    <n v="0"/>
    <n v="0"/>
    <s v="Consolidation"/>
    <s v="CO2e and Base Measure"/>
    <n v="100"/>
    <n v="100"/>
    <n v="36.700000000000003"/>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12-01T00:00:00"/>
    <s v="FY21"/>
    <s v="kL"/>
    <n v="41.7"/>
    <n v="0"/>
    <n v="0"/>
    <n v="41.7"/>
    <n v="7"/>
    <n v="0"/>
    <n v="0"/>
    <n v="7"/>
    <n v="100"/>
    <n v="0"/>
    <n v="0"/>
    <s v="Consolidation"/>
    <s v="CO2e and Base Measure"/>
    <n v="100"/>
    <n v="100"/>
    <n v="41.7"/>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1-01-01T00:00:00"/>
    <s v="FY21"/>
    <s v="kL"/>
    <n v="25.5"/>
    <n v="0"/>
    <n v="0"/>
    <n v="25.5"/>
    <n v="3"/>
    <n v="0"/>
    <n v="0"/>
    <n v="3"/>
    <n v="100"/>
    <n v="0"/>
    <n v="0"/>
    <s v="Consolidation"/>
    <s v="CO2e and Base Measure"/>
    <n v="100"/>
    <n v="100"/>
    <n v="25.5"/>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1-02-01T00:00:00"/>
    <s v="FY21"/>
    <s v="kL"/>
    <n v="0"/>
    <n v="0"/>
    <n v="1.7015"/>
    <n v="1.7015"/>
    <n v="0"/>
    <n v="0"/>
    <n v="1"/>
    <n v="1"/>
    <n v="0"/>
    <n v="0"/>
    <n v="100"/>
    <s v="Consolidation"/>
    <s v="CO2e and Base Measure"/>
    <n v="100"/>
    <n v="100"/>
    <n v="1.7"/>
    <m/>
    <m/>
    <m/>
    <m/>
    <m/>
    <m/>
    <m/>
    <m/>
    <m/>
    <m/>
    <m/>
    <m/>
    <m/>
    <s v="AUD"/>
    <s v="13566055Wastewater [kL]"/>
    <n v="13566055"/>
  </r>
  <r>
    <d v="2019-07-01T00:00:00"/>
    <d v="2021-06-30T00:00:00"/>
    <s v="Telstra"/>
    <s v="Corporate"/>
    <s v="Corporate"/>
    <s v="Waste"/>
    <s v="Australia"/>
    <s v="Western Australia"/>
    <s v="Remondis ADHOCWA Virtual Loc"/>
    <s v="ADHOCWA"/>
    <s v="Recycled Waste"/>
    <x v="0"/>
    <x v="1"/>
    <s v="Account"/>
    <s v="Remondis Electrical Comp. (E-Waste)"/>
    <m/>
    <s v="ADHOCWA_RELECTRIC"/>
    <s v="ELECTRICAL COMP. E-WASTE"/>
    <s v="Remondis"/>
    <m/>
    <m/>
    <d v="2021-01-01T00:00:00"/>
    <d v="2020-08-01T00:00:00"/>
    <s v="FY21"/>
    <s v="t"/>
    <n v="0.8"/>
    <n v="9.1200000000000003E-2"/>
    <n v="0"/>
    <n v="0.89119999999999999"/>
    <n v="1"/>
    <n v="1"/>
    <n v="0"/>
    <n v="2"/>
    <n v="89.76"/>
    <n v="10.23"/>
    <n v="0"/>
    <s v="Consolidation"/>
    <s v="CO2e and Base Measure"/>
    <n v="100"/>
    <n v="100"/>
    <n v="0.89"/>
    <m/>
    <m/>
    <m/>
    <m/>
    <m/>
    <m/>
    <m/>
    <m/>
    <m/>
    <m/>
    <m/>
    <m/>
    <m/>
    <s v="AUD"/>
    <s v="13566056Waste Recycled - E-waste [t]"/>
    <n v="13566056"/>
  </r>
  <r>
    <d v="2019-07-01T00:00:00"/>
    <d v="2021-06-30T00:00:00"/>
    <s v="Telstra"/>
    <s v="Corporate"/>
    <s v="Corporate"/>
    <s v="Waste"/>
    <s v="Australia"/>
    <s v="Western Australia"/>
    <s v="Remondis ADHOCWA Virtual Loc"/>
    <s v="ADHOCWA"/>
    <s v="Recycled Waste"/>
    <x v="0"/>
    <x v="1"/>
    <s v="Account"/>
    <s v="Remondis Electrical Comp. (E-Waste)"/>
    <m/>
    <s v="ADHOCWA_RELECTRIC"/>
    <s v="ELECTRICAL COMP. E-WASTE"/>
    <s v="Remondis"/>
    <m/>
    <m/>
    <d v="2021-01-01T00:00:00"/>
    <d v="2020-09-01T00:00:00"/>
    <s v="FY21"/>
    <s v="t"/>
    <n v="0"/>
    <n v="9.1200000000000003E-2"/>
    <n v="0"/>
    <n v="9.1200000000000003E-2"/>
    <n v="0"/>
    <n v="1"/>
    <n v="0"/>
    <n v="1"/>
    <n v="0"/>
    <n v="100"/>
    <n v="0"/>
    <s v="Consolidation"/>
    <s v="CO2e and Base Measure"/>
    <n v="100"/>
    <n v="100"/>
    <n v="0.09"/>
    <m/>
    <m/>
    <m/>
    <m/>
    <m/>
    <m/>
    <m/>
    <m/>
    <m/>
    <m/>
    <m/>
    <m/>
    <m/>
    <s v="AUD"/>
    <s v="13566056Waste Recycled - E-waste [t]"/>
    <n v="13566056"/>
  </r>
  <r>
    <d v="2019-07-01T00:00:00"/>
    <d v="2021-06-30T00:00:00"/>
    <s v="Telstra"/>
    <s v="Corporate"/>
    <s v="Corporate"/>
    <s v="Waste"/>
    <s v="Australia"/>
    <s v="Western Australia"/>
    <s v="Remondis ADHOCWA Virtual Loc"/>
    <s v="ADHOCWA"/>
    <s v="Recycled Waste"/>
    <x v="0"/>
    <x v="1"/>
    <s v="Account"/>
    <s v="Remondis Electrical Comp. (E-Waste)"/>
    <m/>
    <s v="ADHOCWA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566056Waste Recycled - E-waste [t]"/>
    <n v="13566056"/>
  </r>
  <r>
    <d v="2019-07-01T00:00:00"/>
    <d v="2021-06-30T00:00:00"/>
    <s v="Telstra"/>
    <s v="Corporate"/>
    <s v="Corporate"/>
    <s v="Waste"/>
    <s v="Australia"/>
    <s v="Western Australia"/>
    <s v="Remondis ADHOCWA Virtual Loc"/>
    <s v="ADHOCWA"/>
    <s v="Recycled Waste"/>
    <x v="0"/>
    <x v="1"/>
    <s v="Account"/>
    <s v="Remondis Electrical Comp. (E-Waste)"/>
    <m/>
    <s v="ADHOCWA_RELECTRIC"/>
    <s v="ELECTRICAL COMP. E-WASTE"/>
    <s v="Remondis"/>
    <m/>
    <m/>
    <d v="2021-01-01T00:00:00"/>
    <d v="2021-01-01T00:00:00"/>
    <s v="FY21"/>
    <s v="t"/>
    <n v="0"/>
    <n v="0"/>
    <n v="6.7999999999999996E-3"/>
    <n v="6.7999999999999996E-3"/>
    <n v="0"/>
    <n v="0"/>
    <n v="1"/>
    <n v="1"/>
    <n v="0"/>
    <n v="0"/>
    <n v="100"/>
    <s v="Consolidation"/>
    <s v="CO2e and Base Measure"/>
    <n v="100"/>
    <n v="100"/>
    <n v="0.01"/>
    <m/>
    <m/>
    <m/>
    <m/>
    <m/>
    <m/>
    <m/>
    <m/>
    <m/>
    <m/>
    <m/>
    <m/>
    <m/>
    <s v="AUD"/>
    <s v="13566056Waste Recycled - E-waste [t]"/>
    <n v="13566056"/>
  </r>
  <r>
    <d v="2019-07-01T00:00:00"/>
    <d v="2021-06-30T00:00:00"/>
    <s v="Telstra"/>
    <s v="Corporate"/>
    <s v="Corporate"/>
    <s v="Waste"/>
    <s v="Australia"/>
    <s v="Western Australia"/>
    <s v="Remondis ADHOCWA Virtual Loc"/>
    <s v="ADHOCWA"/>
    <s v="Waste"/>
    <x v="1"/>
    <x v="2"/>
    <s v="Account"/>
    <s v="Remondis General Waste"/>
    <m/>
    <s v="ADHOCWA_WGENERALW"/>
    <s v="GENERAL WASTE"/>
    <s v="Remondis"/>
    <m/>
    <m/>
    <d v="2020-10-01T00:00:00"/>
    <d v="2020-08-01T00:00:00"/>
    <s v="FY21"/>
    <s v="t"/>
    <n v="0"/>
    <n v="1.9199999999999998E-2"/>
    <n v="0"/>
    <n v="1.9199999999999998E-2"/>
    <n v="0"/>
    <n v="1"/>
    <n v="0"/>
    <n v="1"/>
    <n v="0"/>
    <n v="100"/>
    <n v="0"/>
    <s v="Consolidation"/>
    <s v="CO2e and Base Measure"/>
    <n v="100"/>
    <n v="100"/>
    <n v="0.02"/>
    <m/>
    <m/>
    <m/>
    <m/>
    <m/>
    <n v="2.5000000000000001E-2"/>
    <m/>
    <n v="2.5000000000000001E-2"/>
    <m/>
    <m/>
    <m/>
    <m/>
    <m/>
    <s v="AUD"/>
    <s v="13566058Waste - General [t] - Scope 3"/>
    <n v="13566058"/>
  </r>
  <r>
    <d v="2019-07-01T00:00:00"/>
    <d v="2021-06-30T00:00:00"/>
    <s v="Telstra"/>
    <s v="Corporate"/>
    <s v="Corporate"/>
    <s v="Waste"/>
    <s v="Australia"/>
    <s v="Western Australia"/>
    <s v="Remondis ADHOCWA Virtual Loc"/>
    <s v="ADHOCWA"/>
    <s v="Waste"/>
    <x v="1"/>
    <x v="2"/>
    <s v="Account"/>
    <s v="Remondis General Waste"/>
    <m/>
    <s v="ADHOCWA_WGENERALW"/>
    <s v="GENERAL WASTE"/>
    <s v="Remondis"/>
    <m/>
    <m/>
    <d v="2020-10-01T00:00:00"/>
    <d v="2020-09-01T00:00:00"/>
    <s v="FY21"/>
    <s v="t"/>
    <n v="0"/>
    <n v="3.1199999999999999E-2"/>
    <n v="0"/>
    <n v="3.1199999999999999E-2"/>
    <n v="0"/>
    <n v="1"/>
    <n v="0"/>
    <n v="1"/>
    <n v="0"/>
    <n v="100"/>
    <n v="0"/>
    <s v="Consolidation"/>
    <s v="CO2e and Base Measure"/>
    <n v="100"/>
    <n v="100"/>
    <n v="0.03"/>
    <m/>
    <m/>
    <m/>
    <m/>
    <m/>
    <n v="4.0599999999999997E-2"/>
    <m/>
    <n v="4.0599999999999997E-2"/>
    <m/>
    <m/>
    <m/>
    <m/>
    <m/>
    <s v="AUD"/>
    <s v="13566058Waste - General [t] - Scope 3"/>
    <n v="13566058"/>
  </r>
  <r>
    <d v="2019-07-01T00:00:00"/>
    <d v="2021-06-30T00:00:00"/>
    <s v="Telstra"/>
    <s v="Corporate"/>
    <s v="Corporate"/>
    <s v="Waste"/>
    <s v="Australia"/>
    <s v="Western Australia"/>
    <s v="Remondis ADHOCWA Virtual Loc"/>
    <s v="ADHOCWA"/>
    <s v="Waste"/>
    <x v="1"/>
    <x v="2"/>
    <s v="Account"/>
    <s v="Remondis General Waste"/>
    <m/>
    <s v="ADHOCWA_WGENERALW"/>
    <s v="GENERAL WASTE"/>
    <s v="Remondis"/>
    <m/>
    <m/>
    <d v="2020-10-01T00:00:00"/>
    <d v="2020-10-01T00:00:00"/>
    <s v="FY21"/>
    <s v="t"/>
    <n v="0"/>
    <n v="0"/>
    <n v="8.0000000000000004E-4"/>
    <n v="8.0000000000000004E-4"/>
    <n v="0"/>
    <n v="0"/>
    <n v="1"/>
    <n v="1"/>
    <n v="0"/>
    <n v="0"/>
    <n v="100"/>
    <s v="Consolidation"/>
    <s v="CO2e and Base Measure"/>
    <n v="100"/>
    <n v="100"/>
    <n v="0"/>
    <m/>
    <m/>
    <m/>
    <m/>
    <m/>
    <n v="1E-3"/>
    <m/>
    <n v="1E-3"/>
    <m/>
    <m/>
    <m/>
    <m/>
    <m/>
    <s v="AUD"/>
    <s v="13566058Waste - General [t] - Scope 3"/>
    <n v="13566058"/>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07-01T00:00:00"/>
    <s v="FY21"/>
    <s v="kL"/>
    <n v="5"/>
    <n v="0"/>
    <n v="0"/>
    <n v="5"/>
    <n v="1"/>
    <n v="0"/>
    <n v="0"/>
    <n v="1"/>
    <n v="100"/>
    <n v="0"/>
    <n v="0"/>
    <s v="Consolidation"/>
    <s v="CO2e and Base Measure"/>
    <n v="100"/>
    <n v="100"/>
    <n v="5"/>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08-01T00:00:00"/>
    <s v="FY21"/>
    <s v="kL"/>
    <n v="0.5"/>
    <n v="0"/>
    <n v="0"/>
    <n v="0.5"/>
    <n v="1"/>
    <n v="0"/>
    <n v="0"/>
    <n v="1"/>
    <n v="100"/>
    <n v="0"/>
    <n v="0"/>
    <s v="Consolidation"/>
    <s v="CO2e and Base Measure"/>
    <n v="100"/>
    <n v="100"/>
    <n v="0.5"/>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09-01T00:00:00"/>
    <s v="FY21"/>
    <s v="kL"/>
    <n v="72.560100000000006"/>
    <n v="0"/>
    <n v="0"/>
    <n v="72.560100000000006"/>
    <n v="16"/>
    <n v="0"/>
    <n v="0"/>
    <n v="16"/>
    <n v="100"/>
    <n v="0"/>
    <n v="0"/>
    <s v="Consolidation"/>
    <s v="CO2e and Base Measure"/>
    <n v="100"/>
    <n v="100"/>
    <n v="72.56"/>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10-01T00:00:00"/>
    <s v="FY21"/>
    <s v="kL"/>
    <n v="8.9"/>
    <n v="0"/>
    <n v="0"/>
    <n v="8.9"/>
    <n v="4"/>
    <n v="0"/>
    <n v="0"/>
    <n v="4"/>
    <n v="100"/>
    <n v="0"/>
    <n v="0"/>
    <s v="Consolidation"/>
    <s v="CO2e and Base Measure"/>
    <n v="100"/>
    <n v="100"/>
    <n v="8.9"/>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11-01T00:00:00"/>
    <s v="FY21"/>
    <s v="kL"/>
    <n v="18.059999999999999"/>
    <n v="0"/>
    <n v="0"/>
    <n v="18.059999999999999"/>
    <n v="9"/>
    <n v="0"/>
    <n v="0"/>
    <n v="9"/>
    <n v="100"/>
    <n v="0"/>
    <n v="0"/>
    <s v="Consolidation"/>
    <s v="CO2e and Base Measure"/>
    <n v="100"/>
    <n v="100"/>
    <n v="18.059999999999999"/>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12-01T00:00:00"/>
    <s v="FY21"/>
    <s v="kL"/>
    <n v="7.16"/>
    <n v="0"/>
    <n v="0"/>
    <n v="7.16"/>
    <n v="4"/>
    <n v="0"/>
    <n v="0"/>
    <n v="4"/>
    <n v="100"/>
    <n v="0"/>
    <n v="0"/>
    <s v="Consolidation"/>
    <s v="CO2e and Base Measure"/>
    <n v="100"/>
    <n v="100"/>
    <n v="7.16"/>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1-01-01T00:00:00"/>
    <s v="FY21"/>
    <s v="kL"/>
    <n v="4.7"/>
    <n v="0"/>
    <n v="0"/>
    <n v="4.7"/>
    <n v="3"/>
    <n v="0"/>
    <n v="0"/>
    <n v="3"/>
    <n v="100"/>
    <n v="0"/>
    <n v="0"/>
    <s v="Consolidation"/>
    <s v="CO2e and Base Measure"/>
    <n v="100"/>
    <n v="100"/>
    <n v="4.7"/>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1-02-01T00:00:00"/>
    <s v="FY21"/>
    <s v="kL"/>
    <n v="0"/>
    <n v="0"/>
    <n v="0.49809999999999999"/>
    <n v="0.49809999999999999"/>
    <n v="0"/>
    <n v="0"/>
    <n v="1"/>
    <n v="1"/>
    <n v="0"/>
    <n v="0"/>
    <n v="100"/>
    <s v="Consolidation"/>
    <s v="CO2e and Base Measure"/>
    <n v="100"/>
    <n v="100"/>
    <n v="0.5"/>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Asbestos Impacted"/>
    <m/>
    <s v="HYDRONSW_RMUDWTASB"/>
    <s v="MUDDY WATER/SLUDGE - ASBESTOS IMPACTED"/>
    <s v="Remondis"/>
    <m/>
    <m/>
    <d v="2020-12-01T00:00:00"/>
    <d v="2020-08-01T00:00:00"/>
    <s v="FY21"/>
    <s v="kL"/>
    <n v="1"/>
    <n v="0"/>
    <n v="0"/>
    <n v="1"/>
    <n v="1"/>
    <n v="0"/>
    <n v="0"/>
    <n v="1"/>
    <n v="100"/>
    <n v="0"/>
    <n v="0"/>
    <s v="Consolidation"/>
    <s v="CO2e and Base Measure"/>
    <n v="100"/>
    <n v="100"/>
    <n v="1"/>
    <m/>
    <m/>
    <m/>
    <m/>
    <m/>
    <m/>
    <m/>
    <m/>
    <m/>
    <m/>
    <m/>
    <m/>
    <m/>
    <s v="AUD"/>
    <s v="13576305Wastewater [kL]"/>
    <n v="13576305"/>
  </r>
  <r>
    <d v="2019-07-01T00:00:00"/>
    <d v="2021-06-30T00:00:00"/>
    <s v="Telstra"/>
    <s v="Corporate"/>
    <s v="Corporate"/>
    <s v="Waste"/>
    <s v="Australia"/>
    <s v="New South Wales"/>
    <s v="Remondis HYDRO NSW Virtual Loc"/>
    <s v="HYDRONSW"/>
    <s v="Water"/>
    <x v="2"/>
    <x v="8"/>
    <s v="Account"/>
    <s v="Remondis Muddy Water/Sludge - Asbestos Impacted"/>
    <m/>
    <s v="HYDRONSW_RMUDWTASB"/>
    <s v="MUDDY WATER/SLUDGE - ASBESTOS IMPACTED"/>
    <s v="Remondis"/>
    <m/>
    <m/>
    <d v="2020-12-01T00:00:00"/>
    <d v="2020-11-01T00:00:00"/>
    <s v="FY21"/>
    <s v="kL"/>
    <n v="3.24"/>
    <n v="0"/>
    <n v="0"/>
    <n v="3.24"/>
    <n v="1"/>
    <n v="0"/>
    <n v="0"/>
    <n v="1"/>
    <n v="100"/>
    <n v="0"/>
    <n v="0"/>
    <s v="Consolidation"/>
    <s v="CO2e and Base Measure"/>
    <n v="100"/>
    <n v="100"/>
    <n v="3.24"/>
    <m/>
    <m/>
    <m/>
    <m/>
    <m/>
    <m/>
    <m/>
    <m/>
    <m/>
    <m/>
    <m/>
    <m/>
    <m/>
    <s v="AUD"/>
    <s v="13576305Wastewater [kL]"/>
    <n v="13576305"/>
  </r>
  <r>
    <d v="2019-07-01T00:00:00"/>
    <d v="2021-06-30T00:00:00"/>
    <s v="Telstra"/>
    <s v="Corporate"/>
    <s v="Corporate"/>
    <s v="Waste"/>
    <s v="Australia"/>
    <s v="New South Wales"/>
    <s v="Remondis HYDRO NSW Virtual Loc"/>
    <s v="HYDRONSW"/>
    <s v="Water"/>
    <x v="2"/>
    <x v="8"/>
    <s v="Account"/>
    <s v="Remondis Muddy Water/Sludge - Asbestos Impacted"/>
    <m/>
    <s v="HYDRONSW_RMUDWTASB"/>
    <s v="MUDDY WATER/SLUDGE - ASBESTOS IMPACTED"/>
    <s v="Remondis"/>
    <m/>
    <m/>
    <d v="2020-12-01T00:00:00"/>
    <d v="2020-12-01T00:00:00"/>
    <s v="FY21"/>
    <s v="kL"/>
    <n v="0"/>
    <n v="0"/>
    <n v="4.53E-2"/>
    <n v="4.53E-2"/>
    <n v="0"/>
    <n v="0"/>
    <n v="1"/>
    <n v="1"/>
    <n v="0"/>
    <n v="0"/>
    <n v="100"/>
    <s v="Consolidation"/>
    <s v="CO2e and Base Measure"/>
    <n v="100"/>
    <n v="100"/>
    <n v="0.05"/>
    <m/>
    <m/>
    <m/>
    <m/>
    <m/>
    <m/>
    <m/>
    <m/>
    <m/>
    <m/>
    <m/>
    <m/>
    <m/>
    <s v="AUD"/>
    <s v="13576305Wastewater [kL]"/>
    <n v="13576305"/>
  </r>
  <r>
    <d v="2019-07-01T00:00:00"/>
    <d v="2021-06-30T00:00:00"/>
    <s v="Telstra"/>
    <s v="Corporate"/>
    <s v="Corporate"/>
    <s v="Waste"/>
    <s v="Australia"/>
    <s v="Queensland"/>
    <s v="Remondis HYDRO QLD Virtual Loc"/>
    <s v="HYDROQLD"/>
    <s v="Water"/>
    <x v="2"/>
    <x v="8"/>
    <s v="Account"/>
    <s v="Remondis Muddy Water/Sludge - Asbestos Impacted"/>
    <m/>
    <s v="HYDROQLD_RMUDWTASB"/>
    <s v="MUDDY WATER/SLUDGE - ASBESTOS IMPACTED"/>
    <s v="Remondis"/>
    <m/>
    <m/>
    <d v="2021-02-01T00:00:00"/>
    <d v="2020-11-01T00:00:00"/>
    <s v="FY21"/>
    <s v="kL"/>
    <n v="1.96"/>
    <n v="0"/>
    <n v="0"/>
    <n v="1.96"/>
    <n v="1"/>
    <n v="0"/>
    <n v="0"/>
    <n v="1"/>
    <n v="100"/>
    <n v="0"/>
    <n v="0"/>
    <s v="Consolidation"/>
    <s v="CO2e and Base Measure"/>
    <n v="100"/>
    <n v="100"/>
    <n v="1.96"/>
    <m/>
    <m/>
    <m/>
    <m/>
    <m/>
    <m/>
    <m/>
    <m/>
    <m/>
    <m/>
    <m/>
    <m/>
    <m/>
    <s v="AUD"/>
    <s v="13566063Wastewater [kL]"/>
    <n v="13566063"/>
  </r>
  <r>
    <d v="2019-07-01T00:00:00"/>
    <d v="2021-06-30T00:00:00"/>
    <s v="Telstra"/>
    <s v="Corporate"/>
    <s v="Corporate"/>
    <s v="Waste"/>
    <s v="Australia"/>
    <s v="Queensland"/>
    <s v="Remondis HYDRO QLD Virtual Loc"/>
    <s v="HYDROQLD"/>
    <s v="Water"/>
    <x v="2"/>
    <x v="8"/>
    <s v="Account"/>
    <s v="Remondis Muddy Water/Sludge - Asbestos Impacted"/>
    <m/>
    <s v="HYDROQLD_RMUDWTASB"/>
    <s v="MUDDY WATER/SLUDGE - ASBESTOS IMPACTED"/>
    <s v="Remondis"/>
    <m/>
    <m/>
    <d v="2021-02-01T00:00:00"/>
    <d v="2021-01-01T00:00:00"/>
    <s v="FY21"/>
    <s v="kL"/>
    <n v="0.1"/>
    <n v="0"/>
    <n v="0"/>
    <n v="0.1"/>
    <n v="1"/>
    <n v="0"/>
    <n v="0"/>
    <n v="1"/>
    <n v="100"/>
    <n v="0"/>
    <n v="0"/>
    <s v="Consolidation"/>
    <s v="CO2e and Base Measure"/>
    <n v="100"/>
    <n v="100"/>
    <n v="0.1"/>
    <m/>
    <m/>
    <m/>
    <m/>
    <m/>
    <m/>
    <m/>
    <m/>
    <m/>
    <m/>
    <m/>
    <m/>
    <m/>
    <s v="AUD"/>
    <s v="13566063Wastewater [kL]"/>
    <n v="13566063"/>
  </r>
  <r>
    <d v="2019-07-01T00:00:00"/>
    <d v="2021-06-30T00:00:00"/>
    <s v="Telstra"/>
    <s v="Corporate"/>
    <s v="Corporate"/>
    <s v="Waste"/>
    <s v="Australia"/>
    <s v="Queensland"/>
    <s v="Remondis HYDRO QLD Virtual Loc"/>
    <s v="HYDROQLD"/>
    <s v="Water"/>
    <x v="2"/>
    <x v="8"/>
    <s v="Account"/>
    <s v="Remondis Muddy Water/Sludge - Asbestos Impacted"/>
    <m/>
    <s v="HYDROQLD_RMUDWTASB"/>
    <s v="MUDDY WATER/SLUDGE - ASBESTOS IMPACTED"/>
    <s v="Remondis"/>
    <m/>
    <m/>
    <d v="2021-02-01T00:00:00"/>
    <d v="2021-02-01T00:00:00"/>
    <s v="FY21"/>
    <s v="kL"/>
    <n v="0"/>
    <n v="0"/>
    <n v="2.2599999999999999E-2"/>
    <n v="2.2599999999999999E-2"/>
    <n v="0"/>
    <n v="0"/>
    <n v="1"/>
    <n v="1"/>
    <n v="0"/>
    <n v="0"/>
    <n v="100"/>
    <s v="Consolidation"/>
    <s v="CO2e and Base Measure"/>
    <n v="100"/>
    <n v="100"/>
    <n v="0.02"/>
    <m/>
    <m/>
    <m/>
    <m/>
    <m/>
    <m/>
    <m/>
    <m/>
    <m/>
    <m/>
    <m/>
    <m/>
    <m/>
    <s v="AUD"/>
    <s v="13566063Wastewater [kL]"/>
    <n v="13566063"/>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07-01T00:00:00"/>
    <s v="FY21"/>
    <s v="kL"/>
    <n v="6.6"/>
    <n v="0"/>
    <n v="0"/>
    <n v="6.6"/>
    <n v="4"/>
    <n v="0"/>
    <n v="0"/>
    <n v="4"/>
    <n v="100"/>
    <n v="0"/>
    <n v="0"/>
    <s v="Consolidation"/>
    <s v="CO2e and Base Measure"/>
    <n v="100"/>
    <n v="100"/>
    <n v="6.6"/>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08-01T00:00:00"/>
    <s v="FY21"/>
    <s v="kL"/>
    <n v="12.84"/>
    <n v="0"/>
    <n v="0"/>
    <n v="12.84"/>
    <n v="7"/>
    <n v="0"/>
    <n v="0"/>
    <n v="7"/>
    <n v="100"/>
    <n v="0"/>
    <n v="0"/>
    <s v="Consolidation"/>
    <s v="CO2e and Base Measure"/>
    <n v="100"/>
    <n v="100"/>
    <n v="12.84"/>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09-01T00:00:00"/>
    <s v="FY21"/>
    <s v="kL"/>
    <n v="20.079999999999998"/>
    <n v="0"/>
    <n v="0"/>
    <n v="20.079999999999998"/>
    <n v="8"/>
    <n v="0"/>
    <n v="0"/>
    <n v="8"/>
    <n v="100"/>
    <n v="0"/>
    <n v="0"/>
    <s v="Consolidation"/>
    <s v="CO2e and Base Measure"/>
    <n v="100"/>
    <n v="100"/>
    <n v="20.079999999999998"/>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10-01T00:00:00"/>
    <s v="FY21"/>
    <s v="kL"/>
    <n v="8.9"/>
    <n v="0"/>
    <n v="0"/>
    <n v="8.9"/>
    <n v="6"/>
    <n v="0"/>
    <n v="0"/>
    <n v="6"/>
    <n v="100"/>
    <n v="0"/>
    <n v="0"/>
    <s v="Consolidation"/>
    <s v="CO2e and Base Measure"/>
    <n v="100"/>
    <n v="100"/>
    <n v="8.9"/>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11-01T00:00:00"/>
    <s v="FY21"/>
    <s v="kL"/>
    <n v="5.89"/>
    <n v="0"/>
    <n v="0"/>
    <n v="5.89"/>
    <n v="4"/>
    <n v="0"/>
    <n v="0"/>
    <n v="4"/>
    <n v="100"/>
    <n v="0"/>
    <n v="0"/>
    <s v="Consolidation"/>
    <s v="CO2e and Base Measure"/>
    <n v="100"/>
    <n v="100"/>
    <n v="5.89"/>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12-01T00:00:00"/>
    <s v="FY21"/>
    <s v="kL"/>
    <n v="7.5"/>
    <n v="0"/>
    <n v="0"/>
    <n v="7.5"/>
    <n v="5"/>
    <n v="0"/>
    <n v="0"/>
    <n v="5"/>
    <n v="100"/>
    <n v="0"/>
    <n v="0"/>
    <s v="Consolidation"/>
    <s v="CO2e and Base Measure"/>
    <n v="100"/>
    <n v="100"/>
    <n v="7.5"/>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1-01-01T00:00:00"/>
    <s v="FY21"/>
    <s v="kL"/>
    <n v="2.84"/>
    <n v="0"/>
    <n v="0"/>
    <n v="2.84"/>
    <n v="2"/>
    <n v="0"/>
    <n v="0"/>
    <n v="2"/>
    <n v="100"/>
    <n v="0"/>
    <n v="0"/>
    <s v="Consolidation"/>
    <s v="CO2e and Base Measure"/>
    <n v="100"/>
    <n v="100"/>
    <n v="2.84"/>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1-02-01T00:00:00"/>
    <s v="FY21"/>
    <s v="kL"/>
    <n v="0"/>
    <n v="0"/>
    <n v="0.3014"/>
    <n v="0.3014"/>
    <n v="0"/>
    <n v="0"/>
    <n v="1"/>
    <n v="1"/>
    <n v="0"/>
    <n v="0"/>
    <n v="100"/>
    <s v="Consolidation"/>
    <s v="CO2e and Base Measure"/>
    <n v="100"/>
    <n v="100"/>
    <n v="0.3"/>
    <m/>
    <m/>
    <m/>
    <m/>
    <m/>
    <m/>
    <m/>
    <m/>
    <m/>
    <m/>
    <m/>
    <m/>
    <m/>
    <s v="AUD"/>
    <s v="13566064Wastewater [kL]"/>
    <n v="13566064"/>
  </r>
  <r>
    <d v="2019-07-01T00:00:00"/>
    <d v="2021-06-30T00:00:00"/>
    <s v="Telstra"/>
    <s v="Corporate"/>
    <s v="Corporate"/>
    <s v="Waste"/>
    <s v="Australia"/>
    <s v="Queensland"/>
    <s v="Remondis HYDRO QLD Virtual Loc"/>
    <s v="HYDROQLD"/>
    <s v="Water"/>
    <x v="2"/>
    <x v="8"/>
    <s v="Account"/>
    <s v="Remondis Recycled Water &amp; Non-Haz Grit"/>
    <m/>
    <s v="HYDROQLD_RGRIWATER"/>
    <s v="RECYCLED WATER &amp; NON-HAZ GRIT"/>
    <s v="Remondis"/>
    <m/>
    <m/>
    <d v="2020-11-01T00:00:00"/>
    <d v="2020-10-01T00:00:00"/>
    <s v="FY21"/>
    <s v="kL"/>
    <n v="0.86"/>
    <n v="0"/>
    <n v="0"/>
    <n v="0.86"/>
    <n v="1"/>
    <n v="0"/>
    <n v="0"/>
    <n v="1"/>
    <n v="100"/>
    <n v="0"/>
    <n v="0"/>
    <s v="Consolidation"/>
    <s v="CO2e and Base Measure"/>
    <n v="100"/>
    <n v="100"/>
    <n v="0.86"/>
    <m/>
    <m/>
    <m/>
    <m/>
    <m/>
    <m/>
    <m/>
    <m/>
    <m/>
    <m/>
    <m/>
    <m/>
    <m/>
    <s v="AUD"/>
    <s v="13566065Wastewater [kL]"/>
    <n v="13566065"/>
  </r>
  <r>
    <d v="2019-07-01T00:00:00"/>
    <d v="2021-06-30T00:00:00"/>
    <s v="Telstra"/>
    <s v="Corporate"/>
    <s v="Corporate"/>
    <s v="Waste"/>
    <s v="Australia"/>
    <s v="Queensland"/>
    <s v="Remondis HYDRO QLD Virtual Loc"/>
    <s v="HYDROQLD"/>
    <s v="Water"/>
    <x v="2"/>
    <x v="8"/>
    <s v="Account"/>
    <s v="Remondis Recycled Water &amp; Non-Haz Grit"/>
    <m/>
    <s v="HYDROQLD_RGRIWATER"/>
    <s v="RECYCLED WATER &amp; NON-HAZ GRIT"/>
    <s v="Remondis"/>
    <m/>
    <m/>
    <d v="2020-11-01T00:00:00"/>
    <d v="2020-11-01T00:00:00"/>
    <s v="FY21"/>
    <s v="kL"/>
    <n v="0"/>
    <n v="0"/>
    <n v="2.6599999999999999E-2"/>
    <n v="2.6599999999999999E-2"/>
    <n v="0"/>
    <n v="0"/>
    <n v="1"/>
    <n v="1"/>
    <n v="0"/>
    <n v="0"/>
    <n v="100"/>
    <s v="Consolidation"/>
    <s v="CO2e and Base Measure"/>
    <n v="100"/>
    <n v="100"/>
    <n v="0.03"/>
    <m/>
    <m/>
    <m/>
    <m/>
    <m/>
    <m/>
    <m/>
    <m/>
    <m/>
    <m/>
    <m/>
    <m/>
    <m/>
    <s v="AUD"/>
    <s v="13566065Wastewater [kL]"/>
    <n v="13566065"/>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07-01T00:00:00"/>
    <s v="FY21"/>
    <s v="kL"/>
    <n v="44.1"/>
    <n v="0"/>
    <n v="0"/>
    <n v="44.1"/>
    <n v="7"/>
    <n v="0"/>
    <n v="0"/>
    <n v="7"/>
    <n v="100"/>
    <n v="0"/>
    <n v="0"/>
    <s v="Consolidation"/>
    <s v="CO2e and Base Measure"/>
    <n v="100"/>
    <n v="100"/>
    <n v="44.1"/>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08-01T00:00:00"/>
    <s v="FY21"/>
    <s v="kL"/>
    <n v="87.48"/>
    <n v="0"/>
    <n v="0"/>
    <n v="87.48"/>
    <n v="14"/>
    <n v="0"/>
    <n v="0"/>
    <n v="14"/>
    <n v="100"/>
    <n v="0"/>
    <n v="0"/>
    <s v="Consolidation"/>
    <s v="CO2e and Base Measure"/>
    <n v="100"/>
    <n v="100"/>
    <n v="87.48"/>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09-01T00:00:00"/>
    <s v="FY21"/>
    <s v="kL"/>
    <n v="64"/>
    <n v="0"/>
    <n v="0"/>
    <n v="64"/>
    <n v="14"/>
    <n v="0"/>
    <n v="0"/>
    <n v="14"/>
    <n v="100"/>
    <n v="0"/>
    <n v="0"/>
    <s v="Consolidation"/>
    <s v="CO2e and Base Measure"/>
    <n v="100"/>
    <n v="100"/>
    <n v="64"/>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10-01T00:00:00"/>
    <s v="FY21"/>
    <s v="kL"/>
    <n v="103.14"/>
    <n v="0"/>
    <n v="0"/>
    <n v="103.14"/>
    <n v="18"/>
    <n v="0"/>
    <n v="0"/>
    <n v="18"/>
    <n v="100"/>
    <n v="0"/>
    <n v="0"/>
    <s v="Consolidation"/>
    <s v="CO2e and Base Measure"/>
    <n v="100"/>
    <n v="100"/>
    <n v="103.14"/>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11-01T00:00:00"/>
    <s v="FY21"/>
    <s v="kL"/>
    <n v="55.44"/>
    <n v="0"/>
    <n v="0"/>
    <n v="55.44"/>
    <n v="15"/>
    <n v="0"/>
    <n v="0"/>
    <n v="15"/>
    <n v="100"/>
    <n v="0"/>
    <n v="0"/>
    <s v="Consolidation"/>
    <s v="CO2e and Base Measure"/>
    <n v="100"/>
    <n v="100"/>
    <n v="55.44"/>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12-01T00:00:00"/>
    <s v="FY21"/>
    <s v="kL"/>
    <n v="62.78"/>
    <n v="0"/>
    <n v="0"/>
    <n v="62.78"/>
    <n v="14"/>
    <n v="0"/>
    <n v="0"/>
    <n v="14"/>
    <n v="100"/>
    <n v="0"/>
    <n v="0"/>
    <s v="Consolidation"/>
    <s v="CO2e and Base Measure"/>
    <n v="100"/>
    <n v="100"/>
    <n v="62.78"/>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1-01-01T00:00:00"/>
    <s v="FY21"/>
    <s v="kL"/>
    <n v="53"/>
    <n v="0"/>
    <n v="0"/>
    <n v="53"/>
    <n v="9"/>
    <n v="0"/>
    <n v="0"/>
    <n v="9"/>
    <n v="100"/>
    <n v="0"/>
    <n v="0"/>
    <s v="Consolidation"/>
    <s v="CO2e and Base Measure"/>
    <n v="100"/>
    <n v="100"/>
    <n v="53"/>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1-02-01T00:00:00"/>
    <s v="FY21"/>
    <s v="kL"/>
    <n v="0"/>
    <n v="0"/>
    <n v="2.2042999999999999"/>
    <n v="2.2042999999999999"/>
    <n v="0"/>
    <n v="0"/>
    <n v="1"/>
    <n v="1"/>
    <n v="0"/>
    <n v="0"/>
    <n v="100"/>
    <s v="Consolidation"/>
    <s v="CO2e and Base Measure"/>
    <n v="100"/>
    <n v="100"/>
    <n v="2.2000000000000002"/>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Asbestos Impacted"/>
    <m/>
    <s v="HYDROSA_RMUDWTASB"/>
    <s v="MUDDY WATER/SLUDGE - ASBESTOS IMPACTED"/>
    <s v="Remondis"/>
    <m/>
    <m/>
    <d v="2021-02-01T00:00:00"/>
    <d v="2020-10-01T00:00:00"/>
    <s v="FY21"/>
    <s v="kL"/>
    <n v="3.06"/>
    <n v="0"/>
    <n v="0"/>
    <n v="3.06"/>
    <n v="1"/>
    <n v="0"/>
    <n v="0"/>
    <n v="1"/>
    <n v="100"/>
    <n v="0"/>
    <n v="0"/>
    <s v="Consolidation"/>
    <s v="CO2e and Base Measure"/>
    <n v="100"/>
    <n v="100"/>
    <n v="3.06"/>
    <m/>
    <m/>
    <m/>
    <m/>
    <m/>
    <m/>
    <m/>
    <m/>
    <m/>
    <m/>
    <m/>
    <m/>
    <m/>
    <s v="AUD"/>
    <s v="13582140Wastewater [kL]"/>
    <n v="13582140"/>
  </r>
  <r>
    <d v="2019-07-01T00:00:00"/>
    <d v="2021-06-30T00:00:00"/>
    <s v="Telstra"/>
    <s v="Corporate"/>
    <s v="Corporate"/>
    <s v="Waste"/>
    <s v="Australia"/>
    <s v="South Australia"/>
    <s v="Remondis HYDRO SA Virtual Loc"/>
    <s v="HYDROSA"/>
    <s v="Water"/>
    <x v="2"/>
    <x v="8"/>
    <s v="Account"/>
    <s v="Remondis Muddy Water/Sludge - Asbestos Impacted"/>
    <m/>
    <s v="HYDROSA_RMUDWTASB"/>
    <s v="MUDDY WATER/SLUDGE - ASBESTOS IMPACTED"/>
    <s v="Remondis"/>
    <m/>
    <m/>
    <d v="2021-02-01T00:00:00"/>
    <d v="2020-12-01T00:00:00"/>
    <s v="FY21"/>
    <s v="kL"/>
    <n v="3.56"/>
    <n v="0"/>
    <n v="0"/>
    <n v="3.56"/>
    <n v="1"/>
    <n v="0"/>
    <n v="0"/>
    <n v="1"/>
    <n v="100"/>
    <n v="0"/>
    <n v="0"/>
    <s v="Consolidation"/>
    <s v="CO2e and Base Measure"/>
    <n v="100"/>
    <n v="100"/>
    <n v="3.56"/>
    <m/>
    <m/>
    <m/>
    <m/>
    <m/>
    <m/>
    <m/>
    <m/>
    <m/>
    <m/>
    <m/>
    <m/>
    <m/>
    <s v="AUD"/>
    <s v="13582140Wastewater [kL]"/>
    <n v="13582140"/>
  </r>
  <r>
    <d v="2019-07-01T00:00:00"/>
    <d v="2021-06-30T00:00:00"/>
    <s v="Telstra"/>
    <s v="Corporate"/>
    <s v="Corporate"/>
    <s v="Waste"/>
    <s v="Australia"/>
    <s v="South Australia"/>
    <s v="Remondis HYDRO SA Virtual Loc"/>
    <s v="HYDROSA"/>
    <s v="Water"/>
    <x v="2"/>
    <x v="8"/>
    <s v="Account"/>
    <s v="Remondis Muddy Water/Sludge - Asbestos Impacted"/>
    <m/>
    <s v="HYDROSA_RMUDWTASB"/>
    <s v="MUDDY WATER/SLUDGE - ASBESTOS IMPACTED"/>
    <s v="Remondis"/>
    <m/>
    <m/>
    <d v="2021-02-01T00:00:00"/>
    <d v="2021-01-01T00:00:00"/>
    <s v="FY21"/>
    <s v="kL"/>
    <n v="8.1"/>
    <n v="0"/>
    <n v="0"/>
    <n v="8.1"/>
    <n v="1"/>
    <n v="0"/>
    <n v="0"/>
    <n v="1"/>
    <n v="100"/>
    <n v="0"/>
    <n v="0"/>
    <s v="Consolidation"/>
    <s v="CO2e and Base Measure"/>
    <n v="100"/>
    <n v="100"/>
    <n v="8.1"/>
    <m/>
    <m/>
    <m/>
    <m/>
    <m/>
    <m/>
    <m/>
    <m/>
    <m/>
    <m/>
    <m/>
    <m/>
    <m/>
    <s v="AUD"/>
    <s v="13582140Wastewater [kL]"/>
    <n v="13582140"/>
  </r>
  <r>
    <d v="2019-07-01T00:00:00"/>
    <d v="2021-06-30T00:00:00"/>
    <s v="Telstra"/>
    <s v="Corporate"/>
    <s v="Corporate"/>
    <s v="Waste"/>
    <s v="Australia"/>
    <s v="South Australia"/>
    <s v="Remondis HYDRO SA Virtual Loc"/>
    <s v="HYDROSA"/>
    <s v="Water"/>
    <x v="2"/>
    <x v="8"/>
    <s v="Account"/>
    <s v="Remondis Muddy Water/Sludge - Asbestos Impacted"/>
    <m/>
    <s v="HYDROSA_RMUDWTASB"/>
    <s v="MUDDY WATER/SLUDGE - ASBESTOS IMPACTED"/>
    <s v="Remondis"/>
    <m/>
    <m/>
    <d v="2021-02-01T00:00:00"/>
    <d v="2021-02-01T00:00:00"/>
    <s v="FY21"/>
    <s v="kL"/>
    <n v="0"/>
    <n v="0"/>
    <n v="8.9599999999999999E-2"/>
    <n v="8.9599999999999999E-2"/>
    <n v="0"/>
    <n v="0"/>
    <n v="1"/>
    <n v="1"/>
    <n v="0"/>
    <n v="0"/>
    <n v="100"/>
    <s v="Consolidation"/>
    <s v="CO2e and Base Measure"/>
    <n v="100"/>
    <n v="100"/>
    <n v="0.09"/>
    <m/>
    <m/>
    <m/>
    <m/>
    <m/>
    <m/>
    <m/>
    <m/>
    <m/>
    <m/>
    <m/>
    <m/>
    <m/>
    <s v="AUD"/>
    <s v="13582140Wastewater [kL]"/>
    <n v="13582140"/>
  </r>
  <r>
    <d v="2019-07-01T00:00:00"/>
    <d v="2021-06-30T00:00:00"/>
    <s v="Telstra"/>
    <s v="Corporate"/>
    <s v="Corporate"/>
    <s v="Waste"/>
    <s v="Australia"/>
    <s v="Tasmania"/>
    <s v="Remondis HYDRO TAS Virtual Loc"/>
    <s v="HYDROTAS"/>
    <s v="Water"/>
    <x v="2"/>
    <x v="8"/>
    <s v="Account"/>
    <s v="Remondis Muddy Water/Sludge - Recycled"/>
    <m/>
    <s v="HYDROTAS_RMUDWATER"/>
    <s v="MUDDY WATER/SLUDGE - RECYCLED"/>
    <s v="Remondis"/>
    <m/>
    <m/>
    <d v="2020-09-01T00:00:00"/>
    <d v="2020-08-01T00:00:00"/>
    <s v="FY21"/>
    <s v="kL"/>
    <n v="6.34"/>
    <n v="0"/>
    <n v="0"/>
    <n v="6.34"/>
    <n v="4"/>
    <n v="0"/>
    <n v="0"/>
    <n v="4"/>
    <n v="100"/>
    <n v="0"/>
    <n v="0"/>
    <s v="Consolidation"/>
    <s v="CO2e and Base Measure"/>
    <n v="100"/>
    <n v="100"/>
    <n v="6.34"/>
    <m/>
    <m/>
    <m/>
    <m/>
    <m/>
    <m/>
    <m/>
    <m/>
    <m/>
    <m/>
    <m/>
    <m/>
    <m/>
    <s v="AUD"/>
    <s v="13566066Wastewater [kL]"/>
    <n v="13566066"/>
  </r>
  <r>
    <d v="2019-07-01T00:00:00"/>
    <d v="2021-06-30T00:00:00"/>
    <s v="Telstra"/>
    <s v="Corporate"/>
    <s v="Corporate"/>
    <s v="Waste"/>
    <s v="Australia"/>
    <s v="Tasmania"/>
    <s v="Remondis HYDRO TAS Virtual Loc"/>
    <s v="HYDROTAS"/>
    <s v="Water"/>
    <x v="2"/>
    <x v="8"/>
    <s v="Account"/>
    <s v="Remondis Muddy Water/Sludge - Recycled"/>
    <m/>
    <s v="HYDROTAS_RMUDWATER"/>
    <s v="MUDDY WATER/SLUDGE - RECYCLED"/>
    <s v="Remondis"/>
    <m/>
    <m/>
    <d v="2020-09-01T00:00:00"/>
    <d v="2020-09-01T00:00:00"/>
    <s v="FY21"/>
    <s v="kL"/>
    <n v="0"/>
    <n v="0"/>
    <n v="0.21129999999999999"/>
    <n v="0.21129999999999999"/>
    <n v="0"/>
    <n v="0"/>
    <n v="1"/>
    <n v="1"/>
    <n v="0"/>
    <n v="0"/>
    <n v="100"/>
    <s v="Consolidation"/>
    <s v="CO2e and Base Measure"/>
    <n v="100"/>
    <n v="100"/>
    <n v="0.21"/>
    <m/>
    <m/>
    <m/>
    <m/>
    <m/>
    <m/>
    <m/>
    <m/>
    <m/>
    <m/>
    <m/>
    <m/>
    <m/>
    <s v="AUD"/>
    <s v="13566066Wastewater [kL]"/>
    <n v="13566066"/>
  </r>
  <r>
    <d v="2019-07-01T00:00:00"/>
    <d v="2021-06-30T00:00:00"/>
    <s v="Telstra"/>
    <s v="Corporate"/>
    <s v="Corporate"/>
    <s v="Waste"/>
    <s v="Australia"/>
    <s v="Tasmania"/>
    <s v="Remondis HYDRO TAS Virtual Loc"/>
    <s v="HYDROTAS"/>
    <s v="Water"/>
    <x v="2"/>
    <x v="8"/>
    <s v="Account"/>
    <s v="Remondis Muddy Water/Sludge - Asbestos Impacted"/>
    <m/>
    <s v="HYDROTAS_RMUDWTASB"/>
    <s v="MUDDY WATER/SLUDGE - ASBESTOS IMPACTED"/>
    <s v="Remondis"/>
    <m/>
    <d v="2020-07-30T00:00:00"/>
    <d v="2020-09-01T00:00:00"/>
    <d v="2020-07-01T00:00:00"/>
    <s v="FY21"/>
    <s v="kL"/>
    <n v="1.76"/>
    <n v="0"/>
    <n v="0"/>
    <n v="1.76"/>
    <n v="1"/>
    <n v="0"/>
    <n v="0"/>
    <n v="1"/>
    <n v="100"/>
    <n v="0"/>
    <n v="0"/>
    <s v="Consolidation"/>
    <s v="CO2e and Base Measure"/>
    <n v="100"/>
    <n v="100"/>
    <n v="1.76"/>
    <m/>
    <m/>
    <m/>
    <m/>
    <m/>
    <m/>
    <m/>
    <m/>
    <m/>
    <m/>
    <m/>
    <m/>
    <m/>
    <s v="AUD"/>
    <s v="13625676Wastewater [kL]"/>
    <n v="13625676"/>
  </r>
  <r>
    <d v="2019-07-01T00:00:00"/>
    <d v="2021-06-30T00:00:00"/>
    <s v="Telstra"/>
    <s v="Corporate"/>
    <s v="Corporate"/>
    <s v="Waste"/>
    <s v="Australia"/>
    <s v="Tasmania"/>
    <s v="Remondis HYDRO TAS Virtual Loc"/>
    <s v="HYDROTAS"/>
    <s v="Water"/>
    <x v="2"/>
    <x v="8"/>
    <s v="Account"/>
    <s v="Remondis Muddy Water/Sludge - Asbestos Impacted"/>
    <m/>
    <s v="HYDROTAS_RMUDWTASB"/>
    <s v="MUDDY WATER/SLUDGE - ASBESTOS IMPACTED"/>
    <s v="Remondis"/>
    <m/>
    <d v="2020-07-30T00:00:00"/>
    <d v="2020-09-01T00:00:00"/>
    <d v="2020-08-01T00:00:00"/>
    <s v="FY21"/>
    <s v="kL"/>
    <n v="2.88"/>
    <n v="0"/>
    <n v="0"/>
    <n v="2.88"/>
    <n v="1"/>
    <n v="0"/>
    <n v="0"/>
    <n v="1"/>
    <n v="100"/>
    <n v="0"/>
    <n v="0"/>
    <s v="Consolidation"/>
    <s v="CO2e and Base Measure"/>
    <n v="100"/>
    <n v="100"/>
    <n v="2.88"/>
    <m/>
    <m/>
    <m/>
    <m/>
    <m/>
    <m/>
    <m/>
    <m/>
    <m/>
    <m/>
    <m/>
    <m/>
    <m/>
    <s v="AUD"/>
    <s v="13625676Wastewater [kL]"/>
    <n v="13625676"/>
  </r>
  <r>
    <d v="2019-07-01T00:00:00"/>
    <d v="2021-06-30T00:00:00"/>
    <s v="Telstra"/>
    <s v="Corporate"/>
    <s v="Corporate"/>
    <s v="Waste"/>
    <s v="Australia"/>
    <s v="Tasmania"/>
    <s v="Remondis HYDRO TAS Virtual Loc"/>
    <s v="HYDROTAS"/>
    <s v="Water"/>
    <x v="2"/>
    <x v="8"/>
    <s v="Account"/>
    <s v="Remondis Muddy Water/Sludge - Asbestos Impacted"/>
    <m/>
    <s v="HYDROTAS_RMUDWTASB"/>
    <s v="MUDDY WATER/SLUDGE - ASBESTOS IMPACTED"/>
    <s v="Remondis"/>
    <m/>
    <d v="2020-07-30T00:00:00"/>
    <d v="2020-09-01T00:00:00"/>
    <d v="2020-09-01T00:00:00"/>
    <s v="FY21"/>
    <s v="kL"/>
    <n v="0"/>
    <n v="0"/>
    <n v="7.6100000000000001E-2"/>
    <n v="7.6100000000000001E-2"/>
    <n v="0"/>
    <n v="0"/>
    <n v="1"/>
    <n v="1"/>
    <n v="0"/>
    <n v="0"/>
    <n v="100"/>
    <s v="Consolidation"/>
    <s v="CO2e and Base Measure"/>
    <n v="100"/>
    <n v="100"/>
    <n v="0.08"/>
    <m/>
    <m/>
    <m/>
    <m/>
    <m/>
    <m/>
    <m/>
    <m/>
    <m/>
    <m/>
    <m/>
    <m/>
    <m/>
    <s v="AUD"/>
    <s v="13625676Wastewater [kL]"/>
    <n v="13625676"/>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07-01T00:00:00"/>
    <s v="FY21"/>
    <s v="kL"/>
    <n v="15.7"/>
    <n v="0"/>
    <n v="0"/>
    <n v="15.7"/>
    <n v="7"/>
    <n v="0"/>
    <n v="0"/>
    <n v="7"/>
    <n v="100"/>
    <n v="0"/>
    <n v="0"/>
    <s v="Consolidation"/>
    <s v="CO2e and Base Measure"/>
    <n v="100"/>
    <n v="100"/>
    <n v="15.7"/>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08-01T00:00:00"/>
    <s v="FY21"/>
    <s v="kL"/>
    <n v="26.01"/>
    <n v="0"/>
    <n v="0"/>
    <n v="26.01"/>
    <n v="7"/>
    <n v="0"/>
    <n v="0"/>
    <n v="7"/>
    <n v="100"/>
    <n v="0"/>
    <n v="0"/>
    <s v="Consolidation"/>
    <s v="CO2e and Base Measure"/>
    <n v="100"/>
    <n v="100"/>
    <n v="26.01"/>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09-01T00:00:00"/>
    <s v="FY21"/>
    <s v="kL"/>
    <n v="53.82"/>
    <n v="0"/>
    <n v="0"/>
    <n v="53.82"/>
    <n v="16"/>
    <n v="0"/>
    <n v="0"/>
    <n v="16"/>
    <n v="100"/>
    <n v="0"/>
    <n v="0"/>
    <s v="Consolidation"/>
    <s v="CO2e and Base Measure"/>
    <n v="100"/>
    <n v="100"/>
    <n v="53.82"/>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10-01T00:00:00"/>
    <s v="FY21"/>
    <s v="kL"/>
    <n v="34.311"/>
    <n v="0"/>
    <n v="0"/>
    <n v="34.311"/>
    <n v="12"/>
    <n v="0"/>
    <n v="0"/>
    <n v="12"/>
    <n v="100"/>
    <n v="0"/>
    <n v="0"/>
    <s v="Consolidation"/>
    <s v="CO2e and Base Measure"/>
    <n v="100"/>
    <n v="100"/>
    <n v="34.31"/>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11-01T00:00:00"/>
    <s v="FY21"/>
    <s v="kL"/>
    <n v="25.94"/>
    <n v="0"/>
    <n v="0"/>
    <n v="25.94"/>
    <n v="11"/>
    <n v="0"/>
    <n v="0"/>
    <n v="11"/>
    <n v="100"/>
    <n v="0"/>
    <n v="0"/>
    <s v="Consolidation"/>
    <s v="CO2e and Base Measure"/>
    <n v="100"/>
    <n v="100"/>
    <n v="25.94"/>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12-01T00:00:00"/>
    <s v="FY21"/>
    <s v="kL"/>
    <n v="18.8"/>
    <n v="0"/>
    <n v="0"/>
    <n v="18.8"/>
    <n v="6"/>
    <n v="0"/>
    <n v="0"/>
    <n v="6"/>
    <n v="100"/>
    <n v="0"/>
    <n v="0"/>
    <s v="Consolidation"/>
    <s v="CO2e and Base Measure"/>
    <n v="100"/>
    <n v="100"/>
    <n v="18.8"/>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1-01-01T00:00:00"/>
    <s v="FY21"/>
    <s v="kL"/>
    <n v="46.56"/>
    <n v="0"/>
    <n v="0"/>
    <n v="46.56"/>
    <n v="10"/>
    <n v="0"/>
    <n v="0"/>
    <n v="10"/>
    <n v="100"/>
    <n v="0"/>
    <n v="0"/>
    <s v="Consolidation"/>
    <s v="CO2e and Base Measure"/>
    <n v="100"/>
    <n v="100"/>
    <n v="46.56"/>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1-02-01T00:00:00"/>
    <s v="FY21"/>
    <s v="kL"/>
    <n v="0"/>
    <n v="0"/>
    <n v="0.92889999999999995"/>
    <n v="0.92889999999999995"/>
    <n v="0"/>
    <n v="0"/>
    <n v="1"/>
    <n v="1"/>
    <n v="0"/>
    <n v="0"/>
    <n v="100"/>
    <s v="Consolidation"/>
    <s v="CO2e and Base Measure"/>
    <n v="100"/>
    <n v="100"/>
    <n v="0.93"/>
    <m/>
    <m/>
    <m/>
    <m/>
    <m/>
    <m/>
    <m/>
    <m/>
    <m/>
    <m/>
    <m/>
    <m/>
    <m/>
    <s v="AUD"/>
    <s v="13566069Wastewater [kL]"/>
    <n v="13566069"/>
  </r>
  <r>
    <d v="2019-07-01T00:00:00"/>
    <d v="2021-06-30T00:00:00"/>
    <s v="Telstra"/>
    <s v="Corporate"/>
    <s v="Corporate"/>
    <s v="Waste"/>
    <s v="Australia"/>
    <s v="Victoria"/>
    <s v="Remondis HYDRO VIC Virtual Loc"/>
    <s v="HYDROVIC"/>
    <s v="Water"/>
    <x v="2"/>
    <x v="8"/>
    <s v="Account"/>
    <s v="Remondis Recycled Water &amp; Non-Haz Grit"/>
    <m/>
    <s v="HYDROVIC_RGRIWATER"/>
    <s v="RECYCLED WATER &amp; NON-HAZ GRIT"/>
    <s v="Remondis"/>
    <m/>
    <m/>
    <d v="2020-11-01T00:00:00"/>
    <d v="2020-10-01T00:00:00"/>
    <s v="FY21"/>
    <s v="kL"/>
    <n v="2.5"/>
    <n v="0"/>
    <n v="0"/>
    <n v="2.5"/>
    <n v="1"/>
    <n v="0"/>
    <n v="0"/>
    <n v="1"/>
    <n v="100"/>
    <n v="0"/>
    <n v="0"/>
    <s v="Consolidation"/>
    <s v="CO2e and Base Measure"/>
    <n v="100"/>
    <n v="100"/>
    <n v="2.5"/>
    <m/>
    <m/>
    <m/>
    <m/>
    <m/>
    <m/>
    <m/>
    <m/>
    <m/>
    <m/>
    <m/>
    <m/>
    <m/>
    <s v="AUD"/>
    <s v="13566070Wastewater [kL]"/>
    <n v="13566070"/>
  </r>
  <r>
    <d v="2019-07-01T00:00:00"/>
    <d v="2021-06-30T00:00:00"/>
    <s v="Telstra"/>
    <s v="Corporate"/>
    <s v="Corporate"/>
    <s v="Waste"/>
    <s v="Australia"/>
    <s v="Victoria"/>
    <s v="Remondis HYDRO VIC Virtual Loc"/>
    <s v="HYDROVIC"/>
    <s v="Water"/>
    <x v="2"/>
    <x v="8"/>
    <s v="Account"/>
    <s v="Remondis Recycled Water &amp; Non-Haz Grit"/>
    <m/>
    <s v="HYDROVIC_RGRIWATER"/>
    <s v="RECYCLED WATER &amp; NON-HAZ GRIT"/>
    <s v="Remondis"/>
    <m/>
    <m/>
    <d v="2020-11-01T00:00:00"/>
    <d v="2020-11-01T00:00:00"/>
    <s v="FY21"/>
    <s v="kL"/>
    <n v="0"/>
    <n v="0"/>
    <n v="8.3299999999999999E-2"/>
    <n v="8.3299999999999999E-2"/>
    <n v="0"/>
    <n v="0"/>
    <n v="1"/>
    <n v="1"/>
    <n v="0"/>
    <n v="0"/>
    <n v="100"/>
    <s v="Consolidation"/>
    <s v="CO2e and Base Measure"/>
    <n v="100"/>
    <n v="100"/>
    <n v="0.08"/>
    <m/>
    <m/>
    <m/>
    <m/>
    <m/>
    <m/>
    <m/>
    <m/>
    <m/>
    <m/>
    <m/>
    <m/>
    <m/>
    <s v="AUD"/>
    <s v="13566070Wastewater [kL]"/>
    <n v="13566070"/>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07-01T00:00:00"/>
    <s v="FY21"/>
    <s v="t"/>
    <n v="9.1999999999999993"/>
    <n v="0"/>
    <n v="0"/>
    <n v="9.1999999999999993"/>
    <n v="1"/>
    <n v="0"/>
    <n v="0"/>
    <n v="1"/>
    <n v="100"/>
    <n v="0"/>
    <n v="0"/>
    <s v="Consolidation"/>
    <s v="CO2e and Base Measure"/>
    <n v="100"/>
    <n v="100"/>
    <n v="9.1999999999999993"/>
    <m/>
    <m/>
    <m/>
    <m/>
    <m/>
    <n v="11.04"/>
    <m/>
    <n v="11.04"/>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08-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09-01T00:00:00"/>
    <s v="FY21"/>
    <s v="t"/>
    <n v="0"/>
    <n v="0"/>
    <n v="8.9039999999999999"/>
    <n v="8.9039999999999999"/>
    <n v="0"/>
    <n v="0"/>
    <n v="30"/>
    <n v="30"/>
    <n v="0"/>
    <n v="0"/>
    <n v="100"/>
    <s v="Consolidation"/>
    <s v="CO2e and Base Measure"/>
    <n v="100"/>
    <n v="100"/>
    <n v="8.9"/>
    <m/>
    <m/>
    <m/>
    <m/>
    <m/>
    <n v="10.684799999999999"/>
    <m/>
    <n v="10.684799999999999"/>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10-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11-01T00:00:00"/>
    <s v="FY21"/>
    <s v="t"/>
    <n v="0"/>
    <n v="0"/>
    <n v="8.9039999999999999"/>
    <n v="8.9039999999999999"/>
    <n v="0"/>
    <n v="0"/>
    <n v="30"/>
    <n v="30"/>
    <n v="0"/>
    <n v="0"/>
    <n v="100"/>
    <s v="Consolidation"/>
    <s v="CO2e and Base Measure"/>
    <n v="100"/>
    <n v="100"/>
    <n v="8.9"/>
    <m/>
    <m/>
    <m/>
    <m/>
    <m/>
    <n v="10.684799999999999"/>
    <m/>
    <n v="10.684799999999999"/>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12-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1-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2-01T00:00:00"/>
    <s v="FY21"/>
    <s v="t"/>
    <n v="0"/>
    <n v="0"/>
    <n v="8.3103999999999996"/>
    <n v="8.3103999999999996"/>
    <n v="0"/>
    <n v="0"/>
    <n v="28"/>
    <n v="28"/>
    <n v="0"/>
    <n v="0"/>
    <n v="100"/>
    <s v="Consolidation"/>
    <s v="CO2e and Base Measure"/>
    <n v="100"/>
    <n v="100"/>
    <n v="8.31"/>
    <m/>
    <m/>
    <m/>
    <m/>
    <m/>
    <n v="9.9725000000000001"/>
    <m/>
    <n v="9.972500000000000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3-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4-01T00:00:00"/>
    <s v="FY21"/>
    <s v="t"/>
    <n v="0"/>
    <n v="0"/>
    <n v="8.9039999999999999"/>
    <n v="8.9039999999999999"/>
    <n v="0"/>
    <n v="0"/>
    <n v="30"/>
    <n v="30"/>
    <n v="0"/>
    <n v="0"/>
    <n v="100"/>
    <s v="Consolidation"/>
    <s v="CO2e and Base Measure"/>
    <n v="100"/>
    <n v="100"/>
    <n v="8.9"/>
    <m/>
    <m/>
    <m/>
    <m/>
    <m/>
    <n v="10.684799999999999"/>
    <m/>
    <n v="10.684799999999999"/>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5-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102Waste - General [t] - Scope 3"/>
    <n v="13565102"/>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0-11-01T00:00:00"/>
    <s v="FY21"/>
    <s v="t"/>
    <n v="0"/>
    <n v="6.7500000000000004E-2"/>
    <n v="0"/>
    <n v="6.7500000000000004E-2"/>
    <n v="0"/>
    <n v="1"/>
    <n v="0"/>
    <n v="1"/>
    <n v="0"/>
    <n v="100"/>
    <n v="0"/>
    <s v="Consolidation"/>
    <s v="CO2e and Base Measure"/>
    <n v="100"/>
    <n v="100"/>
    <n v="7.0000000000000007E-2"/>
    <m/>
    <m/>
    <m/>
    <m/>
    <m/>
    <n v="8.7800000000000003E-2"/>
    <m/>
    <n v="8.7800000000000003E-2"/>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0-12-01T00:00:00"/>
    <s v="FY21"/>
    <s v="t"/>
    <n v="8.2000000000000003E-2"/>
    <n v="0"/>
    <n v="0"/>
    <n v="8.2000000000000003E-2"/>
    <n v="1"/>
    <n v="0"/>
    <n v="0"/>
    <n v="1"/>
    <n v="100"/>
    <n v="0"/>
    <n v="0"/>
    <s v="Consolidation"/>
    <s v="CO2e and Base Measure"/>
    <n v="100"/>
    <n v="100"/>
    <n v="0.08"/>
    <m/>
    <m/>
    <m/>
    <m/>
    <m/>
    <n v="0.1066"/>
    <m/>
    <n v="0.1066"/>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1-01T00:00:00"/>
    <s v="FY21"/>
    <s v="t"/>
    <n v="0.09"/>
    <n v="0"/>
    <n v="0"/>
    <n v="0.09"/>
    <n v="1"/>
    <n v="0"/>
    <n v="0"/>
    <n v="1"/>
    <n v="100"/>
    <n v="0"/>
    <n v="0"/>
    <s v="Consolidation"/>
    <s v="CO2e and Base Measure"/>
    <n v="100"/>
    <n v="100"/>
    <n v="0.09"/>
    <m/>
    <m/>
    <m/>
    <m/>
    <m/>
    <n v="0.11700000000000001"/>
    <m/>
    <n v="0.11700000000000001"/>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2-01T00:00:00"/>
    <s v="FY21"/>
    <s v="t"/>
    <n v="0.06"/>
    <n v="0"/>
    <n v="0"/>
    <n v="0.06"/>
    <n v="1"/>
    <n v="0"/>
    <n v="0"/>
    <n v="1"/>
    <n v="100"/>
    <n v="0"/>
    <n v="0"/>
    <s v="Consolidation"/>
    <s v="CO2e and Base Measure"/>
    <n v="100"/>
    <n v="100"/>
    <n v="0.06"/>
    <m/>
    <m/>
    <m/>
    <m/>
    <m/>
    <n v="7.8E-2"/>
    <m/>
    <n v="7.8E-2"/>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3-01T00:00:00"/>
    <s v="FY21"/>
    <s v="t"/>
    <n v="0.23799999999999999"/>
    <n v="0"/>
    <n v="0"/>
    <n v="0.23799999999999999"/>
    <n v="1"/>
    <n v="0"/>
    <n v="0"/>
    <n v="1"/>
    <n v="100"/>
    <n v="0"/>
    <n v="0"/>
    <s v="Consolidation"/>
    <s v="CO2e and Base Measure"/>
    <n v="100"/>
    <n v="100"/>
    <n v="0.24"/>
    <m/>
    <m/>
    <m/>
    <m/>
    <m/>
    <n v="0.30940000000000001"/>
    <m/>
    <n v="0.30940000000000001"/>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4-01T00:00:00"/>
    <s v="FY21"/>
    <s v="t"/>
    <n v="0"/>
    <n v="0"/>
    <n v="0.108"/>
    <n v="0.108"/>
    <n v="0"/>
    <n v="0"/>
    <n v="30"/>
    <n v="30"/>
    <n v="0"/>
    <n v="0"/>
    <n v="100"/>
    <s v="Consolidation"/>
    <s v="CO2e and Base Measure"/>
    <n v="100"/>
    <n v="100"/>
    <n v="0.11"/>
    <m/>
    <m/>
    <m/>
    <m/>
    <m/>
    <n v="0.1404"/>
    <m/>
    <n v="0.1404"/>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5-01T00:00:00"/>
    <s v="FY21"/>
    <s v="t"/>
    <n v="0"/>
    <n v="0"/>
    <n v="0.1116"/>
    <n v="0.1116"/>
    <n v="0"/>
    <n v="0"/>
    <n v="31"/>
    <n v="31"/>
    <n v="0"/>
    <n v="0"/>
    <n v="100"/>
    <s v="Consolidation"/>
    <s v="CO2e and Base Measure"/>
    <n v="100"/>
    <n v="100"/>
    <n v="0.11"/>
    <m/>
    <m/>
    <m/>
    <m/>
    <m/>
    <n v="0.14510000000000001"/>
    <m/>
    <n v="0.14510000000000001"/>
    <m/>
    <m/>
    <m/>
    <m/>
    <m/>
    <s v="AUD"/>
    <s v="13633984Waste - General [t] - Scope 3"/>
    <n v="13633984"/>
  </r>
  <r>
    <d v="2019-07-01T00:00:00"/>
    <d v="2021-06-30T00:00:00"/>
    <s v="Telstra"/>
    <s v="NETWORK"/>
    <s v="Network - InfraCo"/>
    <s v="VIC"/>
    <s v="Australia"/>
    <s v="Coburg"/>
    <s v="RESERVOIR EXCHANGE"/>
    <n v="423030657800"/>
    <s v="Recycled Waste"/>
    <x v="0"/>
    <x v="5"/>
    <s v="Account"/>
    <s v="Remondis Construction &amp; Demolition - Recycled"/>
    <m/>
    <s v="423030657800_RCONSDEM"/>
    <s v="CONSTRUCTION &amp; DEMOLITION - RECYLED"/>
    <s v="Remondis"/>
    <m/>
    <m/>
    <d v="2020-11-01T00:00:00"/>
    <d v="2020-10-01T00:00:00"/>
    <s v="FY21"/>
    <s v="t"/>
    <n v="1.08"/>
    <n v="0"/>
    <n v="0"/>
    <n v="1.08"/>
    <n v="1"/>
    <n v="0"/>
    <n v="0"/>
    <n v="1"/>
    <n v="100"/>
    <n v="0"/>
    <n v="0"/>
    <s v="Consolidation"/>
    <s v="CO2e and Base Measure"/>
    <n v="100"/>
    <n v="100"/>
    <n v="1.08"/>
    <m/>
    <m/>
    <m/>
    <m/>
    <m/>
    <m/>
    <m/>
    <m/>
    <m/>
    <m/>
    <m/>
    <m/>
    <m/>
    <s v="AUD"/>
    <s v="13566079Waste Recycled - Construction and Demolition [t]"/>
    <n v="13566079"/>
  </r>
  <r>
    <d v="2019-07-01T00:00:00"/>
    <d v="2021-06-30T00:00:00"/>
    <s v="Telstra"/>
    <s v="NETWORK"/>
    <s v="Network - InfraCo"/>
    <s v="VIC"/>
    <s v="Australia"/>
    <s v="Coburg"/>
    <s v="RESERVOIR EXCHANGE"/>
    <n v="423030657800"/>
    <s v="Recycled Waste"/>
    <x v="0"/>
    <x v="5"/>
    <s v="Account"/>
    <s v="Remondis Construction &amp; Demolition - Recycled"/>
    <m/>
    <s v="423030657800_RCONSDEM"/>
    <s v="CONSTRUCTION &amp; DEMOLITION - RECYLED"/>
    <s v="Remondis"/>
    <m/>
    <m/>
    <d v="2020-11-01T00:00:00"/>
    <d v="2020-11-01T00:00:00"/>
    <s v="FY21"/>
    <s v="t"/>
    <n v="0"/>
    <n v="0"/>
    <n v="3.5999999999999997E-2"/>
    <n v="3.5999999999999997E-2"/>
    <n v="0"/>
    <n v="0"/>
    <n v="1"/>
    <n v="1"/>
    <n v="0"/>
    <n v="0"/>
    <n v="100"/>
    <s v="Consolidation"/>
    <s v="CO2e and Base Measure"/>
    <n v="100"/>
    <n v="100"/>
    <n v="0.04"/>
    <m/>
    <m/>
    <m/>
    <m/>
    <m/>
    <m/>
    <m/>
    <m/>
    <m/>
    <m/>
    <m/>
    <m/>
    <m/>
    <s v="AUD"/>
    <s v="13566079Waste Recycled - Construction and Demolition [t]"/>
    <n v="13566079"/>
  </r>
  <r>
    <d v="2019-07-01T00:00:00"/>
    <d v="2021-06-30T00:00:00"/>
    <s v="Telstra"/>
    <s v="NETWORK"/>
    <s v="Network - InfraCo"/>
    <s v="NSW"/>
    <s v="Australia"/>
    <s v="Revesby"/>
    <s v="REVESBY EXCHANGE"/>
    <n v="423030296200"/>
    <s v="Recycled Waste"/>
    <x v="0"/>
    <x v="0"/>
    <s v="Account"/>
    <s v="Remondis Cardboard - Loose - Recycled"/>
    <m/>
    <s v="423030296200_RCARDBOAR"/>
    <s v="CARDBOARD - LOOSE - RECYCLED"/>
    <s v="Remondis"/>
    <m/>
    <m/>
    <d v="2020-09-01T00:00:00"/>
    <d v="2020-08-01T00:00:00"/>
    <s v="FY21"/>
    <s v="t"/>
    <n v="0"/>
    <n v="4.6600000000000003E-2"/>
    <n v="0"/>
    <n v="4.6600000000000003E-2"/>
    <n v="0"/>
    <n v="2"/>
    <n v="0"/>
    <n v="2"/>
    <n v="0"/>
    <n v="100"/>
    <n v="0"/>
    <s v="Consolidation"/>
    <s v="CO2e and Base Measure"/>
    <n v="100"/>
    <n v="100"/>
    <n v="0.05"/>
    <m/>
    <m/>
    <m/>
    <m/>
    <m/>
    <m/>
    <n v="0"/>
    <m/>
    <m/>
    <m/>
    <m/>
    <m/>
    <m/>
    <s v="AUD"/>
    <s v="13564422Waste Recycled - Cardboard [t]"/>
    <n v="13564422"/>
  </r>
  <r>
    <d v="2019-07-01T00:00:00"/>
    <d v="2021-06-30T00:00:00"/>
    <s v="Telstra"/>
    <s v="NETWORK"/>
    <s v="Network - InfraCo"/>
    <s v="NSW"/>
    <s v="Australia"/>
    <s v="Revesby"/>
    <s v="REVESBY EXCHANGE"/>
    <n v="423030296200"/>
    <s v="Recycled Waste"/>
    <x v="0"/>
    <x v="0"/>
    <s v="Account"/>
    <s v="Remondis Cardboard - Loose - Recycled"/>
    <m/>
    <s v="423030296200_RCARDBOAR"/>
    <s v="CARDBOARD - LOOSE - RECYCLED"/>
    <s v="Remondis"/>
    <m/>
    <m/>
    <d v="2020-09-01T00:00:00"/>
    <d v="2020-09-01T00:00:00"/>
    <s v="FY21"/>
    <s v="t"/>
    <n v="0"/>
    <n v="0"/>
    <n v="1.6000000000000001E-3"/>
    <n v="1.6000000000000001E-3"/>
    <n v="0"/>
    <n v="0"/>
    <n v="1"/>
    <n v="1"/>
    <n v="0"/>
    <n v="0"/>
    <n v="100"/>
    <s v="Consolidation"/>
    <s v="CO2e and Base Measure"/>
    <n v="100"/>
    <n v="100"/>
    <n v="0"/>
    <m/>
    <m/>
    <m/>
    <m/>
    <m/>
    <m/>
    <n v="0"/>
    <m/>
    <m/>
    <m/>
    <m/>
    <m/>
    <m/>
    <s v="AUD"/>
    <s v="13564422Waste Recycled - Cardboard [t]"/>
    <n v="13564422"/>
  </r>
  <r>
    <d v="2019-07-01T00:00:00"/>
    <d v="2021-06-30T00:00:00"/>
    <s v="Telstra"/>
    <s v="NETWORK"/>
    <s v="Network - InfraCo"/>
    <s v="NSW"/>
    <s v="Australia"/>
    <s v="Revesby"/>
    <s v="REVESBY EXCHANGE"/>
    <n v="423030296200"/>
    <s v="Waste"/>
    <x v="1"/>
    <x v="2"/>
    <s v="Account"/>
    <s v="Remondis General Waste"/>
    <m/>
    <s v="423030296200_WGENERALW"/>
    <s v="GENERAL WASTE"/>
    <s v="Remondis"/>
    <m/>
    <m/>
    <d v="2021-01-01T00:00:00"/>
    <d v="2020-07-01T00:00:00"/>
    <s v="FY21"/>
    <s v="t"/>
    <n v="0.22600000000000001"/>
    <n v="0"/>
    <n v="0"/>
    <n v="0.22600000000000001"/>
    <n v="1"/>
    <n v="0"/>
    <n v="0"/>
    <n v="1"/>
    <n v="100"/>
    <n v="0"/>
    <n v="0"/>
    <s v="Consolidation"/>
    <s v="CO2e and Base Measure"/>
    <n v="100"/>
    <n v="100"/>
    <n v="0.23"/>
    <m/>
    <m/>
    <m/>
    <m/>
    <m/>
    <n v="0.29380000000000001"/>
    <m/>
    <n v="0.29380000000000001"/>
    <m/>
    <m/>
    <m/>
    <m/>
    <m/>
    <s v="AUD"/>
    <s v="13564423Waste - General [t] - Scope 3"/>
    <n v="13564423"/>
  </r>
  <r>
    <d v="2019-07-01T00:00:00"/>
    <d v="2021-06-30T00:00:00"/>
    <s v="Telstra"/>
    <s v="NETWORK"/>
    <s v="Network - InfraCo"/>
    <s v="NSW"/>
    <s v="Australia"/>
    <s v="Revesby"/>
    <s v="REVESBY EXCHANGE"/>
    <n v="423030296200"/>
    <s v="Waste"/>
    <x v="1"/>
    <x v="2"/>
    <s v="Account"/>
    <s v="Remondis General Waste"/>
    <m/>
    <s v="4230302962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4423Waste - General [t] - Scope 3"/>
    <n v="13564423"/>
  </r>
  <r>
    <d v="2019-07-01T00:00:00"/>
    <d v="2021-06-30T00:00:00"/>
    <s v="Telstra"/>
    <s v="NETWORK"/>
    <s v="Network - InfraCo"/>
    <s v="NSW"/>
    <s v="Australia"/>
    <s v="Revesby"/>
    <s v="REVESBY EXCHANGE"/>
    <n v="423030296200"/>
    <s v="Waste"/>
    <x v="1"/>
    <x v="2"/>
    <s v="Account"/>
    <s v="Remondis General Waste"/>
    <m/>
    <s v="423030296200_WGENERALW"/>
    <s v="GENERAL WASTE"/>
    <s v="Remondis"/>
    <m/>
    <m/>
    <d v="2021-01-01T00:00:00"/>
    <d v="2021-01-01T00:00:00"/>
    <s v="FY21"/>
    <s v="t"/>
    <n v="0"/>
    <n v="0"/>
    <n v="2E-3"/>
    <n v="2E-3"/>
    <n v="0"/>
    <n v="0"/>
    <n v="1"/>
    <n v="1"/>
    <n v="0"/>
    <n v="0"/>
    <n v="100"/>
    <s v="Consolidation"/>
    <s v="CO2e and Base Measure"/>
    <n v="100"/>
    <n v="100"/>
    <n v="0"/>
    <m/>
    <m/>
    <m/>
    <m/>
    <m/>
    <n v="2.5999999999999999E-3"/>
    <m/>
    <n v="2.5999999999999999E-3"/>
    <m/>
    <m/>
    <m/>
    <m/>
    <m/>
    <s v="AUD"/>
    <s v="13564423Waste - General [t] - Scope 3"/>
    <n v="13564423"/>
  </r>
  <r>
    <d v="2019-07-01T00:00:00"/>
    <d v="2021-06-30T00:00:00"/>
    <s v="Telstra"/>
    <s v="NETWORK"/>
    <s v="Network - InfraCo"/>
    <s v="NSW"/>
    <s v="Australia"/>
    <s v="Revesby"/>
    <s v="REVESBY EXCHANGE"/>
    <n v="423030296200"/>
    <s v="Recycled Waste"/>
    <x v="0"/>
    <x v="5"/>
    <s v="Account"/>
    <s v="Remondis Construction &amp; Demolition - Recycled"/>
    <m/>
    <s v="423030296200_RCONSDEM"/>
    <s v="CONSTRUCTION &amp; DEMOLITION - RECYLED"/>
    <s v="Remondis"/>
    <m/>
    <d v="2020-09-17T00:00:00"/>
    <d v="2020-12-01T00:00:00"/>
    <d v="2020-09-01T00:00:00"/>
    <s v="FY21"/>
    <s v="t"/>
    <n v="0"/>
    <n v="1.5"/>
    <n v="0"/>
    <n v="1.5"/>
    <n v="0"/>
    <n v="1"/>
    <n v="0"/>
    <n v="1"/>
    <n v="0"/>
    <n v="100"/>
    <n v="0"/>
    <s v="Consolidation"/>
    <s v="CO2e and Base Measure"/>
    <n v="100"/>
    <n v="100"/>
    <n v="1.5"/>
    <m/>
    <m/>
    <m/>
    <m/>
    <m/>
    <m/>
    <m/>
    <m/>
    <m/>
    <m/>
    <m/>
    <m/>
    <m/>
    <s v="AUD"/>
    <s v="13629330Waste Recycled - Construction and Demolition [t]"/>
    <n v="13629330"/>
  </r>
  <r>
    <d v="2019-07-01T00:00:00"/>
    <d v="2021-06-30T00:00:00"/>
    <s v="Telstra"/>
    <s v="NETWORK"/>
    <s v="Network - InfraCo"/>
    <s v="NSW"/>
    <s v="Australia"/>
    <s v="Revesby"/>
    <s v="REVESBY EXCHANGE"/>
    <n v="423030296200"/>
    <s v="Recycled Waste"/>
    <x v="0"/>
    <x v="5"/>
    <s v="Account"/>
    <s v="Remondis Construction &amp; Demolition - Recycled"/>
    <m/>
    <s v="423030296200_RCONSDEM"/>
    <s v="CONSTRUCTION &amp; DEMOLITION - RECYLED"/>
    <s v="Remondis"/>
    <m/>
    <d v="2020-09-17T00:00:00"/>
    <d v="2020-12-01T00:00:00"/>
    <d v="2020-11-01T00:00:00"/>
    <s v="FY21"/>
    <s v="t"/>
    <n v="1.26"/>
    <n v="0"/>
    <n v="0"/>
    <n v="1.26"/>
    <n v="1"/>
    <n v="0"/>
    <n v="0"/>
    <n v="1"/>
    <n v="100"/>
    <n v="0"/>
    <n v="0"/>
    <s v="Consolidation"/>
    <s v="CO2e and Base Measure"/>
    <n v="100"/>
    <n v="100"/>
    <n v="1.26"/>
    <m/>
    <m/>
    <m/>
    <m/>
    <m/>
    <m/>
    <m/>
    <m/>
    <m/>
    <m/>
    <m/>
    <m/>
    <m/>
    <s v="AUD"/>
    <s v="13629330Waste Recycled - Construction and Demolition [t]"/>
    <n v="13629330"/>
  </r>
  <r>
    <d v="2019-07-01T00:00:00"/>
    <d v="2021-06-30T00:00:00"/>
    <s v="Telstra"/>
    <s v="NETWORK"/>
    <s v="Network - InfraCo"/>
    <s v="NSW"/>
    <s v="Australia"/>
    <s v="Revesby"/>
    <s v="REVESBY EXCHANGE"/>
    <n v="423030296200"/>
    <s v="Recycled Waste"/>
    <x v="0"/>
    <x v="5"/>
    <s v="Account"/>
    <s v="Remondis Construction &amp; Demolition - Recycled"/>
    <m/>
    <s v="423030296200_RCONSDEM"/>
    <s v="CONSTRUCTION &amp; DEMOLITION - RECYLED"/>
    <s v="Remondis"/>
    <m/>
    <d v="2020-09-17T00:00:00"/>
    <d v="2020-12-01T00:00:00"/>
    <d v="2020-12-01T00:00:00"/>
    <s v="FY21"/>
    <s v="t"/>
    <n v="0"/>
    <n v="0"/>
    <n v="3.0700000000000002E-2"/>
    <n v="3.0700000000000002E-2"/>
    <n v="0"/>
    <n v="0"/>
    <n v="1"/>
    <n v="1"/>
    <n v="0"/>
    <n v="0"/>
    <n v="100"/>
    <s v="Consolidation"/>
    <s v="CO2e and Base Measure"/>
    <n v="100"/>
    <n v="100"/>
    <n v="0.03"/>
    <m/>
    <m/>
    <m/>
    <m/>
    <m/>
    <m/>
    <m/>
    <m/>
    <m/>
    <m/>
    <m/>
    <m/>
    <m/>
    <s v="AUD"/>
    <s v="13629330Waste Recycled - Construction and Demolition [t]"/>
    <n v="13629330"/>
  </r>
  <r>
    <d v="2019-07-01T00:00:00"/>
    <d v="2021-06-30T00:00:00"/>
    <s v="Telstra"/>
    <s v="NETWORK"/>
    <s v="Network - InfraCo"/>
    <s v="VIC"/>
    <s v="Australia"/>
    <s v="Richmond"/>
    <s v="RICHMOND EXCHANGE3"/>
    <n v="423030661500"/>
    <s v="Recycled Waste"/>
    <x v="0"/>
    <x v="5"/>
    <s v="Account"/>
    <s v="Remondis Construction &amp; Demolition - Recycled"/>
    <m/>
    <s v="423030661500_RCONSDEM"/>
    <s v="CONSTRUCTION &amp; DEMOLITION - RECYLED"/>
    <s v="Remondis"/>
    <m/>
    <d v="2020-10-09T00:00:00"/>
    <d v="2020-11-01T00:00:00"/>
    <d v="2020-10-01T00:00:00"/>
    <s v="FY21"/>
    <s v="t"/>
    <n v="3.74"/>
    <n v="0"/>
    <n v="0"/>
    <n v="3.74"/>
    <n v="1"/>
    <n v="0"/>
    <n v="0"/>
    <n v="1"/>
    <n v="100"/>
    <n v="0"/>
    <n v="0"/>
    <s v="Consolidation"/>
    <s v="CO2e and Base Measure"/>
    <n v="100"/>
    <n v="100"/>
    <n v="3.74"/>
    <m/>
    <m/>
    <m/>
    <m/>
    <m/>
    <m/>
    <m/>
    <m/>
    <m/>
    <m/>
    <m/>
    <m/>
    <m/>
    <s v="AUD"/>
    <s v="13631701Waste Recycled - Construction and Demolition [t]"/>
    <n v="13631701"/>
  </r>
  <r>
    <d v="2019-07-01T00:00:00"/>
    <d v="2021-06-30T00:00:00"/>
    <s v="Telstra"/>
    <s v="NETWORK"/>
    <s v="Network - InfraCo"/>
    <s v="VIC"/>
    <s v="Australia"/>
    <s v="Richmond"/>
    <s v="RICHMOND EXCHANGE3"/>
    <n v="423030661500"/>
    <s v="Recycled Waste"/>
    <x v="0"/>
    <x v="5"/>
    <s v="Account"/>
    <s v="Remondis Construction &amp; Demolition - Recycled"/>
    <m/>
    <s v="423030661500_RCONSDEM"/>
    <s v="CONSTRUCTION &amp; DEMOLITION - RECYLED"/>
    <s v="Remondis"/>
    <m/>
    <d v="2020-10-09T00:00:00"/>
    <d v="2020-11-01T00:00:00"/>
    <d v="2020-11-01T00:00:00"/>
    <s v="FY21"/>
    <s v="t"/>
    <n v="0"/>
    <n v="0"/>
    <n v="0.12470000000000001"/>
    <n v="0.12470000000000001"/>
    <n v="0"/>
    <n v="0"/>
    <n v="1"/>
    <n v="1"/>
    <n v="0"/>
    <n v="0"/>
    <n v="100"/>
    <s v="Consolidation"/>
    <s v="CO2e and Base Measure"/>
    <n v="100"/>
    <n v="100"/>
    <n v="0.12"/>
    <m/>
    <m/>
    <m/>
    <m/>
    <m/>
    <m/>
    <m/>
    <m/>
    <m/>
    <m/>
    <m/>
    <m/>
    <m/>
    <s v="AUD"/>
    <s v="13631701Waste Recycled - Construction and Demolition [t]"/>
    <n v="13631701"/>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07-01T00:00:00"/>
    <s v="FY21"/>
    <s v="t"/>
    <n v="0.63500000000000001"/>
    <n v="0"/>
    <n v="0"/>
    <n v="0.63500000000000001"/>
    <n v="3"/>
    <n v="0"/>
    <n v="0"/>
    <n v="3"/>
    <n v="100"/>
    <n v="0"/>
    <n v="0"/>
    <s v="Consolidation"/>
    <s v="CO2e and Base Measure"/>
    <n v="100"/>
    <n v="100"/>
    <n v="0.64"/>
    <m/>
    <m/>
    <m/>
    <m/>
    <m/>
    <n v="0.82550000000000001"/>
    <m/>
    <n v="0.82550000000000001"/>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08-01T00:00:00"/>
    <s v="FY21"/>
    <s v="t"/>
    <n v="0.60499999999999998"/>
    <n v="0"/>
    <n v="0"/>
    <n v="0.60499999999999998"/>
    <n v="2"/>
    <n v="0"/>
    <n v="0"/>
    <n v="2"/>
    <n v="100"/>
    <n v="0"/>
    <n v="0"/>
    <s v="Consolidation"/>
    <s v="CO2e and Base Measure"/>
    <n v="100"/>
    <n v="100"/>
    <n v="0.61"/>
    <m/>
    <m/>
    <m/>
    <m/>
    <m/>
    <n v="0.78649999999999998"/>
    <m/>
    <n v="0.78649999999999998"/>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09-01T00:00:00"/>
    <s v="FY21"/>
    <s v="t"/>
    <n v="0.38500000000000001"/>
    <n v="0"/>
    <n v="0"/>
    <n v="0.38500000000000001"/>
    <n v="2"/>
    <n v="0"/>
    <n v="0"/>
    <n v="2"/>
    <n v="100"/>
    <n v="0"/>
    <n v="0"/>
    <s v="Consolidation"/>
    <s v="CO2e and Base Measure"/>
    <n v="100"/>
    <n v="100"/>
    <n v="0.39"/>
    <m/>
    <m/>
    <m/>
    <m/>
    <m/>
    <n v="0.50049999999999994"/>
    <m/>
    <n v="0.50049999999999994"/>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10-01T00:00:00"/>
    <s v="FY21"/>
    <s v="t"/>
    <n v="0.26500000000000001"/>
    <n v="0"/>
    <n v="0"/>
    <n v="0.26500000000000001"/>
    <n v="1"/>
    <n v="0"/>
    <n v="0"/>
    <n v="1"/>
    <n v="100"/>
    <n v="0"/>
    <n v="0"/>
    <s v="Consolidation"/>
    <s v="CO2e and Base Measure"/>
    <n v="100"/>
    <n v="100"/>
    <n v="0.27"/>
    <m/>
    <m/>
    <m/>
    <m/>
    <m/>
    <n v="0.34449999999999997"/>
    <m/>
    <n v="0.34449999999999997"/>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11-01T00:00:00"/>
    <s v="FY21"/>
    <s v="t"/>
    <n v="3.1150000000000002"/>
    <n v="0.19500000000000001"/>
    <n v="0"/>
    <n v="3.31"/>
    <n v="3"/>
    <n v="1"/>
    <n v="0"/>
    <n v="4"/>
    <n v="94.1"/>
    <n v="5.89"/>
    <n v="0"/>
    <s v="Consolidation"/>
    <s v="CO2e and Base Measure"/>
    <n v="100"/>
    <n v="100"/>
    <n v="3.31"/>
    <m/>
    <m/>
    <m/>
    <m/>
    <m/>
    <n v="4.3029999999999999"/>
    <m/>
    <n v="4.3029999999999999"/>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12-01T00:00:00"/>
    <s v="FY21"/>
    <s v="t"/>
    <n v="0"/>
    <n v="0"/>
    <n v="3.04E-2"/>
    <n v="3.04E-2"/>
    <n v="0"/>
    <n v="0"/>
    <n v="1"/>
    <n v="1"/>
    <n v="0"/>
    <n v="0"/>
    <n v="100"/>
    <s v="Consolidation"/>
    <s v="CO2e and Base Measure"/>
    <n v="100"/>
    <n v="100"/>
    <n v="0.03"/>
    <m/>
    <m/>
    <m/>
    <m/>
    <m/>
    <n v="3.95E-2"/>
    <m/>
    <n v="3.95E-2"/>
    <m/>
    <m/>
    <m/>
    <m/>
    <m/>
    <s v="AUD"/>
    <s v="13564426Waste - General [t] - Scope 3"/>
    <n v="13564426"/>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0-11-01T00:00:00"/>
    <s v="FY21"/>
    <s v="t"/>
    <n v="0.187"/>
    <n v="0"/>
    <n v="0"/>
    <n v="0.187"/>
    <n v="1"/>
    <n v="0"/>
    <n v="0"/>
    <n v="1"/>
    <n v="100"/>
    <n v="0"/>
    <n v="0"/>
    <s v="Consolidation"/>
    <s v="CO2e and Base Measure"/>
    <n v="100"/>
    <n v="100"/>
    <n v="0.19"/>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0-12-01T00:00:00"/>
    <s v="FY21"/>
    <s v="t"/>
    <n v="0"/>
    <n v="0"/>
    <n v="0.19839999999999999"/>
    <n v="0.19839999999999999"/>
    <n v="0"/>
    <n v="0"/>
    <n v="31"/>
    <n v="31"/>
    <n v="0"/>
    <n v="0"/>
    <n v="100"/>
    <s v="Consolidation"/>
    <s v="CO2e and Base Measure"/>
    <n v="100"/>
    <n v="100"/>
    <n v="0.2"/>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1-01T00:00:00"/>
    <s v="FY21"/>
    <s v="t"/>
    <n v="0"/>
    <n v="0"/>
    <n v="0.19839999999999999"/>
    <n v="0.19839999999999999"/>
    <n v="0"/>
    <n v="0"/>
    <n v="31"/>
    <n v="31"/>
    <n v="0"/>
    <n v="0"/>
    <n v="100"/>
    <s v="Consolidation"/>
    <s v="CO2e and Base Measure"/>
    <n v="100"/>
    <n v="100"/>
    <n v="0.2"/>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2-01T00:00:00"/>
    <s v="FY21"/>
    <s v="t"/>
    <n v="0"/>
    <n v="0"/>
    <n v="0.1792"/>
    <n v="0.1792"/>
    <n v="0"/>
    <n v="0"/>
    <n v="28"/>
    <n v="28"/>
    <n v="0"/>
    <n v="0"/>
    <n v="100"/>
    <s v="Consolidation"/>
    <s v="CO2e and Base Measure"/>
    <n v="100"/>
    <n v="100"/>
    <n v="0.18"/>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3-01T00:00:00"/>
    <s v="FY21"/>
    <s v="t"/>
    <n v="0"/>
    <n v="0"/>
    <n v="0.19839999999999999"/>
    <n v="0.19839999999999999"/>
    <n v="0"/>
    <n v="0"/>
    <n v="31"/>
    <n v="31"/>
    <n v="0"/>
    <n v="0"/>
    <n v="100"/>
    <s v="Consolidation"/>
    <s v="CO2e and Base Measure"/>
    <n v="100"/>
    <n v="100"/>
    <n v="0.2"/>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4-01T00:00:00"/>
    <s v="FY21"/>
    <s v="t"/>
    <n v="0"/>
    <n v="0"/>
    <n v="0.192"/>
    <n v="0.192"/>
    <n v="0"/>
    <n v="0"/>
    <n v="30"/>
    <n v="30"/>
    <n v="0"/>
    <n v="0"/>
    <n v="100"/>
    <s v="Consolidation"/>
    <s v="CO2e and Base Measure"/>
    <n v="100"/>
    <n v="100"/>
    <n v="0.19"/>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5-01T00:00:00"/>
    <s v="FY21"/>
    <s v="t"/>
    <n v="0"/>
    <n v="0"/>
    <n v="0.19839999999999999"/>
    <n v="0.19839999999999999"/>
    <n v="0"/>
    <n v="0"/>
    <n v="31"/>
    <n v="31"/>
    <n v="0"/>
    <n v="0"/>
    <n v="100"/>
    <s v="Consolidation"/>
    <s v="CO2e and Base Measure"/>
    <n v="100"/>
    <n v="100"/>
    <n v="0.2"/>
    <m/>
    <m/>
    <m/>
    <m/>
    <m/>
    <m/>
    <m/>
    <m/>
    <m/>
    <m/>
    <m/>
    <m/>
    <m/>
    <s v="AUD"/>
    <s v="13564427Waste Recycled - Construction and Demolition [t]"/>
    <n v="13564427"/>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0-12-01T00:00:00"/>
    <s v="FY21"/>
    <s v="t"/>
    <n v="0.41"/>
    <n v="0"/>
    <n v="0"/>
    <n v="0.41"/>
    <n v="2"/>
    <n v="0"/>
    <n v="0"/>
    <n v="2"/>
    <n v="100"/>
    <n v="0"/>
    <n v="0"/>
    <s v="Consolidation"/>
    <s v="CO2e and Base Measure"/>
    <n v="100"/>
    <n v="100"/>
    <n v="0.41"/>
    <m/>
    <m/>
    <m/>
    <m/>
    <m/>
    <n v="0.53300000000000003"/>
    <m/>
    <n v="0.53300000000000003"/>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1-01T00:00:00"/>
    <s v="FY21"/>
    <s v="t"/>
    <n v="0.18"/>
    <n v="0"/>
    <n v="0"/>
    <n v="0.18"/>
    <n v="1"/>
    <n v="0"/>
    <n v="0"/>
    <n v="1"/>
    <n v="100"/>
    <n v="0"/>
    <n v="0"/>
    <s v="Consolidation"/>
    <s v="CO2e and Base Measure"/>
    <n v="100"/>
    <n v="100"/>
    <n v="0.18"/>
    <m/>
    <m/>
    <m/>
    <m/>
    <m/>
    <n v="0.23400000000000001"/>
    <m/>
    <n v="0.23400000000000001"/>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2-01T00:00:00"/>
    <s v="FY21"/>
    <s v="t"/>
    <n v="0.63"/>
    <n v="0"/>
    <n v="0"/>
    <n v="0.63"/>
    <n v="1"/>
    <n v="0"/>
    <n v="0"/>
    <n v="1"/>
    <n v="100"/>
    <n v="0"/>
    <n v="0"/>
    <s v="Consolidation"/>
    <s v="CO2e and Base Measure"/>
    <n v="100"/>
    <n v="100"/>
    <n v="0.63"/>
    <m/>
    <m/>
    <m/>
    <m/>
    <m/>
    <n v="0.81899999999999995"/>
    <m/>
    <n v="0.81899999999999995"/>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3-01T00:00:00"/>
    <s v="FY21"/>
    <s v="t"/>
    <n v="0.53"/>
    <n v="0"/>
    <n v="0"/>
    <n v="0.53"/>
    <n v="3"/>
    <n v="0"/>
    <n v="0"/>
    <n v="3"/>
    <n v="100"/>
    <n v="0"/>
    <n v="0"/>
    <s v="Consolidation"/>
    <s v="CO2e and Base Measure"/>
    <n v="100"/>
    <n v="100"/>
    <n v="0.53"/>
    <m/>
    <m/>
    <m/>
    <m/>
    <m/>
    <n v="0.68899999999999995"/>
    <m/>
    <n v="0.68899999999999995"/>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4-01T00:00:00"/>
    <s v="FY21"/>
    <s v="t"/>
    <n v="0"/>
    <n v="0"/>
    <n v="0.438"/>
    <n v="0.438"/>
    <n v="0"/>
    <n v="0"/>
    <n v="30"/>
    <n v="30"/>
    <n v="0"/>
    <n v="0"/>
    <n v="100"/>
    <s v="Consolidation"/>
    <s v="CO2e and Base Measure"/>
    <n v="100"/>
    <n v="100"/>
    <n v="0.44"/>
    <m/>
    <m/>
    <m/>
    <m/>
    <m/>
    <n v="0.56940000000000002"/>
    <m/>
    <n v="0.56940000000000002"/>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5-01T00:00:00"/>
    <s v="FY21"/>
    <s v="t"/>
    <n v="0"/>
    <n v="0"/>
    <n v="0.4526"/>
    <n v="0.4526"/>
    <n v="0"/>
    <n v="0"/>
    <n v="31"/>
    <n v="31"/>
    <n v="0"/>
    <n v="0"/>
    <n v="100"/>
    <s v="Consolidation"/>
    <s v="CO2e and Base Measure"/>
    <n v="100"/>
    <n v="100"/>
    <n v="0.45"/>
    <m/>
    <m/>
    <m/>
    <m/>
    <m/>
    <n v="0.58840000000000003"/>
    <m/>
    <n v="0.58840000000000003"/>
    <m/>
    <m/>
    <m/>
    <m/>
    <m/>
    <s v="AUD"/>
    <s v="13634239Waste - General [t] - Scope 3"/>
    <n v="13634239"/>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07-01T00:00:00"/>
    <s v="FY21"/>
    <s v="t"/>
    <n v="0.755"/>
    <n v="0"/>
    <n v="0"/>
    <n v="0.755"/>
    <n v="2"/>
    <n v="0"/>
    <n v="0"/>
    <n v="2"/>
    <n v="100"/>
    <n v="0"/>
    <n v="0"/>
    <s v="Consolidation"/>
    <s v="CO2e and Base Measure"/>
    <n v="100"/>
    <n v="100"/>
    <n v="0.76"/>
    <m/>
    <m/>
    <m/>
    <m/>
    <m/>
    <n v="0.98150000000000004"/>
    <m/>
    <n v="0.98150000000000004"/>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08-01T00:00:00"/>
    <s v="FY21"/>
    <s v="t"/>
    <n v="1.0900000000000001"/>
    <n v="0"/>
    <n v="0"/>
    <n v="1.0900000000000001"/>
    <n v="2"/>
    <n v="0"/>
    <n v="0"/>
    <n v="2"/>
    <n v="100"/>
    <n v="0"/>
    <n v="0"/>
    <s v="Consolidation"/>
    <s v="CO2e and Base Measure"/>
    <n v="100"/>
    <n v="100"/>
    <n v="1.0900000000000001"/>
    <m/>
    <m/>
    <m/>
    <m/>
    <m/>
    <n v="1.417"/>
    <m/>
    <n v="1.417"/>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09-01T00:00:00"/>
    <s v="FY21"/>
    <s v="t"/>
    <n v="2.36"/>
    <n v="0"/>
    <n v="0"/>
    <n v="2.36"/>
    <n v="3"/>
    <n v="0"/>
    <n v="0"/>
    <n v="3"/>
    <n v="100"/>
    <n v="0"/>
    <n v="0"/>
    <s v="Consolidation"/>
    <s v="CO2e and Base Measure"/>
    <n v="100"/>
    <n v="100"/>
    <n v="2.36"/>
    <m/>
    <m/>
    <m/>
    <m/>
    <m/>
    <n v="3.0680000000000001"/>
    <m/>
    <n v="3.0680000000000001"/>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10-01T00:00:00"/>
    <s v="FY21"/>
    <s v="t"/>
    <n v="0.84"/>
    <n v="0"/>
    <n v="0"/>
    <n v="0.84"/>
    <n v="2"/>
    <n v="0"/>
    <n v="0"/>
    <n v="2"/>
    <n v="100"/>
    <n v="0"/>
    <n v="0"/>
    <s v="Consolidation"/>
    <s v="CO2e and Base Measure"/>
    <n v="100"/>
    <n v="100"/>
    <n v="0.84"/>
    <m/>
    <m/>
    <m/>
    <m/>
    <m/>
    <n v="1.0920000000000001"/>
    <m/>
    <n v="1.0920000000000001"/>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11-01T00:00:00"/>
    <s v="FY21"/>
    <s v="t"/>
    <n v="1.44"/>
    <n v="0"/>
    <n v="0"/>
    <n v="1.44"/>
    <n v="2"/>
    <n v="0"/>
    <n v="0"/>
    <n v="2"/>
    <n v="100"/>
    <n v="0"/>
    <n v="0"/>
    <s v="Consolidation"/>
    <s v="CO2e and Base Measure"/>
    <n v="100"/>
    <n v="100"/>
    <n v="1.44"/>
    <m/>
    <m/>
    <m/>
    <m/>
    <m/>
    <n v="1.8720000000000001"/>
    <m/>
    <n v="1.8720000000000001"/>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12-01T00:00:00"/>
    <s v="FY21"/>
    <s v="t"/>
    <n v="0"/>
    <n v="0"/>
    <n v="4.1399999999999999E-2"/>
    <n v="4.1399999999999999E-2"/>
    <n v="0"/>
    <n v="0"/>
    <n v="1"/>
    <n v="1"/>
    <n v="0"/>
    <n v="0"/>
    <n v="100"/>
    <s v="Consolidation"/>
    <s v="CO2e and Base Measure"/>
    <n v="100"/>
    <n v="100"/>
    <n v="0.04"/>
    <m/>
    <m/>
    <m/>
    <m/>
    <m/>
    <n v="5.3800000000000001E-2"/>
    <m/>
    <n v="5.3800000000000001E-2"/>
    <m/>
    <m/>
    <m/>
    <m/>
    <m/>
    <s v="AUD"/>
    <s v="13565264Waste - General [t] - Scope 3"/>
    <n v="13565264"/>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0-12-01T00:00:00"/>
    <s v="FY21"/>
    <s v="t"/>
    <n v="0.56100000000000005"/>
    <n v="0"/>
    <n v="0"/>
    <n v="0.56100000000000005"/>
    <n v="2"/>
    <n v="0"/>
    <n v="0"/>
    <n v="2"/>
    <n v="100"/>
    <n v="0"/>
    <n v="0"/>
    <s v="Consolidation"/>
    <s v="CO2e and Base Measure"/>
    <n v="100"/>
    <n v="100"/>
    <n v="0.56000000000000005"/>
    <m/>
    <m/>
    <m/>
    <m/>
    <m/>
    <n v="0.72929999999999995"/>
    <m/>
    <n v="0.72929999999999995"/>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1-01T00:00:00"/>
    <s v="FY21"/>
    <s v="t"/>
    <n v="1.034"/>
    <n v="0"/>
    <n v="0"/>
    <n v="1.034"/>
    <n v="2"/>
    <n v="0"/>
    <n v="0"/>
    <n v="2"/>
    <n v="100"/>
    <n v="0"/>
    <n v="0"/>
    <s v="Consolidation"/>
    <s v="CO2e and Base Measure"/>
    <n v="100"/>
    <n v="100"/>
    <n v="1.03"/>
    <m/>
    <m/>
    <m/>
    <m/>
    <m/>
    <n v="1.3442000000000001"/>
    <m/>
    <n v="1.3442000000000001"/>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2-01T00:00:00"/>
    <s v="FY21"/>
    <s v="t"/>
    <n v="0.871"/>
    <n v="0"/>
    <n v="0"/>
    <n v="0.871"/>
    <n v="2"/>
    <n v="0"/>
    <n v="0"/>
    <n v="2"/>
    <n v="100"/>
    <n v="0"/>
    <n v="0"/>
    <s v="Consolidation"/>
    <s v="CO2e and Base Measure"/>
    <n v="100"/>
    <n v="100"/>
    <n v="0.87"/>
    <m/>
    <m/>
    <m/>
    <m/>
    <m/>
    <n v="1.1323000000000001"/>
    <m/>
    <n v="1.1323000000000001"/>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3-01T00:00:00"/>
    <s v="FY21"/>
    <s v="t"/>
    <n v="0.372"/>
    <n v="0"/>
    <n v="0"/>
    <n v="0.372"/>
    <n v="2"/>
    <n v="0"/>
    <n v="0"/>
    <n v="2"/>
    <n v="100"/>
    <n v="0"/>
    <n v="0"/>
    <s v="Consolidation"/>
    <s v="CO2e and Base Measure"/>
    <n v="100"/>
    <n v="100"/>
    <n v="0.37"/>
    <m/>
    <m/>
    <m/>
    <m/>
    <m/>
    <n v="0.48359999999999997"/>
    <m/>
    <n v="0.48359999999999997"/>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4-01T00:00:00"/>
    <s v="FY21"/>
    <s v="t"/>
    <n v="0"/>
    <n v="0"/>
    <n v="0.71099999999999997"/>
    <n v="0.71099999999999997"/>
    <n v="0"/>
    <n v="0"/>
    <n v="30"/>
    <n v="30"/>
    <n v="0"/>
    <n v="0"/>
    <n v="100"/>
    <s v="Consolidation"/>
    <s v="CO2e and Base Measure"/>
    <n v="100"/>
    <n v="100"/>
    <n v="0.71"/>
    <m/>
    <m/>
    <m/>
    <m/>
    <m/>
    <n v="0.92430000000000001"/>
    <m/>
    <n v="0.92430000000000001"/>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5-01T00:00:00"/>
    <s v="FY21"/>
    <s v="t"/>
    <n v="0"/>
    <n v="0"/>
    <n v="0.73470000000000002"/>
    <n v="0.73470000000000002"/>
    <n v="0"/>
    <n v="0"/>
    <n v="31"/>
    <n v="31"/>
    <n v="0"/>
    <n v="0"/>
    <n v="100"/>
    <s v="Consolidation"/>
    <s v="CO2e and Base Measure"/>
    <n v="100"/>
    <n v="100"/>
    <n v="0.73"/>
    <m/>
    <m/>
    <m/>
    <m/>
    <m/>
    <n v="0.95509999999999995"/>
    <m/>
    <n v="0.95509999999999995"/>
    <m/>
    <m/>
    <m/>
    <m/>
    <m/>
    <s v="AUD"/>
    <s v="13634240Waste - General [t] - Scope 3"/>
    <n v="1363424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07-01T00:00:00"/>
    <s v="FY21"/>
    <s v="t"/>
    <n v="0.54"/>
    <n v="0"/>
    <n v="0"/>
    <n v="0.54"/>
    <n v="4"/>
    <n v="0"/>
    <n v="0"/>
    <n v="4"/>
    <n v="100"/>
    <n v="0"/>
    <n v="0"/>
    <s v="Consolidation"/>
    <s v="CO2e and Base Measure"/>
    <n v="100"/>
    <n v="100"/>
    <n v="0.54"/>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08-01T00:00:00"/>
    <s v="FY21"/>
    <s v="t"/>
    <n v="0.27"/>
    <n v="0"/>
    <n v="0"/>
    <n v="0.27"/>
    <n v="2"/>
    <n v="0"/>
    <n v="0"/>
    <n v="2"/>
    <n v="100"/>
    <n v="0"/>
    <n v="0"/>
    <s v="Consolidation"/>
    <s v="CO2e and Base Measure"/>
    <n v="100"/>
    <n v="100"/>
    <n v="0.27"/>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09-01T00:00:00"/>
    <s v="FY21"/>
    <s v="t"/>
    <n v="0.02"/>
    <n v="0"/>
    <n v="0"/>
    <n v="0.02"/>
    <n v="2"/>
    <n v="0"/>
    <n v="0"/>
    <n v="2"/>
    <n v="100"/>
    <n v="0"/>
    <n v="0"/>
    <s v="Consolidation"/>
    <s v="CO2e and Base Measure"/>
    <n v="100"/>
    <n v="100"/>
    <n v="0.02"/>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10-01T00:00:00"/>
    <s v="FY21"/>
    <s v="t"/>
    <n v="0.27"/>
    <n v="0"/>
    <n v="0"/>
    <n v="0.27"/>
    <n v="2"/>
    <n v="0"/>
    <n v="0"/>
    <n v="2"/>
    <n v="100"/>
    <n v="0"/>
    <n v="0"/>
    <s v="Consolidation"/>
    <s v="CO2e and Base Measure"/>
    <n v="100"/>
    <n v="100"/>
    <n v="0.27"/>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11-01T00:00:00"/>
    <s v="FY21"/>
    <s v="t"/>
    <n v="0.216"/>
    <n v="0"/>
    <n v="0"/>
    <n v="0.216"/>
    <n v="2"/>
    <n v="0"/>
    <n v="0"/>
    <n v="2"/>
    <n v="100"/>
    <n v="0"/>
    <n v="0"/>
    <s v="Consolidation"/>
    <s v="CO2e and Base Measure"/>
    <n v="100"/>
    <n v="100"/>
    <n v="0.22"/>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12-01T00:00:00"/>
    <s v="FY21"/>
    <s v="t"/>
    <n v="0.32400000000000001"/>
    <n v="0"/>
    <n v="0"/>
    <n v="0.32400000000000001"/>
    <n v="3"/>
    <n v="0"/>
    <n v="0"/>
    <n v="3"/>
    <n v="100"/>
    <n v="0"/>
    <n v="0"/>
    <s v="Consolidation"/>
    <s v="CO2e and Base Measure"/>
    <n v="100"/>
    <n v="100"/>
    <n v="0.32"/>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1-01T00:00:00"/>
    <s v="FY21"/>
    <s v="t"/>
    <n v="0"/>
    <n v="0"/>
    <n v="0.28520000000000001"/>
    <n v="0.28520000000000001"/>
    <n v="0"/>
    <n v="0"/>
    <n v="31"/>
    <n v="31"/>
    <n v="0"/>
    <n v="0"/>
    <n v="100"/>
    <s v="Consolidation"/>
    <s v="CO2e and Base Measure"/>
    <n v="100"/>
    <n v="100"/>
    <n v="0.28999999999999998"/>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2-01T00:00:00"/>
    <s v="FY21"/>
    <s v="t"/>
    <n v="0"/>
    <n v="0"/>
    <n v="0.2576"/>
    <n v="0.2576"/>
    <n v="0"/>
    <n v="0"/>
    <n v="28"/>
    <n v="28"/>
    <n v="0"/>
    <n v="0"/>
    <n v="100"/>
    <s v="Consolidation"/>
    <s v="CO2e and Base Measure"/>
    <n v="100"/>
    <n v="100"/>
    <n v="0.26"/>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3-01T00:00:00"/>
    <s v="FY21"/>
    <s v="t"/>
    <n v="0"/>
    <n v="0"/>
    <n v="0.28520000000000001"/>
    <n v="0.28520000000000001"/>
    <n v="0"/>
    <n v="0"/>
    <n v="31"/>
    <n v="31"/>
    <n v="0"/>
    <n v="0"/>
    <n v="100"/>
    <s v="Consolidation"/>
    <s v="CO2e and Base Measure"/>
    <n v="100"/>
    <n v="100"/>
    <n v="0.28999999999999998"/>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4-01T00:00:00"/>
    <s v="FY21"/>
    <s v="t"/>
    <n v="0"/>
    <n v="0"/>
    <n v="0.27600000000000002"/>
    <n v="0.27600000000000002"/>
    <n v="0"/>
    <n v="0"/>
    <n v="30"/>
    <n v="30"/>
    <n v="0"/>
    <n v="0"/>
    <n v="100"/>
    <s v="Consolidation"/>
    <s v="CO2e and Base Measure"/>
    <n v="100"/>
    <n v="100"/>
    <n v="0.28000000000000003"/>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5-01T00:00:00"/>
    <s v="FY21"/>
    <s v="t"/>
    <n v="0"/>
    <n v="0"/>
    <n v="0.28520000000000001"/>
    <n v="0.28520000000000001"/>
    <n v="0"/>
    <n v="0"/>
    <n v="31"/>
    <n v="31"/>
    <n v="0"/>
    <n v="0"/>
    <n v="100"/>
    <s v="Consolidation"/>
    <s v="CO2e and Base Measure"/>
    <n v="100"/>
    <n v="100"/>
    <n v="0.28999999999999998"/>
    <m/>
    <m/>
    <m/>
    <m/>
    <m/>
    <m/>
    <m/>
    <m/>
    <m/>
    <m/>
    <m/>
    <m/>
    <m/>
    <s v="AUD"/>
    <s v="13566470Waste Recycled - Paper and Cardboard [t]"/>
    <n v="13566470"/>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07-01T00:00:00"/>
    <s v="FY21"/>
    <s v="t"/>
    <n v="0.18099999999999999"/>
    <n v="0"/>
    <n v="0"/>
    <n v="0.18099999999999999"/>
    <n v="2"/>
    <n v="0"/>
    <n v="0"/>
    <n v="2"/>
    <n v="100"/>
    <n v="0"/>
    <n v="0"/>
    <s v="Consolidation"/>
    <s v="CO2e and Base Measure"/>
    <n v="100"/>
    <n v="100"/>
    <n v="0.18"/>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08-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09-01T00:00:00"/>
    <s v="FY21"/>
    <s v="t"/>
    <n v="0"/>
    <n v="0"/>
    <n v="0.18"/>
    <n v="0.18"/>
    <n v="0"/>
    <n v="0"/>
    <n v="30"/>
    <n v="30"/>
    <n v="0"/>
    <n v="0"/>
    <n v="100"/>
    <s v="Consolidation"/>
    <s v="CO2e and Base Measure"/>
    <n v="100"/>
    <n v="100"/>
    <n v="0.18"/>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10-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11-01T00:00:00"/>
    <s v="FY21"/>
    <s v="t"/>
    <n v="0"/>
    <n v="0"/>
    <n v="0.18"/>
    <n v="0.18"/>
    <n v="0"/>
    <n v="0"/>
    <n v="30"/>
    <n v="30"/>
    <n v="0"/>
    <n v="0"/>
    <n v="100"/>
    <s v="Consolidation"/>
    <s v="CO2e and Base Measure"/>
    <n v="100"/>
    <n v="100"/>
    <n v="0.18"/>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12-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1-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2-01T00:00:00"/>
    <s v="FY21"/>
    <s v="t"/>
    <n v="0"/>
    <n v="0"/>
    <n v="0.16800000000000001"/>
    <n v="0.16800000000000001"/>
    <n v="0"/>
    <n v="0"/>
    <n v="28"/>
    <n v="28"/>
    <n v="0"/>
    <n v="0"/>
    <n v="100"/>
    <s v="Consolidation"/>
    <s v="CO2e and Base Measure"/>
    <n v="100"/>
    <n v="100"/>
    <n v="0.17"/>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3-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4-01T00:00:00"/>
    <s v="FY21"/>
    <s v="t"/>
    <n v="0"/>
    <n v="0"/>
    <n v="0.18"/>
    <n v="0.18"/>
    <n v="0"/>
    <n v="0"/>
    <n v="30"/>
    <n v="30"/>
    <n v="0"/>
    <n v="0"/>
    <n v="100"/>
    <s v="Consolidation"/>
    <s v="CO2e and Base Measure"/>
    <n v="100"/>
    <n v="100"/>
    <n v="0.18"/>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5-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07-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08-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09-01T00:00:00"/>
    <s v="FY21"/>
    <s v="t"/>
    <n v="4.0500000000000001E-2"/>
    <n v="0"/>
    <n v="0"/>
    <n v="4.0500000000000001E-2"/>
    <n v="3"/>
    <n v="0"/>
    <n v="0"/>
    <n v="3"/>
    <n v="100"/>
    <n v="0"/>
    <n v="0"/>
    <s v="Consolidation"/>
    <s v="CO2e and Base Measure"/>
    <n v="100"/>
    <n v="100"/>
    <n v="0.04"/>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10-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11-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12-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1-01T00:00:00"/>
    <s v="FY21"/>
    <s v="t"/>
    <n v="0"/>
    <n v="0"/>
    <n v="3.1E-2"/>
    <n v="3.1E-2"/>
    <n v="0"/>
    <n v="0"/>
    <n v="31"/>
    <n v="31"/>
    <n v="0"/>
    <n v="0"/>
    <n v="10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2-01T00:00:00"/>
    <s v="FY21"/>
    <s v="t"/>
    <n v="0"/>
    <n v="0"/>
    <n v="2.8000000000000001E-2"/>
    <n v="2.8000000000000001E-2"/>
    <n v="0"/>
    <n v="0"/>
    <n v="28"/>
    <n v="28"/>
    <n v="0"/>
    <n v="0"/>
    <n v="10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3-01T00:00:00"/>
    <s v="FY21"/>
    <s v="t"/>
    <n v="0"/>
    <n v="0"/>
    <n v="3.1E-2"/>
    <n v="3.1E-2"/>
    <n v="0"/>
    <n v="0"/>
    <n v="31"/>
    <n v="31"/>
    <n v="0"/>
    <n v="0"/>
    <n v="10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4-01T00:00:00"/>
    <s v="FY21"/>
    <s v="t"/>
    <n v="0"/>
    <n v="0"/>
    <n v="0.03"/>
    <n v="0.03"/>
    <n v="0"/>
    <n v="0"/>
    <n v="30"/>
    <n v="30"/>
    <n v="0"/>
    <n v="0"/>
    <n v="10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5-01T00:00:00"/>
    <s v="FY21"/>
    <s v="t"/>
    <n v="0"/>
    <n v="0"/>
    <n v="3.1E-2"/>
    <n v="3.1E-2"/>
    <n v="0"/>
    <n v="0"/>
    <n v="31"/>
    <n v="31"/>
    <n v="0"/>
    <n v="0"/>
    <n v="100"/>
    <s v="Consolidation"/>
    <s v="CO2e and Base Measure"/>
    <n v="100"/>
    <n v="100"/>
    <n v="0.03"/>
    <m/>
    <m/>
    <m/>
    <m/>
    <m/>
    <m/>
    <m/>
    <m/>
    <m/>
    <m/>
    <m/>
    <m/>
    <m/>
    <s v="AUD"/>
    <s v="13566545Waste Recycled - Paper and Cardboard [t]"/>
    <n v="13566545"/>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08-01T00:00:00"/>
    <s v="FY21"/>
    <s v="t"/>
    <n v="0"/>
    <n v="0.58499999999999996"/>
    <n v="0"/>
    <n v="0.58499999999999996"/>
    <n v="0"/>
    <n v="3"/>
    <n v="0"/>
    <n v="3"/>
    <n v="0"/>
    <n v="100"/>
    <n v="0"/>
    <s v="Consolidation"/>
    <s v="CO2e and Base Measure"/>
    <n v="100"/>
    <n v="100"/>
    <n v="0.59"/>
    <m/>
    <m/>
    <m/>
    <m/>
    <m/>
    <n v="0.76049999999999995"/>
    <m/>
    <n v="0.76049999999999995"/>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584Waste - General [t] - Scope 3"/>
    <n v="13564584"/>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0-12-01T00:00:00"/>
    <s v="FY21"/>
    <s v="t"/>
    <n v="3.7999999999999999E-2"/>
    <n v="6.7500000000000004E-2"/>
    <n v="0"/>
    <n v="0.1055"/>
    <n v="2"/>
    <n v="1"/>
    <n v="0"/>
    <n v="3"/>
    <n v="36.01"/>
    <n v="63.98"/>
    <n v="0"/>
    <s v="Consolidation"/>
    <s v="CO2e and Base Measure"/>
    <n v="100"/>
    <n v="100"/>
    <n v="0.11"/>
    <m/>
    <m/>
    <m/>
    <m/>
    <m/>
    <n v="0.13719999999999999"/>
    <m/>
    <n v="0.13719999999999999"/>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1-01T00:00:00"/>
    <s v="FY21"/>
    <s v="t"/>
    <n v="0.107"/>
    <n v="0"/>
    <n v="0"/>
    <n v="0.107"/>
    <n v="4"/>
    <n v="0"/>
    <n v="0"/>
    <n v="4"/>
    <n v="100"/>
    <n v="0"/>
    <n v="0"/>
    <s v="Consolidation"/>
    <s v="CO2e and Base Measure"/>
    <n v="100"/>
    <n v="100"/>
    <n v="0.11"/>
    <m/>
    <m/>
    <m/>
    <m/>
    <m/>
    <n v="0.1391"/>
    <m/>
    <n v="0.1391"/>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2-01T00:00:00"/>
    <s v="FY21"/>
    <s v="t"/>
    <n v="0.106"/>
    <n v="0"/>
    <n v="0"/>
    <n v="0.106"/>
    <n v="3"/>
    <n v="0"/>
    <n v="0"/>
    <n v="3"/>
    <n v="100"/>
    <n v="0"/>
    <n v="0"/>
    <s v="Consolidation"/>
    <s v="CO2e and Base Measure"/>
    <n v="100"/>
    <n v="100"/>
    <n v="0.11"/>
    <m/>
    <m/>
    <m/>
    <m/>
    <m/>
    <n v="0.13780000000000001"/>
    <m/>
    <n v="0.13780000000000001"/>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3-01T00:00:00"/>
    <s v="FY21"/>
    <s v="t"/>
    <n v="0.11600000000000001"/>
    <n v="0.13500000000000001"/>
    <n v="0"/>
    <n v="0.251"/>
    <n v="2"/>
    <n v="2"/>
    <n v="0"/>
    <n v="4"/>
    <n v="46.21"/>
    <n v="53.78"/>
    <n v="0"/>
    <s v="Consolidation"/>
    <s v="CO2e and Base Measure"/>
    <n v="100"/>
    <n v="100"/>
    <n v="0.25"/>
    <m/>
    <m/>
    <m/>
    <m/>
    <m/>
    <n v="0.32629999999999998"/>
    <m/>
    <n v="0.32629999999999998"/>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4-01T00:00:00"/>
    <s v="FY21"/>
    <s v="t"/>
    <n v="0"/>
    <n v="0"/>
    <n v="0.14099999999999999"/>
    <n v="0.14099999999999999"/>
    <n v="0"/>
    <n v="0"/>
    <n v="30"/>
    <n v="30"/>
    <n v="0"/>
    <n v="0"/>
    <n v="100"/>
    <s v="Consolidation"/>
    <s v="CO2e and Base Measure"/>
    <n v="100"/>
    <n v="100"/>
    <n v="0.14000000000000001"/>
    <m/>
    <m/>
    <m/>
    <m/>
    <m/>
    <n v="0.18329999999999999"/>
    <m/>
    <n v="0.18329999999999999"/>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5-01T00:00:00"/>
    <s v="FY21"/>
    <s v="t"/>
    <n v="0"/>
    <n v="0"/>
    <n v="0.1457"/>
    <n v="0.1457"/>
    <n v="0"/>
    <n v="0"/>
    <n v="31"/>
    <n v="31"/>
    <n v="0"/>
    <n v="0"/>
    <n v="100"/>
    <s v="Consolidation"/>
    <s v="CO2e and Base Measure"/>
    <n v="100"/>
    <n v="100"/>
    <n v="0.15"/>
    <m/>
    <m/>
    <m/>
    <m/>
    <m/>
    <n v="0.18940000000000001"/>
    <m/>
    <n v="0.18940000000000001"/>
    <m/>
    <m/>
    <m/>
    <m/>
    <m/>
    <s v="AUD"/>
    <s v="13634241Waste - General [t] - Scope 3"/>
    <n v="13634241"/>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0-12-01T00:00:00"/>
    <s v="FY21"/>
    <s v="t"/>
    <n v="5.2999999999999999E-2"/>
    <n v="3.7499999999999999E-2"/>
    <n v="0"/>
    <n v="9.0499999999999997E-2"/>
    <n v="2"/>
    <n v="1"/>
    <n v="0"/>
    <n v="3"/>
    <n v="58.56"/>
    <n v="41.43"/>
    <n v="0"/>
    <s v="Consolidation"/>
    <s v="CO2e and Base Measure"/>
    <n v="100"/>
    <n v="100"/>
    <n v="0.09"/>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1-01T00:00:00"/>
    <s v="FY21"/>
    <s v="t"/>
    <n v="5.3999999999999999E-2"/>
    <n v="3.7499999999999999E-2"/>
    <n v="0"/>
    <n v="9.1499999999999998E-2"/>
    <n v="2"/>
    <n v="1"/>
    <n v="0"/>
    <n v="3"/>
    <n v="59.01"/>
    <n v="40.98"/>
    <n v="0"/>
    <s v="Consolidation"/>
    <s v="CO2e and Base Measure"/>
    <n v="100"/>
    <n v="100"/>
    <n v="0.09"/>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2-01T00:00:00"/>
    <s v="FY21"/>
    <s v="t"/>
    <n v="0"/>
    <n v="0.1125"/>
    <n v="0"/>
    <n v="0.1125"/>
    <n v="0"/>
    <n v="3"/>
    <n v="0"/>
    <n v="3"/>
    <n v="0"/>
    <n v="100"/>
    <n v="0"/>
    <s v="Consolidation"/>
    <s v="CO2e and Base Measure"/>
    <n v="100"/>
    <n v="100"/>
    <n v="0.11"/>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3-01T00:00:00"/>
    <s v="FY21"/>
    <s v="t"/>
    <n v="4.7E-2"/>
    <n v="3.7499999999999999E-2"/>
    <n v="0"/>
    <n v="8.4500000000000006E-2"/>
    <n v="1"/>
    <n v="1"/>
    <n v="0"/>
    <n v="2"/>
    <n v="55.62"/>
    <n v="44.37"/>
    <n v="0"/>
    <s v="Consolidation"/>
    <s v="CO2e and Base Measure"/>
    <n v="100"/>
    <n v="100"/>
    <n v="0.08"/>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4-01T00:00:00"/>
    <s v="FY21"/>
    <s v="t"/>
    <n v="0"/>
    <n v="0"/>
    <n v="9.6000000000000002E-2"/>
    <n v="9.6000000000000002E-2"/>
    <n v="0"/>
    <n v="0"/>
    <n v="30"/>
    <n v="30"/>
    <n v="0"/>
    <n v="0"/>
    <n v="100"/>
    <s v="Consolidation"/>
    <s v="CO2e and Base Measure"/>
    <n v="100"/>
    <n v="100"/>
    <n v="0.1"/>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5-01T00:00:00"/>
    <s v="FY21"/>
    <s v="t"/>
    <n v="0"/>
    <n v="0"/>
    <n v="9.9199999999999997E-2"/>
    <n v="9.9199999999999997E-2"/>
    <n v="0"/>
    <n v="0"/>
    <n v="31"/>
    <n v="31"/>
    <n v="0"/>
    <n v="0"/>
    <n v="100"/>
    <s v="Consolidation"/>
    <s v="CO2e and Base Measure"/>
    <n v="100"/>
    <n v="100"/>
    <n v="0.1"/>
    <m/>
    <m/>
    <m/>
    <m/>
    <m/>
    <m/>
    <m/>
    <m/>
    <m/>
    <m/>
    <m/>
    <m/>
    <m/>
    <s v="AUD"/>
    <s v="13634242Waste Recycled - Paper and Cardboard [t]"/>
    <n v="13634242"/>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0-12-01T00:00:00"/>
    <s v="FY21"/>
    <s v="t"/>
    <n v="0.184"/>
    <n v="0"/>
    <n v="0"/>
    <n v="0.184"/>
    <n v="2"/>
    <n v="0"/>
    <n v="0"/>
    <n v="2"/>
    <n v="100"/>
    <n v="0"/>
    <n v="0"/>
    <s v="Consolidation"/>
    <s v="CO2e and Base Measure"/>
    <n v="100"/>
    <n v="100"/>
    <n v="0.18"/>
    <m/>
    <m/>
    <m/>
    <m/>
    <m/>
    <n v="0.2392"/>
    <m/>
    <n v="0.2392"/>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1-01T00:00:00"/>
    <s v="FY21"/>
    <s v="t"/>
    <n v="0.13700000000000001"/>
    <n v="6.7500000000000004E-2"/>
    <n v="0"/>
    <n v="0.20449999999999999"/>
    <n v="1"/>
    <n v="1"/>
    <n v="0"/>
    <n v="2"/>
    <n v="66.989999999999995"/>
    <n v="33"/>
    <n v="0"/>
    <s v="Consolidation"/>
    <s v="CO2e and Base Measure"/>
    <n v="100"/>
    <n v="100"/>
    <n v="0.2"/>
    <m/>
    <m/>
    <m/>
    <m/>
    <m/>
    <n v="0.26590000000000003"/>
    <m/>
    <n v="0.26590000000000003"/>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3-01T00:00:00"/>
    <s v="FY21"/>
    <s v="t"/>
    <n v="7.8E-2"/>
    <n v="0"/>
    <n v="0"/>
    <n v="7.8E-2"/>
    <n v="2"/>
    <n v="0"/>
    <n v="0"/>
    <n v="2"/>
    <n v="100"/>
    <n v="0"/>
    <n v="0"/>
    <s v="Consolidation"/>
    <s v="CO2e and Base Measure"/>
    <n v="100"/>
    <n v="100"/>
    <n v="0.08"/>
    <m/>
    <m/>
    <m/>
    <m/>
    <m/>
    <n v="0.1014"/>
    <m/>
    <n v="0.1014"/>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4-01T00:00:00"/>
    <s v="FY21"/>
    <s v="t"/>
    <n v="0"/>
    <n v="0"/>
    <n v="0.13200000000000001"/>
    <n v="0.13200000000000001"/>
    <n v="0"/>
    <n v="0"/>
    <n v="30"/>
    <n v="30"/>
    <n v="0"/>
    <n v="0"/>
    <n v="100"/>
    <s v="Consolidation"/>
    <s v="CO2e and Base Measure"/>
    <n v="100"/>
    <n v="100"/>
    <n v="0.13"/>
    <m/>
    <m/>
    <m/>
    <m/>
    <m/>
    <n v="0.1716"/>
    <m/>
    <n v="0.1716"/>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5-01T00:00:00"/>
    <s v="FY21"/>
    <s v="t"/>
    <n v="0"/>
    <n v="0"/>
    <n v="0.13639999999999999"/>
    <n v="0.13639999999999999"/>
    <n v="0"/>
    <n v="0"/>
    <n v="31"/>
    <n v="31"/>
    <n v="0"/>
    <n v="0"/>
    <n v="100"/>
    <s v="Consolidation"/>
    <s v="CO2e and Base Measure"/>
    <n v="100"/>
    <n v="100"/>
    <n v="0.14000000000000001"/>
    <m/>
    <m/>
    <m/>
    <m/>
    <m/>
    <n v="0.17730000000000001"/>
    <m/>
    <n v="0.17730000000000001"/>
    <m/>
    <m/>
    <m/>
    <m/>
    <m/>
    <s v="AUD"/>
    <s v="13634210Waste - General [t] - Scope 3"/>
    <n v="13634210"/>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0-12-01T00:00:00"/>
    <s v="FY21"/>
    <s v="t"/>
    <n v="0.124"/>
    <n v="0"/>
    <n v="0"/>
    <n v="0.124"/>
    <n v="2"/>
    <n v="0"/>
    <n v="0"/>
    <n v="2"/>
    <n v="100"/>
    <n v="0"/>
    <n v="0"/>
    <s v="Consolidation"/>
    <s v="CO2e and Base Measure"/>
    <n v="100"/>
    <n v="100"/>
    <n v="0.12"/>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1-01T00:00:00"/>
    <s v="FY21"/>
    <s v="t"/>
    <n v="0"/>
    <n v="7.4999999999999997E-2"/>
    <n v="0"/>
    <n v="7.4999999999999997E-2"/>
    <n v="0"/>
    <n v="2"/>
    <n v="0"/>
    <n v="2"/>
    <n v="0"/>
    <n v="100"/>
    <n v="0"/>
    <s v="Consolidation"/>
    <s v="CO2e and Base Measure"/>
    <n v="100"/>
    <n v="100"/>
    <n v="0.08"/>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2-01T00:00:00"/>
    <s v="FY21"/>
    <s v="t"/>
    <n v="0"/>
    <n v="3.7499999999999999E-2"/>
    <n v="0"/>
    <n v="3.7499999999999999E-2"/>
    <n v="0"/>
    <n v="1"/>
    <n v="0"/>
    <n v="1"/>
    <n v="0"/>
    <n v="100"/>
    <n v="0"/>
    <s v="Consolidation"/>
    <s v="CO2e and Base Measure"/>
    <n v="100"/>
    <n v="100"/>
    <n v="0.04"/>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3-01T00:00:00"/>
    <s v="FY21"/>
    <s v="t"/>
    <n v="1.4999999999999999E-2"/>
    <n v="3.7499999999999999E-2"/>
    <n v="0"/>
    <n v="5.2499999999999998E-2"/>
    <n v="1"/>
    <n v="1"/>
    <n v="0"/>
    <n v="2"/>
    <n v="28.57"/>
    <n v="71.42"/>
    <n v="0"/>
    <s v="Consolidation"/>
    <s v="CO2e and Base Measure"/>
    <n v="100"/>
    <n v="100"/>
    <n v="0.05"/>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4-01T00:00:00"/>
    <s v="FY21"/>
    <s v="t"/>
    <n v="0"/>
    <n v="0"/>
    <n v="7.1999999999999995E-2"/>
    <n v="7.1999999999999995E-2"/>
    <n v="0"/>
    <n v="0"/>
    <n v="30"/>
    <n v="30"/>
    <n v="0"/>
    <n v="0"/>
    <n v="100"/>
    <s v="Consolidation"/>
    <s v="CO2e and Base Measure"/>
    <n v="100"/>
    <n v="100"/>
    <n v="7.0000000000000007E-2"/>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5-01T00:00:00"/>
    <s v="FY21"/>
    <s v="t"/>
    <n v="0"/>
    <n v="0"/>
    <n v="7.4399999999999994E-2"/>
    <n v="7.4399999999999994E-2"/>
    <n v="0"/>
    <n v="0"/>
    <n v="31"/>
    <n v="31"/>
    <n v="0"/>
    <n v="0"/>
    <n v="100"/>
    <s v="Consolidation"/>
    <s v="CO2e and Base Measure"/>
    <n v="100"/>
    <n v="100"/>
    <n v="7.0000000000000007E-2"/>
    <m/>
    <m/>
    <m/>
    <m/>
    <m/>
    <m/>
    <m/>
    <m/>
    <m/>
    <m/>
    <m/>
    <m/>
    <m/>
    <s v="AUD"/>
    <s v="13634211Waste Recycled - Paper and Cardboard [t]"/>
    <n v="13634211"/>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08-01T00:00:00"/>
    <s v="FY21"/>
    <s v="t"/>
    <n v="0"/>
    <n v="6.3E-2"/>
    <n v="0"/>
    <n v="6.3E-2"/>
    <n v="0"/>
    <n v="2"/>
    <n v="0"/>
    <n v="2"/>
    <n v="0"/>
    <n v="100"/>
    <n v="0"/>
    <s v="Consolidation"/>
    <s v="CO2e and Base Measure"/>
    <n v="100"/>
    <n v="100"/>
    <n v="0.06"/>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09-01T00:00:00"/>
    <s v="FY21"/>
    <s v="t"/>
    <n v="0"/>
    <n v="3.15E-2"/>
    <n v="0"/>
    <n v="3.15E-2"/>
    <n v="0"/>
    <n v="1"/>
    <n v="0"/>
    <n v="1"/>
    <n v="0"/>
    <n v="100"/>
    <n v="0"/>
    <s v="Consolidation"/>
    <s v="CO2e and Base Measure"/>
    <n v="100"/>
    <n v="100"/>
    <n v="0.03"/>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11-01T00:00:00"/>
    <s v="FY21"/>
    <s v="t"/>
    <n v="0"/>
    <n v="6.3E-2"/>
    <n v="0"/>
    <n v="6.3E-2"/>
    <n v="0"/>
    <n v="2"/>
    <n v="0"/>
    <n v="2"/>
    <n v="0"/>
    <n v="100"/>
    <n v="0"/>
    <s v="Consolidation"/>
    <s v="CO2e and Base Measure"/>
    <n v="100"/>
    <n v="100"/>
    <n v="0.06"/>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1-01-01T00:00:00"/>
    <s v="FY21"/>
    <s v="t"/>
    <n v="0"/>
    <n v="0"/>
    <n v="1.5E-3"/>
    <n v="1.5E-3"/>
    <n v="0"/>
    <n v="0"/>
    <n v="1"/>
    <n v="1"/>
    <n v="0"/>
    <n v="0"/>
    <n v="100"/>
    <s v="Consolidation"/>
    <s v="CO2e and Base Measure"/>
    <n v="100"/>
    <n v="100"/>
    <n v="0"/>
    <m/>
    <m/>
    <m/>
    <m/>
    <m/>
    <m/>
    <n v="0"/>
    <m/>
    <m/>
    <m/>
    <m/>
    <m/>
    <m/>
    <s v="AUD"/>
    <s v="13565927Waste Recycled - Cardboard [t]"/>
    <n v="13565927"/>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1-01-01T00:00:00"/>
    <s v="FY21"/>
    <s v="t"/>
    <n v="0"/>
    <n v="0"/>
    <n v="4.5999999999999999E-3"/>
    <n v="4.5999999999999999E-3"/>
    <n v="0"/>
    <n v="0"/>
    <n v="1"/>
    <n v="1"/>
    <n v="0"/>
    <n v="0"/>
    <n v="100"/>
    <s v="Consolidation"/>
    <s v="CO2e and Base Measure"/>
    <n v="100"/>
    <n v="100"/>
    <n v="0"/>
    <m/>
    <m/>
    <m/>
    <m/>
    <m/>
    <n v="6.0000000000000001E-3"/>
    <m/>
    <n v="6.0000000000000001E-3"/>
    <m/>
    <m/>
    <m/>
    <m/>
    <m/>
    <s v="AUD"/>
    <s v="13565928Waste - General [t] - Scope 3"/>
    <n v="13565928"/>
  </r>
  <r>
    <d v="2019-07-01T00:00:00"/>
    <d v="2021-06-30T00:00:00"/>
    <s v="Telstra"/>
    <s v="NETWORK"/>
    <s v="Network - InfraCo"/>
    <s v="QLD"/>
    <s v="Australia"/>
    <s v="Rockhampton"/>
    <s v="ROCKHAMPTON R_T"/>
    <n v="423030175400"/>
    <s v="Waste"/>
    <x v="1"/>
    <x v="2"/>
    <s v="Account"/>
    <s v="CLEANAWAY General"/>
    <m/>
    <s v="57337_Landfill_General"/>
    <s v="General"/>
    <s v="Cleanaway"/>
    <m/>
    <d v="2021-02-22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9933Waste - General [t] - Scope 3"/>
    <n v="13639933"/>
  </r>
  <r>
    <d v="2019-07-01T00:00:00"/>
    <d v="2021-06-30T00:00:00"/>
    <s v="Telstra"/>
    <s v="NETWORK"/>
    <s v="Network - InfraCo"/>
    <s v="QLD"/>
    <s v="Australia"/>
    <s v="Rockhampton"/>
    <s v="ROCKHAMPTON R_T"/>
    <n v="423030175400"/>
    <s v="Waste"/>
    <x v="1"/>
    <x v="2"/>
    <s v="Account"/>
    <s v="CLEANAWAY General"/>
    <m/>
    <s v="57337_Landfill_General"/>
    <s v="General"/>
    <s v="Cleanaway"/>
    <m/>
    <d v="2021-02-22T00:00:00"/>
    <m/>
    <d v="2021-03-01T00:00:00"/>
    <s v="FY21"/>
    <s v="t"/>
    <n v="5.7000000000000002E-2"/>
    <n v="0"/>
    <n v="0"/>
    <n v="5.7000000000000002E-2"/>
    <n v="2"/>
    <n v="0"/>
    <n v="0"/>
    <n v="2"/>
    <n v="100"/>
    <n v="0"/>
    <n v="0"/>
    <s v="Consolidation"/>
    <s v="CO2e and Base Measure"/>
    <n v="100"/>
    <n v="100"/>
    <n v="0.06"/>
    <m/>
    <m/>
    <m/>
    <m/>
    <m/>
    <n v="7.4099999999999999E-2"/>
    <m/>
    <n v="7.4099999999999999E-2"/>
    <m/>
    <m/>
    <m/>
    <m/>
    <m/>
    <s v="AUD"/>
    <s v="13639933Waste - General [t] - Scope 3"/>
    <n v="13639933"/>
  </r>
  <r>
    <d v="2019-07-01T00:00:00"/>
    <d v="2021-06-30T00:00:00"/>
    <s v="Telstra"/>
    <s v="NETWORK"/>
    <s v="Network - InfraCo"/>
    <s v="QLD"/>
    <s v="Australia"/>
    <s v="Rockhampton"/>
    <s v="ROCKHAMPTON R_T"/>
    <n v="423030175400"/>
    <s v="Waste"/>
    <x v="1"/>
    <x v="2"/>
    <s v="Account"/>
    <s v="CLEANAWAY General"/>
    <m/>
    <s v="57337_Landfill_General"/>
    <s v="General"/>
    <s v="Cleanaway"/>
    <m/>
    <d v="2021-02-22T00:00:00"/>
    <m/>
    <d v="2021-04-01T00:00:00"/>
    <s v="FY21"/>
    <s v="t"/>
    <n v="0"/>
    <n v="0"/>
    <n v="6.3E-2"/>
    <n v="6.3E-2"/>
    <n v="0"/>
    <n v="0"/>
    <n v="30"/>
    <n v="30"/>
    <n v="0"/>
    <n v="0"/>
    <n v="100"/>
    <s v="Consolidation"/>
    <s v="CO2e and Base Measure"/>
    <n v="100"/>
    <n v="100"/>
    <n v="0.06"/>
    <m/>
    <m/>
    <m/>
    <m/>
    <m/>
    <n v="8.1900000000000001E-2"/>
    <m/>
    <n v="8.1900000000000001E-2"/>
    <m/>
    <m/>
    <m/>
    <m/>
    <m/>
    <s v="AUD"/>
    <s v="13639933Waste - General [t] - Scope 3"/>
    <n v="13639933"/>
  </r>
  <r>
    <d v="2019-07-01T00:00:00"/>
    <d v="2021-06-30T00:00:00"/>
    <s v="Telstra"/>
    <s v="NETWORK"/>
    <s v="Network - InfraCo"/>
    <s v="QLD"/>
    <s v="Australia"/>
    <s v="Rockhampton"/>
    <s v="ROCKHAMPTON R_T"/>
    <n v="423030175400"/>
    <s v="Waste"/>
    <x v="1"/>
    <x v="2"/>
    <s v="Account"/>
    <s v="CLEANAWAY General"/>
    <m/>
    <s v="57337_Landfill_General"/>
    <s v="General"/>
    <s v="Cleanaway"/>
    <m/>
    <d v="2021-02-22T00:00:00"/>
    <m/>
    <d v="2021-05-01T00:00:00"/>
    <s v="FY21"/>
    <s v="t"/>
    <n v="0"/>
    <n v="0"/>
    <n v="6.5100000000000005E-2"/>
    <n v="6.5100000000000005E-2"/>
    <n v="0"/>
    <n v="0"/>
    <n v="31"/>
    <n v="31"/>
    <n v="0"/>
    <n v="0"/>
    <n v="100"/>
    <s v="Consolidation"/>
    <s v="CO2e and Base Measure"/>
    <n v="100"/>
    <n v="100"/>
    <n v="7.0000000000000007E-2"/>
    <m/>
    <m/>
    <m/>
    <m/>
    <m/>
    <n v="8.4599999999999995E-2"/>
    <m/>
    <n v="8.4599999999999995E-2"/>
    <m/>
    <m/>
    <m/>
    <m/>
    <m/>
    <s v="AUD"/>
    <s v="13639933Waste - General [t] - Scope 3"/>
    <n v="13639933"/>
  </r>
  <r>
    <d v="2019-07-01T00:00:00"/>
    <d v="2021-06-30T00:00:00"/>
    <s v="Telstra"/>
    <s v="NETWORK"/>
    <s v="Network - InfraCo"/>
    <s v="QLD"/>
    <s v="Australia"/>
    <s v="Rockhampton"/>
    <s v="ROCKHAMPTON R_T"/>
    <n v="423030175400"/>
    <s v="Recycled Waste"/>
    <x v="0"/>
    <x v="0"/>
    <s v="Account"/>
    <s v="CLEANAWAY Cardboard"/>
    <m/>
    <s v="57337_Diversion_Cardboard"/>
    <s v="Cardboard"/>
    <s v="Cleanaway"/>
    <m/>
    <d v="2021-02-08T00:00:00"/>
    <m/>
    <d v="2021-02-01T00:00:00"/>
    <s v="FY21"/>
    <s v="t"/>
    <n v="0"/>
    <n v="7.4999999999999997E-2"/>
    <n v="0"/>
    <n v="7.4999999999999997E-2"/>
    <n v="0"/>
    <n v="2"/>
    <n v="0"/>
    <n v="2"/>
    <n v="0"/>
    <n v="100"/>
    <n v="0"/>
    <s v="Consolidation"/>
    <s v="CO2e and Base Measure"/>
    <n v="100"/>
    <n v="100"/>
    <n v="0.08"/>
    <m/>
    <m/>
    <m/>
    <m/>
    <m/>
    <m/>
    <m/>
    <m/>
    <m/>
    <m/>
    <m/>
    <m/>
    <m/>
    <s v="AUD"/>
    <s v="13639934Waste Recycled - Paper and Cardboard [t]"/>
    <n v="13639934"/>
  </r>
  <r>
    <d v="2019-07-01T00:00:00"/>
    <d v="2021-06-30T00:00:00"/>
    <s v="Telstra"/>
    <s v="NETWORK"/>
    <s v="Network - InfraCo"/>
    <s v="QLD"/>
    <s v="Australia"/>
    <s v="Rockhampton"/>
    <s v="ROCKHAMPTON R_T"/>
    <n v="423030175400"/>
    <s v="Recycled Waste"/>
    <x v="0"/>
    <x v="0"/>
    <s v="Account"/>
    <s v="CLEANAWAY Cardboard"/>
    <m/>
    <s v="57337_Diversion_Cardboard"/>
    <s v="Cardboard"/>
    <s v="Cleanaway"/>
    <m/>
    <d v="2021-02-08T00:00:00"/>
    <m/>
    <d v="2021-03-01T00:00:00"/>
    <s v="FY21"/>
    <s v="t"/>
    <n v="1.4999999999999999E-2"/>
    <n v="3.7499999999999999E-2"/>
    <n v="0"/>
    <n v="5.2499999999999998E-2"/>
    <n v="1"/>
    <n v="1"/>
    <n v="0"/>
    <n v="2"/>
    <n v="28.57"/>
    <n v="71.42"/>
    <n v="0"/>
    <s v="Consolidation"/>
    <s v="CO2e and Base Measure"/>
    <n v="100"/>
    <n v="100"/>
    <n v="0.05"/>
    <m/>
    <m/>
    <m/>
    <m/>
    <m/>
    <m/>
    <m/>
    <m/>
    <m/>
    <m/>
    <m/>
    <m/>
    <m/>
    <s v="AUD"/>
    <s v="13639934Waste Recycled - Paper and Cardboard [t]"/>
    <n v="13639934"/>
  </r>
  <r>
    <d v="2019-07-01T00:00:00"/>
    <d v="2021-06-30T00:00:00"/>
    <s v="Telstra"/>
    <s v="NETWORK"/>
    <s v="Network - InfraCo"/>
    <s v="QLD"/>
    <s v="Australia"/>
    <s v="Rockhampton"/>
    <s v="ROCKHAMPTON R_T"/>
    <n v="423030175400"/>
    <s v="Recycled Waste"/>
    <x v="0"/>
    <x v="0"/>
    <s v="Account"/>
    <s v="CLEANAWAY Cardboard"/>
    <m/>
    <s v="57337_Diversion_Cardboard"/>
    <s v="Cardboard"/>
    <s v="Cleanaway"/>
    <m/>
    <d v="2021-02-08T00:00:00"/>
    <m/>
    <d v="2021-04-01T00:00:00"/>
    <s v="FY21"/>
    <s v="t"/>
    <n v="0"/>
    <n v="0"/>
    <n v="6.6000000000000003E-2"/>
    <n v="6.6000000000000003E-2"/>
    <n v="0"/>
    <n v="0"/>
    <n v="30"/>
    <n v="30"/>
    <n v="0"/>
    <n v="0"/>
    <n v="100"/>
    <s v="Consolidation"/>
    <s v="CO2e and Base Measure"/>
    <n v="100"/>
    <n v="100"/>
    <n v="7.0000000000000007E-2"/>
    <m/>
    <m/>
    <m/>
    <m/>
    <m/>
    <m/>
    <m/>
    <m/>
    <m/>
    <m/>
    <m/>
    <m/>
    <m/>
    <s v="AUD"/>
    <s v="13639934Waste Recycled - Paper and Cardboard [t]"/>
    <n v="13639934"/>
  </r>
  <r>
    <d v="2019-07-01T00:00:00"/>
    <d v="2021-06-30T00:00:00"/>
    <s v="Telstra"/>
    <s v="NETWORK"/>
    <s v="Network - InfraCo"/>
    <s v="QLD"/>
    <s v="Australia"/>
    <s v="Rockhampton"/>
    <s v="ROCKHAMPTON R_T"/>
    <n v="423030175400"/>
    <s v="Recycled Waste"/>
    <x v="0"/>
    <x v="0"/>
    <s v="Account"/>
    <s v="CLEANAWAY Cardboard"/>
    <m/>
    <s v="57337_Diversion_Cardboard"/>
    <s v="Cardboard"/>
    <s v="Cleanaway"/>
    <m/>
    <d v="2021-02-08T00:00:00"/>
    <m/>
    <d v="2021-05-01T00:00:00"/>
    <s v="FY21"/>
    <s v="t"/>
    <n v="0"/>
    <n v="0"/>
    <n v="6.8199999999999997E-2"/>
    <n v="6.8199999999999997E-2"/>
    <n v="0"/>
    <n v="0"/>
    <n v="31"/>
    <n v="31"/>
    <n v="0"/>
    <n v="0"/>
    <n v="100"/>
    <s v="Consolidation"/>
    <s v="CO2e and Base Measure"/>
    <n v="100"/>
    <n v="100"/>
    <n v="7.0000000000000007E-2"/>
    <m/>
    <m/>
    <m/>
    <m/>
    <m/>
    <m/>
    <m/>
    <m/>
    <m/>
    <m/>
    <m/>
    <m/>
    <m/>
    <s v="AUD"/>
    <s v="13639934Waste Recycled - Paper and Cardboard [t]"/>
    <n v="1363993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08-01T00:00:00"/>
    <s v="FY21"/>
    <s v="t"/>
    <n v="0"/>
    <n v="0.189"/>
    <n v="0"/>
    <n v="0.189"/>
    <n v="0"/>
    <n v="3"/>
    <n v="0"/>
    <n v="3"/>
    <n v="0"/>
    <n v="100"/>
    <n v="0"/>
    <s v="Consolidation"/>
    <s v="CO2e and Base Measure"/>
    <n v="100"/>
    <n v="100"/>
    <n v="0.19"/>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09-01T00:00:00"/>
    <s v="FY21"/>
    <s v="t"/>
    <n v="0"/>
    <n v="6.3E-2"/>
    <n v="0"/>
    <n v="6.3E-2"/>
    <n v="0"/>
    <n v="1"/>
    <n v="0"/>
    <n v="1"/>
    <n v="0"/>
    <n v="100"/>
    <n v="0"/>
    <s v="Consolidation"/>
    <s v="CO2e and Base Measure"/>
    <n v="100"/>
    <n v="100"/>
    <n v="0.06"/>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11-01T00:00:00"/>
    <s v="FY21"/>
    <s v="t"/>
    <n v="0.02"/>
    <n v="6.3E-2"/>
    <n v="0"/>
    <n v="8.3000000000000004E-2"/>
    <n v="1"/>
    <n v="1"/>
    <n v="0"/>
    <n v="2"/>
    <n v="24.09"/>
    <n v="75.900000000000006"/>
    <n v="0"/>
    <s v="Consolidation"/>
    <s v="CO2e and Base Measure"/>
    <n v="100"/>
    <n v="100"/>
    <n v="0.08"/>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12-01T00:00:00"/>
    <s v="FY21"/>
    <s v="t"/>
    <n v="0"/>
    <n v="0"/>
    <n v="3.8E-3"/>
    <n v="3.8E-3"/>
    <n v="0"/>
    <n v="0"/>
    <n v="1"/>
    <n v="1"/>
    <n v="0"/>
    <n v="0"/>
    <n v="100"/>
    <s v="Consolidation"/>
    <s v="CO2e and Base Measure"/>
    <n v="100"/>
    <n v="100"/>
    <n v="0"/>
    <m/>
    <m/>
    <m/>
    <m/>
    <m/>
    <m/>
    <n v="0"/>
    <m/>
    <m/>
    <m/>
    <m/>
    <m/>
    <m/>
    <s v="AUD"/>
    <s v="13565394Waste Recycled - Cardboard [t]"/>
    <n v="13565394"/>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08-01T00:00:00"/>
    <s v="FY21"/>
    <s v="t"/>
    <n v="9.5000000000000001E-2"/>
    <n v="0.19500000000000001"/>
    <n v="0"/>
    <n v="0.28999999999999998"/>
    <n v="2"/>
    <n v="1"/>
    <n v="0"/>
    <n v="3"/>
    <n v="32.75"/>
    <n v="67.239999999999995"/>
    <n v="0"/>
    <s v="Consolidation"/>
    <s v="CO2e and Base Measure"/>
    <n v="100"/>
    <n v="100"/>
    <n v="0.28999999999999998"/>
    <m/>
    <m/>
    <m/>
    <m/>
    <m/>
    <n v="0.377"/>
    <m/>
    <n v="0.377"/>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11-01T00:00:00"/>
    <s v="FY21"/>
    <s v="t"/>
    <n v="0.56999999999999995"/>
    <n v="0.19500000000000001"/>
    <n v="0"/>
    <n v="0.76500000000000001"/>
    <n v="1"/>
    <n v="1"/>
    <n v="0"/>
    <n v="2"/>
    <n v="74.5"/>
    <n v="25.49"/>
    <n v="0"/>
    <s v="Consolidation"/>
    <s v="CO2e and Base Measure"/>
    <n v="100"/>
    <n v="100"/>
    <n v="0.77"/>
    <m/>
    <m/>
    <m/>
    <m/>
    <m/>
    <n v="0.99450000000000005"/>
    <m/>
    <n v="0.99450000000000005"/>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12-01T00:00:00"/>
    <s v="FY21"/>
    <s v="t"/>
    <n v="0"/>
    <n v="0"/>
    <n v="1.24E-2"/>
    <n v="1.24E-2"/>
    <n v="0"/>
    <n v="0"/>
    <n v="1"/>
    <n v="1"/>
    <n v="0"/>
    <n v="0"/>
    <n v="100"/>
    <s v="Consolidation"/>
    <s v="CO2e and Base Measure"/>
    <n v="100"/>
    <n v="100"/>
    <n v="0.01"/>
    <m/>
    <m/>
    <m/>
    <m/>
    <m/>
    <n v="1.61E-2"/>
    <m/>
    <n v="1.61E-2"/>
    <m/>
    <m/>
    <m/>
    <m/>
    <m/>
    <s v="AUD"/>
    <s v="13565395Waste - General [t] - Scope 3"/>
    <n v="13565395"/>
  </r>
  <r>
    <d v="2019-07-01T00:00:00"/>
    <d v="2021-06-30T00:00:00"/>
    <s v="Telstra"/>
    <s v="NETWORK"/>
    <s v="Network - InfraCo"/>
    <s v="WA"/>
    <s v="Australia"/>
    <s v="Kelmscott"/>
    <s v="ROLEYSTONE EXCHANGE"/>
    <n v="423030842500"/>
    <s v="Waste"/>
    <x v="1"/>
    <x v="2"/>
    <s v="Account"/>
    <s v="Remondis General Waste"/>
    <m/>
    <s v="423030842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357Waste - General [t] - Scope 3"/>
    <n v="13565357"/>
  </r>
  <r>
    <d v="2019-07-01T00:00:00"/>
    <d v="2021-06-30T00:00:00"/>
    <s v="Telstra"/>
    <s v="NETWORK"/>
    <s v="Network - InfraCo"/>
    <s v="WA"/>
    <s v="Australia"/>
    <s v="Kelmscott"/>
    <s v="ROLEYSTONE EXCHANGE"/>
    <n v="423030842500"/>
    <s v="Waste"/>
    <x v="1"/>
    <x v="2"/>
    <s v="Account"/>
    <s v="Remondis General Waste"/>
    <m/>
    <s v="4230308425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57Waste - General [t] - Scope 3"/>
    <n v="13565357"/>
  </r>
  <r>
    <d v="2019-07-01T00:00:00"/>
    <d v="2021-06-30T00:00:00"/>
    <s v="Telstra"/>
    <s v="NETWORK"/>
    <s v="Network - InfraCo"/>
    <s v="WA"/>
    <s v="Australia"/>
    <s v="Kelmscott"/>
    <s v="ROLEYSTONE EXCHANGE"/>
    <n v="423030842500"/>
    <s v="Waste"/>
    <x v="1"/>
    <x v="2"/>
    <s v="Account"/>
    <s v="Remondis General Waste"/>
    <m/>
    <s v="423030842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57Waste - General [t] - Scope 3"/>
    <n v="13565357"/>
  </r>
  <r>
    <d v="2019-07-01T00:00:00"/>
    <d v="2021-06-30T00:00:00"/>
    <s v="Telstra"/>
    <s v="NETWORK"/>
    <s v="Network - InfraCo"/>
    <s v="WA"/>
    <s v="Australia"/>
    <s v="Kelmscott"/>
    <s v="ROLEYSTONE EXCHANGE"/>
    <n v="423030842500"/>
    <s v="Waste"/>
    <x v="1"/>
    <x v="2"/>
    <s v="Account"/>
    <s v="Remondis General Waste"/>
    <m/>
    <s v="423030842500_WGENERALW"/>
    <s v="GENERAL WASTE"/>
    <s v="Remondis"/>
    <m/>
    <m/>
    <d v="2021-01-01T00:00:00"/>
    <d v="2021-01-01T00:00:00"/>
    <s v="FY21"/>
    <s v="t"/>
    <n v="0"/>
    <n v="0"/>
    <n v="8.6E-3"/>
    <n v="8.6E-3"/>
    <n v="0"/>
    <n v="0"/>
    <n v="1"/>
    <n v="1"/>
    <n v="0"/>
    <n v="0"/>
    <n v="100"/>
    <s v="Consolidation"/>
    <s v="CO2e and Base Measure"/>
    <n v="100"/>
    <n v="100"/>
    <n v="0.01"/>
    <m/>
    <m/>
    <m/>
    <m/>
    <m/>
    <n v="1.12E-2"/>
    <m/>
    <n v="1.12E-2"/>
    <m/>
    <m/>
    <m/>
    <m/>
    <m/>
    <s v="AUD"/>
    <s v="13565357Waste - General [t] - Scope 3"/>
    <n v="13565357"/>
  </r>
  <r>
    <d v="2019-07-01T00:00:00"/>
    <d v="2021-06-30T00:00:00"/>
    <s v="Telstra"/>
    <s v="NETWORK"/>
    <s v="Network - InfraCo"/>
    <s v="QLD"/>
    <s v="Australia"/>
    <s v="Roma"/>
    <s v="ROMA RT"/>
    <n v="423030159700"/>
    <s v="Waste"/>
    <x v="1"/>
    <x v="2"/>
    <s v="Account"/>
    <s v="Remondis General Waste"/>
    <m/>
    <s v="423030159700_WGENERALW"/>
    <s v="GENERAL WASTE"/>
    <s v="Remondis"/>
    <m/>
    <m/>
    <d v="2021-01-01T00:00:00"/>
    <d v="2020-09-01T00:00:00"/>
    <s v="FY21"/>
    <s v="t"/>
    <n v="0"/>
    <n v="0.13"/>
    <n v="0"/>
    <n v="0.13"/>
    <n v="0"/>
    <n v="1"/>
    <n v="0"/>
    <n v="1"/>
    <n v="0"/>
    <n v="100"/>
    <n v="0"/>
    <s v="Consolidation"/>
    <s v="CO2e and Base Measure"/>
    <n v="100"/>
    <n v="100"/>
    <n v="0.13"/>
    <m/>
    <m/>
    <m/>
    <m/>
    <m/>
    <n v="0.16900000000000001"/>
    <m/>
    <n v="0.16900000000000001"/>
    <m/>
    <m/>
    <m/>
    <m/>
    <m/>
    <s v="AUD"/>
    <s v="13564231Waste - General [t] - Scope 3"/>
    <n v="13564231"/>
  </r>
  <r>
    <d v="2019-07-01T00:00:00"/>
    <d v="2021-06-30T00:00:00"/>
    <s v="Telstra"/>
    <s v="NETWORK"/>
    <s v="Network - InfraCo"/>
    <s v="QLD"/>
    <s v="Australia"/>
    <s v="Roma"/>
    <s v="ROMA RT"/>
    <n v="423030159700"/>
    <s v="Waste"/>
    <x v="1"/>
    <x v="2"/>
    <s v="Account"/>
    <s v="Remondis General Waste"/>
    <m/>
    <s v="423030159700_WGENERALW"/>
    <s v="GENERAL WASTE"/>
    <s v="Remondis"/>
    <m/>
    <m/>
    <d v="2021-01-01T00:00:00"/>
    <d v="2020-12-01T00:00:00"/>
    <s v="FY21"/>
    <s v="t"/>
    <n v="0"/>
    <n v="0.13"/>
    <n v="0"/>
    <n v="0.13"/>
    <n v="0"/>
    <n v="1"/>
    <n v="0"/>
    <n v="1"/>
    <n v="0"/>
    <n v="100"/>
    <n v="0"/>
    <s v="Consolidation"/>
    <s v="CO2e and Base Measure"/>
    <n v="100"/>
    <n v="100"/>
    <n v="0.13"/>
    <m/>
    <m/>
    <m/>
    <m/>
    <m/>
    <n v="0.16900000000000001"/>
    <m/>
    <n v="0.16900000000000001"/>
    <m/>
    <m/>
    <m/>
    <m/>
    <m/>
    <s v="AUD"/>
    <s v="13564231Waste - General [t] - Scope 3"/>
    <n v="13564231"/>
  </r>
  <r>
    <d v="2019-07-01T00:00:00"/>
    <d v="2021-06-30T00:00:00"/>
    <s v="Telstra"/>
    <s v="NETWORK"/>
    <s v="Network - InfraCo"/>
    <s v="QLD"/>
    <s v="Australia"/>
    <s v="Roma"/>
    <s v="ROMA RT"/>
    <n v="423030159700"/>
    <s v="Waste"/>
    <x v="1"/>
    <x v="2"/>
    <s v="Account"/>
    <s v="Remondis General Waste"/>
    <m/>
    <s v="4230301597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231Waste - General [t] - Scope 3"/>
    <n v="13564231"/>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07-01T00:00:00"/>
    <s v="FY21"/>
    <s v="t"/>
    <n v="4.4999999999999998E-2"/>
    <n v="0"/>
    <n v="0"/>
    <n v="4.4999999999999998E-2"/>
    <n v="2"/>
    <n v="0"/>
    <n v="0"/>
    <n v="2"/>
    <n v="100"/>
    <n v="0"/>
    <n v="0"/>
    <s v="Consolidation"/>
    <s v="CO2e and Base Measure"/>
    <n v="100"/>
    <n v="100"/>
    <n v="0.05"/>
    <m/>
    <m/>
    <m/>
    <m/>
    <m/>
    <m/>
    <n v="0"/>
    <m/>
    <m/>
    <m/>
    <m/>
    <m/>
    <m/>
    <s v="AUD"/>
    <s v="13564434Waste Recycled - Cardboard [t]"/>
    <n v="13564434"/>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08-01T00:00:00"/>
    <s v="FY21"/>
    <s v="t"/>
    <n v="0.17"/>
    <n v="6.3E-2"/>
    <n v="0"/>
    <n v="0.23300000000000001"/>
    <n v="2"/>
    <n v="1"/>
    <n v="0"/>
    <n v="3"/>
    <n v="72.959999999999994"/>
    <n v="27.03"/>
    <n v="0"/>
    <s v="Consolidation"/>
    <s v="CO2e and Base Measure"/>
    <n v="100"/>
    <n v="100"/>
    <n v="0.23"/>
    <m/>
    <m/>
    <m/>
    <m/>
    <m/>
    <m/>
    <n v="0"/>
    <m/>
    <m/>
    <m/>
    <m/>
    <m/>
    <m/>
    <s v="AUD"/>
    <s v="13564434Waste Recycled - Cardboard [t]"/>
    <n v="13564434"/>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09-01T00:00:00"/>
    <s v="FY21"/>
    <s v="t"/>
    <n v="0"/>
    <n v="6.3E-2"/>
    <n v="0"/>
    <n v="6.3E-2"/>
    <n v="0"/>
    <n v="1"/>
    <n v="0"/>
    <n v="1"/>
    <n v="0"/>
    <n v="100"/>
    <n v="0"/>
    <s v="Consolidation"/>
    <s v="CO2e and Base Measure"/>
    <n v="100"/>
    <n v="100"/>
    <n v="0.06"/>
    <m/>
    <m/>
    <m/>
    <m/>
    <m/>
    <m/>
    <n v="0"/>
    <m/>
    <m/>
    <m/>
    <m/>
    <m/>
    <m/>
    <s v="AUD"/>
    <s v="13564434Waste Recycled - Cardboard [t]"/>
    <n v="13564434"/>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10-01T00:00:00"/>
    <s v="FY21"/>
    <s v="t"/>
    <n v="0.13"/>
    <n v="0"/>
    <n v="0"/>
    <n v="0.13"/>
    <n v="2"/>
    <n v="0"/>
    <n v="0"/>
    <n v="2"/>
    <n v="100"/>
    <n v="0"/>
    <n v="0"/>
    <s v="Consolidation"/>
    <s v="CO2e and Base Measure"/>
    <n v="100"/>
    <n v="100"/>
    <n v="0.13"/>
    <m/>
    <m/>
    <m/>
    <m/>
    <m/>
    <m/>
    <n v="0"/>
    <m/>
    <m/>
    <m/>
    <m/>
    <m/>
    <m/>
    <s v="AUD"/>
    <s v="13564434Waste Recycled - Cardboard [t]"/>
    <n v="13564434"/>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11-01T00:00:00"/>
    <s v="FY21"/>
    <s v="t"/>
    <n v="0"/>
    <n v="0"/>
    <n v="3.5000000000000001E-3"/>
    <n v="3.5000000000000001E-3"/>
    <n v="0"/>
    <n v="0"/>
    <n v="1"/>
    <n v="1"/>
    <n v="0"/>
    <n v="0"/>
    <n v="100"/>
    <s v="Consolidation"/>
    <s v="CO2e and Base Measure"/>
    <n v="100"/>
    <n v="100"/>
    <n v="0"/>
    <m/>
    <m/>
    <m/>
    <m/>
    <m/>
    <m/>
    <n v="0"/>
    <m/>
    <m/>
    <m/>
    <m/>
    <m/>
    <m/>
    <s v="AUD"/>
    <s v="13564434Waste Recycled - Cardboard [t]"/>
    <n v="13564434"/>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07-01T00:00:00"/>
    <s v="FY21"/>
    <s v="t"/>
    <n v="0.23"/>
    <n v="0"/>
    <n v="0"/>
    <n v="0.23"/>
    <n v="2"/>
    <n v="0"/>
    <n v="0"/>
    <n v="2"/>
    <n v="100"/>
    <n v="0"/>
    <n v="0"/>
    <s v="Consolidation"/>
    <s v="CO2e and Base Measure"/>
    <n v="100"/>
    <n v="100"/>
    <n v="0.23"/>
    <m/>
    <m/>
    <m/>
    <m/>
    <m/>
    <n v="0.29899999999999999"/>
    <m/>
    <n v="0.29899999999999999"/>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08-01T00:00:00"/>
    <s v="FY21"/>
    <s v="t"/>
    <n v="0.22500000000000001"/>
    <n v="0"/>
    <n v="0"/>
    <n v="0.22500000000000001"/>
    <n v="2"/>
    <n v="0"/>
    <n v="0"/>
    <n v="2"/>
    <n v="100"/>
    <n v="0"/>
    <n v="0"/>
    <s v="Consolidation"/>
    <s v="CO2e and Base Measure"/>
    <n v="100"/>
    <n v="100"/>
    <n v="0.23"/>
    <m/>
    <m/>
    <m/>
    <m/>
    <m/>
    <n v="0.29249999999999998"/>
    <m/>
    <n v="0.29249999999999998"/>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09-01T00:00:00"/>
    <s v="FY21"/>
    <s v="t"/>
    <n v="0.59"/>
    <n v="0"/>
    <n v="0"/>
    <n v="0.59"/>
    <n v="3"/>
    <n v="0"/>
    <n v="0"/>
    <n v="3"/>
    <n v="100"/>
    <n v="0"/>
    <n v="0"/>
    <s v="Consolidation"/>
    <s v="CO2e and Base Measure"/>
    <n v="100"/>
    <n v="100"/>
    <n v="0.59"/>
    <m/>
    <m/>
    <m/>
    <m/>
    <m/>
    <n v="0.76700000000000002"/>
    <m/>
    <n v="0.76700000000000002"/>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10-01T00:00:00"/>
    <s v="FY21"/>
    <s v="t"/>
    <n v="0.41"/>
    <n v="0"/>
    <n v="0"/>
    <n v="0.41"/>
    <n v="2"/>
    <n v="0"/>
    <n v="0"/>
    <n v="2"/>
    <n v="100"/>
    <n v="0"/>
    <n v="0"/>
    <s v="Consolidation"/>
    <s v="CO2e and Base Measure"/>
    <n v="100"/>
    <n v="100"/>
    <n v="0.41"/>
    <m/>
    <m/>
    <m/>
    <m/>
    <m/>
    <n v="0.53300000000000003"/>
    <m/>
    <n v="0.53300000000000003"/>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11-01T00:00:00"/>
    <s v="FY21"/>
    <s v="t"/>
    <n v="6.5000000000000002E-2"/>
    <n v="0.19500000000000001"/>
    <n v="0"/>
    <n v="0.26"/>
    <n v="1"/>
    <n v="1"/>
    <n v="0"/>
    <n v="2"/>
    <n v="25"/>
    <n v="75"/>
    <n v="0"/>
    <s v="Consolidation"/>
    <s v="CO2e and Base Measure"/>
    <n v="100"/>
    <n v="100"/>
    <n v="0.26"/>
    <m/>
    <m/>
    <m/>
    <m/>
    <m/>
    <n v="0.33800000000000002"/>
    <m/>
    <n v="0.33800000000000002"/>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12-01T00:00:00"/>
    <s v="FY21"/>
    <s v="t"/>
    <n v="0"/>
    <n v="0"/>
    <n v="1.1599999999999999E-2"/>
    <n v="1.1599999999999999E-2"/>
    <n v="0"/>
    <n v="0"/>
    <n v="1"/>
    <n v="1"/>
    <n v="0"/>
    <n v="0"/>
    <n v="100"/>
    <s v="Consolidation"/>
    <s v="CO2e and Base Measure"/>
    <n v="100"/>
    <n v="100"/>
    <n v="0.01"/>
    <m/>
    <m/>
    <m/>
    <m/>
    <m/>
    <n v="1.5100000000000001E-2"/>
    <m/>
    <n v="1.5100000000000001E-2"/>
    <m/>
    <m/>
    <m/>
    <m/>
    <m/>
    <s v="AUD"/>
    <s v="13564435Waste - General [t] - Scope 3"/>
    <n v="13564435"/>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0-12-01T00:00:00"/>
    <s v="FY21"/>
    <s v="t"/>
    <n v="4.1000000000000002E-2"/>
    <n v="0"/>
    <n v="0"/>
    <n v="4.1000000000000002E-2"/>
    <n v="1"/>
    <n v="0"/>
    <n v="0"/>
    <n v="1"/>
    <n v="100"/>
    <n v="0"/>
    <n v="0"/>
    <s v="Consolidation"/>
    <s v="CO2e and Base Measure"/>
    <n v="100"/>
    <n v="100"/>
    <n v="0.04"/>
    <m/>
    <m/>
    <m/>
    <m/>
    <m/>
    <n v="5.33E-2"/>
    <m/>
    <n v="5.33E-2"/>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1-01T00:00:00"/>
    <s v="FY21"/>
    <s v="t"/>
    <n v="0.33700000000000002"/>
    <n v="0"/>
    <n v="0"/>
    <n v="0.33700000000000002"/>
    <n v="1"/>
    <n v="0"/>
    <n v="0"/>
    <n v="1"/>
    <n v="100"/>
    <n v="0"/>
    <n v="0"/>
    <s v="Consolidation"/>
    <s v="CO2e and Base Measure"/>
    <n v="100"/>
    <n v="100"/>
    <n v="0.34"/>
    <m/>
    <m/>
    <m/>
    <m/>
    <m/>
    <n v="0.43809999999999999"/>
    <m/>
    <n v="0.43809999999999999"/>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2-01T00:00:00"/>
    <s v="FY21"/>
    <s v="t"/>
    <n v="0.26700000000000002"/>
    <n v="0"/>
    <n v="0"/>
    <n v="0.26700000000000002"/>
    <n v="1"/>
    <n v="0"/>
    <n v="0"/>
    <n v="1"/>
    <n v="100"/>
    <n v="0"/>
    <n v="0"/>
    <s v="Consolidation"/>
    <s v="CO2e and Base Measure"/>
    <n v="100"/>
    <n v="100"/>
    <n v="0.27"/>
    <m/>
    <m/>
    <m/>
    <m/>
    <m/>
    <n v="0.34710000000000002"/>
    <m/>
    <n v="0.34710000000000002"/>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3-01T00:00:00"/>
    <s v="FY21"/>
    <s v="t"/>
    <n v="0.312"/>
    <n v="0"/>
    <n v="0"/>
    <n v="0.312"/>
    <n v="2"/>
    <n v="0"/>
    <n v="0"/>
    <n v="2"/>
    <n v="100"/>
    <n v="0"/>
    <n v="0"/>
    <s v="Consolidation"/>
    <s v="CO2e and Base Measure"/>
    <n v="100"/>
    <n v="100"/>
    <n v="0.31"/>
    <m/>
    <m/>
    <m/>
    <m/>
    <m/>
    <n v="0.40560000000000002"/>
    <m/>
    <n v="0.40560000000000002"/>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4-01T00:00:00"/>
    <s v="FY21"/>
    <s v="t"/>
    <n v="0"/>
    <n v="0"/>
    <n v="0.24"/>
    <n v="0.24"/>
    <n v="0"/>
    <n v="0"/>
    <n v="30"/>
    <n v="30"/>
    <n v="0"/>
    <n v="0"/>
    <n v="100"/>
    <s v="Consolidation"/>
    <s v="CO2e and Base Measure"/>
    <n v="100"/>
    <n v="100"/>
    <n v="0.24"/>
    <m/>
    <m/>
    <m/>
    <m/>
    <m/>
    <n v="0.312"/>
    <m/>
    <n v="0.312"/>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5-01T00:00:00"/>
    <s v="FY21"/>
    <s v="t"/>
    <n v="0"/>
    <n v="0"/>
    <n v="0.248"/>
    <n v="0.248"/>
    <n v="0"/>
    <n v="0"/>
    <n v="31"/>
    <n v="31"/>
    <n v="0"/>
    <n v="0"/>
    <n v="100"/>
    <s v="Consolidation"/>
    <s v="CO2e and Base Measure"/>
    <n v="100"/>
    <n v="100"/>
    <n v="0.25"/>
    <m/>
    <m/>
    <m/>
    <m/>
    <m/>
    <n v="0.32240000000000002"/>
    <m/>
    <n v="0.32240000000000002"/>
    <m/>
    <m/>
    <m/>
    <m/>
    <m/>
    <s v="AUD"/>
    <s v="13634243Waste - General [t] - Scope 3"/>
    <n v="13634243"/>
  </r>
  <r>
    <d v="2019-07-01T00:00:00"/>
    <d v="2021-06-30T00:00:00"/>
    <s v="Telstra"/>
    <s v="NETWORK"/>
    <s v="Network - InfraCo"/>
    <s v="NSW"/>
    <s v="Australia"/>
    <s v="Mount Druitt"/>
    <s v="ROOTY HILL EXCHANGE"/>
    <n v="423030297400"/>
    <s v="Recycled Waste"/>
    <x v="0"/>
    <x v="0"/>
    <s v="Account"/>
    <s v="CLEANAWAY Cardboard"/>
    <m/>
    <s v="44152_Diversion_Cardboard"/>
    <s v="Cardboard"/>
    <s v="Cleanaway"/>
    <m/>
    <d v="2021-02-18T00:00:00"/>
    <m/>
    <d v="2021-02-01T00:00:00"/>
    <s v="FY21"/>
    <s v="t"/>
    <n v="0"/>
    <n v="7.4999999999999997E-2"/>
    <n v="0"/>
    <n v="7.4999999999999997E-2"/>
    <n v="0"/>
    <n v="1"/>
    <n v="0"/>
    <n v="1"/>
    <n v="0"/>
    <n v="100"/>
    <n v="0"/>
    <s v="Consolidation"/>
    <s v="CO2e and Base Measure"/>
    <n v="100"/>
    <n v="100"/>
    <n v="0.08"/>
    <m/>
    <m/>
    <m/>
    <m/>
    <m/>
    <m/>
    <m/>
    <m/>
    <m/>
    <m/>
    <m/>
    <m/>
    <m/>
    <s v="AUD"/>
    <s v="13639912Waste Recycled - Paper and Cardboard [t]"/>
    <n v="13639912"/>
  </r>
  <r>
    <d v="2019-07-01T00:00:00"/>
    <d v="2021-06-30T00:00:00"/>
    <s v="Telstra"/>
    <s v="NETWORK"/>
    <s v="Network - InfraCo"/>
    <s v="NSW"/>
    <s v="Australia"/>
    <s v="Mount Druitt"/>
    <s v="ROOTY HILL EXCHANGE"/>
    <n v="423030297400"/>
    <s v="Recycled Waste"/>
    <x v="0"/>
    <x v="0"/>
    <s v="Account"/>
    <s v="CLEANAWAY Cardboard"/>
    <m/>
    <s v="44152_Diversion_Cardboard"/>
    <s v="Cardboard"/>
    <s v="Cleanaway"/>
    <m/>
    <d v="2021-02-18T00:00:00"/>
    <m/>
    <d v="2021-03-01T00:00:00"/>
    <s v="FY21"/>
    <s v="t"/>
    <n v="0"/>
    <n v="7.4999999999999997E-2"/>
    <n v="0"/>
    <n v="7.4999999999999997E-2"/>
    <n v="0"/>
    <n v="1"/>
    <n v="0"/>
    <n v="1"/>
    <n v="0"/>
    <n v="100"/>
    <n v="0"/>
    <s v="Consolidation"/>
    <s v="CO2e and Base Measure"/>
    <n v="100"/>
    <n v="100"/>
    <n v="0.08"/>
    <m/>
    <m/>
    <m/>
    <m/>
    <m/>
    <m/>
    <m/>
    <m/>
    <m/>
    <m/>
    <m/>
    <m/>
    <m/>
    <s v="AUD"/>
    <s v="13639912Waste Recycled - Paper and Cardboard [t]"/>
    <n v="13639912"/>
  </r>
  <r>
    <d v="2019-07-01T00:00:00"/>
    <d v="2021-06-30T00:00:00"/>
    <s v="Telstra"/>
    <s v="NETWORK"/>
    <s v="Network - InfraCo"/>
    <s v="NSW"/>
    <s v="Australia"/>
    <s v="Mount Druitt"/>
    <s v="ROOTY HILL EXCHANGE"/>
    <n v="423030297400"/>
    <s v="Recycled Waste"/>
    <x v="0"/>
    <x v="0"/>
    <s v="Account"/>
    <s v="CLEANAWAY Cardboard"/>
    <m/>
    <s v="44152_Diversion_Cardboard"/>
    <s v="Cardboard"/>
    <s v="Cleanaway"/>
    <m/>
    <d v="2021-02-18T00:00:00"/>
    <m/>
    <d v="2021-04-01T00:00:00"/>
    <s v="FY21"/>
    <s v="t"/>
    <n v="0"/>
    <n v="0"/>
    <n v="7.8E-2"/>
    <n v="7.8E-2"/>
    <n v="0"/>
    <n v="0"/>
    <n v="30"/>
    <n v="30"/>
    <n v="0"/>
    <n v="0"/>
    <n v="100"/>
    <s v="Consolidation"/>
    <s v="CO2e and Base Measure"/>
    <n v="100"/>
    <n v="100"/>
    <n v="0.08"/>
    <m/>
    <m/>
    <m/>
    <m/>
    <m/>
    <m/>
    <m/>
    <m/>
    <m/>
    <m/>
    <m/>
    <m/>
    <m/>
    <s v="AUD"/>
    <s v="13639912Waste Recycled - Paper and Cardboard [t]"/>
    <n v="13639912"/>
  </r>
  <r>
    <d v="2019-07-01T00:00:00"/>
    <d v="2021-06-30T00:00:00"/>
    <s v="Telstra"/>
    <s v="NETWORK"/>
    <s v="Network - InfraCo"/>
    <s v="NSW"/>
    <s v="Australia"/>
    <s v="Mount Druitt"/>
    <s v="ROOTY HILL EXCHANGE"/>
    <n v="423030297400"/>
    <s v="Recycled Waste"/>
    <x v="0"/>
    <x v="0"/>
    <s v="Account"/>
    <s v="CLEANAWAY Cardboard"/>
    <m/>
    <s v="44152_Diversion_Cardboard"/>
    <s v="Cardboard"/>
    <s v="Cleanaway"/>
    <m/>
    <d v="2021-02-18T00:00:00"/>
    <m/>
    <d v="2021-05-01T00:00:00"/>
    <s v="FY21"/>
    <s v="t"/>
    <n v="0"/>
    <n v="0"/>
    <n v="8.0600000000000005E-2"/>
    <n v="8.0600000000000005E-2"/>
    <n v="0"/>
    <n v="0"/>
    <n v="31"/>
    <n v="31"/>
    <n v="0"/>
    <n v="0"/>
    <n v="100"/>
    <s v="Consolidation"/>
    <s v="CO2e and Base Measure"/>
    <n v="100"/>
    <n v="100"/>
    <n v="0.08"/>
    <m/>
    <m/>
    <m/>
    <m/>
    <m/>
    <m/>
    <m/>
    <m/>
    <m/>
    <m/>
    <m/>
    <m/>
    <m/>
    <s v="AUD"/>
    <s v="13639912Waste Recycled - Paper and Cardboard [t]"/>
    <n v="13639912"/>
  </r>
  <r>
    <d v="2019-07-01T00:00:00"/>
    <d v="2021-06-30T00:00:00"/>
    <s v="Telstra"/>
    <s v="NETWORK"/>
    <s v="Network - InfraCo"/>
    <s v="NSW"/>
    <s v="Australia"/>
    <s v="Dover Heights"/>
    <s v="ROSE BAY EXCHANGE"/>
    <n v="423030298000"/>
    <s v="Waste"/>
    <x v="1"/>
    <x v="2"/>
    <s v="Account"/>
    <s v="Remondis General Waste"/>
    <m/>
    <s v="423030298000_WGENERALW"/>
    <s v="GENERAL WASTE"/>
    <s v="Remondis"/>
    <m/>
    <m/>
    <d v="2021-01-01T00:00:00"/>
    <d v="2020-12-01T00:00:00"/>
    <s v="FY21"/>
    <s v="t"/>
    <n v="0.72"/>
    <n v="0"/>
    <n v="0"/>
    <n v="0.72"/>
    <n v="1"/>
    <n v="0"/>
    <n v="0"/>
    <n v="1"/>
    <n v="100"/>
    <n v="0"/>
    <n v="0"/>
    <s v="Consolidation"/>
    <s v="CO2e and Base Measure"/>
    <n v="100"/>
    <n v="100"/>
    <n v="0.72"/>
    <m/>
    <m/>
    <m/>
    <m/>
    <m/>
    <n v="0.93600000000000005"/>
    <m/>
    <n v="0.93600000000000005"/>
    <m/>
    <m/>
    <m/>
    <m/>
    <m/>
    <s v="AUD"/>
    <s v="13564436Waste - General [t] - Scope 3"/>
    <n v="13564436"/>
  </r>
  <r>
    <d v="2019-07-01T00:00:00"/>
    <d v="2021-06-30T00:00:00"/>
    <s v="Telstra"/>
    <s v="NETWORK"/>
    <s v="Network - InfraCo"/>
    <s v="NSW"/>
    <s v="Australia"/>
    <s v="Dover Heights"/>
    <s v="ROSE BAY EXCHANGE"/>
    <n v="423030298000"/>
    <s v="Waste"/>
    <x v="1"/>
    <x v="2"/>
    <s v="Account"/>
    <s v="Remondis General Waste"/>
    <m/>
    <s v="423030298000_WGENERALW"/>
    <s v="GENERAL WASTE"/>
    <s v="Remondis"/>
    <m/>
    <m/>
    <d v="2021-01-01T00:00:00"/>
    <d v="2021-01-01T00:00:00"/>
    <s v="FY21"/>
    <s v="t"/>
    <n v="0"/>
    <n v="0"/>
    <n v="2.4E-2"/>
    <n v="2.4E-2"/>
    <n v="0"/>
    <n v="0"/>
    <n v="1"/>
    <n v="1"/>
    <n v="0"/>
    <n v="0"/>
    <n v="100"/>
    <s v="Consolidation"/>
    <s v="CO2e and Base Measure"/>
    <n v="100"/>
    <n v="100"/>
    <n v="0.02"/>
    <m/>
    <m/>
    <m/>
    <m/>
    <m/>
    <n v="3.1199999999999999E-2"/>
    <m/>
    <n v="3.1199999999999999E-2"/>
    <m/>
    <m/>
    <m/>
    <m/>
    <m/>
    <s v="AUD"/>
    <s v="13564436Waste - General [t] - Scope 3"/>
    <n v="13564436"/>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058Waste - General [t] - Scope 3"/>
    <n v="13565058"/>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0-11-01T00:00:00"/>
    <s v="FY21"/>
    <s v="t"/>
    <n v="1.9E-2"/>
    <n v="0"/>
    <n v="0"/>
    <n v="1.9E-2"/>
    <n v="1"/>
    <n v="0"/>
    <n v="0"/>
    <n v="1"/>
    <n v="100"/>
    <n v="0"/>
    <n v="0"/>
    <s v="Consolidation"/>
    <s v="CO2e and Base Measure"/>
    <n v="100"/>
    <n v="100"/>
    <n v="0.02"/>
    <m/>
    <m/>
    <m/>
    <m/>
    <m/>
    <n v="2.47E-2"/>
    <m/>
    <n v="2.47E-2"/>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0-12-01T00:00:00"/>
    <s v="FY21"/>
    <s v="t"/>
    <n v="0.18"/>
    <n v="0"/>
    <n v="0"/>
    <n v="0.18"/>
    <n v="1"/>
    <n v="0"/>
    <n v="0"/>
    <n v="1"/>
    <n v="100"/>
    <n v="0"/>
    <n v="0"/>
    <s v="Consolidation"/>
    <s v="CO2e and Base Measure"/>
    <n v="100"/>
    <n v="100"/>
    <n v="0.18"/>
    <m/>
    <m/>
    <m/>
    <m/>
    <m/>
    <n v="0.23400000000000001"/>
    <m/>
    <n v="0.23400000000000001"/>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1-01T00:00:00"/>
    <s v="FY21"/>
    <s v="t"/>
    <n v="0.17599999999999999"/>
    <n v="0"/>
    <n v="0"/>
    <n v="0.17599999999999999"/>
    <n v="1"/>
    <n v="0"/>
    <n v="0"/>
    <n v="1"/>
    <n v="100"/>
    <n v="0"/>
    <n v="0"/>
    <s v="Consolidation"/>
    <s v="CO2e and Base Measure"/>
    <n v="100"/>
    <n v="100"/>
    <n v="0.18"/>
    <m/>
    <m/>
    <m/>
    <m/>
    <m/>
    <n v="0.2288"/>
    <m/>
    <n v="0.2288"/>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2-01T00:00:00"/>
    <s v="FY21"/>
    <s v="t"/>
    <n v="9.9000000000000005E-2"/>
    <n v="0"/>
    <n v="0"/>
    <n v="9.9000000000000005E-2"/>
    <n v="1"/>
    <n v="0"/>
    <n v="0"/>
    <n v="1"/>
    <n v="100"/>
    <n v="0"/>
    <n v="0"/>
    <s v="Consolidation"/>
    <s v="CO2e and Base Measure"/>
    <n v="100"/>
    <n v="100"/>
    <n v="0.1"/>
    <m/>
    <m/>
    <m/>
    <m/>
    <m/>
    <n v="0.12870000000000001"/>
    <m/>
    <n v="0.12870000000000001"/>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3-01T00:00:00"/>
    <s v="FY21"/>
    <s v="t"/>
    <n v="0.20599999999999999"/>
    <n v="0"/>
    <n v="0"/>
    <n v="0.20599999999999999"/>
    <n v="1"/>
    <n v="0"/>
    <n v="0"/>
    <n v="1"/>
    <n v="100"/>
    <n v="0"/>
    <n v="0"/>
    <s v="Consolidation"/>
    <s v="CO2e and Base Measure"/>
    <n v="100"/>
    <n v="100"/>
    <n v="0.21"/>
    <m/>
    <m/>
    <m/>
    <m/>
    <m/>
    <n v="0.26779999999999998"/>
    <m/>
    <n v="0.26779999999999998"/>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3985Waste - General [t] - Scope 3"/>
    <n v="13633985"/>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237Waste - General [t] - Scope 3"/>
    <n v="13564237"/>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44Waste - General [t] - Scope 3"/>
    <n v="13634244"/>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07-01T00:00:00"/>
    <s v="FY21"/>
    <s v="t"/>
    <n v="0"/>
    <n v="9.3200000000000005E-2"/>
    <n v="0"/>
    <n v="9.3200000000000005E-2"/>
    <n v="0"/>
    <n v="4"/>
    <n v="0"/>
    <n v="4"/>
    <n v="0"/>
    <n v="100"/>
    <n v="0"/>
    <s v="Consolidation"/>
    <s v="CO2e and Base Measure"/>
    <n v="100"/>
    <n v="100"/>
    <n v="0.09"/>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08-01T00:00:00"/>
    <s v="FY21"/>
    <s v="t"/>
    <n v="0"/>
    <n v="0.11650000000000001"/>
    <n v="0"/>
    <n v="0.11650000000000001"/>
    <n v="0"/>
    <n v="5"/>
    <n v="0"/>
    <n v="5"/>
    <n v="0"/>
    <n v="100"/>
    <n v="0"/>
    <s v="Consolidation"/>
    <s v="CO2e and Base Measure"/>
    <n v="100"/>
    <n v="100"/>
    <n v="0.12"/>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09-01T00:00:00"/>
    <s v="FY21"/>
    <s v="t"/>
    <n v="0"/>
    <n v="9.3200000000000005E-2"/>
    <n v="0"/>
    <n v="9.3200000000000005E-2"/>
    <n v="0"/>
    <n v="4"/>
    <n v="0"/>
    <n v="4"/>
    <n v="0"/>
    <n v="100"/>
    <n v="0"/>
    <s v="Consolidation"/>
    <s v="CO2e and Base Measure"/>
    <n v="100"/>
    <n v="100"/>
    <n v="0.09"/>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10-01T00:00:00"/>
    <s v="FY21"/>
    <s v="t"/>
    <n v="0"/>
    <n v="9.3200000000000005E-2"/>
    <n v="0"/>
    <n v="9.3200000000000005E-2"/>
    <n v="0"/>
    <n v="4"/>
    <n v="0"/>
    <n v="4"/>
    <n v="0"/>
    <n v="100"/>
    <n v="0"/>
    <s v="Consolidation"/>
    <s v="CO2e and Base Measure"/>
    <n v="100"/>
    <n v="100"/>
    <n v="0.09"/>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11-01T00:00:00"/>
    <s v="FY21"/>
    <s v="t"/>
    <n v="0"/>
    <n v="6.9900000000000004E-2"/>
    <n v="0"/>
    <n v="6.9900000000000004E-2"/>
    <n v="0"/>
    <n v="3"/>
    <n v="0"/>
    <n v="3"/>
    <n v="0"/>
    <n v="100"/>
    <n v="0"/>
    <s v="Consolidation"/>
    <s v="CO2e and Base Measure"/>
    <n v="100"/>
    <n v="100"/>
    <n v="7.0000000000000007E-2"/>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1-01-01T00:00:00"/>
    <s v="FY21"/>
    <s v="t"/>
    <n v="0"/>
    <n v="0"/>
    <n v="2.5999999999999999E-3"/>
    <n v="2.5999999999999999E-3"/>
    <n v="0"/>
    <n v="0"/>
    <n v="1"/>
    <n v="1"/>
    <n v="0"/>
    <n v="0"/>
    <n v="100"/>
    <s v="Consolidation"/>
    <s v="CO2e and Base Measure"/>
    <n v="100"/>
    <n v="100"/>
    <n v="0"/>
    <m/>
    <m/>
    <m/>
    <m/>
    <m/>
    <m/>
    <n v="0"/>
    <m/>
    <m/>
    <m/>
    <m/>
    <m/>
    <m/>
    <s v="AUD"/>
    <s v="13564238Waste Recycled - Cardboard [t]"/>
    <n v="13564238"/>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07-01T00:00:00"/>
    <s v="FY21"/>
    <s v="t"/>
    <n v="0"/>
    <n v="0.1444"/>
    <n v="0"/>
    <n v="0.1444"/>
    <n v="0"/>
    <n v="2"/>
    <n v="0"/>
    <n v="2"/>
    <n v="0"/>
    <n v="100"/>
    <n v="0"/>
    <s v="Consolidation"/>
    <s v="CO2e and Base Measure"/>
    <n v="100"/>
    <n v="100"/>
    <n v="0.14000000000000001"/>
    <m/>
    <m/>
    <m/>
    <m/>
    <m/>
    <n v="0.18770000000000001"/>
    <m/>
    <n v="0.18770000000000001"/>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08-01T00:00:00"/>
    <s v="FY21"/>
    <s v="t"/>
    <n v="0"/>
    <n v="0.1444"/>
    <n v="0"/>
    <n v="0.1444"/>
    <n v="0"/>
    <n v="2"/>
    <n v="0"/>
    <n v="2"/>
    <n v="0"/>
    <n v="100"/>
    <n v="0"/>
    <s v="Consolidation"/>
    <s v="CO2e and Base Measure"/>
    <n v="100"/>
    <n v="100"/>
    <n v="0.14000000000000001"/>
    <m/>
    <m/>
    <m/>
    <m/>
    <m/>
    <n v="0.18770000000000001"/>
    <m/>
    <n v="0.18770000000000001"/>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1-01-01T00:00:00"/>
    <s v="FY21"/>
    <s v="t"/>
    <n v="0"/>
    <n v="0"/>
    <n v="4.7000000000000002E-3"/>
    <n v="4.7000000000000002E-3"/>
    <n v="0"/>
    <n v="0"/>
    <n v="1"/>
    <n v="1"/>
    <n v="0"/>
    <n v="0"/>
    <n v="100"/>
    <s v="Consolidation"/>
    <s v="CO2e and Base Measure"/>
    <n v="100"/>
    <n v="100"/>
    <n v="0"/>
    <m/>
    <m/>
    <m/>
    <m/>
    <m/>
    <n v="6.1000000000000004E-3"/>
    <m/>
    <n v="6.1000000000000004E-3"/>
    <m/>
    <m/>
    <m/>
    <m/>
    <m/>
    <s v="AUD"/>
    <s v="13564239Waste - General [t] - Scope 3"/>
    <n v="13564239"/>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0-12-01T00:00:00"/>
    <s v="FY21"/>
    <s v="t"/>
    <n v="0.1"/>
    <n v="9.9000000000000005E-2"/>
    <n v="0"/>
    <n v="0.19900000000000001"/>
    <n v="1"/>
    <n v="2"/>
    <n v="0"/>
    <n v="3"/>
    <n v="50.25"/>
    <n v="49.74"/>
    <n v="0"/>
    <s v="Consolidation"/>
    <s v="CO2e and Base Measure"/>
    <n v="100"/>
    <n v="100"/>
    <n v="0.2"/>
    <m/>
    <m/>
    <m/>
    <m/>
    <m/>
    <n v="0.25869999999999999"/>
    <m/>
    <n v="0.25869999999999999"/>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1-01T00:00:00"/>
    <s v="FY21"/>
    <s v="t"/>
    <n v="0"/>
    <n v="9.9000000000000005E-2"/>
    <n v="0"/>
    <n v="9.9000000000000005E-2"/>
    <n v="0"/>
    <n v="2"/>
    <n v="0"/>
    <n v="2"/>
    <n v="0"/>
    <n v="100"/>
    <n v="0"/>
    <s v="Consolidation"/>
    <s v="CO2e and Base Measure"/>
    <n v="100"/>
    <n v="100"/>
    <n v="0.1"/>
    <m/>
    <m/>
    <m/>
    <m/>
    <m/>
    <n v="0.12870000000000001"/>
    <m/>
    <n v="0.12870000000000001"/>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2-01T00:00:00"/>
    <s v="FY21"/>
    <s v="t"/>
    <n v="0.13"/>
    <n v="4.9500000000000002E-2"/>
    <n v="0"/>
    <n v="0.17949999999999999"/>
    <n v="2"/>
    <n v="1"/>
    <n v="0"/>
    <n v="3"/>
    <n v="72.42"/>
    <n v="27.57"/>
    <n v="0"/>
    <s v="Consolidation"/>
    <s v="CO2e and Base Measure"/>
    <n v="100"/>
    <n v="100"/>
    <n v="0.18"/>
    <m/>
    <m/>
    <m/>
    <m/>
    <m/>
    <n v="0.2334"/>
    <m/>
    <n v="0.2334"/>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3-01T00:00:00"/>
    <s v="FY21"/>
    <s v="t"/>
    <n v="5.5E-2"/>
    <n v="4.9500000000000002E-2"/>
    <n v="0"/>
    <n v="0.1045"/>
    <n v="1"/>
    <n v="1"/>
    <n v="0"/>
    <n v="2"/>
    <n v="52.63"/>
    <n v="47.36"/>
    <n v="0"/>
    <s v="Consolidation"/>
    <s v="CO2e and Base Measure"/>
    <n v="100"/>
    <n v="100"/>
    <n v="0.1"/>
    <m/>
    <m/>
    <m/>
    <m/>
    <m/>
    <n v="0.13589999999999999"/>
    <m/>
    <n v="0.13589999999999999"/>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4-01T00:00:00"/>
    <s v="FY21"/>
    <s v="t"/>
    <n v="0"/>
    <n v="0"/>
    <n v="0.14399999999999999"/>
    <n v="0.14399999999999999"/>
    <n v="0"/>
    <n v="0"/>
    <n v="30"/>
    <n v="30"/>
    <n v="0"/>
    <n v="0"/>
    <n v="100"/>
    <s v="Consolidation"/>
    <s v="CO2e and Base Measure"/>
    <n v="100"/>
    <n v="100"/>
    <n v="0.14000000000000001"/>
    <m/>
    <m/>
    <m/>
    <m/>
    <m/>
    <n v="0.18720000000000001"/>
    <m/>
    <n v="0.18720000000000001"/>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5-01T00:00:00"/>
    <s v="FY21"/>
    <s v="t"/>
    <n v="0"/>
    <n v="0"/>
    <n v="0.14879999999999999"/>
    <n v="0.14879999999999999"/>
    <n v="0"/>
    <n v="0"/>
    <n v="31"/>
    <n v="31"/>
    <n v="0"/>
    <n v="0"/>
    <n v="100"/>
    <s v="Consolidation"/>
    <s v="CO2e and Base Measure"/>
    <n v="100"/>
    <n v="100"/>
    <n v="0.15"/>
    <m/>
    <m/>
    <m/>
    <m/>
    <m/>
    <n v="0.19339999999999999"/>
    <m/>
    <n v="0.19339999999999999"/>
    <m/>
    <m/>
    <m/>
    <m/>
    <m/>
    <s v="AUD"/>
    <s v="13634245Waste - General [t] - Scope 3"/>
    <n v="13634245"/>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0-12-01T00:00:00"/>
    <s v="FY21"/>
    <s v="t"/>
    <n v="0"/>
    <n v="5.5E-2"/>
    <n v="0"/>
    <n v="5.5E-2"/>
    <n v="0"/>
    <n v="2"/>
    <n v="0"/>
    <n v="2"/>
    <n v="0"/>
    <n v="100"/>
    <n v="0"/>
    <s v="Consolidation"/>
    <s v="CO2e and Base Measure"/>
    <n v="100"/>
    <n v="100"/>
    <n v="0.06"/>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1-01T00:00:00"/>
    <s v="FY21"/>
    <s v="t"/>
    <n v="8.1000000000000003E-2"/>
    <n v="0"/>
    <n v="0"/>
    <n v="8.1000000000000003E-2"/>
    <n v="2"/>
    <n v="0"/>
    <n v="0"/>
    <n v="2"/>
    <n v="100"/>
    <n v="0"/>
    <n v="0"/>
    <s v="Consolidation"/>
    <s v="CO2e and Base Measure"/>
    <n v="100"/>
    <n v="100"/>
    <n v="0.08"/>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2-01T00:00:00"/>
    <s v="FY21"/>
    <s v="t"/>
    <n v="2.4E-2"/>
    <n v="0"/>
    <n v="0"/>
    <n v="2.4E-2"/>
    <n v="1"/>
    <n v="0"/>
    <n v="0"/>
    <n v="1"/>
    <n v="100"/>
    <n v="0"/>
    <n v="0"/>
    <s v="Consolidation"/>
    <s v="CO2e and Base Measure"/>
    <n v="100"/>
    <n v="100"/>
    <n v="0.02"/>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3-01T00:00:00"/>
    <s v="FY21"/>
    <s v="t"/>
    <n v="0.115"/>
    <n v="2.75E-2"/>
    <n v="0"/>
    <n v="0.14249999999999999"/>
    <n v="2"/>
    <n v="1"/>
    <n v="0"/>
    <n v="3"/>
    <n v="80.7"/>
    <n v="19.29"/>
    <n v="0"/>
    <s v="Consolidation"/>
    <s v="CO2e and Base Measure"/>
    <n v="100"/>
    <n v="100"/>
    <n v="0.14000000000000001"/>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4-01T00:00:00"/>
    <s v="FY21"/>
    <s v="t"/>
    <n v="0"/>
    <n v="0"/>
    <n v="7.4999999999999997E-2"/>
    <n v="7.4999999999999997E-2"/>
    <n v="0"/>
    <n v="0"/>
    <n v="30"/>
    <n v="30"/>
    <n v="0"/>
    <n v="0"/>
    <n v="100"/>
    <s v="Consolidation"/>
    <s v="CO2e and Base Measure"/>
    <n v="100"/>
    <n v="100"/>
    <n v="0.08"/>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5-01T00:00:00"/>
    <s v="FY21"/>
    <s v="t"/>
    <n v="0"/>
    <n v="0"/>
    <n v="7.7499999999999999E-2"/>
    <n v="7.7499999999999999E-2"/>
    <n v="0"/>
    <n v="0"/>
    <n v="31"/>
    <n v="31"/>
    <n v="0"/>
    <n v="0"/>
    <n v="100"/>
    <s v="Consolidation"/>
    <s v="CO2e and Base Measure"/>
    <n v="100"/>
    <n v="100"/>
    <n v="0.08"/>
    <m/>
    <m/>
    <m/>
    <m/>
    <m/>
    <m/>
    <m/>
    <m/>
    <m/>
    <m/>
    <m/>
    <m/>
    <m/>
    <s v="AUD"/>
    <s v="13634246Waste Recycled - Paper and Cardboard [t]"/>
    <n v="13634246"/>
  </r>
  <r>
    <d v="2019-07-01T00:00:00"/>
    <d v="2021-06-30T00:00:00"/>
    <s v="Telstra"/>
    <s v="NON-NETWORK"/>
    <s v="NON-NETWORK"/>
    <s v="SA"/>
    <s v="Australia"/>
    <s v="Roxby Downs"/>
    <s v="ROXBY DOWNS 13 CALLANNA RD"/>
    <n v="423030674300"/>
    <s v="Waste"/>
    <x v="1"/>
    <x v="2"/>
    <s v="Account"/>
    <s v="Remondis General Waste"/>
    <m/>
    <s v="4230306743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5103Waste - General [t] - Scope 3"/>
    <n v="13565103"/>
  </r>
  <r>
    <d v="2019-07-01T00:00:00"/>
    <d v="2021-06-30T00:00:00"/>
    <s v="Telstra"/>
    <s v="NON-NETWORK"/>
    <s v="NON-NETWORK"/>
    <s v="SA"/>
    <s v="Australia"/>
    <s v="Roxby Downs"/>
    <s v="ROXBY DOWNS 13 CALLANNA RD"/>
    <n v="423030674300"/>
    <s v="Waste"/>
    <x v="1"/>
    <x v="2"/>
    <s v="Account"/>
    <s v="Remondis General Waste"/>
    <m/>
    <s v="4230306743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103Waste - General [t] - Scope 3"/>
    <n v="13565103"/>
  </r>
  <r>
    <d v="2019-07-01T00:00:00"/>
    <d v="2021-06-30T00:00:00"/>
    <s v="Telstra"/>
    <s v="NON-NETWORK"/>
    <s v="NON-NETWORK"/>
    <s v="SA"/>
    <s v="Australia"/>
    <s v="Roxby Downs"/>
    <s v="ROXBY DOWNS 13 CALLANNA RD"/>
    <n v="423030674300"/>
    <s v="Waste"/>
    <x v="1"/>
    <x v="2"/>
    <s v="Account"/>
    <s v="Remondis General Waste"/>
    <m/>
    <s v="4230306743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103Waste - General [t] - Scope 3"/>
    <n v="13565103"/>
  </r>
  <r>
    <d v="2019-07-01T00:00:00"/>
    <d v="2021-06-30T00:00:00"/>
    <s v="Telstra"/>
    <s v="NON-NETWORK"/>
    <s v="NON-NETWORK"/>
    <s v="SA"/>
    <s v="Australia"/>
    <s v="Roxby Downs"/>
    <s v="ROXBY DOWNS 13 CALLANNA RD"/>
    <n v="423030674300"/>
    <s v="Waste"/>
    <x v="1"/>
    <x v="2"/>
    <s v="Account"/>
    <s v="Remondis General Waste"/>
    <m/>
    <s v="423030674300_WGENERALW"/>
    <s v="GENERAL WASTE"/>
    <s v="Remondis"/>
    <m/>
    <m/>
    <d v="2020-12-01T00:00:00"/>
    <d v="2020-12-01T00:00:00"/>
    <s v="FY21"/>
    <s v="t"/>
    <n v="0"/>
    <n v="0"/>
    <n v="2.5999999999999999E-3"/>
    <n v="2.5999999999999999E-3"/>
    <n v="0"/>
    <n v="0"/>
    <n v="1"/>
    <n v="1"/>
    <n v="0"/>
    <n v="0"/>
    <n v="100"/>
    <s v="Consolidation"/>
    <s v="CO2e and Base Measure"/>
    <n v="100"/>
    <n v="100"/>
    <n v="0"/>
    <m/>
    <m/>
    <m/>
    <m/>
    <m/>
    <n v="3.3999999999999998E-3"/>
    <m/>
    <n v="3.3999999999999998E-3"/>
    <m/>
    <m/>
    <m/>
    <m/>
    <m/>
    <s v="AUD"/>
    <s v="13565103Waste - General [t] - Scope 3"/>
    <n v="13565103"/>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07-01T00:00:00"/>
    <s v="FY21"/>
    <s v="t"/>
    <n v="0"/>
    <n v="0.2145"/>
    <n v="0"/>
    <n v="0.2145"/>
    <n v="0"/>
    <n v="5"/>
    <n v="0"/>
    <n v="5"/>
    <n v="0"/>
    <n v="100"/>
    <n v="0"/>
    <s v="Consolidation"/>
    <s v="CO2e and Base Measure"/>
    <n v="100"/>
    <n v="100"/>
    <n v="0.21"/>
    <m/>
    <m/>
    <m/>
    <m/>
    <m/>
    <n v="0.27889999999999998"/>
    <m/>
    <n v="0.27889999999999998"/>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08-01T00:00:00"/>
    <s v="FY21"/>
    <s v="t"/>
    <n v="0"/>
    <n v="0.1716"/>
    <n v="0"/>
    <n v="0.1716"/>
    <n v="0"/>
    <n v="4"/>
    <n v="0"/>
    <n v="4"/>
    <n v="0"/>
    <n v="100"/>
    <n v="0"/>
    <s v="Consolidation"/>
    <s v="CO2e and Base Measure"/>
    <n v="100"/>
    <n v="100"/>
    <n v="0.17"/>
    <m/>
    <m/>
    <m/>
    <m/>
    <m/>
    <n v="0.22309999999999999"/>
    <m/>
    <n v="0.22309999999999999"/>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09-01T00:00:00"/>
    <s v="FY21"/>
    <s v="t"/>
    <n v="0"/>
    <n v="0.2145"/>
    <n v="0"/>
    <n v="0.2145"/>
    <n v="0"/>
    <n v="5"/>
    <n v="0"/>
    <n v="5"/>
    <n v="0"/>
    <n v="100"/>
    <n v="0"/>
    <s v="Consolidation"/>
    <s v="CO2e and Base Measure"/>
    <n v="100"/>
    <n v="100"/>
    <n v="0.21"/>
    <m/>
    <m/>
    <m/>
    <m/>
    <m/>
    <n v="0.27889999999999998"/>
    <m/>
    <n v="0.27889999999999998"/>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10-01T00:00:00"/>
    <s v="FY21"/>
    <s v="t"/>
    <n v="0"/>
    <n v="0.1716"/>
    <n v="0"/>
    <n v="0.1716"/>
    <n v="0"/>
    <n v="4"/>
    <n v="0"/>
    <n v="4"/>
    <n v="0"/>
    <n v="100"/>
    <n v="0"/>
    <s v="Consolidation"/>
    <s v="CO2e and Base Measure"/>
    <n v="100"/>
    <n v="100"/>
    <n v="0.17"/>
    <m/>
    <m/>
    <m/>
    <m/>
    <m/>
    <n v="0.22309999999999999"/>
    <m/>
    <n v="0.22309999999999999"/>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11-01T00:00:00"/>
    <s v="FY21"/>
    <s v="t"/>
    <n v="0"/>
    <n v="0.1716"/>
    <n v="0"/>
    <n v="0.1716"/>
    <n v="0"/>
    <n v="4"/>
    <n v="0"/>
    <n v="4"/>
    <n v="0"/>
    <n v="100"/>
    <n v="0"/>
    <s v="Consolidation"/>
    <s v="CO2e and Base Measure"/>
    <n v="100"/>
    <n v="100"/>
    <n v="0.17"/>
    <m/>
    <m/>
    <m/>
    <m/>
    <m/>
    <n v="0.22309999999999999"/>
    <m/>
    <n v="0.22309999999999999"/>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12-01T00:00:00"/>
    <s v="FY21"/>
    <s v="t"/>
    <n v="0"/>
    <n v="8.5800000000000001E-2"/>
    <n v="0"/>
    <n v="8.5800000000000001E-2"/>
    <n v="0"/>
    <n v="1"/>
    <n v="0"/>
    <n v="1"/>
    <n v="0"/>
    <n v="100"/>
    <n v="0"/>
    <s v="Consolidation"/>
    <s v="CO2e and Base Measure"/>
    <n v="100"/>
    <n v="100"/>
    <n v="0.09"/>
    <m/>
    <m/>
    <m/>
    <m/>
    <m/>
    <n v="0.1115"/>
    <m/>
    <n v="0.1115"/>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1-01-01T00:00:00"/>
    <s v="FY21"/>
    <s v="t"/>
    <n v="0"/>
    <n v="0"/>
    <n v="5.5999999999999999E-3"/>
    <n v="5.5999999999999999E-3"/>
    <n v="0"/>
    <n v="0"/>
    <n v="1"/>
    <n v="1"/>
    <n v="0"/>
    <n v="0"/>
    <n v="100"/>
    <s v="Consolidation"/>
    <s v="CO2e and Base Measure"/>
    <n v="100"/>
    <n v="100"/>
    <n v="0.01"/>
    <m/>
    <m/>
    <m/>
    <m/>
    <m/>
    <n v="7.3000000000000001E-3"/>
    <m/>
    <n v="7.3000000000000001E-3"/>
    <m/>
    <m/>
    <m/>
    <m/>
    <m/>
    <s v="AUD"/>
    <s v="13564312Waste - General [t] - Scope 3"/>
    <n v="13564312"/>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056Waste - General [t] - Scope 3"/>
    <n v="13565056"/>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056Waste - General [t] - Scope 3"/>
    <n v="13565056"/>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056Waste - General [t] - Scope 3"/>
    <n v="13565056"/>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056Waste - General [t] - Scope 3"/>
    <n v="13565056"/>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12-01T00:00:00"/>
    <s v="FY21"/>
    <s v="t"/>
    <n v="0"/>
    <n v="0"/>
    <n v="8.6E-3"/>
    <n v="8.6E-3"/>
    <n v="0"/>
    <n v="0"/>
    <n v="1"/>
    <n v="1"/>
    <n v="0"/>
    <n v="0"/>
    <n v="100"/>
    <s v="Consolidation"/>
    <s v="CO2e and Base Measure"/>
    <n v="100"/>
    <n v="100"/>
    <n v="0.01"/>
    <m/>
    <m/>
    <m/>
    <m/>
    <m/>
    <n v="1.12E-2"/>
    <m/>
    <n v="1.12E-2"/>
    <m/>
    <m/>
    <m/>
    <m/>
    <m/>
    <s v="AUD"/>
    <s v="13565056Waste - General [t] - Scope 3"/>
    <n v="13565056"/>
  </r>
  <r>
    <d v="2019-07-01T00:00:00"/>
    <d v="2021-06-30T00:00:00"/>
    <s v="Telstra"/>
    <s v="NETWORK"/>
    <s v="Network - InfraCo"/>
    <s v="VIC"/>
    <s v="Australia"/>
    <s v="Sale"/>
    <s v="SALE EXCHANGE"/>
    <n v="423030659900"/>
    <s v="Waste"/>
    <x v="1"/>
    <x v="2"/>
    <s v="Account"/>
    <s v="CLEANAWAY General"/>
    <m/>
    <s v="25883_Landfill_General"/>
    <s v="General"/>
    <s v="Cleanaway"/>
    <m/>
    <d v="2020-12-04T00:00:00"/>
    <m/>
    <d v="2020-12-01T00:00:00"/>
    <s v="FY21"/>
    <s v="t"/>
    <n v="0.1"/>
    <n v="0.13500000000000001"/>
    <n v="0"/>
    <n v="0.23499999999999999"/>
    <n v="1"/>
    <n v="1"/>
    <n v="0"/>
    <n v="2"/>
    <n v="42.55"/>
    <n v="57.44"/>
    <n v="0"/>
    <s v="Consolidation"/>
    <s v="CO2e and Base Measure"/>
    <n v="100"/>
    <n v="100"/>
    <n v="0.24"/>
    <m/>
    <m/>
    <m/>
    <m/>
    <m/>
    <n v="0.30549999999999999"/>
    <m/>
    <n v="0.30549999999999999"/>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1-01T00:00:00"/>
    <s v="FY21"/>
    <s v="t"/>
    <n v="0.28699999999999998"/>
    <n v="0.13500000000000001"/>
    <n v="0"/>
    <n v="0.42199999999999999"/>
    <n v="1"/>
    <n v="1"/>
    <n v="0"/>
    <n v="2"/>
    <n v="68"/>
    <n v="31.99"/>
    <n v="0"/>
    <s v="Consolidation"/>
    <s v="CO2e and Base Measure"/>
    <n v="100"/>
    <n v="100"/>
    <n v="0.42"/>
    <m/>
    <m/>
    <m/>
    <m/>
    <m/>
    <n v="0.54859999999999998"/>
    <m/>
    <n v="0.54859999999999998"/>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3-01T00:00:00"/>
    <s v="FY21"/>
    <s v="t"/>
    <n v="0.192"/>
    <n v="0"/>
    <n v="0"/>
    <n v="0.192"/>
    <n v="2"/>
    <n v="0"/>
    <n v="0"/>
    <n v="2"/>
    <n v="100"/>
    <n v="0"/>
    <n v="0"/>
    <s v="Consolidation"/>
    <s v="CO2e and Base Measure"/>
    <n v="100"/>
    <n v="100"/>
    <n v="0.19"/>
    <m/>
    <m/>
    <m/>
    <m/>
    <m/>
    <n v="0.24959999999999999"/>
    <m/>
    <n v="0.24959999999999999"/>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4-01T00:00:00"/>
    <s v="FY21"/>
    <s v="t"/>
    <n v="0"/>
    <n v="0"/>
    <n v="0.246"/>
    <n v="0.246"/>
    <n v="0"/>
    <n v="0"/>
    <n v="30"/>
    <n v="30"/>
    <n v="0"/>
    <n v="0"/>
    <n v="100"/>
    <s v="Consolidation"/>
    <s v="CO2e and Base Measure"/>
    <n v="100"/>
    <n v="100"/>
    <n v="0.25"/>
    <m/>
    <m/>
    <m/>
    <m/>
    <m/>
    <n v="0.31979999999999997"/>
    <m/>
    <n v="0.31979999999999997"/>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5-01T00:00:00"/>
    <s v="FY21"/>
    <s v="t"/>
    <n v="0"/>
    <n v="0"/>
    <n v="0.25419999999999998"/>
    <n v="0.25419999999999998"/>
    <n v="0"/>
    <n v="0"/>
    <n v="31"/>
    <n v="31"/>
    <n v="0"/>
    <n v="0"/>
    <n v="100"/>
    <s v="Consolidation"/>
    <s v="CO2e and Base Measure"/>
    <n v="100"/>
    <n v="100"/>
    <n v="0.25"/>
    <m/>
    <m/>
    <m/>
    <m/>
    <m/>
    <n v="0.33050000000000002"/>
    <m/>
    <n v="0.33050000000000002"/>
    <m/>
    <m/>
    <m/>
    <m/>
    <m/>
    <s v="AUD"/>
    <s v="13634247Waste - General [t] - Scope 3"/>
    <n v="13634247"/>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08-01T00:00:00"/>
    <s v="FY21"/>
    <s v="t"/>
    <n v="0"/>
    <n v="6.3E-2"/>
    <n v="0"/>
    <n v="6.3E-2"/>
    <n v="0"/>
    <n v="1"/>
    <n v="0"/>
    <n v="1"/>
    <n v="0"/>
    <n v="100"/>
    <n v="0"/>
    <s v="Consolidation"/>
    <s v="CO2e and Base Measure"/>
    <n v="100"/>
    <n v="100"/>
    <n v="0.06"/>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09-01T00:00:00"/>
    <s v="FY21"/>
    <s v="t"/>
    <n v="0"/>
    <n v="0.189"/>
    <n v="0"/>
    <n v="0.189"/>
    <n v="0"/>
    <n v="3"/>
    <n v="0"/>
    <n v="3"/>
    <n v="0"/>
    <n v="100"/>
    <n v="0"/>
    <s v="Consolidation"/>
    <s v="CO2e and Base Measure"/>
    <n v="100"/>
    <n v="100"/>
    <n v="0.19"/>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10-01T00:00:00"/>
    <s v="FY21"/>
    <s v="t"/>
    <n v="0"/>
    <n v="6.3E-2"/>
    <n v="0"/>
    <n v="6.3E-2"/>
    <n v="0"/>
    <n v="1"/>
    <n v="0"/>
    <n v="1"/>
    <n v="0"/>
    <n v="100"/>
    <n v="0"/>
    <s v="Consolidation"/>
    <s v="CO2e and Base Measure"/>
    <n v="100"/>
    <n v="100"/>
    <n v="0.06"/>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12-01T00:00:00"/>
    <s v="FY21"/>
    <s v="t"/>
    <n v="0"/>
    <n v="0"/>
    <n v="3.5000000000000001E-3"/>
    <n v="3.5000000000000001E-3"/>
    <n v="0"/>
    <n v="0"/>
    <n v="1"/>
    <n v="1"/>
    <n v="0"/>
    <n v="0"/>
    <n v="100"/>
    <s v="Consolidation"/>
    <s v="CO2e and Base Measure"/>
    <n v="100"/>
    <n v="100"/>
    <n v="0"/>
    <m/>
    <m/>
    <m/>
    <m/>
    <m/>
    <m/>
    <n v="0"/>
    <m/>
    <m/>
    <m/>
    <m/>
    <m/>
    <m/>
    <s v="AUD"/>
    <s v="13564993Waste Recycled - Cardboard [t]"/>
    <n v="13564993"/>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12-01T00:00:00"/>
    <s v="FY21"/>
    <s v="t"/>
    <n v="0"/>
    <n v="0"/>
    <n v="1.29E-2"/>
    <n v="1.29E-2"/>
    <n v="0"/>
    <n v="0"/>
    <n v="1"/>
    <n v="1"/>
    <n v="0"/>
    <n v="0"/>
    <n v="100"/>
    <s v="Consolidation"/>
    <s v="CO2e and Base Measure"/>
    <n v="100"/>
    <n v="100"/>
    <n v="0.01"/>
    <m/>
    <m/>
    <m/>
    <m/>
    <m/>
    <n v="1.6799999999999999E-2"/>
    <m/>
    <n v="1.6799999999999999E-2"/>
    <m/>
    <m/>
    <m/>
    <m/>
    <m/>
    <s v="AUD"/>
    <s v="13564994Waste - General [t] - Scope 3"/>
    <n v="13564994"/>
  </r>
  <r>
    <d v="2019-07-01T00:00:00"/>
    <d v="2021-06-30T00:00:00"/>
    <s v="Telstra"/>
    <s v="NETWORK"/>
    <s v="Network - InfraCo"/>
    <s v="SA"/>
    <s v="Australia"/>
    <s v="Salisbury"/>
    <s v="SALISBURY EXCHANGE"/>
    <n v="423030621100"/>
    <s v="Waste"/>
    <x v="1"/>
    <x v="2"/>
    <s v="Account"/>
    <s v="CLEANAWAY General"/>
    <m/>
    <s v="12375_Landfill_General"/>
    <s v="General"/>
    <s v="Cleanaway"/>
    <m/>
    <d v="2021-02-15T00:00:00"/>
    <m/>
    <d v="2021-02-01T00:00:00"/>
    <s v="FY21"/>
    <s v="t"/>
    <n v="0.33700000000000002"/>
    <n v="0"/>
    <n v="0"/>
    <n v="0.33700000000000002"/>
    <n v="1"/>
    <n v="0"/>
    <n v="0"/>
    <n v="1"/>
    <n v="100"/>
    <n v="0"/>
    <n v="0"/>
    <s v="Consolidation"/>
    <s v="CO2e and Base Measure"/>
    <n v="100"/>
    <n v="100"/>
    <n v="0.34"/>
    <m/>
    <m/>
    <m/>
    <m/>
    <m/>
    <n v="0.43809999999999999"/>
    <m/>
    <n v="0.43809999999999999"/>
    <m/>
    <m/>
    <m/>
    <m/>
    <m/>
    <s v="AUD"/>
    <s v="13639913Waste - General [t] - Scope 3"/>
    <n v="13639913"/>
  </r>
  <r>
    <d v="2019-07-01T00:00:00"/>
    <d v="2021-06-30T00:00:00"/>
    <s v="Telstra"/>
    <s v="NETWORK"/>
    <s v="Network - InfraCo"/>
    <s v="SA"/>
    <s v="Australia"/>
    <s v="Salisbury"/>
    <s v="SALISBURY EXCHANGE"/>
    <n v="423030621100"/>
    <s v="Waste"/>
    <x v="1"/>
    <x v="2"/>
    <s v="Account"/>
    <s v="CLEANAWAY General"/>
    <m/>
    <s v="12375_Landfill_General"/>
    <s v="General"/>
    <s v="Cleanaway"/>
    <m/>
    <d v="2021-02-15T00:00:00"/>
    <m/>
    <d v="2021-03-01T00:00:00"/>
    <s v="FY21"/>
    <s v="t"/>
    <n v="0.26900000000000002"/>
    <n v="0.13500000000000001"/>
    <n v="0"/>
    <n v="0.40400000000000003"/>
    <n v="2"/>
    <n v="1"/>
    <n v="0"/>
    <n v="3"/>
    <n v="66.58"/>
    <n v="33.409999999999997"/>
    <n v="0"/>
    <s v="Consolidation"/>
    <s v="CO2e and Base Measure"/>
    <n v="100"/>
    <n v="100"/>
    <n v="0.4"/>
    <m/>
    <m/>
    <m/>
    <m/>
    <m/>
    <n v="0.5252"/>
    <m/>
    <n v="0.5252"/>
    <m/>
    <m/>
    <m/>
    <m/>
    <m/>
    <s v="AUD"/>
    <s v="13639913Waste - General [t] - Scope 3"/>
    <n v="13639913"/>
  </r>
  <r>
    <d v="2019-07-01T00:00:00"/>
    <d v="2021-06-30T00:00:00"/>
    <s v="Telstra"/>
    <s v="NETWORK"/>
    <s v="Network - InfraCo"/>
    <s v="SA"/>
    <s v="Australia"/>
    <s v="Salisbury"/>
    <s v="SALISBURY EXCHANGE"/>
    <n v="423030621100"/>
    <s v="Waste"/>
    <x v="1"/>
    <x v="2"/>
    <s v="Account"/>
    <s v="CLEANAWAY General"/>
    <m/>
    <s v="12375_Landfill_General"/>
    <s v="General"/>
    <s v="Cleanaway"/>
    <m/>
    <d v="2021-02-15T00:00:00"/>
    <m/>
    <d v="2021-04-01T00:00:00"/>
    <s v="FY21"/>
    <s v="t"/>
    <n v="0"/>
    <n v="0"/>
    <n v="0.38400000000000001"/>
    <n v="0.38400000000000001"/>
    <n v="0"/>
    <n v="0"/>
    <n v="30"/>
    <n v="30"/>
    <n v="0"/>
    <n v="0"/>
    <n v="100"/>
    <s v="Consolidation"/>
    <s v="CO2e and Base Measure"/>
    <n v="100"/>
    <n v="100"/>
    <n v="0.38"/>
    <m/>
    <m/>
    <m/>
    <m/>
    <m/>
    <n v="0.49919999999999998"/>
    <m/>
    <n v="0.49919999999999998"/>
    <m/>
    <m/>
    <m/>
    <m/>
    <m/>
    <s v="AUD"/>
    <s v="13639913Waste - General [t] - Scope 3"/>
    <n v="13639913"/>
  </r>
  <r>
    <d v="2019-07-01T00:00:00"/>
    <d v="2021-06-30T00:00:00"/>
    <s v="Telstra"/>
    <s v="NETWORK"/>
    <s v="Network - InfraCo"/>
    <s v="SA"/>
    <s v="Australia"/>
    <s v="Salisbury"/>
    <s v="SALISBURY EXCHANGE"/>
    <n v="423030621100"/>
    <s v="Waste"/>
    <x v="1"/>
    <x v="2"/>
    <s v="Account"/>
    <s v="CLEANAWAY General"/>
    <m/>
    <s v="12375_Landfill_General"/>
    <s v="General"/>
    <s v="Cleanaway"/>
    <m/>
    <d v="2021-02-15T00:00:00"/>
    <m/>
    <d v="2021-05-01T00:00:00"/>
    <s v="FY21"/>
    <s v="t"/>
    <n v="0"/>
    <n v="0"/>
    <n v="0.39679999999999999"/>
    <n v="0.39679999999999999"/>
    <n v="0"/>
    <n v="0"/>
    <n v="31"/>
    <n v="31"/>
    <n v="0"/>
    <n v="0"/>
    <n v="100"/>
    <s v="Consolidation"/>
    <s v="CO2e and Base Measure"/>
    <n v="100"/>
    <n v="100"/>
    <n v="0.4"/>
    <m/>
    <m/>
    <m/>
    <m/>
    <m/>
    <n v="0.51580000000000004"/>
    <m/>
    <n v="0.51580000000000004"/>
    <m/>
    <m/>
    <m/>
    <m/>
    <m/>
    <s v="AUD"/>
    <s v="13639913Waste - General [t] - Scope 3"/>
    <n v="13639913"/>
  </r>
  <r>
    <d v="2019-07-01T00:00:00"/>
    <d v="2021-06-30T00:00:00"/>
    <s v="Telstra"/>
    <s v="NETWORK"/>
    <s v="Network - InfraCo"/>
    <s v="SA"/>
    <s v="Australia"/>
    <s v="Salisbury"/>
    <s v="SALISBURY EXCHANGE"/>
    <n v="423030621100"/>
    <s v="Recycled Waste"/>
    <x v="0"/>
    <x v="0"/>
    <s v="Account"/>
    <s v="CLEANAWAY Cardboard"/>
    <m/>
    <s v="12375_Diversion_Cardboard"/>
    <s v="Cardboard"/>
    <s v="Cleanaway"/>
    <m/>
    <d v="2021-03-01T00:00:00"/>
    <m/>
    <d v="2021-03-01T00:00:00"/>
    <s v="FY21"/>
    <s v="t"/>
    <n v="0.22"/>
    <n v="7.4999999999999997E-2"/>
    <n v="0"/>
    <n v="0.29499999999999998"/>
    <n v="2"/>
    <n v="1"/>
    <n v="0"/>
    <n v="3"/>
    <n v="74.569999999999993"/>
    <n v="25.42"/>
    <n v="0"/>
    <s v="Consolidation"/>
    <s v="CO2e and Base Measure"/>
    <n v="100"/>
    <n v="100"/>
    <n v="0.3"/>
    <m/>
    <m/>
    <m/>
    <m/>
    <m/>
    <m/>
    <m/>
    <m/>
    <m/>
    <m/>
    <m/>
    <m/>
    <m/>
    <s v="AUD"/>
    <s v="13641203Waste Recycled - Paper and Cardboard [t]"/>
    <n v="13641203"/>
  </r>
  <r>
    <d v="2019-07-01T00:00:00"/>
    <d v="2021-06-30T00:00:00"/>
    <s v="Telstra"/>
    <s v="NETWORK"/>
    <s v="Network - InfraCo"/>
    <s v="SA"/>
    <s v="Australia"/>
    <s v="Salisbury"/>
    <s v="SALISBURY EXCHANGE"/>
    <n v="423030621100"/>
    <s v="Recycled Waste"/>
    <x v="0"/>
    <x v="0"/>
    <s v="Account"/>
    <s v="CLEANAWAY Cardboard"/>
    <m/>
    <s v="12375_Diversion_Cardboard"/>
    <s v="Cardboard"/>
    <s v="Cleanaway"/>
    <m/>
    <d v="2021-03-01T00:00:00"/>
    <m/>
    <d v="2021-04-01T00:00:00"/>
    <s v="FY21"/>
    <s v="t"/>
    <n v="0"/>
    <n v="0"/>
    <n v="0.29399999999999998"/>
    <n v="0.29399999999999998"/>
    <n v="0"/>
    <n v="0"/>
    <n v="30"/>
    <n v="30"/>
    <n v="0"/>
    <n v="0"/>
    <n v="100"/>
    <s v="Consolidation"/>
    <s v="CO2e and Base Measure"/>
    <n v="100"/>
    <n v="100"/>
    <n v="0.28999999999999998"/>
    <m/>
    <m/>
    <m/>
    <m/>
    <m/>
    <m/>
    <m/>
    <m/>
    <m/>
    <m/>
    <m/>
    <m/>
    <m/>
    <s v="AUD"/>
    <s v="13641203Waste Recycled - Paper and Cardboard [t]"/>
    <n v="13641203"/>
  </r>
  <r>
    <d v="2019-07-01T00:00:00"/>
    <d v="2021-06-30T00:00:00"/>
    <s v="Telstra"/>
    <s v="NETWORK"/>
    <s v="Network - InfraCo"/>
    <s v="SA"/>
    <s v="Australia"/>
    <s v="Salisbury"/>
    <s v="SALISBURY EXCHANGE"/>
    <n v="423030621100"/>
    <s v="Recycled Waste"/>
    <x v="0"/>
    <x v="0"/>
    <s v="Account"/>
    <s v="CLEANAWAY Cardboard"/>
    <m/>
    <s v="12375_Diversion_Cardboard"/>
    <s v="Cardboard"/>
    <s v="Cleanaway"/>
    <m/>
    <d v="2021-03-01T00:00:00"/>
    <m/>
    <d v="2021-05-01T00:00:00"/>
    <s v="FY21"/>
    <s v="t"/>
    <n v="0"/>
    <n v="0"/>
    <n v="0.30380000000000001"/>
    <n v="0.30380000000000001"/>
    <n v="0"/>
    <n v="0"/>
    <n v="31"/>
    <n v="31"/>
    <n v="0"/>
    <n v="0"/>
    <n v="100"/>
    <s v="Consolidation"/>
    <s v="CO2e and Base Measure"/>
    <n v="100"/>
    <n v="100"/>
    <n v="0.3"/>
    <m/>
    <m/>
    <m/>
    <m/>
    <m/>
    <m/>
    <m/>
    <m/>
    <m/>
    <m/>
    <m/>
    <m/>
    <m/>
    <s v="AUD"/>
    <s v="13641203Waste Recycled - Paper and Cardboard [t]"/>
    <n v="1364120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09-01T00:00:00"/>
    <s v="FY21"/>
    <s v="t"/>
    <n v="0"/>
    <n v="0.189"/>
    <n v="0"/>
    <n v="0.189"/>
    <n v="0"/>
    <n v="3"/>
    <n v="0"/>
    <n v="3"/>
    <n v="0"/>
    <n v="100"/>
    <n v="0"/>
    <s v="Consolidation"/>
    <s v="CO2e and Base Measure"/>
    <n v="100"/>
    <n v="100"/>
    <n v="0.19"/>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243Waste Recycled - Cardboard [t]"/>
    <n v="13564243"/>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07-01T00:00:00"/>
    <s v="FY21"/>
    <s v="t"/>
    <n v="0.39"/>
    <n v="0"/>
    <n v="0"/>
    <n v="0.39"/>
    <n v="2"/>
    <n v="0"/>
    <n v="0"/>
    <n v="2"/>
    <n v="100"/>
    <n v="0"/>
    <n v="0"/>
    <s v="Consolidation"/>
    <s v="CO2e and Base Measure"/>
    <n v="100"/>
    <n v="100"/>
    <n v="0.39"/>
    <m/>
    <m/>
    <m/>
    <m/>
    <m/>
    <n v="0.50700000000000001"/>
    <m/>
    <n v="0.50700000000000001"/>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08-01T00:00:00"/>
    <s v="FY21"/>
    <s v="t"/>
    <n v="0.74"/>
    <n v="0"/>
    <n v="0"/>
    <n v="0.74"/>
    <n v="2"/>
    <n v="0"/>
    <n v="0"/>
    <n v="2"/>
    <n v="100"/>
    <n v="0"/>
    <n v="0"/>
    <s v="Consolidation"/>
    <s v="CO2e and Base Measure"/>
    <n v="100"/>
    <n v="100"/>
    <n v="0.74"/>
    <m/>
    <m/>
    <m/>
    <m/>
    <m/>
    <n v="0.96199999999999997"/>
    <m/>
    <n v="0.96199999999999997"/>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09-01T00:00:00"/>
    <s v="FY21"/>
    <s v="t"/>
    <n v="1.84"/>
    <n v="0"/>
    <n v="0"/>
    <n v="1.84"/>
    <n v="3"/>
    <n v="0"/>
    <n v="0"/>
    <n v="3"/>
    <n v="100"/>
    <n v="0"/>
    <n v="0"/>
    <s v="Consolidation"/>
    <s v="CO2e and Base Measure"/>
    <n v="100"/>
    <n v="100"/>
    <n v="1.84"/>
    <m/>
    <m/>
    <m/>
    <m/>
    <m/>
    <n v="2.3919999999999999"/>
    <m/>
    <n v="2.3919999999999999"/>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10-01T00:00:00"/>
    <s v="FY21"/>
    <s v="t"/>
    <n v="0.8"/>
    <n v="0"/>
    <n v="0"/>
    <n v="0.8"/>
    <n v="2"/>
    <n v="0"/>
    <n v="0"/>
    <n v="2"/>
    <n v="100"/>
    <n v="0"/>
    <n v="0"/>
    <s v="Consolidation"/>
    <s v="CO2e and Base Measure"/>
    <n v="100"/>
    <n v="100"/>
    <n v="0.8"/>
    <m/>
    <m/>
    <m/>
    <m/>
    <m/>
    <n v="1.04"/>
    <m/>
    <n v="1.04"/>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11-01T00:00:00"/>
    <s v="FY21"/>
    <s v="t"/>
    <n v="0.61"/>
    <n v="0"/>
    <n v="0"/>
    <n v="0.61"/>
    <n v="2"/>
    <n v="0"/>
    <n v="0"/>
    <n v="2"/>
    <n v="100"/>
    <n v="0"/>
    <n v="0"/>
    <s v="Consolidation"/>
    <s v="CO2e and Base Measure"/>
    <n v="100"/>
    <n v="100"/>
    <n v="0.61"/>
    <m/>
    <m/>
    <m/>
    <m/>
    <m/>
    <n v="0.79300000000000004"/>
    <m/>
    <n v="0.79300000000000004"/>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1-01-01T00:00:00"/>
    <s v="FY21"/>
    <s v="t"/>
    <n v="0"/>
    <n v="0"/>
    <n v="2.6100000000000002E-2"/>
    <n v="2.6100000000000002E-2"/>
    <n v="0"/>
    <n v="0"/>
    <n v="1"/>
    <n v="1"/>
    <n v="0"/>
    <n v="0"/>
    <n v="100"/>
    <s v="Consolidation"/>
    <s v="CO2e and Base Measure"/>
    <n v="100"/>
    <n v="100"/>
    <n v="0.03"/>
    <m/>
    <m/>
    <m/>
    <m/>
    <m/>
    <n v="3.39E-2"/>
    <m/>
    <n v="3.39E-2"/>
    <m/>
    <m/>
    <m/>
    <m/>
    <m/>
    <s v="AUD"/>
    <s v="13564244Waste - General [t] - Scope 3"/>
    <n v="13564244"/>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0-12-01T00:00:00"/>
    <s v="FY21"/>
    <s v="t"/>
    <n v="0.38500000000000001"/>
    <n v="0"/>
    <n v="0"/>
    <n v="0.38500000000000001"/>
    <n v="1"/>
    <n v="0"/>
    <n v="0"/>
    <n v="1"/>
    <n v="100"/>
    <n v="0"/>
    <n v="0"/>
    <s v="Consolidation"/>
    <s v="CO2e and Base Measure"/>
    <n v="100"/>
    <n v="100"/>
    <n v="0.39"/>
    <m/>
    <m/>
    <m/>
    <m/>
    <m/>
    <n v="0.50049999999999994"/>
    <m/>
    <n v="0.50049999999999994"/>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1-01T00:00:00"/>
    <s v="FY21"/>
    <s v="t"/>
    <n v="0.58299999999999996"/>
    <n v="0"/>
    <n v="0"/>
    <n v="0.58299999999999996"/>
    <n v="2"/>
    <n v="0"/>
    <n v="0"/>
    <n v="2"/>
    <n v="100"/>
    <n v="0"/>
    <n v="0"/>
    <s v="Consolidation"/>
    <s v="CO2e and Base Measure"/>
    <n v="100"/>
    <n v="100"/>
    <n v="0.57999999999999996"/>
    <m/>
    <m/>
    <m/>
    <m/>
    <m/>
    <n v="0.75790000000000002"/>
    <m/>
    <n v="0.75790000000000002"/>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2-01T00:00:00"/>
    <s v="FY21"/>
    <s v="t"/>
    <n v="0.17699999999999999"/>
    <n v="0.13500000000000001"/>
    <n v="0"/>
    <n v="0.312"/>
    <n v="1"/>
    <n v="1"/>
    <n v="0"/>
    <n v="2"/>
    <n v="56.73"/>
    <n v="43.26"/>
    <n v="0"/>
    <s v="Consolidation"/>
    <s v="CO2e and Base Measure"/>
    <n v="100"/>
    <n v="100"/>
    <n v="0.31"/>
    <m/>
    <m/>
    <m/>
    <m/>
    <m/>
    <n v="0.40560000000000002"/>
    <m/>
    <n v="0.40560000000000002"/>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3-01T00:00:00"/>
    <s v="FY21"/>
    <s v="t"/>
    <n v="0.63900000000000001"/>
    <n v="0"/>
    <n v="0"/>
    <n v="0.63900000000000001"/>
    <n v="2"/>
    <n v="0"/>
    <n v="0"/>
    <n v="2"/>
    <n v="100"/>
    <n v="0"/>
    <n v="0"/>
    <s v="Consolidation"/>
    <s v="CO2e and Base Measure"/>
    <n v="100"/>
    <n v="100"/>
    <n v="0.64"/>
    <m/>
    <m/>
    <m/>
    <m/>
    <m/>
    <n v="0.83069999999999999"/>
    <m/>
    <n v="0.83069999999999999"/>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4-01T00:00:00"/>
    <s v="FY21"/>
    <s v="t"/>
    <n v="0"/>
    <n v="0"/>
    <n v="0.48"/>
    <n v="0.48"/>
    <n v="0"/>
    <n v="0"/>
    <n v="30"/>
    <n v="30"/>
    <n v="0"/>
    <n v="0"/>
    <n v="100"/>
    <s v="Consolidation"/>
    <s v="CO2e and Base Measure"/>
    <n v="100"/>
    <n v="100"/>
    <n v="0.48"/>
    <m/>
    <m/>
    <m/>
    <m/>
    <m/>
    <n v="0.624"/>
    <m/>
    <n v="0.624"/>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5-01T00:00:00"/>
    <s v="FY21"/>
    <s v="t"/>
    <n v="0"/>
    <n v="0"/>
    <n v="0.496"/>
    <n v="0.496"/>
    <n v="0"/>
    <n v="0"/>
    <n v="31"/>
    <n v="31"/>
    <n v="0"/>
    <n v="0"/>
    <n v="100"/>
    <s v="Consolidation"/>
    <s v="CO2e and Base Measure"/>
    <n v="100"/>
    <n v="100"/>
    <n v="0.5"/>
    <m/>
    <m/>
    <m/>
    <m/>
    <m/>
    <n v="0.64480000000000004"/>
    <m/>
    <n v="0.64480000000000004"/>
    <m/>
    <m/>
    <m/>
    <m/>
    <m/>
    <s v="AUD"/>
    <s v="13634248Waste - General [t] - Scope 3"/>
    <n v="13634248"/>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0-12-01T00:00:00"/>
    <s v="FY21"/>
    <s v="t"/>
    <n v="0"/>
    <n v="7.4999999999999997E-2"/>
    <n v="0"/>
    <n v="7.4999999999999997E-2"/>
    <n v="0"/>
    <n v="1"/>
    <n v="0"/>
    <n v="1"/>
    <n v="0"/>
    <n v="100"/>
    <n v="0"/>
    <s v="Consolidation"/>
    <s v="CO2e and Base Measure"/>
    <n v="100"/>
    <n v="100"/>
    <n v="0.08"/>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1-01T00:00:00"/>
    <s v="FY21"/>
    <s v="t"/>
    <n v="0.111"/>
    <n v="0"/>
    <n v="0"/>
    <n v="0.111"/>
    <n v="2"/>
    <n v="0"/>
    <n v="0"/>
    <n v="2"/>
    <n v="100"/>
    <n v="0"/>
    <n v="0"/>
    <s v="Consolidation"/>
    <s v="CO2e and Base Measure"/>
    <n v="100"/>
    <n v="100"/>
    <n v="0.11"/>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2-01T00:00:00"/>
    <s v="FY21"/>
    <s v="t"/>
    <n v="8.7999999999999995E-2"/>
    <n v="0"/>
    <n v="0"/>
    <n v="8.7999999999999995E-2"/>
    <n v="2"/>
    <n v="0"/>
    <n v="0"/>
    <n v="2"/>
    <n v="100"/>
    <n v="0"/>
    <n v="0"/>
    <s v="Consolidation"/>
    <s v="CO2e and Base Measure"/>
    <n v="100"/>
    <n v="100"/>
    <n v="0.09"/>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3-01T00:00:00"/>
    <s v="FY21"/>
    <s v="t"/>
    <n v="0.11600000000000001"/>
    <n v="0"/>
    <n v="0"/>
    <n v="0.11600000000000001"/>
    <n v="2"/>
    <n v="0"/>
    <n v="0"/>
    <n v="2"/>
    <n v="100"/>
    <n v="0"/>
    <n v="0"/>
    <s v="Consolidation"/>
    <s v="CO2e and Base Measure"/>
    <n v="100"/>
    <n v="100"/>
    <n v="0.12"/>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4-01T00:00:00"/>
    <s v="FY21"/>
    <s v="t"/>
    <n v="0"/>
    <n v="0"/>
    <n v="9.9000000000000005E-2"/>
    <n v="9.9000000000000005E-2"/>
    <n v="0"/>
    <n v="0"/>
    <n v="30"/>
    <n v="30"/>
    <n v="0"/>
    <n v="0"/>
    <n v="100"/>
    <s v="Consolidation"/>
    <s v="CO2e and Base Measure"/>
    <n v="100"/>
    <n v="100"/>
    <n v="0.1"/>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5-01T00:00:00"/>
    <s v="FY21"/>
    <s v="t"/>
    <n v="0"/>
    <n v="0"/>
    <n v="0.1023"/>
    <n v="0.1023"/>
    <n v="0"/>
    <n v="0"/>
    <n v="31"/>
    <n v="31"/>
    <n v="0"/>
    <n v="0"/>
    <n v="100"/>
    <s v="Consolidation"/>
    <s v="CO2e and Base Measure"/>
    <n v="100"/>
    <n v="100"/>
    <n v="0.1"/>
    <m/>
    <m/>
    <m/>
    <m/>
    <m/>
    <m/>
    <m/>
    <m/>
    <m/>
    <m/>
    <m/>
    <m/>
    <m/>
    <s v="AUD"/>
    <s v="13634249Waste Recycled - Paper and Cardboard [t]"/>
    <n v="13634249"/>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245Waste - General [t] - Scope 3"/>
    <n v="13564245"/>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2-01T00:00:00"/>
    <s v="FY21"/>
    <s v="t"/>
    <n v="0.11799999999999999"/>
    <n v="6.7500000000000004E-2"/>
    <n v="0"/>
    <n v="0.1855"/>
    <n v="2"/>
    <n v="1"/>
    <n v="0"/>
    <n v="3"/>
    <n v="63.61"/>
    <n v="36.380000000000003"/>
    <n v="0"/>
    <s v="Consolidation"/>
    <s v="CO2e and Base Measure"/>
    <n v="100"/>
    <n v="100"/>
    <n v="0.19"/>
    <m/>
    <m/>
    <m/>
    <m/>
    <m/>
    <n v="0.2412"/>
    <m/>
    <n v="0.2412"/>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3-01T00:00:00"/>
    <s v="FY21"/>
    <s v="t"/>
    <n v="0.33900000000000002"/>
    <n v="0"/>
    <n v="0"/>
    <n v="0.33900000000000002"/>
    <n v="2"/>
    <n v="0"/>
    <n v="0"/>
    <n v="2"/>
    <n v="100"/>
    <n v="0"/>
    <n v="0"/>
    <s v="Consolidation"/>
    <s v="CO2e and Base Measure"/>
    <n v="100"/>
    <n v="100"/>
    <n v="0.34"/>
    <m/>
    <m/>
    <m/>
    <m/>
    <m/>
    <n v="0.44069999999999998"/>
    <m/>
    <n v="0.44069999999999998"/>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4-01T00:00:00"/>
    <s v="FY21"/>
    <s v="t"/>
    <n v="0"/>
    <n v="0"/>
    <n v="0.19800000000000001"/>
    <n v="0.19800000000000001"/>
    <n v="0"/>
    <n v="0"/>
    <n v="30"/>
    <n v="30"/>
    <n v="0"/>
    <n v="0"/>
    <n v="100"/>
    <s v="Consolidation"/>
    <s v="CO2e and Base Measure"/>
    <n v="100"/>
    <n v="100"/>
    <n v="0.2"/>
    <m/>
    <m/>
    <m/>
    <m/>
    <m/>
    <n v="0.25740000000000002"/>
    <m/>
    <n v="0.25740000000000002"/>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5-01T00:00:00"/>
    <s v="FY21"/>
    <s v="t"/>
    <n v="0"/>
    <n v="0"/>
    <n v="0.2046"/>
    <n v="0.2046"/>
    <n v="0"/>
    <n v="0"/>
    <n v="31"/>
    <n v="31"/>
    <n v="0"/>
    <n v="0"/>
    <n v="100"/>
    <s v="Consolidation"/>
    <s v="CO2e and Base Measure"/>
    <n v="100"/>
    <n v="100"/>
    <n v="0.2"/>
    <m/>
    <m/>
    <m/>
    <m/>
    <m/>
    <n v="0.26600000000000001"/>
    <m/>
    <n v="0.26600000000000001"/>
    <m/>
    <m/>
    <m/>
    <m/>
    <m/>
    <s v="AUD"/>
    <s v="13634250Waste - General [t] - Scope 3"/>
    <n v="13634250"/>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311Waste - General [t] - Scope 3"/>
    <n v="13564311"/>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07-01T00:00:00"/>
    <s v="FY21"/>
    <s v="t"/>
    <n v="0"/>
    <n v="6.3E-2"/>
    <n v="0"/>
    <n v="6.3E-2"/>
    <n v="0"/>
    <n v="1"/>
    <n v="0"/>
    <n v="1"/>
    <n v="0"/>
    <n v="100"/>
    <n v="0"/>
    <s v="Consolidation"/>
    <s v="CO2e and Base Measure"/>
    <n v="100"/>
    <n v="100"/>
    <n v="0.06"/>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12-01T00:00:00"/>
    <s v="FY21"/>
    <s v="t"/>
    <n v="0"/>
    <n v="0"/>
    <n v="3.8E-3"/>
    <n v="3.8E-3"/>
    <n v="0"/>
    <n v="0"/>
    <n v="1"/>
    <n v="1"/>
    <n v="0"/>
    <n v="0"/>
    <n v="100"/>
    <s v="Consolidation"/>
    <s v="CO2e and Base Measure"/>
    <n v="100"/>
    <n v="100"/>
    <n v="0"/>
    <m/>
    <m/>
    <m/>
    <m/>
    <m/>
    <m/>
    <n v="0"/>
    <m/>
    <m/>
    <m/>
    <m/>
    <m/>
    <m/>
    <s v="AUD"/>
    <s v="13565087Waste Recycled - Cardboard [t]"/>
    <n v="13565087"/>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07-01T00:00:00"/>
    <s v="FY21"/>
    <s v="t"/>
    <n v="0.37"/>
    <n v="0"/>
    <n v="0"/>
    <n v="0.37"/>
    <n v="1"/>
    <n v="0"/>
    <n v="0"/>
    <n v="1"/>
    <n v="100"/>
    <n v="0"/>
    <n v="0"/>
    <s v="Consolidation"/>
    <s v="CO2e and Base Measure"/>
    <n v="100"/>
    <n v="100"/>
    <n v="0.37"/>
    <m/>
    <m/>
    <m/>
    <m/>
    <m/>
    <n v="0.48099999999999998"/>
    <m/>
    <n v="0.48099999999999998"/>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08-01T00:00:00"/>
    <s v="FY21"/>
    <s v="t"/>
    <n v="0.17"/>
    <n v="0"/>
    <n v="0"/>
    <n v="0.17"/>
    <n v="1"/>
    <n v="0"/>
    <n v="0"/>
    <n v="1"/>
    <n v="100"/>
    <n v="0"/>
    <n v="0"/>
    <s v="Consolidation"/>
    <s v="CO2e and Base Measure"/>
    <n v="100"/>
    <n v="100"/>
    <n v="0.17"/>
    <m/>
    <m/>
    <m/>
    <m/>
    <m/>
    <n v="0.221"/>
    <m/>
    <n v="0.221"/>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09-01T00:00:00"/>
    <s v="FY21"/>
    <s v="t"/>
    <n v="0.1"/>
    <n v="0"/>
    <n v="0"/>
    <n v="0.1"/>
    <n v="1"/>
    <n v="0"/>
    <n v="0"/>
    <n v="1"/>
    <n v="100"/>
    <n v="0"/>
    <n v="0"/>
    <s v="Consolidation"/>
    <s v="CO2e and Base Measure"/>
    <n v="100"/>
    <n v="100"/>
    <n v="0.1"/>
    <m/>
    <m/>
    <m/>
    <m/>
    <m/>
    <n v="0.13"/>
    <m/>
    <n v="0.13"/>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10-01T00:00:00"/>
    <s v="FY21"/>
    <s v="t"/>
    <n v="0.22"/>
    <n v="0"/>
    <n v="0"/>
    <n v="0.22"/>
    <n v="1"/>
    <n v="0"/>
    <n v="0"/>
    <n v="1"/>
    <n v="100"/>
    <n v="0"/>
    <n v="0"/>
    <s v="Consolidation"/>
    <s v="CO2e and Base Measure"/>
    <n v="100"/>
    <n v="100"/>
    <n v="0.22"/>
    <m/>
    <m/>
    <m/>
    <m/>
    <m/>
    <n v="0.28599999999999998"/>
    <m/>
    <n v="0.28599999999999998"/>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11-01T00:00:00"/>
    <s v="FY21"/>
    <s v="t"/>
    <n v="0.185"/>
    <n v="0"/>
    <n v="0"/>
    <n v="0.185"/>
    <n v="1"/>
    <n v="0"/>
    <n v="0"/>
    <n v="1"/>
    <n v="100"/>
    <n v="0"/>
    <n v="0"/>
    <s v="Consolidation"/>
    <s v="CO2e and Base Measure"/>
    <n v="100"/>
    <n v="100"/>
    <n v="0.19"/>
    <m/>
    <m/>
    <m/>
    <m/>
    <m/>
    <n v="0.24049999999999999"/>
    <m/>
    <n v="0.24049999999999999"/>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12-01T00:00:00"/>
    <s v="FY21"/>
    <s v="t"/>
    <n v="0"/>
    <n v="0"/>
    <n v="6.7999999999999996E-3"/>
    <n v="6.7999999999999996E-3"/>
    <n v="0"/>
    <n v="0"/>
    <n v="1"/>
    <n v="1"/>
    <n v="0"/>
    <n v="0"/>
    <n v="100"/>
    <s v="Consolidation"/>
    <s v="CO2e and Base Measure"/>
    <n v="100"/>
    <n v="100"/>
    <n v="0.01"/>
    <m/>
    <m/>
    <m/>
    <m/>
    <m/>
    <n v="8.8000000000000005E-3"/>
    <m/>
    <n v="8.8000000000000005E-3"/>
    <m/>
    <m/>
    <m/>
    <m/>
    <m/>
    <s v="AUD"/>
    <s v="13565088Waste - General [t] - Scope 3"/>
    <n v="13565088"/>
  </r>
  <r>
    <d v="2019-07-01T00:00:00"/>
    <d v="2021-06-30T00:00:00"/>
    <s v="Telstra"/>
    <s v="NETWORK"/>
    <s v="Network - InfraCo"/>
    <s v="VIC"/>
    <s v="Australia"/>
    <s v="Victoria"/>
    <s v="SANDRINGHAM EXCHANGE"/>
    <n v="423030668000"/>
    <s v="Waste"/>
    <x v="1"/>
    <x v="2"/>
    <s v="Account"/>
    <s v="CLEANAWAY General"/>
    <m/>
    <s v="25933_Landfill_General"/>
    <s v="General"/>
    <s v="Cleanaway"/>
    <m/>
    <m/>
    <m/>
    <d v="2021-03-01T00:00:00"/>
    <s v="FY21"/>
    <s v="t"/>
    <n v="0.46400000000000002"/>
    <n v="0"/>
    <n v="0"/>
    <n v="0.46400000000000002"/>
    <n v="1"/>
    <n v="0"/>
    <n v="0"/>
    <n v="1"/>
    <n v="100"/>
    <n v="0"/>
    <n v="0"/>
    <s v="Consolidation"/>
    <s v="CO2e and Base Measure"/>
    <n v="100"/>
    <n v="100"/>
    <n v="0.46"/>
    <m/>
    <m/>
    <m/>
    <m/>
    <m/>
    <n v="0.60319999999999996"/>
    <m/>
    <n v="0.60319999999999996"/>
    <m/>
    <m/>
    <m/>
    <m/>
    <m/>
    <s v="AUD"/>
    <s v="13641232Waste - General [t] - Scope 3"/>
    <n v="13641232"/>
  </r>
  <r>
    <d v="2019-07-01T00:00:00"/>
    <d v="2021-06-30T00:00:00"/>
    <s v="Telstra"/>
    <s v="NETWORK"/>
    <s v="Network - InfraCo"/>
    <s v="VIC"/>
    <s v="Australia"/>
    <s v="Victoria"/>
    <s v="SANDRINGHAM EXCHANGE"/>
    <n v="423030668000"/>
    <s v="Waste"/>
    <x v="1"/>
    <x v="2"/>
    <s v="Account"/>
    <s v="CLEANAWAY General"/>
    <m/>
    <s v="25933_Landfill_General"/>
    <s v="General"/>
    <s v="Cleanaway"/>
    <m/>
    <m/>
    <m/>
    <d v="2021-04-01T00:00:00"/>
    <s v="FY21"/>
    <s v="t"/>
    <n v="0"/>
    <n v="0"/>
    <n v="0.46500000000000002"/>
    <n v="0.46500000000000002"/>
    <n v="0"/>
    <n v="0"/>
    <n v="30"/>
    <n v="30"/>
    <n v="0"/>
    <n v="0"/>
    <n v="100"/>
    <s v="Consolidation"/>
    <s v="CO2e and Base Measure"/>
    <n v="100"/>
    <n v="100"/>
    <n v="0.47"/>
    <m/>
    <m/>
    <m/>
    <m/>
    <m/>
    <n v="0.60450000000000004"/>
    <m/>
    <n v="0.60450000000000004"/>
    <m/>
    <m/>
    <m/>
    <m/>
    <m/>
    <s v="AUD"/>
    <s v="13641232Waste - General [t] - Scope 3"/>
    <n v="13641232"/>
  </r>
  <r>
    <d v="2019-07-01T00:00:00"/>
    <d v="2021-06-30T00:00:00"/>
    <s v="Telstra"/>
    <s v="NETWORK"/>
    <s v="Network - InfraCo"/>
    <s v="VIC"/>
    <s v="Australia"/>
    <s v="Victoria"/>
    <s v="SANDRINGHAM EXCHANGE"/>
    <n v="423030668000"/>
    <s v="Waste"/>
    <x v="1"/>
    <x v="2"/>
    <s v="Account"/>
    <s v="CLEANAWAY General"/>
    <m/>
    <s v="25933_Landfill_General"/>
    <s v="General"/>
    <s v="Cleanaway"/>
    <m/>
    <m/>
    <m/>
    <d v="2021-05-01T00:00:00"/>
    <s v="FY21"/>
    <s v="t"/>
    <n v="0"/>
    <n v="0"/>
    <n v="0.48049999999999998"/>
    <n v="0.48049999999999998"/>
    <n v="0"/>
    <n v="0"/>
    <n v="31"/>
    <n v="31"/>
    <n v="0"/>
    <n v="0"/>
    <n v="100"/>
    <s v="Consolidation"/>
    <s v="CO2e and Base Measure"/>
    <n v="100"/>
    <n v="100"/>
    <n v="0.48"/>
    <m/>
    <m/>
    <m/>
    <m/>
    <m/>
    <n v="0.62470000000000003"/>
    <m/>
    <n v="0.62470000000000003"/>
    <m/>
    <m/>
    <m/>
    <m/>
    <m/>
    <s v="AUD"/>
    <s v="13641232Waste - General [t] - Scope 3"/>
    <n v="13641232"/>
  </r>
  <r>
    <d v="2019-07-01T00:00:00"/>
    <d v="2021-06-30T00:00:00"/>
    <s v="Telstra"/>
    <s v="NETWORK"/>
    <s v="Network - InfraCo"/>
    <s v="VIC"/>
    <s v="Australia"/>
    <s v="Victoria"/>
    <s v="SANDRINGHAM EXCHANGE"/>
    <n v="423030668000"/>
    <s v="Recycled Waste"/>
    <x v="0"/>
    <x v="0"/>
    <s v="Account"/>
    <s v="CLEANAWAY Cardboard"/>
    <m/>
    <s v="25933_Diversion_Cardboard"/>
    <s v="Cardboard"/>
    <s v="Cleanaway"/>
    <m/>
    <m/>
    <m/>
    <d v="2021-03-01T00:00:00"/>
    <s v="FY21"/>
    <s v="t"/>
    <n v="4.9000000000000002E-2"/>
    <n v="0"/>
    <n v="0"/>
    <n v="4.9000000000000002E-2"/>
    <n v="1"/>
    <n v="0"/>
    <n v="0"/>
    <n v="1"/>
    <n v="100"/>
    <n v="0"/>
    <n v="0"/>
    <s v="Consolidation"/>
    <s v="CO2e and Base Measure"/>
    <n v="100"/>
    <n v="100"/>
    <n v="0.05"/>
    <m/>
    <m/>
    <m/>
    <m/>
    <m/>
    <m/>
    <m/>
    <m/>
    <m/>
    <m/>
    <m/>
    <m/>
    <m/>
    <s v="AUD"/>
    <s v="13641233Waste Recycled - Paper and Cardboard [t]"/>
    <n v="13641233"/>
  </r>
  <r>
    <d v="2019-07-01T00:00:00"/>
    <d v="2021-06-30T00:00:00"/>
    <s v="Telstra"/>
    <s v="NETWORK"/>
    <s v="Network - InfraCo"/>
    <s v="VIC"/>
    <s v="Australia"/>
    <s v="Victoria"/>
    <s v="SANDRINGHAM EXCHANGE"/>
    <n v="423030668000"/>
    <s v="Recycled Waste"/>
    <x v="0"/>
    <x v="0"/>
    <s v="Account"/>
    <s v="CLEANAWAY Cardboard"/>
    <m/>
    <s v="25933_Diversion_Cardboard"/>
    <s v="Cardboard"/>
    <s v="Cleanaway"/>
    <m/>
    <m/>
    <m/>
    <d v="2021-04-01T00:00:00"/>
    <s v="FY21"/>
    <s v="t"/>
    <n v="0"/>
    <n v="0"/>
    <n v="4.8000000000000001E-2"/>
    <n v="4.8000000000000001E-2"/>
    <n v="0"/>
    <n v="0"/>
    <n v="30"/>
    <n v="30"/>
    <n v="0"/>
    <n v="0"/>
    <n v="100"/>
    <s v="Consolidation"/>
    <s v="CO2e and Base Measure"/>
    <n v="100"/>
    <n v="100"/>
    <n v="0.05"/>
    <m/>
    <m/>
    <m/>
    <m/>
    <m/>
    <m/>
    <m/>
    <m/>
    <m/>
    <m/>
    <m/>
    <m/>
    <m/>
    <s v="AUD"/>
    <s v="13641233Waste Recycled - Paper and Cardboard [t]"/>
    <n v="13641233"/>
  </r>
  <r>
    <d v="2019-07-01T00:00:00"/>
    <d v="2021-06-30T00:00:00"/>
    <s v="Telstra"/>
    <s v="NETWORK"/>
    <s v="Network - InfraCo"/>
    <s v="VIC"/>
    <s v="Australia"/>
    <s v="Victoria"/>
    <s v="SANDRINGHAM EXCHANGE"/>
    <n v="423030668000"/>
    <s v="Recycled Waste"/>
    <x v="0"/>
    <x v="0"/>
    <s v="Account"/>
    <s v="CLEANAWAY Cardboard"/>
    <m/>
    <s v="25933_Diversion_Cardboard"/>
    <s v="Cardboard"/>
    <s v="Cleanaway"/>
    <m/>
    <m/>
    <m/>
    <d v="2021-05-01T00:00:00"/>
    <s v="FY21"/>
    <s v="t"/>
    <n v="0"/>
    <n v="0"/>
    <n v="4.9599999999999998E-2"/>
    <n v="4.9599999999999998E-2"/>
    <n v="0"/>
    <n v="0"/>
    <n v="31"/>
    <n v="31"/>
    <n v="0"/>
    <n v="0"/>
    <n v="100"/>
    <s v="Consolidation"/>
    <s v="CO2e and Base Measure"/>
    <n v="100"/>
    <n v="100"/>
    <n v="0.05"/>
    <m/>
    <m/>
    <m/>
    <m/>
    <m/>
    <m/>
    <m/>
    <m/>
    <m/>
    <m/>
    <m/>
    <m/>
    <m/>
    <s v="AUD"/>
    <s v="13641233Waste Recycled - Paper and Cardboard [t]"/>
    <n v="13641233"/>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4246Waste - General [t] - Scope 3"/>
    <n v="13564246"/>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0-12-01T00:00:00"/>
    <s v="FY21"/>
    <s v="t"/>
    <n v="0"/>
    <n v="4.5600000000000002E-2"/>
    <n v="0"/>
    <n v="4.5600000000000002E-2"/>
    <n v="0"/>
    <n v="1"/>
    <n v="0"/>
    <n v="1"/>
    <n v="0"/>
    <n v="100"/>
    <n v="0"/>
    <s v="Consolidation"/>
    <s v="CO2e and Base Measure"/>
    <n v="100"/>
    <n v="100"/>
    <n v="0.05"/>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1-01T00:00:00"/>
    <s v="FY21"/>
    <s v="t"/>
    <n v="0"/>
    <n v="0"/>
    <n v="4.65E-2"/>
    <n v="4.65E-2"/>
    <n v="0"/>
    <n v="0"/>
    <n v="31"/>
    <n v="31"/>
    <n v="0"/>
    <n v="0"/>
    <n v="100"/>
    <s v="Consolidation"/>
    <s v="CO2e and Base Measure"/>
    <n v="100"/>
    <n v="100"/>
    <n v="0.05"/>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2-01T00:00:00"/>
    <s v="FY21"/>
    <s v="t"/>
    <n v="0"/>
    <n v="0"/>
    <n v="4.2000000000000003E-2"/>
    <n v="4.2000000000000003E-2"/>
    <n v="0"/>
    <n v="0"/>
    <n v="28"/>
    <n v="28"/>
    <n v="0"/>
    <n v="0"/>
    <n v="100"/>
    <s v="Consolidation"/>
    <s v="CO2e and Base Measure"/>
    <n v="100"/>
    <n v="100"/>
    <n v="0.04"/>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3-01T00:00:00"/>
    <s v="FY21"/>
    <s v="t"/>
    <n v="0"/>
    <n v="0"/>
    <n v="4.65E-2"/>
    <n v="4.65E-2"/>
    <n v="0"/>
    <n v="0"/>
    <n v="31"/>
    <n v="31"/>
    <n v="0"/>
    <n v="0"/>
    <n v="100"/>
    <s v="Consolidation"/>
    <s v="CO2e and Base Measure"/>
    <n v="100"/>
    <n v="100"/>
    <n v="0.05"/>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4-01T00:00:00"/>
    <s v="FY21"/>
    <s v="t"/>
    <n v="0"/>
    <n v="0"/>
    <n v="4.4999999999999998E-2"/>
    <n v="4.4999999999999998E-2"/>
    <n v="0"/>
    <n v="0"/>
    <n v="30"/>
    <n v="30"/>
    <n v="0"/>
    <n v="0"/>
    <n v="100"/>
    <s v="Consolidation"/>
    <s v="CO2e and Base Measure"/>
    <n v="100"/>
    <n v="100"/>
    <n v="0.05"/>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5-01T00:00:00"/>
    <s v="FY21"/>
    <s v="t"/>
    <n v="0"/>
    <n v="0"/>
    <n v="4.65E-2"/>
    <n v="4.65E-2"/>
    <n v="0"/>
    <n v="0"/>
    <n v="31"/>
    <n v="31"/>
    <n v="0"/>
    <n v="0"/>
    <n v="100"/>
    <s v="Consolidation"/>
    <s v="CO2e and Base Measure"/>
    <n v="100"/>
    <n v="100"/>
    <n v="0.05"/>
    <m/>
    <m/>
    <m/>
    <m/>
    <m/>
    <m/>
    <m/>
    <m/>
    <m/>
    <m/>
    <m/>
    <m/>
    <m/>
    <s v="AUD"/>
    <s v="13633438Waste Recycled - E-waste [t]"/>
    <n v="13633438"/>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08-01T00:00:00"/>
    <s v="FY21"/>
    <s v="t"/>
    <n v="0"/>
    <n v="2.3300000000000001E-2"/>
    <n v="0"/>
    <n v="2.3300000000000001E-2"/>
    <n v="0"/>
    <n v="1"/>
    <n v="0"/>
    <n v="1"/>
    <n v="0"/>
    <n v="100"/>
    <n v="0"/>
    <s v="Consolidation"/>
    <s v="CO2e and Base Measure"/>
    <n v="100"/>
    <n v="100"/>
    <n v="0.02"/>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09-01T00:00:00"/>
    <s v="FY21"/>
    <s v="t"/>
    <n v="7.0000000000000001E-3"/>
    <n v="0"/>
    <n v="0"/>
    <n v="7.0000000000000001E-3"/>
    <n v="1"/>
    <n v="0"/>
    <n v="0"/>
    <n v="1"/>
    <n v="100"/>
    <n v="0"/>
    <n v="0"/>
    <s v="Consolidation"/>
    <s v="CO2e and Base Measure"/>
    <n v="100"/>
    <n v="100"/>
    <n v="0.01"/>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10-01T00:00:00"/>
    <s v="FY21"/>
    <s v="t"/>
    <n v="0"/>
    <n v="2.3300000000000001E-2"/>
    <n v="0"/>
    <n v="2.3300000000000001E-2"/>
    <n v="0"/>
    <n v="1"/>
    <n v="0"/>
    <n v="1"/>
    <n v="0"/>
    <n v="100"/>
    <n v="0"/>
    <s v="Consolidation"/>
    <s v="CO2e and Base Measure"/>
    <n v="100"/>
    <n v="100"/>
    <n v="0.02"/>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11-01T00:00:00"/>
    <s v="FY21"/>
    <s v="t"/>
    <n v="0"/>
    <n v="2.3300000000000001E-2"/>
    <n v="0"/>
    <n v="2.3300000000000001E-2"/>
    <n v="0"/>
    <n v="1"/>
    <n v="0"/>
    <n v="1"/>
    <n v="0"/>
    <n v="100"/>
    <n v="0"/>
    <s v="Consolidation"/>
    <s v="CO2e and Base Measure"/>
    <n v="100"/>
    <n v="100"/>
    <n v="0.02"/>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1-01-01T00:00:00"/>
    <s v="FY21"/>
    <s v="t"/>
    <n v="0"/>
    <n v="0"/>
    <n v="5.0000000000000001E-4"/>
    <n v="5.0000000000000001E-4"/>
    <n v="0"/>
    <n v="0"/>
    <n v="1"/>
    <n v="1"/>
    <n v="0"/>
    <n v="0"/>
    <n v="100"/>
    <s v="Consolidation"/>
    <s v="CO2e and Base Measure"/>
    <n v="100"/>
    <n v="100"/>
    <n v="0"/>
    <m/>
    <m/>
    <m/>
    <m/>
    <m/>
    <m/>
    <n v="0"/>
    <m/>
    <m/>
    <m/>
    <m/>
    <m/>
    <m/>
    <s v="AUD"/>
    <s v="13565350Waste Recycled - Cardboard [t]"/>
    <n v="13565350"/>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07-01T00:00:00"/>
    <s v="FY21"/>
    <s v="t"/>
    <n v="5.5E-2"/>
    <n v="0.19500000000000001"/>
    <n v="0"/>
    <n v="0.25"/>
    <n v="1"/>
    <n v="1"/>
    <n v="0"/>
    <n v="2"/>
    <n v="22"/>
    <n v="78"/>
    <n v="0"/>
    <s v="Consolidation"/>
    <s v="CO2e and Base Measure"/>
    <n v="100"/>
    <n v="100"/>
    <n v="0.25"/>
    <m/>
    <m/>
    <m/>
    <m/>
    <m/>
    <n v="0.32500000000000001"/>
    <m/>
    <n v="0.32500000000000001"/>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08-01T00:00:00"/>
    <s v="FY21"/>
    <s v="t"/>
    <n v="0.23499999999999999"/>
    <n v="0"/>
    <n v="0"/>
    <n v="0.23499999999999999"/>
    <n v="2"/>
    <n v="0"/>
    <n v="0"/>
    <n v="2"/>
    <n v="100"/>
    <n v="0"/>
    <n v="0"/>
    <s v="Consolidation"/>
    <s v="CO2e and Base Measure"/>
    <n v="100"/>
    <n v="100"/>
    <n v="0.24"/>
    <m/>
    <m/>
    <m/>
    <m/>
    <m/>
    <n v="0.30549999999999999"/>
    <m/>
    <n v="0.30549999999999999"/>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09-01T00:00:00"/>
    <s v="FY21"/>
    <s v="t"/>
    <n v="0.255"/>
    <n v="0"/>
    <n v="0"/>
    <n v="0.255"/>
    <n v="2"/>
    <n v="0"/>
    <n v="0"/>
    <n v="2"/>
    <n v="100"/>
    <n v="0"/>
    <n v="0"/>
    <s v="Consolidation"/>
    <s v="CO2e and Base Measure"/>
    <n v="100"/>
    <n v="100"/>
    <n v="0.26"/>
    <m/>
    <m/>
    <m/>
    <m/>
    <m/>
    <n v="0.33150000000000002"/>
    <m/>
    <n v="0.33150000000000002"/>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10-01T00:00:00"/>
    <s v="FY21"/>
    <s v="t"/>
    <n v="0.02"/>
    <n v="0"/>
    <n v="0"/>
    <n v="0.02"/>
    <n v="2"/>
    <n v="0"/>
    <n v="0"/>
    <n v="2"/>
    <n v="100"/>
    <n v="0"/>
    <n v="0"/>
    <s v="Consolidation"/>
    <s v="CO2e and Base Measure"/>
    <n v="100"/>
    <n v="100"/>
    <n v="0.02"/>
    <m/>
    <m/>
    <m/>
    <m/>
    <m/>
    <n v="2.5999999999999999E-2"/>
    <m/>
    <n v="2.5999999999999999E-2"/>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11-01T00:00:00"/>
    <s v="FY21"/>
    <s v="t"/>
    <n v="0.1"/>
    <n v="0.19500000000000001"/>
    <n v="0"/>
    <n v="0.29499999999999998"/>
    <n v="1"/>
    <n v="1"/>
    <n v="0"/>
    <n v="2"/>
    <n v="33.89"/>
    <n v="66.099999999999994"/>
    <n v="0"/>
    <s v="Consolidation"/>
    <s v="CO2e and Base Measure"/>
    <n v="100"/>
    <n v="100"/>
    <n v="0.3"/>
    <m/>
    <m/>
    <m/>
    <m/>
    <m/>
    <n v="0.38350000000000001"/>
    <m/>
    <n v="0.38350000000000001"/>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12-01T00:00:00"/>
    <s v="FY21"/>
    <s v="t"/>
    <n v="0"/>
    <n v="0"/>
    <n v="7.9000000000000008E-3"/>
    <n v="7.9000000000000008E-3"/>
    <n v="0"/>
    <n v="0"/>
    <n v="1"/>
    <n v="1"/>
    <n v="0"/>
    <n v="0"/>
    <n v="100"/>
    <s v="Consolidation"/>
    <s v="CO2e and Base Measure"/>
    <n v="100"/>
    <n v="100"/>
    <n v="0.01"/>
    <m/>
    <m/>
    <m/>
    <m/>
    <m/>
    <n v="1.03E-2"/>
    <m/>
    <n v="1.03E-2"/>
    <m/>
    <m/>
    <m/>
    <m/>
    <m/>
    <s v="AUD"/>
    <s v="13565351Waste - General [t] - Scope 3"/>
    <n v="13565351"/>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0-12-01T00:00:00"/>
    <s v="FY21"/>
    <s v="t"/>
    <n v="7.5999999999999998E-2"/>
    <n v="0"/>
    <n v="0"/>
    <n v="7.5999999999999998E-2"/>
    <n v="2"/>
    <n v="0"/>
    <n v="0"/>
    <n v="2"/>
    <n v="100"/>
    <n v="0"/>
    <n v="0"/>
    <s v="Consolidation"/>
    <s v="CO2e and Base Measure"/>
    <n v="100"/>
    <n v="100"/>
    <n v="0.08"/>
    <m/>
    <m/>
    <m/>
    <m/>
    <m/>
    <n v="9.8799999999999999E-2"/>
    <m/>
    <n v="9.8799999999999999E-2"/>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1-01T00:00:00"/>
    <s v="FY21"/>
    <s v="t"/>
    <n v="0.152"/>
    <n v="6.7500000000000004E-2"/>
    <n v="0"/>
    <n v="0.2195"/>
    <n v="1"/>
    <n v="1"/>
    <n v="0"/>
    <n v="2"/>
    <n v="69.239999999999995"/>
    <n v="30.75"/>
    <n v="0"/>
    <s v="Consolidation"/>
    <s v="CO2e and Base Measure"/>
    <n v="100"/>
    <n v="100"/>
    <n v="0.22"/>
    <m/>
    <m/>
    <m/>
    <m/>
    <m/>
    <n v="0.28539999999999999"/>
    <m/>
    <n v="0.28539999999999999"/>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2-01T00:00:00"/>
    <s v="FY21"/>
    <s v="t"/>
    <n v="0.307"/>
    <n v="6.7500000000000004E-2"/>
    <n v="0"/>
    <n v="0.3745"/>
    <n v="1"/>
    <n v="1"/>
    <n v="0"/>
    <n v="2"/>
    <n v="81.97"/>
    <n v="18.02"/>
    <n v="0"/>
    <s v="Consolidation"/>
    <s v="CO2e and Base Measure"/>
    <n v="100"/>
    <n v="100"/>
    <n v="0.37"/>
    <m/>
    <m/>
    <m/>
    <m/>
    <m/>
    <n v="0.4869"/>
    <m/>
    <n v="0.4869"/>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3-01T00:00:00"/>
    <s v="FY21"/>
    <s v="t"/>
    <n v="0.182"/>
    <n v="6.7500000000000004E-2"/>
    <n v="0"/>
    <n v="0.2495"/>
    <n v="1"/>
    <n v="1"/>
    <n v="0"/>
    <n v="2"/>
    <n v="72.94"/>
    <n v="27.05"/>
    <n v="0"/>
    <s v="Consolidation"/>
    <s v="CO2e and Base Measure"/>
    <n v="100"/>
    <n v="100"/>
    <n v="0.25"/>
    <m/>
    <m/>
    <m/>
    <m/>
    <m/>
    <n v="0.32440000000000002"/>
    <m/>
    <n v="0.32440000000000002"/>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4-01T00:00:00"/>
    <s v="FY21"/>
    <s v="t"/>
    <n v="0"/>
    <n v="0"/>
    <n v="0.23100000000000001"/>
    <n v="0.23100000000000001"/>
    <n v="0"/>
    <n v="0"/>
    <n v="30"/>
    <n v="30"/>
    <n v="0"/>
    <n v="0"/>
    <n v="100"/>
    <s v="Consolidation"/>
    <s v="CO2e and Base Measure"/>
    <n v="100"/>
    <n v="100"/>
    <n v="0.23"/>
    <m/>
    <m/>
    <m/>
    <m/>
    <m/>
    <n v="0.30030000000000001"/>
    <m/>
    <n v="0.30030000000000001"/>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5-01T00:00:00"/>
    <s v="FY21"/>
    <s v="t"/>
    <n v="0"/>
    <n v="0"/>
    <n v="0.2387"/>
    <n v="0.2387"/>
    <n v="0"/>
    <n v="0"/>
    <n v="31"/>
    <n v="31"/>
    <n v="0"/>
    <n v="0"/>
    <n v="100"/>
    <s v="Consolidation"/>
    <s v="CO2e and Base Measure"/>
    <n v="100"/>
    <n v="100"/>
    <n v="0.24"/>
    <m/>
    <m/>
    <m/>
    <m/>
    <m/>
    <n v="0.31030000000000002"/>
    <m/>
    <n v="0.31030000000000002"/>
    <m/>
    <m/>
    <m/>
    <m/>
    <m/>
    <s v="AUD"/>
    <s v="13634252Waste - General [t] - Scope 3"/>
    <n v="13634252"/>
  </r>
  <r>
    <d v="2019-07-01T00:00:00"/>
    <d v="2021-06-30T00:00:00"/>
    <s v="Telstra"/>
    <s v="NETWORK"/>
    <s v="Network - InfraCo"/>
    <s v="TAS"/>
    <s v="Australia"/>
    <s v="Scottsdale"/>
    <s v="SCOTTSDALE EXCHANGE"/>
    <n v="423030934600"/>
    <s v="Waste"/>
    <x v="1"/>
    <x v="2"/>
    <s v="Account"/>
    <s v="Remondis General Waste"/>
    <m/>
    <s v="4230309346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5491Waste - General [t] - Scope 3"/>
    <n v="13565491"/>
  </r>
  <r>
    <d v="2019-07-01T00:00:00"/>
    <d v="2021-06-30T00:00:00"/>
    <s v="Telstra"/>
    <s v="NETWORK"/>
    <s v="Network - InfraCo"/>
    <s v="TAS"/>
    <s v="Australia"/>
    <s v="Scottsdale"/>
    <s v="SCOTTSDALE EXCHANGE"/>
    <n v="423030934600"/>
    <s v="Waste"/>
    <x v="1"/>
    <x v="2"/>
    <s v="Account"/>
    <s v="Remondis General Waste"/>
    <m/>
    <s v="4230309346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491Waste - General [t] - Scope 3"/>
    <n v="13565491"/>
  </r>
  <r>
    <d v="2019-07-01T00:00:00"/>
    <d v="2021-06-30T00:00:00"/>
    <s v="Telstra"/>
    <s v="NETWORK"/>
    <s v="Network - InfraCo"/>
    <s v="TAS"/>
    <s v="Australia"/>
    <s v="Scottsdale"/>
    <s v="SCOTTSDALE EXCHANGE"/>
    <n v="423030934600"/>
    <s v="Waste"/>
    <x v="1"/>
    <x v="2"/>
    <s v="Account"/>
    <s v="Remondis General Waste"/>
    <m/>
    <s v="423030934600_WGENERALW"/>
    <s v="GENERAL WASTE"/>
    <s v="Remondis"/>
    <m/>
    <m/>
    <d v="2020-12-01T00:00:00"/>
    <d v="2020-12-01T00:00:00"/>
    <s v="FY21"/>
    <s v="t"/>
    <n v="0"/>
    <n v="0"/>
    <n v="1.2999999999999999E-3"/>
    <n v="1.2999999999999999E-3"/>
    <n v="0"/>
    <n v="0"/>
    <n v="1"/>
    <n v="1"/>
    <n v="0"/>
    <n v="0"/>
    <n v="100"/>
    <s v="Consolidation"/>
    <s v="CO2e and Base Measure"/>
    <n v="100"/>
    <n v="100"/>
    <n v="0"/>
    <m/>
    <m/>
    <m/>
    <m/>
    <m/>
    <n v="1.6999999999999999E-3"/>
    <m/>
    <n v="1.6999999999999999E-3"/>
    <m/>
    <m/>
    <m/>
    <m/>
    <m/>
    <s v="AUD"/>
    <s v="13565491Waste - General [t] - Scope 3"/>
    <n v="13565491"/>
  </r>
  <r>
    <d v="2019-07-01T00:00:00"/>
    <d v="2021-06-30T00:00:00"/>
    <s v="Telstra"/>
    <s v="NETWORK"/>
    <s v="Network - InfraCo"/>
    <s v="TAS"/>
    <s v="Australia"/>
    <s v="Scottsdale"/>
    <s v="SCOTTSDALE EXCHANGE"/>
    <n v="423030934600"/>
    <s v="Waste"/>
    <x v="1"/>
    <x v="2"/>
    <s v="Account"/>
    <s v="CLEANAWAY General"/>
    <m/>
    <s v="27086_Landfill_General"/>
    <s v="General"/>
    <s v="Cleanaway"/>
    <m/>
    <d v="2021-02-18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9914Waste - General [t] - Scope 3"/>
    <n v="13639914"/>
  </r>
  <r>
    <d v="2019-07-01T00:00:00"/>
    <d v="2021-06-30T00:00:00"/>
    <s v="Telstra"/>
    <s v="NETWORK"/>
    <s v="Network - InfraCo"/>
    <s v="TAS"/>
    <s v="Australia"/>
    <s v="Scottsdale"/>
    <s v="SCOTTSDALE EXCHANGE"/>
    <n v="423030934600"/>
    <s v="Waste"/>
    <x v="1"/>
    <x v="2"/>
    <s v="Account"/>
    <s v="CLEANAWAY General"/>
    <m/>
    <s v="27086_Landfill_General"/>
    <s v="General"/>
    <s v="Cleanaway"/>
    <m/>
    <d v="2021-02-18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9914Waste - General [t] - Scope 3"/>
    <n v="13639914"/>
  </r>
  <r>
    <d v="2019-07-01T00:00:00"/>
    <d v="2021-06-30T00:00:00"/>
    <s v="Telstra"/>
    <s v="NETWORK"/>
    <s v="Network - InfraCo"/>
    <s v="TAS"/>
    <s v="Australia"/>
    <s v="Scottsdale"/>
    <s v="SCOTTSDALE EXCHANGE"/>
    <n v="423030934600"/>
    <s v="Waste"/>
    <x v="1"/>
    <x v="2"/>
    <s v="Account"/>
    <s v="CLEANAWAY General"/>
    <m/>
    <s v="27086_Landfill_General"/>
    <s v="General"/>
    <s v="Cleanaway"/>
    <m/>
    <d v="2021-02-18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9914Waste - General [t] - Scope 3"/>
    <n v="13639914"/>
  </r>
  <r>
    <d v="2019-07-01T00:00:00"/>
    <d v="2021-06-30T00:00:00"/>
    <s v="Telstra"/>
    <s v="NETWORK"/>
    <s v="Network - InfraCo"/>
    <s v="TAS"/>
    <s v="Australia"/>
    <s v="Scottsdale"/>
    <s v="SCOTTSDALE EXCHANGE"/>
    <n v="423030934600"/>
    <s v="Waste"/>
    <x v="1"/>
    <x v="2"/>
    <s v="Account"/>
    <s v="CLEANAWAY General"/>
    <m/>
    <s v="27086_Landfill_General"/>
    <s v="General"/>
    <s v="Cleanaway"/>
    <m/>
    <d v="2021-02-18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9914Waste - General [t] - Scope 3"/>
    <n v="13639914"/>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07-01T00:00:00"/>
    <s v="FY21"/>
    <s v="t"/>
    <n v="0.12"/>
    <n v="0"/>
    <n v="0"/>
    <n v="0.12"/>
    <n v="2"/>
    <n v="0"/>
    <n v="0"/>
    <n v="2"/>
    <n v="100"/>
    <n v="0"/>
    <n v="0"/>
    <s v="Consolidation"/>
    <s v="CO2e and Base Measure"/>
    <n v="100"/>
    <n v="100"/>
    <n v="0.12"/>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08-01T00:00:00"/>
    <s v="FY21"/>
    <s v="t"/>
    <n v="0.105"/>
    <n v="0"/>
    <n v="0"/>
    <n v="0.105"/>
    <n v="1"/>
    <n v="0"/>
    <n v="0"/>
    <n v="1"/>
    <n v="100"/>
    <n v="0"/>
    <n v="0"/>
    <s v="Consolidation"/>
    <s v="CO2e and Base Measure"/>
    <n v="100"/>
    <n v="100"/>
    <n v="0.11"/>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09-01T00:00:00"/>
    <s v="FY21"/>
    <s v="t"/>
    <n v="0.17499999999999999"/>
    <n v="0"/>
    <n v="0"/>
    <n v="0.17499999999999999"/>
    <n v="1"/>
    <n v="0"/>
    <n v="0"/>
    <n v="1"/>
    <n v="100"/>
    <n v="0"/>
    <n v="0"/>
    <s v="Consolidation"/>
    <s v="CO2e and Base Measure"/>
    <n v="100"/>
    <n v="100"/>
    <n v="0.18"/>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10-01T00:00:00"/>
    <s v="FY21"/>
    <s v="t"/>
    <n v="0.05"/>
    <n v="0"/>
    <n v="0"/>
    <n v="0.05"/>
    <n v="1"/>
    <n v="0"/>
    <n v="0"/>
    <n v="1"/>
    <n v="100"/>
    <n v="0"/>
    <n v="0"/>
    <s v="Consolidation"/>
    <s v="CO2e and Base Measure"/>
    <n v="100"/>
    <n v="100"/>
    <n v="0.05"/>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11-01T00:00:00"/>
    <s v="FY21"/>
    <s v="t"/>
    <n v="0.14000000000000001"/>
    <n v="0"/>
    <n v="0"/>
    <n v="0.14000000000000001"/>
    <n v="1"/>
    <n v="0"/>
    <n v="0"/>
    <n v="1"/>
    <n v="100"/>
    <n v="0"/>
    <n v="0"/>
    <s v="Consolidation"/>
    <s v="CO2e and Base Measure"/>
    <n v="100"/>
    <n v="100"/>
    <n v="0.14000000000000001"/>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1-01-01T00:00:00"/>
    <s v="FY21"/>
    <s v="t"/>
    <n v="0"/>
    <n v="0"/>
    <n v="3.7000000000000002E-3"/>
    <n v="3.7000000000000002E-3"/>
    <n v="0"/>
    <n v="0"/>
    <n v="1"/>
    <n v="1"/>
    <n v="0"/>
    <n v="0"/>
    <n v="100"/>
    <s v="Consolidation"/>
    <s v="CO2e and Base Measure"/>
    <n v="100"/>
    <n v="100"/>
    <n v="0"/>
    <m/>
    <m/>
    <m/>
    <m/>
    <m/>
    <m/>
    <n v="0"/>
    <m/>
    <m/>
    <m/>
    <m/>
    <m/>
    <m/>
    <s v="AUD"/>
    <s v="13565047Waste Recycled - Cardboard [t]"/>
    <n v="13565047"/>
  </r>
  <r>
    <d v="2019-07-01T00:00:00"/>
    <d v="2021-06-30T00:00:00"/>
    <s v="Telstra"/>
    <s v="NETWORK"/>
    <s v="Network - InfraCo"/>
    <s v="VIC"/>
    <s v="Australia"/>
    <s v="Frankston East"/>
    <s v="SEAFORD EXCHANGE"/>
    <n v="423030646900"/>
    <s v="Recycled Waste"/>
    <x v="0"/>
    <x v="3"/>
    <s v="Account"/>
    <s v="Remondis Commingled - Recycled"/>
    <m/>
    <s v="423030646900_RCOMINGLE"/>
    <s v="COMMINGLED - RECYCLED"/>
    <s v="Remondis"/>
    <m/>
    <m/>
    <d v="2021-01-01T00:00:00"/>
    <d v="2020-08-01T00:00:00"/>
    <s v="FY21"/>
    <s v="t"/>
    <n v="0"/>
    <n v="2.4E-2"/>
    <n v="0"/>
    <n v="2.4E-2"/>
    <n v="0"/>
    <n v="1"/>
    <n v="0"/>
    <n v="1"/>
    <n v="0"/>
    <n v="100"/>
    <n v="0"/>
    <s v="Consolidation"/>
    <s v="CO2e and Base Measure"/>
    <n v="100"/>
    <n v="100"/>
    <n v="0.02"/>
    <m/>
    <m/>
    <m/>
    <m/>
    <m/>
    <m/>
    <n v="0"/>
    <m/>
    <m/>
    <m/>
    <m/>
    <m/>
    <m/>
    <s v="AUD"/>
    <s v="13565048Waste Recycled - Commingled [t]"/>
    <n v="13565048"/>
  </r>
  <r>
    <d v="2019-07-01T00:00:00"/>
    <d v="2021-06-30T00:00:00"/>
    <s v="Telstra"/>
    <s v="NETWORK"/>
    <s v="Network - InfraCo"/>
    <s v="VIC"/>
    <s v="Australia"/>
    <s v="Frankston East"/>
    <s v="SEAFORD EXCHANGE"/>
    <n v="423030646900"/>
    <s v="Recycled Waste"/>
    <x v="0"/>
    <x v="3"/>
    <s v="Account"/>
    <s v="Remondis Commingled - Recycled"/>
    <m/>
    <s v="423030646900_RCOMINGLE"/>
    <s v="COMMINGLED - RECYCLED"/>
    <s v="Remondis"/>
    <m/>
    <m/>
    <d v="2021-01-01T00:00:00"/>
    <d v="2020-12-01T00:00:00"/>
    <s v="FY21"/>
    <s v="t"/>
    <n v="0"/>
    <n v="2.4E-2"/>
    <n v="0"/>
    <n v="2.4E-2"/>
    <n v="0"/>
    <n v="1"/>
    <n v="0"/>
    <n v="1"/>
    <n v="0"/>
    <n v="100"/>
    <n v="0"/>
    <s v="Consolidation"/>
    <s v="CO2e and Base Measure"/>
    <n v="100"/>
    <n v="100"/>
    <n v="0.02"/>
    <m/>
    <m/>
    <m/>
    <m/>
    <m/>
    <m/>
    <n v="0"/>
    <m/>
    <m/>
    <m/>
    <m/>
    <m/>
    <m/>
    <s v="AUD"/>
    <s v="13565048Waste Recycled - Commingled [t]"/>
    <n v="13565048"/>
  </r>
  <r>
    <d v="2019-07-01T00:00:00"/>
    <d v="2021-06-30T00:00:00"/>
    <s v="Telstra"/>
    <s v="NETWORK"/>
    <s v="Network - InfraCo"/>
    <s v="VIC"/>
    <s v="Australia"/>
    <s v="Frankston East"/>
    <s v="SEAFORD EXCHANGE"/>
    <n v="423030646900"/>
    <s v="Recycled Waste"/>
    <x v="0"/>
    <x v="3"/>
    <s v="Account"/>
    <s v="Remondis Commingled - Recycled"/>
    <m/>
    <s v="423030646900_RCOMINGLE"/>
    <s v="COMMINGLED - RECYCLED"/>
    <s v="Remondis"/>
    <m/>
    <m/>
    <d v="2021-01-01T00:00:00"/>
    <d v="2021-01-01T00:00:00"/>
    <s v="FY21"/>
    <s v="t"/>
    <n v="0"/>
    <n v="0"/>
    <n v="2.9999999999999997E-4"/>
    <n v="2.9999999999999997E-4"/>
    <n v="0"/>
    <n v="0"/>
    <n v="1"/>
    <n v="1"/>
    <n v="0"/>
    <n v="0"/>
    <n v="100"/>
    <s v="Consolidation"/>
    <s v="CO2e and Base Measure"/>
    <n v="100"/>
    <n v="100"/>
    <n v="0"/>
    <m/>
    <m/>
    <m/>
    <m/>
    <m/>
    <m/>
    <n v="0"/>
    <m/>
    <m/>
    <m/>
    <m/>
    <m/>
    <m/>
    <s v="AUD"/>
    <s v="13565048Waste Recycled - Commingled [t]"/>
    <n v="13565048"/>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07-01T00:00:00"/>
    <s v="FY21"/>
    <s v="t"/>
    <n v="0.97"/>
    <n v="0"/>
    <n v="0"/>
    <n v="0.97"/>
    <n v="2"/>
    <n v="0"/>
    <n v="0"/>
    <n v="2"/>
    <n v="100"/>
    <n v="0"/>
    <n v="0"/>
    <s v="Consolidation"/>
    <s v="CO2e and Base Measure"/>
    <n v="100"/>
    <n v="100"/>
    <n v="0.97"/>
    <m/>
    <m/>
    <m/>
    <m/>
    <m/>
    <n v="1.2609999999999999"/>
    <m/>
    <n v="1.2609999999999999"/>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08-01T00:00:00"/>
    <s v="FY21"/>
    <s v="t"/>
    <n v="0.92"/>
    <n v="0"/>
    <n v="0"/>
    <n v="0.92"/>
    <n v="2"/>
    <n v="0"/>
    <n v="0"/>
    <n v="2"/>
    <n v="100"/>
    <n v="0"/>
    <n v="0"/>
    <s v="Consolidation"/>
    <s v="CO2e and Base Measure"/>
    <n v="100"/>
    <n v="100"/>
    <n v="0.92"/>
    <m/>
    <m/>
    <m/>
    <m/>
    <m/>
    <n v="1.196"/>
    <m/>
    <n v="1.196"/>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09-01T00:00:00"/>
    <s v="FY21"/>
    <s v="t"/>
    <n v="0.23"/>
    <n v="0"/>
    <n v="0"/>
    <n v="0.23"/>
    <n v="1"/>
    <n v="0"/>
    <n v="0"/>
    <n v="1"/>
    <n v="100"/>
    <n v="0"/>
    <n v="0"/>
    <s v="Consolidation"/>
    <s v="CO2e and Base Measure"/>
    <n v="100"/>
    <n v="100"/>
    <n v="0.23"/>
    <m/>
    <m/>
    <m/>
    <m/>
    <m/>
    <n v="0.29899999999999999"/>
    <m/>
    <n v="0.29899999999999999"/>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10-01T00:00:00"/>
    <s v="FY21"/>
    <s v="t"/>
    <n v="0.35499999999999998"/>
    <n v="0"/>
    <n v="0"/>
    <n v="0.35499999999999998"/>
    <n v="1"/>
    <n v="0"/>
    <n v="0"/>
    <n v="1"/>
    <n v="100"/>
    <n v="0"/>
    <n v="0"/>
    <s v="Consolidation"/>
    <s v="CO2e and Base Measure"/>
    <n v="100"/>
    <n v="100"/>
    <n v="0.36"/>
    <m/>
    <m/>
    <m/>
    <m/>
    <m/>
    <n v="0.46150000000000002"/>
    <m/>
    <n v="0.46150000000000002"/>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11-01T00:00:00"/>
    <s v="FY21"/>
    <s v="t"/>
    <n v="0.60499999999999998"/>
    <n v="0"/>
    <n v="0"/>
    <n v="0.60499999999999998"/>
    <n v="1"/>
    <n v="0"/>
    <n v="0"/>
    <n v="1"/>
    <n v="100"/>
    <n v="0"/>
    <n v="0"/>
    <s v="Consolidation"/>
    <s v="CO2e and Base Measure"/>
    <n v="100"/>
    <n v="100"/>
    <n v="0.61"/>
    <m/>
    <m/>
    <m/>
    <m/>
    <m/>
    <n v="0.78649999999999998"/>
    <m/>
    <n v="0.78649999999999998"/>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1-01-01T00:00:00"/>
    <s v="FY21"/>
    <s v="t"/>
    <n v="0"/>
    <n v="0"/>
    <n v="1.8100000000000002E-2"/>
    <n v="1.8100000000000002E-2"/>
    <n v="0"/>
    <n v="0"/>
    <n v="1"/>
    <n v="1"/>
    <n v="0"/>
    <n v="0"/>
    <n v="100"/>
    <s v="Consolidation"/>
    <s v="CO2e and Base Measure"/>
    <n v="100"/>
    <n v="100"/>
    <n v="0.02"/>
    <m/>
    <m/>
    <m/>
    <m/>
    <m/>
    <n v="2.35E-2"/>
    <m/>
    <n v="2.35E-2"/>
    <m/>
    <m/>
    <m/>
    <m/>
    <m/>
    <s v="AUD"/>
    <s v="13565049Waste - General [t] - Scope 3"/>
    <n v="13565049"/>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1-01T00:00:00"/>
    <s v="FY21"/>
    <s v="t"/>
    <n v="0.318"/>
    <n v="0"/>
    <n v="0"/>
    <n v="0.318"/>
    <n v="2"/>
    <n v="0"/>
    <n v="0"/>
    <n v="2"/>
    <n v="100"/>
    <n v="0"/>
    <n v="0"/>
    <s v="Consolidation"/>
    <s v="CO2e and Base Measure"/>
    <n v="100"/>
    <n v="100"/>
    <n v="0.32"/>
    <m/>
    <m/>
    <m/>
    <m/>
    <m/>
    <n v="0.41339999999999999"/>
    <m/>
    <n v="0.41339999999999999"/>
    <m/>
    <m/>
    <m/>
    <m/>
    <m/>
    <s v="AUD"/>
    <s v="13634495Waste - General [t] - Scope 3"/>
    <n v="13634495"/>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2-01T00:00:00"/>
    <s v="FY21"/>
    <s v="t"/>
    <n v="0.46600000000000003"/>
    <n v="0"/>
    <n v="0"/>
    <n v="0.46600000000000003"/>
    <n v="4"/>
    <n v="0"/>
    <n v="0"/>
    <n v="4"/>
    <n v="100"/>
    <n v="0"/>
    <n v="0"/>
    <s v="Consolidation"/>
    <s v="CO2e and Base Measure"/>
    <n v="100"/>
    <n v="100"/>
    <n v="0.47"/>
    <m/>
    <m/>
    <m/>
    <m/>
    <m/>
    <n v="0.60580000000000001"/>
    <m/>
    <n v="0.60580000000000001"/>
    <m/>
    <m/>
    <m/>
    <m/>
    <m/>
    <s v="AUD"/>
    <s v="13634495Waste - General [t] - Scope 3"/>
    <n v="13634495"/>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3-01T00:00:00"/>
    <s v="FY21"/>
    <s v="t"/>
    <n v="0.48699999999999999"/>
    <n v="0"/>
    <n v="0"/>
    <n v="0.48699999999999999"/>
    <n v="5"/>
    <n v="0"/>
    <n v="0"/>
    <n v="5"/>
    <n v="100"/>
    <n v="0"/>
    <n v="0"/>
    <s v="Consolidation"/>
    <s v="CO2e and Base Measure"/>
    <n v="100"/>
    <n v="100"/>
    <n v="0.49"/>
    <m/>
    <m/>
    <m/>
    <m/>
    <m/>
    <n v="0.6331"/>
    <m/>
    <n v="0.6331"/>
    <m/>
    <m/>
    <m/>
    <m/>
    <m/>
    <s v="AUD"/>
    <s v="13634495Waste - General [t] - Scope 3"/>
    <n v="13634495"/>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4-01T00:00:00"/>
    <s v="FY21"/>
    <s v="t"/>
    <n v="0"/>
    <n v="0"/>
    <n v="0.42899999999999999"/>
    <n v="0.42899999999999999"/>
    <n v="0"/>
    <n v="0"/>
    <n v="30"/>
    <n v="30"/>
    <n v="0"/>
    <n v="0"/>
    <n v="100"/>
    <s v="Consolidation"/>
    <s v="CO2e and Base Measure"/>
    <n v="100"/>
    <n v="100"/>
    <n v="0.43"/>
    <m/>
    <m/>
    <m/>
    <m/>
    <m/>
    <n v="0.55769999999999997"/>
    <m/>
    <n v="0.55769999999999997"/>
    <m/>
    <m/>
    <m/>
    <m/>
    <m/>
    <s v="AUD"/>
    <s v="13634495Waste - General [t] - Scope 3"/>
    <n v="13634495"/>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5-01T00:00:00"/>
    <s v="FY21"/>
    <s v="t"/>
    <n v="0"/>
    <n v="0"/>
    <n v="0.44330000000000003"/>
    <n v="0.44330000000000003"/>
    <n v="0"/>
    <n v="0"/>
    <n v="31"/>
    <n v="31"/>
    <n v="0"/>
    <n v="0"/>
    <n v="100"/>
    <s v="Consolidation"/>
    <s v="CO2e and Base Measure"/>
    <n v="100"/>
    <n v="100"/>
    <n v="0.44"/>
    <m/>
    <m/>
    <m/>
    <m/>
    <m/>
    <n v="0.57630000000000003"/>
    <m/>
    <n v="0.57630000000000003"/>
    <m/>
    <m/>
    <m/>
    <m/>
    <m/>
    <s v="AUD"/>
    <s v="13634495Waste - General [t] - Scope 3"/>
    <n v="13634495"/>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1-01T00:00:00"/>
    <s v="FY21"/>
    <s v="t"/>
    <n v="0"/>
    <n v="7.4999999999999997E-2"/>
    <n v="0"/>
    <n v="7.4999999999999997E-2"/>
    <n v="0"/>
    <n v="1"/>
    <n v="0"/>
    <n v="1"/>
    <n v="0"/>
    <n v="100"/>
    <n v="0"/>
    <s v="Consolidation"/>
    <s v="CO2e and Base Measure"/>
    <n v="100"/>
    <n v="100"/>
    <n v="0.08"/>
    <m/>
    <m/>
    <m/>
    <m/>
    <m/>
    <m/>
    <m/>
    <m/>
    <m/>
    <m/>
    <m/>
    <m/>
    <m/>
    <s v="AUD"/>
    <s v="13634496Waste Recycled - Paper and Cardboard [t]"/>
    <n v="13634496"/>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2-01T00:00:00"/>
    <s v="FY21"/>
    <s v="t"/>
    <n v="6.2E-2"/>
    <n v="7.4999999999999997E-2"/>
    <n v="0"/>
    <n v="0.13700000000000001"/>
    <n v="1"/>
    <n v="1"/>
    <n v="0"/>
    <n v="2"/>
    <n v="45.25"/>
    <n v="54.74"/>
    <n v="0"/>
    <s v="Consolidation"/>
    <s v="CO2e and Base Measure"/>
    <n v="100"/>
    <n v="100"/>
    <n v="0.14000000000000001"/>
    <m/>
    <m/>
    <m/>
    <m/>
    <m/>
    <m/>
    <m/>
    <m/>
    <m/>
    <m/>
    <m/>
    <m/>
    <m/>
    <s v="AUD"/>
    <s v="13634496Waste Recycled - Paper and Cardboard [t]"/>
    <n v="13634496"/>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3-01T00:00:00"/>
    <s v="FY21"/>
    <s v="t"/>
    <n v="5.5E-2"/>
    <n v="7.4999999999999997E-2"/>
    <n v="0"/>
    <n v="0.13"/>
    <n v="1"/>
    <n v="1"/>
    <n v="0"/>
    <n v="2"/>
    <n v="42.3"/>
    <n v="57.69"/>
    <n v="0"/>
    <s v="Consolidation"/>
    <s v="CO2e and Base Measure"/>
    <n v="100"/>
    <n v="100"/>
    <n v="0.13"/>
    <m/>
    <m/>
    <m/>
    <m/>
    <m/>
    <m/>
    <m/>
    <m/>
    <m/>
    <m/>
    <m/>
    <m/>
    <m/>
    <s v="AUD"/>
    <s v="13634496Waste Recycled - Paper and Cardboard [t]"/>
    <n v="13634496"/>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4-01T00:00:00"/>
    <s v="FY21"/>
    <s v="t"/>
    <n v="0"/>
    <n v="0"/>
    <n v="0.114"/>
    <n v="0.114"/>
    <n v="0"/>
    <n v="0"/>
    <n v="30"/>
    <n v="30"/>
    <n v="0"/>
    <n v="0"/>
    <n v="100"/>
    <s v="Consolidation"/>
    <s v="CO2e and Base Measure"/>
    <n v="100"/>
    <n v="100"/>
    <n v="0.11"/>
    <m/>
    <m/>
    <m/>
    <m/>
    <m/>
    <m/>
    <m/>
    <m/>
    <m/>
    <m/>
    <m/>
    <m/>
    <m/>
    <s v="AUD"/>
    <s v="13634496Waste Recycled - Paper and Cardboard [t]"/>
    <n v="13634496"/>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5-01T00:00:00"/>
    <s v="FY21"/>
    <s v="t"/>
    <n v="0"/>
    <n v="0"/>
    <n v="0.1178"/>
    <n v="0.1178"/>
    <n v="0"/>
    <n v="0"/>
    <n v="31"/>
    <n v="31"/>
    <n v="0"/>
    <n v="0"/>
    <n v="100"/>
    <s v="Consolidation"/>
    <s v="CO2e and Base Measure"/>
    <n v="100"/>
    <n v="100"/>
    <n v="0.12"/>
    <m/>
    <m/>
    <m/>
    <m/>
    <m/>
    <m/>
    <m/>
    <m/>
    <m/>
    <m/>
    <m/>
    <m/>
    <m/>
    <s v="AUD"/>
    <s v="13634496Waste Recycled - Paper and Cardboard [t]"/>
    <n v="1363449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5556Waste - General [t] - Scope 3"/>
    <n v="13565556"/>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0-12-01T00:00:00"/>
    <s v="FY21"/>
    <s v="t"/>
    <n v="0.30299999999999999"/>
    <n v="0"/>
    <n v="0"/>
    <n v="0.30299999999999999"/>
    <n v="1"/>
    <n v="0"/>
    <n v="0"/>
    <n v="1"/>
    <n v="100"/>
    <n v="0"/>
    <n v="0"/>
    <s v="Consolidation"/>
    <s v="CO2e and Base Measure"/>
    <n v="100"/>
    <n v="100"/>
    <n v="0.3"/>
    <m/>
    <m/>
    <m/>
    <m/>
    <m/>
    <n v="0.39389999999999997"/>
    <m/>
    <n v="0.39389999999999997"/>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1-01T00:00:00"/>
    <s v="FY21"/>
    <s v="t"/>
    <n v="0.16800000000000001"/>
    <n v="0"/>
    <n v="0"/>
    <n v="0.16800000000000001"/>
    <n v="1"/>
    <n v="0"/>
    <n v="0"/>
    <n v="1"/>
    <n v="100"/>
    <n v="0"/>
    <n v="0"/>
    <s v="Consolidation"/>
    <s v="CO2e and Base Measure"/>
    <n v="100"/>
    <n v="100"/>
    <n v="0.17"/>
    <m/>
    <m/>
    <m/>
    <m/>
    <m/>
    <n v="0.21840000000000001"/>
    <m/>
    <n v="0.21840000000000001"/>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2-01T00:00:00"/>
    <s v="FY21"/>
    <s v="t"/>
    <n v="0.31"/>
    <n v="0"/>
    <n v="0"/>
    <n v="0.31"/>
    <n v="1"/>
    <n v="0"/>
    <n v="0"/>
    <n v="1"/>
    <n v="100"/>
    <n v="0"/>
    <n v="0"/>
    <s v="Consolidation"/>
    <s v="CO2e and Base Measure"/>
    <n v="100"/>
    <n v="100"/>
    <n v="0.31"/>
    <m/>
    <m/>
    <m/>
    <m/>
    <m/>
    <n v="0.40300000000000002"/>
    <m/>
    <n v="0.40300000000000002"/>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3-01T00:00:00"/>
    <s v="FY21"/>
    <s v="t"/>
    <n v="0.16300000000000001"/>
    <n v="0"/>
    <n v="0"/>
    <n v="0.16300000000000001"/>
    <n v="1"/>
    <n v="0"/>
    <n v="0"/>
    <n v="1"/>
    <n v="100"/>
    <n v="0"/>
    <n v="0"/>
    <s v="Consolidation"/>
    <s v="CO2e and Base Measure"/>
    <n v="100"/>
    <n v="100"/>
    <n v="0.16"/>
    <m/>
    <m/>
    <m/>
    <m/>
    <m/>
    <n v="0.21190000000000001"/>
    <m/>
    <n v="0.21190000000000001"/>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4-01T00:00:00"/>
    <s v="FY21"/>
    <s v="t"/>
    <n v="0"/>
    <n v="0"/>
    <n v="0.23699999999999999"/>
    <n v="0.23699999999999999"/>
    <n v="0"/>
    <n v="0"/>
    <n v="30"/>
    <n v="30"/>
    <n v="0"/>
    <n v="0"/>
    <n v="100"/>
    <s v="Consolidation"/>
    <s v="CO2e and Base Measure"/>
    <n v="100"/>
    <n v="100"/>
    <n v="0.24"/>
    <m/>
    <m/>
    <m/>
    <m/>
    <m/>
    <n v="0.30809999999999998"/>
    <m/>
    <n v="0.30809999999999998"/>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5-01T00:00:00"/>
    <s v="FY21"/>
    <s v="t"/>
    <n v="0"/>
    <n v="0"/>
    <n v="0.24490000000000001"/>
    <n v="0.24490000000000001"/>
    <n v="0"/>
    <n v="0"/>
    <n v="31"/>
    <n v="31"/>
    <n v="0"/>
    <n v="0"/>
    <n v="100"/>
    <s v="Consolidation"/>
    <s v="CO2e and Base Measure"/>
    <n v="100"/>
    <n v="100"/>
    <n v="0.24"/>
    <m/>
    <m/>
    <m/>
    <m/>
    <m/>
    <n v="0.31840000000000002"/>
    <m/>
    <n v="0.31840000000000002"/>
    <m/>
    <m/>
    <m/>
    <m/>
    <m/>
    <s v="AUD"/>
    <s v="13634253Waste - General [t] - Scope 3"/>
    <n v="13634253"/>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1-01T00:00:00"/>
    <s v="FY21"/>
    <s v="t"/>
    <n v="4.9000000000000002E-2"/>
    <n v="0"/>
    <n v="0"/>
    <n v="4.9000000000000002E-2"/>
    <n v="1"/>
    <n v="0"/>
    <n v="0"/>
    <n v="1"/>
    <n v="100"/>
    <n v="0"/>
    <n v="0"/>
    <s v="Consolidation"/>
    <s v="CO2e and Base Measure"/>
    <n v="100"/>
    <n v="100"/>
    <n v="0.05"/>
    <m/>
    <m/>
    <m/>
    <m/>
    <m/>
    <m/>
    <m/>
    <m/>
    <m/>
    <m/>
    <m/>
    <m/>
    <m/>
    <s v="AUD"/>
    <s v="13634470Waste Recycled - Paper and Cardboard [t]"/>
    <n v="13634470"/>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2-01T00:00:00"/>
    <s v="FY21"/>
    <s v="t"/>
    <n v="0"/>
    <n v="7.4999999999999997E-2"/>
    <n v="0"/>
    <n v="7.4999999999999997E-2"/>
    <n v="0"/>
    <n v="1"/>
    <n v="0"/>
    <n v="1"/>
    <n v="0"/>
    <n v="100"/>
    <n v="0"/>
    <s v="Consolidation"/>
    <s v="CO2e and Base Measure"/>
    <n v="100"/>
    <n v="100"/>
    <n v="0.08"/>
    <m/>
    <m/>
    <m/>
    <m/>
    <m/>
    <m/>
    <m/>
    <m/>
    <m/>
    <m/>
    <m/>
    <m/>
    <m/>
    <s v="AUD"/>
    <s v="13634470Waste Recycled - Paper and Cardboard [t]"/>
    <n v="13634470"/>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3-01T00:00:00"/>
    <s v="FY21"/>
    <s v="t"/>
    <n v="0"/>
    <n v="7.4999999999999997E-2"/>
    <n v="0"/>
    <n v="7.4999999999999997E-2"/>
    <n v="0"/>
    <n v="1"/>
    <n v="0"/>
    <n v="1"/>
    <n v="0"/>
    <n v="100"/>
    <n v="0"/>
    <s v="Consolidation"/>
    <s v="CO2e and Base Measure"/>
    <n v="100"/>
    <n v="100"/>
    <n v="0.08"/>
    <m/>
    <m/>
    <m/>
    <m/>
    <m/>
    <m/>
    <m/>
    <m/>
    <m/>
    <m/>
    <m/>
    <m/>
    <m/>
    <s v="AUD"/>
    <s v="13634470Waste Recycled - Paper and Cardboard [t]"/>
    <n v="13634470"/>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4-01T00:00:00"/>
    <s v="FY21"/>
    <s v="t"/>
    <n v="0"/>
    <n v="0"/>
    <n v="6.6000000000000003E-2"/>
    <n v="6.6000000000000003E-2"/>
    <n v="0"/>
    <n v="0"/>
    <n v="30"/>
    <n v="30"/>
    <n v="0"/>
    <n v="0"/>
    <n v="100"/>
    <s v="Consolidation"/>
    <s v="CO2e and Base Measure"/>
    <n v="100"/>
    <n v="100"/>
    <n v="7.0000000000000007E-2"/>
    <m/>
    <m/>
    <m/>
    <m/>
    <m/>
    <m/>
    <m/>
    <m/>
    <m/>
    <m/>
    <m/>
    <m/>
    <m/>
    <s v="AUD"/>
    <s v="13634470Waste Recycled - Paper and Cardboard [t]"/>
    <n v="13634470"/>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5-01T00:00:00"/>
    <s v="FY21"/>
    <s v="t"/>
    <n v="0"/>
    <n v="0"/>
    <n v="6.8199999999999997E-2"/>
    <n v="6.8199999999999997E-2"/>
    <n v="0"/>
    <n v="0"/>
    <n v="31"/>
    <n v="31"/>
    <n v="0"/>
    <n v="0"/>
    <n v="100"/>
    <s v="Consolidation"/>
    <s v="CO2e and Base Measure"/>
    <n v="100"/>
    <n v="100"/>
    <n v="7.0000000000000007E-2"/>
    <m/>
    <m/>
    <m/>
    <m/>
    <m/>
    <m/>
    <m/>
    <m/>
    <m/>
    <m/>
    <m/>
    <m/>
    <m/>
    <s v="AUD"/>
    <s v="13634470Waste Recycled - Paper and Cardboard [t]"/>
    <n v="13634470"/>
  </r>
  <r>
    <d v="2019-07-01T00:00:00"/>
    <d v="2021-06-30T00:00:00"/>
    <s v="Telstra"/>
    <s v="NETWORK"/>
    <s v="Network - InfraCo"/>
    <s v="NSW"/>
    <s v="Australia"/>
    <s v="Regents Park"/>
    <s v="SEFTON EXCHANGE"/>
    <n v="423030299800"/>
    <s v="Waste"/>
    <x v="1"/>
    <x v="2"/>
    <s v="Account"/>
    <s v="Remondis General Waste"/>
    <m/>
    <s v="423030299800_WGENERALW"/>
    <s v="GENERAL WASTE"/>
    <s v="Remondis"/>
    <m/>
    <m/>
    <d v="2020-10-01T00:00:00"/>
    <d v="2020-07-01T00:00:00"/>
    <s v="FY21"/>
    <s v="t"/>
    <n v="5.3999999999999999E-2"/>
    <n v="0"/>
    <n v="0"/>
    <n v="5.3999999999999999E-2"/>
    <n v="2"/>
    <n v="0"/>
    <n v="0"/>
    <n v="2"/>
    <n v="100"/>
    <n v="0"/>
    <n v="0"/>
    <s v="Consolidation"/>
    <s v="CO2e and Base Measure"/>
    <n v="100"/>
    <n v="100"/>
    <n v="0.05"/>
    <m/>
    <m/>
    <m/>
    <m/>
    <m/>
    <n v="7.0199999999999999E-2"/>
    <m/>
    <n v="7.0199999999999999E-2"/>
    <m/>
    <m/>
    <m/>
    <m/>
    <m/>
    <s v="AUD"/>
    <s v="13564442Waste - General [t] - Scope 3"/>
    <n v="13564442"/>
  </r>
  <r>
    <d v="2019-07-01T00:00:00"/>
    <d v="2021-06-30T00:00:00"/>
    <s v="Telstra"/>
    <s v="NETWORK"/>
    <s v="Network - InfraCo"/>
    <s v="NSW"/>
    <s v="Australia"/>
    <s v="Regents Park"/>
    <s v="SEFTON EXCHANGE"/>
    <n v="423030299800"/>
    <s v="Waste"/>
    <x v="1"/>
    <x v="2"/>
    <s v="Account"/>
    <s v="Remondis General Waste"/>
    <m/>
    <s v="423030299800_WGENERALW"/>
    <s v="GENERAL WASTE"/>
    <s v="Remondis"/>
    <m/>
    <m/>
    <d v="2020-10-01T00:00:00"/>
    <d v="2020-08-01T00:00:00"/>
    <s v="FY21"/>
    <s v="t"/>
    <n v="0"/>
    <n v="0.1444"/>
    <n v="0"/>
    <n v="0.1444"/>
    <n v="0"/>
    <n v="2"/>
    <n v="0"/>
    <n v="2"/>
    <n v="0"/>
    <n v="100"/>
    <n v="0"/>
    <s v="Consolidation"/>
    <s v="CO2e and Base Measure"/>
    <n v="100"/>
    <n v="100"/>
    <n v="0.14000000000000001"/>
    <m/>
    <m/>
    <m/>
    <m/>
    <m/>
    <n v="0.18770000000000001"/>
    <m/>
    <n v="0.18770000000000001"/>
    <m/>
    <m/>
    <m/>
    <m/>
    <m/>
    <s v="AUD"/>
    <s v="13564442Waste - General [t] - Scope 3"/>
    <n v="13564442"/>
  </r>
  <r>
    <d v="2019-07-01T00:00:00"/>
    <d v="2021-06-30T00:00:00"/>
    <s v="Telstra"/>
    <s v="NETWORK"/>
    <s v="Network - InfraCo"/>
    <s v="NSW"/>
    <s v="Australia"/>
    <s v="Regents Park"/>
    <s v="SEFTON EXCHANGE"/>
    <n v="423030299800"/>
    <s v="Waste"/>
    <x v="1"/>
    <x v="2"/>
    <s v="Account"/>
    <s v="Remondis General Waste"/>
    <m/>
    <s v="423030299800_WGENERALW"/>
    <s v="GENERAL WASTE"/>
    <s v="Remondis"/>
    <m/>
    <m/>
    <d v="2020-10-01T00:00:00"/>
    <d v="2020-09-01T00:00:00"/>
    <s v="FY21"/>
    <s v="t"/>
    <n v="4.0000000000000001E-3"/>
    <n v="0"/>
    <n v="0"/>
    <n v="4.0000000000000001E-3"/>
    <n v="2"/>
    <n v="0"/>
    <n v="0"/>
    <n v="2"/>
    <n v="100"/>
    <n v="0"/>
    <n v="0"/>
    <s v="Consolidation"/>
    <s v="CO2e and Base Measure"/>
    <n v="100"/>
    <n v="100"/>
    <n v="0"/>
    <m/>
    <m/>
    <m/>
    <m/>
    <m/>
    <n v="5.1999999999999998E-3"/>
    <m/>
    <n v="5.1999999999999998E-3"/>
    <m/>
    <m/>
    <m/>
    <m/>
    <m/>
    <s v="AUD"/>
    <s v="13564442Waste - General [t] - Scope 3"/>
    <n v="13564442"/>
  </r>
  <r>
    <d v="2019-07-01T00:00:00"/>
    <d v="2021-06-30T00:00:00"/>
    <s v="Telstra"/>
    <s v="NETWORK"/>
    <s v="Network - InfraCo"/>
    <s v="NSW"/>
    <s v="Australia"/>
    <s v="Regents Park"/>
    <s v="SEFTON EXCHANGE"/>
    <n v="423030299800"/>
    <s v="Waste"/>
    <x v="1"/>
    <x v="2"/>
    <s v="Account"/>
    <s v="Remondis General Waste"/>
    <m/>
    <s v="423030299800_WGENERALW"/>
    <s v="GENERAL WASTE"/>
    <s v="Remondis"/>
    <m/>
    <m/>
    <d v="2020-10-01T00:00:00"/>
    <d v="2020-10-01T00:00:00"/>
    <s v="FY21"/>
    <s v="t"/>
    <n v="0"/>
    <n v="0"/>
    <n v="2.8E-3"/>
    <n v="2.8E-3"/>
    <n v="0"/>
    <n v="0"/>
    <n v="1"/>
    <n v="1"/>
    <n v="0"/>
    <n v="0"/>
    <n v="100"/>
    <s v="Consolidation"/>
    <s v="CO2e and Base Measure"/>
    <n v="100"/>
    <n v="100"/>
    <n v="0"/>
    <m/>
    <m/>
    <m/>
    <m/>
    <m/>
    <n v="3.5999999999999999E-3"/>
    <m/>
    <n v="3.5999999999999999E-3"/>
    <m/>
    <m/>
    <m/>
    <m/>
    <m/>
    <s v="AUD"/>
    <s v="13564442Waste - General [t] - Scope 3"/>
    <n v="13564442"/>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1-01T00:00:00"/>
    <s v="FY21"/>
    <s v="t"/>
    <n v="0"/>
    <n v="5.9400000000000001E-2"/>
    <n v="0"/>
    <n v="5.9400000000000001E-2"/>
    <n v="0"/>
    <n v="2"/>
    <n v="0"/>
    <n v="2"/>
    <n v="0"/>
    <n v="100"/>
    <n v="0"/>
    <s v="Consolidation"/>
    <s v="CO2e and Base Measure"/>
    <n v="100"/>
    <n v="100"/>
    <n v="0.06"/>
    <m/>
    <m/>
    <m/>
    <m/>
    <m/>
    <n v="7.7200000000000005E-2"/>
    <m/>
    <n v="7.7200000000000005E-2"/>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2-01T00:00:00"/>
    <s v="FY21"/>
    <s v="t"/>
    <n v="0"/>
    <n v="5.9400000000000001E-2"/>
    <n v="0"/>
    <n v="5.9400000000000001E-2"/>
    <n v="0"/>
    <n v="2"/>
    <n v="0"/>
    <n v="2"/>
    <n v="0"/>
    <n v="100"/>
    <n v="0"/>
    <s v="Consolidation"/>
    <s v="CO2e and Base Measure"/>
    <n v="100"/>
    <n v="100"/>
    <n v="0.06"/>
    <m/>
    <m/>
    <m/>
    <m/>
    <m/>
    <n v="7.7200000000000005E-2"/>
    <m/>
    <n v="7.7200000000000005E-2"/>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3-01T00:00:00"/>
    <s v="FY21"/>
    <s v="t"/>
    <n v="0"/>
    <n v="0.1188"/>
    <n v="0"/>
    <n v="0.1188"/>
    <n v="0"/>
    <n v="4"/>
    <n v="0"/>
    <n v="4"/>
    <n v="0"/>
    <n v="100"/>
    <n v="0"/>
    <s v="Consolidation"/>
    <s v="CO2e and Base Measure"/>
    <n v="100"/>
    <n v="100"/>
    <n v="0.12"/>
    <m/>
    <m/>
    <m/>
    <m/>
    <m/>
    <n v="0.15440000000000001"/>
    <m/>
    <n v="0.15440000000000001"/>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4-01T00:00:00"/>
    <s v="FY21"/>
    <s v="t"/>
    <n v="0"/>
    <n v="0"/>
    <n v="6.6000000000000003E-2"/>
    <n v="6.6000000000000003E-2"/>
    <n v="0"/>
    <n v="0"/>
    <n v="30"/>
    <n v="30"/>
    <n v="0"/>
    <n v="0"/>
    <n v="100"/>
    <s v="Consolidation"/>
    <s v="CO2e and Base Measure"/>
    <n v="100"/>
    <n v="100"/>
    <n v="7.0000000000000007E-2"/>
    <m/>
    <m/>
    <m/>
    <m/>
    <m/>
    <n v="8.5800000000000001E-2"/>
    <m/>
    <n v="8.5800000000000001E-2"/>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5-01T00:00:00"/>
    <s v="FY21"/>
    <s v="t"/>
    <n v="0"/>
    <n v="0"/>
    <n v="6.8199999999999997E-2"/>
    <n v="6.8199999999999997E-2"/>
    <n v="0"/>
    <n v="0"/>
    <n v="31"/>
    <n v="31"/>
    <n v="0"/>
    <n v="0"/>
    <n v="100"/>
    <s v="Consolidation"/>
    <s v="CO2e and Base Measure"/>
    <n v="100"/>
    <n v="100"/>
    <n v="7.0000000000000007E-2"/>
    <m/>
    <m/>
    <m/>
    <m/>
    <m/>
    <n v="8.8700000000000001E-2"/>
    <m/>
    <n v="8.8700000000000001E-2"/>
    <m/>
    <m/>
    <m/>
    <m/>
    <m/>
    <s v="AUD"/>
    <s v="13634254Waste - General [t] - Scope 3"/>
    <n v="13634254"/>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09-01T00:00:00"/>
    <s v="FY21"/>
    <s v="t"/>
    <n v="0"/>
    <n v="0.78"/>
    <n v="0"/>
    <n v="0.78"/>
    <n v="0"/>
    <n v="4"/>
    <n v="0"/>
    <n v="4"/>
    <n v="0"/>
    <n v="100"/>
    <n v="0"/>
    <s v="Consolidation"/>
    <s v="CO2e and Base Measure"/>
    <n v="100"/>
    <n v="100"/>
    <n v="0.78"/>
    <m/>
    <m/>
    <m/>
    <m/>
    <m/>
    <n v="1.014"/>
    <m/>
    <n v="1.014"/>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11-01T00:00:00"/>
    <s v="FY21"/>
    <s v="t"/>
    <n v="0"/>
    <n v="0.58499999999999996"/>
    <n v="0"/>
    <n v="0.58499999999999996"/>
    <n v="0"/>
    <n v="3"/>
    <n v="0"/>
    <n v="3"/>
    <n v="0"/>
    <n v="100"/>
    <n v="0"/>
    <s v="Consolidation"/>
    <s v="CO2e and Base Measure"/>
    <n v="100"/>
    <n v="100"/>
    <n v="0.59"/>
    <m/>
    <m/>
    <m/>
    <m/>
    <m/>
    <n v="0.76049999999999995"/>
    <m/>
    <n v="0.76049999999999995"/>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1-01-01T00:00:00"/>
    <s v="FY21"/>
    <s v="t"/>
    <n v="0"/>
    <n v="0"/>
    <n v="1.46E-2"/>
    <n v="1.46E-2"/>
    <n v="0"/>
    <n v="0"/>
    <n v="1"/>
    <n v="1"/>
    <n v="0"/>
    <n v="0"/>
    <n v="100"/>
    <s v="Consolidation"/>
    <s v="CO2e and Base Measure"/>
    <n v="100"/>
    <n v="100"/>
    <n v="0.01"/>
    <m/>
    <m/>
    <m/>
    <m/>
    <m/>
    <n v="1.9E-2"/>
    <m/>
    <n v="1.9E-2"/>
    <m/>
    <m/>
    <m/>
    <m/>
    <m/>
    <s v="AUD"/>
    <s v="13565009Waste - General [t] - Scope 3"/>
    <n v="13565009"/>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0-12-01T00:00:00"/>
    <s v="FY21"/>
    <s v="t"/>
    <n v="0.20200000000000001"/>
    <n v="0"/>
    <n v="0"/>
    <n v="0.20200000000000001"/>
    <n v="1"/>
    <n v="0"/>
    <n v="0"/>
    <n v="1"/>
    <n v="100"/>
    <n v="0"/>
    <n v="0"/>
    <s v="Consolidation"/>
    <s v="CO2e and Base Measure"/>
    <n v="100"/>
    <n v="100"/>
    <n v="0.2"/>
    <m/>
    <m/>
    <m/>
    <m/>
    <m/>
    <n v="0.2626"/>
    <m/>
    <n v="0.2626"/>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1-01T00:00:00"/>
    <s v="FY21"/>
    <s v="t"/>
    <n v="5.8999999999999997E-2"/>
    <n v="0"/>
    <n v="0"/>
    <n v="5.8999999999999997E-2"/>
    <n v="1"/>
    <n v="0"/>
    <n v="0"/>
    <n v="1"/>
    <n v="100"/>
    <n v="0"/>
    <n v="0"/>
    <s v="Consolidation"/>
    <s v="CO2e and Base Measure"/>
    <n v="100"/>
    <n v="100"/>
    <n v="0.06"/>
    <m/>
    <m/>
    <m/>
    <m/>
    <m/>
    <n v="7.6700000000000004E-2"/>
    <m/>
    <n v="7.6700000000000004E-2"/>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2-01T00:00:00"/>
    <s v="FY21"/>
    <s v="t"/>
    <n v="0.39200000000000002"/>
    <n v="0"/>
    <n v="0"/>
    <n v="0.39200000000000002"/>
    <n v="1"/>
    <n v="0"/>
    <n v="0"/>
    <n v="1"/>
    <n v="100"/>
    <n v="0"/>
    <n v="0"/>
    <s v="Consolidation"/>
    <s v="CO2e and Base Measure"/>
    <n v="100"/>
    <n v="100"/>
    <n v="0.39"/>
    <m/>
    <m/>
    <m/>
    <m/>
    <m/>
    <n v="0.50960000000000005"/>
    <m/>
    <n v="0.50960000000000005"/>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3-01T00:00:00"/>
    <s v="FY21"/>
    <s v="t"/>
    <n v="0.55400000000000005"/>
    <n v="0"/>
    <n v="0"/>
    <n v="0.55400000000000005"/>
    <n v="1"/>
    <n v="0"/>
    <n v="0"/>
    <n v="1"/>
    <n v="100"/>
    <n v="0"/>
    <n v="0"/>
    <s v="Consolidation"/>
    <s v="CO2e and Base Measure"/>
    <n v="100"/>
    <n v="100"/>
    <n v="0.55000000000000004"/>
    <m/>
    <m/>
    <m/>
    <m/>
    <m/>
    <n v="0.72019999999999995"/>
    <m/>
    <n v="0.72019999999999995"/>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4-01T00:00:00"/>
    <s v="FY21"/>
    <s v="t"/>
    <n v="0"/>
    <n v="0"/>
    <n v="0.30299999999999999"/>
    <n v="0.30299999999999999"/>
    <n v="0"/>
    <n v="0"/>
    <n v="30"/>
    <n v="30"/>
    <n v="0"/>
    <n v="0"/>
    <n v="100"/>
    <s v="Consolidation"/>
    <s v="CO2e and Base Measure"/>
    <n v="100"/>
    <n v="100"/>
    <n v="0.3"/>
    <m/>
    <m/>
    <m/>
    <m/>
    <m/>
    <n v="0.39389999999999997"/>
    <m/>
    <n v="0.39389999999999997"/>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5-01T00:00:00"/>
    <s v="FY21"/>
    <s v="t"/>
    <n v="0"/>
    <n v="0"/>
    <n v="0.31309999999999999"/>
    <n v="0.31309999999999999"/>
    <n v="0"/>
    <n v="0"/>
    <n v="31"/>
    <n v="31"/>
    <n v="0"/>
    <n v="0"/>
    <n v="100"/>
    <s v="Consolidation"/>
    <s v="CO2e and Base Measure"/>
    <n v="100"/>
    <n v="100"/>
    <n v="0.31"/>
    <m/>
    <m/>
    <m/>
    <m/>
    <m/>
    <n v="0.40699999999999997"/>
    <m/>
    <n v="0.40699999999999997"/>
    <m/>
    <m/>
    <m/>
    <m/>
    <m/>
    <s v="AUD"/>
    <s v="13634255Waste - General [t] - Scope 3"/>
    <n v="13634255"/>
  </r>
  <r>
    <d v="2019-07-01T00:00:00"/>
    <d v="2021-06-30T00:00:00"/>
    <s v="Telstra"/>
    <s v="NETWORK"/>
    <s v="Network - InfraCo"/>
    <s v="NSW"/>
    <s v="Australia"/>
    <s v="Northmead"/>
    <s v="SEVEN HILLS EXCHANGE"/>
    <n v="423030299100"/>
    <s v="Recycled Waste"/>
    <x v="0"/>
    <x v="5"/>
    <s v="Account"/>
    <s v="Remondis Construction &amp; Demolition - Recycled"/>
    <m/>
    <s v="423030299100_RCONSDEM"/>
    <s v="CONSTRUCTION &amp; DEMOLITION - RECYLED"/>
    <s v="Remondis"/>
    <m/>
    <m/>
    <d v="2020-09-01T00:00:00"/>
    <d v="2020-08-01T00:00:00"/>
    <s v="FY21"/>
    <s v="t"/>
    <n v="1.74"/>
    <n v="0"/>
    <n v="0"/>
    <n v="1.74"/>
    <n v="1"/>
    <n v="0"/>
    <n v="0"/>
    <n v="1"/>
    <n v="100"/>
    <n v="0"/>
    <n v="0"/>
    <s v="Consolidation"/>
    <s v="CO2e and Base Measure"/>
    <n v="100"/>
    <n v="100"/>
    <n v="1.74"/>
    <m/>
    <m/>
    <m/>
    <m/>
    <m/>
    <m/>
    <m/>
    <m/>
    <m/>
    <m/>
    <m/>
    <m/>
    <m/>
    <s v="AUD"/>
    <s v="13596900Waste Recycled - Construction and Demolition [t]"/>
    <n v="13596900"/>
  </r>
  <r>
    <d v="2019-07-01T00:00:00"/>
    <d v="2021-06-30T00:00:00"/>
    <s v="Telstra"/>
    <s v="NETWORK"/>
    <s v="Network - InfraCo"/>
    <s v="NSW"/>
    <s v="Australia"/>
    <s v="Northmead"/>
    <s v="SEVEN HILLS EXCHANGE"/>
    <n v="423030299100"/>
    <s v="Recycled Waste"/>
    <x v="0"/>
    <x v="5"/>
    <s v="Account"/>
    <s v="Remondis Construction &amp; Demolition - Recycled"/>
    <m/>
    <s v="423030299100_RCONSDEM"/>
    <s v="CONSTRUCTION &amp; DEMOLITION - RECYLED"/>
    <s v="Remondis"/>
    <m/>
    <m/>
    <d v="2020-09-01T00:00:00"/>
    <d v="2020-09-01T00:00:00"/>
    <s v="FY21"/>
    <s v="t"/>
    <n v="0"/>
    <n v="0"/>
    <n v="5.6000000000000001E-2"/>
    <n v="5.6000000000000001E-2"/>
    <n v="0"/>
    <n v="0"/>
    <n v="1"/>
    <n v="1"/>
    <n v="0"/>
    <n v="0"/>
    <n v="100"/>
    <s v="Consolidation"/>
    <s v="CO2e and Base Measure"/>
    <n v="100"/>
    <n v="100"/>
    <n v="0.06"/>
    <m/>
    <m/>
    <m/>
    <m/>
    <m/>
    <m/>
    <m/>
    <m/>
    <m/>
    <m/>
    <m/>
    <m/>
    <m/>
    <s v="AUD"/>
    <s v="13596900Waste Recycled - Construction and Demolition [t]"/>
    <n v="13596900"/>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07-01T00:00:00"/>
    <s v="FY21"/>
    <s v="t"/>
    <n v="0"/>
    <n v="0.29249999999999998"/>
    <n v="0"/>
    <n v="0.29249999999999998"/>
    <n v="0"/>
    <n v="1"/>
    <n v="0"/>
    <n v="1"/>
    <n v="0"/>
    <n v="100"/>
    <n v="0"/>
    <s v="Consolidation"/>
    <s v="CO2e and Base Measure"/>
    <n v="100"/>
    <n v="100"/>
    <n v="0.28999999999999998"/>
    <m/>
    <m/>
    <m/>
    <m/>
    <m/>
    <n v="0.38030000000000003"/>
    <m/>
    <n v="0.38030000000000003"/>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5557Waste - General [t] - Scope 3"/>
    <n v="13565557"/>
  </r>
  <r>
    <d v="2019-07-01T00:00:00"/>
    <d v="2021-06-30T00:00:00"/>
    <s v="Telstra"/>
    <s v="NETWORK"/>
    <s v="Network - InfraCo"/>
    <s v="VIC"/>
    <s v="Australia"/>
    <s v="Victoria"/>
    <s v="SEYMOUR EXCHANGE"/>
    <n v="423030659200"/>
    <s v="Waste"/>
    <x v="1"/>
    <x v="4"/>
    <s v="Account"/>
    <s v="Remondis Asbestos"/>
    <m/>
    <s v="423030659200_WASBESTOS"/>
    <s v="ASBESTOS"/>
    <s v="Remondis"/>
    <m/>
    <m/>
    <d v="2021-01-01T00:00:00"/>
    <d v="2020-12-01T00:00:00"/>
    <s v="FY21"/>
    <s v="t"/>
    <n v="0.29399999999999998"/>
    <n v="0"/>
    <n v="0"/>
    <n v="0.29399999999999998"/>
    <n v="1"/>
    <n v="0"/>
    <n v="0"/>
    <n v="1"/>
    <n v="100"/>
    <n v="0"/>
    <n v="0"/>
    <s v="Consolidation"/>
    <s v="CO2e and Base Measure"/>
    <n v="100"/>
    <n v="100"/>
    <n v="0.28999999999999998"/>
    <m/>
    <m/>
    <m/>
    <m/>
    <m/>
    <n v="0.3528"/>
    <m/>
    <n v="0.3528"/>
    <m/>
    <m/>
    <m/>
    <m/>
    <m/>
    <s v="AUD"/>
    <s v="13565054Waste - Construction and Demolition [t]"/>
    <n v="13565054"/>
  </r>
  <r>
    <d v="2019-07-01T00:00:00"/>
    <d v="2021-06-30T00:00:00"/>
    <s v="Telstra"/>
    <s v="NETWORK"/>
    <s v="Network - InfraCo"/>
    <s v="VIC"/>
    <s v="Australia"/>
    <s v="Victoria"/>
    <s v="SEYMOUR EXCHANGE"/>
    <n v="423030659200"/>
    <s v="Waste"/>
    <x v="1"/>
    <x v="4"/>
    <s v="Account"/>
    <s v="Remondis Asbestos"/>
    <m/>
    <s v="423030659200_WASBESTOS"/>
    <s v="ASBESTOS"/>
    <s v="Remondis"/>
    <m/>
    <m/>
    <d v="2021-01-01T00:00:00"/>
    <d v="2021-01-01T00:00:00"/>
    <s v="FY21"/>
    <s v="t"/>
    <n v="0"/>
    <n v="0"/>
    <n v="2.3999999999999998E-3"/>
    <n v="2.3999999999999998E-3"/>
    <n v="0"/>
    <n v="0"/>
    <n v="1"/>
    <n v="1"/>
    <n v="0"/>
    <n v="0"/>
    <n v="100"/>
    <s v="Consolidation"/>
    <s v="CO2e and Base Measure"/>
    <n v="100"/>
    <n v="100"/>
    <n v="0"/>
    <m/>
    <m/>
    <m/>
    <m/>
    <m/>
    <n v="2.8999999999999998E-3"/>
    <m/>
    <n v="2.8999999999999998E-3"/>
    <m/>
    <m/>
    <m/>
    <m/>
    <m/>
    <s v="AUD"/>
    <s v="13565054Waste - Construction and Demolition [t]"/>
    <n v="13565054"/>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08-01T00:00:00"/>
    <s v="FY21"/>
    <s v="t"/>
    <n v="1"/>
    <n v="9.7500000000000003E-2"/>
    <n v="0"/>
    <n v="1.0974999999999999"/>
    <n v="1"/>
    <n v="1"/>
    <n v="0"/>
    <n v="2"/>
    <n v="91.11"/>
    <n v="8.8800000000000008"/>
    <n v="0"/>
    <s v="Consolidation"/>
    <s v="CO2e and Base Measure"/>
    <n v="100"/>
    <n v="100"/>
    <n v="1.1000000000000001"/>
    <m/>
    <m/>
    <m/>
    <m/>
    <m/>
    <n v="1.4268000000000001"/>
    <m/>
    <n v="1.4268000000000001"/>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09-01T00:00:00"/>
    <s v="FY21"/>
    <s v="t"/>
    <n v="2.04"/>
    <n v="0.19500000000000001"/>
    <n v="0"/>
    <n v="2.2349999999999999"/>
    <n v="1"/>
    <n v="2"/>
    <n v="0"/>
    <n v="3"/>
    <n v="91.27"/>
    <n v="8.7200000000000006"/>
    <n v="0"/>
    <s v="Consolidation"/>
    <s v="CO2e and Base Measure"/>
    <n v="100"/>
    <n v="100"/>
    <n v="2.2400000000000002"/>
    <m/>
    <m/>
    <m/>
    <m/>
    <m/>
    <n v="2.9055"/>
    <m/>
    <n v="2.9055"/>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1-01-01T00:00:00"/>
    <s v="FY21"/>
    <s v="t"/>
    <n v="0"/>
    <n v="0"/>
    <n v="1.9800000000000002E-2"/>
    <n v="1.9800000000000002E-2"/>
    <n v="0"/>
    <n v="0"/>
    <n v="1"/>
    <n v="1"/>
    <n v="0"/>
    <n v="0"/>
    <n v="100"/>
    <s v="Consolidation"/>
    <s v="CO2e and Base Measure"/>
    <n v="100"/>
    <n v="100"/>
    <n v="0.02"/>
    <m/>
    <m/>
    <m/>
    <m/>
    <m/>
    <n v="2.5700000000000001E-2"/>
    <m/>
    <n v="2.5700000000000001E-2"/>
    <m/>
    <m/>
    <m/>
    <m/>
    <m/>
    <s v="AUD"/>
    <s v="13565055Waste - General [t] - Scope 3"/>
    <n v="13565055"/>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1Hazardous Waste [t]"/>
    <n v="13633421"/>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0-12-01T00:00:00"/>
    <s v="FY21"/>
    <s v="t"/>
    <n v="9.8000000000000004E-2"/>
    <n v="0"/>
    <n v="0"/>
    <n v="9.8000000000000004E-2"/>
    <n v="1"/>
    <n v="0"/>
    <n v="0"/>
    <n v="1"/>
    <n v="100"/>
    <n v="0"/>
    <n v="0"/>
    <s v="Consolidation"/>
    <s v="CO2e and Base Measure"/>
    <n v="100"/>
    <n v="100"/>
    <n v="0.1"/>
    <m/>
    <m/>
    <m/>
    <m/>
    <m/>
    <n v="0.12740000000000001"/>
    <m/>
    <n v="0.12740000000000001"/>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1-01T00:00:00"/>
    <s v="FY21"/>
    <s v="t"/>
    <n v="6.8000000000000005E-2"/>
    <n v="0"/>
    <n v="0"/>
    <n v="6.8000000000000005E-2"/>
    <n v="1"/>
    <n v="0"/>
    <n v="0"/>
    <n v="1"/>
    <n v="100"/>
    <n v="0"/>
    <n v="0"/>
    <s v="Consolidation"/>
    <s v="CO2e and Base Measure"/>
    <n v="100"/>
    <n v="100"/>
    <n v="7.0000000000000007E-2"/>
    <m/>
    <m/>
    <m/>
    <m/>
    <m/>
    <n v="8.8400000000000006E-2"/>
    <m/>
    <n v="8.8400000000000006E-2"/>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2-01T00:00:00"/>
    <s v="FY21"/>
    <s v="t"/>
    <n v="0.25"/>
    <n v="0"/>
    <n v="0"/>
    <n v="0.25"/>
    <n v="1"/>
    <n v="0"/>
    <n v="0"/>
    <n v="1"/>
    <n v="100"/>
    <n v="0"/>
    <n v="0"/>
    <s v="Consolidation"/>
    <s v="CO2e and Base Measure"/>
    <n v="100"/>
    <n v="100"/>
    <n v="0.25"/>
    <m/>
    <m/>
    <m/>
    <m/>
    <m/>
    <n v="0.32500000000000001"/>
    <m/>
    <n v="0.32500000000000001"/>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3-01T00:00:00"/>
    <s v="FY21"/>
    <s v="t"/>
    <n v="0.35399999999999998"/>
    <n v="0"/>
    <n v="0"/>
    <n v="0.35399999999999998"/>
    <n v="2"/>
    <n v="0"/>
    <n v="0"/>
    <n v="2"/>
    <n v="100"/>
    <n v="0"/>
    <n v="0"/>
    <s v="Consolidation"/>
    <s v="CO2e and Base Measure"/>
    <n v="100"/>
    <n v="100"/>
    <n v="0.35"/>
    <m/>
    <m/>
    <m/>
    <m/>
    <m/>
    <n v="0.4602"/>
    <m/>
    <n v="0.4602"/>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4-01T00:00:00"/>
    <s v="FY21"/>
    <s v="t"/>
    <n v="0"/>
    <n v="0"/>
    <n v="0.192"/>
    <n v="0.192"/>
    <n v="0"/>
    <n v="0"/>
    <n v="30"/>
    <n v="30"/>
    <n v="0"/>
    <n v="0"/>
    <n v="100"/>
    <s v="Consolidation"/>
    <s v="CO2e and Base Measure"/>
    <n v="100"/>
    <n v="100"/>
    <n v="0.19"/>
    <m/>
    <m/>
    <m/>
    <m/>
    <m/>
    <n v="0.24959999999999999"/>
    <m/>
    <n v="0.24959999999999999"/>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5-01T00:00:00"/>
    <s v="FY21"/>
    <s v="t"/>
    <n v="0"/>
    <n v="0"/>
    <n v="0.19839999999999999"/>
    <n v="0.19839999999999999"/>
    <n v="0"/>
    <n v="0"/>
    <n v="31"/>
    <n v="31"/>
    <n v="0"/>
    <n v="0"/>
    <n v="100"/>
    <s v="Consolidation"/>
    <s v="CO2e and Base Measure"/>
    <n v="100"/>
    <n v="100"/>
    <n v="0.2"/>
    <m/>
    <m/>
    <m/>
    <m/>
    <m/>
    <n v="0.25790000000000002"/>
    <m/>
    <n v="0.25790000000000002"/>
    <m/>
    <m/>
    <m/>
    <m/>
    <m/>
    <s v="AUD"/>
    <s v="13634256Waste - General [t] - Scope 3"/>
    <n v="13634256"/>
  </r>
  <r>
    <d v="2019-07-01T00:00:00"/>
    <d v="2021-06-30T00:00:00"/>
    <s v="Telstra"/>
    <s v="NETWORK"/>
    <s v="Network - InfraCo"/>
    <s v="NSW"/>
    <s v="Australia"/>
    <s v="Mount Druitt"/>
    <s v="SHALVEY EXCHANGE"/>
    <n v="423030299200"/>
    <s v="Waste"/>
    <x v="1"/>
    <x v="4"/>
    <s v="Account"/>
    <s v="Remondis Construction &amp; Demolition - Landfill"/>
    <m/>
    <s v="423030299200_WCONSDEM"/>
    <s v="CONSTRUCTION &amp; DEMOLITION - LANDFILL"/>
    <s v="Remondis"/>
    <m/>
    <m/>
    <d v="2020-08-01T00:00:00"/>
    <d v="2020-07-01T00:00:00"/>
    <s v="FY21"/>
    <s v="t"/>
    <n v="32.24"/>
    <n v="0"/>
    <n v="0"/>
    <n v="32.24"/>
    <n v="3"/>
    <n v="0"/>
    <n v="0"/>
    <n v="3"/>
    <n v="100"/>
    <n v="0"/>
    <n v="0"/>
    <s v="Consolidation"/>
    <s v="CO2e and Base Measure"/>
    <n v="100"/>
    <n v="100"/>
    <n v="32.24"/>
    <m/>
    <m/>
    <m/>
    <m/>
    <m/>
    <n v="38.688000000000002"/>
    <m/>
    <n v="38.688000000000002"/>
    <m/>
    <m/>
    <m/>
    <m/>
    <m/>
    <s v="AUD"/>
    <s v="13602588Waste - Construction and Demolition [t]"/>
    <n v="13602588"/>
  </r>
  <r>
    <d v="2019-07-01T00:00:00"/>
    <d v="2021-06-30T00:00:00"/>
    <s v="Telstra"/>
    <s v="NETWORK"/>
    <s v="Network - InfraCo"/>
    <s v="NSW"/>
    <s v="Australia"/>
    <s v="Mount Druitt"/>
    <s v="SHALVEY EXCHANGE"/>
    <n v="423030299200"/>
    <s v="Waste"/>
    <x v="1"/>
    <x v="4"/>
    <s v="Account"/>
    <s v="Remondis Construction &amp; Demolition - Landfill"/>
    <m/>
    <s v="423030299200_WCONSDEM"/>
    <s v="CONSTRUCTION &amp; DEMOLITION - LANDFILL"/>
    <s v="Remondis"/>
    <m/>
    <m/>
    <d v="2020-08-01T00:00:00"/>
    <d v="2020-08-01T00:00:00"/>
    <s v="FY21"/>
    <s v="t"/>
    <n v="0"/>
    <n v="0"/>
    <n v="1.0747"/>
    <n v="1.0747"/>
    <n v="0"/>
    <n v="0"/>
    <n v="1"/>
    <n v="1"/>
    <n v="0"/>
    <n v="0"/>
    <n v="100"/>
    <s v="Consolidation"/>
    <s v="CO2e and Base Measure"/>
    <n v="100"/>
    <n v="100"/>
    <n v="1.07"/>
    <m/>
    <m/>
    <m/>
    <m/>
    <m/>
    <n v="1.2896000000000001"/>
    <m/>
    <n v="1.2896000000000001"/>
    <m/>
    <m/>
    <m/>
    <m/>
    <m/>
    <s v="AUD"/>
    <s v="13602588Waste - Construction and Demolition [t]"/>
    <n v="13602588"/>
  </r>
  <r>
    <d v="2019-07-01T00:00:00"/>
    <d v="2021-06-30T00:00:00"/>
    <s v="Telstra"/>
    <s v="NETWORK"/>
    <s v="Network - InfraCo"/>
    <s v="NSW"/>
    <s v="Australia"/>
    <s v="Mount Druitt"/>
    <s v="SHALVEY EXCHANGE"/>
    <n v="423030299200"/>
    <s v="Recycled Waste"/>
    <x v="0"/>
    <x v="5"/>
    <s v="Account"/>
    <s v="Remondis Metal - Mixed All"/>
    <m/>
    <s v="423030299200_RMETMIXED"/>
    <s v="METAL - MIXED ALL"/>
    <s v="Remondis"/>
    <m/>
    <m/>
    <d v="2020-08-01T00:00:00"/>
    <d v="2020-07-01T00:00:00"/>
    <s v="FY21"/>
    <s v="t"/>
    <n v="0.7"/>
    <n v="0"/>
    <n v="0"/>
    <n v="0.7"/>
    <n v="1"/>
    <n v="0"/>
    <n v="0"/>
    <n v="1"/>
    <n v="100"/>
    <n v="0"/>
    <n v="0"/>
    <s v="Consolidation"/>
    <s v="CO2e and Base Measure"/>
    <n v="100"/>
    <n v="100"/>
    <n v="0.7"/>
    <m/>
    <m/>
    <m/>
    <m/>
    <m/>
    <m/>
    <m/>
    <m/>
    <m/>
    <m/>
    <m/>
    <m/>
    <m/>
    <s v="AUD"/>
    <s v="13611160Waste Recycled - Construction and Demolition [t]"/>
    <n v="13611160"/>
  </r>
  <r>
    <d v="2019-07-01T00:00:00"/>
    <d v="2021-06-30T00:00:00"/>
    <s v="Telstra"/>
    <s v="NETWORK"/>
    <s v="Network - InfraCo"/>
    <s v="NSW"/>
    <s v="Australia"/>
    <s v="Mount Druitt"/>
    <s v="SHALVEY EXCHANGE"/>
    <n v="423030299200"/>
    <s v="Recycled Waste"/>
    <x v="0"/>
    <x v="5"/>
    <s v="Account"/>
    <s v="Remondis Metal - Mixed All"/>
    <m/>
    <s v="423030299200_RMETMIXED"/>
    <s v="METAL - MIXED ALL"/>
    <s v="Remondis"/>
    <m/>
    <m/>
    <d v="2020-08-01T00:00:00"/>
    <d v="2020-08-01T00:00:00"/>
    <s v="FY21"/>
    <s v="t"/>
    <n v="0"/>
    <n v="0"/>
    <n v="1.9699999999999999E-2"/>
    <n v="1.9699999999999999E-2"/>
    <n v="0"/>
    <n v="0"/>
    <n v="1"/>
    <n v="1"/>
    <n v="0"/>
    <n v="0"/>
    <n v="100"/>
    <s v="Consolidation"/>
    <s v="CO2e and Base Measure"/>
    <n v="100"/>
    <n v="100"/>
    <n v="0.02"/>
    <m/>
    <m/>
    <m/>
    <m/>
    <m/>
    <m/>
    <m/>
    <m/>
    <m/>
    <m/>
    <m/>
    <m/>
    <m/>
    <s v="AUD"/>
    <s v="13611160Waste Recycled - Construction and Demolition [t]"/>
    <n v="13611160"/>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0-07-01T00:00:00"/>
    <s v="FY21"/>
    <s v="t"/>
    <n v="2.7E-2"/>
    <n v="0"/>
    <n v="0"/>
    <n v="2.7E-2"/>
    <n v="1"/>
    <n v="0"/>
    <n v="0"/>
    <n v="1"/>
    <n v="100"/>
    <n v="0"/>
    <n v="0"/>
    <s v="Consolidation"/>
    <s v="CO2e and Base Measure"/>
    <n v="100"/>
    <n v="100"/>
    <n v="0.03"/>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0-09-01T00:00:00"/>
    <s v="FY21"/>
    <s v="t"/>
    <n v="2E-3"/>
    <n v="0"/>
    <n v="0"/>
    <n v="2E-3"/>
    <n v="1"/>
    <n v="0"/>
    <n v="0"/>
    <n v="1"/>
    <n v="100"/>
    <n v="0"/>
    <n v="0"/>
    <s v="Consolidation"/>
    <s v="CO2e and Base Measure"/>
    <n v="100"/>
    <n v="100"/>
    <n v="0"/>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0-11-01T00:00:00"/>
    <s v="FY21"/>
    <s v="t"/>
    <n v="2.7E-2"/>
    <n v="0"/>
    <n v="0"/>
    <n v="2.7E-2"/>
    <n v="1"/>
    <n v="0"/>
    <n v="0"/>
    <n v="1"/>
    <n v="100"/>
    <n v="0"/>
    <n v="0"/>
    <s v="Consolidation"/>
    <s v="CO2e and Base Measure"/>
    <n v="100"/>
    <n v="100"/>
    <n v="0.03"/>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0-12-01T00:00:00"/>
    <s v="FY21"/>
    <s v="t"/>
    <n v="0"/>
    <n v="0"/>
    <n v="1.55E-2"/>
    <n v="1.55E-2"/>
    <n v="0"/>
    <n v="0"/>
    <n v="31"/>
    <n v="31"/>
    <n v="0"/>
    <n v="0"/>
    <n v="100"/>
    <s v="Consolidation"/>
    <s v="CO2e and Base Measure"/>
    <n v="100"/>
    <n v="100"/>
    <n v="0.02"/>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1-01T00:00:00"/>
    <s v="FY21"/>
    <s v="t"/>
    <n v="0"/>
    <n v="0"/>
    <n v="1.55E-2"/>
    <n v="1.55E-2"/>
    <n v="0"/>
    <n v="0"/>
    <n v="31"/>
    <n v="31"/>
    <n v="0"/>
    <n v="0"/>
    <n v="100"/>
    <s v="Consolidation"/>
    <s v="CO2e and Base Measure"/>
    <n v="100"/>
    <n v="100"/>
    <n v="0.02"/>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2-01T00:00:00"/>
    <s v="FY21"/>
    <s v="t"/>
    <n v="0"/>
    <n v="0"/>
    <n v="1.4E-2"/>
    <n v="1.4E-2"/>
    <n v="0"/>
    <n v="0"/>
    <n v="28"/>
    <n v="28"/>
    <n v="0"/>
    <n v="0"/>
    <n v="100"/>
    <s v="Consolidation"/>
    <s v="CO2e and Base Measure"/>
    <n v="100"/>
    <n v="100"/>
    <n v="0.01"/>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3-01T00:00:00"/>
    <s v="FY21"/>
    <s v="t"/>
    <n v="0"/>
    <n v="0"/>
    <n v="1.55E-2"/>
    <n v="1.55E-2"/>
    <n v="0"/>
    <n v="0"/>
    <n v="31"/>
    <n v="31"/>
    <n v="0"/>
    <n v="0"/>
    <n v="100"/>
    <s v="Consolidation"/>
    <s v="CO2e and Base Measure"/>
    <n v="100"/>
    <n v="100"/>
    <n v="0.02"/>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5-01T00:00:00"/>
    <s v="FY21"/>
    <s v="t"/>
    <n v="0"/>
    <n v="0"/>
    <n v="1.55E-2"/>
    <n v="1.55E-2"/>
    <n v="0"/>
    <n v="0"/>
    <n v="31"/>
    <n v="31"/>
    <n v="0"/>
    <n v="0"/>
    <n v="100"/>
    <s v="Consolidation"/>
    <s v="CO2e and Base Measure"/>
    <n v="100"/>
    <n v="100"/>
    <n v="0.02"/>
    <m/>
    <m/>
    <m/>
    <m/>
    <m/>
    <m/>
    <m/>
    <m/>
    <m/>
    <m/>
    <m/>
    <m/>
    <m/>
    <s v="AUD"/>
    <s v="13566443Waste Recycled - Paper and Cardboard [t]"/>
    <n v="13566443"/>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07-01T00:00:00"/>
    <s v="FY21"/>
    <s v="t"/>
    <n v="0"/>
    <n v="0.97499999999999998"/>
    <n v="0"/>
    <n v="0.97499999999999998"/>
    <n v="0"/>
    <n v="4"/>
    <n v="0"/>
    <n v="4"/>
    <n v="0"/>
    <n v="100"/>
    <n v="0"/>
    <s v="Consolidation"/>
    <s v="CO2e and Base Measure"/>
    <n v="100"/>
    <n v="100"/>
    <n v="0.98"/>
    <m/>
    <m/>
    <m/>
    <m/>
    <m/>
    <n v="1.2675000000000001"/>
    <m/>
    <n v="1.2675000000000001"/>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08-01T00:00:00"/>
    <s v="FY21"/>
    <s v="t"/>
    <n v="0"/>
    <n v="0.78"/>
    <n v="0"/>
    <n v="0.78"/>
    <n v="0"/>
    <n v="4"/>
    <n v="0"/>
    <n v="4"/>
    <n v="0"/>
    <n v="100"/>
    <n v="0"/>
    <s v="Consolidation"/>
    <s v="CO2e and Base Measure"/>
    <n v="100"/>
    <n v="100"/>
    <n v="0.78"/>
    <m/>
    <m/>
    <m/>
    <m/>
    <m/>
    <n v="1.014"/>
    <m/>
    <n v="1.014"/>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09-01T00:00:00"/>
    <s v="FY21"/>
    <s v="t"/>
    <n v="0"/>
    <n v="0.97499999999999998"/>
    <n v="0"/>
    <n v="0.97499999999999998"/>
    <n v="0"/>
    <n v="5"/>
    <n v="0"/>
    <n v="5"/>
    <n v="0"/>
    <n v="100"/>
    <n v="0"/>
    <s v="Consolidation"/>
    <s v="CO2e and Base Measure"/>
    <n v="100"/>
    <n v="100"/>
    <n v="0.98"/>
    <m/>
    <m/>
    <m/>
    <m/>
    <m/>
    <n v="1.2675000000000001"/>
    <m/>
    <n v="1.2675000000000001"/>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11-01T00:00:00"/>
    <s v="FY21"/>
    <s v="t"/>
    <n v="0"/>
    <n v="0.78"/>
    <n v="0"/>
    <n v="0.78"/>
    <n v="0"/>
    <n v="4"/>
    <n v="0"/>
    <n v="4"/>
    <n v="0"/>
    <n v="100"/>
    <n v="0"/>
    <s v="Consolidation"/>
    <s v="CO2e and Base Measure"/>
    <n v="100"/>
    <n v="100"/>
    <n v="0.78"/>
    <m/>
    <m/>
    <m/>
    <m/>
    <m/>
    <n v="1.014"/>
    <m/>
    <n v="1.014"/>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1-01-01T00:00:00"/>
    <s v="FY21"/>
    <s v="t"/>
    <n v="0"/>
    <n v="0"/>
    <n v="2.1999999999999999E-2"/>
    <n v="2.1999999999999999E-2"/>
    <n v="0"/>
    <n v="0"/>
    <n v="1"/>
    <n v="1"/>
    <n v="0"/>
    <n v="0"/>
    <n v="100"/>
    <s v="Consolidation"/>
    <s v="CO2e and Base Measure"/>
    <n v="100"/>
    <n v="100"/>
    <n v="0.02"/>
    <m/>
    <m/>
    <m/>
    <m/>
    <m/>
    <n v="2.86E-2"/>
    <m/>
    <n v="2.86E-2"/>
    <m/>
    <m/>
    <m/>
    <m/>
    <m/>
    <s v="AUD"/>
    <s v="13565959Waste - General [t] - Scope 3"/>
    <n v="13565959"/>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1-01T00:00:00"/>
    <s v="FY21"/>
    <s v="t"/>
    <n v="0.13700000000000001"/>
    <n v="0"/>
    <n v="0"/>
    <n v="0.13700000000000001"/>
    <n v="1"/>
    <n v="0"/>
    <n v="0"/>
    <n v="1"/>
    <n v="100"/>
    <n v="0"/>
    <n v="0"/>
    <s v="Consolidation"/>
    <s v="CO2e and Base Measure"/>
    <n v="100"/>
    <n v="100"/>
    <n v="0.14000000000000001"/>
    <m/>
    <m/>
    <m/>
    <m/>
    <m/>
    <n v="0.17810000000000001"/>
    <m/>
    <n v="0.17810000000000001"/>
    <m/>
    <m/>
    <m/>
    <m/>
    <m/>
    <s v="AUD"/>
    <s v="13634471Waste - General [t] - Scope 3"/>
    <n v="13634471"/>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2-01T00:00:00"/>
    <s v="FY21"/>
    <s v="t"/>
    <n v="0.18099999999999999"/>
    <n v="0"/>
    <n v="0"/>
    <n v="0.18099999999999999"/>
    <n v="1"/>
    <n v="0"/>
    <n v="0"/>
    <n v="1"/>
    <n v="100"/>
    <n v="0"/>
    <n v="0"/>
    <s v="Consolidation"/>
    <s v="CO2e and Base Measure"/>
    <n v="100"/>
    <n v="100"/>
    <n v="0.18"/>
    <m/>
    <m/>
    <m/>
    <m/>
    <m/>
    <n v="0.23530000000000001"/>
    <m/>
    <n v="0.23530000000000001"/>
    <m/>
    <m/>
    <m/>
    <m/>
    <m/>
    <s v="AUD"/>
    <s v="13634471Waste - General [t] - Scope 3"/>
    <n v="13634471"/>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3-01T00:00:00"/>
    <s v="FY21"/>
    <s v="t"/>
    <n v="0"/>
    <n v="0"/>
    <n v="0.17050000000000001"/>
    <n v="0.17050000000000001"/>
    <n v="0"/>
    <n v="0"/>
    <n v="31"/>
    <n v="31"/>
    <n v="0"/>
    <n v="0"/>
    <n v="100"/>
    <s v="Consolidation"/>
    <s v="CO2e and Base Measure"/>
    <n v="100"/>
    <n v="100"/>
    <n v="0.17"/>
    <m/>
    <m/>
    <m/>
    <m/>
    <m/>
    <n v="0.22170000000000001"/>
    <m/>
    <n v="0.22170000000000001"/>
    <m/>
    <m/>
    <m/>
    <m/>
    <m/>
    <s v="AUD"/>
    <s v="13634471Waste - General [t] - Scope 3"/>
    <n v="13634471"/>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4-01T00:00:00"/>
    <s v="FY21"/>
    <s v="t"/>
    <n v="0"/>
    <n v="0"/>
    <n v="0.16500000000000001"/>
    <n v="0.16500000000000001"/>
    <n v="0"/>
    <n v="0"/>
    <n v="30"/>
    <n v="30"/>
    <n v="0"/>
    <n v="0"/>
    <n v="100"/>
    <s v="Consolidation"/>
    <s v="CO2e and Base Measure"/>
    <n v="100"/>
    <n v="100"/>
    <n v="0.17"/>
    <m/>
    <m/>
    <m/>
    <m/>
    <m/>
    <n v="0.2145"/>
    <m/>
    <n v="0.2145"/>
    <m/>
    <m/>
    <m/>
    <m/>
    <m/>
    <s v="AUD"/>
    <s v="13634471Waste - General [t] - Scope 3"/>
    <n v="13634471"/>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5-01T00:00:00"/>
    <s v="FY21"/>
    <s v="t"/>
    <n v="0"/>
    <n v="0"/>
    <n v="0.17050000000000001"/>
    <n v="0.17050000000000001"/>
    <n v="0"/>
    <n v="0"/>
    <n v="31"/>
    <n v="31"/>
    <n v="0"/>
    <n v="0"/>
    <n v="100"/>
    <s v="Consolidation"/>
    <s v="CO2e and Base Measure"/>
    <n v="100"/>
    <n v="100"/>
    <n v="0.17"/>
    <m/>
    <m/>
    <m/>
    <m/>
    <m/>
    <n v="0.22170000000000001"/>
    <m/>
    <n v="0.22170000000000001"/>
    <m/>
    <m/>
    <m/>
    <m/>
    <m/>
    <s v="AUD"/>
    <s v="13634471Waste - General [t] - Scope 3"/>
    <n v="13634471"/>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07-01T00:00:00"/>
    <s v="FY21"/>
    <s v="t"/>
    <n v="0.01"/>
    <n v="9.3200000000000005E-2"/>
    <n v="0"/>
    <n v="0.1032"/>
    <n v="1"/>
    <n v="4"/>
    <n v="0"/>
    <n v="5"/>
    <n v="9.68"/>
    <n v="90.31"/>
    <n v="0"/>
    <s v="Consolidation"/>
    <s v="CO2e and Base Measure"/>
    <n v="100"/>
    <n v="100"/>
    <n v="0.1"/>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08-01T00:00:00"/>
    <s v="FY21"/>
    <s v="t"/>
    <n v="0"/>
    <n v="6.9900000000000004E-2"/>
    <n v="0"/>
    <n v="6.9900000000000004E-2"/>
    <n v="0"/>
    <n v="3"/>
    <n v="0"/>
    <n v="3"/>
    <n v="0"/>
    <n v="100"/>
    <n v="0"/>
    <s v="Consolidation"/>
    <s v="CO2e and Base Measure"/>
    <n v="100"/>
    <n v="100"/>
    <n v="7.0000000000000007E-2"/>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09-01T00:00:00"/>
    <s v="FY21"/>
    <s v="t"/>
    <n v="0"/>
    <n v="9.3200000000000005E-2"/>
    <n v="0"/>
    <n v="9.3200000000000005E-2"/>
    <n v="0"/>
    <n v="4"/>
    <n v="0"/>
    <n v="4"/>
    <n v="0"/>
    <n v="100"/>
    <n v="0"/>
    <s v="Consolidation"/>
    <s v="CO2e and Base Measure"/>
    <n v="100"/>
    <n v="100"/>
    <n v="0.09"/>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10-01T00:00:00"/>
    <s v="FY21"/>
    <s v="t"/>
    <n v="0"/>
    <n v="9.3200000000000005E-2"/>
    <n v="0"/>
    <n v="9.3200000000000005E-2"/>
    <n v="0"/>
    <n v="4"/>
    <n v="0"/>
    <n v="4"/>
    <n v="0"/>
    <n v="100"/>
    <n v="0"/>
    <s v="Consolidation"/>
    <s v="CO2e and Base Measure"/>
    <n v="100"/>
    <n v="100"/>
    <n v="0.09"/>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11-01T00:00:00"/>
    <s v="FY21"/>
    <s v="t"/>
    <n v="0"/>
    <n v="9.3200000000000005E-2"/>
    <n v="0"/>
    <n v="9.3200000000000005E-2"/>
    <n v="0"/>
    <n v="4"/>
    <n v="0"/>
    <n v="4"/>
    <n v="0"/>
    <n v="100"/>
    <n v="0"/>
    <s v="Consolidation"/>
    <s v="CO2e and Base Measure"/>
    <n v="100"/>
    <n v="100"/>
    <n v="0.09"/>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12-01T00:00:00"/>
    <s v="FY21"/>
    <s v="t"/>
    <n v="0"/>
    <n v="4.6600000000000003E-2"/>
    <n v="0"/>
    <n v="4.6600000000000003E-2"/>
    <n v="0"/>
    <n v="2"/>
    <n v="0"/>
    <n v="2"/>
    <n v="0"/>
    <n v="100"/>
    <n v="0"/>
    <s v="Consolidation"/>
    <s v="CO2e and Base Measure"/>
    <n v="100"/>
    <n v="100"/>
    <n v="0.05"/>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1-01-01T00:00:00"/>
    <s v="FY21"/>
    <s v="t"/>
    <n v="0"/>
    <n v="0"/>
    <n v="2.8E-3"/>
    <n v="2.8E-3"/>
    <n v="0"/>
    <n v="0"/>
    <n v="1"/>
    <n v="1"/>
    <n v="0"/>
    <n v="0"/>
    <n v="100"/>
    <s v="Consolidation"/>
    <s v="CO2e and Base Measure"/>
    <n v="100"/>
    <n v="100"/>
    <n v="0"/>
    <m/>
    <m/>
    <m/>
    <m/>
    <m/>
    <m/>
    <n v="0"/>
    <m/>
    <m/>
    <m/>
    <m/>
    <m/>
    <m/>
    <s v="AUD"/>
    <s v="13564250Waste Recycled - Cardboard [t]"/>
    <n v="13564250"/>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07-01T00:00:00"/>
    <s v="FY21"/>
    <s v="t"/>
    <n v="0.17"/>
    <n v="0"/>
    <n v="0"/>
    <n v="0.17"/>
    <n v="2"/>
    <n v="0"/>
    <n v="0"/>
    <n v="2"/>
    <n v="100"/>
    <n v="0"/>
    <n v="0"/>
    <s v="Consolidation"/>
    <s v="CO2e and Base Measure"/>
    <n v="100"/>
    <n v="100"/>
    <n v="0.17"/>
    <m/>
    <m/>
    <m/>
    <m/>
    <m/>
    <n v="0.221"/>
    <m/>
    <n v="0.221"/>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08-01T00:00:00"/>
    <s v="FY21"/>
    <s v="t"/>
    <n v="0.14499999999999999"/>
    <n v="0"/>
    <n v="0"/>
    <n v="0.14499999999999999"/>
    <n v="3"/>
    <n v="0"/>
    <n v="0"/>
    <n v="3"/>
    <n v="100"/>
    <n v="0"/>
    <n v="0"/>
    <s v="Consolidation"/>
    <s v="CO2e and Base Measure"/>
    <n v="100"/>
    <n v="100"/>
    <n v="0.15"/>
    <m/>
    <m/>
    <m/>
    <m/>
    <m/>
    <n v="0.1885"/>
    <m/>
    <n v="0.1885"/>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09-01T00:00:00"/>
    <s v="FY21"/>
    <s v="t"/>
    <n v="0.08"/>
    <n v="7.22E-2"/>
    <n v="0"/>
    <n v="0.1522"/>
    <n v="1"/>
    <n v="1"/>
    <n v="0"/>
    <n v="2"/>
    <n v="52.56"/>
    <n v="47.43"/>
    <n v="0"/>
    <s v="Consolidation"/>
    <s v="CO2e and Base Measure"/>
    <n v="100"/>
    <n v="100"/>
    <n v="0.15"/>
    <m/>
    <m/>
    <m/>
    <m/>
    <m/>
    <n v="0.19789999999999999"/>
    <m/>
    <n v="0.19789999999999999"/>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10-01T00:00:00"/>
    <s v="FY21"/>
    <s v="t"/>
    <n v="6.8000000000000005E-2"/>
    <n v="0"/>
    <n v="0"/>
    <n v="6.8000000000000005E-2"/>
    <n v="2"/>
    <n v="0"/>
    <n v="0"/>
    <n v="2"/>
    <n v="100"/>
    <n v="0"/>
    <n v="0"/>
    <s v="Consolidation"/>
    <s v="CO2e and Base Measure"/>
    <n v="100"/>
    <n v="100"/>
    <n v="7.0000000000000007E-2"/>
    <m/>
    <m/>
    <m/>
    <m/>
    <m/>
    <n v="8.8400000000000006E-2"/>
    <m/>
    <n v="8.8400000000000006E-2"/>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11-01T00:00:00"/>
    <s v="FY21"/>
    <s v="t"/>
    <n v="0.122"/>
    <n v="0"/>
    <n v="0"/>
    <n v="0.122"/>
    <n v="2"/>
    <n v="0"/>
    <n v="0"/>
    <n v="2"/>
    <n v="100"/>
    <n v="0"/>
    <n v="0"/>
    <s v="Consolidation"/>
    <s v="CO2e and Base Measure"/>
    <n v="100"/>
    <n v="100"/>
    <n v="0.12"/>
    <m/>
    <m/>
    <m/>
    <m/>
    <m/>
    <n v="0.15859999999999999"/>
    <m/>
    <n v="0.15859999999999999"/>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1-01-01T00:00:00"/>
    <s v="FY21"/>
    <s v="t"/>
    <n v="0"/>
    <n v="0"/>
    <n v="4.1000000000000003E-3"/>
    <n v="4.1000000000000003E-3"/>
    <n v="0"/>
    <n v="0"/>
    <n v="1"/>
    <n v="1"/>
    <n v="0"/>
    <n v="0"/>
    <n v="100"/>
    <s v="Consolidation"/>
    <s v="CO2e and Base Measure"/>
    <n v="100"/>
    <n v="100"/>
    <n v="0"/>
    <m/>
    <m/>
    <m/>
    <m/>
    <m/>
    <n v="5.3E-3"/>
    <m/>
    <n v="5.3E-3"/>
    <m/>
    <m/>
    <m/>
    <m/>
    <m/>
    <s v="AUD"/>
    <s v="13564251Waste - General [t] - Scope 3"/>
    <n v="13564251"/>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0-12-01T00:00:00"/>
    <s v="FY21"/>
    <s v="t"/>
    <n v="0"/>
    <n v="0.1188"/>
    <n v="0"/>
    <n v="0.1188"/>
    <n v="0"/>
    <n v="4"/>
    <n v="0"/>
    <n v="4"/>
    <n v="0"/>
    <n v="100"/>
    <n v="0"/>
    <s v="Consolidation"/>
    <s v="CO2e and Base Measure"/>
    <n v="100"/>
    <n v="100"/>
    <n v="0.12"/>
    <m/>
    <m/>
    <m/>
    <m/>
    <m/>
    <n v="0.15440000000000001"/>
    <m/>
    <n v="0.15440000000000001"/>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1-01T00:00:00"/>
    <s v="FY21"/>
    <s v="t"/>
    <n v="0"/>
    <n v="0.1188"/>
    <n v="0"/>
    <n v="0.1188"/>
    <n v="0"/>
    <n v="4"/>
    <n v="0"/>
    <n v="4"/>
    <n v="0"/>
    <n v="100"/>
    <n v="0"/>
    <s v="Consolidation"/>
    <s v="CO2e and Base Measure"/>
    <n v="100"/>
    <n v="100"/>
    <n v="0.12"/>
    <m/>
    <m/>
    <m/>
    <m/>
    <m/>
    <n v="0.15440000000000001"/>
    <m/>
    <n v="0.15440000000000001"/>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2-01T00:00:00"/>
    <s v="FY21"/>
    <s v="t"/>
    <n v="0"/>
    <n v="0.1188"/>
    <n v="0"/>
    <n v="0.1188"/>
    <n v="0"/>
    <n v="4"/>
    <n v="0"/>
    <n v="4"/>
    <n v="0"/>
    <n v="100"/>
    <n v="0"/>
    <s v="Consolidation"/>
    <s v="CO2e and Base Measure"/>
    <n v="100"/>
    <n v="100"/>
    <n v="0.12"/>
    <m/>
    <m/>
    <m/>
    <m/>
    <m/>
    <n v="0.15440000000000001"/>
    <m/>
    <n v="0.15440000000000001"/>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3-01T00:00:00"/>
    <s v="FY21"/>
    <s v="t"/>
    <n v="0"/>
    <n v="0.1188"/>
    <n v="0"/>
    <n v="0.1188"/>
    <n v="0"/>
    <n v="4"/>
    <n v="0"/>
    <n v="4"/>
    <n v="0"/>
    <n v="100"/>
    <n v="0"/>
    <s v="Consolidation"/>
    <s v="CO2e and Base Measure"/>
    <n v="100"/>
    <n v="100"/>
    <n v="0.12"/>
    <m/>
    <m/>
    <m/>
    <m/>
    <m/>
    <n v="0.15440000000000001"/>
    <m/>
    <n v="0.15440000000000001"/>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4-01T00:00:00"/>
    <s v="FY21"/>
    <s v="t"/>
    <n v="0"/>
    <n v="0"/>
    <n v="0.12"/>
    <n v="0.12"/>
    <n v="0"/>
    <n v="0"/>
    <n v="30"/>
    <n v="30"/>
    <n v="0"/>
    <n v="0"/>
    <n v="100"/>
    <s v="Consolidation"/>
    <s v="CO2e and Base Measure"/>
    <n v="100"/>
    <n v="100"/>
    <n v="0.12"/>
    <m/>
    <m/>
    <m/>
    <m/>
    <m/>
    <n v="0.156"/>
    <m/>
    <n v="0.156"/>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5-01T00:00:00"/>
    <s v="FY21"/>
    <s v="t"/>
    <n v="0"/>
    <n v="0"/>
    <n v="0.124"/>
    <n v="0.124"/>
    <n v="0"/>
    <n v="0"/>
    <n v="31"/>
    <n v="31"/>
    <n v="0"/>
    <n v="0"/>
    <n v="100"/>
    <s v="Consolidation"/>
    <s v="CO2e and Base Measure"/>
    <n v="100"/>
    <n v="100"/>
    <n v="0.12"/>
    <m/>
    <m/>
    <m/>
    <m/>
    <m/>
    <n v="0.16120000000000001"/>
    <m/>
    <n v="0.16120000000000001"/>
    <m/>
    <m/>
    <m/>
    <m/>
    <m/>
    <s v="AUD"/>
    <s v="13634257Waste - General [t] - Scope 3"/>
    <n v="13634257"/>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0-12-01T00:00:00"/>
    <s v="FY21"/>
    <s v="t"/>
    <n v="0"/>
    <n v="6.6000000000000003E-2"/>
    <n v="0"/>
    <n v="6.6000000000000003E-2"/>
    <n v="0"/>
    <n v="4"/>
    <n v="0"/>
    <n v="4"/>
    <n v="0"/>
    <n v="100"/>
    <n v="0"/>
    <s v="Consolidation"/>
    <s v="CO2e and Base Measure"/>
    <n v="100"/>
    <n v="100"/>
    <n v="7.0000000000000007E-2"/>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1-01T00:00:00"/>
    <s v="FY21"/>
    <s v="t"/>
    <n v="0"/>
    <n v="6.6000000000000003E-2"/>
    <n v="0"/>
    <n v="6.6000000000000003E-2"/>
    <n v="0"/>
    <n v="4"/>
    <n v="0"/>
    <n v="4"/>
    <n v="0"/>
    <n v="100"/>
    <n v="0"/>
    <s v="Consolidation"/>
    <s v="CO2e and Base Measure"/>
    <n v="100"/>
    <n v="100"/>
    <n v="7.0000000000000007E-2"/>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2-01T00:00:00"/>
    <s v="FY21"/>
    <s v="t"/>
    <n v="0"/>
    <n v="6.6000000000000003E-2"/>
    <n v="0"/>
    <n v="6.6000000000000003E-2"/>
    <n v="0"/>
    <n v="4"/>
    <n v="0"/>
    <n v="4"/>
    <n v="0"/>
    <n v="100"/>
    <n v="0"/>
    <s v="Consolidation"/>
    <s v="CO2e and Base Measure"/>
    <n v="100"/>
    <n v="100"/>
    <n v="7.0000000000000007E-2"/>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3-01T00:00:00"/>
    <s v="FY21"/>
    <s v="t"/>
    <n v="0"/>
    <n v="4.9500000000000002E-2"/>
    <n v="0"/>
    <n v="4.9500000000000002E-2"/>
    <n v="0"/>
    <n v="3"/>
    <n v="0"/>
    <n v="3"/>
    <n v="0"/>
    <n v="100"/>
    <n v="0"/>
    <s v="Consolidation"/>
    <s v="CO2e and Base Measure"/>
    <n v="100"/>
    <n v="100"/>
    <n v="0.05"/>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4-01T00:00:00"/>
    <s v="FY21"/>
    <s v="t"/>
    <n v="0"/>
    <n v="0"/>
    <n v="6.3E-2"/>
    <n v="6.3E-2"/>
    <n v="0"/>
    <n v="0"/>
    <n v="30"/>
    <n v="30"/>
    <n v="0"/>
    <n v="0"/>
    <n v="100"/>
    <s v="Consolidation"/>
    <s v="CO2e and Base Measure"/>
    <n v="100"/>
    <n v="100"/>
    <n v="0.06"/>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5-01T00:00:00"/>
    <s v="FY21"/>
    <s v="t"/>
    <n v="0"/>
    <n v="0"/>
    <n v="6.5100000000000005E-2"/>
    <n v="6.5100000000000005E-2"/>
    <n v="0"/>
    <n v="0"/>
    <n v="31"/>
    <n v="31"/>
    <n v="0"/>
    <n v="0"/>
    <n v="100"/>
    <s v="Consolidation"/>
    <s v="CO2e and Base Measure"/>
    <n v="100"/>
    <n v="100"/>
    <n v="7.0000000000000007E-2"/>
    <m/>
    <m/>
    <m/>
    <m/>
    <m/>
    <m/>
    <m/>
    <m/>
    <m/>
    <m/>
    <m/>
    <m/>
    <m/>
    <s v="AUD"/>
    <s v="13634406Waste Recycled - Paper and Cardboard [t]"/>
    <n v="13634406"/>
  </r>
  <r>
    <d v="2019-07-01T00:00:00"/>
    <d v="2021-06-30T00:00:00"/>
    <s v="Telstra"/>
    <s v="NON-NETWORK"/>
    <s v="NON-NETWORK"/>
    <s v="NSW"/>
    <s v="Australia"/>
    <s v="Sydney"/>
    <s v="SHOP 1 327-329 GEORGE ST SYDNEY"/>
    <n v="423032033800"/>
    <s v="Recycled Waste"/>
    <x v="0"/>
    <x v="0"/>
    <s v="Account"/>
    <s v="Remondis Cardboard - Loose - Recycled"/>
    <m/>
    <s v="423032033800_RCARDBOAR"/>
    <s v="CARDBOARD - LOOSE - RECYCLED"/>
    <s v="Remondis"/>
    <m/>
    <m/>
    <d v="2020-10-01T00:00:00"/>
    <d v="2020-09-01T00:00:00"/>
    <s v="FY21"/>
    <s v="t"/>
    <n v="0"/>
    <n v="1.01E-2"/>
    <n v="0"/>
    <n v="1.01E-2"/>
    <n v="0"/>
    <n v="1"/>
    <n v="0"/>
    <n v="1"/>
    <n v="0"/>
    <n v="100"/>
    <n v="0"/>
    <s v="Consolidation"/>
    <s v="CO2e and Base Measure"/>
    <n v="100"/>
    <n v="100"/>
    <n v="0.01"/>
    <m/>
    <m/>
    <m/>
    <m/>
    <m/>
    <m/>
    <n v="0"/>
    <m/>
    <m/>
    <m/>
    <m/>
    <m/>
    <m/>
    <s v="AUD"/>
    <s v="13565886Waste Recycled - Cardboard [t]"/>
    <n v="13565886"/>
  </r>
  <r>
    <d v="2019-07-01T00:00:00"/>
    <d v="2021-06-30T00:00:00"/>
    <s v="Telstra"/>
    <s v="NON-NETWORK"/>
    <s v="NON-NETWORK"/>
    <s v="NSW"/>
    <s v="Australia"/>
    <s v="Sydney"/>
    <s v="SHOP 1 327-329 GEORGE ST SYDNEY"/>
    <n v="423032033800"/>
    <s v="Recycled Waste"/>
    <x v="0"/>
    <x v="0"/>
    <s v="Account"/>
    <s v="Remondis Cardboard - Loose - Recycled"/>
    <m/>
    <s v="423032033800_RCARDBOAR"/>
    <s v="CARDBOARD - LOOSE - RECYCLED"/>
    <s v="Remondis"/>
    <m/>
    <m/>
    <d v="2020-10-01T00:00:00"/>
    <d v="2020-10-01T00:00:00"/>
    <s v="FY21"/>
    <s v="t"/>
    <n v="0"/>
    <n v="0"/>
    <n v="2.9999999999999997E-4"/>
    <n v="2.9999999999999997E-4"/>
    <n v="0"/>
    <n v="0"/>
    <n v="1"/>
    <n v="1"/>
    <n v="0"/>
    <n v="0"/>
    <n v="100"/>
    <s v="Consolidation"/>
    <s v="CO2e and Base Measure"/>
    <n v="100"/>
    <n v="100"/>
    <n v="0"/>
    <m/>
    <m/>
    <m/>
    <m/>
    <m/>
    <m/>
    <n v="0"/>
    <m/>
    <m/>
    <m/>
    <m/>
    <m/>
    <m/>
    <s v="AUD"/>
    <s v="13565886Waste Recycled - Cardboard [t]"/>
    <n v="13565886"/>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07-01T00:00:00"/>
    <s v="FY21"/>
    <s v="t"/>
    <n v="9.8000000000000004E-2"/>
    <n v="0"/>
    <n v="0"/>
    <n v="9.8000000000000004E-2"/>
    <n v="4"/>
    <n v="0"/>
    <n v="0"/>
    <n v="4"/>
    <n v="100"/>
    <n v="0"/>
    <n v="0"/>
    <s v="Consolidation"/>
    <s v="CO2e and Base Measure"/>
    <n v="100"/>
    <n v="100"/>
    <n v="0.1"/>
    <m/>
    <m/>
    <m/>
    <m/>
    <m/>
    <n v="0.12740000000000001"/>
    <m/>
    <n v="0.12740000000000001"/>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08-01T00:00:00"/>
    <s v="FY21"/>
    <s v="t"/>
    <n v="5.6000000000000001E-2"/>
    <n v="0"/>
    <n v="0"/>
    <n v="5.6000000000000001E-2"/>
    <n v="4"/>
    <n v="0"/>
    <n v="0"/>
    <n v="4"/>
    <n v="100"/>
    <n v="0"/>
    <n v="0"/>
    <s v="Consolidation"/>
    <s v="CO2e and Base Measure"/>
    <n v="100"/>
    <n v="100"/>
    <n v="0.06"/>
    <m/>
    <m/>
    <m/>
    <m/>
    <m/>
    <n v="7.2800000000000004E-2"/>
    <m/>
    <n v="7.2800000000000004E-2"/>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09-01T00:00:00"/>
    <s v="FY21"/>
    <s v="t"/>
    <n v="7.0999999999999994E-2"/>
    <n v="0"/>
    <n v="0"/>
    <n v="7.0999999999999994E-2"/>
    <n v="5"/>
    <n v="0"/>
    <n v="0"/>
    <n v="5"/>
    <n v="100"/>
    <n v="0"/>
    <n v="0"/>
    <s v="Consolidation"/>
    <s v="CO2e and Base Measure"/>
    <n v="100"/>
    <n v="100"/>
    <n v="7.0000000000000007E-2"/>
    <m/>
    <m/>
    <m/>
    <m/>
    <m/>
    <n v="9.2299999999999993E-2"/>
    <m/>
    <n v="9.2299999999999993E-2"/>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10-01T00:00:00"/>
    <s v="FY21"/>
    <s v="t"/>
    <n v="3.2000000000000001E-2"/>
    <n v="0"/>
    <n v="0"/>
    <n v="3.2000000000000001E-2"/>
    <n v="4"/>
    <n v="0"/>
    <n v="0"/>
    <n v="4"/>
    <n v="100"/>
    <n v="0"/>
    <n v="0"/>
    <s v="Consolidation"/>
    <s v="CO2e and Base Measure"/>
    <n v="100"/>
    <n v="100"/>
    <n v="0.03"/>
    <m/>
    <m/>
    <m/>
    <m/>
    <m/>
    <n v="4.1599999999999998E-2"/>
    <m/>
    <n v="4.1599999999999998E-2"/>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11-01T00:00:00"/>
    <s v="FY21"/>
    <s v="t"/>
    <n v="0.02"/>
    <n v="0"/>
    <n v="0"/>
    <n v="0.02"/>
    <n v="4"/>
    <n v="0"/>
    <n v="0"/>
    <n v="4"/>
    <n v="100"/>
    <n v="0"/>
    <n v="0"/>
    <s v="Consolidation"/>
    <s v="CO2e and Base Measure"/>
    <n v="100"/>
    <n v="100"/>
    <n v="0.02"/>
    <m/>
    <m/>
    <m/>
    <m/>
    <m/>
    <n v="2.5999999999999999E-2"/>
    <m/>
    <n v="2.5999999999999999E-2"/>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12-01T00:00:00"/>
    <s v="FY21"/>
    <s v="t"/>
    <n v="2E-3"/>
    <n v="0"/>
    <n v="0"/>
    <n v="2E-3"/>
    <n v="1"/>
    <n v="0"/>
    <n v="0"/>
    <n v="1"/>
    <n v="100"/>
    <n v="0"/>
    <n v="0"/>
    <s v="Consolidation"/>
    <s v="CO2e and Base Measure"/>
    <n v="100"/>
    <n v="100"/>
    <n v="0"/>
    <m/>
    <m/>
    <m/>
    <m/>
    <m/>
    <n v="2.5999999999999999E-3"/>
    <m/>
    <n v="2.5999999999999999E-3"/>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1-01-01T00:00:00"/>
    <s v="FY21"/>
    <s v="t"/>
    <n v="0"/>
    <n v="0"/>
    <n v="1.6999999999999999E-3"/>
    <n v="1.6999999999999999E-3"/>
    <n v="0"/>
    <n v="0"/>
    <n v="1"/>
    <n v="1"/>
    <n v="0"/>
    <n v="0"/>
    <n v="100"/>
    <s v="Consolidation"/>
    <s v="CO2e and Base Measure"/>
    <n v="100"/>
    <n v="100"/>
    <n v="0"/>
    <m/>
    <m/>
    <m/>
    <m/>
    <m/>
    <n v="2.2000000000000001E-3"/>
    <m/>
    <n v="2.2000000000000001E-3"/>
    <m/>
    <m/>
    <m/>
    <m/>
    <m/>
    <s v="AUD"/>
    <s v="13565888Waste - General [t] - Scope 3"/>
    <n v="13565888"/>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07-01T00:00:00"/>
    <s v="FY21"/>
    <s v="t"/>
    <n v="2.7E-2"/>
    <n v="0"/>
    <n v="0"/>
    <n v="2.7E-2"/>
    <n v="1"/>
    <n v="0"/>
    <n v="0"/>
    <n v="1"/>
    <n v="100"/>
    <n v="0"/>
    <n v="0"/>
    <s v="Consolidation"/>
    <s v="CO2e and Base Measure"/>
    <n v="100"/>
    <n v="100"/>
    <n v="0.03"/>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08-01T00:00:00"/>
    <s v="FY21"/>
    <s v="t"/>
    <n v="2.7E-2"/>
    <n v="0"/>
    <n v="0"/>
    <n v="2.7E-2"/>
    <n v="1"/>
    <n v="0"/>
    <n v="0"/>
    <n v="1"/>
    <n v="100"/>
    <n v="0"/>
    <n v="0"/>
    <s v="Consolidation"/>
    <s v="CO2e and Base Measure"/>
    <n v="100"/>
    <n v="100"/>
    <n v="0.03"/>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10-01T00:00:00"/>
    <s v="FY21"/>
    <s v="t"/>
    <n v="2.7E-2"/>
    <n v="0"/>
    <n v="0"/>
    <n v="2.7E-2"/>
    <n v="1"/>
    <n v="0"/>
    <n v="0"/>
    <n v="1"/>
    <n v="100"/>
    <n v="0"/>
    <n v="0"/>
    <s v="Consolidation"/>
    <s v="CO2e and Base Measure"/>
    <n v="100"/>
    <n v="100"/>
    <n v="0.03"/>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11-01T00:00:00"/>
    <s v="FY21"/>
    <s v="t"/>
    <n v="0"/>
    <n v="0"/>
    <n v="2.1000000000000001E-2"/>
    <n v="2.1000000000000001E-2"/>
    <n v="0"/>
    <n v="0"/>
    <n v="30"/>
    <n v="30"/>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12-01T00:00:00"/>
    <s v="FY21"/>
    <s v="t"/>
    <n v="0"/>
    <n v="0"/>
    <n v="2.1700000000000001E-2"/>
    <n v="2.1700000000000001E-2"/>
    <n v="0"/>
    <n v="0"/>
    <n v="31"/>
    <n v="31"/>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1-01T00:00:00"/>
    <s v="FY21"/>
    <s v="t"/>
    <n v="0"/>
    <n v="0"/>
    <n v="2.1700000000000001E-2"/>
    <n v="2.1700000000000001E-2"/>
    <n v="0"/>
    <n v="0"/>
    <n v="31"/>
    <n v="31"/>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2-01T00:00:00"/>
    <s v="FY21"/>
    <s v="t"/>
    <n v="0"/>
    <n v="0"/>
    <n v="1.9599999999999999E-2"/>
    <n v="1.9599999999999999E-2"/>
    <n v="0"/>
    <n v="0"/>
    <n v="28"/>
    <n v="28"/>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3-01T00:00:00"/>
    <s v="FY21"/>
    <s v="t"/>
    <n v="0"/>
    <n v="0"/>
    <n v="2.1700000000000001E-2"/>
    <n v="2.1700000000000001E-2"/>
    <n v="0"/>
    <n v="0"/>
    <n v="31"/>
    <n v="31"/>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4-01T00:00:00"/>
    <s v="FY21"/>
    <s v="t"/>
    <n v="0"/>
    <n v="0"/>
    <n v="2.1000000000000001E-2"/>
    <n v="2.1000000000000001E-2"/>
    <n v="0"/>
    <n v="0"/>
    <n v="30"/>
    <n v="30"/>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5-01T00:00:00"/>
    <s v="FY21"/>
    <s v="t"/>
    <n v="0"/>
    <n v="0"/>
    <n v="2.1700000000000001E-2"/>
    <n v="2.1700000000000001E-2"/>
    <n v="0"/>
    <n v="0"/>
    <n v="31"/>
    <n v="31"/>
    <n v="0"/>
    <n v="0"/>
    <n v="100"/>
    <s v="Consolidation"/>
    <s v="CO2e and Base Measure"/>
    <n v="100"/>
    <n v="100"/>
    <n v="0.02"/>
    <m/>
    <m/>
    <m/>
    <m/>
    <m/>
    <m/>
    <m/>
    <m/>
    <m/>
    <m/>
    <m/>
    <m/>
    <m/>
    <s v="AUD"/>
    <s v="13566592Waste Recycled - Paper and Cardboard [t]"/>
    <n v="13566592"/>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07-01T00:00:00"/>
    <s v="FY21"/>
    <s v="t"/>
    <n v="1.35E-2"/>
    <n v="0"/>
    <n v="0"/>
    <n v="1.35E-2"/>
    <n v="1"/>
    <n v="0"/>
    <n v="0"/>
    <n v="1"/>
    <n v="100"/>
    <n v="0"/>
    <n v="0"/>
    <s v="Consolidation"/>
    <s v="CO2e and Base Measure"/>
    <n v="100"/>
    <n v="100"/>
    <n v="0.01"/>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08-01T00:00:00"/>
    <s v="FY21"/>
    <s v="t"/>
    <n v="1.35E-2"/>
    <n v="0"/>
    <n v="0"/>
    <n v="1.35E-2"/>
    <n v="1"/>
    <n v="0"/>
    <n v="0"/>
    <n v="1"/>
    <n v="100"/>
    <n v="0"/>
    <n v="0"/>
    <s v="Consolidation"/>
    <s v="CO2e and Base Measure"/>
    <n v="100"/>
    <n v="100"/>
    <n v="0.01"/>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09-01T00:00:00"/>
    <s v="FY21"/>
    <s v="t"/>
    <n v="2E-3"/>
    <n v="0"/>
    <n v="0"/>
    <n v="2E-3"/>
    <n v="1"/>
    <n v="0"/>
    <n v="0"/>
    <n v="1"/>
    <n v="100"/>
    <n v="0"/>
    <n v="0"/>
    <s v="Consolidation"/>
    <s v="CO2e and Base Measure"/>
    <n v="100"/>
    <n v="100"/>
    <n v="0"/>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10-01T00:00:00"/>
    <s v="FY21"/>
    <s v="t"/>
    <n v="2.7E-2"/>
    <n v="0"/>
    <n v="0"/>
    <n v="2.7E-2"/>
    <n v="1"/>
    <n v="0"/>
    <n v="0"/>
    <n v="1"/>
    <n v="100"/>
    <n v="0"/>
    <n v="0"/>
    <s v="Consolidation"/>
    <s v="CO2e and Base Measure"/>
    <n v="100"/>
    <n v="100"/>
    <n v="0.03"/>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11-01T00:00:00"/>
    <s v="FY21"/>
    <s v="t"/>
    <n v="2.7E-2"/>
    <n v="0"/>
    <n v="0"/>
    <n v="2.7E-2"/>
    <n v="1"/>
    <n v="0"/>
    <n v="0"/>
    <n v="1"/>
    <n v="100"/>
    <n v="0"/>
    <n v="0"/>
    <s v="Consolidation"/>
    <s v="CO2e and Base Measure"/>
    <n v="100"/>
    <n v="100"/>
    <n v="0.03"/>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12-01T00:00:00"/>
    <s v="FY21"/>
    <s v="t"/>
    <n v="2.7E-2"/>
    <n v="0"/>
    <n v="0"/>
    <n v="2.7E-2"/>
    <n v="1"/>
    <n v="0"/>
    <n v="0"/>
    <n v="1"/>
    <n v="100"/>
    <n v="0"/>
    <n v="0"/>
    <s v="Consolidation"/>
    <s v="CO2e and Base Measure"/>
    <n v="100"/>
    <n v="100"/>
    <n v="0.03"/>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07-01T00:00:00"/>
    <s v="FY21"/>
    <s v="t"/>
    <n v="2.7E-2"/>
    <n v="0"/>
    <n v="0"/>
    <n v="2.7E-2"/>
    <n v="1"/>
    <n v="0"/>
    <n v="0"/>
    <n v="1"/>
    <n v="100"/>
    <n v="0"/>
    <n v="0"/>
    <s v="Consolidation"/>
    <s v="CO2e and Base Measure"/>
    <n v="100"/>
    <n v="100"/>
    <n v="0.03"/>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08-01T00:00:00"/>
    <s v="FY21"/>
    <s v="t"/>
    <n v="2.7E-2"/>
    <n v="0"/>
    <n v="0"/>
    <n v="2.7E-2"/>
    <n v="1"/>
    <n v="0"/>
    <n v="0"/>
    <n v="1"/>
    <n v="100"/>
    <n v="0"/>
    <n v="0"/>
    <s v="Consolidation"/>
    <s v="CO2e and Base Measure"/>
    <n v="100"/>
    <n v="100"/>
    <n v="0.03"/>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09-01T00:00:00"/>
    <s v="FY21"/>
    <s v="t"/>
    <n v="2E-3"/>
    <n v="0"/>
    <n v="0"/>
    <n v="2E-3"/>
    <n v="1"/>
    <n v="0"/>
    <n v="0"/>
    <n v="1"/>
    <n v="100"/>
    <n v="0"/>
    <n v="0"/>
    <s v="Consolidation"/>
    <s v="CO2e and Base Measure"/>
    <n v="100"/>
    <n v="100"/>
    <n v="0"/>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11-01T00:00:00"/>
    <s v="FY21"/>
    <s v="t"/>
    <n v="2.7E-2"/>
    <n v="0"/>
    <n v="0"/>
    <n v="2.7E-2"/>
    <n v="1"/>
    <n v="0"/>
    <n v="0"/>
    <n v="1"/>
    <n v="100"/>
    <n v="0"/>
    <n v="0"/>
    <s v="Consolidation"/>
    <s v="CO2e and Base Measure"/>
    <n v="100"/>
    <n v="100"/>
    <n v="0.03"/>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12-01T00:00:00"/>
    <s v="FY21"/>
    <s v="t"/>
    <n v="2.7E-2"/>
    <n v="0"/>
    <n v="0"/>
    <n v="2.7E-2"/>
    <n v="1"/>
    <n v="0"/>
    <n v="0"/>
    <n v="1"/>
    <n v="100"/>
    <n v="0"/>
    <n v="0"/>
    <s v="Consolidation"/>
    <s v="CO2e and Base Measure"/>
    <n v="100"/>
    <n v="100"/>
    <n v="0.03"/>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Waste"/>
    <x v="1"/>
    <x v="2"/>
    <s v="Account"/>
    <s v="CLEANAWAY General"/>
    <m/>
    <s v="30311949_Landfill_General"/>
    <m/>
    <s v="Cleanaway"/>
    <m/>
    <m/>
    <m/>
    <d v="2021-03-01T00:00:00"/>
    <s v="FY21"/>
    <s v="t"/>
    <n v="0.3"/>
    <n v="0"/>
    <n v="0"/>
    <n v="0.3"/>
    <n v="1"/>
    <n v="0"/>
    <n v="0"/>
    <n v="1"/>
    <n v="100"/>
    <n v="0"/>
    <n v="0"/>
    <s v="Consolidation"/>
    <s v="CO2e and Base Measure"/>
    <n v="100"/>
    <n v="100"/>
    <n v="0.3"/>
    <m/>
    <m/>
    <m/>
    <m/>
    <m/>
    <n v="0.39"/>
    <m/>
    <n v="0.39"/>
    <m/>
    <m/>
    <m/>
    <m/>
    <m/>
    <s v="AUD"/>
    <s v="13641255Waste - General [t] - Scope 3"/>
    <n v="13641255"/>
  </r>
  <r>
    <d v="2019-07-01T00:00:00"/>
    <d v="2021-06-30T00:00:00"/>
    <s v="Telstra"/>
    <s v="NON-NETWORK"/>
    <s v="NON-NETWORK"/>
    <s v="VIC"/>
    <s v="Australia"/>
    <s v="Cheltenham"/>
    <s v="SHOP 3055 AND 3056"/>
    <n v="423031194900"/>
    <s v="Waste"/>
    <x v="1"/>
    <x v="2"/>
    <s v="Account"/>
    <s v="CLEANAWAY General"/>
    <m/>
    <s v="30311949_Landfill_General"/>
    <m/>
    <s v="Cleanaway"/>
    <m/>
    <m/>
    <m/>
    <d v="2021-04-01T00:00:00"/>
    <s v="FY21"/>
    <s v="t"/>
    <n v="0"/>
    <n v="0"/>
    <n v="0.3"/>
    <n v="0.3"/>
    <n v="0"/>
    <n v="0"/>
    <n v="30"/>
    <n v="30"/>
    <n v="0"/>
    <n v="0"/>
    <n v="100"/>
    <s v="Consolidation"/>
    <s v="CO2e and Base Measure"/>
    <n v="100"/>
    <n v="100"/>
    <n v="0.3"/>
    <m/>
    <m/>
    <m/>
    <m/>
    <m/>
    <n v="0.39"/>
    <m/>
    <n v="0.39"/>
    <m/>
    <m/>
    <m/>
    <m/>
    <m/>
    <s v="AUD"/>
    <s v="13641255Waste - General [t] - Scope 3"/>
    <n v="13641255"/>
  </r>
  <r>
    <d v="2019-07-01T00:00:00"/>
    <d v="2021-06-30T00:00:00"/>
    <s v="Telstra"/>
    <s v="NON-NETWORK"/>
    <s v="NON-NETWORK"/>
    <s v="VIC"/>
    <s v="Australia"/>
    <s v="Cheltenham"/>
    <s v="SHOP 3055 AND 3056"/>
    <n v="423031194900"/>
    <s v="Waste"/>
    <x v="1"/>
    <x v="2"/>
    <s v="Account"/>
    <s v="CLEANAWAY General"/>
    <m/>
    <s v="30311949_Landfill_General"/>
    <m/>
    <s v="Cleanaway"/>
    <m/>
    <m/>
    <m/>
    <d v="2021-05-01T00:00:00"/>
    <s v="FY21"/>
    <s v="t"/>
    <n v="0"/>
    <n v="0"/>
    <n v="0.31"/>
    <n v="0.31"/>
    <n v="0"/>
    <n v="0"/>
    <n v="31"/>
    <n v="31"/>
    <n v="0"/>
    <n v="0"/>
    <n v="100"/>
    <s v="Consolidation"/>
    <s v="CO2e and Base Measure"/>
    <n v="100"/>
    <n v="100"/>
    <n v="0.31"/>
    <m/>
    <m/>
    <m/>
    <m/>
    <m/>
    <n v="0.40300000000000002"/>
    <m/>
    <n v="0.40300000000000002"/>
    <m/>
    <m/>
    <m/>
    <m/>
    <m/>
    <s v="AUD"/>
    <s v="13641255Waste - General [t] - Scope 3"/>
    <n v="13641255"/>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0-07-01T00:00:00"/>
    <s v="FY21"/>
    <s v="t"/>
    <n v="2.7E-2"/>
    <n v="0"/>
    <n v="0"/>
    <n v="2.7E-2"/>
    <n v="1"/>
    <n v="0"/>
    <n v="0"/>
    <n v="1"/>
    <n v="100"/>
    <n v="0"/>
    <n v="0"/>
    <s v="Consolidation"/>
    <s v="CO2e and Base Measure"/>
    <n v="100"/>
    <n v="100"/>
    <n v="0.03"/>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0-08-01T00:00:00"/>
    <s v="FY21"/>
    <s v="t"/>
    <n v="2.7E-2"/>
    <n v="0"/>
    <n v="0"/>
    <n v="2.7E-2"/>
    <n v="1"/>
    <n v="0"/>
    <n v="0"/>
    <n v="1"/>
    <n v="100"/>
    <n v="0"/>
    <n v="0"/>
    <s v="Consolidation"/>
    <s v="CO2e and Base Measure"/>
    <n v="100"/>
    <n v="100"/>
    <n v="0.03"/>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0-10-01T00:00:00"/>
    <s v="FY21"/>
    <s v="t"/>
    <n v="2.7E-2"/>
    <n v="0"/>
    <n v="0"/>
    <n v="2.7E-2"/>
    <n v="1"/>
    <n v="0"/>
    <n v="0"/>
    <n v="1"/>
    <n v="100"/>
    <n v="0"/>
    <n v="0"/>
    <s v="Consolidation"/>
    <s v="CO2e and Base Measure"/>
    <n v="100"/>
    <n v="100"/>
    <n v="0.03"/>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0-12-01T00:00:00"/>
    <s v="FY21"/>
    <s v="t"/>
    <n v="2.7E-2"/>
    <n v="0"/>
    <n v="0"/>
    <n v="2.7E-2"/>
    <n v="1"/>
    <n v="0"/>
    <n v="0"/>
    <n v="1"/>
    <n v="100"/>
    <n v="0"/>
    <n v="0"/>
    <s v="Consolidation"/>
    <s v="CO2e and Base Measure"/>
    <n v="100"/>
    <n v="100"/>
    <n v="0.03"/>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42Waste Recycled - Paper and Cardboard [t]"/>
    <n v="13566442"/>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0-07-01T00:00:00"/>
    <s v="FY21"/>
    <s v="t"/>
    <n v="1.35E-2"/>
    <n v="0"/>
    <n v="0"/>
    <n v="1.35E-2"/>
    <n v="1"/>
    <n v="0"/>
    <n v="0"/>
    <n v="1"/>
    <n v="100"/>
    <n v="0"/>
    <n v="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0-10-01T00:00:00"/>
    <s v="FY21"/>
    <s v="t"/>
    <n v="1.35E-2"/>
    <n v="0"/>
    <n v="0"/>
    <n v="1.35E-2"/>
    <n v="1"/>
    <n v="0"/>
    <n v="0"/>
    <n v="1"/>
    <n v="100"/>
    <n v="0"/>
    <n v="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0-11-01T00:00:00"/>
    <s v="FY21"/>
    <s v="t"/>
    <n v="1.35E-2"/>
    <n v="0"/>
    <n v="0"/>
    <n v="1.35E-2"/>
    <n v="1"/>
    <n v="0"/>
    <n v="0"/>
    <n v="1"/>
    <n v="100"/>
    <n v="0"/>
    <n v="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0-12-01T00:00:00"/>
    <s v="FY21"/>
    <s v="t"/>
    <n v="0"/>
    <n v="0"/>
    <n v="9.2999999999999992E-3"/>
    <n v="9.2999999999999992E-3"/>
    <n v="0"/>
    <n v="0"/>
    <n v="31"/>
    <n v="31"/>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413Waste Recycled - Paper and Cardboard [t]"/>
    <n v="13566413"/>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0-10-01T00:00:00"/>
    <s v="FY21"/>
    <s v="t"/>
    <n v="2.7E-2"/>
    <n v="0"/>
    <n v="0"/>
    <n v="2.7E-2"/>
    <n v="1"/>
    <n v="0"/>
    <n v="0"/>
    <n v="1"/>
    <n v="100"/>
    <n v="0"/>
    <n v="0"/>
    <s v="Consolidation"/>
    <s v="CO2e and Base Measure"/>
    <n v="100"/>
    <n v="100"/>
    <n v="0.03"/>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0-11-01T00:00:00"/>
    <s v="FY21"/>
    <s v="t"/>
    <n v="0"/>
    <n v="0"/>
    <n v="1.2E-2"/>
    <n v="1.2E-2"/>
    <n v="0"/>
    <n v="0"/>
    <n v="30"/>
    <n v="30"/>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0-12-01T00:00:00"/>
    <s v="FY21"/>
    <s v="t"/>
    <n v="0"/>
    <n v="0"/>
    <n v="1.24E-2"/>
    <n v="1.24E-2"/>
    <n v="0"/>
    <n v="0"/>
    <n v="31"/>
    <n v="31"/>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1-01T00:00:00"/>
    <s v="FY21"/>
    <s v="t"/>
    <n v="0"/>
    <n v="0"/>
    <n v="1.24E-2"/>
    <n v="1.24E-2"/>
    <n v="0"/>
    <n v="0"/>
    <n v="31"/>
    <n v="31"/>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2-01T00:00:00"/>
    <s v="FY21"/>
    <s v="t"/>
    <n v="0"/>
    <n v="0"/>
    <n v="1.12E-2"/>
    <n v="1.12E-2"/>
    <n v="0"/>
    <n v="0"/>
    <n v="28"/>
    <n v="28"/>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3-01T00:00:00"/>
    <s v="FY21"/>
    <s v="t"/>
    <n v="0"/>
    <n v="0"/>
    <n v="1.24E-2"/>
    <n v="1.24E-2"/>
    <n v="0"/>
    <n v="0"/>
    <n v="31"/>
    <n v="31"/>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4-01T00:00:00"/>
    <s v="FY21"/>
    <s v="t"/>
    <n v="0"/>
    <n v="0"/>
    <n v="1.2E-2"/>
    <n v="1.2E-2"/>
    <n v="0"/>
    <n v="0"/>
    <n v="30"/>
    <n v="30"/>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5-01T00:00:00"/>
    <s v="FY21"/>
    <s v="t"/>
    <n v="0"/>
    <n v="0"/>
    <n v="1.24E-2"/>
    <n v="1.24E-2"/>
    <n v="0"/>
    <n v="0"/>
    <n v="31"/>
    <n v="31"/>
    <n v="0"/>
    <n v="0"/>
    <n v="100"/>
    <s v="Consolidation"/>
    <s v="CO2e and Base Measure"/>
    <n v="100"/>
    <n v="100"/>
    <n v="0.01"/>
    <m/>
    <m/>
    <m/>
    <m/>
    <m/>
    <m/>
    <m/>
    <m/>
    <m/>
    <m/>
    <m/>
    <m/>
    <m/>
    <s v="AUD"/>
    <s v="13566616Waste Recycled - Paper and Cardboard [t]"/>
    <n v="13566616"/>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0-07-01T00:00:00"/>
    <s v="FY21"/>
    <s v="t"/>
    <n v="1.4999999999999999E-2"/>
    <n v="2.3300000000000001E-2"/>
    <n v="0"/>
    <n v="3.8300000000000001E-2"/>
    <n v="1"/>
    <n v="1"/>
    <n v="0"/>
    <n v="2"/>
    <n v="39.159999999999997"/>
    <n v="60.83"/>
    <n v="0"/>
    <s v="Consolidation"/>
    <s v="CO2e and Base Measure"/>
    <n v="100"/>
    <n v="100"/>
    <n v="0.04"/>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0-10-01T00:00:00"/>
    <s v="FY21"/>
    <s v="t"/>
    <n v="0.13"/>
    <n v="0"/>
    <n v="0"/>
    <n v="0.13"/>
    <n v="3"/>
    <n v="0"/>
    <n v="0"/>
    <n v="3"/>
    <n v="100"/>
    <n v="0"/>
    <n v="0"/>
    <s v="Consolidation"/>
    <s v="CO2e and Base Measure"/>
    <n v="100"/>
    <n v="100"/>
    <n v="0.13"/>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0-11-01T00:00:00"/>
    <s v="FY21"/>
    <s v="t"/>
    <n v="3.5000000000000003E-2"/>
    <n v="2.3300000000000001E-2"/>
    <n v="0"/>
    <n v="5.8299999999999998E-2"/>
    <n v="1"/>
    <n v="1"/>
    <n v="0"/>
    <n v="2"/>
    <n v="60.03"/>
    <n v="39.96"/>
    <n v="0"/>
    <s v="Consolidation"/>
    <s v="CO2e and Base Measure"/>
    <n v="100"/>
    <n v="100"/>
    <n v="0.06"/>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0-12-01T00:00:00"/>
    <s v="FY21"/>
    <s v="t"/>
    <n v="0"/>
    <n v="5.0999999999999997E-2"/>
    <n v="0"/>
    <n v="5.0999999999999997E-2"/>
    <n v="0"/>
    <n v="2"/>
    <n v="0"/>
    <n v="2"/>
    <n v="0"/>
    <n v="100"/>
    <n v="0"/>
    <s v="Consolidation"/>
    <s v="CO2e and Base Measure"/>
    <n v="100"/>
    <n v="100"/>
    <n v="0.05"/>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1-01-01T00:00:00"/>
    <s v="FY21"/>
    <s v="t"/>
    <n v="0"/>
    <n v="0"/>
    <n v="1.5E-3"/>
    <n v="1.5E-3"/>
    <n v="0"/>
    <n v="0"/>
    <n v="1"/>
    <n v="1"/>
    <n v="0"/>
    <n v="0"/>
    <n v="100"/>
    <s v="Consolidation"/>
    <s v="CO2e and Base Measure"/>
    <n v="100"/>
    <n v="100"/>
    <n v="0"/>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0-07-01T00:00:00"/>
    <s v="FY21"/>
    <s v="t"/>
    <n v="2.7E-2"/>
    <n v="0"/>
    <n v="0"/>
    <n v="2.7E-2"/>
    <n v="1"/>
    <n v="0"/>
    <n v="0"/>
    <n v="1"/>
    <n v="100"/>
    <n v="0"/>
    <n v="0"/>
    <s v="Consolidation"/>
    <s v="CO2e and Base Measure"/>
    <n v="100"/>
    <n v="100"/>
    <n v="0.03"/>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0-09-01T00:00:00"/>
    <s v="FY21"/>
    <s v="t"/>
    <n v="2E-3"/>
    <n v="0"/>
    <n v="0"/>
    <n v="2E-3"/>
    <n v="1"/>
    <n v="0"/>
    <n v="0"/>
    <n v="1"/>
    <n v="100"/>
    <n v="0"/>
    <n v="0"/>
    <s v="Consolidation"/>
    <s v="CO2e and Base Measure"/>
    <n v="100"/>
    <n v="100"/>
    <n v="0"/>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0-11-01T00:00:00"/>
    <s v="FY21"/>
    <s v="t"/>
    <n v="2.7E-2"/>
    <n v="0"/>
    <n v="0"/>
    <n v="2.7E-2"/>
    <n v="1"/>
    <n v="0"/>
    <n v="0"/>
    <n v="1"/>
    <n v="100"/>
    <n v="0"/>
    <n v="0"/>
    <s v="Consolidation"/>
    <s v="CO2e and Base Measure"/>
    <n v="100"/>
    <n v="100"/>
    <n v="0.03"/>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0-12-01T00:00:00"/>
    <s v="FY21"/>
    <s v="t"/>
    <n v="0"/>
    <n v="0"/>
    <n v="1.55E-2"/>
    <n v="1.55E-2"/>
    <n v="0"/>
    <n v="0"/>
    <n v="31"/>
    <n v="31"/>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1-01T00:00:00"/>
    <s v="FY21"/>
    <s v="t"/>
    <n v="0"/>
    <n v="0"/>
    <n v="1.55E-2"/>
    <n v="1.55E-2"/>
    <n v="0"/>
    <n v="0"/>
    <n v="31"/>
    <n v="31"/>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2-01T00:00:00"/>
    <s v="FY21"/>
    <s v="t"/>
    <n v="0"/>
    <n v="0"/>
    <n v="1.4E-2"/>
    <n v="1.4E-2"/>
    <n v="0"/>
    <n v="0"/>
    <n v="28"/>
    <n v="28"/>
    <n v="0"/>
    <n v="0"/>
    <n v="100"/>
    <s v="Consolidation"/>
    <s v="CO2e and Base Measure"/>
    <n v="100"/>
    <n v="100"/>
    <n v="0.01"/>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3-01T00:00:00"/>
    <s v="FY21"/>
    <s v="t"/>
    <n v="0"/>
    <n v="0"/>
    <n v="1.55E-2"/>
    <n v="1.55E-2"/>
    <n v="0"/>
    <n v="0"/>
    <n v="31"/>
    <n v="31"/>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5-01T00:00:00"/>
    <s v="FY21"/>
    <s v="t"/>
    <n v="0"/>
    <n v="0"/>
    <n v="1.55E-2"/>
    <n v="1.55E-2"/>
    <n v="0"/>
    <n v="0"/>
    <n v="31"/>
    <n v="31"/>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07-01T00:00:00"/>
    <s v="FY21"/>
    <s v="t"/>
    <n v="4.8000000000000001E-2"/>
    <n v="0"/>
    <n v="0"/>
    <n v="4.8000000000000001E-2"/>
    <n v="1"/>
    <n v="0"/>
    <n v="0"/>
    <n v="1"/>
    <n v="100"/>
    <n v="0"/>
    <n v="0"/>
    <s v="Consolidation"/>
    <s v="CO2e and Base Measure"/>
    <n v="100"/>
    <n v="100"/>
    <n v="0.05"/>
    <m/>
    <m/>
    <m/>
    <m/>
    <m/>
    <n v="6.2399999999999997E-2"/>
    <m/>
    <n v="6.2399999999999997E-2"/>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08-01T00:00:00"/>
    <s v="FY21"/>
    <s v="t"/>
    <n v="0.26800000000000002"/>
    <n v="0"/>
    <n v="0"/>
    <n v="0.26800000000000002"/>
    <n v="2"/>
    <n v="0"/>
    <n v="0"/>
    <n v="2"/>
    <n v="100"/>
    <n v="0"/>
    <n v="0"/>
    <s v="Consolidation"/>
    <s v="CO2e and Base Measure"/>
    <n v="100"/>
    <n v="100"/>
    <n v="0.27"/>
    <m/>
    <m/>
    <m/>
    <m/>
    <m/>
    <n v="0.34839999999999999"/>
    <m/>
    <n v="0.34839999999999999"/>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09-01T00:00:00"/>
    <s v="FY21"/>
    <s v="t"/>
    <n v="0.312"/>
    <n v="0"/>
    <n v="0"/>
    <n v="0.312"/>
    <n v="3"/>
    <n v="0"/>
    <n v="0"/>
    <n v="3"/>
    <n v="100"/>
    <n v="0"/>
    <n v="0"/>
    <s v="Consolidation"/>
    <s v="CO2e and Base Measure"/>
    <n v="100"/>
    <n v="100"/>
    <n v="0.31"/>
    <m/>
    <m/>
    <m/>
    <m/>
    <m/>
    <n v="0.40560000000000002"/>
    <m/>
    <n v="0.40560000000000002"/>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10-01T00:00:00"/>
    <s v="FY21"/>
    <s v="t"/>
    <n v="8.8999999999999996E-2"/>
    <n v="0.1444"/>
    <n v="0"/>
    <n v="0.2334"/>
    <n v="1"/>
    <n v="2"/>
    <n v="0"/>
    <n v="3"/>
    <n v="38.130000000000003"/>
    <n v="61.86"/>
    <n v="0"/>
    <s v="Consolidation"/>
    <s v="CO2e and Base Measure"/>
    <n v="100"/>
    <n v="100"/>
    <n v="0.23"/>
    <m/>
    <m/>
    <m/>
    <m/>
    <m/>
    <n v="0.3034"/>
    <m/>
    <n v="0.3034"/>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11-01T00:00:00"/>
    <s v="FY21"/>
    <s v="t"/>
    <n v="0"/>
    <n v="7.22E-2"/>
    <n v="0"/>
    <n v="7.22E-2"/>
    <n v="0"/>
    <n v="1"/>
    <n v="0"/>
    <n v="1"/>
    <n v="0"/>
    <n v="100"/>
    <n v="0"/>
    <s v="Consolidation"/>
    <s v="CO2e and Base Measure"/>
    <n v="100"/>
    <n v="100"/>
    <n v="7.0000000000000007E-2"/>
    <m/>
    <m/>
    <m/>
    <m/>
    <m/>
    <n v="9.3899999999999997E-2"/>
    <m/>
    <n v="9.3899999999999997E-2"/>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12-01T00:00:00"/>
    <s v="FY21"/>
    <s v="t"/>
    <n v="0"/>
    <n v="0"/>
    <n v="6.1000000000000004E-3"/>
    <n v="6.1000000000000004E-3"/>
    <n v="0"/>
    <n v="0"/>
    <n v="1"/>
    <n v="1"/>
    <n v="0"/>
    <n v="0"/>
    <n v="100"/>
    <s v="Consolidation"/>
    <s v="CO2e and Base Measure"/>
    <n v="100"/>
    <n v="100"/>
    <n v="0.01"/>
    <m/>
    <m/>
    <m/>
    <m/>
    <m/>
    <n v="7.9000000000000008E-3"/>
    <m/>
    <n v="7.9000000000000008E-3"/>
    <m/>
    <m/>
    <m/>
    <m/>
    <m/>
    <s v="AUD"/>
    <s v="13614411Waste - General [t] - Scope 3"/>
    <n v="13614411"/>
  </r>
  <r>
    <d v="2019-07-01T00:00:00"/>
    <d v="2021-06-30T00:00:00"/>
    <s v="Telstra"/>
    <s v="NON-NETWORK"/>
    <s v="NON-NETWORK"/>
    <s v="QLD"/>
    <s v="Australia"/>
    <s v="Brisbane"/>
    <s v="SHOP QUEEN ST MALL BRISBANE"/>
    <n v="423032038200"/>
    <s v="Waste"/>
    <x v="1"/>
    <x v="2"/>
    <s v="Account"/>
    <s v="CLEANAWAY General"/>
    <m/>
    <s v="32038200_Landfill_General"/>
    <s v="General"/>
    <s v="Cleanaway"/>
    <m/>
    <d v="2021-01-05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508Waste - General [t] - Scope 3"/>
    <n v="13634508"/>
  </r>
  <r>
    <d v="2019-07-01T00:00:00"/>
    <d v="2021-06-30T00:00:00"/>
    <s v="Telstra"/>
    <s v="NON-NETWORK"/>
    <s v="NON-NETWORK"/>
    <s v="QLD"/>
    <s v="Australia"/>
    <s v="Brisbane"/>
    <s v="SHOP QUEEN ST MALL BRISBANE"/>
    <n v="423032038200"/>
    <s v="Waste"/>
    <x v="1"/>
    <x v="2"/>
    <s v="Account"/>
    <s v="CLEANAWAY General"/>
    <m/>
    <s v="32038200_Landfill_General"/>
    <s v="General"/>
    <s v="Cleanaway"/>
    <m/>
    <d v="2021-01-05T00:00:00"/>
    <m/>
    <d v="2021-03-01T00:00:00"/>
    <s v="FY21"/>
    <s v="t"/>
    <n v="0"/>
    <n v="0.34649999999999997"/>
    <n v="0"/>
    <n v="0.34649999999999997"/>
    <n v="0"/>
    <n v="4"/>
    <n v="0"/>
    <n v="4"/>
    <n v="0"/>
    <n v="100"/>
    <n v="0"/>
    <s v="Consolidation"/>
    <s v="CO2e and Base Measure"/>
    <n v="100"/>
    <n v="100"/>
    <n v="0.35"/>
    <m/>
    <m/>
    <m/>
    <m/>
    <m/>
    <n v="0.45050000000000001"/>
    <m/>
    <n v="0.45050000000000001"/>
    <m/>
    <m/>
    <m/>
    <m/>
    <m/>
    <s v="AUD"/>
    <s v="13634508Waste - General [t] - Scope 3"/>
    <n v="13634508"/>
  </r>
  <r>
    <d v="2019-07-01T00:00:00"/>
    <d v="2021-06-30T00:00:00"/>
    <s v="Telstra"/>
    <s v="NON-NETWORK"/>
    <s v="NON-NETWORK"/>
    <s v="QLD"/>
    <s v="Australia"/>
    <s v="Brisbane"/>
    <s v="SHOP QUEEN ST MALL BRISBANE"/>
    <n v="423032038200"/>
    <s v="Waste"/>
    <x v="1"/>
    <x v="2"/>
    <s v="Account"/>
    <s v="CLEANAWAY General"/>
    <m/>
    <s v="32038200_Landfill_General"/>
    <s v="General"/>
    <s v="Cleanaway"/>
    <m/>
    <d v="2021-01-05T00:00:00"/>
    <m/>
    <d v="2021-04-01T00:00:00"/>
    <s v="FY21"/>
    <s v="t"/>
    <n v="0"/>
    <n v="0"/>
    <n v="0.13200000000000001"/>
    <n v="0.13200000000000001"/>
    <n v="0"/>
    <n v="0"/>
    <n v="30"/>
    <n v="30"/>
    <n v="0"/>
    <n v="0"/>
    <n v="100"/>
    <s v="Consolidation"/>
    <s v="CO2e and Base Measure"/>
    <n v="100"/>
    <n v="100"/>
    <n v="0.13"/>
    <m/>
    <m/>
    <m/>
    <m/>
    <m/>
    <n v="0.1716"/>
    <m/>
    <n v="0.1716"/>
    <m/>
    <m/>
    <m/>
    <m/>
    <m/>
    <s v="AUD"/>
    <s v="13634508Waste - General [t] - Scope 3"/>
    <n v="13634508"/>
  </r>
  <r>
    <d v="2019-07-01T00:00:00"/>
    <d v="2021-06-30T00:00:00"/>
    <s v="Telstra"/>
    <s v="NON-NETWORK"/>
    <s v="NON-NETWORK"/>
    <s v="QLD"/>
    <s v="Australia"/>
    <s v="Brisbane"/>
    <s v="SHOP QUEEN ST MALL BRISBANE"/>
    <n v="423032038200"/>
    <s v="Waste"/>
    <x v="1"/>
    <x v="2"/>
    <s v="Account"/>
    <s v="CLEANAWAY General"/>
    <m/>
    <s v="32038200_Landfill_General"/>
    <s v="General"/>
    <s v="Cleanaway"/>
    <m/>
    <d v="2021-01-05T00:00:00"/>
    <m/>
    <d v="2021-05-01T00:00:00"/>
    <s v="FY21"/>
    <s v="t"/>
    <n v="0"/>
    <n v="0"/>
    <n v="0.13639999999999999"/>
    <n v="0.13639999999999999"/>
    <n v="0"/>
    <n v="0"/>
    <n v="31"/>
    <n v="31"/>
    <n v="0"/>
    <n v="0"/>
    <n v="100"/>
    <s v="Consolidation"/>
    <s v="CO2e and Base Measure"/>
    <n v="100"/>
    <n v="100"/>
    <n v="0.14000000000000001"/>
    <m/>
    <m/>
    <m/>
    <m/>
    <m/>
    <n v="0.17730000000000001"/>
    <m/>
    <n v="0.17730000000000001"/>
    <m/>
    <m/>
    <m/>
    <m/>
    <m/>
    <s v="AUD"/>
    <s v="13634508Waste - General [t] - Scope 3"/>
    <n v="13634508"/>
  </r>
  <r>
    <d v="2019-07-01T00:00:00"/>
    <d v="2021-06-30T00:00:00"/>
    <s v="Telstra"/>
    <s v="NON-NETWORK"/>
    <s v="NON-NETWORK"/>
    <s v="QLD"/>
    <s v="Australia"/>
    <s v="Brisbane"/>
    <s v="SHOP QUEEN ST MALL BRISBANE"/>
    <n v="423032038200"/>
    <s v="Recycled Waste"/>
    <x v="0"/>
    <x v="0"/>
    <s v="Account"/>
    <s v="CLEANAWAY Cardboard"/>
    <m/>
    <s v="32038200_Diversion_Cardboard"/>
    <s v="Cardboard"/>
    <s v="Cleanaway"/>
    <m/>
    <m/>
    <m/>
    <d v="2021-03-01T00:00:00"/>
    <s v="FY21"/>
    <s v="t"/>
    <n v="0"/>
    <n v="2.75E-2"/>
    <n v="0"/>
    <n v="2.75E-2"/>
    <n v="0"/>
    <n v="1"/>
    <n v="0"/>
    <n v="1"/>
    <n v="0"/>
    <n v="100"/>
    <n v="0"/>
    <s v="Consolidation"/>
    <s v="CO2e and Base Measure"/>
    <n v="100"/>
    <n v="100"/>
    <n v="0.03"/>
    <m/>
    <m/>
    <m/>
    <m/>
    <m/>
    <m/>
    <m/>
    <m/>
    <m/>
    <m/>
    <m/>
    <m/>
    <m/>
    <s v="AUD"/>
    <s v="13641249Waste Recycled - Paper and Cardboard [t]"/>
    <n v="13641249"/>
  </r>
  <r>
    <d v="2019-07-01T00:00:00"/>
    <d v="2021-06-30T00:00:00"/>
    <s v="Telstra"/>
    <s v="NON-NETWORK"/>
    <s v="NON-NETWORK"/>
    <s v="QLD"/>
    <s v="Australia"/>
    <s v="Brisbane"/>
    <s v="SHOP QUEEN ST MALL BRISBANE"/>
    <n v="423032038200"/>
    <s v="Recycled Waste"/>
    <x v="0"/>
    <x v="0"/>
    <s v="Account"/>
    <s v="CLEANAWAY Cardboard"/>
    <m/>
    <s v="32038200_Diversion_Cardboard"/>
    <s v="Cardboard"/>
    <s v="Cleanaway"/>
    <m/>
    <m/>
    <m/>
    <d v="2021-04-01T00:00:00"/>
    <s v="FY21"/>
    <s v="t"/>
    <n v="0"/>
    <n v="0"/>
    <n v="2.7E-2"/>
    <n v="2.7E-2"/>
    <n v="0"/>
    <n v="0"/>
    <n v="30"/>
    <n v="30"/>
    <n v="0"/>
    <n v="0"/>
    <n v="100"/>
    <s v="Consolidation"/>
    <s v="CO2e and Base Measure"/>
    <n v="100"/>
    <n v="100"/>
    <n v="0.03"/>
    <m/>
    <m/>
    <m/>
    <m/>
    <m/>
    <m/>
    <m/>
    <m/>
    <m/>
    <m/>
    <m/>
    <m/>
    <m/>
    <s v="AUD"/>
    <s v="13641249Waste Recycled - Paper and Cardboard [t]"/>
    <n v="13641249"/>
  </r>
  <r>
    <d v="2019-07-01T00:00:00"/>
    <d v="2021-06-30T00:00:00"/>
    <s v="Telstra"/>
    <s v="NON-NETWORK"/>
    <s v="NON-NETWORK"/>
    <s v="QLD"/>
    <s v="Australia"/>
    <s v="Brisbane"/>
    <s v="SHOP QUEEN ST MALL BRISBANE"/>
    <n v="423032038200"/>
    <s v="Recycled Waste"/>
    <x v="0"/>
    <x v="0"/>
    <s v="Account"/>
    <s v="CLEANAWAY Cardboard"/>
    <m/>
    <s v="32038200_Diversion_Cardboard"/>
    <s v="Cardboard"/>
    <s v="Cleanaway"/>
    <m/>
    <m/>
    <m/>
    <d v="2021-05-01T00:00:00"/>
    <s v="FY21"/>
    <s v="t"/>
    <n v="0"/>
    <n v="0"/>
    <n v="2.7900000000000001E-2"/>
    <n v="2.7900000000000001E-2"/>
    <n v="0"/>
    <n v="0"/>
    <n v="31"/>
    <n v="31"/>
    <n v="0"/>
    <n v="0"/>
    <n v="100"/>
    <s v="Consolidation"/>
    <s v="CO2e and Base Measure"/>
    <n v="100"/>
    <n v="100"/>
    <n v="0.03"/>
    <m/>
    <m/>
    <m/>
    <m/>
    <m/>
    <m/>
    <m/>
    <m/>
    <m/>
    <m/>
    <m/>
    <m/>
    <m/>
    <s v="AUD"/>
    <s v="13641249Waste Recycled - Paper and Cardboard [t]"/>
    <n v="13641249"/>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07-01T00:00:00"/>
    <s v="FY21"/>
    <s v="t"/>
    <n v="0.105"/>
    <n v="0"/>
    <n v="0"/>
    <n v="0.105"/>
    <n v="1"/>
    <n v="0"/>
    <n v="0"/>
    <n v="1"/>
    <n v="100"/>
    <n v="0"/>
    <n v="0"/>
    <s v="Consolidation"/>
    <s v="CO2e and Base Measure"/>
    <n v="100"/>
    <n v="100"/>
    <n v="0.11"/>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08-01T00:00:00"/>
    <s v="FY21"/>
    <s v="t"/>
    <n v="0.09"/>
    <n v="0"/>
    <n v="0"/>
    <n v="0.09"/>
    <n v="1"/>
    <n v="0"/>
    <n v="0"/>
    <n v="1"/>
    <n v="100"/>
    <n v="0"/>
    <n v="0"/>
    <s v="Consolidation"/>
    <s v="CO2e and Base Measure"/>
    <n v="100"/>
    <n v="100"/>
    <n v="0.09"/>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09-01T00:00:00"/>
    <s v="FY21"/>
    <s v="t"/>
    <n v="7.0000000000000007E-2"/>
    <n v="0"/>
    <n v="0"/>
    <n v="7.0000000000000007E-2"/>
    <n v="1"/>
    <n v="0"/>
    <n v="0"/>
    <n v="1"/>
    <n v="100"/>
    <n v="0"/>
    <n v="0"/>
    <s v="Consolidation"/>
    <s v="CO2e and Base Measure"/>
    <n v="100"/>
    <n v="100"/>
    <n v="7.0000000000000007E-2"/>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10-01T00:00:00"/>
    <s v="FY21"/>
    <s v="t"/>
    <n v="7.0000000000000007E-2"/>
    <n v="0"/>
    <n v="0"/>
    <n v="7.0000000000000007E-2"/>
    <n v="1"/>
    <n v="0"/>
    <n v="0"/>
    <n v="1"/>
    <n v="100"/>
    <n v="0"/>
    <n v="0"/>
    <s v="Consolidation"/>
    <s v="CO2e and Base Measure"/>
    <n v="100"/>
    <n v="100"/>
    <n v="7.0000000000000007E-2"/>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11-01T00:00:00"/>
    <s v="FY21"/>
    <s v="t"/>
    <n v="0.45"/>
    <n v="0"/>
    <n v="0"/>
    <n v="0.45"/>
    <n v="2"/>
    <n v="0"/>
    <n v="0"/>
    <n v="2"/>
    <n v="100"/>
    <n v="0"/>
    <n v="0"/>
    <s v="Consolidation"/>
    <s v="CO2e and Base Measure"/>
    <n v="100"/>
    <n v="100"/>
    <n v="0.45"/>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12-01T00:00:00"/>
    <s v="FY21"/>
    <s v="t"/>
    <n v="0"/>
    <n v="0.189"/>
    <n v="0"/>
    <n v="0.189"/>
    <n v="0"/>
    <n v="2"/>
    <n v="0"/>
    <n v="2"/>
    <n v="0"/>
    <n v="100"/>
    <n v="0"/>
    <s v="Consolidation"/>
    <s v="CO2e and Base Measure"/>
    <n v="100"/>
    <n v="100"/>
    <n v="0.19"/>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1-01-01T00:00:00"/>
    <s v="FY21"/>
    <s v="t"/>
    <n v="0"/>
    <n v="0"/>
    <n v="5.7999999999999996E-3"/>
    <n v="5.7999999999999996E-3"/>
    <n v="0"/>
    <n v="0"/>
    <n v="1"/>
    <n v="1"/>
    <n v="0"/>
    <n v="0"/>
    <n v="100"/>
    <s v="Consolidation"/>
    <s v="CO2e and Base Measure"/>
    <n v="100"/>
    <n v="100"/>
    <n v="0.01"/>
    <m/>
    <m/>
    <m/>
    <m/>
    <m/>
    <m/>
    <n v="0"/>
    <m/>
    <m/>
    <m/>
    <m/>
    <m/>
    <m/>
    <s v="AUD"/>
    <s v="13565655Waste Recycled - Cardboard [t]"/>
    <n v="13565655"/>
  </r>
  <r>
    <d v="2019-07-01T00:00:00"/>
    <d v="2021-06-30T00:00:00"/>
    <s v="Telstra"/>
    <s v="NON-NETWORK"/>
    <s v="NON-NETWORK"/>
    <s v="NSW"/>
    <s v="Australia"/>
    <s v="Granville"/>
    <s v="SILVERWATER OPERATIONS CENTRE"/>
    <n v="423031511000"/>
    <s v="Recycled Waste"/>
    <x v="0"/>
    <x v="1"/>
    <s v="Account"/>
    <s v="Remondis Electrical Comp. (E-Waste)"/>
    <m/>
    <s v="423031511000_RELECTRIC"/>
    <s v="ELECTRICAL COMP. E-WASTE"/>
    <s v="Remondis"/>
    <m/>
    <m/>
    <d v="2021-01-01T00:00:00"/>
    <d v="2020-12-01T00:00:00"/>
    <s v="FY21"/>
    <s v="t"/>
    <n v="7.0000000000000007E-2"/>
    <n v="0"/>
    <n v="0"/>
    <n v="7.0000000000000007E-2"/>
    <n v="1"/>
    <n v="0"/>
    <n v="0"/>
    <n v="1"/>
    <n v="100"/>
    <n v="0"/>
    <n v="0"/>
    <s v="Consolidation"/>
    <s v="CO2e and Base Measure"/>
    <n v="100"/>
    <n v="100"/>
    <n v="7.0000000000000007E-2"/>
    <m/>
    <m/>
    <m/>
    <m/>
    <m/>
    <m/>
    <m/>
    <m/>
    <m/>
    <m/>
    <m/>
    <m/>
    <m/>
    <s v="AUD"/>
    <s v="13565656Waste Recycled - E-waste [t]"/>
    <n v="13565656"/>
  </r>
  <r>
    <d v="2019-07-01T00:00:00"/>
    <d v="2021-06-30T00:00:00"/>
    <s v="Telstra"/>
    <s v="NON-NETWORK"/>
    <s v="NON-NETWORK"/>
    <s v="NSW"/>
    <s v="Australia"/>
    <s v="Granville"/>
    <s v="SILVERWATER OPERATIONS CENTRE"/>
    <n v="423031511000"/>
    <s v="Recycled Waste"/>
    <x v="0"/>
    <x v="1"/>
    <s v="Account"/>
    <s v="Remondis Electrical Comp. (E-Waste)"/>
    <m/>
    <s v="423031511000_RELECTRIC"/>
    <s v="ELECTRICAL COMP. E-WASTE"/>
    <s v="Remondis"/>
    <m/>
    <m/>
    <d v="2021-01-01T00:00:00"/>
    <d v="2021-01-01T00:00:00"/>
    <s v="FY21"/>
    <s v="t"/>
    <n v="0"/>
    <n v="0"/>
    <n v="2.3E-3"/>
    <n v="2.3E-3"/>
    <n v="0"/>
    <n v="0"/>
    <n v="1"/>
    <n v="1"/>
    <n v="0"/>
    <n v="0"/>
    <n v="100"/>
    <s v="Consolidation"/>
    <s v="CO2e and Base Measure"/>
    <n v="100"/>
    <n v="100"/>
    <n v="0"/>
    <m/>
    <m/>
    <m/>
    <m/>
    <m/>
    <m/>
    <m/>
    <m/>
    <m/>
    <m/>
    <m/>
    <m/>
    <m/>
    <s v="AUD"/>
    <s v="13565656Waste Recycled - E-waste [t]"/>
    <n v="13565656"/>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07-01T00:00:00"/>
    <s v="FY21"/>
    <s v="t"/>
    <n v="0.42"/>
    <n v="0"/>
    <n v="0"/>
    <n v="0.42"/>
    <n v="3"/>
    <n v="0"/>
    <n v="0"/>
    <n v="3"/>
    <n v="100"/>
    <n v="0"/>
    <n v="0"/>
    <s v="Consolidation"/>
    <s v="CO2e and Base Measure"/>
    <n v="100"/>
    <n v="100"/>
    <n v="0.42"/>
    <m/>
    <m/>
    <m/>
    <m/>
    <m/>
    <n v="0.54600000000000004"/>
    <m/>
    <n v="0.54600000000000004"/>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08-01T00:00:00"/>
    <s v="FY21"/>
    <s v="t"/>
    <n v="0.25"/>
    <n v="0"/>
    <n v="0"/>
    <n v="0.25"/>
    <n v="2"/>
    <n v="0"/>
    <n v="0"/>
    <n v="2"/>
    <n v="100"/>
    <n v="0"/>
    <n v="0"/>
    <s v="Consolidation"/>
    <s v="CO2e and Base Measure"/>
    <n v="100"/>
    <n v="100"/>
    <n v="0.25"/>
    <m/>
    <m/>
    <m/>
    <m/>
    <m/>
    <n v="0.32500000000000001"/>
    <m/>
    <n v="0.32500000000000001"/>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09-01T00:00:00"/>
    <s v="FY21"/>
    <s v="t"/>
    <n v="0.3"/>
    <n v="0"/>
    <n v="0"/>
    <n v="0.3"/>
    <n v="2"/>
    <n v="0"/>
    <n v="0"/>
    <n v="2"/>
    <n v="100"/>
    <n v="0"/>
    <n v="0"/>
    <s v="Consolidation"/>
    <s v="CO2e and Base Measure"/>
    <n v="100"/>
    <n v="100"/>
    <n v="0.3"/>
    <m/>
    <m/>
    <m/>
    <m/>
    <m/>
    <n v="0.39"/>
    <m/>
    <n v="0.39"/>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10-01T00:00:00"/>
    <s v="FY21"/>
    <s v="t"/>
    <n v="0.28999999999999998"/>
    <n v="0"/>
    <n v="0"/>
    <n v="0.28999999999999998"/>
    <n v="2"/>
    <n v="0"/>
    <n v="0"/>
    <n v="2"/>
    <n v="100"/>
    <n v="0"/>
    <n v="0"/>
    <s v="Consolidation"/>
    <s v="CO2e and Base Measure"/>
    <n v="100"/>
    <n v="100"/>
    <n v="0.28999999999999998"/>
    <m/>
    <m/>
    <m/>
    <m/>
    <m/>
    <n v="0.377"/>
    <m/>
    <n v="0.377"/>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11-01T00:00:00"/>
    <s v="FY21"/>
    <s v="t"/>
    <n v="0.42"/>
    <n v="0"/>
    <n v="0"/>
    <n v="0.42"/>
    <n v="2"/>
    <n v="0"/>
    <n v="0"/>
    <n v="2"/>
    <n v="100"/>
    <n v="0"/>
    <n v="0"/>
    <s v="Consolidation"/>
    <s v="CO2e and Base Measure"/>
    <n v="100"/>
    <n v="100"/>
    <n v="0.42"/>
    <m/>
    <m/>
    <m/>
    <m/>
    <m/>
    <n v="0.54600000000000004"/>
    <m/>
    <n v="0.54600000000000004"/>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12-01T00:00:00"/>
    <s v="FY21"/>
    <s v="t"/>
    <n v="0.38"/>
    <n v="0"/>
    <n v="0"/>
    <n v="0.38"/>
    <n v="1"/>
    <n v="0"/>
    <n v="0"/>
    <n v="1"/>
    <n v="100"/>
    <n v="0"/>
    <n v="0"/>
    <s v="Consolidation"/>
    <s v="CO2e and Base Measure"/>
    <n v="100"/>
    <n v="100"/>
    <n v="0.38"/>
    <m/>
    <m/>
    <m/>
    <m/>
    <m/>
    <n v="0.49399999999999999"/>
    <m/>
    <n v="0.49399999999999999"/>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1-01-01T00:00:00"/>
    <s v="FY21"/>
    <s v="t"/>
    <n v="0"/>
    <n v="0"/>
    <n v="1.17E-2"/>
    <n v="1.17E-2"/>
    <n v="0"/>
    <n v="0"/>
    <n v="1"/>
    <n v="1"/>
    <n v="0"/>
    <n v="0"/>
    <n v="100"/>
    <s v="Consolidation"/>
    <s v="CO2e and Base Measure"/>
    <n v="100"/>
    <n v="100"/>
    <n v="0.01"/>
    <m/>
    <m/>
    <m/>
    <m/>
    <m/>
    <n v="1.52E-2"/>
    <m/>
    <n v="1.52E-2"/>
    <m/>
    <m/>
    <m/>
    <m/>
    <m/>
    <s v="AUD"/>
    <s v="13565657Waste - General [t] - Scope 3"/>
    <n v="13565657"/>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07-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09-01T00:00:00"/>
    <s v="FY21"/>
    <s v="t"/>
    <n v="0"/>
    <n v="0"/>
    <n v="2.7E-2"/>
    <n v="2.7E-2"/>
    <n v="0"/>
    <n v="0"/>
    <n v="30"/>
    <n v="30"/>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11-01T00:00:00"/>
    <s v="FY21"/>
    <s v="t"/>
    <n v="0"/>
    <n v="0"/>
    <n v="2.7E-2"/>
    <n v="2.7E-2"/>
    <n v="0"/>
    <n v="0"/>
    <n v="30"/>
    <n v="30"/>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2-01T00:00:00"/>
    <s v="FY21"/>
    <s v="t"/>
    <n v="0"/>
    <n v="0"/>
    <n v="2.52E-2"/>
    <n v="2.52E-2"/>
    <n v="0"/>
    <n v="0"/>
    <n v="28"/>
    <n v="28"/>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4-01T00:00:00"/>
    <s v="FY21"/>
    <s v="t"/>
    <n v="0"/>
    <n v="0"/>
    <n v="2.7E-2"/>
    <n v="2.7E-2"/>
    <n v="0"/>
    <n v="0"/>
    <n v="30"/>
    <n v="30"/>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1-01T00:00:00"/>
    <s v="FY21"/>
    <s v="t"/>
    <n v="0.57399999999999995"/>
    <n v="0"/>
    <n v="0"/>
    <n v="0.57399999999999995"/>
    <n v="1"/>
    <n v="0"/>
    <n v="0"/>
    <n v="1"/>
    <n v="100"/>
    <n v="0"/>
    <n v="0"/>
    <s v="Consolidation"/>
    <s v="CO2e and Base Measure"/>
    <n v="100"/>
    <n v="100"/>
    <n v="0.56999999999999995"/>
    <m/>
    <m/>
    <m/>
    <m/>
    <m/>
    <n v="0.74619999999999997"/>
    <m/>
    <n v="0.74619999999999997"/>
    <m/>
    <m/>
    <m/>
    <m/>
    <m/>
    <s v="AUD"/>
    <s v="13634521Waste - General [t] - Scope 3"/>
    <n v="13634521"/>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2-01T00:00:00"/>
    <s v="FY21"/>
    <s v="t"/>
    <n v="0.26"/>
    <n v="0"/>
    <n v="0"/>
    <n v="0.26"/>
    <n v="1"/>
    <n v="0"/>
    <n v="0"/>
    <n v="1"/>
    <n v="100"/>
    <n v="0"/>
    <n v="0"/>
    <s v="Consolidation"/>
    <s v="CO2e and Base Measure"/>
    <n v="100"/>
    <n v="100"/>
    <n v="0.26"/>
    <m/>
    <m/>
    <m/>
    <m/>
    <m/>
    <n v="0.33800000000000002"/>
    <m/>
    <n v="0.33800000000000002"/>
    <m/>
    <m/>
    <m/>
    <m/>
    <m/>
    <s v="AUD"/>
    <s v="13634521Waste - General [t] - Scope 3"/>
    <n v="13634521"/>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3-01T00:00:00"/>
    <s v="FY21"/>
    <s v="t"/>
    <n v="0.96899999999999997"/>
    <n v="0"/>
    <n v="0"/>
    <n v="0.96899999999999997"/>
    <n v="2"/>
    <n v="0"/>
    <n v="0"/>
    <n v="2"/>
    <n v="100"/>
    <n v="0"/>
    <n v="0"/>
    <s v="Consolidation"/>
    <s v="CO2e and Base Measure"/>
    <n v="100"/>
    <n v="100"/>
    <n v="0.97"/>
    <m/>
    <m/>
    <m/>
    <m/>
    <m/>
    <n v="1.2597"/>
    <m/>
    <n v="1.2597"/>
    <m/>
    <m/>
    <m/>
    <m/>
    <m/>
    <s v="AUD"/>
    <s v="13634521Waste - General [t] - Scope 3"/>
    <n v="13634521"/>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4-01T00:00:00"/>
    <s v="FY21"/>
    <s v="t"/>
    <n v="0"/>
    <n v="0"/>
    <n v="0.60899999999999999"/>
    <n v="0.60899999999999999"/>
    <n v="0"/>
    <n v="0"/>
    <n v="30"/>
    <n v="30"/>
    <n v="0"/>
    <n v="0"/>
    <n v="100"/>
    <s v="Consolidation"/>
    <s v="CO2e and Base Measure"/>
    <n v="100"/>
    <n v="100"/>
    <n v="0.61"/>
    <m/>
    <m/>
    <m/>
    <m/>
    <m/>
    <n v="0.79169999999999996"/>
    <m/>
    <n v="0.79169999999999996"/>
    <m/>
    <m/>
    <m/>
    <m/>
    <m/>
    <s v="AUD"/>
    <s v="13634521Waste - General [t] - Scope 3"/>
    <n v="13634521"/>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5-01T00:00:00"/>
    <s v="FY21"/>
    <s v="t"/>
    <n v="0"/>
    <n v="0"/>
    <n v="0.62929999999999997"/>
    <n v="0.62929999999999997"/>
    <n v="0"/>
    <n v="0"/>
    <n v="31"/>
    <n v="31"/>
    <n v="0"/>
    <n v="0"/>
    <n v="100"/>
    <s v="Consolidation"/>
    <s v="CO2e and Base Measure"/>
    <n v="100"/>
    <n v="100"/>
    <n v="0.63"/>
    <m/>
    <m/>
    <m/>
    <m/>
    <m/>
    <n v="0.81810000000000005"/>
    <m/>
    <n v="0.81810000000000005"/>
    <m/>
    <m/>
    <m/>
    <m/>
    <m/>
    <s v="AUD"/>
    <s v="13634521Waste - General [t] - Scope 3"/>
    <n v="13634521"/>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1-01T00:00:00"/>
    <s v="FY21"/>
    <s v="t"/>
    <n v="0.28999999999999998"/>
    <n v="0"/>
    <n v="0"/>
    <n v="0.28999999999999998"/>
    <n v="1"/>
    <n v="0"/>
    <n v="0"/>
    <n v="1"/>
    <n v="100"/>
    <n v="0"/>
    <n v="0"/>
    <s v="Consolidation"/>
    <s v="CO2e and Base Measure"/>
    <n v="100"/>
    <n v="100"/>
    <n v="0.28999999999999998"/>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2-01T00:00:00"/>
    <s v="FY21"/>
    <s v="t"/>
    <n v="7.6999999999999999E-2"/>
    <n v="0"/>
    <n v="0"/>
    <n v="7.6999999999999999E-2"/>
    <n v="1"/>
    <n v="0"/>
    <n v="0"/>
    <n v="1"/>
    <n v="100"/>
    <n v="0"/>
    <n v="0"/>
    <s v="Consolidation"/>
    <s v="CO2e and Base Measure"/>
    <n v="100"/>
    <n v="100"/>
    <n v="0.08"/>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3-01T00:00:00"/>
    <s v="FY21"/>
    <s v="t"/>
    <n v="0.113"/>
    <n v="0.1125"/>
    <n v="0"/>
    <n v="0.22550000000000001"/>
    <n v="1"/>
    <n v="1"/>
    <n v="0"/>
    <n v="2"/>
    <n v="50.11"/>
    <n v="49.88"/>
    <n v="0"/>
    <s v="Consolidation"/>
    <s v="CO2e and Base Measure"/>
    <n v="100"/>
    <n v="100"/>
    <n v="0.23"/>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4-01T00:00:00"/>
    <s v="FY21"/>
    <s v="t"/>
    <n v="0"/>
    <n v="0"/>
    <n v="0.20100000000000001"/>
    <n v="0.20100000000000001"/>
    <n v="0"/>
    <n v="0"/>
    <n v="30"/>
    <n v="30"/>
    <n v="0"/>
    <n v="0"/>
    <n v="100"/>
    <s v="Consolidation"/>
    <s v="CO2e and Base Measure"/>
    <n v="100"/>
    <n v="100"/>
    <n v="0.2"/>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5-01T00:00:00"/>
    <s v="FY21"/>
    <s v="t"/>
    <n v="0"/>
    <n v="0"/>
    <n v="0.2077"/>
    <n v="0.2077"/>
    <n v="0"/>
    <n v="0"/>
    <n v="31"/>
    <n v="31"/>
    <n v="0"/>
    <n v="0"/>
    <n v="100"/>
    <s v="Consolidation"/>
    <s v="CO2e and Base Measure"/>
    <n v="100"/>
    <n v="100"/>
    <n v="0.21"/>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1-01T00:00:00"/>
    <s v="FY21"/>
    <s v="t"/>
    <n v="0"/>
    <n v="6.4999999999999997E-3"/>
    <n v="0"/>
    <n v="6.4999999999999997E-3"/>
    <n v="0"/>
    <n v="1"/>
    <n v="0"/>
    <n v="1"/>
    <n v="0"/>
    <n v="100"/>
    <n v="0"/>
    <s v="Consolidation"/>
    <s v="CO2e and Base Measure"/>
    <n v="100"/>
    <n v="100"/>
    <n v="0.01"/>
    <m/>
    <m/>
    <m/>
    <m/>
    <m/>
    <m/>
    <m/>
    <m/>
    <m/>
    <m/>
    <m/>
    <m/>
    <m/>
    <s v="AUD"/>
    <s v="13634602Waste Recycled - E-waste [t]"/>
    <n v="1363460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2-01T00:00:00"/>
    <s v="FY21"/>
    <s v="t"/>
    <n v="0"/>
    <n v="0"/>
    <n v="5.5999999999999999E-3"/>
    <n v="5.5999999999999999E-3"/>
    <n v="0"/>
    <n v="0"/>
    <n v="28"/>
    <n v="28"/>
    <n v="0"/>
    <n v="0"/>
    <n v="100"/>
    <s v="Consolidation"/>
    <s v="CO2e and Base Measure"/>
    <n v="100"/>
    <n v="100"/>
    <n v="0.01"/>
    <m/>
    <m/>
    <m/>
    <m/>
    <m/>
    <m/>
    <m/>
    <m/>
    <m/>
    <m/>
    <m/>
    <m/>
    <m/>
    <s v="AUD"/>
    <s v="13634602Waste Recycled - E-waste [t]"/>
    <n v="1363460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3-01T00:00:00"/>
    <s v="FY21"/>
    <s v="t"/>
    <n v="0"/>
    <n v="0"/>
    <n v="6.1999999999999998E-3"/>
    <n v="6.1999999999999998E-3"/>
    <n v="0"/>
    <n v="0"/>
    <n v="31"/>
    <n v="31"/>
    <n v="0"/>
    <n v="0"/>
    <n v="100"/>
    <s v="Consolidation"/>
    <s v="CO2e and Base Measure"/>
    <n v="100"/>
    <n v="100"/>
    <n v="0.01"/>
    <m/>
    <m/>
    <m/>
    <m/>
    <m/>
    <m/>
    <m/>
    <m/>
    <m/>
    <m/>
    <m/>
    <m/>
    <m/>
    <s v="AUD"/>
    <s v="13634602Waste Recycled - E-waste [t]"/>
    <n v="1363460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4-01T00:00:00"/>
    <s v="FY21"/>
    <s v="t"/>
    <n v="0"/>
    <n v="0"/>
    <n v="6.0000000000000001E-3"/>
    <n v="6.0000000000000001E-3"/>
    <n v="0"/>
    <n v="0"/>
    <n v="30"/>
    <n v="30"/>
    <n v="0"/>
    <n v="0"/>
    <n v="100"/>
    <s v="Consolidation"/>
    <s v="CO2e and Base Measure"/>
    <n v="100"/>
    <n v="100"/>
    <n v="0.01"/>
    <m/>
    <m/>
    <m/>
    <m/>
    <m/>
    <m/>
    <m/>
    <m/>
    <m/>
    <m/>
    <m/>
    <m/>
    <m/>
    <s v="AUD"/>
    <s v="13634602Waste Recycled - E-waste [t]"/>
    <n v="1363460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5-01T00:00:00"/>
    <s v="FY21"/>
    <s v="t"/>
    <n v="0"/>
    <n v="0"/>
    <n v="6.1999999999999998E-3"/>
    <n v="6.1999999999999998E-3"/>
    <n v="0"/>
    <n v="0"/>
    <n v="31"/>
    <n v="31"/>
    <n v="0"/>
    <n v="0"/>
    <n v="100"/>
    <s v="Consolidation"/>
    <s v="CO2e and Base Measure"/>
    <n v="100"/>
    <n v="100"/>
    <n v="0.01"/>
    <m/>
    <m/>
    <m/>
    <m/>
    <m/>
    <m/>
    <m/>
    <m/>
    <m/>
    <m/>
    <m/>
    <m/>
    <m/>
    <s v="AUD"/>
    <s v="13634602Waste Recycled - E-waste [t]"/>
    <n v="13634602"/>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07-01T00:00:00"/>
    <s v="FY21"/>
    <s v="t"/>
    <n v="0"/>
    <n v="3.15E-2"/>
    <n v="0"/>
    <n v="3.15E-2"/>
    <n v="0"/>
    <n v="1"/>
    <n v="0"/>
    <n v="1"/>
    <n v="0"/>
    <n v="100"/>
    <n v="0"/>
    <s v="Consolidation"/>
    <s v="CO2e and Base Measure"/>
    <n v="100"/>
    <n v="100"/>
    <n v="0.03"/>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09-01T00:00:00"/>
    <s v="FY21"/>
    <s v="t"/>
    <n v="0"/>
    <n v="9.4500000000000001E-2"/>
    <n v="0"/>
    <n v="9.4500000000000001E-2"/>
    <n v="0"/>
    <n v="3"/>
    <n v="0"/>
    <n v="3"/>
    <n v="0"/>
    <n v="100"/>
    <n v="0"/>
    <s v="Consolidation"/>
    <s v="CO2e and Base Measure"/>
    <n v="100"/>
    <n v="100"/>
    <n v="0.09"/>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12-01T00:00:00"/>
    <s v="FY21"/>
    <s v="t"/>
    <n v="0"/>
    <n v="6.3E-2"/>
    <n v="0"/>
    <n v="6.3E-2"/>
    <n v="0"/>
    <n v="2"/>
    <n v="0"/>
    <n v="2"/>
    <n v="0"/>
    <n v="100"/>
    <n v="0"/>
    <s v="Consolidation"/>
    <s v="CO2e and Base Measure"/>
    <n v="100"/>
    <n v="100"/>
    <n v="0.06"/>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1-01-01T00:00:00"/>
    <s v="FY21"/>
    <s v="t"/>
    <n v="0"/>
    <n v="0"/>
    <n v="2.0999999999999999E-3"/>
    <n v="2.0999999999999999E-3"/>
    <n v="0"/>
    <n v="0"/>
    <n v="1"/>
    <n v="1"/>
    <n v="0"/>
    <n v="0"/>
    <n v="100"/>
    <s v="Consolidation"/>
    <s v="CO2e and Base Measure"/>
    <n v="100"/>
    <n v="100"/>
    <n v="0"/>
    <m/>
    <m/>
    <m/>
    <m/>
    <m/>
    <m/>
    <n v="0"/>
    <m/>
    <m/>
    <m/>
    <m/>
    <m/>
    <m/>
    <s v="AUD"/>
    <s v="13564443Waste Recycled - Cardboard [t]"/>
    <n v="13564443"/>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07-01T00:00:00"/>
    <s v="FY21"/>
    <s v="t"/>
    <n v="3.5000000000000003E-2"/>
    <n v="0"/>
    <n v="0"/>
    <n v="3.5000000000000003E-2"/>
    <n v="1"/>
    <n v="0"/>
    <n v="0"/>
    <n v="1"/>
    <n v="100"/>
    <n v="0"/>
    <n v="0"/>
    <s v="Consolidation"/>
    <s v="CO2e and Base Measure"/>
    <n v="100"/>
    <n v="100"/>
    <n v="0.04"/>
    <m/>
    <m/>
    <m/>
    <m/>
    <m/>
    <n v="4.5499999999999999E-2"/>
    <m/>
    <n v="4.5499999999999999E-2"/>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09-01T00:00:00"/>
    <s v="FY21"/>
    <s v="t"/>
    <n v="0.05"/>
    <n v="0"/>
    <n v="0"/>
    <n v="0.05"/>
    <n v="1"/>
    <n v="0"/>
    <n v="0"/>
    <n v="1"/>
    <n v="100"/>
    <n v="0"/>
    <n v="0"/>
    <s v="Consolidation"/>
    <s v="CO2e and Base Measure"/>
    <n v="100"/>
    <n v="100"/>
    <n v="0.05"/>
    <m/>
    <m/>
    <m/>
    <m/>
    <m/>
    <n v="6.5000000000000002E-2"/>
    <m/>
    <n v="6.5000000000000002E-2"/>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10-01T00:00:00"/>
    <s v="FY21"/>
    <s v="t"/>
    <n v="0.05"/>
    <n v="9.7500000000000003E-2"/>
    <n v="0"/>
    <n v="0.14749999999999999"/>
    <n v="2"/>
    <n v="1"/>
    <n v="0"/>
    <n v="3"/>
    <n v="33.89"/>
    <n v="66.099999999999994"/>
    <n v="0"/>
    <s v="Consolidation"/>
    <s v="CO2e and Base Measure"/>
    <n v="100"/>
    <n v="100"/>
    <n v="0.15"/>
    <m/>
    <m/>
    <m/>
    <m/>
    <m/>
    <n v="0.1918"/>
    <m/>
    <n v="0.1918"/>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1-01-01T00:00:00"/>
    <s v="FY21"/>
    <s v="t"/>
    <n v="0"/>
    <n v="0"/>
    <n v="3.5000000000000001E-3"/>
    <n v="3.5000000000000001E-3"/>
    <n v="0"/>
    <n v="0"/>
    <n v="1"/>
    <n v="1"/>
    <n v="0"/>
    <n v="0"/>
    <n v="100"/>
    <s v="Consolidation"/>
    <s v="CO2e and Base Measure"/>
    <n v="100"/>
    <n v="100"/>
    <n v="0"/>
    <m/>
    <m/>
    <m/>
    <m/>
    <m/>
    <n v="4.5999999999999999E-3"/>
    <m/>
    <n v="4.5999999999999999E-3"/>
    <m/>
    <m/>
    <m/>
    <m/>
    <m/>
    <s v="AUD"/>
    <s v="13564444Waste - General [t] - Scope 3"/>
    <n v="13564444"/>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0-12-01T00:00:00"/>
    <s v="FY21"/>
    <s v="t"/>
    <n v="0.11799999999999999"/>
    <n v="0"/>
    <n v="0"/>
    <n v="0.11799999999999999"/>
    <n v="1"/>
    <n v="0"/>
    <n v="0"/>
    <n v="1"/>
    <n v="100"/>
    <n v="0"/>
    <n v="0"/>
    <s v="Consolidation"/>
    <s v="CO2e and Base Measure"/>
    <n v="100"/>
    <n v="100"/>
    <n v="0.12"/>
    <m/>
    <m/>
    <m/>
    <m/>
    <m/>
    <n v="0.15340000000000001"/>
    <m/>
    <n v="0.15340000000000001"/>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1-01T00:00:00"/>
    <s v="FY21"/>
    <s v="t"/>
    <n v="0.185"/>
    <n v="0"/>
    <n v="0"/>
    <n v="0.185"/>
    <n v="1"/>
    <n v="0"/>
    <n v="0"/>
    <n v="1"/>
    <n v="100"/>
    <n v="0"/>
    <n v="0"/>
    <s v="Consolidation"/>
    <s v="CO2e and Base Measure"/>
    <n v="100"/>
    <n v="100"/>
    <n v="0.19"/>
    <m/>
    <m/>
    <m/>
    <m/>
    <m/>
    <n v="0.24049999999999999"/>
    <m/>
    <n v="0.24049999999999999"/>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2-01T00:00:00"/>
    <s v="FY21"/>
    <s v="t"/>
    <n v="0.06"/>
    <n v="0"/>
    <n v="0"/>
    <n v="0.06"/>
    <n v="1"/>
    <n v="0"/>
    <n v="0"/>
    <n v="1"/>
    <n v="100"/>
    <n v="0"/>
    <n v="0"/>
    <s v="Consolidation"/>
    <s v="CO2e and Base Measure"/>
    <n v="100"/>
    <n v="100"/>
    <n v="0.06"/>
    <m/>
    <m/>
    <m/>
    <m/>
    <m/>
    <n v="7.8E-2"/>
    <m/>
    <n v="7.8E-2"/>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3-01T00:00:00"/>
    <s v="FY21"/>
    <s v="t"/>
    <n v="0"/>
    <n v="0"/>
    <n v="0.12709999999999999"/>
    <n v="0.12709999999999999"/>
    <n v="0"/>
    <n v="0"/>
    <n v="31"/>
    <n v="31"/>
    <n v="0"/>
    <n v="0"/>
    <n v="100"/>
    <s v="Consolidation"/>
    <s v="CO2e and Base Measure"/>
    <n v="100"/>
    <n v="100"/>
    <n v="0.13"/>
    <m/>
    <m/>
    <m/>
    <m/>
    <m/>
    <n v="0.16520000000000001"/>
    <m/>
    <n v="0.16520000000000001"/>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4-01T00:00:00"/>
    <s v="FY21"/>
    <s v="t"/>
    <n v="0"/>
    <n v="0"/>
    <n v="0.123"/>
    <n v="0.123"/>
    <n v="0"/>
    <n v="0"/>
    <n v="30"/>
    <n v="30"/>
    <n v="0"/>
    <n v="0"/>
    <n v="100"/>
    <s v="Consolidation"/>
    <s v="CO2e and Base Measure"/>
    <n v="100"/>
    <n v="100"/>
    <n v="0.12"/>
    <m/>
    <m/>
    <m/>
    <m/>
    <m/>
    <n v="0.15989999999999999"/>
    <m/>
    <n v="0.15989999999999999"/>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5-01T00:00:00"/>
    <s v="FY21"/>
    <s v="t"/>
    <n v="0"/>
    <n v="0"/>
    <n v="0.12709999999999999"/>
    <n v="0.12709999999999999"/>
    <n v="0"/>
    <n v="0"/>
    <n v="31"/>
    <n v="31"/>
    <n v="0"/>
    <n v="0"/>
    <n v="100"/>
    <s v="Consolidation"/>
    <s v="CO2e and Base Measure"/>
    <n v="100"/>
    <n v="100"/>
    <n v="0.13"/>
    <m/>
    <m/>
    <m/>
    <m/>
    <m/>
    <n v="0.16520000000000001"/>
    <m/>
    <n v="0.16520000000000001"/>
    <m/>
    <m/>
    <m/>
    <m/>
    <m/>
    <s v="AUD"/>
    <s v="13634407Waste - General [t] - Scope 3"/>
    <n v="13634407"/>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1-01T00:00:00"/>
    <s v="FY21"/>
    <s v="t"/>
    <n v="0"/>
    <n v="3.7499999999999999E-2"/>
    <n v="0"/>
    <n v="3.7499999999999999E-2"/>
    <n v="0"/>
    <n v="1"/>
    <n v="0"/>
    <n v="1"/>
    <n v="0"/>
    <n v="100"/>
    <n v="0"/>
    <s v="Consolidation"/>
    <s v="CO2e and Base Measure"/>
    <n v="100"/>
    <n v="100"/>
    <n v="0.04"/>
    <m/>
    <m/>
    <m/>
    <m/>
    <m/>
    <m/>
    <m/>
    <m/>
    <m/>
    <m/>
    <m/>
    <m/>
    <m/>
    <s v="AUD"/>
    <s v="13634472Waste Recycled - Paper and Cardboard [t]"/>
    <n v="13634472"/>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2-01T00:00:00"/>
    <s v="FY21"/>
    <s v="t"/>
    <n v="0"/>
    <n v="3.7499999999999999E-2"/>
    <n v="0"/>
    <n v="3.7499999999999999E-2"/>
    <n v="0"/>
    <n v="1"/>
    <n v="0"/>
    <n v="1"/>
    <n v="0"/>
    <n v="100"/>
    <n v="0"/>
    <s v="Consolidation"/>
    <s v="CO2e and Base Measure"/>
    <n v="100"/>
    <n v="100"/>
    <n v="0.04"/>
    <m/>
    <m/>
    <m/>
    <m/>
    <m/>
    <m/>
    <m/>
    <m/>
    <m/>
    <m/>
    <m/>
    <m/>
    <m/>
    <s v="AUD"/>
    <s v="13634472Waste Recycled - Paper and Cardboard [t]"/>
    <n v="13634472"/>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3-01T00:00:00"/>
    <s v="FY21"/>
    <s v="t"/>
    <n v="0"/>
    <n v="0"/>
    <n v="4.0300000000000002E-2"/>
    <n v="4.0300000000000002E-2"/>
    <n v="0"/>
    <n v="0"/>
    <n v="31"/>
    <n v="31"/>
    <n v="0"/>
    <n v="0"/>
    <n v="100"/>
    <s v="Consolidation"/>
    <s v="CO2e and Base Measure"/>
    <n v="100"/>
    <n v="100"/>
    <n v="0.04"/>
    <m/>
    <m/>
    <m/>
    <m/>
    <m/>
    <m/>
    <m/>
    <m/>
    <m/>
    <m/>
    <m/>
    <m/>
    <m/>
    <s v="AUD"/>
    <s v="13634472Waste Recycled - Paper and Cardboard [t]"/>
    <n v="13634472"/>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4-01T00:00:00"/>
    <s v="FY21"/>
    <s v="t"/>
    <n v="0"/>
    <n v="0"/>
    <n v="3.9E-2"/>
    <n v="3.9E-2"/>
    <n v="0"/>
    <n v="0"/>
    <n v="30"/>
    <n v="30"/>
    <n v="0"/>
    <n v="0"/>
    <n v="100"/>
    <s v="Consolidation"/>
    <s v="CO2e and Base Measure"/>
    <n v="100"/>
    <n v="100"/>
    <n v="0.04"/>
    <m/>
    <m/>
    <m/>
    <m/>
    <m/>
    <m/>
    <m/>
    <m/>
    <m/>
    <m/>
    <m/>
    <m/>
    <m/>
    <s v="AUD"/>
    <s v="13634472Waste Recycled - Paper and Cardboard [t]"/>
    <n v="13634472"/>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5-01T00:00:00"/>
    <s v="FY21"/>
    <s v="t"/>
    <n v="0"/>
    <n v="0"/>
    <n v="4.0300000000000002E-2"/>
    <n v="4.0300000000000002E-2"/>
    <n v="0"/>
    <n v="0"/>
    <n v="31"/>
    <n v="31"/>
    <n v="0"/>
    <n v="0"/>
    <n v="100"/>
    <s v="Consolidation"/>
    <s v="CO2e and Base Measure"/>
    <n v="100"/>
    <n v="100"/>
    <n v="0.04"/>
    <m/>
    <m/>
    <m/>
    <m/>
    <m/>
    <m/>
    <m/>
    <m/>
    <m/>
    <m/>
    <m/>
    <m/>
    <m/>
    <s v="AUD"/>
    <s v="13634472Waste Recycled - Paper and Cardboard [t]"/>
    <n v="13634472"/>
  </r>
  <r>
    <d v="2019-07-01T00:00:00"/>
    <d v="2021-06-30T00:00:00"/>
    <s v="Telstra"/>
    <s v="NETWORK"/>
    <s v="Network - InfraCo"/>
    <s v="QLD"/>
    <s v="Australia"/>
    <s v="Logan City"/>
    <s v="SLACKS CREEK EXCHANGE"/>
    <n v="423030173700"/>
    <s v="Recycled Waste"/>
    <x v="0"/>
    <x v="5"/>
    <s v="Account"/>
    <s v="Remondis Construction &amp; Demolition - Recycled"/>
    <m/>
    <s v="423030173700_RCONSDEM"/>
    <s v="CONSTRUCTION &amp; DEMOLITION - RECYLED"/>
    <s v="Remondis"/>
    <m/>
    <d v="2020-07-23T00:00:00"/>
    <d v="2020-08-01T00:00:00"/>
    <d v="2020-07-01T00:00:00"/>
    <s v="FY21"/>
    <s v="t"/>
    <n v="0"/>
    <n v="0.75"/>
    <n v="0"/>
    <n v="0.75"/>
    <n v="0"/>
    <n v="1"/>
    <n v="0"/>
    <n v="1"/>
    <n v="0"/>
    <n v="100"/>
    <n v="0"/>
    <s v="Consolidation"/>
    <s v="CO2e and Base Measure"/>
    <n v="100"/>
    <n v="100"/>
    <n v="0.75"/>
    <m/>
    <m/>
    <m/>
    <m/>
    <m/>
    <m/>
    <m/>
    <m/>
    <m/>
    <m/>
    <m/>
    <m/>
    <m/>
    <s v="AUD"/>
    <s v="13614414Waste Recycled - Construction and Demolition [t]"/>
    <n v="13614414"/>
  </r>
  <r>
    <d v="2019-07-01T00:00:00"/>
    <d v="2021-06-30T00:00:00"/>
    <s v="Telstra"/>
    <s v="NETWORK"/>
    <s v="Network - InfraCo"/>
    <s v="QLD"/>
    <s v="Australia"/>
    <s v="Logan City"/>
    <s v="SLACKS CREEK EXCHANGE"/>
    <n v="423030173700"/>
    <s v="Recycled Waste"/>
    <x v="0"/>
    <x v="5"/>
    <s v="Account"/>
    <s v="Remondis Construction &amp; Demolition - Recycled"/>
    <m/>
    <s v="423030173700_RCONSDEM"/>
    <s v="CONSTRUCTION &amp; DEMOLITION - RECYLED"/>
    <s v="Remondis"/>
    <m/>
    <d v="2020-07-23T00:00:00"/>
    <d v="2020-08-01T00:00:00"/>
    <d v="2020-08-01T00:00:00"/>
    <s v="FY21"/>
    <s v="t"/>
    <n v="0"/>
    <n v="0"/>
    <n v="2.5000000000000001E-2"/>
    <n v="2.5000000000000001E-2"/>
    <n v="0"/>
    <n v="0"/>
    <n v="1"/>
    <n v="1"/>
    <n v="0"/>
    <n v="0"/>
    <n v="100"/>
    <s v="Consolidation"/>
    <s v="CO2e and Base Measure"/>
    <n v="100"/>
    <n v="100"/>
    <n v="0.03"/>
    <m/>
    <m/>
    <m/>
    <m/>
    <m/>
    <m/>
    <m/>
    <m/>
    <m/>
    <m/>
    <m/>
    <m/>
    <m/>
    <s v="AUD"/>
    <s v="13614414Waste Recycled - Construction and Demolition [t]"/>
    <n v="13614414"/>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0-11-01T00:00:00"/>
    <s v="FY21"/>
    <s v="t"/>
    <n v="1.64"/>
    <n v="0"/>
    <n v="0"/>
    <n v="1.64"/>
    <n v="1"/>
    <n v="0"/>
    <n v="0"/>
    <n v="1"/>
    <n v="100"/>
    <n v="0"/>
    <n v="0"/>
    <s v="Consolidation"/>
    <s v="CO2e and Base Measure"/>
    <n v="100"/>
    <n v="100"/>
    <n v="1.64"/>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0-12-01T00:00:00"/>
    <s v="FY21"/>
    <s v="t"/>
    <n v="0"/>
    <n v="0"/>
    <n v="1.7545999999999999"/>
    <n v="1.7545999999999999"/>
    <n v="0"/>
    <n v="0"/>
    <n v="31"/>
    <n v="31"/>
    <n v="0"/>
    <n v="0"/>
    <n v="100"/>
    <s v="Consolidation"/>
    <s v="CO2e and Base Measure"/>
    <n v="100"/>
    <n v="100"/>
    <n v="1.75"/>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1-01T00:00:00"/>
    <s v="FY21"/>
    <s v="t"/>
    <n v="0"/>
    <n v="0"/>
    <n v="1.7545999999999999"/>
    <n v="1.7545999999999999"/>
    <n v="0"/>
    <n v="0"/>
    <n v="31"/>
    <n v="31"/>
    <n v="0"/>
    <n v="0"/>
    <n v="100"/>
    <s v="Consolidation"/>
    <s v="CO2e and Base Measure"/>
    <n v="100"/>
    <n v="100"/>
    <n v="1.75"/>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2-01T00:00:00"/>
    <s v="FY21"/>
    <s v="t"/>
    <n v="0"/>
    <n v="0"/>
    <n v="1.5848"/>
    <n v="1.5848"/>
    <n v="0"/>
    <n v="0"/>
    <n v="28"/>
    <n v="28"/>
    <n v="0"/>
    <n v="0"/>
    <n v="100"/>
    <s v="Consolidation"/>
    <s v="CO2e and Base Measure"/>
    <n v="100"/>
    <n v="100"/>
    <n v="1.58"/>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3-01T00:00:00"/>
    <s v="FY21"/>
    <s v="t"/>
    <n v="0"/>
    <n v="0"/>
    <n v="1.7545999999999999"/>
    <n v="1.7545999999999999"/>
    <n v="0"/>
    <n v="0"/>
    <n v="31"/>
    <n v="31"/>
    <n v="0"/>
    <n v="0"/>
    <n v="100"/>
    <s v="Consolidation"/>
    <s v="CO2e and Base Measure"/>
    <n v="100"/>
    <n v="100"/>
    <n v="1.75"/>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4-01T00:00:00"/>
    <s v="FY21"/>
    <s v="t"/>
    <n v="0"/>
    <n v="0"/>
    <n v="1.698"/>
    <n v="1.698"/>
    <n v="0"/>
    <n v="0"/>
    <n v="30"/>
    <n v="30"/>
    <n v="0"/>
    <n v="0"/>
    <n v="100"/>
    <s v="Consolidation"/>
    <s v="CO2e and Base Measure"/>
    <n v="100"/>
    <n v="100"/>
    <n v="1.7"/>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5-01T00:00:00"/>
    <s v="FY21"/>
    <s v="t"/>
    <n v="0"/>
    <n v="0"/>
    <n v="1.7545999999999999"/>
    <n v="1.7545999999999999"/>
    <n v="0"/>
    <n v="0"/>
    <n v="31"/>
    <n v="31"/>
    <n v="0"/>
    <n v="0"/>
    <n v="100"/>
    <s v="Consolidation"/>
    <s v="CO2e and Base Measure"/>
    <n v="100"/>
    <n v="100"/>
    <n v="1.75"/>
    <m/>
    <m/>
    <m/>
    <m/>
    <m/>
    <m/>
    <m/>
    <m/>
    <m/>
    <m/>
    <m/>
    <m/>
    <m/>
    <s v="AUD"/>
    <s v="13634599Waste Recycled - Construction and Demolition [t]"/>
    <n v="13634599"/>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252Waste - General [t] - Scope 3"/>
    <n v="13564252"/>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07-01T00:00:00"/>
    <s v="FY21"/>
    <s v="t"/>
    <n v="0"/>
    <n v="0.126"/>
    <n v="0"/>
    <n v="0.126"/>
    <n v="0"/>
    <n v="2"/>
    <n v="0"/>
    <n v="2"/>
    <n v="0"/>
    <n v="100"/>
    <n v="0"/>
    <s v="Consolidation"/>
    <s v="CO2e and Base Measure"/>
    <n v="100"/>
    <n v="100"/>
    <n v="0.13"/>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09-01T00:00:00"/>
    <s v="FY21"/>
    <s v="t"/>
    <n v="0"/>
    <n v="0.189"/>
    <n v="0"/>
    <n v="0.189"/>
    <n v="0"/>
    <n v="3"/>
    <n v="0"/>
    <n v="3"/>
    <n v="0"/>
    <n v="100"/>
    <n v="0"/>
    <s v="Consolidation"/>
    <s v="CO2e and Base Measure"/>
    <n v="100"/>
    <n v="100"/>
    <n v="0.19"/>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10-01T00:00:00"/>
    <s v="FY21"/>
    <s v="t"/>
    <n v="0"/>
    <n v="6.3E-2"/>
    <n v="0"/>
    <n v="6.3E-2"/>
    <n v="0"/>
    <n v="1"/>
    <n v="0"/>
    <n v="1"/>
    <n v="0"/>
    <n v="100"/>
    <n v="0"/>
    <s v="Consolidation"/>
    <s v="CO2e and Base Measure"/>
    <n v="100"/>
    <n v="100"/>
    <n v="0.06"/>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1-01-01T00:00:00"/>
    <s v="FY21"/>
    <s v="t"/>
    <n v="0"/>
    <n v="0"/>
    <n v="3.8E-3"/>
    <n v="3.8E-3"/>
    <n v="0"/>
    <n v="0"/>
    <n v="1"/>
    <n v="1"/>
    <n v="0"/>
    <n v="0"/>
    <n v="100"/>
    <s v="Consolidation"/>
    <s v="CO2e and Base Measure"/>
    <n v="100"/>
    <n v="100"/>
    <n v="0"/>
    <m/>
    <m/>
    <m/>
    <m/>
    <m/>
    <m/>
    <n v="0"/>
    <m/>
    <m/>
    <m/>
    <m/>
    <m/>
    <m/>
    <s v="AUD"/>
    <s v="13565014Waste Recycled - Cardboard [t]"/>
    <n v="13565014"/>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016Waste - General [t] - Scope 3"/>
    <n v="13565016"/>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07-01T00:00:00"/>
    <s v="FY21"/>
    <s v="t"/>
    <n v="2.7E-2"/>
    <n v="0"/>
    <n v="0"/>
    <n v="2.7E-2"/>
    <n v="1"/>
    <n v="0"/>
    <n v="0"/>
    <n v="1"/>
    <n v="100"/>
    <n v="0"/>
    <n v="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09-01T00:00:00"/>
    <s v="FY21"/>
    <s v="t"/>
    <n v="0"/>
    <n v="0"/>
    <n v="2.7E-2"/>
    <n v="2.7E-2"/>
    <n v="0"/>
    <n v="0"/>
    <n v="30"/>
    <n v="30"/>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11-01T00:00:00"/>
    <s v="FY21"/>
    <s v="t"/>
    <n v="0"/>
    <n v="0"/>
    <n v="2.7E-2"/>
    <n v="2.7E-2"/>
    <n v="0"/>
    <n v="0"/>
    <n v="30"/>
    <n v="30"/>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2-01T00:00:00"/>
    <s v="FY21"/>
    <s v="t"/>
    <n v="0"/>
    <n v="0"/>
    <n v="2.52E-2"/>
    <n v="2.52E-2"/>
    <n v="0"/>
    <n v="0"/>
    <n v="28"/>
    <n v="28"/>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4-01T00:00:00"/>
    <s v="FY21"/>
    <s v="t"/>
    <n v="0"/>
    <n v="0"/>
    <n v="2.7E-2"/>
    <n v="2.7E-2"/>
    <n v="0"/>
    <n v="0"/>
    <n v="30"/>
    <n v="30"/>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0-12-01T00:00:00"/>
    <s v="FY21"/>
    <s v="t"/>
    <n v="0.14499999999999999"/>
    <n v="0"/>
    <n v="0"/>
    <n v="0.14499999999999999"/>
    <n v="2"/>
    <n v="0"/>
    <n v="0"/>
    <n v="2"/>
    <n v="100"/>
    <n v="0"/>
    <n v="0"/>
    <s v="Consolidation"/>
    <s v="CO2e and Base Measure"/>
    <n v="100"/>
    <n v="100"/>
    <n v="0.15"/>
    <m/>
    <m/>
    <m/>
    <m/>
    <m/>
    <n v="0.1885"/>
    <m/>
    <n v="0.1885"/>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1-01T00:00:00"/>
    <s v="FY21"/>
    <s v="t"/>
    <n v="0.29399999999999998"/>
    <n v="0.13500000000000001"/>
    <n v="0"/>
    <n v="0.42899999999999999"/>
    <n v="1"/>
    <n v="1"/>
    <n v="0"/>
    <n v="2"/>
    <n v="68.53"/>
    <n v="31.46"/>
    <n v="0"/>
    <s v="Consolidation"/>
    <s v="CO2e and Base Measure"/>
    <n v="100"/>
    <n v="100"/>
    <n v="0.43"/>
    <m/>
    <m/>
    <m/>
    <m/>
    <m/>
    <n v="0.55769999999999997"/>
    <m/>
    <n v="0.55769999999999997"/>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2-01T00:00:00"/>
    <s v="FY21"/>
    <s v="t"/>
    <n v="0.192"/>
    <n v="0"/>
    <n v="0"/>
    <n v="0.192"/>
    <n v="1"/>
    <n v="0"/>
    <n v="0"/>
    <n v="1"/>
    <n v="100"/>
    <n v="0"/>
    <n v="0"/>
    <s v="Consolidation"/>
    <s v="CO2e and Base Measure"/>
    <n v="100"/>
    <n v="100"/>
    <n v="0.19"/>
    <m/>
    <m/>
    <m/>
    <m/>
    <m/>
    <n v="0.24959999999999999"/>
    <m/>
    <n v="0.24959999999999999"/>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3-01T00:00:00"/>
    <s v="FY21"/>
    <s v="t"/>
    <n v="0.376"/>
    <n v="0"/>
    <n v="0"/>
    <n v="0.376"/>
    <n v="3"/>
    <n v="0"/>
    <n v="0"/>
    <n v="3"/>
    <n v="100"/>
    <n v="0"/>
    <n v="0"/>
    <s v="Consolidation"/>
    <s v="CO2e and Base Measure"/>
    <n v="100"/>
    <n v="100"/>
    <n v="0.38"/>
    <m/>
    <m/>
    <m/>
    <m/>
    <m/>
    <n v="0.48880000000000001"/>
    <m/>
    <n v="0.48880000000000001"/>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4-01T00:00:00"/>
    <s v="FY21"/>
    <s v="t"/>
    <n v="0"/>
    <n v="0"/>
    <n v="0.28499999999999998"/>
    <n v="0.28499999999999998"/>
    <n v="0"/>
    <n v="0"/>
    <n v="30"/>
    <n v="30"/>
    <n v="0"/>
    <n v="0"/>
    <n v="100"/>
    <s v="Consolidation"/>
    <s v="CO2e and Base Measure"/>
    <n v="100"/>
    <n v="100"/>
    <n v="0.28999999999999998"/>
    <m/>
    <m/>
    <m/>
    <m/>
    <m/>
    <n v="0.3705"/>
    <m/>
    <n v="0.3705"/>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5-01T00:00:00"/>
    <s v="FY21"/>
    <s v="t"/>
    <n v="0"/>
    <n v="0"/>
    <n v="0.29449999999999998"/>
    <n v="0.29449999999999998"/>
    <n v="0"/>
    <n v="0"/>
    <n v="31"/>
    <n v="31"/>
    <n v="0"/>
    <n v="0"/>
    <n v="100"/>
    <s v="Consolidation"/>
    <s v="CO2e and Base Measure"/>
    <n v="100"/>
    <n v="100"/>
    <n v="0.28999999999999998"/>
    <m/>
    <m/>
    <m/>
    <m/>
    <m/>
    <n v="0.38290000000000002"/>
    <m/>
    <n v="0.38290000000000002"/>
    <m/>
    <m/>
    <m/>
    <m/>
    <m/>
    <s v="AUD"/>
    <s v="13634258Waste - General [t] - Scope 3"/>
    <n v="13634258"/>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0-12-01T00:00:00"/>
    <s v="FY21"/>
    <s v="t"/>
    <n v="0"/>
    <n v="7.4999999999999997E-2"/>
    <n v="0"/>
    <n v="7.4999999999999997E-2"/>
    <n v="0"/>
    <n v="1"/>
    <n v="0"/>
    <n v="1"/>
    <n v="0"/>
    <n v="100"/>
    <n v="0"/>
    <s v="Consolidation"/>
    <s v="CO2e and Base Measure"/>
    <n v="100"/>
    <n v="100"/>
    <n v="0.08"/>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1-01T00:00:00"/>
    <s v="FY21"/>
    <s v="t"/>
    <n v="0.04"/>
    <n v="7.4999999999999997E-2"/>
    <n v="0"/>
    <n v="0.115"/>
    <n v="1"/>
    <n v="1"/>
    <n v="0"/>
    <n v="2"/>
    <n v="34.78"/>
    <n v="65.209999999999994"/>
    <n v="0"/>
    <s v="Consolidation"/>
    <s v="CO2e and Base Measure"/>
    <n v="100"/>
    <n v="100"/>
    <n v="0.12"/>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2-01T00:00:00"/>
    <s v="FY21"/>
    <s v="t"/>
    <n v="5.8000000000000003E-2"/>
    <n v="7.4999999999999997E-2"/>
    <n v="0"/>
    <n v="0.13300000000000001"/>
    <n v="1"/>
    <n v="1"/>
    <n v="0"/>
    <n v="2"/>
    <n v="43.6"/>
    <n v="56.39"/>
    <n v="0"/>
    <s v="Consolidation"/>
    <s v="CO2e and Base Measure"/>
    <n v="100"/>
    <n v="100"/>
    <n v="0.13"/>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3-01T00:00:00"/>
    <s v="FY21"/>
    <s v="t"/>
    <n v="0.109"/>
    <n v="0"/>
    <n v="0"/>
    <n v="0.109"/>
    <n v="2"/>
    <n v="0"/>
    <n v="0"/>
    <n v="2"/>
    <n v="100"/>
    <n v="0"/>
    <n v="0"/>
    <s v="Consolidation"/>
    <s v="CO2e and Base Measure"/>
    <n v="100"/>
    <n v="100"/>
    <n v="0.11"/>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4-01T00:00:00"/>
    <s v="FY21"/>
    <s v="t"/>
    <n v="0"/>
    <n v="0"/>
    <n v="0.108"/>
    <n v="0.108"/>
    <n v="0"/>
    <n v="0"/>
    <n v="30"/>
    <n v="30"/>
    <n v="0"/>
    <n v="0"/>
    <n v="100"/>
    <s v="Consolidation"/>
    <s v="CO2e and Base Measure"/>
    <n v="100"/>
    <n v="100"/>
    <n v="0.11"/>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5-01T00:00:00"/>
    <s v="FY21"/>
    <s v="t"/>
    <n v="0"/>
    <n v="0"/>
    <n v="0.1116"/>
    <n v="0.1116"/>
    <n v="0"/>
    <n v="0"/>
    <n v="31"/>
    <n v="31"/>
    <n v="0"/>
    <n v="0"/>
    <n v="100"/>
    <s v="Consolidation"/>
    <s v="CO2e and Base Measure"/>
    <n v="100"/>
    <n v="100"/>
    <n v="0.11"/>
    <m/>
    <m/>
    <m/>
    <m/>
    <m/>
    <m/>
    <m/>
    <m/>
    <m/>
    <m/>
    <m/>
    <m/>
    <m/>
    <s v="AUD"/>
    <s v="13634259Waste Recycled - Paper and Cardboard [t]"/>
    <n v="13634259"/>
  </r>
  <r>
    <d v="2019-07-01T00:00:00"/>
    <d v="2021-06-30T00:00:00"/>
    <s v="Telstra"/>
    <s v="NETWORK"/>
    <s v="Network - InfraCo"/>
    <s v="SA"/>
    <s v="Australia"/>
    <s v="Smithfield"/>
    <s v="SMITHFIELD EXCHANGE2"/>
    <n v="423030625100"/>
    <s v="Waste"/>
    <x v="1"/>
    <x v="2"/>
    <s v="Account"/>
    <s v="CLEANAWAY General"/>
    <m/>
    <s v="57331_Landfill_General"/>
    <s v="General"/>
    <s v="Cleanaway"/>
    <m/>
    <d v="2021-03-02T00:00:00"/>
    <m/>
    <d v="2021-03-01T00:00:00"/>
    <s v="FY21"/>
    <s v="t"/>
    <n v="0.33200000000000002"/>
    <n v="6.7500000000000004E-2"/>
    <n v="0"/>
    <n v="0.39950000000000002"/>
    <n v="2"/>
    <n v="1"/>
    <n v="0"/>
    <n v="3"/>
    <n v="83.1"/>
    <n v="16.89"/>
    <n v="0"/>
    <s v="Consolidation"/>
    <s v="CO2e and Base Measure"/>
    <n v="100"/>
    <n v="100"/>
    <n v="0.4"/>
    <m/>
    <m/>
    <m/>
    <m/>
    <m/>
    <n v="0.51939999999999997"/>
    <m/>
    <n v="0.51939999999999997"/>
    <m/>
    <m/>
    <m/>
    <m/>
    <m/>
    <s v="AUD"/>
    <s v="13641207Waste - General [t] - Scope 3"/>
    <n v="13641207"/>
  </r>
  <r>
    <d v="2019-07-01T00:00:00"/>
    <d v="2021-06-30T00:00:00"/>
    <s v="Telstra"/>
    <s v="NETWORK"/>
    <s v="Network - InfraCo"/>
    <s v="SA"/>
    <s v="Australia"/>
    <s v="Smithfield"/>
    <s v="SMITHFIELD EXCHANGE2"/>
    <n v="423030625100"/>
    <s v="Waste"/>
    <x v="1"/>
    <x v="2"/>
    <s v="Account"/>
    <s v="CLEANAWAY General"/>
    <m/>
    <s v="57331_Landfill_General"/>
    <s v="General"/>
    <s v="Cleanaway"/>
    <m/>
    <d v="2021-03-02T00:00:00"/>
    <m/>
    <d v="2021-04-01T00:00:00"/>
    <s v="FY21"/>
    <s v="t"/>
    <n v="0"/>
    <n v="0"/>
    <n v="0.39900000000000002"/>
    <n v="0.39900000000000002"/>
    <n v="0"/>
    <n v="0"/>
    <n v="30"/>
    <n v="30"/>
    <n v="0"/>
    <n v="0"/>
    <n v="100"/>
    <s v="Consolidation"/>
    <s v="CO2e and Base Measure"/>
    <n v="100"/>
    <n v="100"/>
    <n v="0.4"/>
    <m/>
    <m/>
    <m/>
    <m/>
    <m/>
    <n v="0.51870000000000005"/>
    <m/>
    <n v="0.51870000000000005"/>
    <m/>
    <m/>
    <m/>
    <m/>
    <m/>
    <s v="AUD"/>
    <s v="13641207Waste - General [t] - Scope 3"/>
    <n v="13641207"/>
  </r>
  <r>
    <d v="2019-07-01T00:00:00"/>
    <d v="2021-06-30T00:00:00"/>
    <s v="Telstra"/>
    <s v="NETWORK"/>
    <s v="Network - InfraCo"/>
    <s v="SA"/>
    <s v="Australia"/>
    <s v="Smithfield"/>
    <s v="SMITHFIELD EXCHANGE2"/>
    <n v="423030625100"/>
    <s v="Waste"/>
    <x v="1"/>
    <x v="2"/>
    <s v="Account"/>
    <s v="CLEANAWAY General"/>
    <m/>
    <s v="57331_Landfill_General"/>
    <s v="General"/>
    <s v="Cleanaway"/>
    <m/>
    <d v="2021-03-02T00:00:00"/>
    <m/>
    <d v="2021-05-01T00:00:00"/>
    <s v="FY21"/>
    <s v="t"/>
    <n v="0"/>
    <n v="0"/>
    <n v="0.4123"/>
    <n v="0.4123"/>
    <n v="0"/>
    <n v="0"/>
    <n v="31"/>
    <n v="31"/>
    <n v="0"/>
    <n v="0"/>
    <n v="100"/>
    <s v="Consolidation"/>
    <s v="CO2e and Base Measure"/>
    <n v="100"/>
    <n v="100"/>
    <n v="0.41"/>
    <m/>
    <m/>
    <m/>
    <m/>
    <m/>
    <n v="0.53600000000000003"/>
    <m/>
    <n v="0.53600000000000003"/>
    <m/>
    <m/>
    <m/>
    <m/>
    <m/>
    <s v="AUD"/>
    <s v="13641207Waste - General [t] - Scope 3"/>
    <n v="13641207"/>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07-01T00:00:00"/>
    <s v="FY21"/>
    <s v="t"/>
    <n v="0"/>
    <n v="0.26"/>
    <n v="0"/>
    <n v="0.26"/>
    <n v="0"/>
    <n v="2"/>
    <n v="0"/>
    <n v="2"/>
    <n v="0"/>
    <n v="100"/>
    <n v="0"/>
    <s v="Consolidation"/>
    <s v="CO2e and Base Measure"/>
    <n v="100"/>
    <n v="100"/>
    <n v="0.26"/>
    <m/>
    <m/>
    <m/>
    <m/>
    <m/>
    <n v="0.33800000000000002"/>
    <m/>
    <n v="0.33800000000000002"/>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08-01T00:00:00"/>
    <s v="FY21"/>
    <s v="t"/>
    <n v="0"/>
    <n v="0.26"/>
    <n v="0"/>
    <n v="0.26"/>
    <n v="0"/>
    <n v="2"/>
    <n v="0"/>
    <n v="2"/>
    <n v="0"/>
    <n v="100"/>
    <n v="0"/>
    <s v="Consolidation"/>
    <s v="CO2e and Base Measure"/>
    <n v="100"/>
    <n v="100"/>
    <n v="0.26"/>
    <m/>
    <m/>
    <m/>
    <m/>
    <m/>
    <n v="0.33800000000000002"/>
    <m/>
    <n v="0.33800000000000002"/>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09-01T00:00:00"/>
    <s v="FY21"/>
    <s v="t"/>
    <n v="0"/>
    <n v="0.26"/>
    <n v="0"/>
    <n v="0.26"/>
    <n v="0"/>
    <n v="2"/>
    <n v="0"/>
    <n v="2"/>
    <n v="0"/>
    <n v="100"/>
    <n v="0"/>
    <s v="Consolidation"/>
    <s v="CO2e and Base Measure"/>
    <n v="100"/>
    <n v="100"/>
    <n v="0.26"/>
    <m/>
    <m/>
    <m/>
    <m/>
    <m/>
    <n v="0.33800000000000002"/>
    <m/>
    <n v="0.33800000000000002"/>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10-01T00:00:00"/>
    <s v="FY21"/>
    <s v="t"/>
    <n v="0"/>
    <n v="0.39"/>
    <n v="0"/>
    <n v="0.39"/>
    <n v="0"/>
    <n v="3"/>
    <n v="0"/>
    <n v="3"/>
    <n v="0"/>
    <n v="100"/>
    <n v="0"/>
    <s v="Consolidation"/>
    <s v="CO2e and Base Measure"/>
    <n v="100"/>
    <n v="100"/>
    <n v="0.39"/>
    <m/>
    <m/>
    <m/>
    <m/>
    <m/>
    <n v="0.50700000000000001"/>
    <m/>
    <n v="0.50700000000000001"/>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11-01T00:00:00"/>
    <s v="FY21"/>
    <s v="t"/>
    <n v="0"/>
    <n v="0.26"/>
    <n v="0"/>
    <n v="0.26"/>
    <n v="0"/>
    <n v="2"/>
    <n v="0"/>
    <n v="2"/>
    <n v="0"/>
    <n v="100"/>
    <n v="0"/>
    <s v="Consolidation"/>
    <s v="CO2e and Base Measure"/>
    <n v="100"/>
    <n v="100"/>
    <n v="0.26"/>
    <m/>
    <m/>
    <m/>
    <m/>
    <m/>
    <n v="0.33800000000000002"/>
    <m/>
    <n v="0.33800000000000002"/>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12-01T00:00:00"/>
    <s v="FY21"/>
    <s v="t"/>
    <n v="0"/>
    <n v="0"/>
    <n v="9.2999999999999992E-3"/>
    <n v="9.2999999999999992E-3"/>
    <n v="0"/>
    <n v="0"/>
    <n v="1"/>
    <n v="1"/>
    <n v="0"/>
    <n v="0"/>
    <n v="100"/>
    <s v="Consolidation"/>
    <s v="CO2e and Base Measure"/>
    <n v="100"/>
    <n v="100"/>
    <n v="0.01"/>
    <m/>
    <m/>
    <m/>
    <m/>
    <m/>
    <n v="1.21E-2"/>
    <m/>
    <n v="1.21E-2"/>
    <m/>
    <m/>
    <m/>
    <m/>
    <m/>
    <s v="AUD"/>
    <s v="13565502Waste - General [t] - Scope 3"/>
    <n v="13565502"/>
  </r>
  <r>
    <d v="2019-07-01T00:00:00"/>
    <d v="2021-06-30T00:00:00"/>
    <s v="Telstra"/>
    <s v="NETWORK"/>
    <s v="Network - InfraCo"/>
    <s v="TAS"/>
    <s v="Australia"/>
    <s v="Smithton"/>
    <s v="SMITHTON EXCHANGE"/>
    <n v="423030941600"/>
    <s v="Waste"/>
    <x v="1"/>
    <x v="2"/>
    <s v="Account"/>
    <s v="CLEANAWAY General"/>
    <m/>
    <s v="27020_Landfill_General"/>
    <s v="General"/>
    <s v="Cleanaway"/>
    <m/>
    <m/>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41237Waste - General [t] - Scope 3"/>
    <n v="13641237"/>
  </r>
  <r>
    <d v="2019-07-01T00:00:00"/>
    <d v="2021-06-30T00:00:00"/>
    <s v="Telstra"/>
    <s v="NETWORK"/>
    <s v="Network - InfraCo"/>
    <s v="TAS"/>
    <s v="Australia"/>
    <s v="Smithton"/>
    <s v="SMITHTON EXCHANGE"/>
    <n v="423030941600"/>
    <s v="Waste"/>
    <x v="1"/>
    <x v="2"/>
    <s v="Account"/>
    <s v="CLEANAWAY General"/>
    <m/>
    <s v="27020_Landfill_General"/>
    <s v="General"/>
    <s v="Cleanaway"/>
    <m/>
    <m/>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41237Waste - General [t] - Scope 3"/>
    <n v="13641237"/>
  </r>
  <r>
    <d v="2019-07-01T00:00:00"/>
    <d v="2021-06-30T00:00:00"/>
    <s v="Telstra"/>
    <s v="NETWORK"/>
    <s v="Network - InfraCo"/>
    <s v="TAS"/>
    <s v="Australia"/>
    <s v="Smithton"/>
    <s v="SMITHTON EXCHANGE"/>
    <n v="423030941600"/>
    <s v="Waste"/>
    <x v="1"/>
    <x v="2"/>
    <s v="Account"/>
    <s v="CLEANAWAY General"/>
    <m/>
    <s v="27020_Landfill_General"/>
    <s v="General"/>
    <s v="Cleanaway"/>
    <m/>
    <m/>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41237Waste - General [t] - Scope 3"/>
    <n v="13641237"/>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07-01T00:00:00"/>
    <s v="FY21"/>
    <s v="t"/>
    <n v="0"/>
    <n v="4.6199999999999998E-2"/>
    <n v="0"/>
    <n v="4.6199999999999998E-2"/>
    <n v="0"/>
    <n v="2"/>
    <n v="0"/>
    <n v="2"/>
    <n v="0"/>
    <n v="100"/>
    <n v="0"/>
    <s v="Consolidation"/>
    <s v="CO2e and Base Measure"/>
    <n v="100"/>
    <n v="100"/>
    <n v="0.05"/>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08-01T00:00:00"/>
    <s v="FY21"/>
    <s v="t"/>
    <n v="0"/>
    <n v="4.6199999999999998E-2"/>
    <n v="0"/>
    <n v="4.6199999999999998E-2"/>
    <n v="0"/>
    <n v="2"/>
    <n v="0"/>
    <n v="2"/>
    <n v="0"/>
    <n v="100"/>
    <n v="0"/>
    <s v="Consolidation"/>
    <s v="CO2e and Base Measure"/>
    <n v="100"/>
    <n v="100"/>
    <n v="0.05"/>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09-01T00:00:00"/>
    <s v="FY21"/>
    <s v="t"/>
    <n v="0"/>
    <n v="4.6199999999999998E-2"/>
    <n v="0"/>
    <n v="4.6199999999999998E-2"/>
    <n v="0"/>
    <n v="2"/>
    <n v="0"/>
    <n v="2"/>
    <n v="0"/>
    <n v="100"/>
    <n v="0"/>
    <s v="Consolidation"/>
    <s v="CO2e and Base Measure"/>
    <n v="100"/>
    <n v="100"/>
    <n v="0.05"/>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10-01T00:00:00"/>
    <s v="FY21"/>
    <s v="t"/>
    <n v="0"/>
    <n v="2.3099999999999999E-2"/>
    <n v="0"/>
    <n v="2.3099999999999999E-2"/>
    <n v="0"/>
    <n v="1"/>
    <n v="0"/>
    <n v="1"/>
    <n v="0"/>
    <n v="100"/>
    <n v="0"/>
    <s v="Consolidation"/>
    <s v="CO2e and Base Measure"/>
    <n v="100"/>
    <n v="100"/>
    <n v="0.02"/>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11-01T00:00:00"/>
    <s v="FY21"/>
    <s v="t"/>
    <n v="0"/>
    <n v="4.6199999999999998E-2"/>
    <n v="0"/>
    <n v="4.6199999999999998E-2"/>
    <n v="0"/>
    <n v="2"/>
    <n v="0"/>
    <n v="2"/>
    <n v="0"/>
    <n v="100"/>
    <n v="0"/>
    <s v="Consolidation"/>
    <s v="CO2e and Base Measure"/>
    <n v="100"/>
    <n v="100"/>
    <n v="0.05"/>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12-01T00:00:00"/>
    <s v="FY21"/>
    <s v="t"/>
    <n v="0"/>
    <n v="0"/>
    <n v="1.2999999999999999E-3"/>
    <n v="1.2999999999999999E-3"/>
    <n v="0"/>
    <n v="0"/>
    <n v="1"/>
    <n v="1"/>
    <n v="0"/>
    <n v="0"/>
    <n v="100"/>
    <s v="Consolidation"/>
    <s v="CO2e and Base Measure"/>
    <n v="100"/>
    <n v="100"/>
    <n v="0"/>
    <m/>
    <m/>
    <m/>
    <m/>
    <m/>
    <m/>
    <n v="0"/>
    <m/>
    <m/>
    <m/>
    <m/>
    <m/>
    <m/>
    <s v="AUD"/>
    <s v="13565460Waste Recycled - Cardboard [t]"/>
    <n v="13565460"/>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07-01T00:00:00"/>
    <s v="FY21"/>
    <s v="t"/>
    <n v="0"/>
    <n v="0.58499999999999996"/>
    <n v="0"/>
    <n v="0.58499999999999996"/>
    <n v="0"/>
    <n v="2"/>
    <n v="0"/>
    <n v="2"/>
    <n v="0"/>
    <n v="100"/>
    <n v="0"/>
    <s v="Consolidation"/>
    <s v="CO2e and Base Measure"/>
    <n v="100"/>
    <n v="100"/>
    <n v="0.59"/>
    <m/>
    <m/>
    <m/>
    <m/>
    <m/>
    <n v="0.76049999999999995"/>
    <m/>
    <n v="0.76049999999999995"/>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08-01T00:00:00"/>
    <s v="FY21"/>
    <s v="t"/>
    <n v="0"/>
    <n v="0.58499999999999996"/>
    <n v="0"/>
    <n v="0.58499999999999996"/>
    <n v="0"/>
    <n v="2"/>
    <n v="0"/>
    <n v="2"/>
    <n v="0"/>
    <n v="100"/>
    <n v="0"/>
    <s v="Consolidation"/>
    <s v="CO2e and Base Measure"/>
    <n v="100"/>
    <n v="100"/>
    <n v="0.59"/>
    <m/>
    <m/>
    <m/>
    <m/>
    <m/>
    <n v="0.76049999999999995"/>
    <m/>
    <n v="0.76049999999999995"/>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09-01T00:00:00"/>
    <s v="FY21"/>
    <s v="t"/>
    <n v="0"/>
    <n v="0.87749999999999995"/>
    <n v="0"/>
    <n v="0.87749999999999995"/>
    <n v="0"/>
    <n v="3"/>
    <n v="0"/>
    <n v="3"/>
    <n v="0"/>
    <n v="100"/>
    <n v="0"/>
    <s v="Consolidation"/>
    <s v="CO2e and Base Measure"/>
    <n v="100"/>
    <n v="100"/>
    <n v="0.88"/>
    <m/>
    <m/>
    <m/>
    <m/>
    <m/>
    <n v="1.1408"/>
    <m/>
    <n v="1.1408"/>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10-01T00:00:00"/>
    <s v="FY21"/>
    <s v="t"/>
    <n v="0"/>
    <n v="0.58499999999999996"/>
    <n v="0"/>
    <n v="0.58499999999999996"/>
    <n v="0"/>
    <n v="2"/>
    <n v="0"/>
    <n v="2"/>
    <n v="0"/>
    <n v="100"/>
    <n v="0"/>
    <s v="Consolidation"/>
    <s v="CO2e and Base Measure"/>
    <n v="100"/>
    <n v="100"/>
    <n v="0.59"/>
    <m/>
    <m/>
    <m/>
    <m/>
    <m/>
    <n v="0.76049999999999995"/>
    <m/>
    <n v="0.76049999999999995"/>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11-01T00:00:00"/>
    <s v="FY21"/>
    <s v="t"/>
    <n v="0"/>
    <n v="0.58499999999999996"/>
    <n v="0"/>
    <n v="0.58499999999999996"/>
    <n v="0"/>
    <n v="2"/>
    <n v="0"/>
    <n v="2"/>
    <n v="0"/>
    <n v="100"/>
    <n v="0"/>
    <s v="Consolidation"/>
    <s v="CO2e and Base Measure"/>
    <n v="100"/>
    <n v="100"/>
    <n v="0.59"/>
    <m/>
    <m/>
    <m/>
    <m/>
    <m/>
    <n v="0.76049999999999995"/>
    <m/>
    <n v="0.76049999999999995"/>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12-01T00:00:00"/>
    <s v="FY21"/>
    <s v="t"/>
    <n v="0"/>
    <n v="0"/>
    <n v="2.0899999999999998E-2"/>
    <n v="2.0899999999999998E-2"/>
    <n v="0"/>
    <n v="0"/>
    <n v="1"/>
    <n v="1"/>
    <n v="0"/>
    <n v="0"/>
    <n v="100"/>
    <s v="Consolidation"/>
    <s v="CO2e and Base Measure"/>
    <n v="100"/>
    <n v="100"/>
    <n v="0.02"/>
    <m/>
    <m/>
    <m/>
    <m/>
    <m/>
    <n v="2.7199999999999998E-2"/>
    <m/>
    <n v="2.7199999999999998E-2"/>
    <m/>
    <m/>
    <m/>
    <m/>
    <m/>
    <s v="AUD"/>
    <s v="13565461Waste - General [t] - Scope 3"/>
    <n v="13565461"/>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0-11-01T00:00:00"/>
    <s v="FY21"/>
    <s v="t"/>
    <n v="5.7000000000000002E-2"/>
    <n v="0"/>
    <n v="0"/>
    <n v="5.7000000000000002E-2"/>
    <n v="1"/>
    <n v="0"/>
    <n v="0"/>
    <n v="1"/>
    <n v="100"/>
    <n v="0"/>
    <n v="0"/>
    <s v="Consolidation"/>
    <s v="CO2e and Base Measure"/>
    <n v="100"/>
    <n v="100"/>
    <n v="0.06"/>
    <m/>
    <m/>
    <m/>
    <m/>
    <m/>
    <n v="7.4099999999999999E-2"/>
    <m/>
    <n v="7.4099999999999999E-2"/>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0-12-01T00:00:00"/>
    <s v="FY21"/>
    <s v="t"/>
    <n v="0.64"/>
    <n v="0"/>
    <n v="0"/>
    <n v="0.64"/>
    <n v="5"/>
    <n v="0"/>
    <n v="0"/>
    <n v="5"/>
    <n v="100"/>
    <n v="0"/>
    <n v="0"/>
    <s v="Consolidation"/>
    <s v="CO2e and Base Measure"/>
    <n v="100"/>
    <n v="100"/>
    <n v="0.64"/>
    <m/>
    <m/>
    <m/>
    <m/>
    <m/>
    <n v="0.83199999999999996"/>
    <m/>
    <n v="0.83199999999999996"/>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1-01T00:00:00"/>
    <s v="FY21"/>
    <s v="t"/>
    <n v="0.17399999999999999"/>
    <n v="0.20250000000000001"/>
    <n v="0"/>
    <n v="0.3765"/>
    <n v="3"/>
    <n v="1"/>
    <n v="0"/>
    <n v="4"/>
    <n v="46.21"/>
    <n v="53.78"/>
    <n v="0"/>
    <s v="Consolidation"/>
    <s v="CO2e and Base Measure"/>
    <n v="100"/>
    <n v="100"/>
    <n v="0.38"/>
    <m/>
    <m/>
    <m/>
    <m/>
    <m/>
    <n v="0.48949999999999999"/>
    <m/>
    <n v="0.48949999999999999"/>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2-01T00:00:00"/>
    <s v="FY21"/>
    <s v="t"/>
    <n v="0.51"/>
    <n v="0.40500000000000003"/>
    <n v="0"/>
    <n v="0.91500000000000004"/>
    <n v="2"/>
    <n v="2"/>
    <n v="0"/>
    <n v="4"/>
    <n v="55.73"/>
    <n v="44.26"/>
    <n v="0"/>
    <s v="Consolidation"/>
    <s v="CO2e and Base Measure"/>
    <n v="100"/>
    <n v="100"/>
    <n v="0.92"/>
    <m/>
    <m/>
    <m/>
    <m/>
    <m/>
    <n v="1.1895"/>
    <m/>
    <n v="1.1895"/>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3-01T00:00:00"/>
    <s v="FY21"/>
    <s v="t"/>
    <n v="0.3"/>
    <n v="0.40500000000000003"/>
    <n v="0"/>
    <n v="0.70499999999999996"/>
    <n v="2"/>
    <n v="2"/>
    <n v="0"/>
    <n v="4"/>
    <n v="42.55"/>
    <n v="57.44"/>
    <n v="0"/>
    <s v="Consolidation"/>
    <s v="CO2e and Base Measure"/>
    <n v="100"/>
    <n v="100"/>
    <n v="0.71"/>
    <m/>
    <m/>
    <m/>
    <m/>
    <m/>
    <n v="0.91649999999999998"/>
    <m/>
    <n v="0.91649999999999998"/>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4-01T00:00:00"/>
    <s v="FY21"/>
    <s v="t"/>
    <n v="0"/>
    <n v="0"/>
    <n v="0.54"/>
    <n v="0.54"/>
    <n v="0"/>
    <n v="0"/>
    <n v="30"/>
    <n v="30"/>
    <n v="0"/>
    <n v="0"/>
    <n v="100"/>
    <s v="Consolidation"/>
    <s v="CO2e and Base Measure"/>
    <n v="100"/>
    <n v="100"/>
    <n v="0.54"/>
    <m/>
    <m/>
    <m/>
    <m/>
    <m/>
    <n v="0.70199999999999996"/>
    <m/>
    <n v="0.70199999999999996"/>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5-01T00:00:00"/>
    <s v="FY21"/>
    <s v="t"/>
    <n v="0"/>
    <n v="0"/>
    <n v="0.55800000000000005"/>
    <n v="0.55800000000000005"/>
    <n v="0"/>
    <n v="0"/>
    <n v="31"/>
    <n v="31"/>
    <n v="0"/>
    <n v="0"/>
    <n v="100"/>
    <s v="Consolidation"/>
    <s v="CO2e and Base Measure"/>
    <n v="100"/>
    <n v="100"/>
    <n v="0.56000000000000005"/>
    <m/>
    <m/>
    <m/>
    <m/>
    <m/>
    <n v="0.72540000000000004"/>
    <m/>
    <n v="0.72540000000000004"/>
    <m/>
    <m/>
    <m/>
    <m/>
    <m/>
    <s v="AUD"/>
    <s v="13633987Waste - General [t] - Scope 3"/>
    <n v="13633987"/>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0-11-01T00:00:00"/>
    <s v="FY21"/>
    <s v="t"/>
    <n v="7.0000000000000007E-2"/>
    <n v="0"/>
    <n v="0"/>
    <n v="7.0000000000000007E-2"/>
    <n v="2"/>
    <n v="0"/>
    <n v="0"/>
    <n v="2"/>
    <n v="100"/>
    <n v="0"/>
    <n v="0"/>
    <s v="Consolidation"/>
    <s v="CO2e and Base Measure"/>
    <n v="100"/>
    <n v="100"/>
    <n v="7.0000000000000007E-2"/>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0-12-01T00:00:00"/>
    <s v="FY21"/>
    <s v="t"/>
    <n v="0.11899999999999999"/>
    <n v="0"/>
    <n v="0"/>
    <n v="0.11899999999999999"/>
    <n v="3"/>
    <n v="0"/>
    <n v="0"/>
    <n v="3"/>
    <n v="100"/>
    <n v="0"/>
    <n v="0"/>
    <s v="Consolidation"/>
    <s v="CO2e and Base Measure"/>
    <n v="100"/>
    <n v="100"/>
    <n v="0.12"/>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1-01T00:00:00"/>
    <s v="FY21"/>
    <s v="t"/>
    <n v="0.1"/>
    <n v="0.1125"/>
    <n v="0"/>
    <n v="0.21249999999999999"/>
    <n v="2"/>
    <n v="3"/>
    <n v="0"/>
    <n v="5"/>
    <n v="47.05"/>
    <n v="52.94"/>
    <n v="0"/>
    <s v="Consolidation"/>
    <s v="CO2e and Base Measure"/>
    <n v="100"/>
    <n v="100"/>
    <n v="0.21"/>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2-01T00:00:00"/>
    <s v="FY21"/>
    <s v="t"/>
    <n v="0.11600000000000001"/>
    <n v="3.7499999999999999E-2"/>
    <n v="0"/>
    <n v="0.1535"/>
    <n v="2"/>
    <n v="1"/>
    <n v="0"/>
    <n v="3"/>
    <n v="75.569999999999993"/>
    <n v="24.42"/>
    <n v="0"/>
    <s v="Consolidation"/>
    <s v="CO2e and Base Measure"/>
    <n v="100"/>
    <n v="100"/>
    <n v="0.15"/>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3-01T00:00:00"/>
    <s v="FY21"/>
    <s v="t"/>
    <n v="0"/>
    <n v="0.15"/>
    <n v="0"/>
    <n v="0.15"/>
    <n v="0"/>
    <n v="4"/>
    <n v="0"/>
    <n v="4"/>
    <n v="0"/>
    <n v="100"/>
    <n v="0"/>
    <s v="Consolidation"/>
    <s v="CO2e and Base Measure"/>
    <n v="100"/>
    <n v="100"/>
    <n v="0.15"/>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4-01T00:00:00"/>
    <s v="FY21"/>
    <s v="t"/>
    <n v="0"/>
    <n v="0"/>
    <n v="0.14099999999999999"/>
    <n v="0.14099999999999999"/>
    <n v="0"/>
    <n v="0"/>
    <n v="30"/>
    <n v="30"/>
    <n v="0"/>
    <n v="0"/>
    <n v="100"/>
    <s v="Consolidation"/>
    <s v="CO2e and Base Measure"/>
    <n v="100"/>
    <n v="100"/>
    <n v="0.14000000000000001"/>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5-01T00:00:00"/>
    <s v="FY21"/>
    <s v="t"/>
    <n v="0"/>
    <n v="0"/>
    <n v="0.1457"/>
    <n v="0.1457"/>
    <n v="0"/>
    <n v="0"/>
    <n v="31"/>
    <n v="31"/>
    <n v="0"/>
    <n v="0"/>
    <n v="100"/>
    <s v="Consolidation"/>
    <s v="CO2e and Base Measure"/>
    <n v="100"/>
    <n v="100"/>
    <n v="0.15"/>
    <m/>
    <m/>
    <m/>
    <m/>
    <m/>
    <m/>
    <m/>
    <m/>
    <m/>
    <m/>
    <m/>
    <m/>
    <m/>
    <s v="AUD"/>
    <s v="13633988Waste Recycled - Paper and Cardboard [t]"/>
    <n v="13633988"/>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1-01-01T00:00:00"/>
    <s v="FY21"/>
    <s v="t"/>
    <n v="0"/>
    <n v="0"/>
    <n v="1.37E-2"/>
    <n v="1.37E-2"/>
    <n v="0"/>
    <n v="0"/>
    <n v="1"/>
    <n v="1"/>
    <n v="0"/>
    <n v="0"/>
    <n v="100"/>
    <s v="Consolidation"/>
    <s v="CO2e and Base Measure"/>
    <n v="100"/>
    <n v="100"/>
    <n v="0.01"/>
    <m/>
    <m/>
    <m/>
    <m/>
    <m/>
    <n v="1.78E-2"/>
    <m/>
    <n v="1.78E-2"/>
    <m/>
    <m/>
    <m/>
    <m/>
    <m/>
    <s v="AUD"/>
    <s v="13565356Waste - General [t] - Scope 3"/>
    <n v="13565356"/>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41195Waste - General [t] - Scope 3"/>
    <n v="13641195"/>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41195Waste - General [t] - Scope 3"/>
    <n v="13641195"/>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41195Waste - General [t] - Scope 3"/>
    <n v="13641195"/>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4-01T00:00:00"/>
    <s v="FY21"/>
    <s v="t"/>
    <n v="0"/>
    <n v="0"/>
    <n v="0.13800000000000001"/>
    <n v="0.13800000000000001"/>
    <n v="0"/>
    <n v="0"/>
    <n v="30"/>
    <n v="30"/>
    <n v="0"/>
    <n v="0"/>
    <n v="100"/>
    <s v="Consolidation"/>
    <s v="CO2e and Base Measure"/>
    <n v="100"/>
    <n v="100"/>
    <n v="0.14000000000000001"/>
    <m/>
    <m/>
    <m/>
    <m/>
    <m/>
    <n v="0.1794"/>
    <m/>
    <n v="0.1794"/>
    <m/>
    <m/>
    <m/>
    <m/>
    <m/>
    <s v="AUD"/>
    <s v="13641195Waste - General [t] - Scope 3"/>
    <n v="13641195"/>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5-01T00:00:00"/>
    <s v="FY21"/>
    <s v="t"/>
    <n v="0"/>
    <n v="0"/>
    <n v="0.1426"/>
    <n v="0.1426"/>
    <n v="0"/>
    <n v="0"/>
    <n v="31"/>
    <n v="31"/>
    <n v="0"/>
    <n v="0"/>
    <n v="100"/>
    <s v="Consolidation"/>
    <s v="CO2e and Base Measure"/>
    <n v="100"/>
    <n v="100"/>
    <n v="0.14000000000000001"/>
    <m/>
    <m/>
    <m/>
    <m/>
    <m/>
    <n v="0.18540000000000001"/>
    <m/>
    <n v="0.18540000000000001"/>
    <m/>
    <m/>
    <m/>
    <m/>
    <m/>
    <s v="AUD"/>
    <s v="13641195Waste - General [t] - Scope 3"/>
    <n v="13641195"/>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11-01T00:00:00"/>
    <s v="FY21"/>
    <s v="t"/>
    <n v="0"/>
    <n v="6.3E-2"/>
    <n v="0"/>
    <n v="6.3E-2"/>
    <n v="0"/>
    <n v="1"/>
    <n v="0"/>
    <n v="1"/>
    <n v="0"/>
    <n v="100"/>
    <n v="0"/>
    <s v="Consolidation"/>
    <s v="CO2e and Base Measure"/>
    <n v="100"/>
    <n v="100"/>
    <n v="0.06"/>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12-01T00:00:00"/>
    <s v="FY21"/>
    <s v="t"/>
    <n v="0"/>
    <n v="0"/>
    <n v="3.8E-3"/>
    <n v="3.8E-3"/>
    <n v="0"/>
    <n v="0"/>
    <n v="1"/>
    <n v="1"/>
    <n v="0"/>
    <n v="0"/>
    <n v="100"/>
    <s v="Consolidation"/>
    <s v="CO2e and Base Measure"/>
    <n v="100"/>
    <n v="100"/>
    <n v="0"/>
    <m/>
    <m/>
    <m/>
    <m/>
    <m/>
    <m/>
    <n v="0"/>
    <m/>
    <m/>
    <m/>
    <m/>
    <m/>
    <m/>
    <s v="AUD"/>
    <s v="13565069Waste Recycled - Cardboard [t]"/>
    <n v="13565069"/>
  </r>
  <r>
    <d v="2019-07-01T00:00:00"/>
    <d v="2021-06-30T00:00:00"/>
    <s v="Telstra"/>
    <s v="NETWORK"/>
    <s v="Network - InfraCo"/>
    <s v="VIC"/>
    <s v="Australia"/>
    <s v="South Melbourne"/>
    <s v="SOUTH MELBOURNE EXCHANGE"/>
    <n v="423030666100"/>
    <s v="Waste"/>
    <x v="1"/>
    <x v="2"/>
    <s v="Account"/>
    <s v="Remondis General Waste"/>
    <m/>
    <s v="423030666100_WGENERALW"/>
    <s v="GENERAL WASTE"/>
    <s v="Remondis"/>
    <m/>
    <m/>
    <d v="2020-12-01T00:00:00"/>
    <d v="2020-10-01T00:00:00"/>
    <s v="FY21"/>
    <s v="t"/>
    <n v="0.36499999999999999"/>
    <n v="0"/>
    <n v="0"/>
    <n v="0.36499999999999999"/>
    <n v="1"/>
    <n v="0"/>
    <n v="0"/>
    <n v="1"/>
    <n v="100"/>
    <n v="0"/>
    <n v="0"/>
    <s v="Consolidation"/>
    <s v="CO2e and Base Measure"/>
    <n v="100"/>
    <n v="100"/>
    <n v="0.37"/>
    <m/>
    <m/>
    <m/>
    <m/>
    <m/>
    <n v="0.47449999999999998"/>
    <m/>
    <n v="0.47449999999999998"/>
    <m/>
    <m/>
    <m/>
    <m/>
    <m/>
    <s v="AUD"/>
    <s v="13565070Waste - General [t] - Scope 3"/>
    <n v="13565070"/>
  </r>
  <r>
    <d v="2019-07-01T00:00:00"/>
    <d v="2021-06-30T00:00:00"/>
    <s v="Telstra"/>
    <s v="NETWORK"/>
    <s v="Network - InfraCo"/>
    <s v="VIC"/>
    <s v="Australia"/>
    <s v="South Melbourne"/>
    <s v="SOUTH MELBOURNE EXCHANGE"/>
    <n v="423030666100"/>
    <s v="Waste"/>
    <x v="1"/>
    <x v="2"/>
    <s v="Account"/>
    <s v="Remondis General Waste"/>
    <m/>
    <s v="423030666100_WGENERALW"/>
    <s v="GENERAL WASTE"/>
    <s v="Remondis"/>
    <m/>
    <m/>
    <d v="2020-12-01T00:00:00"/>
    <d v="2020-11-01T00:00:00"/>
    <s v="FY21"/>
    <s v="t"/>
    <n v="0.51"/>
    <n v="0"/>
    <n v="0"/>
    <n v="0.51"/>
    <n v="1"/>
    <n v="0"/>
    <n v="0"/>
    <n v="1"/>
    <n v="100"/>
    <n v="0"/>
    <n v="0"/>
    <s v="Consolidation"/>
    <s v="CO2e and Base Measure"/>
    <n v="100"/>
    <n v="100"/>
    <n v="0.51"/>
    <m/>
    <m/>
    <m/>
    <m/>
    <m/>
    <n v="0.66300000000000003"/>
    <m/>
    <n v="0.66300000000000003"/>
    <m/>
    <m/>
    <m/>
    <m/>
    <m/>
    <s v="AUD"/>
    <s v="13565070Waste - General [t] - Scope 3"/>
    <n v="13565070"/>
  </r>
  <r>
    <d v="2019-07-01T00:00:00"/>
    <d v="2021-06-30T00:00:00"/>
    <s v="Telstra"/>
    <s v="NETWORK"/>
    <s v="Network - InfraCo"/>
    <s v="VIC"/>
    <s v="Australia"/>
    <s v="South Melbourne"/>
    <s v="SOUTH MELBOURNE EXCHANGE"/>
    <n v="423030666100"/>
    <s v="Waste"/>
    <x v="1"/>
    <x v="2"/>
    <s v="Account"/>
    <s v="Remondis General Waste"/>
    <m/>
    <s v="423030666100_WGENERALW"/>
    <s v="GENERAL WASTE"/>
    <s v="Remondis"/>
    <m/>
    <m/>
    <d v="2020-12-01T00:00:00"/>
    <d v="2020-12-01T00:00:00"/>
    <s v="FY21"/>
    <s v="t"/>
    <n v="0"/>
    <n v="0"/>
    <n v="2.5100000000000001E-2"/>
    <n v="2.5100000000000001E-2"/>
    <n v="0"/>
    <n v="0"/>
    <n v="1"/>
    <n v="1"/>
    <n v="0"/>
    <n v="0"/>
    <n v="100"/>
    <s v="Consolidation"/>
    <s v="CO2e and Base Measure"/>
    <n v="100"/>
    <n v="100"/>
    <n v="0.03"/>
    <m/>
    <m/>
    <m/>
    <m/>
    <m/>
    <n v="3.2599999999999997E-2"/>
    <m/>
    <n v="3.2599999999999997E-2"/>
    <m/>
    <m/>
    <m/>
    <m/>
    <m/>
    <s v="AUD"/>
    <s v="13565070Waste - General [t] - Scope 3"/>
    <n v="13565070"/>
  </r>
  <r>
    <d v="2019-07-01T00:00:00"/>
    <d v="2021-06-30T00:00:00"/>
    <s v="Telstra"/>
    <s v="NETWORK"/>
    <s v="Network - InfraCo"/>
    <s v="VIC"/>
    <s v="Australia"/>
    <s v="South Melbourne"/>
    <s v="SOUTH MELBOURNE EXCHANGE"/>
    <n v="423030666100"/>
    <s v="Recycled Waste"/>
    <x v="0"/>
    <x v="1"/>
    <s v="Account"/>
    <s v="Remondis Metal - Copper"/>
    <m/>
    <s v="423030666100_RMETCOPPR"/>
    <s v="METAL - COPPER"/>
    <s v="Remondis"/>
    <m/>
    <m/>
    <d v="2021-01-01T00:00:00"/>
    <d v="2020-09-01T00:00:00"/>
    <s v="FY21"/>
    <s v="t"/>
    <n v="0.105"/>
    <n v="0"/>
    <n v="0"/>
    <n v="0.105"/>
    <n v="1"/>
    <n v="0"/>
    <n v="0"/>
    <n v="1"/>
    <n v="100"/>
    <n v="0"/>
    <n v="0"/>
    <s v="Consolidation"/>
    <s v="CO2e and Base Measure"/>
    <n v="100"/>
    <n v="100"/>
    <n v="0.11"/>
    <m/>
    <m/>
    <m/>
    <m/>
    <m/>
    <m/>
    <m/>
    <m/>
    <m/>
    <m/>
    <m/>
    <m/>
    <m/>
    <s v="AUD"/>
    <s v="13631705Waste Recycled - E-waste [t]"/>
    <n v="13631705"/>
  </r>
  <r>
    <d v="2019-07-01T00:00:00"/>
    <d v="2021-06-30T00:00:00"/>
    <s v="Telstra"/>
    <s v="NETWORK"/>
    <s v="Network - InfraCo"/>
    <s v="VIC"/>
    <s v="Australia"/>
    <s v="South Melbourne"/>
    <s v="SOUTH MELBOURNE EXCHANGE"/>
    <n v="423030666100"/>
    <s v="Recycled Waste"/>
    <x v="0"/>
    <x v="1"/>
    <s v="Account"/>
    <s v="Remondis Metal - Copper"/>
    <m/>
    <s v="423030666100_RMETCOPPR"/>
    <s v="METAL - COPPER"/>
    <s v="Remondis"/>
    <m/>
    <m/>
    <d v="2021-01-01T00:00:00"/>
    <d v="2020-12-01T00:00:00"/>
    <s v="FY21"/>
    <s v="t"/>
    <n v="0"/>
    <n v="0.15"/>
    <n v="0"/>
    <n v="0.15"/>
    <n v="0"/>
    <n v="1"/>
    <n v="0"/>
    <n v="1"/>
    <n v="0"/>
    <n v="100"/>
    <n v="0"/>
    <s v="Consolidation"/>
    <s v="CO2e and Base Measure"/>
    <n v="100"/>
    <n v="100"/>
    <n v="0.15"/>
    <m/>
    <m/>
    <m/>
    <m/>
    <m/>
    <m/>
    <m/>
    <m/>
    <m/>
    <m/>
    <m/>
    <m/>
    <m/>
    <s v="AUD"/>
    <s v="13631705Waste Recycled - E-waste [t]"/>
    <n v="13631705"/>
  </r>
  <r>
    <d v="2019-07-01T00:00:00"/>
    <d v="2021-06-30T00:00:00"/>
    <s v="Telstra"/>
    <s v="NETWORK"/>
    <s v="Network - InfraCo"/>
    <s v="VIC"/>
    <s v="Australia"/>
    <s v="South Melbourne"/>
    <s v="SOUTH MELBOURNE EXCHANGE"/>
    <n v="423030666100"/>
    <s v="Recycled Waste"/>
    <x v="0"/>
    <x v="1"/>
    <s v="Account"/>
    <s v="Remondis Metal - Copper"/>
    <m/>
    <s v="423030666100_RMETCOPPR"/>
    <s v="METAL - COPPER"/>
    <s v="Remondis"/>
    <m/>
    <m/>
    <d v="2021-01-01T00:00:00"/>
    <d v="2021-01-01T00:00:00"/>
    <s v="FY21"/>
    <s v="t"/>
    <n v="0"/>
    <n v="0"/>
    <n v="2.0999999999999999E-3"/>
    <n v="2.0999999999999999E-3"/>
    <n v="0"/>
    <n v="0"/>
    <n v="1"/>
    <n v="1"/>
    <n v="0"/>
    <n v="0"/>
    <n v="100"/>
    <s v="Consolidation"/>
    <s v="CO2e and Base Measure"/>
    <n v="100"/>
    <n v="100"/>
    <n v="0"/>
    <m/>
    <m/>
    <m/>
    <m/>
    <m/>
    <m/>
    <m/>
    <m/>
    <m/>
    <m/>
    <m/>
    <m/>
    <m/>
    <s v="AUD"/>
    <s v="13631705Waste Recycled - E-waste [t]"/>
    <n v="13631705"/>
  </r>
  <r>
    <d v="2019-07-01T00:00:00"/>
    <d v="2021-06-30T00:00:00"/>
    <s v="Telstra"/>
    <s v="NETWORK"/>
    <s v="Network - InfraCo"/>
    <s v="VIC"/>
    <s v="Australia"/>
    <s v="South Melbourne"/>
    <s v="SOUTH MELBOURNE EXCHANGE"/>
    <n v="423030666100"/>
    <s v="Recycled Waste"/>
    <x v="0"/>
    <x v="0"/>
    <s v="Account"/>
    <s v="CLEANAWAY Cardboard"/>
    <m/>
    <s v="25922_Diversion_Cardboard"/>
    <s v="Cardboard"/>
    <s v="Cleanaway"/>
    <m/>
    <m/>
    <m/>
    <d v="2021-03-01T00:00:00"/>
    <s v="FY21"/>
    <s v="t"/>
    <n v="0.51200000000000001"/>
    <n v="0"/>
    <n v="0"/>
    <n v="0.51200000000000001"/>
    <n v="1"/>
    <n v="0"/>
    <n v="0"/>
    <n v="1"/>
    <n v="100"/>
    <n v="0"/>
    <n v="0"/>
    <s v="Consolidation"/>
    <s v="CO2e and Base Measure"/>
    <n v="100"/>
    <n v="100"/>
    <n v="0.51"/>
    <m/>
    <m/>
    <m/>
    <m/>
    <m/>
    <m/>
    <m/>
    <m/>
    <m/>
    <m/>
    <m/>
    <m/>
    <m/>
    <s v="AUD"/>
    <s v="13641239Waste Recycled - Paper and Cardboard [t]"/>
    <n v="13641239"/>
  </r>
  <r>
    <d v="2019-07-01T00:00:00"/>
    <d v="2021-06-30T00:00:00"/>
    <s v="Telstra"/>
    <s v="NETWORK"/>
    <s v="Network - InfraCo"/>
    <s v="VIC"/>
    <s v="Australia"/>
    <s v="South Melbourne"/>
    <s v="SOUTH MELBOURNE EXCHANGE"/>
    <n v="423030666100"/>
    <s v="Recycled Waste"/>
    <x v="0"/>
    <x v="0"/>
    <s v="Account"/>
    <s v="CLEANAWAY Cardboard"/>
    <m/>
    <s v="25922_Diversion_Cardboard"/>
    <s v="Cardboard"/>
    <s v="Cleanaway"/>
    <m/>
    <m/>
    <m/>
    <d v="2021-04-01T00:00:00"/>
    <s v="FY21"/>
    <s v="t"/>
    <n v="0"/>
    <n v="0"/>
    <n v="0.51300000000000001"/>
    <n v="0.51300000000000001"/>
    <n v="0"/>
    <n v="0"/>
    <n v="30"/>
    <n v="30"/>
    <n v="0"/>
    <n v="0"/>
    <n v="100"/>
    <s v="Consolidation"/>
    <s v="CO2e and Base Measure"/>
    <n v="100"/>
    <n v="100"/>
    <n v="0.51"/>
    <m/>
    <m/>
    <m/>
    <m/>
    <m/>
    <m/>
    <m/>
    <m/>
    <m/>
    <m/>
    <m/>
    <m/>
    <m/>
    <s v="AUD"/>
    <s v="13641239Waste Recycled - Paper and Cardboard [t]"/>
    <n v="13641239"/>
  </r>
  <r>
    <d v="2019-07-01T00:00:00"/>
    <d v="2021-06-30T00:00:00"/>
    <s v="Telstra"/>
    <s v="NETWORK"/>
    <s v="Network - InfraCo"/>
    <s v="VIC"/>
    <s v="Australia"/>
    <s v="South Melbourne"/>
    <s v="SOUTH MELBOURNE EXCHANGE"/>
    <n v="423030666100"/>
    <s v="Recycled Waste"/>
    <x v="0"/>
    <x v="0"/>
    <s v="Account"/>
    <s v="CLEANAWAY Cardboard"/>
    <m/>
    <s v="25922_Diversion_Cardboard"/>
    <s v="Cardboard"/>
    <s v="Cleanaway"/>
    <m/>
    <m/>
    <m/>
    <d v="2021-05-01T00:00:00"/>
    <s v="FY21"/>
    <s v="t"/>
    <n v="0"/>
    <n v="0"/>
    <n v="0.53010000000000002"/>
    <n v="0.53010000000000002"/>
    <n v="0"/>
    <n v="0"/>
    <n v="31"/>
    <n v="31"/>
    <n v="0"/>
    <n v="0"/>
    <n v="100"/>
    <s v="Consolidation"/>
    <s v="CO2e and Base Measure"/>
    <n v="100"/>
    <n v="100"/>
    <n v="0.53"/>
    <m/>
    <m/>
    <m/>
    <m/>
    <m/>
    <m/>
    <m/>
    <m/>
    <m/>
    <m/>
    <m/>
    <m/>
    <m/>
    <s v="AUD"/>
    <s v="13641239Waste Recycled - Paper and Cardboard [t]"/>
    <n v="13641239"/>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08-01T00:00:00"/>
    <s v="FY21"/>
    <s v="t"/>
    <n v="0"/>
    <n v="0.252"/>
    <n v="0"/>
    <n v="0.252"/>
    <n v="0"/>
    <n v="4"/>
    <n v="0"/>
    <n v="4"/>
    <n v="0"/>
    <n v="100"/>
    <n v="0"/>
    <s v="Consolidation"/>
    <s v="CO2e and Base Measure"/>
    <n v="100"/>
    <n v="100"/>
    <n v="0.25"/>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09-01T00:00:00"/>
    <s v="FY21"/>
    <s v="t"/>
    <n v="0"/>
    <n v="0.315"/>
    <n v="0"/>
    <n v="0.315"/>
    <n v="0"/>
    <n v="5"/>
    <n v="0"/>
    <n v="5"/>
    <n v="0"/>
    <n v="100"/>
    <n v="0"/>
    <s v="Consolidation"/>
    <s v="CO2e and Base Measure"/>
    <n v="100"/>
    <n v="100"/>
    <n v="0.32"/>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10-01T00:00:00"/>
    <s v="FY21"/>
    <s v="t"/>
    <n v="0"/>
    <n v="0.126"/>
    <n v="0"/>
    <n v="0.126"/>
    <n v="0"/>
    <n v="2"/>
    <n v="0"/>
    <n v="2"/>
    <n v="0"/>
    <n v="100"/>
    <n v="0"/>
    <s v="Consolidation"/>
    <s v="CO2e and Base Measure"/>
    <n v="100"/>
    <n v="100"/>
    <n v="0.13"/>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11-01T00:00:00"/>
    <s v="FY21"/>
    <s v="t"/>
    <n v="0"/>
    <n v="0.252"/>
    <n v="0"/>
    <n v="0.252"/>
    <n v="0"/>
    <n v="4"/>
    <n v="0"/>
    <n v="4"/>
    <n v="0"/>
    <n v="100"/>
    <n v="0"/>
    <s v="Consolidation"/>
    <s v="CO2e and Base Measure"/>
    <n v="100"/>
    <n v="100"/>
    <n v="0.25"/>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1-01-01T00:00:00"/>
    <s v="FY21"/>
    <s v="t"/>
    <n v="0"/>
    <n v="0"/>
    <n v="5.8999999999999999E-3"/>
    <n v="5.8999999999999999E-3"/>
    <n v="0"/>
    <n v="0"/>
    <n v="1"/>
    <n v="1"/>
    <n v="0"/>
    <n v="0"/>
    <n v="100"/>
    <s v="Consolidation"/>
    <s v="CO2e and Base Measure"/>
    <n v="100"/>
    <n v="100"/>
    <n v="0.01"/>
    <m/>
    <m/>
    <m/>
    <m/>
    <m/>
    <m/>
    <n v="0"/>
    <m/>
    <m/>
    <m/>
    <m/>
    <m/>
    <m/>
    <s v="AUD"/>
    <s v="13565064Waste Recycled - Cardboard [t]"/>
    <n v="13565064"/>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07-01T00:00:00"/>
    <s v="FY21"/>
    <s v="t"/>
    <n v="2.2999999999999998"/>
    <n v="0"/>
    <n v="0"/>
    <n v="2.2999999999999998"/>
    <n v="4"/>
    <n v="0"/>
    <n v="0"/>
    <n v="4"/>
    <n v="100"/>
    <n v="0"/>
    <n v="0"/>
    <s v="Consolidation"/>
    <s v="CO2e and Base Measure"/>
    <n v="100"/>
    <n v="100"/>
    <n v="2.2999999999999998"/>
    <m/>
    <m/>
    <m/>
    <m/>
    <m/>
    <n v="2.99"/>
    <m/>
    <n v="2.99"/>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08-01T00:00:00"/>
    <s v="FY21"/>
    <s v="t"/>
    <n v="1.82"/>
    <n v="0"/>
    <n v="0"/>
    <n v="1.82"/>
    <n v="5"/>
    <n v="0"/>
    <n v="0"/>
    <n v="5"/>
    <n v="100"/>
    <n v="0"/>
    <n v="0"/>
    <s v="Consolidation"/>
    <s v="CO2e and Base Measure"/>
    <n v="100"/>
    <n v="100"/>
    <n v="1.82"/>
    <m/>
    <m/>
    <m/>
    <m/>
    <m/>
    <n v="2.3660000000000001"/>
    <m/>
    <n v="2.3660000000000001"/>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09-01T00:00:00"/>
    <s v="FY21"/>
    <s v="t"/>
    <n v="2.16"/>
    <n v="0"/>
    <n v="0"/>
    <n v="2.16"/>
    <n v="4"/>
    <n v="0"/>
    <n v="0"/>
    <n v="4"/>
    <n v="100"/>
    <n v="0"/>
    <n v="0"/>
    <s v="Consolidation"/>
    <s v="CO2e and Base Measure"/>
    <n v="100"/>
    <n v="100"/>
    <n v="2.16"/>
    <m/>
    <m/>
    <m/>
    <m/>
    <m/>
    <n v="2.8079999999999998"/>
    <m/>
    <n v="2.8079999999999998"/>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10-01T00:00:00"/>
    <s v="FY21"/>
    <s v="t"/>
    <n v="1.06"/>
    <n v="0"/>
    <n v="0"/>
    <n v="1.06"/>
    <n v="4"/>
    <n v="0"/>
    <n v="0"/>
    <n v="4"/>
    <n v="100"/>
    <n v="0"/>
    <n v="0"/>
    <s v="Consolidation"/>
    <s v="CO2e and Base Measure"/>
    <n v="100"/>
    <n v="100"/>
    <n v="1.06"/>
    <m/>
    <m/>
    <m/>
    <m/>
    <m/>
    <n v="1.3779999999999999"/>
    <m/>
    <n v="1.3779999999999999"/>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11-01T00:00:00"/>
    <s v="FY21"/>
    <s v="t"/>
    <n v="1.2"/>
    <n v="0"/>
    <n v="0"/>
    <n v="1.2"/>
    <n v="5"/>
    <n v="0"/>
    <n v="0"/>
    <n v="5"/>
    <n v="100"/>
    <n v="0"/>
    <n v="0"/>
    <s v="Consolidation"/>
    <s v="CO2e and Base Measure"/>
    <n v="100"/>
    <n v="100"/>
    <n v="1.2"/>
    <m/>
    <m/>
    <m/>
    <m/>
    <m/>
    <n v="1.56"/>
    <m/>
    <n v="1.56"/>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12-01T00:00:00"/>
    <s v="FY21"/>
    <s v="t"/>
    <n v="0.24"/>
    <n v="0"/>
    <n v="0"/>
    <n v="0.24"/>
    <n v="1"/>
    <n v="0"/>
    <n v="0"/>
    <n v="1"/>
    <n v="100"/>
    <n v="0"/>
    <n v="0"/>
    <s v="Consolidation"/>
    <s v="CO2e and Base Measure"/>
    <n v="100"/>
    <n v="100"/>
    <n v="0.24"/>
    <m/>
    <m/>
    <m/>
    <m/>
    <m/>
    <n v="0.312"/>
    <m/>
    <n v="0.312"/>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1-01-01T00:00:00"/>
    <s v="FY21"/>
    <s v="t"/>
    <n v="0"/>
    <n v="0"/>
    <n v="5.0299999999999997E-2"/>
    <n v="5.0299999999999997E-2"/>
    <n v="0"/>
    <n v="0"/>
    <n v="1"/>
    <n v="1"/>
    <n v="0"/>
    <n v="0"/>
    <n v="100"/>
    <s v="Consolidation"/>
    <s v="CO2e and Base Measure"/>
    <n v="100"/>
    <n v="100"/>
    <n v="0.05"/>
    <m/>
    <m/>
    <m/>
    <m/>
    <m/>
    <n v="6.54E-2"/>
    <m/>
    <n v="6.54E-2"/>
    <m/>
    <m/>
    <m/>
    <m/>
    <m/>
    <s v="AUD"/>
    <s v="13565065Waste - General [t] - Scope 3"/>
    <n v="13565065"/>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0-12-01T00:00:00"/>
    <s v="FY21"/>
    <s v="t"/>
    <n v="0.82599999999999996"/>
    <n v="0"/>
    <n v="0"/>
    <n v="0.82599999999999996"/>
    <n v="3"/>
    <n v="0"/>
    <n v="0"/>
    <n v="3"/>
    <n v="100"/>
    <n v="0"/>
    <n v="0"/>
    <s v="Consolidation"/>
    <s v="CO2e and Base Measure"/>
    <n v="100"/>
    <n v="100"/>
    <n v="0.83"/>
    <m/>
    <m/>
    <m/>
    <m/>
    <m/>
    <n v="1.0738000000000001"/>
    <m/>
    <n v="1.0738000000000001"/>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1-01T00:00:00"/>
    <s v="FY21"/>
    <s v="t"/>
    <n v="0.41199999999999998"/>
    <n v="0"/>
    <n v="0"/>
    <n v="0.41199999999999998"/>
    <n v="4"/>
    <n v="0"/>
    <n v="0"/>
    <n v="4"/>
    <n v="100"/>
    <n v="0"/>
    <n v="0"/>
    <s v="Consolidation"/>
    <s v="CO2e and Base Measure"/>
    <n v="100"/>
    <n v="100"/>
    <n v="0.41"/>
    <m/>
    <m/>
    <m/>
    <m/>
    <m/>
    <n v="0.53559999999999997"/>
    <m/>
    <n v="0.53559999999999997"/>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2-01T00:00:00"/>
    <s v="FY21"/>
    <s v="t"/>
    <n v="1.167"/>
    <n v="0"/>
    <n v="0"/>
    <n v="1.167"/>
    <n v="4"/>
    <n v="0"/>
    <n v="0"/>
    <n v="4"/>
    <n v="100"/>
    <n v="0"/>
    <n v="0"/>
    <s v="Consolidation"/>
    <s v="CO2e and Base Measure"/>
    <n v="100"/>
    <n v="100"/>
    <n v="1.17"/>
    <m/>
    <m/>
    <m/>
    <m/>
    <m/>
    <n v="1.5170999999999999"/>
    <m/>
    <n v="1.5170999999999999"/>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3-01T00:00:00"/>
    <s v="FY21"/>
    <s v="t"/>
    <n v="1.2390000000000001"/>
    <n v="0"/>
    <n v="0"/>
    <n v="1.2390000000000001"/>
    <n v="4"/>
    <n v="0"/>
    <n v="0"/>
    <n v="4"/>
    <n v="100"/>
    <n v="0"/>
    <n v="0"/>
    <s v="Consolidation"/>
    <s v="CO2e and Base Measure"/>
    <n v="100"/>
    <n v="100"/>
    <n v="1.24"/>
    <m/>
    <m/>
    <m/>
    <m/>
    <m/>
    <n v="1.6107"/>
    <m/>
    <n v="1.6107"/>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4-01T00:00:00"/>
    <s v="FY21"/>
    <s v="t"/>
    <n v="0"/>
    <n v="0"/>
    <n v="0.91200000000000003"/>
    <n v="0.91200000000000003"/>
    <n v="0"/>
    <n v="0"/>
    <n v="30"/>
    <n v="30"/>
    <n v="0"/>
    <n v="0"/>
    <n v="100"/>
    <s v="Consolidation"/>
    <s v="CO2e and Base Measure"/>
    <n v="100"/>
    <n v="100"/>
    <n v="0.91"/>
    <m/>
    <m/>
    <m/>
    <m/>
    <m/>
    <n v="1.1856"/>
    <m/>
    <n v="1.1856"/>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5-01T00:00:00"/>
    <s v="FY21"/>
    <s v="t"/>
    <n v="0"/>
    <n v="0"/>
    <n v="0.94240000000000002"/>
    <n v="0.94240000000000002"/>
    <n v="0"/>
    <n v="0"/>
    <n v="31"/>
    <n v="31"/>
    <n v="0"/>
    <n v="0"/>
    <n v="100"/>
    <s v="Consolidation"/>
    <s v="CO2e and Base Measure"/>
    <n v="100"/>
    <n v="100"/>
    <n v="0.94"/>
    <m/>
    <m/>
    <m/>
    <m/>
    <m/>
    <n v="1.2251000000000001"/>
    <m/>
    <n v="1.2251000000000001"/>
    <m/>
    <m/>
    <m/>
    <m/>
    <m/>
    <s v="AUD"/>
    <s v="13634260Waste - General [t] - Scope 3"/>
    <n v="13634260"/>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1-01T00:00:00"/>
    <s v="FY21"/>
    <s v="t"/>
    <n v="0"/>
    <n v="0.3"/>
    <n v="0"/>
    <n v="0.3"/>
    <n v="0"/>
    <n v="4"/>
    <n v="0"/>
    <n v="4"/>
    <n v="0"/>
    <n v="100"/>
    <n v="0"/>
    <s v="Consolidation"/>
    <s v="CO2e and Base Measure"/>
    <n v="100"/>
    <n v="100"/>
    <n v="0.3"/>
    <m/>
    <m/>
    <m/>
    <m/>
    <m/>
    <m/>
    <m/>
    <m/>
    <m/>
    <m/>
    <m/>
    <m/>
    <m/>
    <s v="AUD"/>
    <s v="13634473Waste Recycled - Paper and Cardboard [t]"/>
    <n v="13634473"/>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2-01T00:00:00"/>
    <s v="FY21"/>
    <s v="t"/>
    <n v="0"/>
    <n v="0.22500000000000001"/>
    <n v="0"/>
    <n v="0.22500000000000001"/>
    <n v="0"/>
    <n v="3"/>
    <n v="0"/>
    <n v="3"/>
    <n v="0"/>
    <n v="100"/>
    <n v="0"/>
    <s v="Consolidation"/>
    <s v="CO2e and Base Measure"/>
    <n v="100"/>
    <n v="100"/>
    <n v="0.23"/>
    <m/>
    <m/>
    <m/>
    <m/>
    <m/>
    <m/>
    <m/>
    <m/>
    <m/>
    <m/>
    <m/>
    <m/>
    <m/>
    <s v="AUD"/>
    <s v="13634473Waste Recycled - Paper and Cardboard [t]"/>
    <n v="13634473"/>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3-01T00:00:00"/>
    <s v="FY21"/>
    <s v="t"/>
    <n v="0"/>
    <n v="0.3"/>
    <n v="0"/>
    <n v="0.3"/>
    <n v="0"/>
    <n v="4"/>
    <n v="0"/>
    <n v="4"/>
    <n v="0"/>
    <n v="100"/>
    <n v="0"/>
    <s v="Consolidation"/>
    <s v="CO2e and Base Measure"/>
    <n v="100"/>
    <n v="100"/>
    <n v="0.3"/>
    <m/>
    <m/>
    <m/>
    <m/>
    <m/>
    <m/>
    <m/>
    <m/>
    <m/>
    <m/>
    <m/>
    <m/>
    <m/>
    <s v="AUD"/>
    <s v="13634473Waste Recycled - Paper and Cardboard [t]"/>
    <n v="13634473"/>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4-01T00:00:00"/>
    <s v="FY21"/>
    <s v="t"/>
    <n v="0"/>
    <n v="0"/>
    <n v="0.27900000000000003"/>
    <n v="0.27900000000000003"/>
    <n v="0"/>
    <n v="0"/>
    <n v="30"/>
    <n v="30"/>
    <n v="0"/>
    <n v="0"/>
    <n v="100"/>
    <s v="Consolidation"/>
    <s v="CO2e and Base Measure"/>
    <n v="100"/>
    <n v="100"/>
    <n v="0.28000000000000003"/>
    <m/>
    <m/>
    <m/>
    <m/>
    <m/>
    <m/>
    <m/>
    <m/>
    <m/>
    <m/>
    <m/>
    <m/>
    <m/>
    <s v="AUD"/>
    <s v="13634473Waste Recycled - Paper and Cardboard [t]"/>
    <n v="13634473"/>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5-01T00:00:00"/>
    <s v="FY21"/>
    <s v="t"/>
    <n v="0"/>
    <n v="0"/>
    <n v="0.2883"/>
    <n v="0.2883"/>
    <n v="0"/>
    <n v="0"/>
    <n v="31"/>
    <n v="31"/>
    <n v="0"/>
    <n v="0"/>
    <n v="100"/>
    <s v="Consolidation"/>
    <s v="CO2e and Base Measure"/>
    <n v="100"/>
    <n v="100"/>
    <n v="0.28999999999999998"/>
    <m/>
    <m/>
    <m/>
    <m/>
    <m/>
    <m/>
    <m/>
    <m/>
    <m/>
    <m/>
    <m/>
    <m/>
    <m/>
    <s v="AUD"/>
    <s v="13634473Waste Recycled - Paper and Cardboard [t]"/>
    <n v="13634473"/>
  </r>
  <r>
    <d v="2019-07-01T00:00:00"/>
    <d v="2021-06-30T00:00:00"/>
    <s v="Telstra"/>
    <s v="NETWORK"/>
    <s v="Network - InfraCo"/>
    <s v="VIC"/>
    <s v="Australia"/>
    <s v="South Yarra"/>
    <s v="SOUTH YARRA EXCHANGE"/>
    <n v="423030663400"/>
    <s v="Recycled Waste"/>
    <x v="0"/>
    <x v="0"/>
    <s v="Account"/>
    <s v="Remondis Cardboard - Loose - Recycled"/>
    <m/>
    <s v="423030663400_RCARDBOAR"/>
    <s v="CARDBOARD - LOOSE - RECYCLED"/>
    <s v="Remondis"/>
    <m/>
    <m/>
    <d v="2021-01-01T00:00:00"/>
    <d v="2020-12-01T00:00:00"/>
    <s v="FY21"/>
    <s v="t"/>
    <n v="0"/>
    <n v="1.3899999999999999E-2"/>
    <n v="0"/>
    <n v="1.3899999999999999E-2"/>
    <n v="0"/>
    <n v="1"/>
    <n v="0"/>
    <n v="1"/>
    <n v="0"/>
    <n v="100"/>
    <n v="0"/>
    <s v="Consolidation"/>
    <s v="CO2e and Base Measure"/>
    <n v="100"/>
    <n v="100"/>
    <n v="0.01"/>
    <m/>
    <m/>
    <m/>
    <m/>
    <m/>
    <m/>
    <n v="0"/>
    <m/>
    <m/>
    <m/>
    <m/>
    <m/>
    <m/>
    <s v="AUD"/>
    <s v="13565062Waste Recycled - Cardboard [t]"/>
    <n v="13565062"/>
  </r>
  <r>
    <d v="2019-07-01T00:00:00"/>
    <d v="2021-06-30T00:00:00"/>
    <s v="Telstra"/>
    <s v="NETWORK"/>
    <s v="Network - InfraCo"/>
    <s v="VIC"/>
    <s v="Australia"/>
    <s v="South Yarra"/>
    <s v="SOUTH YARRA EXCHANGE"/>
    <n v="423030663400"/>
    <s v="Recycled Waste"/>
    <x v="0"/>
    <x v="0"/>
    <s v="Account"/>
    <s v="Remondis Cardboard - Loose - Recycled"/>
    <m/>
    <s v="423030663400_RCARDBOAR"/>
    <s v="CARDBOARD - LOOSE - RECYCLED"/>
    <s v="Remondis"/>
    <m/>
    <m/>
    <d v="2021-01-01T00:00:00"/>
    <d v="2021-01-01T00:00:00"/>
    <s v="FY21"/>
    <s v="t"/>
    <n v="0"/>
    <n v="0"/>
    <n v="5.0000000000000001E-4"/>
    <n v="5.0000000000000001E-4"/>
    <n v="0"/>
    <n v="0"/>
    <n v="1"/>
    <n v="1"/>
    <n v="0"/>
    <n v="0"/>
    <n v="100"/>
    <s v="Consolidation"/>
    <s v="CO2e and Base Measure"/>
    <n v="100"/>
    <n v="100"/>
    <n v="0"/>
    <m/>
    <m/>
    <m/>
    <m/>
    <m/>
    <m/>
    <n v="0"/>
    <m/>
    <m/>
    <m/>
    <m/>
    <m/>
    <m/>
    <s v="AUD"/>
    <s v="13565062Waste Recycled - Cardboard [t]"/>
    <n v="13565062"/>
  </r>
  <r>
    <d v="2019-07-01T00:00:00"/>
    <d v="2021-06-30T00:00:00"/>
    <s v="Telstra"/>
    <s v="NETWORK"/>
    <s v="Network - InfraCo"/>
    <s v="VIC"/>
    <s v="Australia"/>
    <s v="South Yarra"/>
    <s v="SOUTH YARRA EXCHANGE"/>
    <n v="423030663400"/>
    <s v="Waste"/>
    <x v="1"/>
    <x v="2"/>
    <s v="Account"/>
    <s v="Remondis General Waste"/>
    <m/>
    <s v="423030663400_WGENERALW"/>
    <s v="GENERAL WASTE"/>
    <s v="Remondis"/>
    <m/>
    <m/>
    <d v="2021-01-01T00:00:00"/>
    <d v="2020-12-01T00:00:00"/>
    <s v="FY21"/>
    <s v="t"/>
    <n v="0"/>
    <n v="8.5800000000000001E-2"/>
    <n v="0"/>
    <n v="8.5800000000000001E-2"/>
    <n v="0"/>
    <n v="1"/>
    <n v="0"/>
    <n v="1"/>
    <n v="0"/>
    <n v="100"/>
    <n v="0"/>
    <s v="Consolidation"/>
    <s v="CO2e and Base Measure"/>
    <n v="100"/>
    <n v="100"/>
    <n v="0.09"/>
    <m/>
    <m/>
    <m/>
    <m/>
    <m/>
    <n v="0.1115"/>
    <m/>
    <n v="0.1115"/>
    <m/>
    <m/>
    <m/>
    <m/>
    <m/>
    <s v="AUD"/>
    <s v="13565063Waste - General [t] - Scope 3"/>
    <n v="13565063"/>
  </r>
  <r>
    <d v="2019-07-01T00:00:00"/>
    <d v="2021-06-30T00:00:00"/>
    <s v="Telstra"/>
    <s v="NETWORK"/>
    <s v="Network - InfraCo"/>
    <s v="VIC"/>
    <s v="Australia"/>
    <s v="South Yarra"/>
    <s v="SOUTH YARRA EXCHANGE"/>
    <n v="423030663400"/>
    <s v="Waste"/>
    <x v="1"/>
    <x v="2"/>
    <s v="Account"/>
    <s v="Remondis General Waste"/>
    <m/>
    <s v="423030663400_WGENERALW"/>
    <s v="GENERAL WASTE"/>
    <s v="Remondis"/>
    <m/>
    <m/>
    <d v="2021-01-01T00:00:00"/>
    <d v="2021-01-01T00:00:00"/>
    <s v="FY21"/>
    <s v="t"/>
    <n v="0"/>
    <n v="0"/>
    <n v="2.8999999999999998E-3"/>
    <n v="2.8999999999999998E-3"/>
    <n v="0"/>
    <n v="0"/>
    <n v="1"/>
    <n v="1"/>
    <n v="0"/>
    <n v="0"/>
    <n v="100"/>
    <s v="Consolidation"/>
    <s v="CO2e and Base Measure"/>
    <n v="100"/>
    <n v="100"/>
    <n v="0"/>
    <m/>
    <m/>
    <m/>
    <m/>
    <m/>
    <n v="3.8E-3"/>
    <m/>
    <n v="3.8E-3"/>
    <m/>
    <m/>
    <m/>
    <m/>
    <m/>
    <s v="AUD"/>
    <s v="13565063Waste - General [t] - Scope 3"/>
    <n v="13565063"/>
  </r>
  <r>
    <d v="2019-07-01T00:00:00"/>
    <d v="2021-06-30T00:00:00"/>
    <s v="Telstra"/>
    <s v="NETWORK"/>
    <s v="Network - InfraCo"/>
    <s v="VIC"/>
    <s v="Australia"/>
    <s v="South Yarra"/>
    <s v="SOUTH YARRA EXCHANGE"/>
    <n v="423030663400"/>
    <s v="Recycled Waste"/>
    <x v="0"/>
    <x v="0"/>
    <s v="Account"/>
    <s v="CLEANAWAY Cardboard"/>
    <m/>
    <s v="25909_Diversion_Cardboard"/>
    <s v="Cardboard"/>
    <s v="Cleanaway"/>
    <m/>
    <d v="2021-01-08T00:00:00"/>
    <m/>
    <d v="2021-01-01T00:00:00"/>
    <s v="FY21"/>
    <s v="t"/>
    <n v="0"/>
    <n v="3.3000000000000002E-2"/>
    <n v="0"/>
    <n v="3.3000000000000002E-2"/>
    <n v="0"/>
    <n v="2"/>
    <n v="0"/>
    <n v="2"/>
    <n v="0"/>
    <n v="100"/>
    <n v="0"/>
    <s v="Consolidation"/>
    <s v="CO2e and Base Measure"/>
    <n v="100"/>
    <n v="100"/>
    <n v="0.03"/>
    <m/>
    <m/>
    <m/>
    <m/>
    <m/>
    <m/>
    <m/>
    <m/>
    <m/>
    <m/>
    <m/>
    <m/>
    <m/>
    <s v="AUD"/>
    <s v="13634474Waste Recycled - Paper and Cardboard [t]"/>
    <n v="13634474"/>
  </r>
  <r>
    <d v="2019-07-01T00:00:00"/>
    <d v="2021-06-30T00:00:00"/>
    <s v="Telstra"/>
    <s v="NETWORK"/>
    <s v="Network - InfraCo"/>
    <s v="VIC"/>
    <s v="Australia"/>
    <s v="South Yarra"/>
    <s v="SOUTH YARRA EXCHANGE"/>
    <n v="423030663400"/>
    <s v="Recycled Waste"/>
    <x v="0"/>
    <x v="0"/>
    <s v="Account"/>
    <s v="CLEANAWAY Cardboard"/>
    <m/>
    <s v="25909_Diversion_Cardboard"/>
    <s v="Cardboard"/>
    <s v="Cleanaway"/>
    <m/>
    <d v="2021-01-08T00:00:00"/>
    <m/>
    <d v="2021-03-01T00:00:00"/>
    <s v="FY21"/>
    <s v="t"/>
    <n v="1.9E-2"/>
    <n v="1.6500000000000001E-2"/>
    <n v="0"/>
    <n v="3.5499999999999997E-2"/>
    <n v="1"/>
    <n v="1"/>
    <n v="0"/>
    <n v="2"/>
    <n v="53.52"/>
    <n v="46.47"/>
    <n v="0"/>
    <s v="Consolidation"/>
    <s v="CO2e and Base Measure"/>
    <n v="100"/>
    <n v="100"/>
    <n v="0.04"/>
    <m/>
    <m/>
    <m/>
    <m/>
    <m/>
    <m/>
    <m/>
    <m/>
    <m/>
    <m/>
    <m/>
    <m/>
    <m/>
    <s v="AUD"/>
    <s v="13634474Waste Recycled - Paper and Cardboard [t]"/>
    <n v="13634474"/>
  </r>
  <r>
    <d v="2019-07-01T00:00:00"/>
    <d v="2021-06-30T00:00:00"/>
    <s v="Telstra"/>
    <s v="NETWORK"/>
    <s v="Network - InfraCo"/>
    <s v="VIC"/>
    <s v="Australia"/>
    <s v="South Yarra"/>
    <s v="SOUTH YARRA EXCHANGE"/>
    <n v="423030663400"/>
    <s v="Recycled Waste"/>
    <x v="0"/>
    <x v="0"/>
    <s v="Account"/>
    <s v="CLEANAWAY Cardboard"/>
    <m/>
    <s v="25909_Diversion_Cardboard"/>
    <s v="Cardboard"/>
    <s v="Cleanaway"/>
    <m/>
    <d v="2021-01-08T00:00:00"/>
    <m/>
    <d v="2021-04-01T00:00:00"/>
    <s v="FY21"/>
    <s v="t"/>
    <n v="0"/>
    <n v="0"/>
    <n v="2.4E-2"/>
    <n v="2.4E-2"/>
    <n v="0"/>
    <n v="0"/>
    <n v="30"/>
    <n v="30"/>
    <n v="0"/>
    <n v="0"/>
    <n v="100"/>
    <s v="Consolidation"/>
    <s v="CO2e and Base Measure"/>
    <n v="100"/>
    <n v="100"/>
    <n v="0.02"/>
    <m/>
    <m/>
    <m/>
    <m/>
    <m/>
    <m/>
    <m/>
    <m/>
    <m/>
    <m/>
    <m/>
    <m/>
    <m/>
    <s v="AUD"/>
    <s v="13634474Waste Recycled - Paper and Cardboard [t]"/>
    <n v="13634474"/>
  </r>
  <r>
    <d v="2019-07-01T00:00:00"/>
    <d v="2021-06-30T00:00:00"/>
    <s v="Telstra"/>
    <s v="NETWORK"/>
    <s v="Network - InfraCo"/>
    <s v="VIC"/>
    <s v="Australia"/>
    <s v="South Yarra"/>
    <s v="SOUTH YARRA EXCHANGE"/>
    <n v="423030663400"/>
    <s v="Recycled Waste"/>
    <x v="0"/>
    <x v="0"/>
    <s v="Account"/>
    <s v="CLEANAWAY Cardboard"/>
    <m/>
    <s v="25909_Diversion_Cardboard"/>
    <s v="Cardboard"/>
    <s v="Cleanaway"/>
    <m/>
    <d v="2021-01-08T00:00:00"/>
    <m/>
    <d v="2021-05-01T00:00:00"/>
    <s v="FY21"/>
    <s v="t"/>
    <n v="0"/>
    <n v="0"/>
    <n v="2.4799999999999999E-2"/>
    <n v="2.4799999999999999E-2"/>
    <n v="0"/>
    <n v="0"/>
    <n v="31"/>
    <n v="31"/>
    <n v="0"/>
    <n v="0"/>
    <n v="100"/>
    <s v="Consolidation"/>
    <s v="CO2e and Base Measure"/>
    <n v="100"/>
    <n v="100"/>
    <n v="0.02"/>
    <m/>
    <m/>
    <m/>
    <m/>
    <m/>
    <m/>
    <m/>
    <m/>
    <m/>
    <m/>
    <m/>
    <m/>
    <m/>
    <s v="AUD"/>
    <s v="13634474Waste Recycled - Paper and Cardboard [t]"/>
    <n v="13634474"/>
  </r>
  <r>
    <d v="2019-07-01T00:00:00"/>
    <d v="2021-06-30T00:00:00"/>
    <s v="Telstra"/>
    <s v="NETWORK"/>
    <s v="Network - InfraCo"/>
    <s v="VIC"/>
    <s v="Australia"/>
    <s v="South Yarra"/>
    <s v="SOUTH YARRA EXCHANGE"/>
    <n v="423030663400"/>
    <s v="Waste"/>
    <x v="1"/>
    <x v="2"/>
    <s v="Account"/>
    <s v="CLEANAWAY General"/>
    <m/>
    <s v="25909_Landfill_General"/>
    <s v="General"/>
    <s v="Cleanaway"/>
    <m/>
    <d v="2021-03-12T00:00:00"/>
    <m/>
    <d v="2021-03-01T00:00:00"/>
    <s v="FY21"/>
    <s v="t"/>
    <n v="0.33"/>
    <n v="2.9700000000000001E-2"/>
    <n v="0"/>
    <n v="0.35970000000000002"/>
    <n v="2"/>
    <n v="1"/>
    <n v="0"/>
    <n v="3"/>
    <n v="91.74"/>
    <n v="8.25"/>
    <n v="0"/>
    <s v="Consolidation"/>
    <s v="CO2e and Base Measure"/>
    <n v="100"/>
    <n v="100"/>
    <n v="0.36"/>
    <m/>
    <m/>
    <m/>
    <m/>
    <m/>
    <n v="0.46760000000000002"/>
    <m/>
    <n v="0.46760000000000002"/>
    <m/>
    <m/>
    <m/>
    <m/>
    <m/>
    <s v="AUD"/>
    <s v="13641225Waste - General [t] - Scope 3"/>
    <n v="13641225"/>
  </r>
  <r>
    <d v="2019-07-01T00:00:00"/>
    <d v="2021-06-30T00:00:00"/>
    <s v="Telstra"/>
    <s v="NETWORK"/>
    <s v="Network - InfraCo"/>
    <s v="VIC"/>
    <s v="Australia"/>
    <s v="South Yarra"/>
    <s v="SOUTH YARRA EXCHANGE"/>
    <n v="423030663400"/>
    <s v="Waste"/>
    <x v="1"/>
    <x v="2"/>
    <s v="Account"/>
    <s v="CLEANAWAY General"/>
    <m/>
    <s v="25909_Landfill_General"/>
    <s v="General"/>
    <s v="Cleanaway"/>
    <m/>
    <d v="2021-03-12T00:00:00"/>
    <m/>
    <d v="2021-04-01T00:00:00"/>
    <s v="FY21"/>
    <s v="t"/>
    <n v="0"/>
    <n v="0"/>
    <n v="0.36"/>
    <n v="0.36"/>
    <n v="0"/>
    <n v="0"/>
    <n v="30"/>
    <n v="30"/>
    <n v="0"/>
    <n v="0"/>
    <n v="100"/>
    <s v="Consolidation"/>
    <s v="CO2e and Base Measure"/>
    <n v="100"/>
    <n v="100"/>
    <n v="0.36"/>
    <m/>
    <m/>
    <m/>
    <m/>
    <m/>
    <n v="0.46800000000000003"/>
    <m/>
    <n v="0.46800000000000003"/>
    <m/>
    <m/>
    <m/>
    <m/>
    <m/>
    <s v="AUD"/>
    <s v="13641225Waste - General [t] - Scope 3"/>
    <n v="13641225"/>
  </r>
  <r>
    <d v="2019-07-01T00:00:00"/>
    <d v="2021-06-30T00:00:00"/>
    <s v="Telstra"/>
    <s v="NETWORK"/>
    <s v="Network - InfraCo"/>
    <s v="VIC"/>
    <s v="Australia"/>
    <s v="South Yarra"/>
    <s v="SOUTH YARRA EXCHANGE"/>
    <n v="423030663400"/>
    <s v="Waste"/>
    <x v="1"/>
    <x v="2"/>
    <s v="Account"/>
    <s v="CLEANAWAY General"/>
    <m/>
    <s v="25909_Landfill_General"/>
    <s v="General"/>
    <s v="Cleanaway"/>
    <m/>
    <d v="2021-03-12T00:00:00"/>
    <m/>
    <d v="2021-05-01T00:00:00"/>
    <s v="FY21"/>
    <s v="t"/>
    <n v="0"/>
    <n v="0"/>
    <n v="0.372"/>
    <n v="0.372"/>
    <n v="0"/>
    <n v="0"/>
    <n v="31"/>
    <n v="31"/>
    <n v="0"/>
    <n v="0"/>
    <n v="100"/>
    <s v="Consolidation"/>
    <s v="CO2e and Base Measure"/>
    <n v="100"/>
    <n v="100"/>
    <n v="0.37"/>
    <m/>
    <m/>
    <m/>
    <m/>
    <m/>
    <n v="0.48359999999999997"/>
    <m/>
    <n v="0.48359999999999997"/>
    <m/>
    <m/>
    <m/>
    <m/>
    <m/>
    <s v="AUD"/>
    <s v="13641225Waste - General [t] - Scope 3"/>
    <n v="13641225"/>
  </r>
  <r>
    <d v="2019-07-01T00:00:00"/>
    <d v="2021-06-30T00:00:00"/>
    <s v="Telstra"/>
    <s v="NETWORK"/>
    <s v="Network - InfraCo"/>
    <s v="QLD"/>
    <s v="Australia"/>
    <s v="Spring Hill"/>
    <s v="SPRING HILL EXCHANGE"/>
    <n v="423030179900"/>
    <s v="Waste"/>
    <x v="1"/>
    <x v="2"/>
    <s v="Account"/>
    <s v="Remondis General Waste"/>
    <m/>
    <s v="423030179900_WGENERALW"/>
    <s v="GENERAL WASTE"/>
    <s v="Remondis"/>
    <m/>
    <m/>
    <d v="2021-01-01T00:00:00"/>
    <d v="2020-07-01T00:00:00"/>
    <s v="FY21"/>
    <s v="t"/>
    <n v="4.8000000000000001E-2"/>
    <n v="0"/>
    <n v="0"/>
    <n v="4.8000000000000001E-2"/>
    <n v="1"/>
    <n v="0"/>
    <n v="0"/>
    <n v="1"/>
    <n v="100"/>
    <n v="0"/>
    <n v="0"/>
    <s v="Consolidation"/>
    <s v="CO2e and Base Measure"/>
    <n v="100"/>
    <n v="100"/>
    <n v="0.05"/>
    <m/>
    <m/>
    <m/>
    <m/>
    <m/>
    <n v="6.2399999999999997E-2"/>
    <m/>
    <n v="6.2399999999999997E-2"/>
    <m/>
    <m/>
    <m/>
    <m/>
    <m/>
    <s v="AUD"/>
    <s v="13564257Waste - General [t] - Scope 3"/>
    <n v="13564257"/>
  </r>
  <r>
    <d v="2019-07-01T00:00:00"/>
    <d v="2021-06-30T00:00:00"/>
    <s v="Telstra"/>
    <s v="NETWORK"/>
    <s v="Network - InfraCo"/>
    <s v="QLD"/>
    <s v="Australia"/>
    <s v="Spring Hill"/>
    <s v="SPRING HILL EXCHANGE"/>
    <n v="423030179900"/>
    <s v="Waste"/>
    <x v="1"/>
    <x v="2"/>
    <s v="Account"/>
    <s v="Remondis General Waste"/>
    <m/>
    <s v="4230301799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4257Waste - General [t] - Scope 3"/>
    <n v="13564257"/>
  </r>
  <r>
    <d v="2019-07-01T00:00:00"/>
    <d v="2021-06-30T00:00:00"/>
    <s v="Telstra"/>
    <s v="NETWORK"/>
    <s v="Network - InfraCo"/>
    <s v="QLD"/>
    <s v="Australia"/>
    <s v="Spring Hill"/>
    <s v="SPRING HILL EXCHANGE"/>
    <n v="423030179900"/>
    <s v="Waste"/>
    <x v="1"/>
    <x v="2"/>
    <s v="Account"/>
    <s v="Remondis General Waste"/>
    <m/>
    <s v="423030179900_WGENERALW"/>
    <s v="GENERAL WASTE"/>
    <s v="Remondis"/>
    <m/>
    <m/>
    <d v="2021-01-01T00:00:00"/>
    <d v="2021-01-01T00:00:00"/>
    <s v="FY21"/>
    <s v="t"/>
    <n v="0"/>
    <n v="0"/>
    <n v="2.9999999999999997E-4"/>
    <n v="2.9999999999999997E-4"/>
    <n v="0"/>
    <n v="0"/>
    <n v="1"/>
    <n v="1"/>
    <n v="0"/>
    <n v="0"/>
    <n v="100"/>
    <s v="Consolidation"/>
    <s v="CO2e and Base Measure"/>
    <n v="100"/>
    <n v="100"/>
    <n v="0"/>
    <m/>
    <m/>
    <m/>
    <m/>
    <m/>
    <n v="4.0000000000000002E-4"/>
    <m/>
    <n v="4.0000000000000002E-4"/>
    <m/>
    <m/>
    <m/>
    <m/>
    <m/>
    <s v="AUD"/>
    <s v="13564257Waste - General [t] - Scope 3"/>
    <n v="13564257"/>
  </r>
  <r>
    <d v="2019-07-01T00:00:00"/>
    <d v="2021-06-30T00:00:00"/>
    <s v="Telstra"/>
    <s v="NETWORK"/>
    <s v="Network - InfraCo"/>
    <s v="VIC"/>
    <s v="Australia"/>
    <s v="Noble Park"/>
    <s v="SPRINGVALE EXCHANGE"/>
    <n v="423030667700"/>
    <s v="Waste"/>
    <x v="1"/>
    <x v="2"/>
    <s v="Account"/>
    <s v="Remondis General Waste"/>
    <m/>
    <s v="423030667700_WGENERALW"/>
    <s v="GENERAL WASTE"/>
    <s v="Remondis"/>
    <m/>
    <m/>
    <d v="2020-12-01T00:00:00"/>
    <d v="2020-11-01T00:00:00"/>
    <s v="FY21"/>
    <s v="t"/>
    <n v="0.46"/>
    <n v="0"/>
    <n v="0"/>
    <n v="0.46"/>
    <n v="1"/>
    <n v="0"/>
    <n v="0"/>
    <n v="1"/>
    <n v="100"/>
    <n v="0"/>
    <n v="0"/>
    <s v="Consolidation"/>
    <s v="CO2e and Base Measure"/>
    <n v="100"/>
    <n v="100"/>
    <n v="0.46"/>
    <m/>
    <m/>
    <m/>
    <m/>
    <m/>
    <n v="0.59799999999999998"/>
    <m/>
    <n v="0.59799999999999998"/>
    <m/>
    <m/>
    <m/>
    <m/>
    <m/>
    <s v="AUD"/>
    <s v="13565080Waste - General [t] - Scope 3"/>
    <n v="13565080"/>
  </r>
  <r>
    <d v="2019-07-01T00:00:00"/>
    <d v="2021-06-30T00:00:00"/>
    <s v="Telstra"/>
    <s v="NETWORK"/>
    <s v="Network - InfraCo"/>
    <s v="VIC"/>
    <s v="Australia"/>
    <s v="Noble Park"/>
    <s v="SPRINGVALE EXCHANGE"/>
    <n v="423030667700"/>
    <s v="Waste"/>
    <x v="1"/>
    <x v="2"/>
    <s v="Account"/>
    <s v="Remondis General Waste"/>
    <m/>
    <s v="423030667700_WGENERALW"/>
    <s v="GENERAL WASTE"/>
    <s v="Remondis"/>
    <m/>
    <m/>
    <d v="2020-12-01T00:00:00"/>
    <d v="2020-12-01T00:00:00"/>
    <s v="FY21"/>
    <s v="t"/>
    <n v="0"/>
    <n v="0"/>
    <n v="1.5900000000000001E-2"/>
    <n v="1.5900000000000001E-2"/>
    <n v="0"/>
    <n v="0"/>
    <n v="1"/>
    <n v="1"/>
    <n v="0"/>
    <n v="0"/>
    <n v="100"/>
    <s v="Consolidation"/>
    <s v="CO2e and Base Measure"/>
    <n v="100"/>
    <n v="100"/>
    <n v="0.02"/>
    <m/>
    <m/>
    <m/>
    <m/>
    <m/>
    <n v="2.07E-2"/>
    <m/>
    <n v="2.07E-2"/>
    <m/>
    <m/>
    <m/>
    <m/>
    <m/>
    <s v="AUD"/>
    <s v="13565080Waste - General [t] - Scope 3"/>
    <n v="13565080"/>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07-01T00:00:00"/>
    <s v="FY21"/>
    <s v="t"/>
    <n v="0"/>
    <n v="3"/>
    <n v="0"/>
    <n v="3"/>
    <n v="0"/>
    <n v="2"/>
    <n v="0"/>
    <n v="2"/>
    <n v="0"/>
    <n v="100"/>
    <n v="0"/>
    <s v="Consolidation"/>
    <s v="CO2e and Base Measure"/>
    <n v="100"/>
    <n v="100"/>
    <n v="3"/>
    <m/>
    <m/>
    <m/>
    <m/>
    <m/>
    <m/>
    <m/>
    <m/>
    <m/>
    <m/>
    <m/>
    <m/>
    <m/>
    <s v="AUD"/>
    <s v="13614416Waste Recycled - Construction and Demolition [t]"/>
    <n v="13614416"/>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09-01T00:00:00"/>
    <s v="FY21"/>
    <s v="t"/>
    <n v="0"/>
    <n v="3"/>
    <n v="0"/>
    <n v="3"/>
    <n v="0"/>
    <n v="2"/>
    <n v="0"/>
    <n v="2"/>
    <n v="0"/>
    <n v="100"/>
    <n v="0"/>
    <s v="Consolidation"/>
    <s v="CO2e and Base Measure"/>
    <n v="100"/>
    <n v="100"/>
    <n v="3"/>
    <m/>
    <m/>
    <m/>
    <m/>
    <m/>
    <m/>
    <m/>
    <m/>
    <m/>
    <m/>
    <m/>
    <m/>
    <m/>
    <s v="AUD"/>
    <s v="13614416Waste Recycled - Construction and Demolition [t]"/>
    <n v="13614416"/>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10-01T00:00:00"/>
    <s v="FY21"/>
    <s v="t"/>
    <n v="0"/>
    <n v="1.5"/>
    <n v="0"/>
    <n v="1.5"/>
    <n v="0"/>
    <n v="1"/>
    <n v="0"/>
    <n v="1"/>
    <n v="0"/>
    <n v="100"/>
    <n v="0"/>
    <s v="Consolidation"/>
    <s v="CO2e and Base Measure"/>
    <n v="100"/>
    <n v="100"/>
    <n v="1.5"/>
    <m/>
    <m/>
    <m/>
    <m/>
    <m/>
    <m/>
    <m/>
    <m/>
    <m/>
    <m/>
    <m/>
    <m/>
    <m/>
    <s v="AUD"/>
    <s v="13614416Waste Recycled - Construction and Demolition [t]"/>
    <n v="13614416"/>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11-01T00:00:00"/>
    <s v="FY21"/>
    <s v="t"/>
    <n v="0"/>
    <n v="4.5"/>
    <n v="0"/>
    <n v="4.5"/>
    <n v="0"/>
    <n v="3"/>
    <n v="0"/>
    <n v="3"/>
    <n v="0"/>
    <n v="100"/>
    <n v="0"/>
    <s v="Consolidation"/>
    <s v="CO2e and Base Measure"/>
    <n v="100"/>
    <n v="100"/>
    <n v="4.5"/>
    <m/>
    <m/>
    <m/>
    <m/>
    <m/>
    <m/>
    <m/>
    <m/>
    <m/>
    <m/>
    <m/>
    <m/>
    <m/>
    <s v="AUD"/>
    <s v="13614416Waste Recycled - Construction and Demolition [t]"/>
    <n v="13614416"/>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12-01T00:00:00"/>
    <s v="FY21"/>
    <s v="t"/>
    <n v="0"/>
    <n v="0"/>
    <n v="7.8899999999999998E-2"/>
    <n v="7.8899999999999998E-2"/>
    <n v="0"/>
    <n v="0"/>
    <n v="1"/>
    <n v="1"/>
    <n v="0"/>
    <n v="0"/>
    <n v="100"/>
    <s v="Consolidation"/>
    <s v="CO2e and Base Measure"/>
    <n v="100"/>
    <n v="100"/>
    <n v="0.08"/>
    <m/>
    <m/>
    <m/>
    <m/>
    <m/>
    <m/>
    <m/>
    <m/>
    <m/>
    <m/>
    <m/>
    <m/>
    <m/>
    <s v="AUD"/>
    <s v="13614416Waste Recycled - Construction and Demolition [t]"/>
    <n v="13614416"/>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07-01T00:00:00"/>
    <s v="FY21"/>
    <s v="t"/>
    <n v="0"/>
    <n v="0.78"/>
    <n v="0"/>
    <n v="0.78"/>
    <n v="0"/>
    <n v="4"/>
    <n v="0"/>
    <n v="4"/>
    <n v="0"/>
    <n v="100"/>
    <n v="0"/>
    <s v="Consolidation"/>
    <s v="CO2e and Base Measure"/>
    <n v="100"/>
    <n v="100"/>
    <n v="0.78"/>
    <m/>
    <m/>
    <m/>
    <m/>
    <m/>
    <n v="1.014"/>
    <m/>
    <n v="1.014"/>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08-01T00:00:00"/>
    <s v="FY21"/>
    <s v="t"/>
    <n v="0"/>
    <n v="0.97499999999999998"/>
    <n v="0"/>
    <n v="0.97499999999999998"/>
    <n v="0"/>
    <n v="5"/>
    <n v="0"/>
    <n v="5"/>
    <n v="0"/>
    <n v="100"/>
    <n v="0"/>
    <s v="Consolidation"/>
    <s v="CO2e and Base Measure"/>
    <n v="100"/>
    <n v="100"/>
    <n v="0.98"/>
    <m/>
    <m/>
    <m/>
    <m/>
    <m/>
    <n v="1.2675000000000001"/>
    <m/>
    <n v="1.2675000000000001"/>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09-01T00:00:00"/>
    <s v="FY21"/>
    <s v="t"/>
    <n v="0"/>
    <n v="0.78"/>
    <n v="0"/>
    <n v="0.78"/>
    <n v="0"/>
    <n v="4"/>
    <n v="0"/>
    <n v="4"/>
    <n v="0"/>
    <n v="100"/>
    <n v="0"/>
    <s v="Consolidation"/>
    <s v="CO2e and Base Measure"/>
    <n v="100"/>
    <n v="100"/>
    <n v="0.78"/>
    <m/>
    <m/>
    <m/>
    <m/>
    <m/>
    <n v="1.014"/>
    <m/>
    <n v="1.014"/>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10-01T00:00:00"/>
    <s v="FY21"/>
    <s v="t"/>
    <n v="0"/>
    <n v="0.78"/>
    <n v="0"/>
    <n v="0.78"/>
    <n v="0"/>
    <n v="4"/>
    <n v="0"/>
    <n v="4"/>
    <n v="0"/>
    <n v="100"/>
    <n v="0"/>
    <s v="Consolidation"/>
    <s v="CO2e and Base Measure"/>
    <n v="100"/>
    <n v="100"/>
    <n v="0.78"/>
    <m/>
    <m/>
    <m/>
    <m/>
    <m/>
    <n v="1.014"/>
    <m/>
    <n v="1.014"/>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11-01T00:00:00"/>
    <s v="FY21"/>
    <s v="t"/>
    <n v="0"/>
    <n v="0.97499999999999998"/>
    <n v="0"/>
    <n v="0.97499999999999998"/>
    <n v="0"/>
    <n v="5"/>
    <n v="0"/>
    <n v="5"/>
    <n v="0"/>
    <n v="100"/>
    <n v="0"/>
    <s v="Consolidation"/>
    <s v="CO2e and Base Measure"/>
    <n v="100"/>
    <n v="100"/>
    <n v="0.98"/>
    <m/>
    <m/>
    <m/>
    <m/>
    <m/>
    <n v="1.2675000000000001"/>
    <m/>
    <n v="1.2675000000000001"/>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1-01-01T00:00:00"/>
    <s v="FY21"/>
    <s v="t"/>
    <n v="0"/>
    <n v="0"/>
    <n v="2.5600000000000001E-2"/>
    <n v="2.5600000000000001E-2"/>
    <n v="0"/>
    <n v="0"/>
    <n v="1"/>
    <n v="1"/>
    <n v="0"/>
    <n v="0"/>
    <n v="100"/>
    <s v="Consolidation"/>
    <s v="CO2e and Base Measure"/>
    <n v="100"/>
    <n v="100"/>
    <n v="0.03"/>
    <m/>
    <m/>
    <m/>
    <m/>
    <m/>
    <n v="3.3300000000000003E-2"/>
    <m/>
    <n v="3.3300000000000003E-2"/>
    <m/>
    <m/>
    <m/>
    <m/>
    <m/>
    <s v="AUD"/>
    <s v="13564448Waste - General [t] - Scope 3"/>
    <n v="13564448"/>
  </r>
  <r>
    <d v="2019-07-01T00:00:00"/>
    <d v="2021-06-30T00:00:00"/>
    <s v="Telstra"/>
    <s v="NETWORK"/>
    <s v="Network - InfraCo"/>
    <s v="VIC"/>
    <s v="Australia"/>
    <s v="St Albans"/>
    <s v="ST ALBANS EXCHANGE"/>
    <n v="423030667200"/>
    <s v="Recycled Waste"/>
    <x v="0"/>
    <x v="0"/>
    <s v="Account"/>
    <s v="Remondis Cardboard - Loose - Recycled"/>
    <m/>
    <s v="423030667200_RCARDBOAR"/>
    <s v="CARDBOARD - LOOSE - RECYCLED"/>
    <s v="Remondis"/>
    <m/>
    <m/>
    <d v="2021-01-01T00:00:00"/>
    <d v="2020-08-01T00:00:00"/>
    <s v="FY21"/>
    <s v="t"/>
    <n v="0"/>
    <n v="6.3E-2"/>
    <n v="0"/>
    <n v="6.3E-2"/>
    <n v="0"/>
    <n v="1"/>
    <n v="0"/>
    <n v="1"/>
    <n v="0"/>
    <n v="100"/>
    <n v="0"/>
    <s v="Consolidation"/>
    <s v="CO2e and Base Measure"/>
    <n v="100"/>
    <n v="100"/>
    <n v="0.06"/>
    <m/>
    <m/>
    <m/>
    <m/>
    <m/>
    <m/>
    <n v="0"/>
    <m/>
    <m/>
    <m/>
    <m/>
    <m/>
    <m/>
    <s v="AUD"/>
    <s v="13565075Waste Recycled - Cardboard [t]"/>
    <n v="13565075"/>
  </r>
  <r>
    <d v="2019-07-01T00:00:00"/>
    <d v="2021-06-30T00:00:00"/>
    <s v="Telstra"/>
    <s v="NETWORK"/>
    <s v="Network - InfraCo"/>
    <s v="VIC"/>
    <s v="Australia"/>
    <s v="St Albans"/>
    <s v="ST ALBANS EXCHANGE"/>
    <n v="423030667200"/>
    <s v="Recycled Waste"/>
    <x v="0"/>
    <x v="0"/>
    <s v="Account"/>
    <s v="Remondis Cardboard - Loose - Recycled"/>
    <m/>
    <s v="4230306672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75Waste Recycled - Cardboard [t]"/>
    <n v="13565075"/>
  </r>
  <r>
    <d v="2019-07-01T00:00:00"/>
    <d v="2021-06-30T00:00:00"/>
    <s v="Telstra"/>
    <s v="NETWORK"/>
    <s v="Network - InfraCo"/>
    <s v="VIC"/>
    <s v="Australia"/>
    <s v="St Albans"/>
    <s v="ST ALBANS EXCHANGE"/>
    <n v="423030667200"/>
    <s v="Recycled Waste"/>
    <x v="0"/>
    <x v="0"/>
    <s v="Account"/>
    <s v="Remondis Cardboard - Loose - Recycled"/>
    <m/>
    <s v="423030667200_RCARDBOAR"/>
    <s v="CARDBOARD - LOOSE - RECYCLED"/>
    <s v="Remondis"/>
    <m/>
    <m/>
    <d v="2021-01-01T00:00:00"/>
    <d v="2021-01-01T00:00:00"/>
    <s v="FY21"/>
    <s v="t"/>
    <n v="0"/>
    <n v="0"/>
    <n v="8.0000000000000004E-4"/>
    <n v="8.0000000000000004E-4"/>
    <n v="0"/>
    <n v="0"/>
    <n v="1"/>
    <n v="1"/>
    <n v="0"/>
    <n v="0"/>
    <n v="100"/>
    <s v="Consolidation"/>
    <s v="CO2e and Base Measure"/>
    <n v="100"/>
    <n v="100"/>
    <n v="0"/>
    <m/>
    <m/>
    <m/>
    <m/>
    <m/>
    <m/>
    <n v="0"/>
    <m/>
    <m/>
    <m/>
    <m/>
    <m/>
    <m/>
    <s v="AUD"/>
    <s v="13565075Waste Recycled - Cardboard [t]"/>
    <n v="13565075"/>
  </r>
  <r>
    <d v="2019-07-01T00:00:00"/>
    <d v="2021-06-30T00:00:00"/>
    <s v="Telstra"/>
    <s v="NETWORK"/>
    <s v="Network - InfraCo"/>
    <s v="VIC"/>
    <s v="Australia"/>
    <s v="St Albans"/>
    <s v="ST ALBANS EXCHANGE"/>
    <n v="423030667200"/>
    <s v="Waste"/>
    <x v="1"/>
    <x v="2"/>
    <s v="Account"/>
    <s v="Remondis General Waste"/>
    <m/>
    <s v="423030667200_WGENERALW"/>
    <s v="GENERAL WASTE"/>
    <s v="Remondis"/>
    <m/>
    <m/>
    <d v="2021-01-01T00:00:00"/>
    <d v="2020-08-01T00:00:00"/>
    <s v="FY21"/>
    <s v="t"/>
    <n v="1.08"/>
    <n v="0"/>
    <n v="0"/>
    <n v="1.08"/>
    <n v="1"/>
    <n v="0"/>
    <n v="0"/>
    <n v="1"/>
    <n v="100"/>
    <n v="0"/>
    <n v="0"/>
    <s v="Consolidation"/>
    <s v="CO2e and Base Measure"/>
    <n v="100"/>
    <n v="100"/>
    <n v="1.08"/>
    <m/>
    <m/>
    <m/>
    <m/>
    <m/>
    <n v="1.4039999999999999"/>
    <m/>
    <n v="1.4039999999999999"/>
    <m/>
    <m/>
    <m/>
    <m/>
    <m/>
    <s v="AUD"/>
    <s v="13565077Waste - General [t] - Scope 3"/>
    <n v="13565077"/>
  </r>
  <r>
    <d v="2019-07-01T00:00:00"/>
    <d v="2021-06-30T00:00:00"/>
    <s v="Telstra"/>
    <s v="NETWORK"/>
    <s v="Network - InfraCo"/>
    <s v="VIC"/>
    <s v="Australia"/>
    <s v="St Albans"/>
    <s v="ST ALBANS EXCHANGE"/>
    <n v="423030667200"/>
    <s v="Waste"/>
    <x v="1"/>
    <x v="2"/>
    <s v="Account"/>
    <s v="Remondis General Waste"/>
    <m/>
    <s v="4230306672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077Waste - General [t] - Scope 3"/>
    <n v="13565077"/>
  </r>
  <r>
    <d v="2019-07-01T00:00:00"/>
    <d v="2021-06-30T00:00:00"/>
    <s v="Telstra"/>
    <s v="NETWORK"/>
    <s v="Network - InfraCo"/>
    <s v="VIC"/>
    <s v="Australia"/>
    <s v="St Albans"/>
    <s v="ST ALBANS EXCHANGE"/>
    <n v="423030667200"/>
    <s v="Waste"/>
    <x v="1"/>
    <x v="2"/>
    <s v="Account"/>
    <s v="Remondis General Waste"/>
    <m/>
    <s v="423030667200_WGENERALW"/>
    <s v="GENERAL WASTE"/>
    <s v="Remondis"/>
    <m/>
    <m/>
    <d v="2021-01-01T00:00:00"/>
    <d v="2020-12-01T00:00:00"/>
    <s v="FY21"/>
    <s v="t"/>
    <n v="0.24"/>
    <n v="0"/>
    <n v="0"/>
    <n v="0.24"/>
    <n v="1"/>
    <n v="0"/>
    <n v="0"/>
    <n v="1"/>
    <n v="100"/>
    <n v="0"/>
    <n v="0"/>
    <s v="Consolidation"/>
    <s v="CO2e and Base Measure"/>
    <n v="100"/>
    <n v="100"/>
    <n v="0.24"/>
    <m/>
    <m/>
    <m/>
    <m/>
    <m/>
    <n v="0.312"/>
    <m/>
    <n v="0.312"/>
    <m/>
    <m/>
    <m/>
    <m/>
    <m/>
    <s v="AUD"/>
    <s v="13565077Waste - General [t] - Scope 3"/>
    <n v="13565077"/>
  </r>
  <r>
    <d v="2019-07-01T00:00:00"/>
    <d v="2021-06-30T00:00:00"/>
    <s v="Telstra"/>
    <s v="NETWORK"/>
    <s v="Network - InfraCo"/>
    <s v="VIC"/>
    <s v="Australia"/>
    <s v="St Albans"/>
    <s v="ST ALBANS EXCHANGE"/>
    <n v="423030667200"/>
    <s v="Waste"/>
    <x v="1"/>
    <x v="2"/>
    <s v="Account"/>
    <s v="Remondis General Waste"/>
    <m/>
    <s v="423030667200_WGENERALW"/>
    <s v="GENERAL WASTE"/>
    <s v="Remondis"/>
    <m/>
    <m/>
    <d v="2021-01-01T00:00:00"/>
    <d v="2021-01-01T00:00:00"/>
    <s v="FY21"/>
    <s v="t"/>
    <n v="0"/>
    <n v="0"/>
    <n v="2.0199999999999999E-2"/>
    <n v="2.0199999999999999E-2"/>
    <n v="0"/>
    <n v="0"/>
    <n v="1"/>
    <n v="1"/>
    <n v="0"/>
    <n v="0"/>
    <n v="100"/>
    <s v="Consolidation"/>
    <s v="CO2e and Base Measure"/>
    <n v="100"/>
    <n v="100"/>
    <n v="0.02"/>
    <m/>
    <m/>
    <m/>
    <m/>
    <m/>
    <n v="2.63E-2"/>
    <m/>
    <n v="2.63E-2"/>
    <m/>
    <m/>
    <m/>
    <m/>
    <m/>
    <s v="AUD"/>
    <s v="13565077Waste - General [t] - Scope 3"/>
    <n v="13565077"/>
  </r>
  <r>
    <d v="2019-07-01T00:00:00"/>
    <d v="2021-06-30T00:00:00"/>
    <s v="Telstra"/>
    <s v="NETWORK"/>
    <s v="Network - InfraCo"/>
    <s v="VIC"/>
    <s v="Australia"/>
    <s v="St Albans"/>
    <s v="ST ALBANS EXCHANGE"/>
    <n v="423030667200"/>
    <s v="Waste"/>
    <x v="1"/>
    <x v="2"/>
    <s v="Account"/>
    <s v="CLEANAWAY General"/>
    <m/>
    <s v="25927_Landfill_General"/>
    <s v="General"/>
    <s v="Cleanaway"/>
    <m/>
    <d v="2021-02-12T00:00:00"/>
    <m/>
    <d v="2021-02-01T00:00:00"/>
    <s v="FY21"/>
    <s v="t"/>
    <n v="0.77100000000000002"/>
    <n v="0"/>
    <n v="0"/>
    <n v="0.77100000000000002"/>
    <n v="2"/>
    <n v="0"/>
    <n v="0"/>
    <n v="2"/>
    <n v="100"/>
    <n v="0"/>
    <n v="0"/>
    <s v="Consolidation"/>
    <s v="CO2e and Base Measure"/>
    <n v="100"/>
    <n v="100"/>
    <n v="0.77"/>
    <m/>
    <m/>
    <m/>
    <m/>
    <m/>
    <n v="1.0023"/>
    <m/>
    <n v="1.0023"/>
    <m/>
    <m/>
    <m/>
    <m/>
    <m/>
    <s v="AUD"/>
    <s v="13639915Waste - General [t] - Scope 3"/>
    <n v="13639915"/>
  </r>
  <r>
    <d v="2019-07-01T00:00:00"/>
    <d v="2021-06-30T00:00:00"/>
    <s v="Telstra"/>
    <s v="NETWORK"/>
    <s v="Network - InfraCo"/>
    <s v="VIC"/>
    <s v="Australia"/>
    <s v="St Albans"/>
    <s v="ST ALBANS EXCHANGE"/>
    <n v="423030667200"/>
    <s v="Waste"/>
    <x v="1"/>
    <x v="2"/>
    <s v="Account"/>
    <s v="CLEANAWAY General"/>
    <m/>
    <s v="25927_Landfill_General"/>
    <s v="General"/>
    <s v="Cleanaway"/>
    <m/>
    <d v="2021-02-12T00:00:00"/>
    <m/>
    <d v="2021-03-01T00:00:00"/>
    <s v="FY21"/>
    <s v="t"/>
    <n v="0.39500000000000002"/>
    <n v="0"/>
    <n v="0"/>
    <n v="0.39500000000000002"/>
    <n v="2"/>
    <n v="0"/>
    <n v="0"/>
    <n v="2"/>
    <n v="100"/>
    <n v="0"/>
    <n v="0"/>
    <s v="Consolidation"/>
    <s v="CO2e and Base Measure"/>
    <n v="100"/>
    <n v="100"/>
    <n v="0.4"/>
    <m/>
    <m/>
    <m/>
    <m/>
    <m/>
    <n v="0.51349999999999996"/>
    <m/>
    <n v="0.51349999999999996"/>
    <m/>
    <m/>
    <m/>
    <m/>
    <m/>
    <s v="AUD"/>
    <s v="13639915Waste - General [t] - Scope 3"/>
    <n v="13639915"/>
  </r>
  <r>
    <d v="2019-07-01T00:00:00"/>
    <d v="2021-06-30T00:00:00"/>
    <s v="Telstra"/>
    <s v="NETWORK"/>
    <s v="Network - InfraCo"/>
    <s v="VIC"/>
    <s v="Australia"/>
    <s v="St Albans"/>
    <s v="ST ALBANS EXCHANGE"/>
    <n v="423030667200"/>
    <s v="Waste"/>
    <x v="1"/>
    <x v="2"/>
    <s v="Account"/>
    <s v="CLEANAWAY General"/>
    <m/>
    <s v="25927_Landfill_General"/>
    <s v="General"/>
    <s v="Cleanaway"/>
    <m/>
    <d v="2021-02-12T00:00:00"/>
    <m/>
    <d v="2021-04-01T00:00:00"/>
    <s v="FY21"/>
    <s v="t"/>
    <n v="0"/>
    <n v="0"/>
    <n v="0.60299999999999998"/>
    <n v="0.60299999999999998"/>
    <n v="0"/>
    <n v="0"/>
    <n v="30"/>
    <n v="30"/>
    <n v="0"/>
    <n v="0"/>
    <n v="100"/>
    <s v="Consolidation"/>
    <s v="CO2e and Base Measure"/>
    <n v="100"/>
    <n v="100"/>
    <n v="0.6"/>
    <m/>
    <m/>
    <m/>
    <m/>
    <m/>
    <n v="0.78390000000000004"/>
    <m/>
    <n v="0.78390000000000004"/>
    <m/>
    <m/>
    <m/>
    <m/>
    <m/>
    <s v="AUD"/>
    <s v="13639915Waste - General [t] - Scope 3"/>
    <n v="13639915"/>
  </r>
  <r>
    <d v="2019-07-01T00:00:00"/>
    <d v="2021-06-30T00:00:00"/>
    <s v="Telstra"/>
    <s v="NETWORK"/>
    <s v="Network - InfraCo"/>
    <s v="VIC"/>
    <s v="Australia"/>
    <s v="St Albans"/>
    <s v="ST ALBANS EXCHANGE"/>
    <n v="423030667200"/>
    <s v="Waste"/>
    <x v="1"/>
    <x v="2"/>
    <s v="Account"/>
    <s v="CLEANAWAY General"/>
    <m/>
    <s v="25927_Landfill_General"/>
    <s v="General"/>
    <s v="Cleanaway"/>
    <m/>
    <d v="2021-02-12T00:00:00"/>
    <m/>
    <d v="2021-05-01T00:00:00"/>
    <s v="FY21"/>
    <s v="t"/>
    <n v="0"/>
    <n v="0"/>
    <n v="0.62309999999999999"/>
    <n v="0.62309999999999999"/>
    <n v="0"/>
    <n v="0"/>
    <n v="31"/>
    <n v="31"/>
    <n v="0"/>
    <n v="0"/>
    <n v="100"/>
    <s v="Consolidation"/>
    <s v="CO2e and Base Measure"/>
    <n v="100"/>
    <n v="100"/>
    <n v="0.62"/>
    <m/>
    <m/>
    <m/>
    <m/>
    <m/>
    <n v="0.81"/>
    <m/>
    <n v="0.81"/>
    <m/>
    <m/>
    <m/>
    <m/>
    <m/>
    <s v="AUD"/>
    <s v="13639915Waste - General [t] - Scope 3"/>
    <n v="13639915"/>
  </r>
  <r>
    <d v="2019-07-01T00:00:00"/>
    <d v="2021-06-30T00:00:00"/>
    <s v="Telstra"/>
    <s v="NETWORK"/>
    <s v="Network - InfraCo"/>
    <s v="TAS"/>
    <s v="Australia"/>
    <s v="St Helens"/>
    <s v="ST HELENS EXCHANGE"/>
    <n v="423031120200"/>
    <s v="Waste"/>
    <x v="1"/>
    <x v="2"/>
    <s v="Account"/>
    <s v="Remondis General Waste"/>
    <m/>
    <s v="4230311202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544Waste - General [t] - Scope 3"/>
    <n v="13565544"/>
  </r>
  <r>
    <d v="2019-07-01T00:00:00"/>
    <d v="2021-06-30T00:00:00"/>
    <s v="Telstra"/>
    <s v="NETWORK"/>
    <s v="Network - InfraCo"/>
    <s v="TAS"/>
    <s v="Australia"/>
    <s v="St Helens"/>
    <s v="ST HELENS EXCHANGE"/>
    <n v="423031120200"/>
    <s v="Waste"/>
    <x v="1"/>
    <x v="2"/>
    <s v="Account"/>
    <s v="Remondis General Waste"/>
    <m/>
    <s v="423031120200_WGENERALW"/>
    <s v="GENERAL WASTE"/>
    <s v="Remondis"/>
    <m/>
    <m/>
    <d v="2020-12-01T00:00:00"/>
    <d v="2020-12-01T00:00:00"/>
    <s v="FY21"/>
    <s v="t"/>
    <n v="0"/>
    <n v="0"/>
    <n v="3.3999999999999998E-3"/>
    <n v="3.3999999999999998E-3"/>
    <n v="0"/>
    <n v="0"/>
    <n v="1"/>
    <n v="1"/>
    <n v="0"/>
    <n v="0"/>
    <n v="100"/>
    <s v="Consolidation"/>
    <s v="CO2e and Base Measure"/>
    <n v="100"/>
    <n v="100"/>
    <n v="0"/>
    <m/>
    <m/>
    <m/>
    <m/>
    <m/>
    <n v="4.4000000000000003E-3"/>
    <m/>
    <n v="4.4000000000000003E-3"/>
    <m/>
    <m/>
    <m/>
    <m/>
    <m/>
    <s v="AUD"/>
    <s v="13565544Waste - General [t] - Scope 3"/>
    <n v="13565544"/>
  </r>
  <r>
    <d v="2019-07-01T00:00:00"/>
    <d v="2021-06-30T00:00:00"/>
    <s v="Telstra"/>
    <s v="NETWORK"/>
    <s v="Network - InfraCo"/>
    <s v="TAS"/>
    <s v="Australia"/>
    <s v="St Helens"/>
    <s v="ST HELENS EXCHANGE"/>
    <n v="423031120200"/>
    <s v="Waste"/>
    <x v="1"/>
    <x v="2"/>
    <s v="Account"/>
    <s v="CLEANAWAY General"/>
    <m/>
    <s v="90650_Landfill_General"/>
    <s v="General"/>
    <s v="Cleanaway"/>
    <m/>
    <d v="2021-02-18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9916Waste - General [t] - Scope 3"/>
    <n v="13639916"/>
  </r>
  <r>
    <d v="2019-07-01T00:00:00"/>
    <d v="2021-06-30T00:00:00"/>
    <s v="Telstra"/>
    <s v="NETWORK"/>
    <s v="Network - InfraCo"/>
    <s v="TAS"/>
    <s v="Australia"/>
    <s v="St Helens"/>
    <s v="ST HELENS EXCHANGE"/>
    <n v="423031120200"/>
    <s v="Waste"/>
    <x v="1"/>
    <x v="2"/>
    <s v="Account"/>
    <s v="CLEANAWAY General"/>
    <m/>
    <s v="90650_Landfill_General"/>
    <s v="General"/>
    <s v="Cleanaway"/>
    <m/>
    <d v="2021-02-18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9916Waste - General [t] - Scope 3"/>
    <n v="13639916"/>
  </r>
  <r>
    <d v="2019-07-01T00:00:00"/>
    <d v="2021-06-30T00:00:00"/>
    <s v="Telstra"/>
    <s v="NETWORK"/>
    <s v="Network - InfraCo"/>
    <s v="TAS"/>
    <s v="Australia"/>
    <s v="St Helens"/>
    <s v="ST HELENS EXCHANGE"/>
    <n v="423031120200"/>
    <s v="Waste"/>
    <x v="1"/>
    <x v="2"/>
    <s v="Account"/>
    <s v="CLEANAWAY General"/>
    <m/>
    <s v="90650_Landfill_General"/>
    <s v="General"/>
    <s v="Cleanaway"/>
    <m/>
    <d v="2021-02-18T00:00:00"/>
    <m/>
    <d v="2021-04-01T00:00:00"/>
    <s v="FY21"/>
    <s v="t"/>
    <n v="0"/>
    <n v="0"/>
    <n v="0.14099999999999999"/>
    <n v="0.14099999999999999"/>
    <n v="0"/>
    <n v="0"/>
    <n v="30"/>
    <n v="30"/>
    <n v="0"/>
    <n v="0"/>
    <n v="100"/>
    <s v="Consolidation"/>
    <s v="CO2e and Base Measure"/>
    <n v="100"/>
    <n v="100"/>
    <n v="0.14000000000000001"/>
    <m/>
    <m/>
    <m/>
    <m/>
    <m/>
    <n v="0.18329999999999999"/>
    <m/>
    <n v="0.18329999999999999"/>
    <m/>
    <m/>
    <m/>
    <m/>
    <m/>
    <s v="AUD"/>
    <s v="13639916Waste - General [t] - Scope 3"/>
    <n v="13639916"/>
  </r>
  <r>
    <d v="2019-07-01T00:00:00"/>
    <d v="2021-06-30T00:00:00"/>
    <s v="Telstra"/>
    <s v="NETWORK"/>
    <s v="Network - InfraCo"/>
    <s v="TAS"/>
    <s v="Australia"/>
    <s v="St Helens"/>
    <s v="ST HELENS EXCHANGE"/>
    <n v="423031120200"/>
    <s v="Waste"/>
    <x v="1"/>
    <x v="2"/>
    <s v="Account"/>
    <s v="CLEANAWAY General"/>
    <m/>
    <s v="90650_Landfill_General"/>
    <s v="General"/>
    <s v="Cleanaway"/>
    <m/>
    <d v="2021-02-18T00:00:00"/>
    <m/>
    <d v="2021-05-01T00:00:00"/>
    <s v="FY21"/>
    <s v="t"/>
    <n v="0"/>
    <n v="0"/>
    <n v="0.1457"/>
    <n v="0.1457"/>
    <n v="0"/>
    <n v="0"/>
    <n v="31"/>
    <n v="31"/>
    <n v="0"/>
    <n v="0"/>
    <n v="100"/>
    <s v="Consolidation"/>
    <s v="CO2e and Base Measure"/>
    <n v="100"/>
    <n v="100"/>
    <n v="0.15"/>
    <m/>
    <m/>
    <m/>
    <m/>
    <m/>
    <n v="0.18940000000000001"/>
    <m/>
    <n v="0.18940000000000001"/>
    <m/>
    <m/>
    <m/>
    <m/>
    <m/>
    <s v="AUD"/>
    <s v="13639916Waste - General [t] - Scope 3"/>
    <n v="13639916"/>
  </r>
  <r>
    <d v="2019-07-01T00:00:00"/>
    <d v="2021-06-30T00:00:00"/>
    <s v="Telstra"/>
    <s v="NETWORK"/>
    <s v="Network - InfraCo"/>
    <s v="TAS"/>
    <s v="Australia"/>
    <s v="Launceston"/>
    <s v="ST JOHN EXCHANGE"/>
    <n v="423030930300"/>
    <s v="Recycled Waste"/>
    <x v="0"/>
    <x v="0"/>
    <s v="Account"/>
    <s v="Remondis Cardboard - Loose - Recycled"/>
    <m/>
    <s v="423030930300_RCARDBOAR"/>
    <s v="CARDBOARD - LOOSE - RECYCLED"/>
    <s v="Remondis"/>
    <m/>
    <m/>
    <d v="2020-12-01T00:00:00"/>
    <d v="2020-11-01T00:00:00"/>
    <s v="FY21"/>
    <s v="t"/>
    <n v="0"/>
    <n v="5.0000000000000001E-3"/>
    <n v="0"/>
    <n v="5.0000000000000001E-3"/>
    <n v="0"/>
    <n v="1"/>
    <n v="0"/>
    <n v="1"/>
    <n v="0"/>
    <n v="100"/>
    <n v="0"/>
    <s v="Consolidation"/>
    <s v="CO2e and Base Measure"/>
    <n v="100"/>
    <n v="100"/>
    <n v="0.01"/>
    <m/>
    <m/>
    <m/>
    <m/>
    <m/>
    <m/>
    <n v="0"/>
    <m/>
    <m/>
    <m/>
    <m/>
    <m/>
    <m/>
    <s v="AUD"/>
    <s v="13565480Waste Recycled - Cardboard [t]"/>
    <n v="13565480"/>
  </r>
  <r>
    <d v="2019-07-01T00:00:00"/>
    <d v="2021-06-30T00:00:00"/>
    <s v="Telstra"/>
    <s v="NETWORK"/>
    <s v="Network - InfraCo"/>
    <s v="TAS"/>
    <s v="Australia"/>
    <s v="Launceston"/>
    <s v="ST JOHN EXCHANGE"/>
    <n v="423030930300"/>
    <s v="Recycled Waste"/>
    <x v="0"/>
    <x v="0"/>
    <s v="Account"/>
    <s v="Remondis Cardboard - Loose - Recycled"/>
    <m/>
    <s v="423030930300_RCARDBOAR"/>
    <s v="CARDBOARD - LOOSE - RECYCLED"/>
    <s v="Remondis"/>
    <m/>
    <m/>
    <d v="2020-12-01T00:00:00"/>
    <d v="2020-12-01T00:00:00"/>
    <s v="FY21"/>
    <s v="t"/>
    <n v="0"/>
    <n v="0"/>
    <n v="2.0000000000000001E-4"/>
    <n v="2.0000000000000001E-4"/>
    <n v="0"/>
    <n v="0"/>
    <n v="1"/>
    <n v="1"/>
    <n v="0"/>
    <n v="0"/>
    <n v="100"/>
    <s v="Consolidation"/>
    <s v="CO2e and Base Measure"/>
    <n v="100"/>
    <n v="100"/>
    <n v="0"/>
    <m/>
    <m/>
    <m/>
    <m/>
    <m/>
    <m/>
    <n v="0"/>
    <m/>
    <m/>
    <m/>
    <m/>
    <m/>
    <m/>
    <s v="AUD"/>
    <s v="13565480Waste Recycled - Cardboard [t]"/>
    <n v="13565480"/>
  </r>
  <r>
    <d v="2019-07-01T00:00:00"/>
    <d v="2021-06-30T00:00:00"/>
    <s v="Telstra"/>
    <s v="NETWORK"/>
    <s v="Network - InfraCo"/>
    <s v="TAS"/>
    <s v="Australia"/>
    <s v="Launceston"/>
    <s v="ST JOHN EXCHANGE"/>
    <n v="423030930300"/>
    <s v="Recycled Waste"/>
    <x v="0"/>
    <x v="3"/>
    <s v="Account"/>
    <s v="Remondis Commingled - Recycled"/>
    <m/>
    <s v="423030930300_RCOMINGLE"/>
    <s v="COMMINGLED - RECYCLED"/>
    <s v="Remondis"/>
    <m/>
    <m/>
    <d v="2020-12-01T00:00:00"/>
    <d v="2020-11-01T00:00:00"/>
    <s v="FY21"/>
    <s v="t"/>
    <n v="0"/>
    <n v="2.4E-2"/>
    <n v="0"/>
    <n v="2.4E-2"/>
    <n v="0"/>
    <n v="1"/>
    <n v="0"/>
    <n v="1"/>
    <n v="0"/>
    <n v="100"/>
    <n v="0"/>
    <s v="Consolidation"/>
    <s v="CO2e and Base Measure"/>
    <n v="100"/>
    <n v="100"/>
    <n v="0.02"/>
    <m/>
    <m/>
    <m/>
    <m/>
    <m/>
    <m/>
    <n v="0"/>
    <m/>
    <m/>
    <m/>
    <m/>
    <m/>
    <m/>
    <s v="AUD"/>
    <s v="13565481Waste Recycled - Commingled [t]"/>
    <n v="13565481"/>
  </r>
  <r>
    <d v="2019-07-01T00:00:00"/>
    <d v="2021-06-30T00:00:00"/>
    <s v="Telstra"/>
    <s v="NETWORK"/>
    <s v="Network - InfraCo"/>
    <s v="TAS"/>
    <s v="Australia"/>
    <s v="Launceston"/>
    <s v="ST JOHN EXCHANGE"/>
    <n v="423030930300"/>
    <s v="Recycled Waste"/>
    <x v="0"/>
    <x v="3"/>
    <s v="Account"/>
    <s v="Remondis Commingled - Recycled"/>
    <m/>
    <s v="423030930300_RCOMINGLE"/>
    <s v="COMMINGLED - RECYCLED"/>
    <s v="Remondis"/>
    <m/>
    <m/>
    <d v="2020-12-01T00:00:00"/>
    <d v="2020-12-01T00:00:00"/>
    <s v="FY21"/>
    <s v="t"/>
    <n v="0"/>
    <n v="0"/>
    <n v="8.0000000000000004E-4"/>
    <n v="8.0000000000000004E-4"/>
    <n v="0"/>
    <n v="0"/>
    <n v="1"/>
    <n v="1"/>
    <n v="0"/>
    <n v="0"/>
    <n v="100"/>
    <s v="Consolidation"/>
    <s v="CO2e and Base Measure"/>
    <n v="100"/>
    <n v="100"/>
    <n v="0"/>
    <m/>
    <m/>
    <m/>
    <m/>
    <m/>
    <m/>
    <n v="0"/>
    <m/>
    <m/>
    <m/>
    <m/>
    <m/>
    <m/>
    <s v="AUD"/>
    <s v="13565481Waste Recycled - Commingled [t]"/>
    <n v="13565481"/>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07-01T00:00:00"/>
    <s v="FY21"/>
    <s v="t"/>
    <n v="0"/>
    <n v="1.7549999999999999"/>
    <n v="0"/>
    <n v="1.7549999999999999"/>
    <n v="0"/>
    <n v="9"/>
    <n v="0"/>
    <n v="9"/>
    <n v="0"/>
    <n v="100"/>
    <n v="0"/>
    <s v="Consolidation"/>
    <s v="CO2e and Base Measure"/>
    <n v="100"/>
    <n v="100"/>
    <n v="1.76"/>
    <m/>
    <m/>
    <m/>
    <m/>
    <m/>
    <n v="2.2814999999999999"/>
    <m/>
    <n v="2.2814999999999999"/>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08-01T00:00:00"/>
    <s v="FY21"/>
    <s v="t"/>
    <n v="0"/>
    <n v="1.7549999999999999"/>
    <n v="0"/>
    <n v="1.7549999999999999"/>
    <n v="0"/>
    <n v="9"/>
    <n v="0"/>
    <n v="9"/>
    <n v="0"/>
    <n v="100"/>
    <n v="0"/>
    <s v="Consolidation"/>
    <s v="CO2e and Base Measure"/>
    <n v="100"/>
    <n v="100"/>
    <n v="1.76"/>
    <m/>
    <m/>
    <m/>
    <m/>
    <m/>
    <n v="2.2814999999999999"/>
    <m/>
    <n v="2.2814999999999999"/>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09-01T00:00:00"/>
    <s v="FY21"/>
    <s v="t"/>
    <n v="0"/>
    <n v="1.56"/>
    <n v="0"/>
    <n v="1.56"/>
    <n v="0"/>
    <n v="8"/>
    <n v="0"/>
    <n v="8"/>
    <n v="0"/>
    <n v="100"/>
    <n v="0"/>
    <s v="Consolidation"/>
    <s v="CO2e and Base Measure"/>
    <n v="100"/>
    <n v="100"/>
    <n v="1.56"/>
    <m/>
    <m/>
    <m/>
    <m/>
    <m/>
    <n v="2.028"/>
    <m/>
    <n v="2.028"/>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10-01T00:00:00"/>
    <s v="FY21"/>
    <s v="t"/>
    <n v="0"/>
    <n v="1.7549999999999999"/>
    <n v="0"/>
    <n v="1.7549999999999999"/>
    <n v="0"/>
    <n v="9"/>
    <n v="0"/>
    <n v="9"/>
    <n v="0"/>
    <n v="100"/>
    <n v="0"/>
    <s v="Consolidation"/>
    <s v="CO2e and Base Measure"/>
    <n v="100"/>
    <n v="100"/>
    <n v="1.76"/>
    <m/>
    <m/>
    <m/>
    <m/>
    <m/>
    <n v="2.2814999999999999"/>
    <m/>
    <n v="2.2814999999999999"/>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11-01T00:00:00"/>
    <s v="FY21"/>
    <s v="t"/>
    <n v="0"/>
    <n v="1.95"/>
    <n v="0"/>
    <n v="1.95"/>
    <n v="0"/>
    <n v="9"/>
    <n v="0"/>
    <n v="9"/>
    <n v="0"/>
    <n v="100"/>
    <n v="0"/>
    <s v="Consolidation"/>
    <s v="CO2e and Base Measure"/>
    <n v="100"/>
    <n v="100"/>
    <n v="1.95"/>
    <m/>
    <m/>
    <m/>
    <m/>
    <m/>
    <n v="2.5350000000000001"/>
    <m/>
    <n v="2.5350000000000001"/>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12-01T00:00:00"/>
    <s v="FY21"/>
    <s v="t"/>
    <n v="0"/>
    <n v="0"/>
    <n v="5.79E-2"/>
    <n v="5.79E-2"/>
    <n v="0"/>
    <n v="0"/>
    <n v="1"/>
    <n v="1"/>
    <n v="0"/>
    <n v="0"/>
    <n v="100"/>
    <s v="Consolidation"/>
    <s v="CO2e and Base Measure"/>
    <n v="100"/>
    <n v="100"/>
    <n v="0.06"/>
    <m/>
    <m/>
    <m/>
    <m/>
    <m/>
    <n v="7.5300000000000006E-2"/>
    <m/>
    <n v="7.5300000000000006E-2"/>
    <m/>
    <m/>
    <m/>
    <m/>
    <m/>
    <s v="AUD"/>
    <s v="13565483Waste - General [t] - Scope 3"/>
    <n v="13565483"/>
  </r>
  <r>
    <d v="2019-07-01T00:00:00"/>
    <d v="2021-06-30T00:00:00"/>
    <s v="Telstra"/>
    <s v="NETWORK"/>
    <s v="Network - InfraCo"/>
    <s v="TAS"/>
    <s v="Australia"/>
    <s v="Launceston"/>
    <s v="ST JOHN EXCHANGE"/>
    <n v="423030930300"/>
    <s v="Recycled Waste"/>
    <x v="0"/>
    <x v="1"/>
    <s v="Account"/>
    <s v="Remondis Electrical Comp. (E-Waste)"/>
    <m/>
    <s v="423030930300_RELECTRIC"/>
    <s v="ELECTRICAL COMP. E-WASTE"/>
    <s v="Remondis"/>
    <m/>
    <m/>
    <d v="2020-09-01T00:00:00"/>
    <d v="2020-08-01T00:00:00"/>
    <s v="FY21"/>
    <s v="t"/>
    <n v="0.30599999999999999"/>
    <n v="0"/>
    <n v="0"/>
    <n v="0.30599999999999999"/>
    <n v="1"/>
    <n v="0"/>
    <n v="0"/>
    <n v="1"/>
    <n v="100"/>
    <n v="0"/>
    <n v="0"/>
    <s v="Consolidation"/>
    <s v="CO2e and Base Measure"/>
    <n v="100"/>
    <n v="100"/>
    <n v="0.31"/>
    <m/>
    <m/>
    <m/>
    <m/>
    <m/>
    <m/>
    <m/>
    <m/>
    <m/>
    <m/>
    <m/>
    <m/>
    <m/>
    <s v="AUD"/>
    <s v="13576255Waste Recycled - E-waste [t]"/>
    <n v="13576255"/>
  </r>
  <r>
    <d v="2019-07-01T00:00:00"/>
    <d v="2021-06-30T00:00:00"/>
    <s v="Telstra"/>
    <s v="NETWORK"/>
    <s v="Network - InfraCo"/>
    <s v="TAS"/>
    <s v="Australia"/>
    <s v="Launceston"/>
    <s v="ST JOHN EXCHANGE"/>
    <n v="423030930300"/>
    <s v="Recycled Waste"/>
    <x v="0"/>
    <x v="1"/>
    <s v="Account"/>
    <s v="Remondis Electrical Comp. (E-Waste)"/>
    <m/>
    <s v="423030930300_RELECTRIC"/>
    <s v="ELECTRICAL COMP. E-WASTE"/>
    <s v="Remondis"/>
    <m/>
    <m/>
    <d v="2020-09-01T00:00:00"/>
    <d v="2020-09-01T00:00:00"/>
    <s v="FY21"/>
    <s v="t"/>
    <n v="0"/>
    <n v="0"/>
    <n v="1.0200000000000001E-2"/>
    <n v="1.0200000000000001E-2"/>
    <n v="0"/>
    <n v="0"/>
    <n v="1"/>
    <n v="1"/>
    <n v="0"/>
    <n v="0"/>
    <n v="100"/>
    <s v="Consolidation"/>
    <s v="CO2e and Base Measure"/>
    <n v="100"/>
    <n v="100"/>
    <n v="0.01"/>
    <m/>
    <m/>
    <m/>
    <m/>
    <m/>
    <m/>
    <m/>
    <m/>
    <m/>
    <m/>
    <m/>
    <m/>
    <m/>
    <s v="AUD"/>
    <s v="13576255Waste Recycled - E-waste [t]"/>
    <n v="13576255"/>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0-12-01T00:00:00"/>
    <s v="FY21"/>
    <s v="t"/>
    <n v="0.38"/>
    <n v="0"/>
    <n v="0"/>
    <n v="0.38"/>
    <n v="1"/>
    <n v="0"/>
    <n v="0"/>
    <n v="1"/>
    <n v="100"/>
    <n v="0"/>
    <n v="0"/>
    <s v="Consolidation"/>
    <s v="CO2e and Base Measure"/>
    <n v="100"/>
    <n v="100"/>
    <n v="0.38"/>
    <m/>
    <m/>
    <m/>
    <m/>
    <m/>
    <n v="0.49399999999999999"/>
    <m/>
    <n v="0.49399999999999999"/>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1-01T00:00:00"/>
    <s v="FY21"/>
    <s v="t"/>
    <n v="1.5089999999999999"/>
    <n v="0"/>
    <n v="0"/>
    <n v="1.5089999999999999"/>
    <n v="5"/>
    <n v="0"/>
    <n v="0"/>
    <n v="5"/>
    <n v="100"/>
    <n v="0"/>
    <n v="0"/>
    <s v="Consolidation"/>
    <s v="CO2e and Base Measure"/>
    <n v="100"/>
    <n v="100"/>
    <n v="1.51"/>
    <m/>
    <m/>
    <m/>
    <m/>
    <m/>
    <n v="1.9617"/>
    <m/>
    <n v="1.9617"/>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2-01T00:00:00"/>
    <s v="FY21"/>
    <s v="t"/>
    <n v="0.80100000000000005"/>
    <n v="0.13500000000000001"/>
    <n v="0"/>
    <n v="0.93600000000000005"/>
    <n v="3"/>
    <n v="1"/>
    <n v="0"/>
    <n v="4"/>
    <n v="85.57"/>
    <n v="14.42"/>
    <n v="0"/>
    <s v="Consolidation"/>
    <s v="CO2e and Base Measure"/>
    <n v="100"/>
    <n v="100"/>
    <n v="0.94"/>
    <m/>
    <m/>
    <m/>
    <m/>
    <m/>
    <n v="1.2168000000000001"/>
    <m/>
    <n v="1.2168000000000001"/>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3-01T00:00:00"/>
    <s v="FY21"/>
    <s v="t"/>
    <n v="0.42299999999999999"/>
    <n v="0.13500000000000001"/>
    <n v="0"/>
    <n v="0.55800000000000005"/>
    <n v="3"/>
    <n v="1"/>
    <n v="0"/>
    <n v="4"/>
    <n v="75.8"/>
    <n v="24.19"/>
    <n v="0"/>
    <s v="Consolidation"/>
    <s v="CO2e and Base Measure"/>
    <n v="100"/>
    <n v="100"/>
    <n v="0.56000000000000005"/>
    <m/>
    <m/>
    <m/>
    <m/>
    <m/>
    <n v="0.72540000000000004"/>
    <m/>
    <n v="0.72540000000000004"/>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4-01T00:00:00"/>
    <s v="FY21"/>
    <s v="t"/>
    <n v="0"/>
    <n v="0"/>
    <n v="0.84599999999999997"/>
    <n v="0.84599999999999997"/>
    <n v="0"/>
    <n v="0"/>
    <n v="30"/>
    <n v="30"/>
    <n v="0"/>
    <n v="0"/>
    <n v="100"/>
    <s v="Consolidation"/>
    <s v="CO2e and Base Measure"/>
    <n v="100"/>
    <n v="100"/>
    <n v="0.85"/>
    <m/>
    <m/>
    <m/>
    <m/>
    <m/>
    <n v="1.0998000000000001"/>
    <m/>
    <n v="1.0998000000000001"/>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5-01T00:00:00"/>
    <s v="FY21"/>
    <s v="t"/>
    <n v="0"/>
    <n v="0"/>
    <n v="0.87419999999999998"/>
    <n v="0.87419999999999998"/>
    <n v="0"/>
    <n v="0"/>
    <n v="31"/>
    <n v="31"/>
    <n v="0"/>
    <n v="0"/>
    <n v="100"/>
    <s v="Consolidation"/>
    <s v="CO2e and Base Measure"/>
    <n v="100"/>
    <n v="100"/>
    <n v="0.87"/>
    <m/>
    <m/>
    <m/>
    <m/>
    <m/>
    <n v="1.1365000000000001"/>
    <m/>
    <n v="1.1365000000000001"/>
    <m/>
    <m/>
    <m/>
    <m/>
    <m/>
    <s v="AUD"/>
    <s v="13634262Waste - General [t] - Scope 3"/>
    <n v="13634262"/>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07-01T00:00:00"/>
    <s v="FY21"/>
    <s v="t"/>
    <n v="3.0000000000000001E-3"/>
    <n v="0.64"/>
    <n v="0"/>
    <n v="0.64300000000000002"/>
    <n v="3"/>
    <n v="7"/>
    <n v="0"/>
    <n v="10"/>
    <n v="0.46"/>
    <n v="99.53"/>
    <n v="0"/>
    <s v="Consolidation"/>
    <s v="CO2e and Base Measure"/>
    <n v="100"/>
    <n v="100"/>
    <n v="0.64"/>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08-01T00:00:00"/>
    <s v="FY21"/>
    <s v="t"/>
    <n v="8.0000000000000002E-3"/>
    <n v="0.50900000000000001"/>
    <n v="0"/>
    <n v="0.51700000000000002"/>
    <n v="3"/>
    <n v="5"/>
    <n v="0"/>
    <n v="8"/>
    <n v="1.54"/>
    <n v="98.45"/>
    <n v="0"/>
    <s v="Consolidation"/>
    <s v="CO2e and Base Measure"/>
    <n v="100"/>
    <n v="100"/>
    <n v="0.52"/>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09-01T00:00:00"/>
    <s v="FY21"/>
    <s v="t"/>
    <n v="2E-3"/>
    <n v="0.65"/>
    <n v="0"/>
    <n v="0.65200000000000002"/>
    <n v="1"/>
    <n v="9"/>
    <n v="0"/>
    <n v="10"/>
    <n v="0.3"/>
    <n v="99.69"/>
    <n v="0"/>
    <s v="Consolidation"/>
    <s v="CO2e and Base Measure"/>
    <n v="100"/>
    <n v="100"/>
    <n v="0.65"/>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10-01T00:00:00"/>
    <s v="FY21"/>
    <s v="t"/>
    <n v="5.0000000000000001E-3"/>
    <n v="0.51900000000000002"/>
    <n v="0"/>
    <n v="0.52400000000000002"/>
    <n v="1"/>
    <n v="7"/>
    <n v="0"/>
    <n v="8"/>
    <n v="0.95"/>
    <n v="99.04"/>
    <n v="0"/>
    <s v="Consolidation"/>
    <s v="CO2e and Base Measure"/>
    <n v="100"/>
    <n v="100"/>
    <n v="0.52"/>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11-01T00:00:00"/>
    <s v="FY21"/>
    <s v="t"/>
    <n v="6.0000000000000001E-3"/>
    <n v="0.51400000000000001"/>
    <n v="0"/>
    <n v="0.52"/>
    <n v="2"/>
    <n v="6"/>
    <n v="0"/>
    <n v="8"/>
    <n v="1.1499999999999999"/>
    <n v="98.84"/>
    <n v="0"/>
    <s v="Consolidation"/>
    <s v="CO2e and Base Measure"/>
    <n v="100"/>
    <n v="100"/>
    <n v="0.52"/>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12-01T00:00:00"/>
    <s v="FY21"/>
    <s v="t"/>
    <n v="0"/>
    <n v="0.13100000000000001"/>
    <n v="0"/>
    <n v="0.13100000000000001"/>
    <n v="0"/>
    <n v="2"/>
    <n v="0"/>
    <n v="2"/>
    <n v="0"/>
    <n v="100"/>
    <n v="0"/>
    <s v="Consolidation"/>
    <s v="CO2e and Base Measure"/>
    <n v="100"/>
    <n v="100"/>
    <n v="0.13"/>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1-01-01T00:00:00"/>
    <s v="FY21"/>
    <s v="t"/>
    <n v="0"/>
    <n v="0"/>
    <n v="1.6400000000000001E-2"/>
    <n v="1.6400000000000001E-2"/>
    <n v="0"/>
    <n v="0"/>
    <n v="1"/>
    <n v="1"/>
    <n v="0"/>
    <n v="0"/>
    <n v="100"/>
    <s v="Consolidation"/>
    <s v="CO2e and Base Measure"/>
    <n v="100"/>
    <n v="100"/>
    <n v="0.02"/>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1"/>
    <s v="Account"/>
    <s v="Remondis Electrical Comp. (E-Waste)"/>
    <m/>
    <s v="423030364500_RELECTRIC"/>
    <s v="ELECTRICAL COMP. E-WASTE"/>
    <s v="Remondis"/>
    <m/>
    <m/>
    <d v="2021-01-01T00:00:00"/>
    <d v="2020-12-01T00:00:00"/>
    <s v="FY21"/>
    <s v="t"/>
    <n v="-0.438"/>
    <n v="0"/>
    <n v="0"/>
    <n v="-0.438"/>
    <n v="1"/>
    <n v="0"/>
    <n v="0"/>
    <n v="1"/>
    <n v="100"/>
    <n v="0"/>
    <n v="0"/>
    <s v="Consolidation"/>
    <s v="CO2e and Base Measure"/>
    <n v="100"/>
    <n v="100"/>
    <n v="-0.44"/>
    <m/>
    <m/>
    <m/>
    <m/>
    <m/>
    <m/>
    <m/>
    <m/>
    <m/>
    <m/>
    <m/>
    <m/>
    <m/>
    <s v="AUD"/>
    <s v="13564736Waste Recycled - E-waste [t]"/>
    <n v="13564736"/>
  </r>
  <r>
    <d v="2019-07-01T00:00:00"/>
    <d v="2021-06-30T00:00:00"/>
    <s v="Telstra"/>
    <s v="DATACENTRE"/>
    <s v="Datacentre - InfraCo"/>
    <s v="NSW"/>
    <s v="Australia"/>
    <s v="St Leonards"/>
    <s v="ST LEONARDS DATA CENTRE"/>
    <n v="423030364500"/>
    <s v="Recycled Waste"/>
    <x v="0"/>
    <x v="1"/>
    <s v="Account"/>
    <s v="Remondis Electrical Comp. (E-Waste)"/>
    <m/>
    <s v="423030364500_RELECTRIC"/>
    <s v="ELECTRICAL COMP. E-WASTE"/>
    <s v="Remondis"/>
    <m/>
    <m/>
    <d v="2021-01-01T00:00:00"/>
    <d v="2021-01-01T00:00:00"/>
    <s v="FY21"/>
    <s v="t"/>
    <n v="0"/>
    <n v="0"/>
    <n v="-1.46E-2"/>
    <n v="-1.46E-2"/>
    <n v="0"/>
    <n v="0"/>
    <n v="1"/>
    <n v="1"/>
    <n v="0"/>
    <n v="0"/>
    <n v="100"/>
    <s v="Consolidation"/>
    <s v="CO2e and Base Measure"/>
    <n v="100"/>
    <n v="100"/>
    <n v="-0.01"/>
    <m/>
    <m/>
    <m/>
    <m/>
    <m/>
    <m/>
    <m/>
    <m/>
    <m/>
    <m/>
    <m/>
    <m/>
    <m/>
    <s v="AUD"/>
    <s v="13564736Waste Recycled - E-waste [t]"/>
    <n v="13564736"/>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07-01T00:00:00"/>
    <s v="FY21"/>
    <s v="t"/>
    <n v="0.47"/>
    <n v="0"/>
    <n v="0"/>
    <n v="0.47"/>
    <n v="9"/>
    <n v="0"/>
    <n v="0"/>
    <n v="9"/>
    <n v="100"/>
    <n v="0"/>
    <n v="0"/>
    <s v="Consolidation"/>
    <s v="CO2e and Base Measure"/>
    <n v="100"/>
    <n v="100"/>
    <n v="0.47"/>
    <m/>
    <m/>
    <m/>
    <m/>
    <m/>
    <n v="0.61099999999999999"/>
    <m/>
    <n v="0.61099999999999999"/>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08-01T00:00:00"/>
    <s v="FY21"/>
    <s v="t"/>
    <n v="0.45"/>
    <n v="0"/>
    <n v="0"/>
    <n v="0.45"/>
    <n v="8"/>
    <n v="0"/>
    <n v="0"/>
    <n v="8"/>
    <n v="100"/>
    <n v="0"/>
    <n v="0"/>
    <s v="Consolidation"/>
    <s v="CO2e and Base Measure"/>
    <n v="100"/>
    <n v="100"/>
    <n v="0.45"/>
    <m/>
    <m/>
    <m/>
    <m/>
    <m/>
    <n v="0.58499999999999996"/>
    <m/>
    <n v="0.58499999999999996"/>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09-01T00:00:00"/>
    <s v="FY21"/>
    <s v="t"/>
    <n v="0.49"/>
    <n v="0"/>
    <n v="0"/>
    <n v="0.49"/>
    <n v="8"/>
    <n v="0"/>
    <n v="0"/>
    <n v="8"/>
    <n v="100"/>
    <n v="0"/>
    <n v="0"/>
    <s v="Consolidation"/>
    <s v="CO2e and Base Measure"/>
    <n v="100"/>
    <n v="100"/>
    <n v="0.49"/>
    <m/>
    <m/>
    <m/>
    <m/>
    <m/>
    <n v="0.63700000000000001"/>
    <m/>
    <n v="0.63700000000000001"/>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10-01T00:00:00"/>
    <s v="FY21"/>
    <s v="t"/>
    <n v="0.42"/>
    <n v="0"/>
    <n v="0"/>
    <n v="0.42"/>
    <n v="9"/>
    <n v="0"/>
    <n v="0"/>
    <n v="9"/>
    <n v="100"/>
    <n v="0"/>
    <n v="0"/>
    <s v="Consolidation"/>
    <s v="CO2e and Base Measure"/>
    <n v="100"/>
    <n v="100"/>
    <n v="0.42"/>
    <m/>
    <m/>
    <m/>
    <m/>
    <m/>
    <n v="0.54600000000000004"/>
    <m/>
    <n v="0.54600000000000004"/>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11-01T00:00:00"/>
    <s v="FY21"/>
    <s v="t"/>
    <n v="0.47"/>
    <n v="0"/>
    <n v="0"/>
    <n v="0.47"/>
    <n v="8"/>
    <n v="0"/>
    <n v="0"/>
    <n v="8"/>
    <n v="100"/>
    <n v="0"/>
    <n v="0"/>
    <s v="Consolidation"/>
    <s v="CO2e and Base Measure"/>
    <n v="100"/>
    <n v="100"/>
    <n v="0.47"/>
    <m/>
    <m/>
    <m/>
    <m/>
    <m/>
    <n v="0.61099999999999999"/>
    <m/>
    <n v="0.61099999999999999"/>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12-01T00:00:00"/>
    <s v="FY21"/>
    <s v="t"/>
    <n v="0.09"/>
    <n v="0.19500000000000001"/>
    <n v="0"/>
    <n v="0.28499999999999998"/>
    <n v="2"/>
    <n v="1"/>
    <n v="0"/>
    <n v="3"/>
    <n v="31.57"/>
    <n v="68.42"/>
    <n v="0"/>
    <s v="Consolidation"/>
    <s v="CO2e and Base Measure"/>
    <n v="100"/>
    <n v="100"/>
    <n v="0.28999999999999998"/>
    <m/>
    <m/>
    <m/>
    <m/>
    <m/>
    <n v="0.3705"/>
    <m/>
    <n v="0.3705"/>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1-01-01T00:00:00"/>
    <s v="FY21"/>
    <s v="t"/>
    <n v="0"/>
    <n v="0"/>
    <n v="1.46E-2"/>
    <n v="1.46E-2"/>
    <n v="0"/>
    <n v="0"/>
    <n v="1"/>
    <n v="1"/>
    <n v="0"/>
    <n v="0"/>
    <n v="100"/>
    <s v="Consolidation"/>
    <s v="CO2e and Base Measure"/>
    <n v="100"/>
    <n v="100"/>
    <n v="0.01"/>
    <m/>
    <m/>
    <m/>
    <m/>
    <m/>
    <n v="1.9E-2"/>
    <m/>
    <n v="1.9E-2"/>
    <m/>
    <m/>
    <m/>
    <m/>
    <m/>
    <s v="AUD"/>
    <s v="13564738Waste - General [t] - Scope 3"/>
    <n v="13564738"/>
  </r>
  <r>
    <d v="2019-07-01T00:00:00"/>
    <d v="2021-06-30T00:00:00"/>
    <s v="Telstra"/>
    <s v="DATACENTRE"/>
    <s v="Datacentre - InfraCo"/>
    <s v="NSW"/>
    <s v="Australia"/>
    <s v="St Leonards"/>
    <s v="ST LEONARDS DATA CENTRE"/>
    <n v="423030364500"/>
    <s v="Recycled Waste"/>
    <x v="0"/>
    <x v="5"/>
    <s v="Account"/>
    <s v="Remondis Construction &amp; Demolition - Recycled"/>
    <m/>
    <s v="423030364500_RCONSDEM"/>
    <s v="CONSTRUCTION &amp; DEMOLITION - RECYLED"/>
    <s v="Remondis"/>
    <m/>
    <m/>
    <d v="2021-01-01T00:00:00"/>
    <d v="2020-10-01T00:00:00"/>
    <s v="FY21"/>
    <s v="t"/>
    <n v="2.62"/>
    <n v="0"/>
    <n v="0"/>
    <n v="2.62"/>
    <n v="1"/>
    <n v="0"/>
    <n v="0"/>
    <n v="1"/>
    <n v="100"/>
    <n v="0"/>
    <n v="0"/>
    <s v="Consolidation"/>
    <s v="CO2e and Base Measure"/>
    <n v="100"/>
    <n v="100"/>
    <n v="2.62"/>
    <m/>
    <m/>
    <m/>
    <m/>
    <m/>
    <m/>
    <m/>
    <m/>
    <m/>
    <m/>
    <m/>
    <m/>
    <m/>
    <s v="AUD"/>
    <s v="13576210Waste Recycled - Construction and Demolition [t]"/>
    <n v="13576210"/>
  </r>
  <r>
    <d v="2019-07-01T00:00:00"/>
    <d v="2021-06-30T00:00:00"/>
    <s v="Telstra"/>
    <s v="DATACENTRE"/>
    <s v="Datacentre - InfraCo"/>
    <s v="NSW"/>
    <s v="Australia"/>
    <s v="St Leonards"/>
    <s v="ST LEONARDS DATA CENTRE"/>
    <n v="423030364500"/>
    <s v="Recycled Waste"/>
    <x v="0"/>
    <x v="5"/>
    <s v="Account"/>
    <s v="Remondis Construction &amp; Demolition - Recycled"/>
    <m/>
    <s v="423030364500_RCONSDEM"/>
    <s v="CONSTRUCTION &amp; DEMOLITION - RECYLED"/>
    <s v="Remondis"/>
    <m/>
    <m/>
    <d v="2021-01-01T00:00:00"/>
    <d v="2020-12-01T00:00:00"/>
    <s v="FY21"/>
    <s v="t"/>
    <n v="1"/>
    <n v="0"/>
    <n v="0"/>
    <n v="1"/>
    <n v="1"/>
    <n v="0"/>
    <n v="0"/>
    <n v="1"/>
    <n v="100"/>
    <n v="0"/>
    <n v="0"/>
    <s v="Consolidation"/>
    <s v="CO2e and Base Measure"/>
    <n v="100"/>
    <n v="100"/>
    <n v="1"/>
    <m/>
    <m/>
    <m/>
    <m/>
    <m/>
    <m/>
    <m/>
    <m/>
    <m/>
    <m/>
    <m/>
    <m/>
    <m/>
    <s v="AUD"/>
    <s v="13576210Waste Recycled - Construction and Demolition [t]"/>
    <n v="13576210"/>
  </r>
  <r>
    <d v="2019-07-01T00:00:00"/>
    <d v="2021-06-30T00:00:00"/>
    <s v="Telstra"/>
    <s v="DATACENTRE"/>
    <s v="Datacentre - InfraCo"/>
    <s v="NSW"/>
    <s v="Australia"/>
    <s v="St Leonards"/>
    <s v="ST LEONARDS DATA CENTRE"/>
    <n v="423030364500"/>
    <s v="Recycled Waste"/>
    <x v="0"/>
    <x v="5"/>
    <s v="Account"/>
    <s v="Remondis Construction &amp; Demolition - Recycled"/>
    <m/>
    <s v="423030364500_RCONSDEM"/>
    <s v="CONSTRUCTION &amp; DEMOLITION - RECYLED"/>
    <s v="Remondis"/>
    <m/>
    <m/>
    <d v="2021-01-01T00:00:00"/>
    <d v="2021-01-01T00:00:00"/>
    <s v="FY21"/>
    <s v="t"/>
    <n v="0"/>
    <n v="0"/>
    <n v="3.9800000000000002E-2"/>
    <n v="3.9800000000000002E-2"/>
    <n v="0"/>
    <n v="0"/>
    <n v="1"/>
    <n v="1"/>
    <n v="0"/>
    <n v="0"/>
    <n v="100"/>
    <s v="Consolidation"/>
    <s v="CO2e and Base Measure"/>
    <n v="100"/>
    <n v="100"/>
    <n v="0.04"/>
    <m/>
    <m/>
    <m/>
    <m/>
    <m/>
    <m/>
    <m/>
    <m/>
    <m/>
    <m/>
    <m/>
    <m/>
    <m/>
    <s v="AUD"/>
    <s v="13576210Waste Recycled - Construction and Demolition [t]"/>
    <n v="13576210"/>
  </r>
  <r>
    <d v="2019-07-01T00:00:00"/>
    <d v="2021-06-30T00:00:00"/>
    <s v="Telstra"/>
    <s v="DATACENTRE"/>
    <s v="Datacentre - InfraCo"/>
    <s v="NSW"/>
    <s v="Australia"/>
    <s v="St Leonards"/>
    <s v="ST LEONARDS DATA CENTRE"/>
    <n v="423030364500"/>
    <s v="Recycled Waste"/>
    <x v="0"/>
    <x v="1"/>
    <s v="Account"/>
    <s v="Remondis Batteries - Mixed Recycled"/>
    <m/>
    <s v="423030364500_RBATTERY."/>
    <s v="BATTERIES - MIXED RECYCLED"/>
    <s v="Remondis"/>
    <m/>
    <m/>
    <d v="2021-01-01T00:00:00"/>
    <d v="2020-12-01T00:00:00"/>
    <s v="FY21"/>
    <s v="t"/>
    <n v="0"/>
    <n v="2.5999999999999999E-2"/>
    <n v="0"/>
    <n v="2.5999999999999999E-2"/>
    <n v="0"/>
    <n v="1"/>
    <n v="0"/>
    <n v="1"/>
    <n v="0"/>
    <n v="100"/>
    <n v="0"/>
    <s v="Consolidation"/>
    <s v="CO2e and Base Measure"/>
    <n v="100"/>
    <n v="100"/>
    <n v="0.03"/>
    <m/>
    <m/>
    <m/>
    <m/>
    <m/>
    <m/>
    <m/>
    <m/>
    <m/>
    <m/>
    <m/>
    <m/>
    <m/>
    <s v="AUD"/>
    <s v="13596904Waste Recycled - E-waste [t]"/>
    <n v="13596904"/>
  </r>
  <r>
    <d v="2019-07-01T00:00:00"/>
    <d v="2021-06-30T00:00:00"/>
    <s v="Telstra"/>
    <s v="DATACENTRE"/>
    <s v="Datacentre - InfraCo"/>
    <s v="NSW"/>
    <s v="Australia"/>
    <s v="St Leonards"/>
    <s v="ST LEONARDS DATA CENTRE"/>
    <n v="423030364500"/>
    <s v="Recycled Waste"/>
    <x v="0"/>
    <x v="1"/>
    <s v="Account"/>
    <s v="Remondis Batteries - Mixed Recycled"/>
    <m/>
    <s v="423030364500_RBATTERY."/>
    <s v="BATTERIES - MIXED RECYCLED"/>
    <s v="Remondis"/>
    <m/>
    <m/>
    <d v="2021-01-01T00:00:00"/>
    <d v="2021-01-01T00:00:00"/>
    <s v="FY21"/>
    <s v="t"/>
    <n v="0"/>
    <n v="0"/>
    <n v="8.9999999999999998E-4"/>
    <n v="8.9999999999999998E-4"/>
    <n v="0"/>
    <n v="0"/>
    <n v="1"/>
    <n v="1"/>
    <n v="0"/>
    <n v="0"/>
    <n v="100"/>
    <s v="Consolidation"/>
    <s v="CO2e and Base Measure"/>
    <n v="100"/>
    <n v="100"/>
    <n v="0"/>
    <m/>
    <m/>
    <m/>
    <m/>
    <m/>
    <m/>
    <m/>
    <m/>
    <m/>
    <m/>
    <m/>
    <m/>
    <m/>
    <s v="AUD"/>
    <s v="13596904Waste Recycled - E-waste [t]"/>
    <n v="13596904"/>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0-12-01T00:00:00"/>
    <s v="FY21"/>
    <s v="t"/>
    <n v="0.11"/>
    <n v="0"/>
    <n v="0"/>
    <n v="0.11"/>
    <n v="1"/>
    <n v="0"/>
    <n v="0"/>
    <n v="1"/>
    <n v="100"/>
    <n v="0"/>
    <n v="0"/>
    <s v="Consolidation"/>
    <s v="CO2e and Base Measure"/>
    <n v="100"/>
    <n v="100"/>
    <n v="0.11"/>
    <m/>
    <m/>
    <m/>
    <m/>
    <m/>
    <n v="0.14299999999999999"/>
    <m/>
    <n v="0.14299999999999999"/>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1-01T00:00:00"/>
    <s v="FY21"/>
    <s v="t"/>
    <n v="0.35199999999999998"/>
    <n v="0.40500000000000003"/>
    <n v="0"/>
    <n v="0.75700000000000001"/>
    <n v="7"/>
    <n v="2"/>
    <n v="0"/>
    <n v="9"/>
    <n v="46.49"/>
    <n v="53.5"/>
    <n v="0"/>
    <s v="Consolidation"/>
    <s v="CO2e and Base Measure"/>
    <n v="100"/>
    <n v="100"/>
    <n v="0.76"/>
    <m/>
    <m/>
    <m/>
    <m/>
    <m/>
    <n v="0.98409999999999997"/>
    <m/>
    <n v="0.98409999999999997"/>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2-01T00:00:00"/>
    <s v="FY21"/>
    <s v="t"/>
    <n v="0.80900000000000005"/>
    <n v="0"/>
    <n v="0"/>
    <n v="0.80900000000000005"/>
    <n v="8"/>
    <n v="0"/>
    <n v="0"/>
    <n v="8"/>
    <n v="100"/>
    <n v="0"/>
    <n v="0"/>
    <s v="Consolidation"/>
    <s v="CO2e and Base Measure"/>
    <n v="100"/>
    <n v="100"/>
    <n v="0.81"/>
    <m/>
    <m/>
    <m/>
    <m/>
    <m/>
    <n v="1.0517000000000001"/>
    <m/>
    <n v="1.0517000000000001"/>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3-01T00:00:00"/>
    <s v="FY21"/>
    <s v="t"/>
    <n v="4.431"/>
    <n v="0.40500000000000003"/>
    <n v="0"/>
    <n v="4.8360000000000003"/>
    <n v="8"/>
    <n v="2"/>
    <n v="0"/>
    <n v="10"/>
    <n v="91.62"/>
    <n v="8.3699999999999992"/>
    <n v="0"/>
    <s v="Consolidation"/>
    <s v="CO2e and Base Measure"/>
    <n v="100"/>
    <n v="100"/>
    <n v="4.84"/>
    <m/>
    <m/>
    <m/>
    <m/>
    <m/>
    <n v="6.2868000000000004"/>
    <m/>
    <n v="6.2868000000000004"/>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4-01T00:00:00"/>
    <s v="FY21"/>
    <s v="t"/>
    <n v="0"/>
    <n v="0"/>
    <n v="1.629"/>
    <n v="1.629"/>
    <n v="0"/>
    <n v="0"/>
    <n v="30"/>
    <n v="30"/>
    <n v="0"/>
    <n v="0"/>
    <n v="100"/>
    <s v="Consolidation"/>
    <s v="CO2e and Base Measure"/>
    <n v="100"/>
    <n v="100"/>
    <n v="1.63"/>
    <m/>
    <m/>
    <m/>
    <m/>
    <m/>
    <n v="2.1177000000000001"/>
    <m/>
    <n v="2.1177000000000001"/>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5-01T00:00:00"/>
    <s v="FY21"/>
    <s v="t"/>
    <n v="0"/>
    <n v="0"/>
    <n v="1.6833"/>
    <n v="1.6833"/>
    <n v="0"/>
    <n v="0"/>
    <n v="31"/>
    <n v="31"/>
    <n v="0"/>
    <n v="0"/>
    <n v="100"/>
    <s v="Consolidation"/>
    <s v="CO2e and Base Measure"/>
    <n v="100"/>
    <n v="100"/>
    <n v="1.68"/>
    <m/>
    <m/>
    <m/>
    <m/>
    <m/>
    <n v="2.1882999999999999"/>
    <m/>
    <n v="2.1882999999999999"/>
    <m/>
    <m/>
    <m/>
    <m/>
    <m/>
    <s v="AUD"/>
    <s v="13634082Waste - General [t] - Scope 3"/>
    <n v="13634082"/>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0-12-01T00:00:00"/>
    <s v="FY21"/>
    <s v="t"/>
    <n v="0.09"/>
    <n v="0"/>
    <n v="0"/>
    <n v="0.09"/>
    <n v="1"/>
    <n v="0"/>
    <n v="0"/>
    <n v="1"/>
    <n v="100"/>
    <n v="0"/>
    <n v="0"/>
    <s v="Consolidation"/>
    <s v="CO2e and Base Measure"/>
    <n v="100"/>
    <n v="100"/>
    <n v="0.09"/>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1-01T00:00:00"/>
    <s v="FY21"/>
    <s v="t"/>
    <n v="0.16800000000000001"/>
    <n v="0"/>
    <n v="0"/>
    <n v="0.16800000000000001"/>
    <n v="4"/>
    <n v="0"/>
    <n v="0"/>
    <n v="4"/>
    <n v="100"/>
    <n v="0"/>
    <n v="0"/>
    <s v="Consolidation"/>
    <s v="CO2e and Base Measure"/>
    <n v="100"/>
    <n v="100"/>
    <n v="0.17"/>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2-01T00:00:00"/>
    <s v="FY21"/>
    <s v="t"/>
    <n v="0.127"/>
    <n v="0.1125"/>
    <n v="0"/>
    <n v="0.23949999999999999"/>
    <n v="4"/>
    <n v="1"/>
    <n v="0"/>
    <n v="5"/>
    <n v="53.02"/>
    <n v="46.97"/>
    <n v="0"/>
    <s v="Consolidation"/>
    <s v="CO2e and Base Measure"/>
    <n v="100"/>
    <n v="100"/>
    <n v="0.24"/>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3-01T00:00:00"/>
    <s v="FY21"/>
    <s v="t"/>
    <n v="0.38"/>
    <n v="0.33750000000000002"/>
    <n v="0"/>
    <n v="0.71750000000000003"/>
    <n v="4"/>
    <n v="3"/>
    <n v="0"/>
    <n v="7"/>
    <n v="52.96"/>
    <n v="47.03"/>
    <n v="0"/>
    <s v="Consolidation"/>
    <s v="CO2e and Base Measure"/>
    <n v="100"/>
    <n v="100"/>
    <n v="0.72"/>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4-01T00:00:00"/>
    <s v="FY21"/>
    <s v="t"/>
    <n v="0"/>
    <n v="0"/>
    <n v="0.30299999999999999"/>
    <n v="0.30299999999999999"/>
    <n v="0"/>
    <n v="0"/>
    <n v="30"/>
    <n v="30"/>
    <n v="0"/>
    <n v="0"/>
    <n v="100"/>
    <s v="Consolidation"/>
    <s v="CO2e and Base Measure"/>
    <n v="100"/>
    <n v="100"/>
    <n v="0.3"/>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5-01T00:00:00"/>
    <s v="FY21"/>
    <s v="t"/>
    <n v="0"/>
    <n v="0"/>
    <n v="0.31309999999999999"/>
    <n v="0.31309999999999999"/>
    <n v="0"/>
    <n v="0"/>
    <n v="31"/>
    <n v="31"/>
    <n v="0"/>
    <n v="0"/>
    <n v="100"/>
    <s v="Consolidation"/>
    <s v="CO2e and Base Measure"/>
    <n v="100"/>
    <n v="100"/>
    <n v="0.31"/>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07-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08-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09-01T00:00:00"/>
    <s v="FY21"/>
    <s v="t"/>
    <n v="0"/>
    <n v="1.1211"/>
    <n v="0"/>
    <n v="1.1211"/>
    <n v="0"/>
    <n v="30"/>
    <n v="0"/>
    <n v="30"/>
    <n v="0"/>
    <n v="100"/>
    <n v="0"/>
    <s v="Consolidation"/>
    <s v="CO2e and Base Measure"/>
    <n v="100"/>
    <n v="100"/>
    <n v="1.1200000000000001"/>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10-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11-01T00:00:00"/>
    <s v="FY21"/>
    <s v="t"/>
    <n v="0"/>
    <n v="1.1211"/>
    <n v="0"/>
    <n v="1.1211"/>
    <n v="0"/>
    <n v="30"/>
    <n v="0"/>
    <n v="30"/>
    <n v="0"/>
    <n v="100"/>
    <n v="0"/>
    <s v="Consolidation"/>
    <s v="CO2e and Base Measure"/>
    <n v="100"/>
    <n v="100"/>
    <n v="1.1200000000000001"/>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12-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1-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2-01T00:00:00"/>
    <s v="FY21"/>
    <s v="t"/>
    <n v="0"/>
    <n v="1.0463"/>
    <n v="0"/>
    <n v="1.0463"/>
    <n v="0"/>
    <n v="28"/>
    <n v="0"/>
    <n v="28"/>
    <n v="0"/>
    <n v="100"/>
    <n v="0"/>
    <s v="Consolidation"/>
    <s v="CO2e and Base Measure"/>
    <n v="100"/>
    <n v="100"/>
    <n v="1.05"/>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3-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4-01T00:00:00"/>
    <s v="FY21"/>
    <s v="t"/>
    <n v="0"/>
    <n v="1.1211"/>
    <n v="0"/>
    <n v="1.1211"/>
    <n v="0"/>
    <n v="30"/>
    <n v="0"/>
    <n v="30"/>
    <n v="0"/>
    <n v="100"/>
    <n v="0"/>
    <s v="Consolidation"/>
    <s v="CO2e and Base Measure"/>
    <n v="100"/>
    <n v="100"/>
    <n v="1.1200000000000001"/>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5-01T00:00:00"/>
    <s v="FY21"/>
    <s v="t"/>
    <n v="0"/>
    <n v="0"/>
    <n v="1.1625000000000001"/>
    <n v="1.1625000000000001"/>
    <n v="0"/>
    <n v="0"/>
    <n v="31"/>
    <n v="31"/>
    <n v="0"/>
    <n v="0"/>
    <n v="100"/>
    <s v="Consolidation"/>
    <s v="CO2e and Base Measure"/>
    <n v="100"/>
    <n v="100"/>
    <n v="1.1599999999999999"/>
    <m/>
    <m/>
    <m/>
    <m/>
    <m/>
    <m/>
    <m/>
    <m/>
    <m/>
    <m/>
    <m/>
    <m/>
    <m/>
    <s v="AUD"/>
    <s v="13644547Waste Recycled - E-waste [t]"/>
    <n v="13644547"/>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07-01T00:00:00"/>
    <s v="FY21"/>
    <s v="t"/>
    <n v="6.6000000000000003E-2"/>
    <n v="0"/>
    <n v="0"/>
    <n v="6.6000000000000003E-2"/>
    <n v="2"/>
    <n v="0"/>
    <n v="0"/>
    <n v="2"/>
    <n v="100"/>
    <n v="0"/>
    <n v="0"/>
    <s v="Consolidation"/>
    <s v="CO2e and Base Measure"/>
    <n v="100"/>
    <n v="100"/>
    <n v="7.0000000000000007E-2"/>
    <m/>
    <m/>
    <m/>
    <m/>
    <m/>
    <n v="8.5800000000000001E-2"/>
    <m/>
    <n v="8.5800000000000001E-2"/>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08-01T00:00:00"/>
    <s v="FY21"/>
    <s v="t"/>
    <n v="0.52500000000000002"/>
    <n v="0"/>
    <n v="0"/>
    <n v="0.52500000000000002"/>
    <n v="4"/>
    <n v="0"/>
    <n v="0"/>
    <n v="4"/>
    <n v="100"/>
    <n v="0"/>
    <n v="0"/>
    <s v="Consolidation"/>
    <s v="CO2e and Base Measure"/>
    <n v="100"/>
    <n v="100"/>
    <n v="0.53"/>
    <m/>
    <m/>
    <m/>
    <m/>
    <m/>
    <n v="0.6825"/>
    <m/>
    <n v="0.6825"/>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09-01T00:00:00"/>
    <s v="FY21"/>
    <s v="t"/>
    <n v="0.218"/>
    <n v="0"/>
    <n v="0"/>
    <n v="0.218"/>
    <n v="4"/>
    <n v="0"/>
    <n v="0"/>
    <n v="4"/>
    <n v="100"/>
    <n v="0"/>
    <n v="0"/>
    <s v="Consolidation"/>
    <s v="CO2e and Base Measure"/>
    <n v="100"/>
    <n v="100"/>
    <n v="0.22"/>
    <m/>
    <m/>
    <m/>
    <m/>
    <m/>
    <n v="0.28339999999999999"/>
    <m/>
    <n v="0.28339999999999999"/>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10-01T00:00:00"/>
    <s v="FY21"/>
    <s v="t"/>
    <n v="0.30399999999999999"/>
    <n v="0"/>
    <n v="0"/>
    <n v="0.30399999999999999"/>
    <n v="4"/>
    <n v="0"/>
    <n v="0"/>
    <n v="4"/>
    <n v="100"/>
    <n v="0"/>
    <n v="0"/>
    <s v="Consolidation"/>
    <s v="CO2e and Base Measure"/>
    <n v="100"/>
    <n v="100"/>
    <n v="0.3"/>
    <m/>
    <m/>
    <m/>
    <m/>
    <m/>
    <n v="0.3952"/>
    <m/>
    <n v="0.3952"/>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11-01T00:00:00"/>
    <s v="FY21"/>
    <s v="t"/>
    <n v="0.34"/>
    <n v="0"/>
    <n v="0"/>
    <n v="0.34"/>
    <n v="3"/>
    <n v="0"/>
    <n v="0"/>
    <n v="3"/>
    <n v="100"/>
    <n v="0"/>
    <n v="0"/>
    <s v="Consolidation"/>
    <s v="CO2e and Base Measure"/>
    <n v="100"/>
    <n v="100"/>
    <n v="0.34"/>
    <m/>
    <m/>
    <m/>
    <m/>
    <m/>
    <n v="0.442"/>
    <m/>
    <n v="0.442"/>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12-01T00:00:00"/>
    <s v="FY21"/>
    <s v="t"/>
    <n v="3.5999999999999997E-2"/>
    <n v="0"/>
    <n v="0"/>
    <n v="3.5999999999999997E-2"/>
    <n v="1"/>
    <n v="0"/>
    <n v="0"/>
    <n v="1"/>
    <n v="100"/>
    <n v="0"/>
    <n v="0"/>
    <s v="Consolidation"/>
    <s v="CO2e and Base Measure"/>
    <n v="100"/>
    <n v="100"/>
    <n v="0.04"/>
    <m/>
    <m/>
    <m/>
    <m/>
    <m/>
    <n v="4.6800000000000001E-2"/>
    <m/>
    <n v="4.6800000000000001E-2"/>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1-01-01T00:00:00"/>
    <s v="FY21"/>
    <s v="t"/>
    <n v="0"/>
    <n v="0"/>
    <n v="1.44E-2"/>
    <n v="1.44E-2"/>
    <n v="0"/>
    <n v="0"/>
    <n v="1"/>
    <n v="1"/>
    <n v="0"/>
    <n v="0"/>
    <n v="100"/>
    <s v="Consolidation"/>
    <s v="CO2e and Base Measure"/>
    <n v="100"/>
    <n v="100"/>
    <n v="0.01"/>
    <m/>
    <m/>
    <m/>
    <m/>
    <m/>
    <n v="1.8700000000000001E-2"/>
    <m/>
    <n v="1.8700000000000001E-2"/>
    <m/>
    <m/>
    <m/>
    <m/>
    <m/>
    <s v="AUD"/>
    <s v="13564449Waste - General [t] - Scope 3"/>
    <n v="13564449"/>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0-12-01T00:00:00"/>
    <s v="FY21"/>
    <s v="t"/>
    <n v="7.6999999999999999E-2"/>
    <n v="0"/>
    <n v="0"/>
    <n v="7.6999999999999999E-2"/>
    <n v="1"/>
    <n v="0"/>
    <n v="0"/>
    <n v="1"/>
    <n v="100"/>
    <n v="0"/>
    <n v="0"/>
    <s v="Consolidation"/>
    <s v="CO2e and Base Measure"/>
    <n v="100"/>
    <n v="100"/>
    <n v="0.08"/>
    <m/>
    <m/>
    <m/>
    <m/>
    <m/>
    <n v="0.10009999999999999"/>
    <m/>
    <n v="0.10009999999999999"/>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1-01T00:00:00"/>
    <s v="FY21"/>
    <s v="t"/>
    <n v="8.6999999999999994E-2"/>
    <n v="0"/>
    <n v="0"/>
    <n v="8.6999999999999994E-2"/>
    <n v="1"/>
    <n v="0"/>
    <n v="0"/>
    <n v="1"/>
    <n v="100"/>
    <n v="0"/>
    <n v="0"/>
    <s v="Consolidation"/>
    <s v="CO2e and Base Measure"/>
    <n v="100"/>
    <n v="100"/>
    <n v="0.09"/>
    <m/>
    <m/>
    <m/>
    <m/>
    <m/>
    <n v="0.11310000000000001"/>
    <m/>
    <n v="0.11310000000000001"/>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3-01T00:00:00"/>
    <s v="FY21"/>
    <s v="t"/>
    <n v="6.3E-2"/>
    <n v="0"/>
    <n v="0"/>
    <n v="6.3E-2"/>
    <n v="1"/>
    <n v="0"/>
    <n v="0"/>
    <n v="1"/>
    <n v="100"/>
    <n v="0"/>
    <n v="0"/>
    <s v="Consolidation"/>
    <s v="CO2e and Base Measure"/>
    <n v="100"/>
    <n v="100"/>
    <n v="0.06"/>
    <m/>
    <m/>
    <m/>
    <m/>
    <m/>
    <n v="8.1900000000000001E-2"/>
    <m/>
    <n v="8.1900000000000001E-2"/>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63Waste - General [t] - Scope 3"/>
    <n v="13634263"/>
  </r>
  <r>
    <d v="2019-07-01T00:00:00"/>
    <d v="2021-06-30T00:00:00"/>
    <s v="Telstra"/>
    <s v="NETWORK"/>
    <s v="Network - InfraCo"/>
    <s v="SA"/>
    <s v="Australia"/>
    <s v="Clapham"/>
    <s v="ST MARYS EXCHANGE2"/>
    <n v="423030625000"/>
    <s v="Recycled Waste"/>
    <x v="0"/>
    <x v="0"/>
    <s v="Account"/>
    <s v="Remondis Cardboard - Loose - Recycled"/>
    <m/>
    <s v="423030625000_RCARDBOAR"/>
    <s v="CARDBOARD - LOOSE - RECYCLED"/>
    <s v="Remondis"/>
    <m/>
    <m/>
    <d v="2020-08-01T00:00:00"/>
    <d v="2020-07-01T00:00:00"/>
    <s v="FY21"/>
    <s v="t"/>
    <n v="0"/>
    <n v="0.189"/>
    <n v="0"/>
    <n v="0.189"/>
    <n v="0"/>
    <n v="3"/>
    <n v="0"/>
    <n v="3"/>
    <n v="0"/>
    <n v="100"/>
    <n v="0"/>
    <s v="Consolidation"/>
    <s v="CO2e and Base Measure"/>
    <n v="100"/>
    <n v="100"/>
    <n v="0.19"/>
    <m/>
    <m/>
    <m/>
    <m/>
    <m/>
    <m/>
    <n v="0"/>
    <m/>
    <m/>
    <m/>
    <m/>
    <m/>
    <m/>
    <s v="AUD"/>
    <s v="13565012Waste Recycled - Cardboard [t]"/>
    <n v="13565012"/>
  </r>
  <r>
    <d v="2019-07-01T00:00:00"/>
    <d v="2021-06-30T00:00:00"/>
    <s v="Telstra"/>
    <s v="NETWORK"/>
    <s v="Network - InfraCo"/>
    <s v="SA"/>
    <s v="Australia"/>
    <s v="Clapham"/>
    <s v="ST MARYS EXCHANGE2"/>
    <n v="423030625000"/>
    <s v="Recycled Waste"/>
    <x v="0"/>
    <x v="0"/>
    <s v="Account"/>
    <s v="Remondis Cardboard - Loose - Recycled"/>
    <m/>
    <s v="423030625000_RCARDBOAR"/>
    <s v="CARDBOARD - LOOSE - RECYCLED"/>
    <s v="Remondis"/>
    <m/>
    <m/>
    <d v="2020-08-01T00:00:00"/>
    <d v="2020-08-01T00:00:00"/>
    <s v="FY21"/>
    <s v="t"/>
    <n v="0"/>
    <n v="0"/>
    <n v="5.3E-3"/>
    <n v="5.3E-3"/>
    <n v="0"/>
    <n v="0"/>
    <n v="1"/>
    <n v="1"/>
    <n v="0"/>
    <n v="0"/>
    <n v="100"/>
    <s v="Consolidation"/>
    <s v="CO2e and Base Measure"/>
    <n v="100"/>
    <n v="100"/>
    <n v="0.01"/>
    <m/>
    <m/>
    <m/>
    <m/>
    <m/>
    <m/>
    <n v="0"/>
    <m/>
    <m/>
    <m/>
    <m/>
    <m/>
    <m/>
    <s v="AUD"/>
    <s v="13565012Waste Recycled - Cardboard [t]"/>
    <n v="13565012"/>
  </r>
  <r>
    <d v="2019-07-01T00:00:00"/>
    <d v="2021-06-30T00:00:00"/>
    <s v="Telstra"/>
    <s v="NETWORK"/>
    <s v="Network - InfraCo"/>
    <s v="SA"/>
    <s v="Australia"/>
    <s v="Clapham"/>
    <s v="ST MARYS EXCHANGE2"/>
    <n v="423030625000"/>
    <s v="Waste"/>
    <x v="1"/>
    <x v="2"/>
    <s v="Account"/>
    <s v="Remondis General Waste"/>
    <m/>
    <s v="423030625000_WGENERALW"/>
    <s v="GENERAL WASTE"/>
    <s v="Remondis"/>
    <m/>
    <m/>
    <d v="2020-08-01T00:00:00"/>
    <d v="2020-07-01T00:00:00"/>
    <s v="FY21"/>
    <s v="t"/>
    <n v="0"/>
    <n v="0.19500000000000001"/>
    <n v="0"/>
    <n v="0.19500000000000001"/>
    <n v="0"/>
    <n v="1"/>
    <n v="0"/>
    <n v="1"/>
    <n v="0"/>
    <n v="100"/>
    <n v="0"/>
    <s v="Consolidation"/>
    <s v="CO2e and Base Measure"/>
    <n v="100"/>
    <n v="100"/>
    <n v="0.2"/>
    <m/>
    <m/>
    <m/>
    <m/>
    <m/>
    <n v="0.2535"/>
    <m/>
    <n v="0.2535"/>
    <m/>
    <m/>
    <m/>
    <m/>
    <m/>
    <s v="AUD"/>
    <s v="13565013Waste - General [t] - Scope 3"/>
    <n v="13565013"/>
  </r>
  <r>
    <d v="2019-07-01T00:00:00"/>
    <d v="2021-06-30T00:00:00"/>
    <s v="Telstra"/>
    <s v="NETWORK"/>
    <s v="Network - InfraCo"/>
    <s v="SA"/>
    <s v="Australia"/>
    <s v="Clapham"/>
    <s v="ST MARYS EXCHANGE2"/>
    <n v="423030625000"/>
    <s v="Waste"/>
    <x v="1"/>
    <x v="2"/>
    <s v="Account"/>
    <s v="Remondis General Waste"/>
    <m/>
    <s v="423030625000_WGENERALW"/>
    <s v="GENERAL WASTE"/>
    <s v="Remondis"/>
    <m/>
    <m/>
    <d v="2020-08-01T00:00:00"/>
    <d v="2020-08-01T00:00:00"/>
    <s v="FY21"/>
    <s v="t"/>
    <n v="0"/>
    <n v="0"/>
    <n v="6.4999999999999997E-3"/>
    <n v="6.4999999999999997E-3"/>
    <n v="0"/>
    <n v="0"/>
    <n v="1"/>
    <n v="1"/>
    <n v="0"/>
    <n v="0"/>
    <n v="100"/>
    <s v="Consolidation"/>
    <s v="CO2e and Base Measure"/>
    <n v="100"/>
    <n v="100"/>
    <n v="0.01"/>
    <m/>
    <m/>
    <m/>
    <m/>
    <m/>
    <n v="8.5000000000000006E-3"/>
    <m/>
    <n v="8.5000000000000006E-3"/>
    <m/>
    <m/>
    <m/>
    <m/>
    <m/>
    <s v="AUD"/>
    <s v="13565013Waste - General [t] - Scope 3"/>
    <n v="13565013"/>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12-01T00:00:00"/>
    <s v="FY21"/>
    <s v="t"/>
    <n v="0"/>
    <n v="0"/>
    <n v="3.2000000000000002E-3"/>
    <n v="3.2000000000000002E-3"/>
    <n v="0"/>
    <n v="0"/>
    <n v="1"/>
    <n v="1"/>
    <n v="0"/>
    <n v="0"/>
    <n v="100"/>
    <s v="Consolidation"/>
    <s v="CO2e and Base Measure"/>
    <n v="100"/>
    <n v="100"/>
    <n v="0"/>
    <m/>
    <m/>
    <m/>
    <m/>
    <m/>
    <n v="4.1999999999999997E-3"/>
    <m/>
    <n v="4.1999999999999997E-3"/>
    <m/>
    <m/>
    <m/>
    <m/>
    <m/>
    <s v="AUD"/>
    <s v="13565490Waste - General [t] - Scope 3"/>
    <n v="13565490"/>
  </r>
  <r>
    <d v="2019-07-01T00:00:00"/>
    <d v="2021-06-30T00:00:00"/>
    <s v="Telstra"/>
    <s v="NETWORK"/>
    <s v="Network - InfraCo"/>
    <s v="TAS"/>
    <s v="Australia"/>
    <s v="Marion"/>
    <s v="ST MARYS EXCHANGE3"/>
    <n v="423030934300"/>
    <s v="Waste"/>
    <x v="1"/>
    <x v="2"/>
    <s v="Account"/>
    <s v="CLEANAWAY General"/>
    <m/>
    <s v="27084_Landfill_General"/>
    <s v="General"/>
    <s v="Cleanaway"/>
    <m/>
    <d v="2021-02-11T00:00:00"/>
    <m/>
    <d v="2021-02-01T00:00:00"/>
    <s v="FY21"/>
    <s v="t"/>
    <n v="1.2"/>
    <n v="0"/>
    <n v="0"/>
    <n v="1.2"/>
    <n v="1"/>
    <n v="0"/>
    <n v="0"/>
    <n v="1"/>
    <n v="100"/>
    <n v="0"/>
    <n v="0"/>
    <s v="Consolidation"/>
    <s v="CO2e and Base Measure"/>
    <n v="100"/>
    <n v="100"/>
    <n v="1.2"/>
    <m/>
    <m/>
    <m/>
    <m/>
    <m/>
    <n v="1.56"/>
    <m/>
    <n v="1.56"/>
    <m/>
    <m/>
    <m/>
    <m/>
    <m/>
    <s v="AUD"/>
    <s v="13639939Waste - General [t] - Scope 3"/>
    <n v="13639939"/>
  </r>
  <r>
    <d v="2019-07-01T00:00:00"/>
    <d v="2021-06-30T00:00:00"/>
    <s v="Telstra"/>
    <s v="NETWORK"/>
    <s v="Network - InfraCo"/>
    <s v="TAS"/>
    <s v="Australia"/>
    <s v="Marion"/>
    <s v="ST MARYS EXCHANGE3"/>
    <n v="423030934300"/>
    <s v="Waste"/>
    <x v="1"/>
    <x v="2"/>
    <s v="Account"/>
    <s v="CLEANAWAY General"/>
    <m/>
    <s v="27084_Landfill_General"/>
    <s v="General"/>
    <s v="Cleanaway"/>
    <m/>
    <d v="2021-02-11T00:00:00"/>
    <m/>
    <d v="2021-03-01T00:00:00"/>
    <s v="FY21"/>
    <s v="t"/>
    <n v="0"/>
    <n v="0"/>
    <n v="1.3764000000000001"/>
    <n v="1.3764000000000001"/>
    <n v="0"/>
    <n v="0"/>
    <n v="31"/>
    <n v="31"/>
    <n v="0"/>
    <n v="0"/>
    <n v="100"/>
    <s v="Consolidation"/>
    <s v="CO2e and Base Measure"/>
    <n v="100"/>
    <n v="100"/>
    <n v="1.38"/>
    <m/>
    <m/>
    <m/>
    <m/>
    <m/>
    <n v="1.7892999999999999"/>
    <m/>
    <n v="1.7892999999999999"/>
    <m/>
    <m/>
    <m/>
    <m/>
    <m/>
    <s v="AUD"/>
    <s v="13639939Waste - General [t] - Scope 3"/>
    <n v="13639939"/>
  </r>
  <r>
    <d v="2019-07-01T00:00:00"/>
    <d v="2021-06-30T00:00:00"/>
    <s v="Telstra"/>
    <s v="NETWORK"/>
    <s v="Network - InfraCo"/>
    <s v="TAS"/>
    <s v="Australia"/>
    <s v="Marion"/>
    <s v="ST MARYS EXCHANGE3"/>
    <n v="423030934300"/>
    <s v="Waste"/>
    <x v="1"/>
    <x v="2"/>
    <s v="Account"/>
    <s v="CLEANAWAY General"/>
    <m/>
    <s v="27084_Landfill_General"/>
    <s v="General"/>
    <s v="Cleanaway"/>
    <m/>
    <d v="2021-02-11T00:00:00"/>
    <m/>
    <d v="2021-04-01T00:00:00"/>
    <s v="FY21"/>
    <s v="t"/>
    <n v="0"/>
    <n v="0"/>
    <n v="1.3320000000000001"/>
    <n v="1.3320000000000001"/>
    <n v="0"/>
    <n v="0"/>
    <n v="30"/>
    <n v="30"/>
    <n v="0"/>
    <n v="0"/>
    <n v="100"/>
    <s v="Consolidation"/>
    <s v="CO2e and Base Measure"/>
    <n v="100"/>
    <n v="100"/>
    <n v="1.33"/>
    <m/>
    <m/>
    <m/>
    <m/>
    <m/>
    <n v="1.7316"/>
    <m/>
    <n v="1.7316"/>
    <m/>
    <m/>
    <m/>
    <m/>
    <m/>
    <s v="AUD"/>
    <s v="13639939Waste - General [t] - Scope 3"/>
    <n v="13639939"/>
  </r>
  <r>
    <d v="2019-07-01T00:00:00"/>
    <d v="2021-06-30T00:00:00"/>
    <s v="Telstra"/>
    <s v="NETWORK"/>
    <s v="Network - InfraCo"/>
    <s v="TAS"/>
    <s v="Australia"/>
    <s v="Marion"/>
    <s v="ST MARYS EXCHANGE3"/>
    <n v="423030934300"/>
    <s v="Waste"/>
    <x v="1"/>
    <x v="2"/>
    <s v="Account"/>
    <s v="CLEANAWAY General"/>
    <m/>
    <s v="27084_Landfill_General"/>
    <s v="General"/>
    <s v="Cleanaway"/>
    <m/>
    <d v="2021-02-11T00:00:00"/>
    <m/>
    <d v="2021-05-01T00:00:00"/>
    <s v="FY21"/>
    <s v="t"/>
    <n v="0"/>
    <n v="0"/>
    <n v="1.3764000000000001"/>
    <n v="1.3764000000000001"/>
    <n v="0"/>
    <n v="0"/>
    <n v="31"/>
    <n v="31"/>
    <n v="0"/>
    <n v="0"/>
    <n v="100"/>
    <s v="Consolidation"/>
    <s v="CO2e and Base Measure"/>
    <n v="100"/>
    <n v="100"/>
    <n v="1.38"/>
    <m/>
    <m/>
    <m/>
    <m/>
    <m/>
    <n v="1.7892999999999999"/>
    <m/>
    <n v="1.7892999999999999"/>
    <m/>
    <m/>
    <m/>
    <m/>
    <m/>
    <s v="AUD"/>
    <s v="13639939Waste - General [t] - Scope 3"/>
    <n v="1363993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259Waste - General [t] - Scope 3"/>
    <n v="13564259"/>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0-12-01T00:00:00"/>
    <s v="FY21"/>
    <s v="t"/>
    <n v="0.30499999999999999"/>
    <n v="0"/>
    <n v="0"/>
    <n v="0.30499999999999999"/>
    <n v="2"/>
    <n v="0"/>
    <n v="0"/>
    <n v="2"/>
    <n v="100"/>
    <n v="0"/>
    <n v="0"/>
    <s v="Consolidation"/>
    <s v="CO2e and Base Measure"/>
    <n v="100"/>
    <n v="100"/>
    <n v="0.31"/>
    <m/>
    <m/>
    <m/>
    <m/>
    <m/>
    <n v="0.39650000000000002"/>
    <m/>
    <n v="0.39650000000000002"/>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1-01T00:00:00"/>
    <s v="FY21"/>
    <s v="t"/>
    <n v="0.23799999999999999"/>
    <n v="0"/>
    <n v="0"/>
    <n v="0.23799999999999999"/>
    <n v="2"/>
    <n v="0"/>
    <n v="0"/>
    <n v="2"/>
    <n v="100"/>
    <n v="0"/>
    <n v="0"/>
    <s v="Consolidation"/>
    <s v="CO2e and Base Measure"/>
    <n v="100"/>
    <n v="100"/>
    <n v="0.24"/>
    <m/>
    <m/>
    <m/>
    <m/>
    <m/>
    <n v="0.30940000000000001"/>
    <m/>
    <n v="0.30940000000000001"/>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2-01T00:00:00"/>
    <s v="FY21"/>
    <s v="t"/>
    <n v="0.14099999999999999"/>
    <n v="0"/>
    <n v="0"/>
    <n v="0.14099999999999999"/>
    <n v="2"/>
    <n v="0"/>
    <n v="0"/>
    <n v="2"/>
    <n v="100"/>
    <n v="0"/>
    <n v="0"/>
    <s v="Consolidation"/>
    <s v="CO2e and Base Measure"/>
    <n v="100"/>
    <n v="100"/>
    <n v="0.14000000000000001"/>
    <m/>
    <m/>
    <m/>
    <m/>
    <m/>
    <n v="0.18329999999999999"/>
    <m/>
    <n v="0.18329999999999999"/>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3-01T00:00:00"/>
    <s v="FY21"/>
    <s v="t"/>
    <n v="0.56399999999999995"/>
    <n v="0"/>
    <n v="0"/>
    <n v="0.56399999999999995"/>
    <n v="2"/>
    <n v="0"/>
    <n v="0"/>
    <n v="2"/>
    <n v="100"/>
    <n v="0"/>
    <n v="0"/>
    <s v="Consolidation"/>
    <s v="CO2e and Base Measure"/>
    <n v="100"/>
    <n v="100"/>
    <n v="0.56000000000000005"/>
    <m/>
    <m/>
    <m/>
    <m/>
    <m/>
    <n v="0.73319999999999996"/>
    <m/>
    <n v="0.73319999999999996"/>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4-01T00:00:00"/>
    <s v="FY21"/>
    <s v="t"/>
    <n v="0"/>
    <n v="0"/>
    <n v="0.312"/>
    <n v="0.312"/>
    <n v="0"/>
    <n v="0"/>
    <n v="30"/>
    <n v="30"/>
    <n v="0"/>
    <n v="0"/>
    <n v="100"/>
    <s v="Consolidation"/>
    <s v="CO2e and Base Measure"/>
    <n v="100"/>
    <n v="100"/>
    <n v="0.31"/>
    <m/>
    <m/>
    <m/>
    <m/>
    <m/>
    <n v="0.40560000000000002"/>
    <m/>
    <n v="0.40560000000000002"/>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5-01T00:00:00"/>
    <s v="FY21"/>
    <s v="t"/>
    <n v="0"/>
    <n v="0"/>
    <n v="0.32240000000000002"/>
    <n v="0.32240000000000002"/>
    <n v="0"/>
    <n v="0"/>
    <n v="31"/>
    <n v="31"/>
    <n v="0"/>
    <n v="0"/>
    <n v="100"/>
    <s v="Consolidation"/>
    <s v="CO2e and Base Measure"/>
    <n v="100"/>
    <n v="100"/>
    <n v="0.32"/>
    <m/>
    <m/>
    <m/>
    <m/>
    <m/>
    <n v="0.41909999999999997"/>
    <m/>
    <n v="0.41909999999999997"/>
    <m/>
    <m/>
    <m/>
    <m/>
    <m/>
    <s v="AUD"/>
    <s v="13634264Waste - General [t] - Scope 3"/>
    <n v="13634264"/>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07-01T00:00:00"/>
    <s v="FY21"/>
    <s v="t"/>
    <n v="0"/>
    <n v="6.3E-2"/>
    <n v="0"/>
    <n v="6.3E-2"/>
    <n v="0"/>
    <n v="1"/>
    <n v="0"/>
    <n v="1"/>
    <n v="0"/>
    <n v="100"/>
    <n v="0"/>
    <s v="Consolidation"/>
    <s v="CO2e and Base Measure"/>
    <n v="100"/>
    <n v="100"/>
    <n v="0.06"/>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10-01T00:00:00"/>
    <s v="FY21"/>
    <s v="t"/>
    <n v="0"/>
    <n v="0.126"/>
    <n v="0"/>
    <n v="0.126"/>
    <n v="0"/>
    <n v="2"/>
    <n v="0"/>
    <n v="2"/>
    <n v="0"/>
    <n v="100"/>
    <n v="0"/>
    <s v="Consolidation"/>
    <s v="CO2e and Base Measure"/>
    <n v="100"/>
    <n v="100"/>
    <n v="0.13"/>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1-01-01T00:00:00"/>
    <s v="FY21"/>
    <s v="t"/>
    <n v="0"/>
    <n v="0"/>
    <n v="3.8E-3"/>
    <n v="3.8E-3"/>
    <n v="0"/>
    <n v="0"/>
    <n v="1"/>
    <n v="1"/>
    <n v="0"/>
    <n v="0"/>
    <n v="100"/>
    <s v="Consolidation"/>
    <s v="CO2e and Base Measure"/>
    <n v="100"/>
    <n v="100"/>
    <n v="0"/>
    <m/>
    <m/>
    <m/>
    <m/>
    <m/>
    <m/>
    <n v="0"/>
    <m/>
    <m/>
    <m/>
    <m/>
    <m/>
    <m/>
    <s v="AUD"/>
    <s v="13565006Waste Recycled - Cardboard [t]"/>
    <n v="13565006"/>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007Waste - General [t] - Scope 3"/>
    <n v="13565007"/>
  </r>
  <r>
    <d v="2019-07-01T00:00:00"/>
    <d v="2021-06-30T00:00:00"/>
    <s v="Telstra"/>
    <s v="NETWORK"/>
    <s v="Network - InfraCo"/>
    <s v="SA"/>
    <s v="Australia"/>
    <s v="Heathfield"/>
    <s v="STIRLING EXCHANGE"/>
    <n v="423030624600"/>
    <s v="Waste"/>
    <x v="1"/>
    <x v="2"/>
    <s v="Account"/>
    <s v="Remondis Cardboard - Loose - Landfill"/>
    <m/>
    <s v="423030624600_WCARDBOAR"/>
    <s v="CARDBOARD - LOOSE - LANDFILL"/>
    <s v="Remondis"/>
    <m/>
    <m/>
    <d v="2020-12-01T00:00:00"/>
    <d v="2020-07-01T00:00:00"/>
    <s v="FY21"/>
    <s v="t"/>
    <n v="0"/>
    <n v="6.3E-2"/>
    <n v="0"/>
    <n v="6.3E-2"/>
    <n v="0"/>
    <n v="1"/>
    <n v="0"/>
    <n v="1"/>
    <n v="0"/>
    <n v="100"/>
    <n v="0"/>
    <s v="Consolidation"/>
    <s v="CO2e and Base Measure"/>
    <n v="100"/>
    <n v="100"/>
    <n v="0.06"/>
    <m/>
    <m/>
    <m/>
    <m/>
    <m/>
    <n v="8.1900000000000001E-2"/>
    <m/>
    <n v="8.1900000000000001E-2"/>
    <m/>
    <m/>
    <m/>
    <m/>
    <m/>
    <s v="AUD"/>
    <s v="13576234Waste - General [t] - Scope 3"/>
    <n v="13576234"/>
  </r>
  <r>
    <d v="2019-07-01T00:00:00"/>
    <d v="2021-06-30T00:00:00"/>
    <s v="Telstra"/>
    <s v="NETWORK"/>
    <s v="Network - InfraCo"/>
    <s v="SA"/>
    <s v="Australia"/>
    <s v="Heathfield"/>
    <s v="STIRLING EXCHANGE"/>
    <n v="423030624600"/>
    <s v="Waste"/>
    <x v="1"/>
    <x v="2"/>
    <s v="Account"/>
    <s v="Remondis Cardboard - Loose - Landfill"/>
    <m/>
    <s v="423030624600_WCARDBOAR"/>
    <s v="CARDBOARD - LOOSE - LANDFILL"/>
    <s v="Remondis"/>
    <m/>
    <m/>
    <d v="2020-12-01T00:00:00"/>
    <d v="2020-11-01T00:00:00"/>
    <s v="FY21"/>
    <s v="t"/>
    <n v="0"/>
    <n v="6.3E-2"/>
    <n v="0"/>
    <n v="6.3E-2"/>
    <n v="0"/>
    <n v="1"/>
    <n v="0"/>
    <n v="1"/>
    <n v="0"/>
    <n v="100"/>
    <n v="0"/>
    <s v="Consolidation"/>
    <s v="CO2e and Base Measure"/>
    <n v="100"/>
    <n v="100"/>
    <n v="0.06"/>
    <m/>
    <m/>
    <m/>
    <m/>
    <m/>
    <n v="8.1900000000000001E-2"/>
    <m/>
    <n v="8.1900000000000001E-2"/>
    <m/>
    <m/>
    <m/>
    <m/>
    <m/>
    <s v="AUD"/>
    <s v="13576234Waste - General [t] - Scope 3"/>
    <n v="13576234"/>
  </r>
  <r>
    <d v="2019-07-01T00:00:00"/>
    <d v="2021-06-30T00:00:00"/>
    <s v="Telstra"/>
    <s v="NETWORK"/>
    <s v="Network - InfraCo"/>
    <s v="SA"/>
    <s v="Australia"/>
    <s v="Heathfield"/>
    <s v="STIRLING EXCHANGE"/>
    <n v="423030624600"/>
    <s v="Waste"/>
    <x v="1"/>
    <x v="2"/>
    <s v="Account"/>
    <s v="Remondis Cardboard - Loose - Landfill"/>
    <m/>
    <s v="423030624600_WCARDBOAR"/>
    <s v="CARDBOARD - LOOSE - LANDFILL"/>
    <s v="Remondis"/>
    <m/>
    <m/>
    <d v="2020-12-01T00:00:00"/>
    <d v="2020-12-01T00:00:00"/>
    <s v="FY21"/>
    <s v="t"/>
    <n v="0"/>
    <n v="0"/>
    <n v="8.0000000000000004E-4"/>
    <n v="8.0000000000000004E-4"/>
    <n v="0"/>
    <n v="0"/>
    <n v="1"/>
    <n v="1"/>
    <n v="0"/>
    <n v="0"/>
    <n v="100"/>
    <s v="Consolidation"/>
    <s v="CO2e and Base Measure"/>
    <n v="100"/>
    <n v="100"/>
    <n v="0"/>
    <m/>
    <m/>
    <m/>
    <m/>
    <m/>
    <n v="1E-3"/>
    <m/>
    <n v="1E-3"/>
    <m/>
    <m/>
    <m/>
    <m/>
    <m/>
    <s v="AUD"/>
    <s v="13576234Waste - General [t] - Scope 3"/>
    <n v="13576234"/>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0-12-01T00:00:00"/>
    <s v="FY21"/>
    <s v="t"/>
    <n v="8.6999999999999994E-2"/>
    <n v="0"/>
    <n v="0"/>
    <n v="8.6999999999999994E-2"/>
    <n v="1"/>
    <n v="0"/>
    <n v="0"/>
    <n v="1"/>
    <n v="100"/>
    <n v="0"/>
    <n v="0"/>
    <s v="Consolidation"/>
    <s v="CO2e and Base Measure"/>
    <n v="100"/>
    <n v="100"/>
    <n v="0.09"/>
    <m/>
    <m/>
    <m/>
    <m/>
    <m/>
    <n v="0.11310000000000001"/>
    <m/>
    <n v="0.11310000000000001"/>
    <m/>
    <m/>
    <m/>
    <m/>
    <m/>
    <s v="AUD"/>
    <s v="13634265Waste - General [t] - Scope 3"/>
    <n v="13634265"/>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265Waste - General [t] - Scope 3"/>
    <n v="13634265"/>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1-03-01T00:00:00"/>
    <s v="FY21"/>
    <s v="t"/>
    <n v="0.14000000000000001"/>
    <n v="0"/>
    <n v="0"/>
    <n v="0.14000000000000001"/>
    <n v="1"/>
    <n v="0"/>
    <n v="0"/>
    <n v="1"/>
    <n v="100"/>
    <n v="0"/>
    <n v="0"/>
    <s v="Consolidation"/>
    <s v="CO2e and Base Measure"/>
    <n v="100"/>
    <n v="100"/>
    <n v="0.14000000000000001"/>
    <m/>
    <m/>
    <m/>
    <m/>
    <m/>
    <n v="0.182"/>
    <m/>
    <n v="0.182"/>
    <m/>
    <m/>
    <m/>
    <m/>
    <m/>
    <s v="AUD"/>
    <s v="13634265Waste - General [t] - Scope 3"/>
    <n v="13634265"/>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1-04-01T00:00:00"/>
    <s v="FY21"/>
    <s v="t"/>
    <n v="0"/>
    <n v="0"/>
    <n v="0.09"/>
    <n v="0.09"/>
    <n v="0"/>
    <n v="0"/>
    <n v="30"/>
    <n v="30"/>
    <n v="0"/>
    <n v="0"/>
    <n v="100"/>
    <s v="Consolidation"/>
    <s v="CO2e and Base Measure"/>
    <n v="100"/>
    <n v="100"/>
    <n v="0.09"/>
    <m/>
    <m/>
    <m/>
    <m/>
    <m/>
    <n v="0.11700000000000001"/>
    <m/>
    <n v="0.11700000000000001"/>
    <m/>
    <m/>
    <m/>
    <m/>
    <m/>
    <s v="AUD"/>
    <s v="13634265Waste - General [t] - Scope 3"/>
    <n v="13634265"/>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4265Waste - General [t] - Scope 3"/>
    <n v="13634265"/>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0-12-01T00:00:00"/>
    <s v="FY21"/>
    <s v="t"/>
    <n v="0"/>
    <n v="7.4999999999999997E-2"/>
    <n v="0"/>
    <n v="7.4999999999999997E-2"/>
    <n v="0"/>
    <n v="1"/>
    <n v="0"/>
    <n v="1"/>
    <n v="0"/>
    <n v="100"/>
    <n v="0"/>
    <s v="Consolidation"/>
    <s v="CO2e and Base Measure"/>
    <n v="100"/>
    <n v="100"/>
    <n v="0.08"/>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1-01T00:00:00"/>
    <s v="FY21"/>
    <s v="t"/>
    <n v="0"/>
    <n v="0"/>
    <n v="7.7499999999999999E-2"/>
    <n v="7.7499999999999999E-2"/>
    <n v="0"/>
    <n v="0"/>
    <n v="31"/>
    <n v="31"/>
    <n v="0"/>
    <n v="0"/>
    <n v="100"/>
    <s v="Consolidation"/>
    <s v="CO2e and Base Measure"/>
    <n v="100"/>
    <n v="100"/>
    <n v="0.08"/>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2-01T00:00:00"/>
    <s v="FY21"/>
    <s v="t"/>
    <n v="0"/>
    <n v="0"/>
    <n v="7.0000000000000007E-2"/>
    <n v="7.0000000000000007E-2"/>
    <n v="0"/>
    <n v="0"/>
    <n v="28"/>
    <n v="28"/>
    <n v="0"/>
    <n v="0"/>
    <n v="100"/>
    <s v="Consolidation"/>
    <s v="CO2e and Base Measure"/>
    <n v="100"/>
    <n v="100"/>
    <n v="7.0000000000000007E-2"/>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3-01T00:00:00"/>
    <s v="FY21"/>
    <s v="t"/>
    <n v="0"/>
    <n v="0"/>
    <n v="7.7499999999999999E-2"/>
    <n v="7.7499999999999999E-2"/>
    <n v="0"/>
    <n v="0"/>
    <n v="31"/>
    <n v="31"/>
    <n v="0"/>
    <n v="0"/>
    <n v="100"/>
    <s v="Consolidation"/>
    <s v="CO2e and Base Measure"/>
    <n v="100"/>
    <n v="100"/>
    <n v="0.08"/>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4-01T00:00:00"/>
    <s v="FY21"/>
    <s v="t"/>
    <n v="0"/>
    <n v="0"/>
    <n v="7.4999999999999997E-2"/>
    <n v="7.4999999999999997E-2"/>
    <n v="0"/>
    <n v="0"/>
    <n v="30"/>
    <n v="30"/>
    <n v="0"/>
    <n v="0"/>
    <n v="100"/>
    <s v="Consolidation"/>
    <s v="CO2e and Base Measure"/>
    <n v="100"/>
    <n v="100"/>
    <n v="0.08"/>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5-01T00:00:00"/>
    <s v="FY21"/>
    <s v="t"/>
    <n v="0"/>
    <n v="0"/>
    <n v="7.7499999999999999E-2"/>
    <n v="7.7499999999999999E-2"/>
    <n v="0"/>
    <n v="0"/>
    <n v="31"/>
    <n v="31"/>
    <n v="0"/>
    <n v="0"/>
    <n v="100"/>
    <s v="Consolidation"/>
    <s v="CO2e and Base Measure"/>
    <n v="100"/>
    <n v="100"/>
    <n v="0.08"/>
    <m/>
    <m/>
    <m/>
    <m/>
    <m/>
    <m/>
    <m/>
    <m/>
    <m/>
    <m/>
    <m/>
    <m/>
    <m/>
    <s v="AUD"/>
    <s v="13634266Waste Recycled - Paper and Cardboard [t]"/>
    <n v="1363426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07-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08-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09-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10-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11-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12-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1-01T00:00:00"/>
    <s v="FY21"/>
    <s v="t"/>
    <n v="0"/>
    <n v="0"/>
    <n v="1.24E-2"/>
    <n v="1.24E-2"/>
    <n v="0"/>
    <n v="0"/>
    <n v="31"/>
    <n v="31"/>
    <n v="0"/>
    <n v="0"/>
    <n v="10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2-01T00:00:00"/>
    <s v="FY21"/>
    <s v="t"/>
    <n v="0"/>
    <n v="0"/>
    <n v="1.12E-2"/>
    <n v="1.12E-2"/>
    <n v="0"/>
    <n v="0"/>
    <n v="28"/>
    <n v="28"/>
    <n v="0"/>
    <n v="0"/>
    <n v="10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3-01T00:00:00"/>
    <s v="FY21"/>
    <s v="t"/>
    <n v="0"/>
    <n v="0"/>
    <n v="1.24E-2"/>
    <n v="1.24E-2"/>
    <n v="0"/>
    <n v="0"/>
    <n v="31"/>
    <n v="31"/>
    <n v="0"/>
    <n v="0"/>
    <n v="10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4-01T00:00:00"/>
    <s v="FY21"/>
    <s v="t"/>
    <n v="0"/>
    <n v="0"/>
    <n v="1.2E-2"/>
    <n v="1.2E-2"/>
    <n v="0"/>
    <n v="0"/>
    <n v="30"/>
    <n v="30"/>
    <n v="0"/>
    <n v="0"/>
    <n v="10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5-01T00:00:00"/>
    <s v="FY21"/>
    <s v="t"/>
    <n v="0"/>
    <n v="0"/>
    <n v="1.24E-2"/>
    <n v="1.24E-2"/>
    <n v="0"/>
    <n v="0"/>
    <n v="31"/>
    <n v="31"/>
    <n v="0"/>
    <n v="0"/>
    <n v="100"/>
    <s v="Consolidation"/>
    <s v="CO2e and Base Measure"/>
    <n v="100"/>
    <n v="100"/>
    <n v="0.01"/>
    <m/>
    <m/>
    <m/>
    <m/>
    <m/>
    <m/>
    <m/>
    <m/>
    <m/>
    <m/>
    <m/>
    <m/>
    <m/>
    <s v="AUD"/>
    <s v="13566446Waste Recycled - Paper and Cardboard [t]"/>
    <n v="13566446"/>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1-01-01T00:00:00"/>
    <s v="FY21"/>
    <s v="t"/>
    <n v="0"/>
    <n v="0"/>
    <n v="3.7000000000000002E-3"/>
    <n v="3.7000000000000002E-3"/>
    <n v="0"/>
    <n v="0"/>
    <n v="1"/>
    <n v="1"/>
    <n v="0"/>
    <n v="0"/>
    <n v="100"/>
    <s v="Consolidation"/>
    <s v="CO2e and Base Measure"/>
    <n v="100"/>
    <n v="100"/>
    <n v="0"/>
    <m/>
    <m/>
    <m/>
    <m/>
    <m/>
    <n v="4.7999999999999996E-3"/>
    <m/>
    <n v="4.7999999999999996E-3"/>
    <m/>
    <m/>
    <m/>
    <m/>
    <m/>
    <s v="AUD"/>
    <s v="13565028Waste - General [t] - Scope 3"/>
    <n v="13565028"/>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1-01T00:00:00"/>
    <s v="FY21"/>
    <s v="t"/>
    <n v="6.7000000000000004E-2"/>
    <n v="0"/>
    <n v="0"/>
    <n v="6.7000000000000004E-2"/>
    <n v="1"/>
    <n v="0"/>
    <n v="0"/>
    <n v="1"/>
    <n v="100"/>
    <n v="0"/>
    <n v="0"/>
    <s v="Consolidation"/>
    <s v="CO2e and Base Measure"/>
    <n v="100"/>
    <n v="100"/>
    <n v="7.0000000000000007E-2"/>
    <m/>
    <m/>
    <m/>
    <m/>
    <m/>
    <n v="8.7099999999999997E-2"/>
    <m/>
    <n v="8.7099999999999997E-2"/>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2-01T00:00:00"/>
    <s v="FY21"/>
    <s v="t"/>
    <n v="0.11799999999999999"/>
    <n v="0"/>
    <n v="0"/>
    <n v="0.11799999999999999"/>
    <n v="1"/>
    <n v="0"/>
    <n v="0"/>
    <n v="1"/>
    <n v="100"/>
    <n v="0"/>
    <n v="0"/>
    <s v="Consolidation"/>
    <s v="CO2e and Base Measure"/>
    <n v="100"/>
    <n v="100"/>
    <n v="0.12"/>
    <m/>
    <m/>
    <m/>
    <m/>
    <m/>
    <n v="0.15340000000000001"/>
    <m/>
    <n v="0.15340000000000001"/>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3-01T00:00:00"/>
    <s v="FY21"/>
    <s v="t"/>
    <n v="0.17199999999999999"/>
    <n v="0"/>
    <n v="0"/>
    <n v="0.17199999999999999"/>
    <n v="1"/>
    <n v="0"/>
    <n v="0"/>
    <n v="1"/>
    <n v="100"/>
    <n v="0"/>
    <n v="0"/>
    <s v="Consolidation"/>
    <s v="CO2e and Base Measure"/>
    <n v="100"/>
    <n v="100"/>
    <n v="0.17"/>
    <m/>
    <m/>
    <m/>
    <m/>
    <m/>
    <n v="0.22359999999999999"/>
    <m/>
    <n v="0.22359999999999999"/>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4-01T00:00:00"/>
    <s v="FY21"/>
    <s v="t"/>
    <n v="0"/>
    <n v="0"/>
    <n v="0.105"/>
    <n v="0.105"/>
    <n v="0"/>
    <n v="0"/>
    <n v="30"/>
    <n v="30"/>
    <n v="0"/>
    <n v="0"/>
    <n v="100"/>
    <s v="Consolidation"/>
    <s v="CO2e and Base Measure"/>
    <n v="100"/>
    <n v="100"/>
    <n v="0.11"/>
    <m/>
    <m/>
    <m/>
    <m/>
    <m/>
    <n v="0.13650000000000001"/>
    <m/>
    <n v="0.13650000000000001"/>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5-01T00:00:00"/>
    <s v="FY21"/>
    <s v="t"/>
    <n v="0"/>
    <n v="0"/>
    <n v="0.1085"/>
    <n v="0.1085"/>
    <n v="0"/>
    <n v="0"/>
    <n v="31"/>
    <n v="31"/>
    <n v="0"/>
    <n v="0"/>
    <n v="100"/>
    <s v="Consolidation"/>
    <s v="CO2e and Base Measure"/>
    <n v="100"/>
    <n v="100"/>
    <n v="0.11"/>
    <m/>
    <m/>
    <m/>
    <m/>
    <m/>
    <n v="0.1411"/>
    <m/>
    <n v="0.1411"/>
    <m/>
    <m/>
    <m/>
    <m/>
    <m/>
    <s v="AUD"/>
    <s v="13634267Waste - General [t] - Scope 3"/>
    <n v="13634267"/>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12-01T00:00:00"/>
    <s v="FY21"/>
    <s v="t"/>
    <n v="0"/>
    <n v="0"/>
    <n v="9.5999999999999992E-3"/>
    <n v="9.5999999999999992E-3"/>
    <n v="0"/>
    <n v="0"/>
    <n v="1"/>
    <n v="1"/>
    <n v="0"/>
    <n v="0"/>
    <n v="100"/>
    <s v="Consolidation"/>
    <s v="CO2e and Base Measure"/>
    <n v="100"/>
    <n v="100"/>
    <n v="0.01"/>
    <m/>
    <m/>
    <m/>
    <m/>
    <m/>
    <n v="1.2500000000000001E-2"/>
    <m/>
    <n v="1.2500000000000001E-2"/>
    <m/>
    <m/>
    <m/>
    <m/>
    <m/>
    <s v="AUD"/>
    <s v="13565209Waste - General [t] - Scope 3"/>
    <n v="13565209"/>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0-12-01T00:00:00"/>
    <s v="FY21"/>
    <s v="t"/>
    <n v="0.16500000000000001"/>
    <n v="0"/>
    <n v="0"/>
    <n v="0.16500000000000001"/>
    <n v="2"/>
    <n v="0"/>
    <n v="0"/>
    <n v="2"/>
    <n v="100"/>
    <n v="0"/>
    <n v="0"/>
    <s v="Consolidation"/>
    <s v="CO2e and Base Measure"/>
    <n v="100"/>
    <n v="100"/>
    <n v="0.17"/>
    <m/>
    <m/>
    <m/>
    <m/>
    <m/>
    <n v="0.2145"/>
    <m/>
    <n v="0.2145"/>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1-01T00:00:00"/>
    <s v="FY21"/>
    <s v="t"/>
    <n v="0.45"/>
    <n v="0"/>
    <n v="0"/>
    <n v="0.45"/>
    <n v="1"/>
    <n v="0"/>
    <n v="0"/>
    <n v="1"/>
    <n v="100"/>
    <n v="0"/>
    <n v="0"/>
    <s v="Consolidation"/>
    <s v="CO2e and Base Measure"/>
    <n v="100"/>
    <n v="100"/>
    <n v="0.45"/>
    <m/>
    <m/>
    <m/>
    <m/>
    <m/>
    <n v="0.58499999999999996"/>
    <m/>
    <n v="0.58499999999999996"/>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2-01T00:00:00"/>
    <s v="FY21"/>
    <s v="t"/>
    <n v="0.215"/>
    <n v="0"/>
    <n v="0"/>
    <n v="0.215"/>
    <n v="2"/>
    <n v="0"/>
    <n v="0"/>
    <n v="2"/>
    <n v="100"/>
    <n v="0"/>
    <n v="0"/>
    <s v="Consolidation"/>
    <s v="CO2e and Base Measure"/>
    <n v="100"/>
    <n v="100"/>
    <n v="0.22"/>
    <m/>
    <m/>
    <m/>
    <m/>
    <m/>
    <n v="0.27950000000000003"/>
    <m/>
    <n v="0.27950000000000003"/>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3-01T00:00:00"/>
    <s v="FY21"/>
    <s v="t"/>
    <n v="0.65"/>
    <n v="0"/>
    <n v="0"/>
    <n v="0.65"/>
    <n v="3"/>
    <n v="0"/>
    <n v="0"/>
    <n v="3"/>
    <n v="100"/>
    <n v="0"/>
    <n v="0"/>
    <s v="Consolidation"/>
    <s v="CO2e and Base Measure"/>
    <n v="100"/>
    <n v="100"/>
    <n v="0.65"/>
    <m/>
    <m/>
    <m/>
    <m/>
    <m/>
    <n v="0.84499999999999997"/>
    <m/>
    <n v="0.84499999999999997"/>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4-01T00:00:00"/>
    <s v="FY21"/>
    <s v="t"/>
    <n v="0"/>
    <n v="0"/>
    <n v="0.36899999999999999"/>
    <n v="0.36899999999999999"/>
    <n v="0"/>
    <n v="0"/>
    <n v="30"/>
    <n v="30"/>
    <n v="0"/>
    <n v="0"/>
    <n v="100"/>
    <s v="Consolidation"/>
    <s v="CO2e and Base Measure"/>
    <n v="100"/>
    <n v="100"/>
    <n v="0.37"/>
    <m/>
    <m/>
    <m/>
    <m/>
    <m/>
    <n v="0.47970000000000002"/>
    <m/>
    <n v="0.47970000000000002"/>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5-01T00:00:00"/>
    <s v="FY21"/>
    <s v="t"/>
    <n v="0"/>
    <n v="0"/>
    <n v="0.38129999999999997"/>
    <n v="0.38129999999999997"/>
    <n v="0"/>
    <n v="0"/>
    <n v="31"/>
    <n v="31"/>
    <n v="0"/>
    <n v="0"/>
    <n v="100"/>
    <s v="Consolidation"/>
    <s v="CO2e and Base Measure"/>
    <n v="100"/>
    <n v="100"/>
    <n v="0.38"/>
    <m/>
    <m/>
    <m/>
    <m/>
    <m/>
    <n v="0.49569999999999997"/>
    <m/>
    <n v="0.49569999999999997"/>
    <m/>
    <m/>
    <m/>
    <m/>
    <m/>
    <s v="AUD"/>
    <s v="13634268Waste - General [t] - Scope 3"/>
    <n v="13634268"/>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0-10-01T00:00:00"/>
    <s v="FY21"/>
    <s v="t"/>
    <n v="5.3999999999999999E-2"/>
    <n v="0"/>
    <n v="0"/>
    <n v="5.3999999999999999E-2"/>
    <n v="1"/>
    <n v="0"/>
    <n v="0"/>
    <n v="1"/>
    <n v="100"/>
    <n v="0"/>
    <n v="0"/>
    <s v="Consolidation"/>
    <s v="CO2e and Base Measure"/>
    <n v="100"/>
    <n v="100"/>
    <n v="0.05"/>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0-12-01T00:00:00"/>
    <s v="FY21"/>
    <s v="t"/>
    <n v="5.3999999999999999E-2"/>
    <n v="0"/>
    <n v="0"/>
    <n v="5.3999999999999999E-2"/>
    <n v="1"/>
    <n v="0"/>
    <n v="0"/>
    <n v="1"/>
    <n v="100"/>
    <n v="0"/>
    <n v="0"/>
    <s v="Consolidation"/>
    <s v="CO2e and Base Measure"/>
    <n v="100"/>
    <n v="100"/>
    <n v="0.05"/>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1-01T00:00:00"/>
    <s v="FY21"/>
    <s v="t"/>
    <n v="0"/>
    <n v="0"/>
    <n v="2.4799999999999999E-2"/>
    <n v="2.4799999999999999E-2"/>
    <n v="0"/>
    <n v="0"/>
    <n v="31"/>
    <n v="31"/>
    <n v="0"/>
    <n v="0"/>
    <n v="100"/>
    <s v="Consolidation"/>
    <s v="CO2e and Base Measure"/>
    <n v="100"/>
    <n v="100"/>
    <n v="0.02"/>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2-01T00:00:00"/>
    <s v="FY21"/>
    <s v="t"/>
    <n v="0"/>
    <n v="0"/>
    <n v="2.24E-2"/>
    <n v="2.24E-2"/>
    <n v="0"/>
    <n v="0"/>
    <n v="28"/>
    <n v="28"/>
    <n v="0"/>
    <n v="0"/>
    <n v="100"/>
    <s v="Consolidation"/>
    <s v="CO2e and Base Measure"/>
    <n v="100"/>
    <n v="100"/>
    <n v="0.02"/>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3-01T00:00:00"/>
    <s v="FY21"/>
    <s v="t"/>
    <n v="0"/>
    <n v="0"/>
    <n v="2.4799999999999999E-2"/>
    <n v="2.4799999999999999E-2"/>
    <n v="0"/>
    <n v="0"/>
    <n v="31"/>
    <n v="31"/>
    <n v="0"/>
    <n v="0"/>
    <n v="100"/>
    <s v="Consolidation"/>
    <s v="CO2e and Base Measure"/>
    <n v="100"/>
    <n v="100"/>
    <n v="0.02"/>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4-01T00:00:00"/>
    <s v="FY21"/>
    <s v="t"/>
    <n v="0"/>
    <n v="0"/>
    <n v="2.4E-2"/>
    <n v="2.4E-2"/>
    <n v="0"/>
    <n v="0"/>
    <n v="30"/>
    <n v="30"/>
    <n v="0"/>
    <n v="0"/>
    <n v="100"/>
    <s v="Consolidation"/>
    <s v="CO2e and Base Measure"/>
    <n v="100"/>
    <n v="100"/>
    <n v="0.02"/>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5-01T00:00:00"/>
    <s v="FY21"/>
    <s v="t"/>
    <n v="0"/>
    <n v="0"/>
    <n v="2.4799999999999999E-2"/>
    <n v="2.4799999999999999E-2"/>
    <n v="0"/>
    <n v="0"/>
    <n v="31"/>
    <n v="31"/>
    <n v="0"/>
    <n v="0"/>
    <n v="100"/>
    <s v="Consolidation"/>
    <s v="CO2e and Base Measure"/>
    <n v="100"/>
    <n v="100"/>
    <n v="0.02"/>
    <m/>
    <m/>
    <m/>
    <m/>
    <m/>
    <m/>
    <m/>
    <m/>
    <m/>
    <m/>
    <m/>
    <m/>
    <m/>
    <s v="AUD"/>
    <s v="13566479Waste Recycled - Paper and Cardboard [t]"/>
    <n v="13566479"/>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07-01T00:00:00"/>
    <s v="FY21"/>
    <s v="t"/>
    <n v="0"/>
    <n v="6.3E-2"/>
    <n v="0"/>
    <n v="6.3E-2"/>
    <n v="0"/>
    <n v="1"/>
    <n v="0"/>
    <n v="1"/>
    <n v="0"/>
    <n v="100"/>
    <n v="0"/>
    <s v="Consolidation"/>
    <s v="CO2e and Base Measure"/>
    <n v="100"/>
    <n v="100"/>
    <n v="0.06"/>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08-01T00:00:00"/>
    <s v="FY21"/>
    <s v="t"/>
    <n v="0"/>
    <n v="0.189"/>
    <n v="0"/>
    <n v="0.189"/>
    <n v="0"/>
    <n v="3"/>
    <n v="0"/>
    <n v="3"/>
    <n v="0"/>
    <n v="100"/>
    <n v="0"/>
    <s v="Consolidation"/>
    <s v="CO2e and Base Measure"/>
    <n v="100"/>
    <n v="100"/>
    <n v="0.19"/>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1-01-01T00:00:00"/>
    <s v="FY21"/>
    <s v="t"/>
    <n v="0"/>
    <n v="0"/>
    <n v="3.3E-3"/>
    <n v="3.3E-3"/>
    <n v="0"/>
    <n v="0"/>
    <n v="1"/>
    <n v="1"/>
    <n v="0"/>
    <n v="0"/>
    <n v="100"/>
    <s v="Consolidation"/>
    <s v="CO2e and Base Measure"/>
    <n v="100"/>
    <n v="100"/>
    <n v="0"/>
    <m/>
    <m/>
    <m/>
    <m/>
    <m/>
    <m/>
    <n v="0"/>
    <m/>
    <m/>
    <m/>
    <m/>
    <m/>
    <m/>
    <s v="AUD"/>
    <s v="13565211Waste Recycled - Cardboard [t]"/>
    <n v="13565211"/>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07-01T00:00:00"/>
    <s v="FY21"/>
    <s v="t"/>
    <n v="0.36"/>
    <n v="0"/>
    <n v="0"/>
    <n v="0.36"/>
    <n v="1"/>
    <n v="0"/>
    <n v="0"/>
    <n v="1"/>
    <n v="100"/>
    <n v="0"/>
    <n v="0"/>
    <s v="Consolidation"/>
    <s v="CO2e and Base Measure"/>
    <n v="100"/>
    <n v="100"/>
    <n v="0.36"/>
    <m/>
    <m/>
    <m/>
    <m/>
    <m/>
    <n v="0.46800000000000003"/>
    <m/>
    <n v="0.46800000000000003"/>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08-01T00:00:00"/>
    <s v="FY21"/>
    <s v="t"/>
    <n v="0.28000000000000003"/>
    <n v="0"/>
    <n v="0"/>
    <n v="0.28000000000000003"/>
    <n v="2"/>
    <n v="0"/>
    <n v="0"/>
    <n v="2"/>
    <n v="100"/>
    <n v="0"/>
    <n v="0"/>
    <s v="Consolidation"/>
    <s v="CO2e and Base Measure"/>
    <n v="100"/>
    <n v="100"/>
    <n v="0.28000000000000003"/>
    <m/>
    <m/>
    <m/>
    <m/>
    <m/>
    <n v="0.36399999999999999"/>
    <m/>
    <n v="0.36399999999999999"/>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09-01T00:00:00"/>
    <s v="FY21"/>
    <s v="t"/>
    <n v="0.16"/>
    <n v="0.19500000000000001"/>
    <n v="0"/>
    <n v="0.35499999999999998"/>
    <n v="1"/>
    <n v="1"/>
    <n v="0"/>
    <n v="2"/>
    <n v="45.07"/>
    <n v="54.92"/>
    <n v="0"/>
    <s v="Consolidation"/>
    <s v="CO2e and Base Measure"/>
    <n v="100"/>
    <n v="100"/>
    <n v="0.36"/>
    <m/>
    <m/>
    <m/>
    <m/>
    <m/>
    <n v="0.46150000000000002"/>
    <m/>
    <n v="0.46150000000000002"/>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10-01T00:00:00"/>
    <s v="FY21"/>
    <s v="t"/>
    <n v="0.26"/>
    <n v="0"/>
    <n v="0"/>
    <n v="0.26"/>
    <n v="1"/>
    <n v="0"/>
    <n v="0"/>
    <n v="1"/>
    <n v="100"/>
    <n v="0"/>
    <n v="0"/>
    <s v="Consolidation"/>
    <s v="CO2e and Base Measure"/>
    <n v="100"/>
    <n v="100"/>
    <n v="0.26"/>
    <m/>
    <m/>
    <m/>
    <m/>
    <m/>
    <n v="0.33800000000000002"/>
    <m/>
    <n v="0.33800000000000002"/>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1-01-01T00:00:00"/>
    <s v="FY21"/>
    <s v="t"/>
    <n v="0"/>
    <n v="0"/>
    <n v="7.6E-3"/>
    <n v="7.6E-3"/>
    <n v="0"/>
    <n v="0"/>
    <n v="1"/>
    <n v="1"/>
    <n v="0"/>
    <n v="0"/>
    <n v="100"/>
    <s v="Consolidation"/>
    <s v="CO2e and Base Measure"/>
    <n v="100"/>
    <n v="100"/>
    <n v="0.01"/>
    <m/>
    <m/>
    <m/>
    <m/>
    <m/>
    <n v="9.9000000000000008E-3"/>
    <m/>
    <n v="9.9000000000000008E-3"/>
    <m/>
    <m/>
    <m/>
    <m/>
    <m/>
    <s v="AUD"/>
    <s v="13565212Waste - General [t] - Scope 3"/>
    <n v="13565212"/>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0-12-01T00:00:00"/>
    <s v="FY21"/>
    <s v="t"/>
    <n v="0.04"/>
    <n v="0"/>
    <n v="0"/>
    <n v="0.04"/>
    <n v="1"/>
    <n v="0"/>
    <n v="0"/>
    <n v="1"/>
    <n v="100"/>
    <n v="0"/>
    <n v="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1-01T00:00:00"/>
    <s v="FY21"/>
    <s v="t"/>
    <n v="0"/>
    <n v="0"/>
    <n v="4.0300000000000002E-2"/>
    <n v="4.0300000000000002E-2"/>
    <n v="0"/>
    <n v="0"/>
    <n v="31"/>
    <n v="31"/>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2-01T00:00:00"/>
    <s v="FY21"/>
    <s v="t"/>
    <n v="0"/>
    <n v="0"/>
    <n v="3.6400000000000002E-2"/>
    <n v="3.6400000000000002E-2"/>
    <n v="0"/>
    <n v="0"/>
    <n v="28"/>
    <n v="28"/>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3-01T00:00:00"/>
    <s v="FY21"/>
    <s v="t"/>
    <n v="0"/>
    <n v="0"/>
    <n v="4.0300000000000002E-2"/>
    <n v="4.0300000000000002E-2"/>
    <n v="0"/>
    <n v="0"/>
    <n v="31"/>
    <n v="31"/>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4-01T00:00:00"/>
    <s v="FY21"/>
    <s v="t"/>
    <n v="0"/>
    <n v="0"/>
    <n v="3.9E-2"/>
    <n v="3.9E-2"/>
    <n v="0"/>
    <n v="0"/>
    <n v="30"/>
    <n v="30"/>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5-01T00:00:00"/>
    <s v="FY21"/>
    <s v="t"/>
    <n v="0"/>
    <n v="0"/>
    <n v="4.0300000000000002E-2"/>
    <n v="4.0300000000000002E-2"/>
    <n v="0"/>
    <n v="0"/>
    <n v="31"/>
    <n v="31"/>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Waste"/>
    <x v="1"/>
    <x v="2"/>
    <s v="Account"/>
    <s v="CLEANAWAY General"/>
    <m/>
    <s v="26472_Landfill_General"/>
    <s v="General"/>
    <s v="Cleanaway"/>
    <m/>
    <d v="2021-03-12T00:00:00"/>
    <m/>
    <d v="2021-03-01T00:00:00"/>
    <s v="FY21"/>
    <s v="t"/>
    <n v="0.53"/>
    <n v="0"/>
    <n v="0"/>
    <n v="0.53"/>
    <n v="1"/>
    <n v="0"/>
    <n v="0"/>
    <n v="1"/>
    <n v="100"/>
    <n v="0"/>
    <n v="0"/>
    <s v="Consolidation"/>
    <s v="CO2e and Base Measure"/>
    <n v="100"/>
    <n v="100"/>
    <n v="0.53"/>
    <m/>
    <m/>
    <m/>
    <m/>
    <m/>
    <n v="0.68899999999999995"/>
    <m/>
    <n v="0.68899999999999995"/>
    <m/>
    <m/>
    <m/>
    <m/>
    <m/>
    <s v="AUD"/>
    <s v="13641221Waste - General [t] - Scope 3"/>
    <n v="13641221"/>
  </r>
  <r>
    <d v="2019-07-01T00:00:00"/>
    <d v="2021-06-30T00:00:00"/>
    <s v="Telstra"/>
    <s v="NETWORK"/>
    <s v="Network - InfraCo"/>
    <s v="VIC"/>
    <s v="Australia"/>
    <s v="Sunshine"/>
    <s v="SUNSHINE EXCHANGE"/>
    <n v="423030764600"/>
    <s v="Waste"/>
    <x v="1"/>
    <x v="2"/>
    <s v="Account"/>
    <s v="CLEANAWAY General"/>
    <m/>
    <s v="26472_Landfill_General"/>
    <s v="General"/>
    <s v="Cleanaway"/>
    <m/>
    <d v="2021-03-12T00:00:00"/>
    <m/>
    <d v="2021-04-01T00:00:00"/>
    <s v="FY21"/>
    <s v="t"/>
    <n v="0"/>
    <n v="0"/>
    <n v="0.53100000000000003"/>
    <n v="0.53100000000000003"/>
    <n v="0"/>
    <n v="0"/>
    <n v="30"/>
    <n v="30"/>
    <n v="0"/>
    <n v="0"/>
    <n v="100"/>
    <s v="Consolidation"/>
    <s v="CO2e and Base Measure"/>
    <n v="100"/>
    <n v="100"/>
    <n v="0.53"/>
    <m/>
    <m/>
    <m/>
    <m/>
    <m/>
    <n v="0.69030000000000002"/>
    <m/>
    <n v="0.69030000000000002"/>
    <m/>
    <m/>
    <m/>
    <m/>
    <m/>
    <s v="AUD"/>
    <s v="13641221Waste - General [t] - Scope 3"/>
    <n v="13641221"/>
  </r>
  <r>
    <d v="2019-07-01T00:00:00"/>
    <d v="2021-06-30T00:00:00"/>
    <s v="Telstra"/>
    <s v="NETWORK"/>
    <s v="Network - InfraCo"/>
    <s v="VIC"/>
    <s v="Australia"/>
    <s v="Sunshine"/>
    <s v="SUNSHINE EXCHANGE"/>
    <n v="423030764600"/>
    <s v="Waste"/>
    <x v="1"/>
    <x v="2"/>
    <s v="Account"/>
    <s v="CLEANAWAY General"/>
    <m/>
    <s v="26472_Landfill_General"/>
    <s v="General"/>
    <s v="Cleanaway"/>
    <m/>
    <d v="2021-03-12T00:00:00"/>
    <m/>
    <d v="2021-05-01T00:00:00"/>
    <s v="FY21"/>
    <s v="t"/>
    <n v="0"/>
    <n v="0"/>
    <n v="0.54869999999999997"/>
    <n v="0.54869999999999997"/>
    <n v="0"/>
    <n v="0"/>
    <n v="31"/>
    <n v="31"/>
    <n v="0"/>
    <n v="0"/>
    <n v="100"/>
    <s v="Consolidation"/>
    <s v="CO2e and Base Measure"/>
    <n v="100"/>
    <n v="100"/>
    <n v="0.55000000000000004"/>
    <m/>
    <m/>
    <m/>
    <m/>
    <m/>
    <n v="0.71330000000000005"/>
    <m/>
    <n v="0.71330000000000005"/>
    <m/>
    <m/>
    <m/>
    <m/>
    <m/>
    <s v="AUD"/>
    <s v="13641221Waste - General [t] - Scope 3"/>
    <n v="13641221"/>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07-01T00:00:00"/>
    <s v="FY21"/>
    <s v="t"/>
    <n v="0"/>
    <n v="0.126"/>
    <n v="0"/>
    <n v="0.126"/>
    <n v="0"/>
    <n v="2"/>
    <n v="0"/>
    <n v="2"/>
    <n v="0"/>
    <n v="100"/>
    <n v="0"/>
    <s v="Consolidation"/>
    <s v="CO2e and Base Measure"/>
    <n v="100"/>
    <n v="100"/>
    <n v="0.13"/>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09-01T00:00:00"/>
    <s v="FY21"/>
    <s v="t"/>
    <n v="0"/>
    <n v="0.189"/>
    <n v="0"/>
    <n v="0.189"/>
    <n v="0"/>
    <n v="3"/>
    <n v="0"/>
    <n v="3"/>
    <n v="0"/>
    <n v="100"/>
    <n v="0"/>
    <s v="Consolidation"/>
    <s v="CO2e and Base Measure"/>
    <n v="100"/>
    <n v="100"/>
    <n v="0.19"/>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10-01T00:00:00"/>
    <s v="FY21"/>
    <s v="t"/>
    <n v="0"/>
    <n v="6.3E-2"/>
    <n v="0"/>
    <n v="6.3E-2"/>
    <n v="0"/>
    <n v="1"/>
    <n v="0"/>
    <n v="1"/>
    <n v="0"/>
    <n v="100"/>
    <n v="0"/>
    <s v="Consolidation"/>
    <s v="CO2e and Base Measure"/>
    <n v="100"/>
    <n v="100"/>
    <n v="0.06"/>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11-01T00:00:00"/>
    <s v="FY21"/>
    <s v="t"/>
    <n v="0"/>
    <n v="6.3E-2"/>
    <n v="0"/>
    <n v="6.3E-2"/>
    <n v="0"/>
    <n v="1"/>
    <n v="0"/>
    <n v="1"/>
    <n v="0"/>
    <n v="100"/>
    <n v="0"/>
    <s v="Consolidation"/>
    <s v="CO2e and Base Measure"/>
    <n v="100"/>
    <n v="100"/>
    <n v="0.06"/>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1-01-01T00:00:00"/>
    <s v="FY21"/>
    <s v="t"/>
    <n v="0"/>
    <n v="0"/>
    <n v="3.5000000000000001E-3"/>
    <n v="3.5000000000000001E-3"/>
    <n v="0"/>
    <n v="0"/>
    <n v="1"/>
    <n v="1"/>
    <n v="0"/>
    <n v="0"/>
    <n v="100"/>
    <s v="Consolidation"/>
    <s v="CO2e and Base Measure"/>
    <n v="100"/>
    <n v="100"/>
    <n v="0"/>
    <m/>
    <m/>
    <m/>
    <m/>
    <m/>
    <m/>
    <n v="0"/>
    <m/>
    <m/>
    <m/>
    <m/>
    <m/>
    <m/>
    <s v="AUD"/>
    <s v="13565213Waste Recycled - Cardboard [t]"/>
    <n v="13565213"/>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1-01-01T00:00:00"/>
    <s v="FY21"/>
    <s v="t"/>
    <n v="0"/>
    <n v="0"/>
    <n v="1.0999999999999999E-2"/>
    <n v="1.0999999999999999E-2"/>
    <n v="0"/>
    <n v="0"/>
    <n v="1"/>
    <n v="1"/>
    <n v="0"/>
    <n v="0"/>
    <n v="100"/>
    <s v="Consolidation"/>
    <s v="CO2e and Base Measure"/>
    <n v="100"/>
    <n v="100"/>
    <n v="0.01"/>
    <m/>
    <m/>
    <m/>
    <m/>
    <m/>
    <n v="1.43E-2"/>
    <m/>
    <n v="1.43E-2"/>
    <m/>
    <m/>
    <m/>
    <m/>
    <m/>
    <s v="AUD"/>
    <s v="13565214Waste - General [t] - Scope 3"/>
    <n v="13565214"/>
  </r>
  <r>
    <d v="2019-07-01T00:00:00"/>
    <d v="2021-06-30T00:00:00"/>
    <s v="Telstra"/>
    <s v="NETWORK"/>
    <s v="Network - InfraCo"/>
    <s v="VIC"/>
    <s v="Australia"/>
    <s v="Surrey Hills"/>
    <s v="SURREY HILLS RADIO TERMINAL"/>
    <n v="423030766300"/>
    <s v="Recycled Waste"/>
    <x v="0"/>
    <x v="3"/>
    <s v="Account"/>
    <s v="Remondis Commingled - Recycled"/>
    <m/>
    <s v="423030766300_RCOMINGLE"/>
    <s v="COMMINGLED - RECYCLED"/>
    <s v="Remondis"/>
    <m/>
    <m/>
    <d v="2020-12-01T00:00:00"/>
    <d v="2020-08-01T00:00:00"/>
    <s v="FY21"/>
    <s v="t"/>
    <n v="0"/>
    <n v="2.4E-2"/>
    <n v="0"/>
    <n v="2.4E-2"/>
    <n v="0"/>
    <n v="1"/>
    <n v="0"/>
    <n v="1"/>
    <n v="0"/>
    <n v="100"/>
    <n v="0"/>
    <s v="Consolidation"/>
    <s v="CO2e and Base Measure"/>
    <n v="100"/>
    <n v="100"/>
    <n v="0.02"/>
    <m/>
    <m/>
    <m/>
    <m/>
    <m/>
    <m/>
    <n v="0"/>
    <m/>
    <m/>
    <m/>
    <m/>
    <m/>
    <m/>
    <s v="AUD"/>
    <s v="13566080Waste Recycled - Commingled [t]"/>
    <n v="13566080"/>
  </r>
  <r>
    <d v="2019-07-01T00:00:00"/>
    <d v="2021-06-30T00:00:00"/>
    <s v="Telstra"/>
    <s v="NETWORK"/>
    <s v="Network - InfraCo"/>
    <s v="VIC"/>
    <s v="Australia"/>
    <s v="Surrey Hills"/>
    <s v="SURREY HILLS RADIO TERMINAL"/>
    <n v="423030766300"/>
    <s v="Recycled Waste"/>
    <x v="0"/>
    <x v="3"/>
    <s v="Account"/>
    <s v="Remondis Commingled - Recycled"/>
    <m/>
    <s v="423030766300_RCOMINGLE"/>
    <s v="COMMINGLED - RECYCLED"/>
    <s v="Remondis"/>
    <m/>
    <m/>
    <d v="2020-12-01T00:00:00"/>
    <d v="2020-09-01T00:00:00"/>
    <s v="FY21"/>
    <s v="t"/>
    <n v="0"/>
    <n v="2.4E-2"/>
    <n v="0"/>
    <n v="2.4E-2"/>
    <n v="0"/>
    <n v="1"/>
    <n v="0"/>
    <n v="1"/>
    <n v="0"/>
    <n v="100"/>
    <n v="0"/>
    <s v="Consolidation"/>
    <s v="CO2e and Base Measure"/>
    <n v="100"/>
    <n v="100"/>
    <n v="0.02"/>
    <m/>
    <m/>
    <m/>
    <m/>
    <m/>
    <m/>
    <n v="0"/>
    <m/>
    <m/>
    <m/>
    <m/>
    <m/>
    <m/>
    <s v="AUD"/>
    <s v="13566080Waste Recycled - Commingled [t]"/>
    <n v="13566080"/>
  </r>
  <r>
    <d v="2019-07-01T00:00:00"/>
    <d v="2021-06-30T00:00:00"/>
    <s v="Telstra"/>
    <s v="NETWORK"/>
    <s v="Network - InfraCo"/>
    <s v="VIC"/>
    <s v="Australia"/>
    <s v="Surrey Hills"/>
    <s v="SURREY HILLS RADIO TERMINAL"/>
    <n v="423030766300"/>
    <s v="Recycled Waste"/>
    <x v="0"/>
    <x v="3"/>
    <s v="Account"/>
    <s v="Remondis Commingled - Recycled"/>
    <m/>
    <s v="423030766300_RCOMINGLE"/>
    <s v="COMMINGLED - RECYCLED"/>
    <s v="Remondis"/>
    <m/>
    <m/>
    <d v="2020-12-01T00:00:00"/>
    <d v="2020-11-01T00:00:00"/>
    <s v="FY21"/>
    <s v="t"/>
    <n v="0"/>
    <n v="2.4E-2"/>
    <n v="0"/>
    <n v="2.4E-2"/>
    <n v="0"/>
    <n v="1"/>
    <n v="0"/>
    <n v="1"/>
    <n v="0"/>
    <n v="100"/>
    <n v="0"/>
    <s v="Consolidation"/>
    <s v="CO2e and Base Measure"/>
    <n v="100"/>
    <n v="100"/>
    <n v="0.02"/>
    <m/>
    <m/>
    <m/>
    <m/>
    <m/>
    <m/>
    <n v="0"/>
    <m/>
    <m/>
    <m/>
    <m/>
    <m/>
    <m/>
    <s v="AUD"/>
    <s v="13566080Waste Recycled - Commingled [t]"/>
    <n v="13566080"/>
  </r>
  <r>
    <d v="2019-07-01T00:00:00"/>
    <d v="2021-06-30T00:00:00"/>
    <s v="Telstra"/>
    <s v="NETWORK"/>
    <s v="Network - InfraCo"/>
    <s v="VIC"/>
    <s v="Australia"/>
    <s v="Surrey Hills"/>
    <s v="SURREY HILLS RADIO TERMINAL"/>
    <n v="423030766300"/>
    <s v="Recycled Waste"/>
    <x v="0"/>
    <x v="3"/>
    <s v="Account"/>
    <s v="Remondis Commingled - Recycled"/>
    <m/>
    <s v="423030766300_RCOMINGLE"/>
    <s v="COMMINGLED - RECYCLED"/>
    <s v="Remondis"/>
    <m/>
    <m/>
    <d v="2020-12-01T00:00:00"/>
    <d v="2020-12-01T00:00:00"/>
    <s v="FY21"/>
    <s v="t"/>
    <n v="0"/>
    <n v="0"/>
    <n v="6.9999999999999999E-4"/>
    <n v="6.9999999999999999E-4"/>
    <n v="0"/>
    <n v="0"/>
    <n v="1"/>
    <n v="1"/>
    <n v="0"/>
    <n v="0"/>
    <n v="100"/>
    <s v="Consolidation"/>
    <s v="CO2e and Base Measure"/>
    <n v="100"/>
    <n v="100"/>
    <n v="0"/>
    <m/>
    <m/>
    <m/>
    <m/>
    <m/>
    <m/>
    <n v="0"/>
    <m/>
    <m/>
    <m/>
    <m/>
    <m/>
    <m/>
    <s v="AUD"/>
    <s v="13566080Waste Recycled - Commingled [t]"/>
    <n v="13566080"/>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1-01T00:00:00"/>
    <s v="FY21"/>
    <s v="t"/>
    <n v="0.02"/>
    <n v="0"/>
    <n v="0"/>
    <n v="0.02"/>
    <n v="1"/>
    <n v="0"/>
    <n v="0"/>
    <n v="1"/>
    <n v="100"/>
    <n v="0"/>
    <n v="0"/>
    <s v="Consolidation"/>
    <s v="CO2e and Base Measure"/>
    <n v="100"/>
    <n v="100"/>
    <n v="0.02"/>
    <m/>
    <m/>
    <m/>
    <m/>
    <m/>
    <n v="2.5999999999999999E-2"/>
    <m/>
    <n v="2.5999999999999999E-2"/>
    <m/>
    <m/>
    <m/>
    <m/>
    <m/>
    <s v="AUD"/>
    <s v="13634497Waste - General [t] - Scope 3"/>
    <n v="13634497"/>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2-01T00:00:00"/>
    <s v="FY21"/>
    <s v="t"/>
    <n v="0.184"/>
    <n v="0"/>
    <n v="0"/>
    <n v="0.184"/>
    <n v="3"/>
    <n v="0"/>
    <n v="0"/>
    <n v="3"/>
    <n v="100"/>
    <n v="0"/>
    <n v="0"/>
    <s v="Consolidation"/>
    <s v="CO2e and Base Measure"/>
    <n v="100"/>
    <n v="100"/>
    <n v="0.18"/>
    <m/>
    <m/>
    <m/>
    <m/>
    <m/>
    <n v="0.2392"/>
    <m/>
    <n v="0.2392"/>
    <m/>
    <m/>
    <m/>
    <m/>
    <m/>
    <s v="AUD"/>
    <s v="13634497Waste - General [t] - Scope 3"/>
    <n v="13634497"/>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3-01T00:00:00"/>
    <s v="FY21"/>
    <s v="t"/>
    <n v="0"/>
    <n v="0"/>
    <n v="0.1085"/>
    <n v="0.1085"/>
    <n v="0"/>
    <n v="0"/>
    <n v="31"/>
    <n v="31"/>
    <n v="0"/>
    <n v="0"/>
    <n v="100"/>
    <s v="Consolidation"/>
    <s v="CO2e and Base Measure"/>
    <n v="100"/>
    <n v="100"/>
    <n v="0.11"/>
    <m/>
    <m/>
    <m/>
    <m/>
    <m/>
    <n v="0.1411"/>
    <m/>
    <n v="0.1411"/>
    <m/>
    <m/>
    <m/>
    <m/>
    <m/>
    <s v="AUD"/>
    <s v="13634497Waste - General [t] - Scope 3"/>
    <n v="13634497"/>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4-01T00:00:00"/>
    <s v="FY21"/>
    <s v="t"/>
    <n v="0"/>
    <n v="0"/>
    <n v="0.105"/>
    <n v="0.105"/>
    <n v="0"/>
    <n v="0"/>
    <n v="30"/>
    <n v="30"/>
    <n v="0"/>
    <n v="0"/>
    <n v="100"/>
    <s v="Consolidation"/>
    <s v="CO2e and Base Measure"/>
    <n v="100"/>
    <n v="100"/>
    <n v="0.11"/>
    <m/>
    <m/>
    <m/>
    <m/>
    <m/>
    <n v="0.13650000000000001"/>
    <m/>
    <n v="0.13650000000000001"/>
    <m/>
    <m/>
    <m/>
    <m/>
    <m/>
    <s v="AUD"/>
    <s v="13634497Waste - General [t] - Scope 3"/>
    <n v="13634497"/>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5-01T00:00:00"/>
    <s v="FY21"/>
    <s v="t"/>
    <n v="0"/>
    <n v="0"/>
    <n v="0.1085"/>
    <n v="0.1085"/>
    <n v="0"/>
    <n v="0"/>
    <n v="31"/>
    <n v="31"/>
    <n v="0"/>
    <n v="0"/>
    <n v="100"/>
    <s v="Consolidation"/>
    <s v="CO2e and Base Measure"/>
    <n v="100"/>
    <n v="100"/>
    <n v="0.11"/>
    <m/>
    <m/>
    <m/>
    <m/>
    <m/>
    <n v="0.1411"/>
    <m/>
    <n v="0.1411"/>
    <m/>
    <m/>
    <m/>
    <m/>
    <m/>
    <s v="AUD"/>
    <s v="13634497Waste - General [t] - Scope 3"/>
    <n v="13634497"/>
  </r>
  <r>
    <d v="2019-07-01T00:00:00"/>
    <d v="2021-06-30T00:00:00"/>
    <s v="Telstra"/>
    <s v="NETWORK"/>
    <s v="Network - InfraCo"/>
    <s v="VIC"/>
    <s v="Australia"/>
    <s v="Surrey Hills"/>
    <s v="SURREY HILLS RADIO TERMINAL"/>
    <n v="423030766300"/>
    <s v="Recycled Waste"/>
    <x v="0"/>
    <x v="0"/>
    <s v="Account"/>
    <s v="CLEANAWAY Cardboard"/>
    <m/>
    <s v="26486_Diversion_Cardboard"/>
    <s v="Cardboard"/>
    <s v="Cleanaway"/>
    <m/>
    <d v="2021-02-16T00:00:00"/>
    <m/>
    <d v="2021-02-01T00:00:00"/>
    <s v="FY21"/>
    <s v="t"/>
    <n v="0"/>
    <n v="0.22500000000000001"/>
    <n v="0"/>
    <n v="0.22500000000000001"/>
    <n v="0"/>
    <n v="2"/>
    <n v="0"/>
    <n v="2"/>
    <n v="0"/>
    <n v="100"/>
    <n v="0"/>
    <s v="Consolidation"/>
    <s v="CO2e and Base Measure"/>
    <n v="100"/>
    <n v="100"/>
    <n v="0.23"/>
    <m/>
    <m/>
    <m/>
    <m/>
    <m/>
    <m/>
    <m/>
    <m/>
    <m/>
    <m/>
    <m/>
    <m/>
    <m/>
    <s v="AUD"/>
    <s v="13639923Waste Recycled - Paper and Cardboard [t]"/>
    <n v="13639923"/>
  </r>
  <r>
    <d v="2019-07-01T00:00:00"/>
    <d v="2021-06-30T00:00:00"/>
    <s v="Telstra"/>
    <s v="NETWORK"/>
    <s v="Network - InfraCo"/>
    <s v="VIC"/>
    <s v="Australia"/>
    <s v="Surrey Hills"/>
    <s v="SURREY HILLS RADIO TERMINAL"/>
    <n v="423030766300"/>
    <s v="Recycled Waste"/>
    <x v="0"/>
    <x v="0"/>
    <s v="Account"/>
    <s v="CLEANAWAY Cardboard"/>
    <m/>
    <s v="26486_Diversion_Cardboard"/>
    <s v="Cardboard"/>
    <s v="Cleanaway"/>
    <m/>
    <d v="2021-02-16T00:00:00"/>
    <m/>
    <d v="2021-03-01T00:00:00"/>
    <s v="FY21"/>
    <s v="t"/>
    <n v="5.8000000000000003E-2"/>
    <n v="0"/>
    <n v="0"/>
    <n v="5.8000000000000003E-2"/>
    <n v="1"/>
    <n v="0"/>
    <n v="0"/>
    <n v="1"/>
    <n v="100"/>
    <n v="0"/>
    <n v="0"/>
    <s v="Consolidation"/>
    <s v="CO2e and Base Measure"/>
    <n v="100"/>
    <n v="100"/>
    <n v="0.06"/>
    <m/>
    <m/>
    <m/>
    <m/>
    <m/>
    <m/>
    <m/>
    <m/>
    <m/>
    <m/>
    <m/>
    <m/>
    <m/>
    <s v="AUD"/>
    <s v="13639923Waste Recycled - Paper and Cardboard [t]"/>
    <n v="13639923"/>
  </r>
  <r>
    <d v="2019-07-01T00:00:00"/>
    <d v="2021-06-30T00:00:00"/>
    <s v="Telstra"/>
    <s v="NETWORK"/>
    <s v="Network - InfraCo"/>
    <s v="VIC"/>
    <s v="Australia"/>
    <s v="Surrey Hills"/>
    <s v="SURREY HILLS RADIO TERMINAL"/>
    <n v="423030766300"/>
    <s v="Recycled Waste"/>
    <x v="0"/>
    <x v="0"/>
    <s v="Account"/>
    <s v="CLEANAWAY Cardboard"/>
    <m/>
    <s v="26486_Diversion_Cardboard"/>
    <s v="Cardboard"/>
    <s v="Cleanaway"/>
    <m/>
    <d v="2021-02-16T00:00:00"/>
    <m/>
    <d v="2021-04-01T00:00:00"/>
    <s v="FY21"/>
    <s v="t"/>
    <n v="0"/>
    <n v="0"/>
    <n v="0.14699999999999999"/>
    <n v="0.14699999999999999"/>
    <n v="0"/>
    <n v="0"/>
    <n v="30"/>
    <n v="30"/>
    <n v="0"/>
    <n v="0"/>
    <n v="100"/>
    <s v="Consolidation"/>
    <s v="CO2e and Base Measure"/>
    <n v="100"/>
    <n v="100"/>
    <n v="0.15"/>
    <m/>
    <m/>
    <m/>
    <m/>
    <m/>
    <m/>
    <m/>
    <m/>
    <m/>
    <m/>
    <m/>
    <m/>
    <m/>
    <s v="AUD"/>
    <s v="13639923Waste Recycled - Paper and Cardboard [t]"/>
    <n v="13639923"/>
  </r>
  <r>
    <d v="2019-07-01T00:00:00"/>
    <d v="2021-06-30T00:00:00"/>
    <s v="Telstra"/>
    <s v="NETWORK"/>
    <s v="Network - InfraCo"/>
    <s v="VIC"/>
    <s v="Australia"/>
    <s v="Surrey Hills"/>
    <s v="SURREY HILLS RADIO TERMINAL"/>
    <n v="423030766300"/>
    <s v="Recycled Waste"/>
    <x v="0"/>
    <x v="0"/>
    <s v="Account"/>
    <s v="CLEANAWAY Cardboard"/>
    <m/>
    <s v="26486_Diversion_Cardboard"/>
    <s v="Cardboard"/>
    <s v="Cleanaway"/>
    <m/>
    <d v="2021-02-16T00:00:00"/>
    <m/>
    <d v="2021-05-01T00:00:00"/>
    <s v="FY21"/>
    <s v="t"/>
    <n v="0"/>
    <n v="0"/>
    <n v="0.15190000000000001"/>
    <n v="0.15190000000000001"/>
    <n v="0"/>
    <n v="0"/>
    <n v="31"/>
    <n v="31"/>
    <n v="0"/>
    <n v="0"/>
    <n v="100"/>
    <s v="Consolidation"/>
    <s v="CO2e and Base Measure"/>
    <n v="100"/>
    <n v="100"/>
    <n v="0.15"/>
    <m/>
    <m/>
    <m/>
    <m/>
    <m/>
    <m/>
    <m/>
    <m/>
    <m/>
    <m/>
    <m/>
    <m/>
    <m/>
    <s v="AUD"/>
    <s v="13639923Waste Recycled - Paper and Cardboard [t]"/>
    <n v="13639923"/>
  </r>
  <r>
    <d v="2019-07-01T00:00:00"/>
    <d v="2021-06-30T00:00:00"/>
    <s v="Telstra"/>
    <s v="NETWORK"/>
    <s v="Network - InfraCo"/>
    <s v="VIC"/>
    <s v="Australia"/>
    <s v="Surrey Hills"/>
    <s v="SURREY HILLS RADIO TERMINAL"/>
    <n v="423030766300"/>
    <s v="Recycled Waste"/>
    <x v="0"/>
    <x v="3"/>
    <s v="Account"/>
    <s v="CLEANAWAY Commingle - Diversion"/>
    <m/>
    <s v="26486_Diversion_Commingle"/>
    <s v="Commingle"/>
    <s v="Cleanaway"/>
    <m/>
    <d v="2021-02-02T00:00:00"/>
    <m/>
    <d v="2021-02-01T00:00:00"/>
    <s v="FY21"/>
    <s v="t"/>
    <n v="0"/>
    <n v="4.3999999999999997E-2"/>
    <n v="0"/>
    <n v="4.3999999999999997E-2"/>
    <n v="0"/>
    <n v="2"/>
    <n v="0"/>
    <n v="2"/>
    <n v="0"/>
    <n v="100"/>
    <n v="0"/>
    <s v="Consolidation"/>
    <s v="CO2e and Base Measure"/>
    <n v="100"/>
    <n v="100"/>
    <n v="0.04"/>
    <m/>
    <m/>
    <m/>
    <m/>
    <m/>
    <m/>
    <n v="0"/>
    <m/>
    <m/>
    <m/>
    <m/>
    <m/>
    <m/>
    <s v="AUD"/>
    <s v="13639924Waste Recycled - Commingled [t]"/>
    <n v="13639924"/>
  </r>
  <r>
    <d v="2019-07-01T00:00:00"/>
    <d v="2021-06-30T00:00:00"/>
    <s v="Telstra"/>
    <s v="NETWORK"/>
    <s v="Network - InfraCo"/>
    <s v="VIC"/>
    <s v="Australia"/>
    <s v="Surrey Hills"/>
    <s v="SURREY HILLS RADIO TERMINAL"/>
    <n v="423030766300"/>
    <s v="Recycled Waste"/>
    <x v="0"/>
    <x v="3"/>
    <s v="Account"/>
    <s v="CLEANAWAY Commingle - Diversion"/>
    <m/>
    <s v="26486_Diversion_Commingle"/>
    <s v="Commingle"/>
    <s v="Cleanaway"/>
    <m/>
    <d v="2021-02-02T00:00:00"/>
    <m/>
    <d v="2021-03-01T00:00:00"/>
    <s v="FY21"/>
    <s v="t"/>
    <n v="0"/>
    <n v="6.6000000000000003E-2"/>
    <n v="0"/>
    <n v="6.6000000000000003E-2"/>
    <n v="0"/>
    <n v="3"/>
    <n v="0"/>
    <n v="3"/>
    <n v="0"/>
    <n v="100"/>
    <n v="0"/>
    <s v="Consolidation"/>
    <s v="CO2e and Base Measure"/>
    <n v="100"/>
    <n v="100"/>
    <n v="7.0000000000000007E-2"/>
    <m/>
    <m/>
    <m/>
    <m/>
    <m/>
    <m/>
    <n v="0"/>
    <m/>
    <m/>
    <m/>
    <m/>
    <m/>
    <m/>
    <s v="AUD"/>
    <s v="13639924Waste Recycled - Commingled [t]"/>
    <n v="13639924"/>
  </r>
  <r>
    <d v="2019-07-01T00:00:00"/>
    <d v="2021-06-30T00:00:00"/>
    <s v="Telstra"/>
    <s v="NETWORK"/>
    <s v="Network - InfraCo"/>
    <s v="VIC"/>
    <s v="Australia"/>
    <s v="Surrey Hills"/>
    <s v="SURREY HILLS RADIO TERMINAL"/>
    <n v="423030766300"/>
    <s v="Recycled Waste"/>
    <x v="0"/>
    <x v="3"/>
    <s v="Account"/>
    <s v="CLEANAWAY Commingle - Diversion"/>
    <m/>
    <s v="26486_Diversion_Commingle"/>
    <s v="Commingle"/>
    <s v="Cleanaway"/>
    <m/>
    <d v="2021-02-02T00:00:00"/>
    <m/>
    <d v="2021-04-01T00:00:00"/>
    <s v="FY21"/>
    <s v="t"/>
    <n v="0"/>
    <n v="0"/>
    <n v="5.7000000000000002E-2"/>
    <n v="5.7000000000000002E-2"/>
    <n v="0"/>
    <n v="0"/>
    <n v="30"/>
    <n v="30"/>
    <n v="0"/>
    <n v="0"/>
    <n v="100"/>
    <s v="Consolidation"/>
    <s v="CO2e and Base Measure"/>
    <n v="100"/>
    <n v="100"/>
    <n v="0.06"/>
    <m/>
    <m/>
    <m/>
    <m/>
    <m/>
    <m/>
    <n v="0"/>
    <m/>
    <m/>
    <m/>
    <m/>
    <m/>
    <m/>
    <s v="AUD"/>
    <s v="13639924Waste Recycled - Commingled [t]"/>
    <n v="13639924"/>
  </r>
  <r>
    <d v="2019-07-01T00:00:00"/>
    <d v="2021-06-30T00:00:00"/>
    <s v="Telstra"/>
    <s v="NETWORK"/>
    <s v="Network - InfraCo"/>
    <s v="VIC"/>
    <s v="Australia"/>
    <s v="Surrey Hills"/>
    <s v="SURREY HILLS RADIO TERMINAL"/>
    <n v="423030766300"/>
    <s v="Recycled Waste"/>
    <x v="0"/>
    <x v="3"/>
    <s v="Account"/>
    <s v="CLEANAWAY Commingle - Diversion"/>
    <m/>
    <s v="26486_Diversion_Commingle"/>
    <s v="Commingle"/>
    <s v="Cleanaway"/>
    <m/>
    <d v="2021-02-02T00:00:00"/>
    <m/>
    <d v="2021-05-01T00:00:00"/>
    <s v="FY21"/>
    <s v="t"/>
    <n v="0"/>
    <n v="0"/>
    <n v="5.8900000000000001E-2"/>
    <n v="5.8900000000000001E-2"/>
    <n v="0"/>
    <n v="0"/>
    <n v="31"/>
    <n v="31"/>
    <n v="0"/>
    <n v="0"/>
    <n v="100"/>
    <s v="Consolidation"/>
    <s v="CO2e and Base Measure"/>
    <n v="100"/>
    <n v="100"/>
    <n v="0.06"/>
    <m/>
    <m/>
    <m/>
    <m/>
    <m/>
    <m/>
    <n v="0"/>
    <m/>
    <m/>
    <m/>
    <m/>
    <m/>
    <m/>
    <s v="AUD"/>
    <s v="13639924Waste Recycled - Commingled [t]"/>
    <n v="13639924"/>
  </r>
  <r>
    <d v="2019-07-01T00:00:00"/>
    <d v="2021-06-30T00:00:00"/>
    <s v="Telstra"/>
    <s v="NETWORK"/>
    <s v="Network - InfraCo"/>
    <s v="NSW"/>
    <s v="Australia"/>
    <s v="Kirrawee"/>
    <s v="SUTHERLAND EXCHANGE"/>
    <n v="423030302400"/>
    <s v="Waste"/>
    <x v="1"/>
    <x v="4"/>
    <s v="Account"/>
    <s v="Remondis Secure Burial"/>
    <m/>
    <s v="423030302400_RCLESOIL"/>
    <s v="SOIL CLEAN - RECYCLED"/>
    <s v="Remondis"/>
    <m/>
    <d v="2020-08-17T00:00:00"/>
    <d v="2020-09-01T00:00:00"/>
    <d v="2020-08-01T00:00:00"/>
    <s v="FY21"/>
    <s v="t"/>
    <n v="11.04"/>
    <n v="12"/>
    <n v="0"/>
    <n v="23.04"/>
    <n v="1"/>
    <n v="1"/>
    <n v="0"/>
    <n v="2"/>
    <n v="47.91"/>
    <n v="52.08"/>
    <n v="0"/>
    <s v="Consolidation"/>
    <s v="CO2e and Base Measure"/>
    <n v="100"/>
    <n v="100"/>
    <n v="23.04"/>
    <m/>
    <m/>
    <m/>
    <m/>
    <m/>
    <n v="27.648"/>
    <m/>
    <n v="27.648"/>
    <m/>
    <m/>
    <m/>
    <m/>
    <m/>
    <s v="AUD"/>
    <s v="13625667Waste - Construction and Demolition [t]"/>
    <n v="13625667"/>
  </r>
  <r>
    <d v="2019-07-01T00:00:00"/>
    <d v="2021-06-30T00:00:00"/>
    <s v="Telstra"/>
    <s v="NETWORK"/>
    <s v="Network - InfraCo"/>
    <s v="NSW"/>
    <s v="Australia"/>
    <s v="Kirrawee"/>
    <s v="SUTHERLAND EXCHANGE"/>
    <n v="423030302400"/>
    <s v="Waste"/>
    <x v="1"/>
    <x v="4"/>
    <s v="Account"/>
    <s v="Remondis Secure Burial"/>
    <m/>
    <s v="423030302400_RCLESOIL"/>
    <s v="SOIL CLEAN - RECYCLED"/>
    <s v="Remondis"/>
    <m/>
    <d v="2020-08-17T00:00:00"/>
    <d v="2020-09-01T00:00:00"/>
    <d v="2020-09-01T00:00:00"/>
    <s v="FY21"/>
    <s v="t"/>
    <n v="0"/>
    <n v="0"/>
    <n v="0.76800000000000002"/>
    <n v="0.76800000000000002"/>
    <n v="0"/>
    <n v="0"/>
    <n v="1"/>
    <n v="1"/>
    <n v="0"/>
    <n v="0"/>
    <n v="100"/>
    <s v="Consolidation"/>
    <s v="CO2e and Base Measure"/>
    <n v="100"/>
    <n v="100"/>
    <n v="0.77"/>
    <m/>
    <m/>
    <m/>
    <m/>
    <m/>
    <n v="0.92159999999999997"/>
    <m/>
    <n v="0.92159999999999997"/>
    <m/>
    <m/>
    <m/>
    <m/>
    <m/>
    <s v="AUD"/>
    <s v="13625667Waste - Construction and Demolition [t]"/>
    <n v="13625667"/>
  </r>
  <r>
    <d v="2019-07-01T00:00:00"/>
    <d v="2021-06-30T00:00:00"/>
    <s v="Telstra"/>
    <s v="NETWORK"/>
    <s v="Network - InfraCo"/>
    <s v="NSW"/>
    <s v="Australia"/>
    <s v="Kirrawee"/>
    <s v="SUTHERLAND EXCHANGE"/>
    <n v="423030302400"/>
    <s v="Waste"/>
    <x v="1"/>
    <x v="4"/>
    <s v="Account"/>
    <s v="Remondis Asbestos"/>
    <m/>
    <s v="423030302400_WASBESTOS"/>
    <s v="ASBESTOS"/>
    <s v="Remondis"/>
    <m/>
    <d v="2020-10-01T00:00:00"/>
    <d v="2020-12-01T00:00:00"/>
    <d v="2020-10-01T00:00:00"/>
    <s v="FY21"/>
    <s v="t"/>
    <n v="0"/>
    <n v="3"/>
    <n v="0"/>
    <n v="3"/>
    <n v="0"/>
    <n v="1"/>
    <n v="0"/>
    <n v="1"/>
    <n v="0"/>
    <n v="100"/>
    <n v="0"/>
    <s v="Consolidation"/>
    <s v="CO2e and Base Measure"/>
    <n v="100"/>
    <n v="100"/>
    <n v="3"/>
    <m/>
    <m/>
    <m/>
    <m/>
    <m/>
    <n v="3.6"/>
    <m/>
    <n v="3.6"/>
    <m/>
    <m/>
    <m/>
    <m/>
    <m/>
    <s v="AUD"/>
    <s v="13631688Waste - Construction and Demolition [t]"/>
    <n v="13631688"/>
  </r>
  <r>
    <d v="2019-07-01T00:00:00"/>
    <d v="2021-06-30T00:00:00"/>
    <s v="Telstra"/>
    <s v="NETWORK"/>
    <s v="Network - InfraCo"/>
    <s v="NSW"/>
    <s v="Australia"/>
    <s v="Kirrawee"/>
    <s v="SUTHERLAND EXCHANGE"/>
    <n v="423030302400"/>
    <s v="Waste"/>
    <x v="1"/>
    <x v="4"/>
    <s v="Account"/>
    <s v="Remondis Asbestos"/>
    <m/>
    <s v="423030302400_WASBESTOS"/>
    <s v="ASBESTOS"/>
    <s v="Remondis"/>
    <m/>
    <d v="2020-10-01T00:00:00"/>
    <d v="2020-12-01T00:00:00"/>
    <d v="2020-11-01T00:00:00"/>
    <s v="FY21"/>
    <s v="t"/>
    <n v="1"/>
    <n v="0"/>
    <n v="0"/>
    <n v="1"/>
    <n v="1"/>
    <n v="0"/>
    <n v="0"/>
    <n v="1"/>
    <n v="100"/>
    <n v="0"/>
    <n v="0"/>
    <s v="Consolidation"/>
    <s v="CO2e and Base Measure"/>
    <n v="100"/>
    <n v="100"/>
    <n v="1"/>
    <m/>
    <m/>
    <m/>
    <m/>
    <m/>
    <n v="1.2"/>
    <m/>
    <n v="1.2"/>
    <m/>
    <m/>
    <m/>
    <m/>
    <m/>
    <s v="AUD"/>
    <s v="13631688Waste - Construction and Demolition [t]"/>
    <n v="13631688"/>
  </r>
  <r>
    <d v="2019-07-01T00:00:00"/>
    <d v="2021-06-30T00:00:00"/>
    <s v="Telstra"/>
    <s v="NETWORK"/>
    <s v="Network - InfraCo"/>
    <s v="NSW"/>
    <s v="Australia"/>
    <s v="Kirrawee"/>
    <s v="SUTHERLAND EXCHANGE"/>
    <n v="423030302400"/>
    <s v="Waste"/>
    <x v="1"/>
    <x v="4"/>
    <s v="Account"/>
    <s v="Remondis Asbestos"/>
    <m/>
    <s v="423030302400_WASBESTOS"/>
    <s v="ASBESTOS"/>
    <s v="Remondis"/>
    <m/>
    <d v="2020-10-01T00:00:00"/>
    <d v="2020-12-01T00:00:00"/>
    <d v="2020-12-01T00:00:00"/>
    <s v="FY21"/>
    <s v="t"/>
    <n v="0"/>
    <n v="0"/>
    <n v="6.6699999999999995E-2"/>
    <n v="6.6699999999999995E-2"/>
    <n v="0"/>
    <n v="0"/>
    <n v="1"/>
    <n v="1"/>
    <n v="0"/>
    <n v="0"/>
    <n v="100"/>
    <s v="Consolidation"/>
    <s v="CO2e and Base Measure"/>
    <n v="100"/>
    <n v="100"/>
    <n v="7.0000000000000007E-2"/>
    <m/>
    <m/>
    <m/>
    <m/>
    <m/>
    <n v="0.08"/>
    <m/>
    <n v="0.08"/>
    <m/>
    <m/>
    <m/>
    <m/>
    <m/>
    <s v="AUD"/>
    <s v="13631688Waste - Construction and Demolition [t]"/>
    <n v="13631688"/>
  </r>
  <r>
    <d v="2019-07-01T00:00:00"/>
    <d v="2021-06-30T00:00:00"/>
    <s v="Telstra"/>
    <s v="NETWORK"/>
    <s v="Network - InfraCo"/>
    <s v="NSW"/>
    <s v="Australia"/>
    <s v="Kirrawee"/>
    <s v="SUTHERLAND EXCHANGE"/>
    <n v="423030302400"/>
    <s v="Waste"/>
    <x v="1"/>
    <x v="2"/>
    <s v="Account"/>
    <s v="Remondis General Waste"/>
    <m/>
    <s v="423030302400_WGENERALW"/>
    <s v="GENERAL WASTE"/>
    <s v="Remondis"/>
    <m/>
    <d v="2020-10-01T00:00:00"/>
    <d v="2020-12-01T00:00:00"/>
    <d v="2020-10-01T00:00:00"/>
    <s v="FY21"/>
    <s v="t"/>
    <n v="0"/>
    <n v="0.65"/>
    <n v="0"/>
    <n v="0.65"/>
    <n v="0"/>
    <n v="1"/>
    <n v="0"/>
    <n v="1"/>
    <n v="0"/>
    <n v="100"/>
    <n v="0"/>
    <s v="Consolidation"/>
    <s v="CO2e and Base Measure"/>
    <n v="100"/>
    <n v="100"/>
    <n v="0.65"/>
    <m/>
    <m/>
    <m/>
    <m/>
    <m/>
    <n v="0.84499999999999997"/>
    <m/>
    <n v="0.84499999999999997"/>
    <m/>
    <m/>
    <m/>
    <m/>
    <m/>
    <s v="AUD"/>
    <s v="13631691Waste - General [t] - Scope 3"/>
    <n v="13631691"/>
  </r>
  <r>
    <d v="2019-07-01T00:00:00"/>
    <d v="2021-06-30T00:00:00"/>
    <s v="Telstra"/>
    <s v="NETWORK"/>
    <s v="Network - InfraCo"/>
    <s v="NSW"/>
    <s v="Australia"/>
    <s v="Kirrawee"/>
    <s v="SUTHERLAND EXCHANGE"/>
    <n v="423030302400"/>
    <s v="Waste"/>
    <x v="1"/>
    <x v="2"/>
    <s v="Account"/>
    <s v="Remondis General Waste"/>
    <m/>
    <s v="423030302400_WGENERALW"/>
    <s v="GENERAL WASTE"/>
    <s v="Remondis"/>
    <m/>
    <d v="2020-10-01T00:00:00"/>
    <d v="2020-12-01T00:00:00"/>
    <d v="2020-11-01T00:00:00"/>
    <s v="FY21"/>
    <s v="t"/>
    <n v="2.44"/>
    <n v="0"/>
    <n v="0"/>
    <n v="2.44"/>
    <n v="1"/>
    <n v="0"/>
    <n v="0"/>
    <n v="1"/>
    <n v="100"/>
    <n v="0"/>
    <n v="0"/>
    <s v="Consolidation"/>
    <s v="CO2e and Base Measure"/>
    <n v="100"/>
    <n v="100"/>
    <n v="2.44"/>
    <m/>
    <m/>
    <m/>
    <m/>
    <m/>
    <n v="3.1720000000000002"/>
    <m/>
    <n v="3.1720000000000002"/>
    <m/>
    <m/>
    <m/>
    <m/>
    <m/>
    <s v="AUD"/>
    <s v="13631691Waste - General [t] - Scope 3"/>
    <n v="13631691"/>
  </r>
  <r>
    <d v="2019-07-01T00:00:00"/>
    <d v="2021-06-30T00:00:00"/>
    <s v="Telstra"/>
    <s v="NETWORK"/>
    <s v="Network - InfraCo"/>
    <s v="NSW"/>
    <s v="Australia"/>
    <s v="Kirrawee"/>
    <s v="SUTHERLAND EXCHANGE"/>
    <n v="423030302400"/>
    <s v="Waste"/>
    <x v="1"/>
    <x v="2"/>
    <s v="Account"/>
    <s v="Remondis General Waste"/>
    <m/>
    <s v="423030302400_WGENERALW"/>
    <s v="GENERAL WASTE"/>
    <s v="Remondis"/>
    <m/>
    <d v="2020-10-01T00:00:00"/>
    <d v="2020-12-01T00:00:00"/>
    <d v="2020-12-01T00:00:00"/>
    <s v="FY21"/>
    <s v="t"/>
    <n v="0"/>
    <n v="0"/>
    <n v="5.1499999999999997E-2"/>
    <n v="5.1499999999999997E-2"/>
    <n v="0"/>
    <n v="0"/>
    <n v="1"/>
    <n v="1"/>
    <n v="0"/>
    <n v="0"/>
    <n v="100"/>
    <s v="Consolidation"/>
    <s v="CO2e and Base Measure"/>
    <n v="100"/>
    <n v="100"/>
    <n v="0.05"/>
    <m/>
    <m/>
    <m/>
    <m/>
    <m/>
    <n v="6.7000000000000004E-2"/>
    <m/>
    <n v="6.7000000000000004E-2"/>
    <m/>
    <m/>
    <m/>
    <m/>
    <m/>
    <s v="AUD"/>
    <s v="13631691Waste - General [t] - Scope 3"/>
    <n v="13631691"/>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0-12-01T00:00:00"/>
    <s v="FY21"/>
    <s v="t"/>
    <n v="0.02"/>
    <n v="0.13500000000000001"/>
    <n v="0"/>
    <n v="0.155"/>
    <n v="1"/>
    <n v="1"/>
    <n v="0"/>
    <n v="2"/>
    <n v="12.9"/>
    <n v="87.09"/>
    <n v="0"/>
    <s v="Consolidation"/>
    <s v="CO2e and Base Measure"/>
    <n v="100"/>
    <n v="100"/>
    <n v="0.16"/>
    <m/>
    <m/>
    <m/>
    <m/>
    <m/>
    <n v="0.20150000000000001"/>
    <m/>
    <n v="0.20150000000000001"/>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1-01T00:00:00"/>
    <s v="FY21"/>
    <s v="t"/>
    <n v="0.217"/>
    <n v="0.13500000000000001"/>
    <n v="0"/>
    <n v="0.35199999999999998"/>
    <n v="1"/>
    <n v="1"/>
    <n v="0"/>
    <n v="2"/>
    <n v="61.64"/>
    <n v="38.35"/>
    <n v="0"/>
    <s v="Consolidation"/>
    <s v="CO2e and Base Measure"/>
    <n v="100"/>
    <n v="100"/>
    <n v="0.35"/>
    <m/>
    <m/>
    <m/>
    <m/>
    <m/>
    <n v="0.45760000000000001"/>
    <m/>
    <n v="0.45760000000000001"/>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2-01T00:00:00"/>
    <s v="FY21"/>
    <s v="t"/>
    <n v="0.34799999999999998"/>
    <n v="0"/>
    <n v="0"/>
    <n v="0.34799999999999998"/>
    <n v="2"/>
    <n v="0"/>
    <n v="0"/>
    <n v="2"/>
    <n v="100"/>
    <n v="0"/>
    <n v="0"/>
    <s v="Consolidation"/>
    <s v="CO2e and Base Measure"/>
    <n v="100"/>
    <n v="100"/>
    <n v="0.35"/>
    <m/>
    <m/>
    <m/>
    <m/>
    <m/>
    <n v="0.45240000000000002"/>
    <m/>
    <n v="0.45240000000000002"/>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3-01T00:00:00"/>
    <s v="FY21"/>
    <s v="t"/>
    <n v="0.48599999999999999"/>
    <n v="0.13500000000000001"/>
    <n v="0"/>
    <n v="0.621"/>
    <n v="2"/>
    <n v="1"/>
    <n v="0"/>
    <n v="3"/>
    <n v="78.260000000000005"/>
    <n v="21.73"/>
    <n v="0"/>
    <s v="Consolidation"/>
    <s v="CO2e and Base Measure"/>
    <n v="100"/>
    <n v="100"/>
    <n v="0.62"/>
    <m/>
    <m/>
    <m/>
    <m/>
    <m/>
    <n v="0.80730000000000002"/>
    <m/>
    <n v="0.80730000000000002"/>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4-01T00:00:00"/>
    <s v="FY21"/>
    <s v="t"/>
    <n v="0"/>
    <n v="0"/>
    <n v="0.36899999999999999"/>
    <n v="0.36899999999999999"/>
    <n v="0"/>
    <n v="0"/>
    <n v="30"/>
    <n v="30"/>
    <n v="0"/>
    <n v="0"/>
    <n v="100"/>
    <s v="Consolidation"/>
    <s v="CO2e and Base Measure"/>
    <n v="100"/>
    <n v="100"/>
    <n v="0.37"/>
    <m/>
    <m/>
    <m/>
    <m/>
    <m/>
    <n v="0.47970000000000002"/>
    <m/>
    <n v="0.47970000000000002"/>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5-01T00:00:00"/>
    <s v="FY21"/>
    <s v="t"/>
    <n v="0"/>
    <n v="0"/>
    <n v="0.38129999999999997"/>
    <n v="0.38129999999999997"/>
    <n v="0"/>
    <n v="0"/>
    <n v="31"/>
    <n v="31"/>
    <n v="0"/>
    <n v="0"/>
    <n v="100"/>
    <s v="Consolidation"/>
    <s v="CO2e and Base Measure"/>
    <n v="100"/>
    <n v="100"/>
    <n v="0.38"/>
    <m/>
    <m/>
    <m/>
    <m/>
    <m/>
    <n v="0.49569999999999997"/>
    <m/>
    <n v="0.49569999999999997"/>
    <m/>
    <m/>
    <m/>
    <m/>
    <m/>
    <s v="AUD"/>
    <s v="13634270Waste - General [t] - Scope 3"/>
    <n v="13634270"/>
  </r>
  <r>
    <d v="2019-07-01T00:00:00"/>
    <d v="2021-06-30T00:00:00"/>
    <s v="Telstra"/>
    <s v="NETWORK"/>
    <s v="Network - InfraCo"/>
    <s v="VIC"/>
    <s v="Australia"/>
    <s v="Swan Hill"/>
    <s v="SWAN HILL EXCHANGE"/>
    <n v="423030760600"/>
    <s v="Waste"/>
    <x v="1"/>
    <x v="4"/>
    <s v="Account"/>
    <s v="Remondis Asbestos"/>
    <m/>
    <s v="4230307606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5204Waste - Construction and Demolition [t]"/>
    <n v="13565204"/>
  </r>
  <r>
    <d v="2019-07-01T00:00:00"/>
    <d v="2021-06-30T00:00:00"/>
    <s v="Telstra"/>
    <s v="NETWORK"/>
    <s v="Network - InfraCo"/>
    <s v="VIC"/>
    <s v="Australia"/>
    <s v="Swan Hill"/>
    <s v="SWAN HILL EXCHANGE"/>
    <n v="423030760600"/>
    <s v="Waste"/>
    <x v="1"/>
    <x v="4"/>
    <s v="Account"/>
    <s v="Remondis Asbestos"/>
    <m/>
    <s v="4230307606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5204Waste - Construction and Demolition [t]"/>
    <n v="13565204"/>
  </r>
  <r>
    <d v="2019-07-01T00:00:00"/>
    <d v="2021-06-30T00:00:00"/>
    <s v="Telstra"/>
    <s v="NETWORK"/>
    <s v="Network - InfraCo"/>
    <s v="VIC"/>
    <s v="Australia"/>
    <s v="Swan Hill"/>
    <s v="SWAN HILL EXCHANGE"/>
    <n v="423030760600"/>
    <s v="Recycled Waste"/>
    <x v="0"/>
    <x v="0"/>
    <s v="Account"/>
    <s v="Remondis Cardboard - Loose - Recycled"/>
    <m/>
    <s v="423030760600_RCARDBOAR"/>
    <s v="CARDBOARD - LOOSE - RECYCLED"/>
    <s v="Remondis"/>
    <m/>
    <m/>
    <d v="2020-09-01T00:00:00"/>
    <d v="2020-08-01T00:00:00"/>
    <s v="FY21"/>
    <s v="t"/>
    <n v="0"/>
    <n v="5.8799999999999998E-2"/>
    <n v="0"/>
    <n v="5.8799999999999998E-2"/>
    <n v="0"/>
    <n v="1"/>
    <n v="0"/>
    <n v="1"/>
    <n v="0"/>
    <n v="100"/>
    <n v="0"/>
    <s v="Consolidation"/>
    <s v="CO2e and Base Measure"/>
    <n v="100"/>
    <n v="100"/>
    <n v="0.06"/>
    <m/>
    <m/>
    <m/>
    <m/>
    <m/>
    <m/>
    <n v="0"/>
    <m/>
    <m/>
    <m/>
    <m/>
    <m/>
    <m/>
    <s v="AUD"/>
    <s v="13565205Waste Recycled - Cardboard [t]"/>
    <n v="13565205"/>
  </r>
  <r>
    <d v="2019-07-01T00:00:00"/>
    <d v="2021-06-30T00:00:00"/>
    <s v="Telstra"/>
    <s v="NETWORK"/>
    <s v="Network - InfraCo"/>
    <s v="VIC"/>
    <s v="Australia"/>
    <s v="Swan Hill"/>
    <s v="SWAN HILL EXCHANGE"/>
    <n v="423030760600"/>
    <s v="Recycled Waste"/>
    <x v="0"/>
    <x v="0"/>
    <s v="Account"/>
    <s v="Remondis Cardboard - Loose - Recycled"/>
    <m/>
    <s v="423030760600_RCARDBOAR"/>
    <s v="CARDBOARD - LOOSE - RECYCLED"/>
    <s v="Remondis"/>
    <m/>
    <m/>
    <d v="2020-09-01T00:00:00"/>
    <d v="2020-09-01T00:00:00"/>
    <s v="FY21"/>
    <s v="t"/>
    <n v="0"/>
    <n v="0"/>
    <n v="1.2999999999999999E-3"/>
    <n v="1.2999999999999999E-3"/>
    <n v="0"/>
    <n v="0"/>
    <n v="1"/>
    <n v="1"/>
    <n v="0"/>
    <n v="0"/>
    <n v="100"/>
    <s v="Consolidation"/>
    <s v="CO2e and Base Measure"/>
    <n v="100"/>
    <n v="100"/>
    <n v="0"/>
    <m/>
    <m/>
    <m/>
    <m/>
    <m/>
    <m/>
    <n v="0"/>
    <m/>
    <m/>
    <m/>
    <m/>
    <m/>
    <m/>
    <s v="AUD"/>
    <s v="13565205Waste Recycled - Cardboard [t]"/>
    <n v="13565205"/>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07-01T00:00:00"/>
    <s v="FY21"/>
    <s v="t"/>
    <n v="0"/>
    <n v="0.63"/>
    <n v="0"/>
    <n v="0.63"/>
    <n v="0"/>
    <n v="3"/>
    <n v="0"/>
    <n v="3"/>
    <n v="0"/>
    <n v="100"/>
    <n v="0"/>
    <s v="Consolidation"/>
    <s v="CO2e and Base Measure"/>
    <n v="100"/>
    <n v="100"/>
    <n v="0.63"/>
    <m/>
    <m/>
    <m/>
    <m/>
    <m/>
    <n v="0.81899999999999995"/>
    <m/>
    <n v="0.81899999999999995"/>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08-01T00:00:00"/>
    <s v="FY21"/>
    <s v="t"/>
    <n v="0"/>
    <n v="0.91500000000000004"/>
    <n v="0"/>
    <n v="0.91500000000000004"/>
    <n v="0"/>
    <n v="4"/>
    <n v="0"/>
    <n v="4"/>
    <n v="0"/>
    <n v="100"/>
    <n v="0"/>
    <s v="Consolidation"/>
    <s v="CO2e and Base Measure"/>
    <n v="100"/>
    <n v="100"/>
    <n v="0.92"/>
    <m/>
    <m/>
    <m/>
    <m/>
    <m/>
    <n v="1.1895"/>
    <m/>
    <n v="1.1895"/>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09-01T00:00:00"/>
    <s v="FY21"/>
    <s v="t"/>
    <n v="0"/>
    <n v="1.02"/>
    <n v="0"/>
    <n v="1.02"/>
    <n v="0"/>
    <n v="5"/>
    <n v="0"/>
    <n v="5"/>
    <n v="0"/>
    <n v="100"/>
    <n v="0"/>
    <s v="Consolidation"/>
    <s v="CO2e and Base Measure"/>
    <n v="100"/>
    <n v="100"/>
    <n v="1.02"/>
    <m/>
    <m/>
    <m/>
    <m/>
    <m/>
    <n v="1.3260000000000001"/>
    <m/>
    <n v="1.3260000000000001"/>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10-01T00:00:00"/>
    <s v="FY21"/>
    <s v="t"/>
    <n v="0"/>
    <n v="0.72"/>
    <n v="0"/>
    <n v="0.72"/>
    <n v="0"/>
    <n v="3"/>
    <n v="0"/>
    <n v="3"/>
    <n v="0"/>
    <n v="100"/>
    <n v="0"/>
    <s v="Consolidation"/>
    <s v="CO2e and Base Measure"/>
    <n v="100"/>
    <n v="100"/>
    <n v="0.72"/>
    <m/>
    <m/>
    <m/>
    <m/>
    <m/>
    <n v="0.93600000000000005"/>
    <m/>
    <n v="0.93600000000000005"/>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11-01T00:00:00"/>
    <s v="FY21"/>
    <s v="t"/>
    <n v="0"/>
    <n v="1.17"/>
    <n v="0"/>
    <n v="1.17"/>
    <n v="0"/>
    <n v="6"/>
    <n v="0"/>
    <n v="6"/>
    <n v="0"/>
    <n v="100"/>
    <n v="0"/>
    <s v="Consolidation"/>
    <s v="CO2e and Base Measure"/>
    <n v="100"/>
    <n v="100"/>
    <n v="1.17"/>
    <m/>
    <m/>
    <m/>
    <m/>
    <m/>
    <n v="1.5209999999999999"/>
    <m/>
    <n v="1.5209999999999999"/>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12-01T00:00:00"/>
    <s v="FY21"/>
    <s v="t"/>
    <n v="0"/>
    <n v="0"/>
    <n v="2.7699999999999999E-2"/>
    <n v="2.7699999999999999E-2"/>
    <n v="0"/>
    <n v="0"/>
    <n v="1"/>
    <n v="1"/>
    <n v="0"/>
    <n v="0"/>
    <n v="100"/>
    <s v="Consolidation"/>
    <s v="CO2e and Base Measure"/>
    <n v="100"/>
    <n v="100"/>
    <n v="0.03"/>
    <m/>
    <m/>
    <m/>
    <m/>
    <m/>
    <n v="3.5999999999999997E-2"/>
    <m/>
    <n v="3.5999999999999997E-2"/>
    <m/>
    <m/>
    <m/>
    <m/>
    <m/>
    <s v="AUD"/>
    <s v="13565206Waste - General [t] - Scope 3"/>
    <n v="13565206"/>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0-12-01T00:00:00"/>
    <s v="FY21"/>
    <s v="t"/>
    <n v="0.29499999999999998"/>
    <n v="0"/>
    <n v="0"/>
    <n v="0.29499999999999998"/>
    <n v="2"/>
    <n v="0"/>
    <n v="0"/>
    <n v="2"/>
    <n v="100"/>
    <n v="0"/>
    <n v="0"/>
    <s v="Consolidation"/>
    <s v="CO2e and Base Measure"/>
    <n v="100"/>
    <n v="100"/>
    <n v="0.3"/>
    <m/>
    <m/>
    <m/>
    <m/>
    <m/>
    <n v="0.38350000000000001"/>
    <m/>
    <n v="0.38350000000000001"/>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1-01T00:00:00"/>
    <s v="FY21"/>
    <s v="t"/>
    <n v="0.06"/>
    <n v="6.7500000000000004E-2"/>
    <n v="0"/>
    <n v="0.1275"/>
    <n v="1"/>
    <n v="1"/>
    <n v="0"/>
    <n v="2"/>
    <n v="47.05"/>
    <n v="52.94"/>
    <n v="0"/>
    <s v="Consolidation"/>
    <s v="CO2e and Base Measure"/>
    <n v="100"/>
    <n v="100"/>
    <n v="0.13"/>
    <m/>
    <m/>
    <m/>
    <m/>
    <m/>
    <n v="0.1658"/>
    <m/>
    <n v="0.1658"/>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3-01T00:00:00"/>
    <s v="FY21"/>
    <s v="t"/>
    <n v="0.34499999999999997"/>
    <n v="0"/>
    <n v="0"/>
    <n v="0.34499999999999997"/>
    <n v="2"/>
    <n v="0"/>
    <n v="0"/>
    <n v="2"/>
    <n v="100"/>
    <n v="0"/>
    <n v="0"/>
    <s v="Consolidation"/>
    <s v="CO2e and Base Measure"/>
    <n v="100"/>
    <n v="100"/>
    <n v="0.35"/>
    <m/>
    <m/>
    <m/>
    <m/>
    <m/>
    <n v="0.44850000000000001"/>
    <m/>
    <n v="0.44850000000000001"/>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4-01T00:00:00"/>
    <s v="FY21"/>
    <s v="t"/>
    <n v="0"/>
    <n v="0"/>
    <n v="0.22500000000000001"/>
    <n v="0.22500000000000001"/>
    <n v="0"/>
    <n v="0"/>
    <n v="30"/>
    <n v="30"/>
    <n v="0"/>
    <n v="0"/>
    <n v="100"/>
    <s v="Consolidation"/>
    <s v="CO2e and Base Measure"/>
    <n v="100"/>
    <n v="100"/>
    <n v="0.23"/>
    <m/>
    <m/>
    <m/>
    <m/>
    <m/>
    <n v="0.29249999999999998"/>
    <m/>
    <n v="0.29249999999999998"/>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5-01T00:00:00"/>
    <s v="FY21"/>
    <s v="t"/>
    <n v="0"/>
    <n v="0"/>
    <n v="0.23250000000000001"/>
    <n v="0.23250000000000001"/>
    <n v="0"/>
    <n v="0"/>
    <n v="31"/>
    <n v="31"/>
    <n v="0"/>
    <n v="0"/>
    <n v="100"/>
    <s v="Consolidation"/>
    <s v="CO2e and Base Measure"/>
    <n v="100"/>
    <n v="100"/>
    <n v="0.23"/>
    <m/>
    <m/>
    <m/>
    <m/>
    <m/>
    <n v="0.30230000000000001"/>
    <m/>
    <n v="0.30230000000000001"/>
    <m/>
    <m/>
    <m/>
    <m/>
    <m/>
    <s v="AUD"/>
    <s v="13634271Waste - General [t] - Scope 3"/>
    <n v="13634271"/>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0-12-01T00:00:00"/>
    <s v="FY21"/>
    <s v="t"/>
    <n v="1.4E-2"/>
    <n v="0"/>
    <n v="0"/>
    <n v="1.4E-2"/>
    <n v="1"/>
    <n v="0"/>
    <n v="0"/>
    <n v="1"/>
    <n v="100"/>
    <n v="0"/>
    <n v="0"/>
    <s v="Consolidation"/>
    <s v="CO2e and Base Measure"/>
    <n v="100"/>
    <n v="100"/>
    <n v="0.01"/>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1-01T00:00:00"/>
    <s v="FY21"/>
    <s v="t"/>
    <n v="0"/>
    <n v="7.4999999999999997E-2"/>
    <n v="0"/>
    <n v="7.4999999999999997E-2"/>
    <n v="0"/>
    <n v="1"/>
    <n v="0"/>
    <n v="1"/>
    <n v="0"/>
    <n v="100"/>
    <n v="0"/>
    <s v="Consolidation"/>
    <s v="CO2e and Base Measure"/>
    <n v="100"/>
    <n v="100"/>
    <n v="0.08"/>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2-01T00:00:00"/>
    <s v="FY21"/>
    <s v="t"/>
    <n v="0"/>
    <n v="7.4999999999999997E-2"/>
    <n v="0"/>
    <n v="7.4999999999999997E-2"/>
    <n v="0"/>
    <n v="1"/>
    <n v="0"/>
    <n v="1"/>
    <n v="0"/>
    <n v="100"/>
    <n v="0"/>
    <s v="Consolidation"/>
    <s v="CO2e and Base Measure"/>
    <n v="100"/>
    <n v="100"/>
    <n v="0.08"/>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3-01T00:00:00"/>
    <s v="FY21"/>
    <s v="t"/>
    <n v="0"/>
    <n v="7.4999999999999997E-2"/>
    <n v="0"/>
    <n v="7.4999999999999997E-2"/>
    <n v="0"/>
    <n v="1"/>
    <n v="0"/>
    <n v="1"/>
    <n v="0"/>
    <n v="100"/>
    <n v="0"/>
    <s v="Consolidation"/>
    <s v="CO2e and Base Measure"/>
    <n v="100"/>
    <n v="100"/>
    <n v="0.08"/>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4-01T00:00:00"/>
    <s v="FY21"/>
    <s v="t"/>
    <n v="0"/>
    <n v="0"/>
    <n v="0.06"/>
    <n v="0.06"/>
    <n v="0"/>
    <n v="0"/>
    <n v="30"/>
    <n v="30"/>
    <n v="0"/>
    <n v="0"/>
    <n v="100"/>
    <s v="Consolidation"/>
    <s v="CO2e and Base Measure"/>
    <n v="100"/>
    <n v="100"/>
    <n v="0.06"/>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5-01T00:00:00"/>
    <s v="FY21"/>
    <s v="t"/>
    <n v="0"/>
    <n v="0"/>
    <n v="6.2E-2"/>
    <n v="6.2E-2"/>
    <n v="0"/>
    <n v="0"/>
    <n v="31"/>
    <n v="31"/>
    <n v="0"/>
    <n v="0"/>
    <n v="100"/>
    <s v="Consolidation"/>
    <s v="CO2e and Base Measure"/>
    <n v="100"/>
    <n v="100"/>
    <n v="0.06"/>
    <m/>
    <m/>
    <m/>
    <m/>
    <m/>
    <m/>
    <m/>
    <m/>
    <m/>
    <m/>
    <m/>
    <m/>
    <m/>
    <s v="AUD"/>
    <s v="13634272Waste Recycled - Paper and Cardboard [t]"/>
    <n v="13634272"/>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07-01T00:00:00"/>
    <s v="FY21"/>
    <s v="t"/>
    <n v="0"/>
    <n v="6.2399999999999997E-2"/>
    <n v="0"/>
    <n v="6.2399999999999997E-2"/>
    <n v="0"/>
    <n v="4"/>
    <n v="0"/>
    <n v="4"/>
    <n v="0"/>
    <n v="100"/>
    <n v="0"/>
    <s v="Consolidation"/>
    <s v="CO2e and Base Measure"/>
    <n v="100"/>
    <n v="100"/>
    <n v="0.06"/>
    <m/>
    <m/>
    <m/>
    <m/>
    <m/>
    <n v="8.1100000000000005E-2"/>
    <m/>
    <n v="8.1100000000000005E-2"/>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09-01T00:00:00"/>
    <s v="FY21"/>
    <s v="t"/>
    <n v="0"/>
    <n v="7.8E-2"/>
    <n v="0"/>
    <n v="7.8E-2"/>
    <n v="0"/>
    <n v="5"/>
    <n v="0"/>
    <n v="5"/>
    <n v="0"/>
    <n v="100"/>
    <n v="0"/>
    <s v="Consolidation"/>
    <s v="CO2e and Base Measure"/>
    <n v="100"/>
    <n v="100"/>
    <n v="0.08"/>
    <m/>
    <m/>
    <m/>
    <m/>
    <m/>
    <n v="0.1014"/>
    <m/>
    <n v="0.1014"/>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10-01T00:00:00"/>
    <s v="FY21"/>
    <s v="t"/>
    <n v="0"/>
    <n v="6.2399999999999997E-2"/>
    <n v="0"/>
    <n v="6.2399999999999997E-2"/>
    <n v="0"/>
    <n v="4"/>
    <n v="0"/>
    <n v="4"/>
    <n v="0"/>
    <n v="100"/>
    <n v="0"/>
    <s v="Consolidation"/>
    <s v="CO2e and Base Measure"/>
    <n v="100"/>
    <n v="100"/>
    <n v="0.06"/>
    <m/>
    <m/>
    <m/>
    <m/>
    <m/>
    <n v="8.1100000000000005E-2"/>
    <m/>
    <n v="8.1100000000000005E-2"/>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12-01T00:00:00"/>
    <s v="FY21"/>
    <s v="t"/>
    <n v="0"/>
    <n v="0"/>
    <n v="2.2000000000000001E-3"/>
    <n v="2.2000000000000001E-3"/>
    <n v="0"/>
    <n v="0"/>
    <n v="1"/>
    <n v="1"/>
    <n v="0"/>
    <n v="0"/>
    <n v="100"/>
    <s v="Consolidation"/>
    <s v="CO2e and Base Measure"/>
    <n v="100"/>
    <n v="100"/>
    <n v="0"/>
    <m/>
    <m/>
    <m/>
    <m/>
    <m/>
    <n v="2.8999999999999998E-3"/>
    <m/>
    <n v="2.8999999999999998E-3"/>
    <m/>
    <m/>
    <m/>
    <m/>
    <m/>
    <s v="AUD"/>
    <s v="13564247Waste - General [t] - Scope 3"/>
    <n v="13564247"/>
  </r>
  <r>
    <d v="2019-07-01T00:00:00"/>
    <d v="2021-06-30T00:00:00"/>
    <s v="Telstra"/>
    <s v="NETWORK"/>
    <s v="Network - InfraCo"/>
    <s v="QLD"/>
    <s v="Australia"/>
    <s v="Flinders View"/>
    <s v="SWANBANK EXCHANGE"/>
    <n v="423030170400"/>
    <s v="Waste"/>
    <x v="1"/>
    <x v="2"/>
    <s v="Account"/>
    <s v="CLEANAWAY General"/>
    <m/>
    <s v="57309_Landfill_General"/>
    <s v="General"/>
    <s v="Cleanaway"/>
    <m/>
    <d v="2021-03-05T00:00:00"/>
    <m/>
    <d v="2021-03-01T00:00:00"/>
    <s v="FY21"/>
    <s v="t"/>
    <n v="0"/>
    <n v="0.1188"/>
    <n v="0"/>
    <n v="0.1188"/>
    <n v="0"/>
    <n v="4"/>
    <n v="0"/>
    <n v="4"/>
    <n v="0"/>
    <n v="100"/>
    <n v="0"/>
    <s v="Consolidation"/>
    <s v="CO2e and Base Measure"/>
    <n v="100"/>
    <n v="100"/>
    <n v="0.12"/>
    <m/>
    <m/>
    <m/>
    <m/>
    <m/>
    <n v="0.15440000000000001"/>
    <m/>
    <n v="0.15440000000000001"/>
    <m/>
    <m/>
    <m/>
    <m/>
    <m/>
    <s v="AUD"/>
    <s v="13641230Waste - General [t] - Scope 3"/>
    <n v="13641230"/>
  </r>
  <r>
    <d v="2019-07-01T00:00:00"/>
    <d v="2021-06-30T00:00:00"/>
    <s v="Telstra"/>
    <s v="NETWORK"/>
    <s v="Network - InfraCo"/>
    <s v="QLD"/>
    <s v="Australia"/>
    <s v="Flinders View"/>
    <s v="SWANBANK EXCHANGE"/>
    <n v="423030170400"/>
    <s v="Waste"/>
    <x v="1"/>
    <x v="2"/>
    <s v="Account"/>
    <s v="CLEANAWAY General"/>
    <m/>
    <s v="57309_Landfill_General"/>
    <s v="General"/>
    <s v="Cleanaway"/>
    <m/>
    <d v="2021-03-05T00:00:00"/>
    <m/>
    <d v="2021-04-01T00:00:00"/>
    <s v="FY21"/>
    <s v="t"/>
    <n v="0"/>
    <n v="0"/>
    <n v="0.12"/>
    <n v="0.12"/>
    <n v="0"/>
    <n v="0"/>
    <n v="30"/>
    <n v="30"/>
    <n v="0"/>
    <n v="0"/>
    <n v="100"/>
    <s v="Consolidation"/>
    <s v="CO2e and Base Measure"/>
    <n v="100"/>
    <n v="100"/>
    <n v="0.12"/>
    <m/>
    <m/>
    <m/>
    <m/>
    <m/>
    <n v="0.156"/>
    <m/>
    <n v="0.156"/>
    <m/>
    <m/>
    <m/>
    <m/>
    <m/>
    <s v="AUD"/>
    <s v="13641230Waste - General [t] - Scope 3"/>
    <n v="13641230"/>
  </r>
  <r>
    <d v="2019-07-01T00:00:00"/>
    <d v="2021-06-30T00:00:00"/>
    <s v="Telstra"/>
    <s v="NETWORK"/>
    <s v="Network - InfraCo"/>
    <s v="QLD"/>
    <s v="Australia"/>
    <s v="Flinders View"/>
    <s v="SWANBANK EXCHANGE"/>
    <n v="423030170400"/>
    <s v="Waste"/>
    <x v="1"/>
    <x v="2"/>
    <s v="Account"/>
    <s v="CLEANAWAY General"/>
    <m/>
    <s v="57309_Landfill_General"/>
    <s v="General"/>
    <s v="Cleanaway"/>
    <m/>
    <d v="2021-03-05T00:00:00"/>
    <m/>
    <d v="2021-05-01T00:00:00"/>
    <s v="FY21"/>
    <s v="t"/>
    <n v="0"/>
    <n v="0"/>
    <n v="0.124"/>
    <n v="0.124"/>
    <n v="0"/>
    <n v="0"/>
    <n v="31"/>
    <n v="31"/>
    <n v="0"/>
    <n v="0"/>
    <n v="100"/>
    <s v="Consolidation"/>
    <s v="CO2e and Base Measure"/>
    <n v="100"/>
    <n v="100"/>
    <n v="0.12"/>
    <m/>
    <m/>
    <m/>
    <m/>
    <m/>
    <n v="0.16120000000000001"/>
    <m/>
    <n v="0.16120000000000001"/>
    <m/>
    <m/>
    <m/>
    <m/>
    <m/>
    <s v="AUD"/>
    <s v="13641230Waste - General [t] - Scope 3"/>
    <n v="13641230"/>
  </r>
  <r>
    <d v="2019-07-01T00:00:00"/>
    <d v="2021-06-30T00:00:00"/>
    <s v="Telstra"/>
    <s v="NETWORK"/>
    <s v="Network - InfraCo"/>
    <s v="VIC"/>
    <s v="Australia"/>
    <s v="Caroline Springs"/>
    <s v="SYDENHAM EXCHANGE NEW"/>
    <n v="423031457000"/>
    <s v="Waste"/>
    <x v="1"/>
    <x v="2"/>
    <s v="Account"/>
    <s v="Remondis General Waste"/>
    <m/>
    <s v="423031457000_WGENERALW"/>
    <s v="GENERAL WASTE"/>
    <s v="Remondis"/>
    <m/>
    <m/>
    <d v="2020-07-01T00:00:00"/>
    <d v="2020-07-01T00:00:00"/>
    <s v="FY21"/>
    <s v="t"/>
    <n v="0"/>
    <n v="0"/>
    <n v="0.1079"/>
    <n v="0.1079"/>
    <n v="0"/>
    <n v="0"/>
    <n v="1"/>
    <n v="1"/>
    <n v="0"/>
    <n v="0"/>
    <n v="100"/>
    <s v="Consolidation"/>
    <s v="CO2e and Base Measure"/>
    <n v="100"/>
    <n v="100"/>
    <n v="0.11"/>
    <m/>
    <m/>
    <m/>
    <m/>
    <m/>
    <n v="0.14030000000000001"/>
    <m/>
    <n v="0.14030000000000001"/>
    <m/>
    <m/>
    <m/>
    <m/>
    <m/>
    <s v="AUD"/>
    <s v="13565644Waste - General [t] - Scope 3"/>
    <n v="13565644"/>
  </r>
  <r>
    <d v="2019-07-01T00:00:00"/>
    <d v="2021-06-30T00:00:00"/>
    <s v="Telstra"/>
    <s v="NETWORK"/>
    <s v="Network - InfraCo"/>
    <s v="NSW"/>
    <s v="Australia"/>
    <s v="Kareela"/>
    <s v="SYLVANIA EXCHANGE"/>
    <n v="423030304700"/>
    <s v="Waste"/>
    <x v="1"/>
    <x v="2"/>
    <s v="Account"/>
    <s v="Remondis General Waste"/>
    <m/>
    <s v="423030304700_WGENERALW"/>
    <s v="GENERAL WASTE"/>
    <s v="Remondis"/>
    <m/>
    <m/>
    <d v="2021-01-01T00:00:00"/>
    <d v="2020-07-01T00:00:00"/>
    <s v="FY21"/>
    <s v="t"/>
    <n v="0.72"/>
    <n v="0"/>
    <n v="0"/>
    <n v="0.72"/>
    <n v="2"/>
    <n v="0"/>
    <n v="0"/>
    <n v="2"/>
    <n v="100"/>
    <n v="0"/>
    <n v="0"/>
    <s v="Consolidation"/>
    <s v="CO2e and Base Measure"/>
    <n v="100"/>
    <n v="100"/>
    <n v="0.72"/>
    <m/>
    <m/>
    <m/>
    <m/>
    <m/>
    <n v="0.93600000000000005"/>
    <m/>
    <n v="0.93600000000000005"/>
    <m/>
    <m/>
    <m/>
    <m/>
    <m/>
    <s v="AUD"/>
    <s v="13564484Waste - General [t] - Scope 3"/>
    <n v="13564484"/>
  </r>
  <r>
    <d v="2019-07-01T00:00:00"/>
    <d v="2021-06-30T00:00:00"/>
    <s v="Telstra"/>
    <s v="NETWORK"/>
    <s v="Network - InfraCo"/>
    <s v="NSW"/>
    <s v="Australia"/>
    <s v="Kareela"/>
    <s v="SYLVANIA EXCHANGE"/>
    <n v="423030304700"/>
    <s v="Waste"/>
    <x v="1"/>
    <x v="2"/>
    <s v="Account"/>
    <s v="Remondis General Waste"/>
    <m/>
    <s v="423030304700_WGENERALW"/>
    <s v="GENERAL WASTE"/>
    <s v="Remondis"/>
    <m/>
    <m/>
    <d v="2021-01-01T00:00:00"/>
    <d v="2020-08-01T00:00:00"/>
    <s v="FY21"/>
    <s v="t"/>
    <n v="1"/>
    <n v="0.39"/>
    <n v="0"/>
    <n v="1.39"/>
    <n v="1"/>
    <n v="1"/>
    <n v="0"/>
    <n v="2"/>
    <n v="71.94"/>
    <n v="28.05"/>
    <n v="0"/>
    <s v="Consolidation"/>
    <s v="CO2e and Base Measure"/>
    <n v="100"/>
    <n v="100"/>
    <n v="1.39"/>
    <m/>
    <m/>
    <m/>
    <m/>
    <m/>
    <n v="1.8069999999999999"/>
    <m/>
    <n v="1.8069999999999999"/>
    <m/>
    <m/>
    <m/>
    <m/>
    <m/>
    <s v="AUD"/>
    <s v="13564484Waste - General [t] - Scope 3"/>
    <n v="13564484"/>
  </r>
  <r>
    <d v="2019-07-01T00:00:00"/>
    <d v="2021-06-30T00:00:00"/>
    <s v="Telstra"/>
    <s v="NETWORK"/>
    <s v="Network - InfraCo"/>
    <s v="NSW"/>
    <s v="Australia"/>
    <s v="Kareela"/>
    <s v="SYLVANIA EXCHANGE"/>
    <n v="423030304700"/>
    <s v="Waste"/>
    <x v="1"/>
    <x v="2"/>
    <s v="Account"/>
    <s v="Remondis General Waste"/>
    <m/>
    <s v="423030304700_WGENERALW"/>
    <s v="GENERAL WASTE"/>
    <s v="Remondis"/>
    <m/>
    <m/>
    <d v="2021-01-01T00:00:00"/>
    <d v="2020-12-01T00:00:00"/>
    <s v="FY21"/>
    <s v="t"/>
    <n v="2.1800000000000002"/>
    <n v="0"/>
    <n v="0"/>
    <n v="2.1800000000000002"/>
    <n v="1"/>
    <n v="0"/>
    <n v="0"/>
    <n v="1"/>
    <n v="100"/>
    <n v="0"/>
    <n v="0"/>
    <s v="Consolidation"/>
    <s v="CO2e and Base Measure"/>
    <n v="100"/>
    <n v="100"/>
    <n v="2.1800000000000002"/>
    <m/>
    <m/>
    <m/>
    <m/>
    <m/>
    <n v="2.8340000000000001"/>
    <m/>
    <n v="2.8340000000000001"/>
    <m/>
    <m/>
    <m/>
    <m/>
    <m/>
    <s v="AUD"/>
    <s v="13564484Waste - General [t] - Scope 3"/>
    <n v="13564484"/>
  </r>
  <r>
    <d v="2019-07-01T00:00:00"/>
    <d v="2021-06-30T00:00:00"/>
    <s v="Telstra"/>
    <s v="NETWORK"/>
    <s v="Network - InfraCo"/>
    <s v="NSW"/>
    <s v="Australia"/>
    <s v="Kareela"/>
    <s v="SYLVANIA EXCHANGE"/>
    <n v="423030304700"/>
    <s v="Waste"/>
    <x v="1"/>
    <x v="2"/>
    <s v="Account"/>
    <s v="Remondis General Waste"/>
    <m/>
    <s v="423030304700_WGENERALW"/>
    <s v="GENERAL WASTE"/>
    <s v="Remondis"/>
    <m/>
    <m/>
    <d v="2021-01-01T00:00:00"/>
    <d v="2021-01-01T00:00:00"/>
    <s v="FY21"/>
    <s v="t"/>
    <n v="0"/>
    <n v="0"/>
    <n v="2.3400000000000001E-2"/>
    <n v="2.3400000000000001E-2"/>
    <n v="0"/>
    <n v="0"/>
    <n v="1"/>
    <n v="1"/>
    <n v="0"/>
    <n v="0"/>
    <n v="100"/>
    <s v="Consolidation"/>
    <s v="CO2e and Base Measure"/>
    <n v="100"/>
    <n v="100"/>
    <n v="0.02"/>
    <m/>
    <m/>
    <m/>
    <m/>
    <m/>
    <n v="3.04E-2"/>
    <m/>
    <n v="3.04E-2"/>
    <m/>
    <m/>
    <m/>
    <m/>
    <m/>
    <s v="AUD"/>
    <s v="13564484Waste - General [t] - Scope 3"/>
    <n v="13564484"/>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12-01T00:00:00"/>
    <s v="FY21"/>
    <s v="t"/>
    <n v="0"/>
    <n v="0"/>
    <n v="8.6E-3"/>
    <n v="8.6E-3"/>
    <n v="0"/>
    <n v="0"/>
    <n v="1"/>
    <n v="1"/>
    <n v="0"/>
    <n v="0"/>
    <n v="100"/>
    <s v="Consolidation"/>
    <s v="CO2e and Base Measure"/>
    <n v="100"/>
    <n v="100"/>
    <n v="0.01"/>
    <m/>
    <m/>
    <m/>
    <m/>
    <m/>
    <n v="1.12E-2"/>
    <m/>
    <n v="1.12E-2"/>
    <m/>
    <m/>
    <m/>
    <m/>
    <m/>
    <s v="AUD"/>
    <s v="13564271Waste - General [t] - Scope 3"/>
    <n v="13564271"/>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3989Waste - General [t] - Scope 3"/>
    <n v="13633989"/>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1-02-01T00:00:00"/>
    <s v="FY21"/>
    <s v="t"/>
    <n v="0.22500000000000001"/>
    <n v="0"/>
    <n v="0"/>
    <n v="0.22500000000000001"/>
    <n v="1"/>
    <n v="0"/>
    <n v="0"/>
    <n v="1"/>
    <n v="100"/>
    <n v="0"/>
    <n v="0"/>
    <s v="Consolidation"/>
    <s v="CO2e and Base Measure"/>
    <n v="100"/>
    <n v="100"/>
    <n v="0.23"/>
    <m/>
    <m/>
    <m/>
    <m/>
    <m/>
    <n v="0.29249999999999998"/>
    <m/>
    <n v="0.29249999999999998"/>
    <m/>
    <m/>
    <m/>
    <m/>
    <m/>
    <s v="AUD"/>
    <s v="13633989Waste - General [t] - Scope 3"/>
    <n v="13633989"/>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1-03-01T00:00:00"/>
    <s v="FY21"/>
    <s v="t"/>
    <n v="0"/>
    <n v="0.27"/>
    <n v="0"/>
    <n v="0.27"/>
    <n v="0"/>
    <n v="2"/>
    <n v="0"/>
    <n v="2"/>
    <n v="0"/>
    <n v="100"/>
    <n v="0"/>
    <s v="Consolidation"/>
    <s v="CO2e and Base Measure"/>
    <n v="100"/>
    <n v="100"/>
    <n v="0.27"/>
    <m/>
    <m/>
    <m/>
    <m/>
    <m/>
    <n v="0.35099999999999998"/>
    <m/>
    <n v="0.35099999999999998"/>
    <m/>
    <m/>
    <m/>
    <m/>
    <m/>
    <s v="AUD"/>
    <s v="13633989Waste - General [t] - Scope 3"/>
    <n v="13633989"/>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1-04-01T00:00:00"/>
    <s v="FY21"/>
    <s v="t"/>
    <n v="0"/>
    <n v="0"/>
    <n v="0.126"/>
    <n v="0.126"/>
    <n v="0"/>
    <n v="0"/>
    <n v="30"/>
    <n v="30"/>
    <n v="0"/>
    <n v="0"/>
    <n v="100"/>
    <s v="Consolidation"/>
    <s v="CO2e and Base Measure"/>
    <n v="100"/>
    <n v="100"/>
    <n v="0.13"/>
    <m/>
    <m/>
    <m/>
    <m/>
    <m/>
    <n v="0.1638"/>
    <m/>
    <n v="0.1638"/>
    <m/>
    <m/>
    <m/>
    <m/>
    <m/>
    <s v="AUD"/>
    <s v="13633989Waste - General [t] - Scope 3"/>
    <n v="13633989"/>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1-05-01T00:00:00"/>
    <s v="FY21"/>
    <s v="t"/>
    <n v="0"/>
    <n v="0"/>
    <n v="0.13020000000000001"/>
    <n v="0.13020000000000001"/>
    <n v="0"/>
    <n v="0"/>
    <n v="31"/>
    <n v="31"/>
    <n v="0"/>
    <n v="0"/>
    <n v="100"/>
    <s v="Consolidation"/>
    <s v="CO2e and Base Measure"/>
    <n v="100"/>
    <n v="100"/>
    <n v="0.13"/>
    <m/>
    <m/>
    <m/>
    <m/>
    <m/>
    <n v="0.16930000000000001"/>
    <m/>
    <n v="0.16930000000000001"/>
    <m/>
    <m/>
    <m/>
    <m/>
    <m/>
    <s v="AUD"/>
    <s v="13633989Waste - General [t] - Scope 3"/>
    <n v="13633989"/>
  </r>
  <r>
    <d v="2019-07-01T00:00:00"/>
    <d v="2021-06-30T00:00:00"/>
    <s v="Telstra"/>
    <s v="NETWORK"/>
    <s v="Network - InfraCo"/>
    <s v="VIC"/>
    <s v="Australia"/>
    <s v="Glen Waverley"/>
    <s v="TALLY HO EXCHANGE"/>
    <n v="423030666800"/>
    <s v="Recycled Waste"/>
    <x v="0"/>
    <x v="5"/>
    <s v="Account"/>
    <s v="CLEANAWAY Metal - Diversion"/>
    <m/>
    <s v="25925_Diversion_Metal"/>
    <s v="Metal - Diversion"/>
    <s v="Cleanaway"/>
    <m/>
    <d v="2021-01-21T00:00:00"/>
    <m/>
    <d v="2021-01-01T00:00:00"/>
    <s v="FY21"/>
    <s v="t"/>
    <n v="1.22"/>
    <n v="0"/>
    <n v="0"/>
    <n v="1.22"/>
    <n v="1"/>
    <n v="0"/>
    <n v="0"/>
    <n v="1"/>
    <n v="100"/>
    <n v="0"/>
    <n v="0"/>
    <s v="Consolidation"/>
    <s v="CO2e and Base Measure"/>
    <n v="100"/>
    <n v="100"/>
    <n v="1.22"/>
    <m/>
    <m/>
    <m/>
    <m/>
    <m/>
    <m/>
    <m/>
    <m/>
    <m/>
    <m/>
    <m/>
    <m/>
    <m/>
    <s v="AUD"/>
    <s v="13634504Waste Recycled - Construction and Demolition [t]"/>
    <n v="13634504"/>
  </r>
  <r>
    <d v="2019-07-01T00:00:00"/>
    <d v="2021-06-30T00:00:00"/>
    <s v="Telstra"/>
    <s v="NETWORK"/>
    <s v="Network - InfraCo"/>
    <s v="VIC"/>
    <s v="Australia"/>
    <s v="Glen Waverley"/>
    <s v="TALLY HO EXCHANGE"/>
    <n v="423030666800"/>
    <s v="Recycled Waste"/>
    <x v="0"/>
    <x v="5"/>
    <s v="Account"/>
    <s v="CLEANAWAY Metal - Diversion"/>
    <m/>
    <s v="25925_Diversion_Metal"/>
    <s v="Metal - Diversion"/>
    <s v="Cleanaway"/>
    <m/>
    <d v="2021-01-21T00:00:00"/>
    <m/>
    <d v="2021-03-01T00:00:00"/>
    <s v="FY21"/>
    <s v="t"/>
    <n v="2.54"/>
    <n v="0"/>
    <n v="0"/>
    <n v="2.54"/>
    <n v="1"/>
    <n v="0"/>
    <n v="0"/>
    <n v="1"/>
    <n v="100"/>
    <n v="0"/>
    <n v="0"/>
    <s v="Consolidation"/>
    <s v="CO2e and Base Measure"/>
    <n v="100"/>
    <n v="100"/>
    <n v="2.54"/>
    <m/>
    <m/>
    <m/>
    <m/>
    <m/>
    <m/>
    <m/>
    <m/>
    <m/>
    <m/>
    <m/>
    <m/>
    <m/>
    <s v="AUD"/>
    <s v="13634504Waste Recycled - Construction and Demolition [t]"/>
    <n v="13634504"/>
  </r>
  <r>
    <d v="2019-07-01T00:00:00"/>
    <d v="2021-06-30T00:00:00"/>
    <s v="Telstra"/>
    <s v="NETWORK"/>
    <s v="Network - InfraCo"/>
    <s v="VIC"/>
    <s v="Australia"/>
    <s v="Glen Waverley"/>
    <s v="TALLY HO EXCHANGE"/>
    <n v="423030666800"/>
    <s v="Recycled Waste"/>
    <x v="0"/>
    <x v="5"/>
    <s v="Account"/>
    <s v="CLEANAWAY Metal - Diversion"/>
    <m/>
    <s v="25925_Diversion_Metal"/>
    <s v="Metal - Diversion"/>
    <s v="Cleanaway"/>
    <m/>
    <d v="2021-01-21T00:00:00"/>
    <m/>
    <d v="2021-04-01T00:00:00"/>
    <s v="FY21"/>
    <s v="t"/>
    <n v="0"/>
    <n v="0"/>
    <n v="1.266"/>
    <n v="1.266"/>
    <n v="0"/>
    <n v="0"/>
    <n v="30"/>
    <n v="30"/>
    <n v="0"/>
    <n v="0"/>
    <n v="100"/>
    <s v="Consolidation"/>
    <s v="CO2e and Base Measure"/>
    <n v="100"/>
    <n v="100"/>
    <n v="1.27"/>
    <m/>
    <m/>
    <m/>
    <m/>
    <m/>
    <m/>
    <m/>
    <m/>
    <m/>
    <m/>
    <m/>
    <m/>
    <m/>
    <s v="AUD"/>
    <s v="13634504Waste Recycled - Construction and Demolition [t]"/>
    <n v="13634504"/>
  </r>
  <r>
    <d v="2019-07-01T00:00:00"/>
    <d v="2021-06-30T00:00:00"/>
    <s v="Telstra"/>
    <s v="NETWORK"/>
    <s v="Network - InfraCo"/>
    <s v="VIC"/>
    <s v="Australia"/>
    <s v="Glen Waverley"/>
    <s v="TALLY HO EXCHANGE"/>
    <n v="423030666800"/>
    <s v="Recycled Waste"/>
    <x v="0"/>
    <x v="5"/>
    <s v="Account"/>
    <s v="CLEANAWAY Metal - Diversion"/>
    <m/>
    <s v="25925_Diversion_Metal"/>
    <s v="Metal - Diversion"/>
    <s v="Cleanaway"/>
    <m/>
    <d v="2021-01-21T00:00:00"/>
    <m/>
    <d v="2021-05-01T00:00:00"/>
    <s v="FY21"/>
    <s v="t"/>
    <n v="0"/>
    <n v="0"/>
    <n v="1.3082"/>
    <n v="1.3082"/>
    <n v="0"/>
    <n v="0"/>
    <n v="31"/>
    <n v="31"/>
    <n v="0"/>
    <n v="0"/>
    <n v="100"/>
    <s v="Consolidation"/>
    <s v="CO2e and Base Measure"/>
    <n v="100"/>
    <n v="100"/>
    <n v="1.31"/>
    <m/>
    <m/>
    <m/>
    <m/>
    <m/>
    <m/>
    <m/>
    <m/>
    <m/>
    <m/>
    <m/>
    <m/>
    <m/>
    <s v="AUD"/>
    <s v="13634504Waste Recycled - Construction and Demolition [t]"/>
    <n v="13634504"/>
  </r>
  <r>
    <d v="2019-07-01T00:00:00"/>
    <d v="2021-06-30T00:00:00"/>
    <s v="Telstra"/>
    <s v="NETWORK"/>
    <s v="Network - InfraCo"/>
    <s v="VIC"/>
    <s v="Australia"/>
    <s v="Glen Waverley"/>
    <s v="TALLY HO EXCHANGE"/>
    <n v="423030666800"/>
    <s v="Waste"/>
    <x v="1"/>
    <x v="2"/>
    <s v="Account"/>
    <s v="CLEANAWAY General"/>
    <m/>
    <s v="25925_Landfill_General"/>
    <s v="General"/>
    <s v="Cleanaway"/>
    <m/>
    <d v="2021-02-12T00:00:00"/>
    <m/>
    <d v="2021-02-01T00:00:00"/>
    <s v="FY21"/>
    <s v="t"/>
    <n v="2.5"/>
    <n v="0"/>
    <n v="0"/>
    <n v="2.5"/>
    <n v="1"/>
    <n v="0"/>
    <n v="0"/>
    <n v="1"/>
    <n v="100"/>
    <n v="0"/>
    <n v="0"/>
    <s v="Consolidation"/>
    <s v="CO2e and Base Measure"/>
    <n v="100"/>
    <n v="100"/>
    <n v="2.5"/>
    <m/>
    <m/>
    <m/>
    <m/>
    <m/>
    <n v="3.25"/>
    <m/>
    <n v="3.25"/>
    <m/>
    <m/>
    <m/>
    <m/>
    <m/>
    <s v="AUD"/>
    <s v="13639919Waste - General [t] - Scope 3"/>
    <n v="13639919"/>
  </r>
  <r>
    <d v="2019-07-01T00:00:00"/>
    <d v="2021-06-30T00:00:00"/>
    <s v="Telstra"/>
    <s v="NETWORK"/>
    <s v="Network - InfraCo"/>
    <s v="VIC"/>
    <s v="Australia"/>
    <s v="Glen Waverley"/>
    <s v="TALLY HO EXCHANGE"/>
    <n v="423030666800"/>
    <s v="Waste"/>
    <x v="1"/>
    <x v="2"/>
    <s v="Account"/>
    <s v="CLEANAWAY General"/>
    <m/>
    <s v="25925_Landfill_General"/>
    <s v="General"/>
    <s v="Cleanaway"/>
    <m/>
    <d v="2021-02-12T00:00:00"/>
    <m/>
    <d v="2021-03-01T00:00:00"/>
    <s v="FY21"/>
    <s v="t"/>
    <n v="0"/>
    <n v="0"/>
    <n v="2.8706"/>
    <n v="2.8706"/>
    <n v="0"/>
    <n v="0"/>
    <n v="31"/>
    <n v="31"/>
    <n v="0"/>
    <n v="0"/>
    <n v="100"/>
    <s v="Consolidation"/>
    <s v="CO2e and Base Measure"/>
    <n v="100"/>
    <n v="100"/>
    <n v="2.87"/>
    <m/>
    <m/>
    <m/>
    <m/>
    <m/>
    <n v="3.7317999999999998"/>
    <m/>
    <n v="3.7317999999999998"/>
    <m/>
    <m/>
    <m/>
    <m/>
    <m/>
    <s v="AUD"/>
    <s v="13639919Waste - General [t] - Scope 3"/>
    <n v="13639919"/>
  </r>
  <r>
    <d v="2019-07-01T00:00:00"/>
    <d v="2021-06-30T00:00:00"/>
    <s v="Telstra"/>
    <s v="NETWORK"/>
    <s v="Network - InfraCo"/>
    <s v="VIC"/>
    <s v="Australia"/>
    <s v="Glen Waverley"/>
    <s v="TALLY HO EXCHANGE"/>
    <n v="423030666800"/>
    <s v="Waste"/>
    <x v="1"/>
    <x v="2"/>
    <s v="Account"/>
    <s v="CLEANAWAY General"/>
    <m/>
    <s v="25925_Landfill_General"/>
    <s v="General"/>
    <s v="Cleanaway"/>
    <m/>
    <d v="2021-02-12T00:00:00"/>
    <m/>
    <d v="2021-04-01T00:00:00"/>
    <s v="FY21"/>
    <s v="t"/>
    <n v="0"/>
    <n v="0"/>
    <n v="2.778"/>
    <n v="2.778"/>
    <n v="0"/>
    <n v="0"/>
    <n v="30"/>
    <n v="30"/>
    <n v="0"/>
    <n v="0"/>
    <n v="100"/>
    <s v="Consolidation"/>
    <s v="CO2e and Base Measure"/>
    <n v="100"/>
    <n v="100"/>
    <n v="2.78"/>
    <m/>
    <m/>
    <m/>
    <m/>
    <m/>
    <n v="3.6114000000000002"/>
    <m/>
    <n v="3.6114000000000002"/>
    <m/>
    <m/>
    <m/>
    <m/>
    <m/>
    <s v="AUD"/>
    <s v="13639919Waste - General [t] - Scope 3"/>
    <n v="13639919"/>
  </r>
  <r>
    <d v="2019-07-01T00:00:00"/>
    <d v="2021-06-30T00:00:00"/>
    <s v="Telstra"/>
    <s v="NETWORK"/>
    <s v="Network - InfraCo"/>
    <s v="VIC"/>
    <s v="Australia"/>
    <s v="Glen Waverley"/>
    <s v="TALLY HO EXCHANGE"/>
    <n v="423030666800"/>
    <s v="Waste"/>
    <x v="1"/>
    <x v="2"/>
    <s v="Account"/>
    <s v="CLEANAWAY General"/>
    <m/>
    <s v="25925_Landfill_General"/>
    <s v="General"/>
    <s v="Cleanaway"/>
    <m/>
    <d v="2021-02-12T00:00:00"/>
    <m/>
    <d v="2021-05-01T00:00:00"/>
    <s v="FY21"/>
    <s v="t"/>
    <n v="0"/>
    <n v="0"/>
    <n v="2.8706"/>
    <n v="2.8706"/>
    <n v="0"/>
    <n v="0"/>
    <n v="31"/>
    <n v="31"/>
    <n v="0"/>
    <n v="0"/>
    <n v="100"/>
    <s v="Consolidation"/>
    <s v="CO2e and Base Measure"/>
    <n v="100"/>
    <n v="100"/>
    <n v="2.87"/>
    <m/>
    <m/>
    <m/>
    <m/>
    <m/>
    <n v="3.7317999999999998"/>
    <m/>
    <n v="3.7317999999999998"/>
    <m/>
    <m/>
    <m/>
    <m/>
    <m/>
    <s v="AUD"/>
    <s v="13639919Waste - General [t] - Scope 3"/>
    <n v="13639919"/>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272Waste - General [t] - Scope 3"/>
    <n v="13564272"/>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3-01T00:00:00"/>
    <s v="FY21"/>
    <s v="t"/>
    <n v="0"/>
    <n v="0.20250000000000001"/>
    <n v="0"/>
    <n v="0.20250000000000001"/>
    <n v="0"/>
    <n v="3"/>
    <n v="0"/>
    <n v="3"/>
    <n v="0"/>
    <n v="100"/>
    <n v="0"/>
    <s v="Consolidation"/>
    <s v="CO2e and Base Measure"/>
    <n v="100"/>
    <n v="100"/>
    <n v="0.2"/>
    <m/>
    <m/>
    <m/>
    <m/>
    <m/>
    <n v="0.26329999999999998"/>
    <m/>
    <n v="0.26329999999999998"/>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4-01T00:00:00"/>
    <s v="FY21"/>
    <s v="t"/>
    <n v="0"/>
    <n v="0"/>
    <n v="0.153"/>
    <n v="0.153"/>
    <n v="0"/>
    <n v="0"/>
    <n v="30"/>
    <n v="30"/>
    <n v="0"/>
    <n v="0"/>
    <n v="100"/>
    <s v="Consolidation"/>
    <s v="CO2e and Base Measure"/>
    <n v="100"/>
    <n v="100"/>
    <n v="0.15"/>
    <m/>
    <m/>
    <m/>
    <m/>
    <m/>
    <n v="0.19889999999999999"/>
    <m/>
    <n v="0.19889999999999999"/>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5-01T00:00:00"/>
    <s v="FY21"/>
    <s v="t"/>
    <n v="0"/>
    <n v="0"/>
    <n v="0.15809999999999999"/>
    <n v="0.15809999999999999"/>
    <n v="0"/>
    <n v="0"/>
    <n v="31"/>
    <n v="31"/>
    <n v="0"/>
    <n v="0"/>
    <n v="100"/>
    <s v="Consolidation"/>
    <s v="CO2e and Base Measure"/>
    <n v="100"/>
    <n v="100"/>
    <n v="0.16"/>
    <m/>
    <m/>
    <m/>
    <m/>
    <m/>
    <n v="0.20549999999999999"/>
    <m/>
    <n v="0.20549999999999999"/>
    <m/>
    <m/>
    <m/>
    <m/>
    <m/>
    <s v="AUD"/>
    <s v="13634273Waste - General [t] - Scope 3"/>
    <n v="13634273"/>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07-01T00:00:00"/>
    <s v="FY21"/>
    <s v="t"/>
    <n v="0"/>
    <n v="6.2399999999999997E-2"/>
    <n v="0"/>
    <n v="6.2399999999999997E-2"/>
    <n v="0"/>
    <n v="2"/>
    <n v="0"/>
    <n v="2"/>
    <n v="0"/>
    <n v="100"/>
    <n v="0"/>
    <s v="Consolidation"/>
    <s v="CO2e and Base Measure"/>
    <n v="100"/>
    <n v="100"/>
    <n v="0.06"/>
    <m/>
    <m/>
    <m/>
    <m/>
    <m/>
    <n v="8.1100000000000005E-2"/>
    <m/>
    <n v="8.1100000000000005E-2"/>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08-01T00:00:00"/>
    <s v="FY21"/>
    <s v="t"/>
    <n v="0"/>
    <n v="7.8E-2"/>
    <n v="0"/>
    <n v="7.8E-2"/>
    <n v="0"/>
    <n v="3"/>
    <n v="0"/>
    <n v="3"/>
    <n v="0"/>
    <n v="100"/>
    <n v="0"/>
    <s v="Consolidation"/>
    <s v="CO2e and Base Measure"/>
    <n v="100"/>
    <n v="100"/>
    <n v="0.08"/>
    <m/>
    <m/>
    <m/>
    <m/>
    <m/>
    <n v="0.1014"/>
    <m/>
    <n v="0.1014"/>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09-01T00:00:00"/>
    <s v="FY21"/>
    <s v="t"/>
    <n v="0"/>
    <n v="4.6800000000000001E-2"/>
    <n v="0"/>
    <n v="4.6800000000000001E-2"/>
    <n v="0"/>
    <n v="2"/>
    <n v="0"/>
    <n v="2"/>
    <n v="0"/>
    <n v="100"/>
    <n v="0"/>
    <s v="Consolidation"/>
    <s v="CO2e and Base Measure"/>
    <n v="100"/>
    <n v="100"/>
    <n v="0.05"/>
    <m/>
    <m/>
    <m/>
    <m/>
    <m/>
    <n v="6.08E-2"/>
    <m/>
    <n v="6.08E-2"/>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10-01T00:00:00"/>
    <s v="FY21"/>
    <s v="t"/>
    <n v="0"/>
    <n v="3.1199999999999999E-2"/>
    <n v="0"/>
    <n v="3.1199999999999999E-2"/>
    <n v="0"/>
    <n v="1"/>
    <n v="0"/>
    <n v="1"/>
    <n v="0"/>
    <n v="100"/>
    <n v="0"/>
    <s v="Consolidation"/>
    <s v="CO2e and Base Measure"/>
    <n v="100"/>
    <n v="100"/>
    <n v="0.03"/>
    <m/>
    <m/>
    <m/>
    <m/>
    <m/>
    <n v="4.0599999999999997E-2"/>
    <m/>
    <n v="4.0599999999999997E-2"/>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11-01T00:00:00"/>
    <s v="FY21"/>
    <s v="t"/>
    <n v="0"/>
    <n v="4.6800000000000001E-2"/>
    <n v="0"/>
    <n v="4.6800000000000001E-2"/>
    <n v="0"/>
    <n v="2"/>
    <n v="0"/>
    <n v="2"/>
    <n v="0"/>
    <n v="100"/>
    <n v="0"/>
    <s v="Consolidation"/>
    <s v="CO2e and Base Measure"/>
    <n v="100"/>
    <n v="100"/>
    <n v="0.05"/>
    <m/>
    <m/>
    <m/>
    <m/>
    <m/>
    <n v="6.08E-2"/>
    <m/>
    <n v="6.08E-2"/>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12-01T00:00:00"/>
    <s v="FY21"/>
    <s v="t"/>
    <n v="0"/>
    <n v="0"/>
    <n v="1.8E-3"/>
    <n v="1.8E-3"/>
    <n v="0"/>
    <n v="0"/>
    <n v="1"/>
    <n v="1"/>
    <n v="0"/>
    <n v="0"/>
    <n v="100"/>
    <s v="Consolidation"/>
    <s v="CO2e and Base Measure"/>
    <n v="100"/>
    <n v="100"/>
    <n v="0"/>
    <m/>
    <m/>
    <m/>
    <m/>
    <m/>
    <n v="2.3E-3"/>
    <m/>
    <n v="2.3E-3"/>
    <m/>
    <m/>
    <m/>
    <m/>
    <m/>
    <s v="AUD"/>
    <s v="13564515Waste - General [t] - Scope 3"/>
    <n v="13564515"/>
  </r>
  <r>
    <d v="2019-07-01T00:00:00"/>
    <d v="2021-06-30T00:00:00"/>
    <s v="Telstra"/>
    <s v="NON-NETWORK"/>
    <s v="NON-NETWORK"/>
    <s v="NSW"/>
    <s v="Australia"/>
    <s v="Taree"/>
    <s v="Taree 80 Arkwright Cres"/>
    <n v="423031950400"/>
    <s v="Recycled Waste"/>
    <x v="0"/>
    <x v="0"/>
    <s v="Account"/>
    <s v="Remondis Cardboard - Loose - Recycled"/>
    <m/>
    <s v="423031950400_RCARDBOAR"/>
    <s v="CARDBOARD - LOOSE - RECYCLED"/>
    <s v="Remondis"/>
    <m/>
    <m/>
    <d v="2020-11-01T00:00:00"/>
    <d v="2020-07-01T00:00:00"/>
    <s v="FY21"/>
    <s v="t"/>
    <n v="0"/>
    <n v="6.3E-2"/>
    <n v="0"/>
    <n v="6.3E-2"/>
    <n v="0"/>
    <n v="1"/>
    <n v="0"/>
    <n v="1"/>
    <n v="0"/>
    <n v="100"/>
    <n v="0"/>
    <s v="Consolidation"/>
    <s v="CO2e and Base Measure"/>
    <n v="100"/>
    <n v="100"/>
    <n v="0.06"/>
    <m/>
    <m/>
    <m/>
    <m/>
    <m/>
    <m/>
    <n v="0"/>
    <m/>
    <m/>
    <m/>
    <m/>
    <m/>
    <m/>
    <s v="AUD"/>
    <s v="13565867Waste Recycled - Cardboard [t]"/>
    <n v="13565867"/>
  </r>
  <r>
    <d v="2019-07-01T00:00:00"/>
    <d v="2021-06-30T00:00:00"/>
    <s v="Telstra"/>
    <s v="NON-NETWORK"/>
    <s v="NON-NETWORK"/>
    <s v="NSW"/>
    <s v="Australia"/>
    <s v="Taree"/>
    <s v="Taree 80 Arkwright Cres"/>
    <n v="423031950400"/>
    <s v="Recycled Waste"/>
    <x v="0"/>
    <x v="0"/>
    <s v="Account"/>
    <s v="Remondis Cardboard - Loose - Recycled"/>
    <m/>
    <s v="423031950400_RCARDBOAR"/>
    <s v="CARDBOARD - LOOSE - RECYCLED"/>
    <s v="Remondis"/>
    <m/>
    <m/>
    <d v="2020-11-01T00:00:00"/>
    <d v="2020-08-01T00:00:00"/>
    <s v="FY21"/>
    <s v="t"/>
    <n v="0"/>
    <n v="6.3E-2"/>
    <n v="0"/>
    <n v="6.3E-2"/>
    <n v="0"/>
    <n v="1"/>
    <n v="0"/>
    <n v="1"/>
    <n v="0"/>
    <n v="100"/>
    <n v="0"/>
    <s v="Consolidation"/>
    <s v="CO2e and Base Measure"/>
    <n v="100"/>
    <n v="100"/>
    <n v="0.06"/>
    <m/>
    <m/>
    <m/>
    <m/>
    <m/>
    <m/>
    <n v="0"/>
    <m/>
    <m/>
    <m/>
    <m/>
    <m/>
    <m/>
    <s v="AUD"/>
    <s v="13565867Waste Recycled - Cardboard [t]"/>
    <n v="13565867"/>
  </r>
  <r>
    <d v="2019-07-01T00:00:00"/>
    <d v="2021-06-30T00:00:00"/>
    <s v="Telstra"/>
    <s v="NON-NETWORK"/>
    <s v="NON-NETWORK"/>
    <s v="NSW"/>
    <s v="Australia"/>
    <s v="Taree"/>
    <s v="Taree 80 Arkwright Cres"/>
    <n v="423031950400"/>
    <s v="Recycled Waste"/>
    <x v="0"/>
    <x v="0"/>
    <s v="Account"/>
    <s v="Remondis Cardboard - Loose - Recycled"/>
    <m/>
    <s v="423031950400_RCARDBOAR"/>
    <s v="CARDBOARD - LOOSE - RECYCLED"/>
    <s v="Remondis"/>
    <m/>
    <m/>
    <d v="2020-11-01T00:00:00"/>
    <d v="2020-10-01T00:00:00"/>
    <s v="FY21"/>
    <s v="t"/>
    <n v="0"/>
    <n v="5.5399999999999998E-2"/>
    <n v="0"/>
    <n v="5.5399999999999998E-2"/>
    <n v="0"/>
    <n v="1"/>
    <n v="0"/>
    <n v="1"/>
    <n v="0"/>
    <n v="100"/>
    <n v="0"/>
    <s v="Consolidation"/>
    <s v="CO2e and Base Measure"/>
    <n v="100"/>
    <n v="100"/>
    <n v="0.06"/>
    <m/>
    <m/>
    <m/>
    <m/>
    <m/>
    <m/>
    <n v="0"/>
    <m/>
    <m/>
    <m/>
    <m/>
    <m/>
    <m/>
    <s v="AUD"/>
    <s v="13565867Waste Recycled - Cardboard [t]"/>
    <n v="13565867"/>
  </r>
  <r>
    <d v="2019-07-01T00:00:00"/>
    <d v="2021-06-30T00:00:00"/>
    <s v="Telstra"/>
    <s v="NON-NETWORK"/>
    <s v="NON-NETWORK"/>
    <s v="NSW"/>
    <s v="Australia"/>
    <s v="Taree"/>
    <s v="Taree 80 Arkwright Cres"/>
    <n v="423031950400"/>
    <s v="Recycled Waste"/>
    <x v="0"/>
    <x v="0"/>
    <s v="Account"/>
    <s v="Remondis Cardboard - Loose - Recycled"/>
    <m/>
    <s v="423031950400_RCARDBOAR"/>
    <s v="CARDBOARD - LOOSE - RECYCLED"/>
    <s v="Remondis"/>
    <m/>
    <m/>
    <d v="2020-11-01T00:00:00"/>
    <d v="2020-11-01T00:00:00"/>
    <s v="FY21"/>
    <s v="t"/>
    <n v="0"/>
    <n v="0"/>
    <n v="1.5E-3"/>
    <n v="1.5E-3"/>
    <n v="0"/>
    <n v="0"/>
    <n v="1"/>
    <n v="1"/>
    <n v="0"/>
    <n v="0"/>
    <n v="100"/>
    <s v="Consolidation"/>
    <s v="CO2e and Base Measure"/>
    <n v="100"/>
    <n v="100"/>
    <n v="0"/>
    <m/>
    <m/>
    <m/>
    <m/>
    <m/>
    <m/>
    <n v="0"/>
    <m/>
    <m/>
    <m/>
    <m/>
    <m/>
    <m/>
    <s v="AUD"/>
    <s v="13565867Waste Recycled - Cardboard [t]"/>
    <n v="13565867"/>
  </r>
  <r>
    <d v="2019-07-01T00:00:00"/>
    <d v="2021-06-30T00:00:00"/>
    <s v="Telstra"/>
    <s v="NON-NETWORK"/>
    <s v="NON-NETWORK"/>
    <s v="NSW"/>
    <s v="Australia"/>
    <s v="Taree"/>
    <s v="Taree 80 Arkwright Cres"/>
    <n v="423031950400"/>
    <s v="Waste"/>
    <x v="1"/>
    <x v="2"/>
    <s v="Account"/>
    <s v="Remondis General Waste"/>
    <m/>
    <s v="423031950400_WGENERALW"/>
    <s v="GENERAL WASTE"/>
    <s v="Remondis"/>
    <m/>
    <m/>
    <d v="2020-11-01T00:00:00"/>
    <d v="2020-07-01T00:00:00"/>
    <s v="FY21"/>
    <s v="t"/>
    <n v="0"/>
    <n v="0.39"/>
    <n v="0"/>
    <n v="0.39"/>
    <n v="0"/>
    <n v="2"/>
    <n v="0"/>
    <n v="2"/>
    <n v="0"/>
    <n v="100"/>
    <n v="0"/>
    <s v="Consolidation"/>
    <s v="CO2e and Base Measure"/>
    <n v="100"/>
    <n v="100"/>
    <n v="0.39"/>
    <m/>
    <m/>
    <m/>
    <m/>
    <m/>
    <n v="0.50700000000000001"/>
    <m/>
    <n v="0.50700000000000001"/>
    <m/>
    <m/>
    <m/>
    <m/>
    <m/>
    <s v="AUD"/>
    <s v="13565868Waste - General [t] - Scope 3"/>
    <n v="13565868"/>
  </r>
  <r>
    <d v="2019-07-01T00:00:00"/>
    <d v="2021-06-30T00:00:00"/>
    <s v="Telstra"/>
    <s v="NON-NETWORK"/>
    <s v="NON-NETWORK"/>
    <s v="NSW"/>
    <s v="Australia"/>
    <s v="Taree"/>
    <s v="Taree 80 Arkwright Cres"/>
    <n v="423031950400"/>
    <s v="Waste"/>
    <x v="1"/>
    <x v="2"/>
    <s v="Account"/>
    <s v="Remondis General Waste"/>
    <m/>
    <s v="423031950400_WGENERALW"/>
    <s v="GENERAL WASTE"/>
    <s v="Remondis"/>
    <m/>
    <m/>
    <d v="2020-11-01T00:00:00"/>
    <d v="2020-08-01T00:00:00"/>
    <s v="FY21"/>
    <s v="t"/>
    <n v="0"/>
    <n v="0.39"/>
    <n v="0"/>
    <n v="0.39"/>
    <n v="0"/>
    <n v="2"/>
    <n v="0"/>
    <n v="2"/>
    <n v="0"/>
    <n v="100"/>
    <n v="0"/>
    <s v="Consolidation"/>
    <s v="CO2e and Base Measure"/>
    <n v="100"/>
    <n v="100"/>
    <n v="0.39"/>
    <m/>
    <m/>
    <m/>
    <m/>
    <m/>
    <n v="0.50700000000000001"/>
    <m/>
    <n v="0.50700000000000001"/>
    <m/>
    <m/>
    <m/>
    <m/>
    <m/>
    <s v="AUD"/>
    <s v="13565868Waste - General [t] - Scope 3"/>
    <n v="13565868"/>
  </r>
  <r>
    <d v="2019-07-01T00:00:00"/>
    <d v="2021-06-30T00:00:00"/>
    <s v="Telstra"/>
    <s v="NON-NETWORK"/>
    <s v="NON-NETWORK"/>
    <s v="NSW"/>
    <s v="Australia"/>
    <s v="Taree"/>
    <s v="Taree 80 Arkwright Cres"/>
    <n v="423031950400"/>
    <s v="Waste"/>
    <x v="1"/>
    <x v="2"/>
    <s v="Account"/>
    <s v="Remondis General Waste"/>
    <m/>
    <s v="423031950400_WGENERALW"/>
    <s v="GENERAL WASTE"/>
    <s v="Remondis"/>
    <m/>
    <m/>
    <d v="2020-11-01T00:00:00"/>
    <d v="2020-10-01T00:00:00"/>
    <s v="FY21"/>
    <s v="t"/>
    <n v="0"/>
    <n v="0.1716"/>
    <n v="0"/>
    <n v="0.1716"/>
    <n v="0"/>
    <n v="1"/>
    <n v="0"/>
    <n v="1"/>
    <n v="0"/>
    <n v="100"/>
    <n v="0"/>
    <s v="Consolidation"/>
    <s v="CO2e and Base Measure"/>
    <n v="100"/>
    <n v="100"/>
    <n v="0.17"/>
    <m/>
    <m/>
    <m/>
    <m/>
    <m/>
    <n v="0.22309999999999999"/>
    <m/>
    <n v="0.22309999999999999"/>
    <m/>
    <m/>
    <m/>
    <m/>
    <m/>
    <s v="AUD"/>
    <s v="13565868Waste - General [t] - Scope 3"/>
    <n v="13565868"/>
  </r>
  <r>
    <d v="2019-07-01T00:00:00"/>
    <d v="2021-06-30T00:00:00"/>
    <s v="Telstra"/>
    <s v="NON-NETWORK"/>
    <s v="NON-NETWORK"/>
    <s v="NSW"/>
    <s v="Australia"/>
    <s v="Taree"/>
    <s v="Taree 80 Arkwright Cres"/>
    <n v="423031950400"/>
    <s v="Waste"/>
    <x v="1"/>
    <x v="2"/>
    <s v="Account"/>
    <s v="Remondis General Waste"/>
    <m/>
    <s v="423031950400_WGENERALW"/>
    <s v="GENERAL WASTE"/>
    <s v="Remondis"/>
    <m/>
    <m/>
    <d v="2020-11-01T00:00:00"/>
    <d v="2020-11-01T00:00:00"/>
    <s v="FY21"/>
    <s v="t"/>
    <n v="0"/>
    <n v="0"/>
    <n v="1.01E-2"/>
    <n v="1.01E-2"/>
    <n v="0"/>
    <n v="0"/>
    <n v="1"/>
    <n v="1"/>
    <n v="0"/>
    <n v="0"/>
    <n v="100"/>
    <s v="Consolidation"/>
    <s v="CO2e and Base Measure"/>
    <n v="100"/>
    <n v="100"/>
    <n v="0.01"/>
    <m/>
    <m/>
    <m/>
    <m/>
    <m/>
    <n v="1.3100000000000001E-2"/>
    <m/>
    <n v="1.3100000000000001E-2"/>
    <m/>
    <m/>
    <m/>
    <m/>
    <m/>
    <s v="AUD"/>
    <s v="13565868Waste - General [t] - Scope 3"/>
    <n v="13565868"/>
  </r>
  <r>
    <d v="2019-07-01T00:00:00"/>
    <d v="2021-06-30T00:00:00"/>
    <s v="Telstra"/>
    <s v="NON-NETWORK"/>
    <s v="NON-NETWORK"/>
    <s v="NSW"/>
    <s v="Australia"/>
    <s v="Taree"/>
    <s v="Taree 80 Arkwright Cres"/>
    <n v="423031950400"/>
    <s v="Recycled Waste"/>
    <x v="0"/>
    <x v="1"/>
    <s v="Account"/>
    <s v="Remondis Electrical Comp. (E-Waste)"/>
    <m/>
    <s v="423031950400_RELECTRIC"/>
    <s v="ELECTRICAL COMP. (E-WASTE)"/>
    <s v="Remondis"/>
    <m/>
    <d v="2020-10-09T00:00:00"/>
    <d v="2020-11-01T00:00:00"/>
    <d v="2020-10-01T00:00:00"/>
    <s v="FY21"/>
    <s v="t"/>
    <n v="0"/>
    <n v="0.17100000000000001"/>
    <n v="0"/>
    <n v="0.17100000000000001"/>
    <n v="0"/>
    <n v="2"/>
    <n v="0"/>
    <n v="2"/>
    <n v="0"/>
    <n v="100"/>
    <n v="0"/>
    <s v="Consolidation"/>
    <s v="CO2e and Base Measure"/>
    <n v="100"/>
    <n v="100"/>
    <n v="0.17"/>
    <m/>
    <m/>
    <m/>
    <m/>
    <m/>
    <m/>
    <m/>
    <m/>
    <m/>
    <m/>
    <m/>
    <m/>
    <m/>
    <s v="AUD"/>
    <s v="13631704Waste Recycled - E-waste [t]"/>
    <n v="13631704"/>
  </r>
  <r>
    <d v="2019-07-01T00:00:00"/>
    <d v="2021-06-30T00:00:00"/>
    <s v="Telstra"/>
    <s v="NON-NETWORK"/>
    <s v="NON-NETWORK"/>
    <s v="NSW"/>
    <s v="Australia"/>
    <s v="Taree"/>
    <s v="Taree 80 Arkwright Cres"/>
    <n v="423031950400"/>
    <s v="Recycled Waste"/>
    <x v="0"/>
    <x v="1"/>
    <s v="Account"/>
    <s v="Remondis Electrical Comp. (E-Waste)"/>
    <m/>
    <s v="423031950400_RELECTRIC"/>
    <s v="ELECTRICAL COMP. (E-WASTE)"/>
    <s v="Remondis"/>
    <m/>
    <d v="2020-10-09T00:00:00"/>
    <d v="2020-11-01T00:00:00"/>
    <d v="2020-11-01T00:00:00"/>
    <s v="FY21"/>
    <s v="t"/>
    <n v="0"/>
    <n v="0"/>
    <n v="5.7000000000000002E-3"/>
    <n v="5.7000000000000002E-3"/>
    <n v="0"/>
    <n v="0"/>
    <n v="1"/>
    <n v="1"/>
    <n v="0"/>
    <n v="0"/>
    <n v="100"/>
    <s v="Consolidation"/>
    <s v="CO2e and Base Measure"/>
    <n v="100"/>
    <n v="100"/>
    <n v="0.01"/>
    <m/>
    <m/>
    <m/>
    <m/>
    <m/>
    <m/>
    <m/>
    <m/>
    <m/>
    <m/>
    <m/>
    <m/>
    <m/>
    <s v="AUD"/>
    <s v="13631704Waste Recycled - E-waste [t]"/>
    <n v="13631704"/>
  </r>
  <r>
    <d v="2019-07-01T00:00:00"/>
    <d v="2021-06-30T00:00:00"/>
    <s v="Telstra"/>
    <s v="NETWORK"/>
    <s v="Network - InfraCo"/>
    <s v="NSW"/>
    <s v="Australia"/>
    <s v="Taree"/>
    <s v="TAREE EXCHANGE"/>
    <n v="423030312600"/>
    <s v="Recycled Waste"/>
    <x v="0"/>
    <x v="0"/>
    <s v="Account"/>
    <s v="Remondis Cardboard - Loose - Recycled"/>
    <m/>
    <s v="4230303126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522Waste Recycled - Cardboard [t]"/>
    <n v="13564522"/>
  </r>
  <r>
    <d v="2019-07-01T00:00:00"/>
    <d v="2021-06-30T00:00:00"/>
    <s v="Telstra"/>
    <s v="NETWORK"/>
    <s v="Network - InfraCo"/>
    <s v="NSW"/>
    <s v="Australia"/>
    <s v="Taree"/>
    <s v="TAREE EXCHANGE"/>
    <n v="423030312600"/>
    <s v="Recycled Waste"/>
    <x v="0"/>
    <x v="0"/>
    <s v="Account"/>
    <s v="Remondis Cardboard - Loose - Recycled"/>
    <m/>
    <s v="423030312600_RCARDBOAR"/>
    <s v="CARDBOARD - LOOSE - RECYCLED"/>
    <s v="Remondis"/>
    <m/>
    <m/>
    <d v="2020-12-01T00:00:00"/>
    <d v="2020-10-01T00:00:00"/>
    <s v="FY21"/>
    <s v="t"/>
    <n v="0"/>
    <n v="3.15E-2"/>
    <n v="0"/>
    <n v="3.15E-2"/>
    <n v="0"/>
    <n v="1"/>
    <n v="0"/>
    <n v="1"/>
    <n v="0"/>
    <n v="100"/>
    <n v="0"/>
    <s v="Consolidation"/>
    <s v="CO2e and Base Measure"/>
    <n v="100"/>
    <n v="100"/>
    <n v="0.03"/>
    <m/>
    <m/>
    <m/>
    <m/>
    <m/>
    <m/>
    <n v="0"/>
    <m/>
    <m/>
    <m/>
    <m/>
    <m/>
    <m/>
    <s v="AUD"/>
    <s v="13564522Waste Recycled - Cardboard [t]"/>
    <n v="13564522"/>
  </r>
  <r>
    <d v="2019-07-01T00:00:00"/>
    <d v="2021-06-30T00:00:00"/>
    <s v="Telstra"/>
    <s v="NETWORK"/>
    <s v="Network - InfraCo"/>
    <s v="NSW"/>
    <s v="Australia"/>
    <s v="Taree"/>
    <s v="TAREE EXCHANGE"/>
    <n v="423030312600"/>
    <s v="Recycled Waste"/>
    <x v="0"/>
    <x v="0"/>
    <s v="Account"/>
    <s v="Remondis Cardboard - Loose - Recycled"/>
    <m/>
    <s v="4230303126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522Waste Recycled - Cardboard [t]"/>
    <n v="13564522"/>
  </r>
  <r>
    <d v="2019-07-01T00:00:00"/>
    <d v="2021-06-30T00:00:00"/>
    <s v="Telstra"/>
    <s v="NETWORK"/>
    <s v="Network - InfraCo"/>
    <s v="NSW"/>
    <s v="Australia"/>
    <s v="Taree"/>
    <s v="TAREE EXCHANGE"/>
    <n v="423030312600"/>
    <s v="Recycled Waste"/>
    <x v="0"/>
    <x v="0"/>
    <s v="Account"/>
    <s v="Remondis Cardboard - Loose - Recycled"/>
    <m/>
    <s v="423030312600_RCARDBOAR"/>
    <s v="CARDBOARD - LOOSE - RECYCLED"/>
    <s v="Remondis"/>
    <m/>
    <m/>
    <d v="2020-12-01T00:00:00"/>
    <d v="2020-12-01T00:00:00"/>
    <s v="FY21"/>
    <s v="t"/>
    <n v="0"/>
    <n v="0"/>
    <n v="1E-3"/>
    <n v="1E-3"/>
    <n v="0"/>
    <n v="0"/>
    <n v="1"/>
    <n v="1"/>
    <n v="0"/>
    <n v="0"/>
    <n v="100"/>
    <s v="Consolidation"/>
    <s v="CO2e and Base Measure"/>
    <n v="100"/>
    <n v="100"/>
    <n v="0"/>
    <m/>
    <m/>
    <m/>
    <m/>
    <m/>
    <m/>
    <n v="0"/>
    <m/>
    <m/>
    <m/>
    <m/>
    <m/>
    <m/>
    <s v="AUD"/>
    <s v="13564522Waste Recycled - Cardboard [t]"/>
    <n v="13564522"/>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12-01T00:00:00"/>
    <s v="FY21"/>
    <s v="t"/>
    <n v="0"/>
    <n v="0"/>
    <n v="5.8999999999999999E-3"/>
    <n v="5.8999999999999999E-3"/>
    <n v="0"/>
    <n v="0"/>
    <n v="1"/>
    <n v="1"/>
    <n v="0"/>
    <n v="0"/>
    <n v="100"/>
    <s v="Consolidation"/>
    <s v="CO2e and Base Measure"/>
    <n v="100"/>
    <n v="100"/>
    <n v="0.01"/>
    <m/>
    <m/>
    <m/>
    <m/>
    <m/>
    <n v="7.7000000000000002E-3"/>
    <m/>
    <n v="7.7000000000000002E-3"/>
    <m/>
    <m/>
    <m/>
    <m/>
    <m/>
    <s v="AUD"/>
    <s v="13564524Waste - General [t] - Scope 3"/>
    <n v="1356452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1-01T00:00:00"/>
    <s v="FY21"/>
    <s v="t"/>
    <n v="0"/>
    <n v="0.27"/>
    <n v="0"/>
    <n v="0.27"/>
    <n v="0"/>
    <n v="4"/>
    <n v="0"/>
    <n v="4"/>
    <n v="0"/>
    <n v="100"/>
    <n v="0"/>
    <s v="Consolidation"/>
    <s v="CO2e and Base Measure"/>
    <n v="100"/>
    <n v="100"/>
    <n v="0.27"/>
    <m/>
    <m/>
    <m/>
    <m/>
    <m/>
    <n v="0.35099999999999998"/>
    <m/>
    <n v="0.35099999999999998"/>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2-01T00:00:00"/>
    <s v="FY21"/>
    <s v="t"/>
    <n v="0"/>
    <n v="0.33750000000000002"/>
    <n v="0"/>
    <n v="0.33750000000000002"/>
    <n v="0"/>
    <n v="5"/>
    <n v="0"/>
    <n v="5"/>
    <n v="0"/>
    <n v="100"/>
    <n v="0"/>
    <s v="Consolidation"/>
    <s v="CO2e and Base Measure"/>
    <n v="100"/>
    <n v="100"/>
    <n v="0.34"/>
    <m/>
    <m/>
    <m/>
    <m/>
    <m/>
    <n v="0.43880000000000002"/>
    <m/>
    <n v="0.43880000000000002"/>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3-01T00:00:00"/>
    <s v="FY21"/>
    <s v="t"/>
    <n v="0"/>
    <n v="0.27"/>
    <n v="0"/>
    <n v="0.27"/>
    <n v="0"/>
    <n v="4"/>
    <n v="0"/>
    <n v="4"/>
    <n v="0"/>
    <n v="100"/>
    <n v="0"/>
    <s v="Consolidation"/>
    <s v="CO2e and Base Measure"/>
    <n v="100"/>
    <n v="100"/>
    <n v="0.27"/>
    <m/>
    <m/>
    <m/>
    <m/>
    <m/>
    <n v="0.35099999999999998"/>
    <m/>
    <n v="0.35099999999999998"/>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4-01T00:00:00"/>
    <s v="FY21"/>
    <s v="t"/>
    <n v="0"/>
    <n v="0"/>
    <n v="0.252"/>
    <n v="0.252"/>
    <n v="0"/>
    <n v="0"/>
    <n v="30"/>
    <n v="30"/>
    <n v="0"/>
    <n v="0"/>
    <n v="100"/>
    <s v="Consolidation"/>
    <s v="CO2e and Base Measure"/>
    <n v="100"/>
    <n v="100"/>
    <n v="0.25"/>
    <m/>
    <m/>
    <m/>
    <m/>
    <m/>
    <n v="0.3276"/>
    <m/>
    <n v="0.3276"/>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5-01T00:00:00"/>
    <s v="FY21"/>
    <s v="t"/>
    <n v="0"/>
    <n v="0"/>
    <n v="0.26040000000000002"/>
    <n v="0.26040000000000002"/>
    <n v="0"/>
    <n v="0"/>
    <n v="31"/>
    <n v="31"/>
    <n v="0"/>
    <n v="0"/>
    <n v="100"/>
    <s v="Consolidation"/>
    <s v="CO2e and Base Measure"/>
    <n v="100"/>
    <n v="100"/>
    <n v="0.26"/>
    <m/>
    <m/>
    <m/>
    <m/>
    <m/>
    <n v="0.33850000000000002"/>
    <m/>
    <n v="0.33850000000000002"/>
    <m/>
    <m/>
    <m/>
    <m/>
    <m/>
    <s v="AUD"/>
    <s v="13634274Waste - General [t] - Scope 3"/>
    <n v="13634274"/>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07-01T00:00:00"/>
    <s v="FY21"/>
    <s v="t"/>
    <n v="1.1599999999999999"/>
    <n v="0.78"/>
    <n v="0"/>
    <n v="1.94"/>
    <n v="5"/>
    <n v="4"/>
    <n v="0"/>
    <n v="9"/>
    <n v="59.79"/>
    <n v="40.200000000000003"/>
    <n v="0"/>
    <s v="Consolidation"/>
    <s v="CO2e and Base Measure"/>
    <n v="100"/>
    <n v="100"/>
    <n v="1.94"/>
    <m/>
    <m/>
    <m/>
    <m/>
    <m/>
    <n v="2.5219999999999998"/>
    <m/>
    <n v="2.5219999999999998"/>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08-01T00:00:00"/>
    <s v="FY21"/>
    <s v="t"/>
    <n v="1.26"/>
    <n v="0.58499999999999996"/>
    <n v="0"/>
    <n v="1.845"/>
    <n v="3"/>
    <n v="3"/>
    <n v="0"/>
    <n v="6"/>
    <n v="68.290000000000006"/>
    <n v="31.7"/>
    <n v="0"/>
    <s v="Consolidation"/>
    <s v="CO2e and Base Measure"/>
    <n v="100"/>
    <n v="100"/>
    <n v="1.85"/>
    <m/>
    <m/>
    <m/>
    <m/>
    <m/>
    <n v="2.3984999999999999"/>
    <m/>
    <n v="2.3984999999999999"/>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09-01T00:00:00"/>
    <s v="FY21"/>
    <s v="t"/>
    <n v="0.66"/>
    <n v="0.78"/>
    <n v="0"/>
    <n v="1.44"/>
    <n v="4"/>
    <n v="4"/>
    <n v="0"/>
    <n v="8"/>
    <n v="45.83"/>
    <n v="54.16"/>
    <n v="0"/>
    <s v="Consolidation"/>
    <s v="CO2e and Base Measure"/>
    <n v="100"/>
    <n v="100"/>
    <n v="1.44"/>
    <m/>
    <m/>
    <m/>
    <m/>
    <m/>
    <n v="1.8720000000000001"/>
    <m/>
    <n v="1.8720000000000001"/>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10-01T00:00:00"/>
    <s v="FY21"/>
    <s v="t"/>
    <n v="0.62"/>
    <n v="0.97499999999999998"/>
    <n v="0"/>
    <n v="1.595"/>
    <n v="2"/>
    <n v="5"/>
    <n v="0"/>
    <n v="7"/>
    <n v="38.869999999999997"/>
    <n v="61.12"/>
    <n v="0"/>
    <s v="Consolidation"/>
    <s v="CO2e and Base Measure"/>
    <n v="100"/>
    <n v="100"/>
    <n v="1.6"/>
    <m/>
    <m/>
    <m/>
    <m/>
    <m/>
    <n v="2.0735000000000001"/>
    <m/>
    <n v="2.0735000000000001"/>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11-01T00:00:00"/>
    <s v="FY21"/>
    <s v="t"/>
    <n v="1.6"/>
    <n v="0.78"/>
    <n v="0"/>
    <n v="2.38"/>
    <n v="5"/>
    <n v="4"/>
    <n v="0"/>
    <n v="9"/>
    <n v="67.22"/>
    <n v="32.770000000000003"/>
    <n v="0"/>
    <s v="Consolidation"/>
    <s v="CO2e and Base Measure"/>
    <n v="100"/>
    <n v="100"/>
    <n v="2.38"/>
    <m/>
    <m/>
    <m/>
    <m/>
    <m/>
    <n v="3.0939999999999999"/>
    <m/>
    <n v="3.0939999999999999"/>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12-01T00:00:00"/>
    <s v="FY21"/>
    <s v="t"/>
    <n v="0"/>
    <n v="0"/>
    <n v="5.8799999999999998E-2"/>
    <n v="5.8799999999999998E-2"/>
    <n v="0"/>
    <n v="0"/>
    <n v="1"/>
    <n v="1"/>
    <n v="0"/>
    <n v="0"/>
    <n v="100"/>
    <s v="Consolidation"/>
    <s v="CO2e and Base Measure"/>
    <n v="100"/>
    <n v="100"/>
    <n v="0.06"/>
    <m/>
    <m/>
    <m/>
    <m/>
    <m/>
    <n v="7.6399999999999996E-2"/>
    <m/>
    <n v="7.6399999999999996E-2"/>
    <m/>
    <m/>
    <m/>
    <m/>
    <m/>
    <s v="AUD"/>
    <s v="13565178Waste - General [t] - Scope 3"/>
    <n v="13565178"/>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0-12-01T00:00:00"/>
    <s v="FY21"/>
    <s v="t"/>
    <n v="0.15"/>
    <n v="0"/>
    <n v="0"/>
    <n v="0.15"/>
    <n v="1"/>
    <n v="0"/>
    <n v="0"/>
    <n v="1"/>
    <n v="100"/>
    <n v="0"/>
    <n v="0"/>
    <s v="Consolidation"/>
    <s v="CO2e and Base Measure"/>
    <n v="100"/>
    <n v="100"/>
    <n v="0.15"/>
    <m/>
    <m/>
    <m/>
    <m/>
    <m/>
    <n v="0.19500000000000001"/>
    <m/>
    <n v="0.19500000000000001"/>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1-01T00:00:00"/>
    <s v="FY21"/>
    <s v="t"/>
    <n v="0.998"/>
    <n v="0"/>
    <n v="0"/>
    <n v="0.998"/>
    <n v="3"/>
    <n v="0"/>
    <n v="0"/>
    <n v="3"/>
    <n v="100"/>
    <n v="0"/>
    <n v="0"/>
    <s v="Consolidation"/>
    <s v="CO2e and Base Measure"/>
    <n v="100"/>
    <n v="100"/>
    <n v="1"/>
    <m/>
    <m/>
    <m/>
    <m/>
    <m/>
    <n v="1.2974000000000001"/>
    <m/>
    <n v="1.2974000000000001"/>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2-01T00:00:00"/>
    <s v="FY21"/>
    <s v="t"/>
    <n v="0.55500000000000005"/>
    <n v="0"/>
    <n v="0"/>
    <n v="0.55500000000000005"/>
    <n v="2"/>
    <n v="0"/>
    <n v="0"/>
    <n v="2"/>
    <n v="100"/>
    <n v="0"/>
    <n v="0"/>
    <s v="Consolidation"/>
    <s v="CO2e and Base Measure"/>
    <n v="100"/>
    <n v="100"/>
    <n v="0.56000000000000005"/>
    <m/>
    <m/>
    <m/>
    <m/>
    <m/>
    <n v="0.72150000000000003"/>
    <m/>
    <n v="0.72150000000000003"/>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3-01T00:00:00"/>
    <s v="FY21"/>
    <s v="t"/>
    <n v="1.044"/>
    <n v="0"/>
    <n v="0"/>
    <n v="1.044"/>
    <n v="3"/>
    <n v="0"/>
    <n v="0"/>
    <n v="3"/>
    <n v="100"/>
    <n v="0"/>
    <n v="0"/>
    <s v="Consolidation"/>
    <s v="CO2e and Base Measure"/>
    <n v="100"/>
    <n v="100"/>
    <n v="1.04"/>
    <m/>
    <m/>
    <m/>
    <m/>
    <m/>
    <n v="1.3572"/>
    <m/>
    <n v="1.3572"/>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4-01T00:00:00"/>
    <s v="FY21"/>
    <s v="t"/>
    <n v="0"/>
    <n v="0"/>
    <n v="0.68700000000000006"/>
    <n v="0.68700000000000006"/>
    <n v="0"/>
    <n v="0"/>
    <n v="30"/>
    <n v="30"/>
    <n v="0"/>
    <n v="0"/>
    <n v="100"/>
    <s v="Consolidation"/>
    <s v="CO2e and Base Measure"/>
    <n v="100"/>
    <n v="100"/>
    <n v="0.69"/>
    <m/>
    <m/>
    <m/>
    <m/>
    <m/>
    <n v="0.8931"/>
    <m/>
    <n v="0.8931"/>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5-01T00:00:00"/>
    <s v="FY21"/>
    <s v="t"/>
    <n v="0"/>
    <n v="0"/>
    <n v="0.70989999999999998"/>
    <n v="0.70989999999999998"/>
    <n v="0"/>
    <n v="0"/>
    <n v="31"/>
    <n v="31"/>
    <n v="0"/>
    <n v="0"/>
    <n v="100"/>
    <s v="Consolidation"/>
    <s v="CO2e and Base Measure"/>
    <n v="100"/>
    <n v="100"/>
    <n v="0.71"/>
    <m/>
    <m/>
    <m/>
    <m/>
    <m/>
    <n v="0.92290000000000005"/>
    <m/>
    <n v="0.92290000000000005"/>
    <m/>
    <m/>
    <m/>
    <m/>
    <m/>
    <s v="AUD"/>
    <s v="13634275Waste - General [t] - Scope 3"/>
    <n v="136342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1-01T00:00:00"/>
    <s v="FY21"/>
    <s v="t"/>
    <n v="7.0000000000000007E-2"/>
    <n v="0"/>
    <n v="0"/>
    <n v="7.0000000000000007E-2"/>
    <n v="1"/>
    <n v="0"/>
    <n v="0"/>
    <n v="1"/>
    <n v="100"/>
    <n v="0"/>
    <n v="0"/>
    <s v="Consolidation"/>
    <s v="CO2e and Base Measure"/>
    <n v="100"/>
    <n v="100"/>
    <n v="7.0000000000000007E-2"/>
    <m/>
    <m/>
    <m/>
    <m/>
    <m/>
    <m/>
    <m/>
    <m/>
    <m/>
    <m/>
    <m/>
    <m/>
    <m/>
    <s v="AUD"/>
    <s v="13634475Waste Recycled - Paper and Cardboard [t]"/>
    <n v="136344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2-01T00:00:00"/>
    <s v="FY21"/>
    <s v="t"/>
    <n v="0.1"/>
    <n v="0"/>
    <n v="0"/>
    <n v="0.1"/>
    <n v="1"/>
    <n v="0"/>
    <n v="0"/>
    <n v="1"/>
    <n v="100"/>
    <n v="0"/>
    <n v="0"/>
    <s v="Consolidation"/>
    <s v="CO2e and Base Measure"/>
    <n v="100"/>
    <n v="100"/>
    <n v="0.1"/>
    <m/>
    <m/>
    <m/>
    <m/>
    <m/>
    <m/>
    <m/>
    <m/>
    <m/>
    <m/>
    <m/>
    <m/>
    <m/>
    <s v="AUD"/>
    <s v="13634475Waste Recycled - Paper and Cardboard [t]"/>
    <n v="136344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3-01T00:00:00"/>
    <s v="FY21"/>
    <s v="t"/>
    <n v="0"/>
    <n v="0"/>
    <n v="8.9899999999999994E-2"/>
    <n v="8.9899999999999994E-2"/>
    <n v="0"/>
    <n v="0"/>
    <n v="31"/>
    <n v="31"/>
    <n v="0"/>
    <n v="0"/>
    <n v="100"/>
    <s v="Consolidation"/>
    <s v="CO2e and Base Measure"/>
    <n v="100"/>
    <n v="100"/>
    <n v="0.09"/>
    <m/>
    <m/>
    <m/>
    <m/>
    <m/>
    <m/>
    <m/>
    <m/>
    <m/>
    <m/>
    <m/>
    <m/>
    <m/>
    <s v="AUD"/>
    <s v="13634475Waste Recycled - Paper and Cardboard [t]"/>
    <n v="136344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4-01T00:00:00"/>
    <s v="FY21"/>
    <s v="t"/>
    <n v="0"/>
    <n v="0"/>
    <n v="8.6999999999999994E-2"/>
    <n v="8.6999999999999994E-2"/>
    <n v="0"/>
    <n v="0"/>
    <n v="30"/>
    <n v="30"/>
    <n v="0"/>
    <n v="0"/>
    <n v="100"/>
    <s v="Consolidation"/>
    <s v="CO2e and Base Measure"/>
    <n v="100"/>
    <n v="100"/>
    <n v="0.09"/>
    <m/>
    <m/>
    <m/>
    <m/>
    <m/>
    <m/>
    <m/>
    <m/>
    <m/>
    <m/>
    <m/>
    <m/>
    <m/>
    <s v="AUD"/>
    <s v="13634475Waste Recycled - Paper and Cardboard [t]"/>
    <n v="136344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5-01T00:00:00"/>
    <s v="FY21"/>
    <s v="t"/>
    <n v="0"/>
    <n v="0"/>
    <n v="8.9899999999999994E-2"/>
    <n v="8.9899999999999994E-2"/>
    <n v="0"/>
    <n v="0"/>
    <n v="31"/>
    <n v="31"/>
    <n v="0"/>
    <n v="0"/>
    <n v="100"/>
    <s v="Consolidation"/>
    <s v="CO2e and Base Measure"/>
    <n v="100"/>
    <n v="100"/>
    <n v="0.09"/>
    <m/>
    <m/>
    <m/>
    <m/>
    <m/>
    <m/>
    <m/>
    <m/>
    <m/>
    <m/>
    <m/>
    <m/>
    <m/>
    <s v="AUD"/>
    <s v="13634475Waste Recycled - Paper and Cardboard [t]"/>
    <n v="13634475"/>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07-01T00:00:00"/>
    <s v="FY21"/>
    <s v="t"/>
    <n v="0"/>
    <n v="7.1999999999999995E-2"/>
    <n v="0"/>
    <n v="7.1999999999999995E-2"/>
    <n v="0"/>
    <n v="3"/>
    <n v="0"/>
    <n v="3"/>
    <n v="0"/>
    <n v="100"/>
    <n v="0"/>
    <s v="Consolidation"/>
    <s v="CO2e and Base Measure"/>
    <n v="100"/>
    <n v="100"/>
    <n v="7.0000000000000007E-2"/>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08-01T00:00:00"/>
    <s v="FY21"/>
    <s v="t"/>
    <n v="0"/>
    <n v="4.8000000000000001E-2"/>
    <n v="0"/>
    <n v="4.8000000000000001E-2"/>
    <n v="0"/>
    <n v="2"/>
    <n v="0"/>
    <n v="2"/>
    <n v="0"/>
    <n v="100"/>
    <n v="0"/>
    <s v="Consolidation"/>
    <s v="CO2e and Base Measure"/>
    <n v="100"/>
    <n v="100"/>
    <n v="0.05"/>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09-01T00:00:00"/>
    <s v="FY21"/>
    <s v="t"/>
    <n v="0"/>
    <n v="4.8000000000000001E-2"/>
    <n v="0"/>
    <n v="4.8000000000000001E-2"/>
    <n v="0"/>
    <n v="2"/>
    <n v="0"/>
    <n v="2"/>
    <n v="0"/>
    <n v="100"/>
    <n v="0"/>
    <s v="Consolidation"/>
    <s v="CO2e and Base Measure"/>
    <n v="100"/>
    <n v="100"/>
    <n v="0.05"/>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10-01T00:00:00"/>
    <s v="FY21"/>
    <s v="t"/>
    <n v="0"/>
    <n v="4.8000000000000001E-2"/>
    <n v="0"/>
    <n v="4.8000000000000001E-2"/>
    <n v="0"/>
    <n v="2"/>
    <n v="0"/>
    <n v="2"/>
    <n v="0"/>
    <n v="100"/>
    <n v="0"/>
    <s v="Consolidation"/>
    <s v="CO2e and Base Measure"/>
    <n v="100"/>
    <n v="100"/>
    <n v="0.05"/>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11-01T00:00:00"/>
    <s v="FY21"/>
    <s v="t"/>
    <n v="0"/>
    <n v="4.8000000000000001E-2"/>
    <n v="0"/>
    <n v="4.8000000000000001E-2"/>
    <n v="0"/>
    <n v="2"/>
    <n v="0"/>
    <n v="2"/>
    <n v="0"/>
    <n v="100"/>
    <n v="0"/>
    <s v="Consolidation"/>
    <s v="CO2e and Base Measure"/>
    <n v="100"/>
    <n v="100"/>
    <n v="0.05"/>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12-01T00:00:00"/>
    <s v="FY21"/>
    <s v="t"/>
    <n v="0"/>
    <n v="0"/>
    <n v="1.6999999999999999E-3"/>
    <n v="1.6999999999999999E-3"/>
    <n v="0"/>
    <n v="0"/>
    <n v="1"/>
    <n v="1"/>
    <n v="0"/>
    <n v="0"/>
    <n v="100"/>
    <s v="Consolidation"/>
    <s v="CO2e and Base Measure"/>
    <n v="100"/>
    <n v="100"/>
    <n v="0"/>
    <m/>
    <m/>
    <m/>
    <m/>
    <m/>
    <m/>
    <n v="0"/>
    <m/>
    <m/>
    <m/>
    <m/>
    <m/>
    <m/>
    <s v="AUD"/>
    <s v="13565662Waste Recycled - Commingled [t]"/>
    <n v="13565662"/>
  </r>
  <r>
    <d v="2019-07-01T00:00:00"/>
    <d v="2021-06-30T00:00:00"/>
    <s v="Telstra"/>
    <s v="NON-NETWORK"/>
    <s v="NON-NETWORK"/>
    <s v="TAS"/>
    <s v="Australia"/>
    <s v="Launceston"/>
    <s v="TAS-LAUNCESTON-104 CAMERON ST"/>
    <n v="423031530800"/>
    <s v="Recycled Waste"/>
    <x v="0"/>
    <x v="1"/>
    <s v="Account"/>
    <s v="Remondis Electrical Comp. (E-Waste)"/>
    <m/>
    <s v="423031530800_RELECTRIC"/>
    <s v="ELECTRICAL COMP. E-WASTE"/>
    <s v="Remondis"/>
    <m/>
    <m/>
    <d v="2020-10-01T00:00:00"/>
    <d v="2020-09-01T00:00:00"/>
    <s v="FY21"/>
    <s v="t"/>
    <n v="0"/>
    <n v="0.22800000000000001"/>
    <n v="0"/>
    <n v="0.22800000000000001"/>
    <n v="0"/>
    <n v="1"/>
    <n v="0"/>
    <n v="1"/>
    <n v="0"/>
    <n v="100"/>
    <n v="0"/>
    <s v="Consolidation"/>
    <s v="CO2e and Base Measure"/>
    <n v="100"/>
    <n v="100"/>
    <n v="0.23"/>
    <m/>
    <m/>
    <m/>
    <m/>
    <m/>
    <m/>
    <m/>
    <m/>
    <m/>
    <m/>
    <m/>
    <m/>
    <m/>
    <s v="AUD"/>
    <s v="13565663Waste Recycled - E-waste [t]"/>
    <n v="13565663"/>
  </r>
  <r>
    <d v="2019-07-01T00:00:00"/>
    <d v="2021-06-30T00:00:00"/>
    <s v="Telstra"/>
    <s v="NON-NETWORK"/>
    <s v="NON-NETWORK"/>
    <s v="TAS"/>
    <s v="Australia"/>
    <s v="Launceston"/>
    <s v="TAS-LAUNCESTON-104 CAMERON ST"/>
    <n v="423031530800"/>
    <s v="Recycled Waste"/>
    <x v="0"/>
    <x v="1"/>
    <s v="Account"/>
    <s v="Remondis Electrical Comp. (E-Waste)"/>
    <m/>
    <s v="423031530800_RELECTRIC"/>
    <s v="ELECTRICAL COMP. E-WASTE"/>
    <s v="Remondis"/>
    <m/>
    <m/>
    <d v="2020-10-01T00:00:00"/>
    <d v="2020-10-01T00:00:00"/>
    <s v="FY21"/>
    <s v="t"/>
    <n v="0"/>
    <n v="0"/>
    <n v="7.9000000000000008E-3"/>
    <n v="7.9000000000000008E-3"/>
    <n v="0"/>
    <n v="0"/>
    <n v="1"/>
    <n v="1"/>
    <n v="0"/>
    <n v="0"/>
    <n v="100"/>
    <s v="Consolidation"/>
    <s v="CO2e and Base Measure"/>
    <n v="100"/>
    <n v="100"/>
    <n v="0.01"/>
    <m/>
    <m/>
    <m/>
    <m/>
    <m/>
    <m/>
    <m/>
    <m/>
    <m/>
    <m/>
    <m/>
    <m/>
    <m/>
    <s v="AUD"/>
    <s v="13565663Waste Recycled - E-waste [t]"/>
    <n v="13565663"/>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08-01T00:00:00"/>
    <s v="FY21"/>
    <s v="t"/>
    <n v="0"/>
    <n v="4.2900000000000001E-2"/>
    <n v="0"/>
    <n v="4.2900000000000001E-2"/>
    <n v="0"/>
    <n v="1"/>
    <n v="0"/>
    <n v="1"/>
    <n v="0"/>
    <n v="100"/>
    <n v="0"/>
    <s v="Consolidation"/>
    <s v="CO2e and Base Measure"/>
    <n v="100"/>
    <n v="100"/>
    <n v="0.04"/>
    <m/>
    <m/>
    <m/>
    <m/>
    <m/>
    <n v="5.5800000000000002E-2"/>
    <m/>
    <n v="5.5800000000000002E-2"/>
    <m/>
    <m/>
    <m/>
    <m/>
    <m/>
    <s v="AUD"/>
    <s v="13565664Waste - General [t] - Scope 3"/>
    <n v="13565664"/>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09-01T00:00:00"/>
    <s v="FY21"/>
    <s v="t"/>
    <n v="0"/>
    <n v="4.2900000000000001E-2"/>
    <n v="0"/>
    <n v="4.2900000000000001E-2"/>
    <n v="0"/>
    <n v="1"/>
    <n v="0"/>
    <n v="1"/>
    <n v="0"/>
    <n v="100"/>
    <n v="0"/>
    <s v="Consolidation"/>
    <s v="CO2e and Base Measure"/>
    <n v="100"/>
    <n v="100"/>
    <n v="0.04"/>
    <m/>
    <m/>
    <m/>
    <m/>
    <m/>
    <n v="5.5800000000000002E-2"/>
    <m/>
    <n v="5.5800000000000002E-2"/>
    <m/>
    <m/>
    <m/>
    <m/>
    <m/>
    <s v="AUD"/>
    <s v="13565664Waste - General [t] - Scope 3"/>
    <n v="13565664"/>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10-01T00:00:00"/>
    <s v="FY21"/>
    <s v="t"/>
    <n v="0"/>
    <n v="8.5800000000000001E-2"/>
    <n v="0"/>
    <n v="8.5800000000000001E-2"/>
    <n v="0"/>
    <n v="2"/>
    <n v="0"/>
    <n v="2"/>
    <n v="0"/>
    <n v="100"/>
    <n v="0"/>
    <s v="Consolidation"/>
    <s v="CO2e and Base Measure"/>
    <n v="100"/>
    <n v="100"/>
    <n v="0.09"/>
    <m/>
    <m/>
    <m/>
    <m/>
    <m/>
    <n v="0.1115"/>
    <m/>
    <n v="0.1115"/>
    <m/>
    <m/>
    <m/>
    <m/>
    <m/>
    <s v="AUD"/>
    <s v="13565664Waste - General [t] - Scope 3"/>
    <n v="13565664"/>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11-01T00:00:00"/>
    <s v="FY21"/>
    <s v="t"/>
    <n v="0"/>
    <n v="4.2900000000000001E-2"/>
    <n v="0"/>
    <n v="4.2900000000000001E-2"/>
    <n v="0"/>
    <n v="1"/>
    <n v="0"/>
    <n v="1"/>
    <n v="0"/>
    <n v="100"/>
    <n v="0"/>
    <s v="Consolidation"/>
    <s v="CO2e and Base Measure"/>
    <n v="100"/>
    <n v="100"/>
    <n v="0.04"/>
    <m/>
    <m/>
    <m/>
    <m/>
    <m/>
    <n v="5.5800000000000002E-2"/>
    <m/>
    <n v="5.5800000000000002E-2"/>
    <m/>
    <m/>
    <m/>
    <m/>
    <m/>
    <s v="AUD"/>
    <s v="13565664Waste - General [t] - Scope 3"/>
    <n v="13565664"/>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12-01T00:00:00"/>
    <s v="FY21"/>
    <s v="t"/>
    <n v="0"/>
    <n v="0"/>
    <n v="1.6000000000000001E-3"/>
    <n v="1.6000000000000001E-3"/>
    <n v="0"/>
    <n v="0"/>
    <n v="1"/>
    <n v="1"/>
    <n v="0"/>
    <n v="0"/>
    <n v="100"/>
    <s v="Consolidation"/>
    <s v="CO2e and Base Measure"/>
    <n v="100"/>
    <n v="100"/>
    <n v="0"/>
    <m/>
    <m/>
    <m/>
    <m/>
    <m/>
    <n v="2.0999999999999999E-3"/>
    <m/>
    <n v="2.0999999999999999E-3"/>
    <m/>
    <m/>
    <m/>
    <m/>
    <m/>
    <s v="AUD"/>
    <s v="13565664Waste - General [t] - Scope 3"/>
    <n v="13565664"/>
  </r>
  <r>
    <d v="2019-07-01T00:00:00"/>
    <d v="2021-06-30T00:00:00"/>
    <s v="Telstra"/>
    <s v="NETWORK"/>
    <s v="Network - InfraCo"/>
    <s v="NSW"/>
    <s v="Australia"/>
    <s v="Hawks Nest"/>
    <s v="TEA GARDENS EXCHANGE"/>
    <n v="423030258100"/>
    <s v="Waste"/>
    <x v="1"/>
    <x v="2"/>
    <s v="Account"/>
    <s v="Remondis General Waste"/>
    <m/>
    <s v="423030258100_WGENERALW"/>
    <s v="GENERAL WASTE"/>
    <s v="Remondis"/>
    <m/>
    <m/>
    <d v="2021-01-01T00:00:00"/>
    <d v="2020-07-01T00:00:00"/>
    <s v="FY21"/>
    <s v="t"/>
    <n v="1.05"/>
    <n v="0"/>
    <n v="0"/>
    <n v="1.05"/>
    <n v="1"/>
    <n v="0"/>
    <n v="0"/>
    <n v="1"/>
    <n v="100"/>
    <n v="0"/>
    <n v="0"/>
    <s v="Consolidation"/>
    <s v="CO2e and Base Measure"/>
    <n v="100"/>
    <n v="100"/>
    <n v="1.05"/>
    <m/>
    <m/>
    <m/>
    <m/>
    <m/>
    <n v="1.365"/>
    <m/>
    <n v="1.365"/>
    <m/>
    <m/>
    <m/>
    <m/>
    <m/>
    <s v="AUD"/>
    <s v="13566071Waste - General [t] - Scope 3"/>
    <n v="13566071"/>
  </r>
  <r>
    <d v="2019-07-01T00:00:00"/>
    <d v="2021-06-30T00:00:00"/>
    <s v="Telstra"/>
    <s v="NETWORK"/>
    <s v="Network - InfraCo"/>
    <s v="NSW"/>
    <s v="Australia"/>
    <s v="Hawks Nest"/>
    <s v="TEA GARDENS EXCHANGE"/>
    <n v="423030258100"/>
    <s v="Waste"/>
    <x v="1"/>
    <x v="2"/>
    <s v="Account"/>
    <s v="Remondis General Waste"/>
    <m/>
    <s v="4230302581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6071Waste - General [t] - Scope 3"/>
    <n v="13566071"/>
  </r>
  <r>
    <d v="2019-07-01T00:00:00"/>
    <d v="2021-06-30T00:00:00"/>
    <s v="Telstra"/>
    <s v="NETWORK"/>
    <s v="Network - InfraCo"/>
    <s v="NSW"/>
    <s v="Australia"/>
    <s v="Hawks Nest"/>
    <s v="TEA GARDENS EXCHANGE"/>
    <n v="423030258100"/>
    <s v="Waste"/>
    <x v="1"/>
    <x v="2"/>
    <s v="Account"/>
    <s v="Remondis General Waste"/>
    <m/>
    <s v="423030258100_WGENERALW"/>
    <s v="GENERAL WASTE"/>
    <s v="Remondis"/>
    <m/>
    <m/>
    <d v="2021-01-01T00:00:00"/>
    <d v="2021-01-01T00:00:00"/>
    <s v="FY21"/>
    <s v="t"/>
    <n v="0"/>
    <n v="0"/>
    <n v="6.3E-3"/>
    <n v="6.3E-3"/>
    <n v="0"/>
    <n v="0"/>
    <n v="1"/>
    <n v="1"/>
    <n v="0"/>
    <n v="0"/>
    <n v="100"/>
    <s v="Consolidation"/>
    <s v="CO2e and Base Measure"/>
    <n v="100"/>
    <n v="100"/>
    <n v="0.01"/>
    <m/>
    <m/>
    <m/>
    <m/>
    <m/>
    <n v="8.2000000000000007E-3"/>
    <m/>
    <n v="8.2000000000000007E-3"/>
    <m/>
    <m/>
    <m/>
    <m/>
    <m/>
    <s v="AUD"/>
    <s v="13566071Waste - General [t] - Scope 3"/>
    <n v="13566071"/>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07-01T00:00:00"/>
    <s v="FY21"/>
    <s v="t"/>
    <n v="0.40500000000000003"/>
    <n v="6.3E-2"/>
    <n v="0"/>
    <n v="0.46800000000000003"/>
    <n v="3"/>
    <n v="1"/>
    <n v="0"/>
    <n v="4"/>
    <n v="86.53"/>
    <n v="13.46"/>
    <n v="0"/>
    <s v="Consolidation"/>
    <s v="CO2e and Base Measure"/>
    <n v="100"/>
    <n v="100"/>
    <n v="0.47"/>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08-01T00:00:00"/>
    <s v="FY21"/>
    <s v="t"/>
    <n v="0.23499999999999999"/>
    <n v="0"/>
    <n v="0"/>
    <n v="0.23499999999999999"/>
    <n v="4"/>
    <n v="0"/>
    <n v="0"/>
    <n v="4"/>
    <n v="100"/>
    <n v="0"/>
    <n v="0"/>
    <s v="Consolidation"/>
    <s v="CO2e and Base Measure"/>
    <n v="100"/>
    <n v="100"/>
    <n v="0.24"/>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09-01T00:00:00"/>
    <s v="FY21"/>
    <s v="t"/>
    <n v="0.11"/>
    <n v="6.3E-2"/>
    <n v="0"/>
    <n v="0.17299999999999999"/>
    <n v="4"/>
    <n v="1"/>
    <n v="0"/>
    <n v="5"/>
    <n v="63.58"/>
    <n v="36.409999999999997"/>
    <n v="0"/>
    <s v="Consolidation"/>
    <s v="CO2e and Base Measure"/>
    <n v="100"/>
    <n v="100"/>
    <n v="0.17"/>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10-01T00:00:00"/>
    <s v="FY21"/>
    <s v="t"/>
    <n v="0.24"/>
    <n v="0"/>
    <n v="0"/>
    <n v="0.24"/>
    <n v="4"/>
    <n v="0"/>
    <n v="0"/>
    <n v="4"/>
    <n v="100"/>
    <n v="0"/>
    <n v="0"/>
    <s v="Consolidation"/>
    <s v="CO2e and Base Measure"/>
    <n v="100"/>
    <n v="100"/>
    <n v="0.24"/>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11-01T00:00:00"/>
    <s v="FY21"/>
    <s v="t"/>
    <n v="0.15"/>
    <n v="0"/>
    <n v="0"/>
    <n v="0.15"/>
    <n v="4"/>
    <n v="0"/>
    <n v="0"/>
    <n v="4"/>
    <n v="100"/>
    <n v="0"/>
    <n v="0"/>
    <s v="Consolidation"/>
    <s v="CO2e and Base Measure"/>
    <n v="100"/>
    <n v="100"/>
    <n v="0.15"/>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12-01T00:00:00"/>
    <s v="FY21"/>
    <s v="t"/>
    <n v="5.0000000000000001E-3"/>
    <n v="0.315"/>
    <n v="0"/>
    <n v="0.32"/>
    <n v="1"/>
    <n v="5"/>
    <n v="0"/>
    <n v="6"/>
    <n v="1.56"/>
    <n v="98.43"/>
    <n v="0"/>
    <s v="Consolidation"/>
    <s v="CO2e and Base Measure"/>
    <n v="100"/>
    <n v="100"/>
    <n v="0.32"/>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1-01-01T00:00:00"/>
    <s v="FY21"/>
    <s v="t"/>
    <n v="0"/>
    <n v="0"/>
    <n v="9.4000000000000004E-3"/>
    <n v="9.4000000000000004E-3"/>
    <n v="0"/>
    <n v="0"/>
    <n v="1"/>
    <n v="1"/>
    <n v="0"/>
    <n v="0"/>
    <n v="100"/>
    <s v="Consolidation"/>
    <s v="CO2e and Base Measure"/>
    <n v="100"/>
    <n v="100"/>
    <n v="0.01"/>
    <m/>
    <m/>
    <m/>
    <m/>
    <m/>
    <m/>
    <n v="0"/>
    <m/>
    <m/>
    <m/>
    <m/>
    <m/>
    <m/>
    <s v="AUD"/>
    <s v="13576295Waste Recycled - Cardboard [t]"/>
    <n v="13576295"/>
  </r>
  <r>
    <d v="2019-07-01T00:00:00"/>
    <d v="2021-06-30T00:00:00"/>
    <s v="Telstra"/>
    <s v="Corporate"/>
    <s v="Corporate"/>
    <s v="Waste"/>
    <s v="Australia"/>
    <s v="New South Wales"/>
    <s v="TELSTRA BERESFIELD - CEVA"/>
    <n v="423033111300"/>
    <s v="Recycled Waste"/>
    <x v="0"/>
    <x v="1"/>
    <s v="Account"/>
    <s v="Remondis Electrical Comp. (E-Waste)"/>
    <m/>
    <s v="423033111300_RELECTRIC"/>
    <s v="ELECTRICAL COMP. E-WASTE"/>
    <s v="Remondis"/>
    <m/>
    <m/>
    <d v="2021-01-01T00:00:00"/>
    <d v="2020-08-01T00:00:00"/>
    <s v="FY21"/>
    <s v="t"/>
    <n v="0"/>
    <n v="0.12540000000000001"/>
    <n v="0"/>
    <n v="0.12540000000000001"/>
    <n v="0"/>
    <n v="1"/>
    <n v="0"/>
    <n v="1"/>
    <n v="0"/>
    <n v="100"/>
    <n v="0"/>
    <s v="Consolidation"/>
    <s v="CO2e and Base Measure"/>
    <n v="100"/>
    <n v="100"/>
    <n v="0.13"/>
    <m/>
    <m/>
    <m/>
    <m/>
    <m/>
    <m/>
    <m/>
    <m/>
    <m/>
    <m/>
    <m/>
    <m/>
    <m/>
    <s v="AUD"/>
    <s v="13576296Waste Recycled - E-waste [t]"/>
    <n v="13576296"/>
  </r>
  <r>
    <d v="2019-07-01T00:00:00"/>
    <d v="2021-06-30T00:00:00"/>
    <s v="Telstra"/>
    <s v="Corporate"/>
    <s v="Corporate"/>
    <s v="Waste"/>
    <s v="Australia"/>
    <s v="New South Wales"/>
    <s v="TELSTRA BERESFIELD - CEVA"/>
    <n v="423033111300"/>
    <s v="Recycled Waste"/>
    <x v="0"/>
    <x v="1"/>
    <s v="Account"/>
    <s v="Remondis Electrical Comp. (E-Waste)"/>
    <m/>
    <s v="423033111300_RELECTRIC"/>
    <s v="ELECTRICAL COMP. E-WASTE"/>
    <s v="Remondis"/>
    <m/>
    <m/>
    <d v="2021-01-01T00:00:00"/>
    <d v="2020-12-01T00:00:00"/>
    <s v="FY21"/>
    <s v="t"/>
    <n v="0.25"/>
    <n v="0"/>
    <n v="0"/>
    <n v="0.25"/>
    <n v="1"/>
    <n v="0"/>
    <n v="0"/>
    <n v="1"/>
    <n v="100"/>
    <n v="0"/>
    <n v="0"/>
    <s v="Consolidation"/>
    <s v="CO2e and Base Measure"/>
    <n v="100"/>
    <n v="100"/>
    <n v="0.25"/>
    <m/>
    <m/>
    <m/>
    <m/>
    <m/>
    <m/>
    <m/>
    <m/>
    <m/>
    <m/>
    <m/>
    <m/>
    <m/>
    <s v="AUD"/>
    <s v="13576296Waste Recycled - E-waste [t]"/>
    <n v="13576296"/>
  </r>
  <r>
    <d v="2019-07-01T00:00:00"/>
    <d v="2021-06-30T00:00:00"/>
    <s v="Telstra"/>
    <s v="Corporate"/>
    <s v="Corporate"/>
    <s v="Waste"/>
    <s v="Australia"/>
    <s v="New South Wales"/>
    <s v="TELSTRA BERESFIELD - CEVA"/>
    <n v="423033111300"/>
    <s v="Recycled Waste"/>
    <x v="0"/>
    <x v="1"/>
    <s v="Account"/>
    <s v="Remondis Electrical Comp. (E-Waste)"/>
    <m/>
    <s v="423033111300_RELECTRIC"/>
    <s v="ELECTRICAL COMP. E-WASTE"/>
    <s v="Remondis"/>
    <m/>
    <m/>
    <d v="2021-01-01T00:00:00"/>
    <d v="2021-01-01T00:00:00"/>
    <s v="FY21"/>
    <s v="t"/>
    <n v="0"/>
    <n v="0"/>
    <n v="2.3999999999999998E-3"/>
    <n v="2.3999999999999998E-3"/>
    <n v="0"/>
    <n v="0"/>
    <n v="1"/>
    <n v="1"/>
    <n v="0"/>
    <n v="0"/>
    <n v="100"/>
    <s v="Consolidation"/>
    <s v="CO2e and Base Measure"/>
    <n v="100"/>
    <n v="100"/>
    <n v="0"/>
    <m/>
    <m/>
    <m/>
    <m/>
    <m/>
    <m/>
    <m/>
    <m/>
    <m/>
    <m/>
    <m/>
    <m/>
    <m/>
    <s v="AUD"/>
    <s v="13576296Waste Recycled - E-waste [t]"/>
    <n v="13576296"/>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07-01T00:00:00"/>
    <s v="FY21"/>
    <s v="t"/>
    <n v="0.57999999999999996"/>
    <n v="0"/>
    <n v="0"/>
    <n v="0.57999999999999996"/>
    <n v="1"/>
    <n v="0"/>
    <n v="0"/>
    <n v="1"/>
    <n v="100"/>
    <n v="0"/>
    <n v="0"/>
    <s v="Consolidation"/>
    <s v="CO2e and Base Measure"/>
    <n v="100"/>
    <n v="100"/>
    <n v="0.57999999999999996"/>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08-01T00:00:00"/>
    <s v="FY21"/>
    <s v="t"/>
    <n v="0.71699999999999997"/>
    <n v="0"/>
    <n v="0"/>
    <n v="0.71699999999999997"/>
    <n v="1"/>
    <n v="0"/>
    <n v="0"/>
    <n v="1"/>
    <n v="100"/>
    <n v="0"/>
    <n v="0"/>
    <s v="Consolidation"/>
    <s v="CO2e and Base Measure"/>
    <n v="100"/>
    <n v="100"/>
    <n v="0.72"/>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09-01T00:00:00"/>
    <s v="FY21"/>
    <s v="t"/>
    <n v="0.92"/>
    <n v="0"/>
    <n v="0"/>
    <n v="0.92"/>
    <n v="1"/>
    <n v="0"/>
    <n v="0"/>
    <n v="1"/>
    <n v="100"/>
    <n v="0"/>
    <n v="0"/>
    <s v="Consolidation"/>
    <s v="CO2e and Base Measure"/>
    <n v="100"/>
    <n v="100"/>
    <n v="0.92"/>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11-01T00:00:00"/>
    <s v="FY21"/>
    <s v="t"/>
    <n v="0.63900000000000001"/>
    <n v="0"/>
    <n v="0"/>
    <n v="0.63900000000000001"/>
    <n v="1"/>
    <n v="0"/>
    <n v="0"/>
    <n v="1"/>
    <n v="100"/>
    <n v="0"/>
    <n v="0"/>
    <s v="Consolidation"/>
    <s v="CO2e and Base Measure"/>
    <n v="100"/>
    <n v="100"/>
    <n v="0.64"/>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12-01T00:00:00"/>
    <s v="FY21"/>
    <s v="t"/>
    <n v="0.182"/>
    <n v="0"/>
    <n v="0"/>
    <n v="0.182"/>
    <n v="1"/>
    <n v="0"/>
    <n v="0"/>
    <n v="1"/>
    <n v="100"/>
    <n v="0"/>
    <n v="0"/>
    <s v="Consolidation"/>
    <s v="CO2e and Base Measure"/>
    <n v="100"/>
    <n v="100"/>
    <n v="0.18"/>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1-01-01T00:00:00"/>
    <s v="FY21"/>
    <s v="t"/>
    <n v="0"/>
    <n v="0"/>
    <n v="1.6799999999999999E-2"/>
    <n v="1.6799999999999999E-2"/>
    <n v="0"/>
    <n v="0"/>
    <n v="1"/>
    <n v="1"/>
    <n v="0"/>
    <n v="0"/>
    <n v="100"/>
    <s v="Consolidation"/>
    <s v="CO2e and Base Measure"/>
    <n v="100"/>
    <n v="100"/>
    <n v="0.02"/>
    <m/>
    <m/>
    <m/>
    <m/>
    <m/>
    <m/>
    <m/>
    <m/>
    <m/>
    <m/>
    <m/>
    <m/>
    <m/>
    <s v="AUD"/>
    <s v="13576297Waste Recycled - Construction and Demolition [t]"/>
    <n v="13576297"/>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07-01T00:00:00"/>
    <s v="FY21"/>
    <s v="t"/>
    <n v="1.63"/>
    <n v="0.19500000000000001"/>
    <n v="0"/>
    <n v="1.825"/>
    <n v="8"/>
    <n v="1"/>
    <n v="0"/>
    <n v="9"/>
    <n v="89.31"/>
    <n v="10.68"/>
    <n v="0"/>
    <s v="Consolidation"/>
    <s v="CO2e and Base Measure"/>
    <n v="100"/>
    <n v="100"/>
    <n v="1.83"/>
    <m/>
    <m/>
    <m/>
    <m/>
    <m/>
    <n v="2.3725000000000001"/>
    <m/>
    <n v="2.3725000000000001"/>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08-01T00:00:00"/>
    <s v="FY21"/>
    <s v="t"/>
    <n v="0.89500000000000002"/>
    <n v="0"/>
    <n v="0"/>
    <n v="0.89500000000000002"/>
    <n v="8"/>
    <n v="0"/>
    <n v="0"/>
    <n v="8"/>
    <n v="100"/>
    <n v="0"/>
    <n v="0"/>
    <s v="Consolidation"/>
    <s v="CO2e and Base Measure"/>
    <n v="100"/>
    <n v="100"/>
    <n v="0.9"/>
    <m/>
    <m/>
    <m/>
    <m/>
    <m/>
    <n v="1.1635"/>
    <m/>
    <n v="1.1635"/>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09-01T00:00:00"/>
    <s v="FY21"/>
    <s v="t"/>
    <n v="0.78500000000000003"/>
    <n v="0.19500000000000001"/>
    <n v="0"/>
    <n v="0.98"/>
    <n v="8"/>
    <n v="1"/>
    <n v="0"/>
    <n v="9"/>
    <n v="80.099999999999994"/>
    <n v="19.89"/>
    <n v="0"/>
    <s v="Consolidation"/>
    <s v="CO2e and Base Measure"/>
    <n v="100"/>
    <n v="100"/>
    <n v="0.98"/>
    <m/>
    <m/>
    <m/>
    <m/>
    <m/>
    <n v="1.274"/>
    <m/>
    <n v="1.274"/>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10-01T00:00:00"/>
    <s v="FY21"/>
    <s v="t"/>
    <n v="0.91500000000000004"/>
    <n v="0"/>
    <n v="0"/>
    <n v="0.91500000000000004"/>
    <n v="9"/>
    <n v="0"/>
    <n v="0"/>
    <n v="9"/>
    <n v="100"/>
    <n v="0"/>
    <n v="0"/>
    <s v="Consolidation"/>
    <s v="CO2e and Base Measure"/>
    <n v="100"/>
    <n v="100"/>
    <n v="0.92"/>
    <m/>
    <m/>
    <m/>
    <m/>
    <m/>
    <n v="1.1895"/>
    <m/>
    <n v="1.1895"/>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11-01T00:00:00"/>
    <s v="FY21"/>
    <s v="t"/>
    <n v="1.19"/>
    <n v="0"/>
    <n v="0"/>
    <n v="1.19"/>
    <n v="8"/>
    <n v="0"/>
    <n v="0"/>
    <n v="8"/>
    <n v="100"/>
    <n v="0"/>
    <n v="0"/>
    <s v="Consolidation"/>
    <s v="CO2e and Base Measure"/>
    <n v="100"/>
    <n v="100"/>
    <n v="1.19"/>
    <m/>
    <m/>
    <m/>
    <m/>
    <m/>
    <n v="1.5469999999999999"/>
    <m/>
    <n v="1.5469999999999999"/>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12-01T00:00:00"/>
    <s v="FY21"/>
    <s v="t"/>
    <n v="0.05"/>
    <n v="1.56"/>
    <n v="0"/>
    <n v="1.61"/>
    <n v="2"/>
    <n v="8"/>
    <n v="0"/>
    <n v="10"/>
    <n v="3.1"/>
    <n v="96.89"/>
    <n v="0"/>
    <s v="Consolidation"/>
    <s v="CO2e and Base Measure"/>
    <n v="100"/>
    <n v="100"/>
    <n v="1.61"/>
    <m/>
    <m/>
    <m/>
    <m/>
    <m/>
    <n v="2.093"/>
    <m/>
    <n v="2.093"/>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1-01-01T00:00:00"/>
    <s v="FY21"/>
    <s v="t"/>
    <n v="0"/>
    <n v="0"/>
    <n v="4.2500000000000003E-2"/>
    <n v="4.2500000000000003E-2"/>
    <n v="0"/>
    <n v="0"/>
    <n v="1"/>
    <n v="1"/>
    <n v="0"/>
    <n v="0"/>
    <n v="100"/>
    <s v="Consolidation"/>
    <s v="CO2e and Base Measure"/>
    <n v="100"/>
    <n v="100"/>
    <n v="0.04"/>
    <m/>
    <m/>
    <m/>
    <m/>
    <m/>
    <n v="5.5300000000000002E-2"/>
    <m/>
    <n v="5.5300000000000002E-2"/>
    <m/>
    <m/>
    <m/>
    <m/>
    <m/>
    <s v="AUD"/>
    <s v="13576298Waste - General [t] - Scope 3"/>
    <n v="13576298"/>
  </r>
  <r>
    <d v="2019-07-01T00:00:00"/>
    <d v="2021-06-30T00:00:00"/>
    <s v="Telstra"/>
    <s v="Corporate"/>
    <s v="Corporate"/>
    <s v="Waste"/>
    <s v="Australia"/>
    <s v="New South Wales"/>
    <s v="TELSTRA BERESFIELD - CEVA"/>
    <n v="423033111300"/>
    <s v="Recycled Waste"/>
    <x v="0"/>
    <x v="0"/>
    <s v="Account"/>
    <s v="Remondis Security Destruction"/>
    <m/>
    <s v="423033111300_RPAPSECUR"/>
    <s v="SECURITY DESTRUCTION"/>
    <s v="Remondis"/>
    <m/>
    <m/>
    <d v="2021-01-01T00:00:00"/>
    <d v="2020-11-01T00:00:00"/>
    <s v="FY21"/>
    <s v="t"/>
    <n v="0"/>
    <n v="2.8799999999999999E-2"/>
    <n v="0"/>
    <n v="2.8799999999999999E-2"/>
    <n v="0"/>
    <n v="1"/>
    <n v="0"/>
    <n v="1"/>
    <n v="0"/>
    <n v="100"/>
    <n v="0"/>
    <s v="Consolidation"/>
    <s v="CO2e and Base Measure"/>
    <n v="100"/>
    <n v="100"/>
    <n v="0.03"/>
    <m/>
    <m/>
    <m/>
    <m/>
    <m/>
    <m/>
    <n v="0"/>
    <m/>
    <m/>
    <m/>
    <m/>
    <m/>
    <m/>
    <s v="AUD"/>
    <s v="13576299Waste Recycled - Cardboard [t]"/>
    <n v="13576299"/>
  </r>
  <r>
    <d v="2019-07-01T00:00:00"/>
    <d v="2021-06-30T00:00:00"/>
    <s v="Telstra"/>
    <s v="Corporate"/>
    <s v="Corporate"/>
    <s v="Waste"/>
    <s v="Australia"/>
    <s v="New South Wales"/>
    <s v="TELSTRA BERESFIELD - CEVA"/>
    <n v="423033111300"/>
    <s v="Recycled Waste"/>
    <x v="0"/>
    <x v="0"/>
    <s v="Account"/>
    <s v="Remondis Security Destruction"/>
    <m/>
    <s v="423033111300_RPAPSECUR"/>
    <s v="SECURITY DESTRUCTION"/>
    <s v="Remondis"/>
    <m/>
    <m/>
    <d v="2021-01-01T00:00:00"/>
    <d v="2020-12-01T00:00:00"/>
    <s v="FY21"/>
    <s v="t"/>
    <n v="0"/>
    <n v="2.8799999999999999E-2"/>
    <n v="0"/>
    <n v="2.8799999999999999E-2"/>
    <n v="0"/>
    <n v="1"/>
    <n v="0"/>
    <n v="1"/>
    <n v="0"/>
    <n v="100"/>
    <n v="0"/>
    <s v="Consolidation"/>
    <s v="CO2e and Base Measure"/>
    <n v="100"/>
    <n v="100"/>
    <n v="0.03"/>
    <m/>
    <m/>
    <m/>
    <m/>
    <m/>
    <m/>
    <n v="0"/>
    <m/>
    <m/>
    <m/>
    <m/>
    <m/>
    <m/>
    <s v="AUD"/>
    <s v="13576299Waste Recycled - Cardboard [t]"/>
    <n v="13576299"/>
  </r>
  <r>
    <d v="2019-07-01T00:00:00"/>
    <d v="2021-06-30T00:00:00"/>
    <s v="Telstra"/>
    <s v="Corporate"/>
    <s v="Corporate"/>
    <s v="Waste"/>
    <s v="Australia"/>
    <s v="New South Wales"/>
    <s v="TELSTRA BERESFIELD - CEVA"/>
    <n v="423033111300"/>
    <s v="Recycled Waste"/>
    <x v="0"/>
    <x v="0"/>
    <s v="Account"/>
    <s v="Remondis Security Destruction"/>
    <m/>
    <s v="423033111300_RPAPSECUR"/>
    <s v="SECURITY DESTRUCTION"/>
    <s v="Remondis"/>
    <m/>
    <m/>
    <d v="2021-01-01T00:00:00"/>
    <d v="2021-01-01T00:00:00"/>
    <s v="FY21"/>
    <s v="t"/>
    <n v="0"/>
    <n v="0"/>
    <n v="1E-3"/>
    <n v="1E-3"/>
    <n v="0"/>
    <n v="0"/>
    <n v="1"/>
    <n v="1"/>
    <n v="0"/>
    <n v="0"/>
    <n v="100"/>
    <s v="Consolidation"/>
    <s v="CO2e and Base Measure"/>
    <n v="100"/>
    <n v="100"/>
    <n v="0"/>
    <m/>
    <m/>
    <m/>
    <m/>
    <m/>
    <m/>
    <n v="0"/>
    <m/>
    <m/>
    <m/>
    <m/>
    <m/>
    <m/>
    <s v="AUD"/>
    <s v="13576299Waste Recycled - Cardboard [t]"/>
    <n v="13576299"/>
  </r>
  <r>
    <d v="2019-07-01T00:00:00"/>
    <d v="2021-06-30T00:00:00"/>
    <s v="Telstra"/>
    <s v="Corporate"/>
    <s v="Corporate"/>
    <s v="Waste"/>
    <s v="Australia"/>
    <s v="New South Wales"/>
    <s v="TELSTRA BERESFIELD - CEVA"/>
    <n v="423033111300"/>
    <s v="Waste"/>
    <x v="1"/>
    <x v="4"/>
    <s v="Account"/>
    <s v="Remondis Asbestos"/>
    <m/>
    <s v="423033111300_WASBESCON"/>
    <s v="ASBESTOS CONSTRUCTION &amp; DEMOLITION"/>
    <s v="Remondis"/>
    <m/>
    <d v="2020-11-03T00:00:00"/>
    <d v="2020-11-03T00:00:00"/>
    <d v="2020-11-01T00:00:00"/>
    <s v="FY21"/>
    <s v="t"/>
    <n v="8"/>
    <n v="0"/>
    <n v="0"/>
    <n v="8"/>
    <n v="1"/>
    <n v="0"/>
    <n v="0"/>
    <n v="1"/>
    <n v="100"/>
    <n v="0"/>
    <n v="0"/>
    <s v="Consolidation"/>
    <s v="CO2e and Base Measure"/>
    <n v="100"/>
    <n v="100"/>
    <n v="8"/>
    <m/>
    <m/>
    <m/>
    <m/>
    <m/>
    <n v="9.6"/>
    <m/>
    <n v="9.6"/>
    <m/>
    <m/>
    <m/>
    <m/>
    <m/>
    <s v="AUD"/>
    <s v="13632344Waste - Construction and Demolition [t]"/>
    <n v="13632344"/>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0-12-01T00:00:00"/>
    <s v="FY21"/>
    <s v="t"/>
    <n v="0.3"/>
    <n v="0"/>
    <n v="0"/>
    <n v="0.3"/>
    <n v="1"/>
    <n v="0"/>
    <n v="0"/>
    <n v="1"/>
    <n v="100"/>
    <n v="0"/>
    <n v="0"/>
    <s v="Consolidation"/>
    <s v="CO2e and Base Measure"/>
    <n v="100"/>
    <n v="100"/>
    <n v="0.3"/>
    <m/>
    <m/>
    <m/>
    <m/>
    <m/>
    <n v="0.39"/>
    <m/>
    <n v="0.39"/>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1-01T00:00:00"/>
    <s v="FY21"/>
    <s v="t"/>
    <n v="0.51300000000000001"/>
    <n v="0"/>
    <n v="0"/>
    <n v="0.51300000000000001"/>
    <n v="2"/>
    <n v="0"/>
    <n v="0"/>
    <n v="2"/>
    <n v="100"/>
    <n v="0"/>
    <n v="0"/>
    <s v="Consolidation"/>
    <s v="CO2e and Base Measure"/>
    <n v="100"/>
    <n v="100"/>
    <n v="0.51"/>
    <m/>
    <m/>
    <m/>
    <m/>
    <m/>
    <n v="0.66690000000000005"/>
    <m/>
    <n v="0.66690000000000005"/>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2-01T00:00:00"/>
    <s v="FY21"/>
    <s v="t"/>
    <n v="0.73"/>
    <n v="0"/>
    <n v="0"/>
    <n v="0.73"/>
    <n v="2"/>
    <n v="0"/>
    <n v="0"/>
    <n v="2"/>
    <n v="100"/>
    <n v="0"/>
    <n v="0"/>
    <s v="Consolidation"/>
    <s v="CO2e and Base Measure"/>
    <n v="100"/>
    <n v="100"/>
    <n v="0.73"/>
    <m/>
    <m/>
    <m/>
    <m/>
    <m/>
    <n v="0.94899999999999995"/>
    <m/>
    <n v="0.94899999999999995"/>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3-01T00:00:00"/>
    <s v="FY21"/>
    <s v="t"/>
    <n v="1.153"/>
    <n v="0"/>
    <n v="0"/>
    <n v="1.153"/>
    <n v="3"/>
    <n v="0"/>
    <n v="0"/>
    <n v="3"/>
    <n v="100"/>
    <n v="0"/>
    <n v="0"/>
    <s v="Consolidation"/>
    <s v="CO2e and Base Measure"/>
    <n v="100"/>
    <n v="100"/>
    <n v="1.1499999999999999"/>
    <m/>
    <m/>
    <m/>
    <m/>
    <m/>
    <n v="1.4988999999999999"/>
    <m/>
    <n v="1.4988999999999999"/>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4-01T00:00:00"/>
    <s v="FY21"/>
    <s v="t"/>
    <n v="0"/>
    <n v="0"/>
    <n v="0.67500000000000004"/>
    <n v="0.67500000000000004"/>
    <n v="0"/>
    <n v="0"/>
    <n v="30"/>
    <n v="30"/>
    <n v="0"/>
    <n v="0"/>
    <n v="100"/>
    <s v="Consolidation"/>
    <s v="CO2e and Base Measure"/>
    <n v="100"/>
    <n v="100"/>
    <n v="0.68"/>
    <m/>
    <m/>
    <m/>
    <m/>
    <m/>
    <n v="0.87749999999999995"/>
    <m/>
    <n v="0.87749999999999995"/>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5-01T00:00:00"/>
    <s v="FY21"/>
    <s v="t"/>
    <n v="0"/>
    <n v="0"/>
    <n v="0.69750000000000001"/>
    <n v="0.69750000000000001"/>
    <n v="0"/>
    <n v="0"/>
    <n v="31"/>
    <n v="31"/>
    <n v="0"/>
    <n v="0"/>
    <n v="100"/>
    <s v="Consolidation"/>
    <s v="CO2e and Base Measure"/>
    <n v="100"/>
    <n v="100"/>
    <n v="0.7"/>
    <m/>
    <m/>
    <m/>
    <m/>
    <m/>
    <n v="0.90680000000000005"/>
    <m/>
    <n v="0.90680000000000005"/>
    <m/>
    <m/>
    <m/>
    <m/>
    <m/>
    <s v="AUD"/>
    <s v="13634350Waste - General [t] - Scope 3"/>
    <n v="13634350"/>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0-12-01T00:00:00"/>
    <s v="FY21"/>
    <s v="t"/>
    <n v="6.4000000000000001E-2"/>
    <n v="0"/>
    <n v="0"/>
    <n v="6.4000000000000001E-2"/>
    <n v="1"/>
    <n v="0"/>
    <n v="0"/>
    <n v="1"/>
    <n v="100"/>
    <n v="0"/>
    <n v="0"/>
    <s v="Consolidation"/>
    <s v="CO2e and Base Measure"/>
    <n v="100"/>
    <n v="100"/>
    <n v="0.06"/>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1-01T00:00:00"/>
    <s v="FY21"/>
    <s v="t"/>
    <n v="0.20699999999999999"/>
    <n v="0"/>
    <n v="0"/>
    <n v="0.20699999999999999"/>
    <n v="2"/>
    <n v="0"/>
    <n v="0"/>
    <n v="2"/>
    <n v="100"/>
    <n v="0"/>
    <n v="0"/>
    <s v="Consolidation"/>
    <s v="CO2e and Base Measure"/>
    <n v="100"/>
    <n v="100"/>
    <n v="0.21"/>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2-01T00:00:00"/>
    <s v="FY21"/>
    <s v="t"/>
    <n v="0.14099999999999999"/>
    <n v="0"/>
    <n v="0"/>
    <n v="0.14099999999999999"/>
    <n v="2"/>
    <n v="0"/>
    <n v="0"/>
    <n v="2"/>
    <n v="100"/>
    <n v="0"/>
    <n v="0"/>
    <s v="Consolidation"/>
    <s v="CO2e and Base Measure"/>
    <n v="100"/>
    <n v="100"/>
    <n v="0.14000000000000001"/>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3-01T00:00:00"/>
    <s v="FY21"/>
    <s v="t"/>
    <n v="0.08"/>
    <n v="0"/>
    <n v="0"/>
    <n v="0.08"/>
    <n v="1"/>
    <n v="0"/>
    <n v="0"/>
    <n v="1"/>
    <n v="100"/>
    <n v="0"/>
    <n v="0"/>
    <s v="Consolidation"/>
    <s v="CO2e and Base Measure"/>
    <n v="100"/>
    <n v="100"/>
    <n v="0.08"/>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4-01T00:00:00"/>
    <s v="FY21"/>
    <s v="t"/>
    <n v="0"/>
    <n v="0"/>
    <n v="0.123"/>
    <n v="0.123"/>
    <n v="0"/>
    <n v="0"/>
    <n v="30"/>
    <n v="30"/>
    <n v="0"/>
    <n v="0"/>
    <n v="100"/>
    <s v="Consolidation"/>
    <s v="CO2e and Base Measure"/>
    <n v="100"/>
    <n v="100"/>
    <n v="0.12"/>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5-01T00:00:00"/>
    <s v="FY21"/>
    <s v="t"/>
    <n v="0"/>
    <n v="0"/>
    <n v="0.12709999999999999"/>
    <n v="0.12709999999999999"/>
    <n v="0"/>
    <n v="0"/>
    <n v="31"/>
    <n v="31"/>
    <n v="0"/>
    <n v="0"/>
    <n v="100"/>
    <s v="Consolidation"/>
    <s v="CO2e and Base Measure"/>
    <n v="100"/>
    <n v="100"/>
    <n v="0.13"/>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1-01T00:00:00"/>
    <s v="FY21"/>
    <s v="t"/>
    <n v="0.64"/>
    <n v="0"/>
    <n v="0"/>
    <n v="0.64"/>
    <n v="1"/>
    <n v="0"/>
    <n v="0"/>
    <n v="1"/>
    <n v="100"/>
    <n v="0"/>
    <n v="0"/>
    <s v="Consolidation"/>
    <s v="CO2e and Base Measure"/>
    <n v="100"/>
    <n v="100"/>
    <n v="0.64"/>
    <m/>
    <m/>
    <m/>
    <m/>
    <m/>
    <m/>
    <m/>
    <m/>
    <m/>
    <m/>
    <m/>
    <m/>
    <m/>
    <s v="AUD"/>
    <s v="13634507Waste Recycled - Construction and Demolition [t]"/>
    <n v="13634507"/>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2-01T00:00:00"/>
    <s v="FY21"/>
    <s v="t"/>
    <n v="0.38"/>
    <n v="0"/>
    <n v="0"/>
    <n v="0.38"/>
    <n v="1"/>
    <n v="0"/>
    <n v="0"/>
    <n v="1"/>
    <n v="100"/>
    <n v="0"/>
    <n v="0"/>
    <s v="Consolidation"/>
    <s v="CO2e and Base Measure"/>
    <n v="100"/>
    <n v="100"/>
    <n v="0.38"/>
    <m/>
    <m/>
    <m/>
    <m/>
    <m/>
    <m/>
    <m/>
    <m/>
    <m/>
    <m/>
    <m/>
    <m/>
    <m/>
    <s v="AUD"/>
    <s v="13634507Waste Recycled - Construction and Demolition [t]"/>
    <n v="13634507"/>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3-01T00:00:00"/>
    <s v="FY21"/>
    <s v="t"/>
    <n v="0"/>
    <n v="0"/>
    <n v="0.54559999999999997"/>
    <n v="0.54559999999999997"/>
    <n v="0"/>
    <n v="0"/>
    <n v="31"/>
    <n v="31"/>
    <n v="0"/>
    <n v="0"/>
    <n v="100"/>
    <s v="Consolidation"/>
    <s v="CO2e and Base Measure"/>
    <n v="100"/>
    <n v="100"/>
    <n v="0.55000000000000004"/>
    <m/>
    <m/>
    <m/>
    <m/>
    <m/>
    <m/>
    <m/>
    <m/>
    <m/>
    <m/>
    <m/>
    <m/>
    <m/>
    <s v="AUD"/>
    <s v="13634507Waste Recycled - Construction and Demolition [t]"/>
    <n v="13634507"/>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4-01T00:00:00"/>
    <s v="FY21"/>
    <s v="t"/>
    <n v="0"/>
    <n v="0"/>
    <n v="0.52800000000000002"/>
    <n v="0.52800000000000002"/>
    <n v="0"/>
    <n v="0"/>
    <n v="30"/>
    <n v="30"/>
    <n v="0"/>
    <n v="0"/>
    <n v="100"/>
    <s v="Consolidation"/>
    <s v="CO2e and Base Measure"/>
    <n v="100"/>
    <n v="100"/>
    <n v="0.53"/>
    <m/>
    <m/>
    <m/>
    <m/>
    <m/>
    <m/>
    <m/>
    <m/>
    <m/>
    <m/>
    <m/>
    <m/>
    <m/>
    <s v="AUD"/>
    <s v="13634507Waste Recycled - Construction and Demolition [t]"/>
    <n v="13634507"/>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5-01T00:00:00"/>
    <s v="FY21"/>
    <s v="t"/>
    <n v="0"/>
    <n v="0"/>
    <n v="0.54559999999999997"/>
    <n v="0.54559999999999997"/>
    <n v="0"/>
    <n v="0"/>
    <n v="31"/>
    <n v="31"/>
    <n v="0"/>
    <n v="0"/>
    <n v="100"/>
    <s v="Consolidation"/>
    <s v="CO2e and Base Measure"/>
    <n v="100"/>
    <n v="100"/>
    <n v="0.55000000000000004"/>
    <m/>
    <m/>
    <m/>
    <m/>
    <m/>
    <m/>
    <m/>
    <m/>
    <m/>
    <m/>
    <m/>
    <m/>
    <m/>
    <s v="AUD"/>
    <s v="13634507Waste Recycled - Construction and Demolition [t]"/>
    <n v="13634507"/>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07-01T00:00:00"/>
    <s v="FY21"/>
    <s v="t"/>
    <n v="0"/>
    <n v="0.315"/>
    <n v="0"/>
    <n v="0.315"/>
    <n v="0"/>
    <n v="5"/>
    <n v="0"/>
    <n v="5"/>
    <n v="0"/>
    <n v="100"/>
    <n v="0"/>
    <s v="Consolidation"/>
    <s v="CO2e and Base Measure"/>
    <n v="100"/>
    <n v="100"/>
    <n v="0.32"/>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08-01T00:00:00"/>
    <s v="FY21"/>
    <s v="t"/>
    <n v="0"/>
    <n v="0.315"/>
    <n v="0"/>
    <n v="0.315"/>
    <n v="0"/>
    <n v="5"/>
    <n v="0"/>
    <n v="5"/>
    <n v="0"/>
    <n v="100"/>
    <n v="0"/>
    <s v="Consolidation"/>
    <s v="CO2e and Base Measure"/>
    <n v="100"/>
    <n v="100"/>
    <n v="0.32"/>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09-01T00:00:00"/>
    <s v="FY21"/>
    <s v="t"/>
    <n v="0"/>
    <n v="0.252"/>
    <n v="0"/>
    <n v="0.252"/>
    <n v="0"/>
    <n v="4"/>
    <n v="0"/>
    <n v="4"/>
    <n v="0"/>
    <n v="100"/>
    <n v="0"/>
    <s v="Consolidation"/>
    <s v="CO2e and Base Measure"/>
    <n v="100"/>
    <n v="100"/>
    <n v="0.25"/>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10-01T00:00:00"/>
    <s v="FY21"/>
    <s v="t"/>
    <n v="0"/>
    <n v="0.252"/>
    <n v="0"/>
    <n v="0.252"/>
    <n v="0"/>
    <n v="4"/>
    <n v="0"/>
    <n v="4"/>
    <n v="0"/>
    <n v="100"/>
    <n v="0"/>
    <s v="Consolidation"/>
    <s v="CO2e and Base Measure"/>
    <n v="100"/>
    <n v="100"/>
    <n v="0.25"/>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11-01T00:00:00"/>
    <s v="FY21"/>
    <s v="t"/>
    <n v="0"/>
    <n v="0.315"/>
    <n v="0"/>
    <n v="0.315"/>
    <n v="0"/>
    <n v="5"/>
    <n v="0"/>
    <n v="5"/>
    <n v="0"/>
    <n v="100"/>
    <n v="0"/>
    <s v="Consolidation"/>
    <s v="CO2e and Base Measure"/>
    <n v="100"/>
    <n v="100"/>
    <n v="0.32"/>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1-01-01T00:00:00"/>
    <s v="FY21"/>
    <s v="t"/>
    <n v="0"/>
    <n v="0"/>
    <n v="8.3000000000000001E-3"/>
    <n v="8.3000000000000001E-3"/>
    <n v="0"/>
    <n v="0"/>
    <n v="1"/>
    <n v="1"/>
    <n v="0"/>
    <n v="0"/>
    <n v="100"/>
    <s v="Consolidation"/>
    <s v="CO2e and Base Measure"/>
    <n v="100"/>
    <n v="100"/>
    <n v="0.01"/>
    <m/>
    <m/>
    <m/>
    <m/>
    <m/>
    <m/>
    <n v="0"/>
    <m/>
    <m/>
    <m/>
    <m/>
    <m/>
    <m/>
    <s v="AUD"/>
    <s v="13565849Waste Recycled - Cardboard [t]"/>
    <n v="13565849"/>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07-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08-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09-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10-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11-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12-01T00:00:00"/>
    <s v="FY21"/>
    <s v="t"/>
    <n v="0"/>
    <n v="0"/>
    <n v="3.2000000000000002E-3"/>
    <n v="3.2000000000000002E-3"/>
    <n v="0"/>
    <n v="0"/>
    <n v="1"/>
    <n v="1"/>
    <n v="0"/>
    <n v="0"/>
    <n v="100"/>
    <s v="Consolidation"/>
    <s v="CO2e and Base Measure"/>
    <n v="100"/>
    <n v="100"/>
    <n v="0"/>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Public Place Recycle"/>
    <m/>
    <s v="423031897900_RPPRCOMIN"/>
    <s v="COMMINGLE-PUBLIC PLACE RECYCLE"/>
    <s v="Remondis"/>
    <m/>
    <m/>
    <d v="2021-01-01T00:00:00"/>
    <d v="2020-07-01T00:00:00"/>
    <s v="FY21"/>
    <s v="t"/>
    <n v="0"/>
    <n v="0.3"/>
    <n v="0"/>
    <n v="0.3"/>
    <n v="0"/>
    <n v="1"/>
    <n v="0"/>
    <n v="1"/>
    <n v="0"/>
    <n v="100"/>
    <n v="0"/>
    <s v="Consolidation"/>
    <s v="CO2e and Base Measure"/>
    <n v="100"/>
    <n v="100"/>
    <n v="0.3"/>
    <m/>
    <m/>
    <m/>
    <m/>
    <m/>
    <m/>
    <n v="0"/>
    <m/>
    <m/>
    <m/>
    <m/>
    <m/>
    <m/>
    <s v="AUD"/>
    <s v="13565851Waste Recycled - Commingled [t]"/>
    <n v="13565851"/>
  </r>
  <r>
    <d v="2019-07-01T00:00:00"/>
    <d v="2021-06-30T00:00:00"/>
    <s v="Telstra"/>
    <s v="NON-NETWORK"/>
    <s v="NON-NETWORK"/>
    <s v="ACT"/>
    <s v="Australia"/>
    <s v="Manuka Oval"/>
    <s v="TELSTRA BUILDING"/>
    <n v="423031897900"/>
    <s v="Recycled Waste"/>
    <x v="0"/>
    <x v="3"/>
    <s v="Account"/>
    <s v="Remondis Commingle-Public Place Recycle"/>
    <m/>
    <s v="423031897900_RPPRCOMIN"/>
    <s v="COMMINGLE-PUBLIC PLACE RECYCLE"/>
    <s v="Remondis"/>
    <m/>
    <m/>
    <d v="2021-01-01T00:00:00"/>
    <d v="2020-11-01T00:00:00"/>
    <s v="FY21"/>
    <s v="t"/>
    <n v="0"/>
    <n v="0.3"/>
    <n v="0"/>
    <n v="0.3"/>
    <n v="0"/>
    <n v="1"/>
    <n v="0"/>
    <n v="1"/>
    <n v="0"/>
    <n v="100"/>
    <n v="0"/>
    <s v="Consolidation"/>
    <s v="CO2e and Base Measure"/>
    <n v="100"/>
    <n v="100"/>
    <n v="0.3"/>
    <m/>
    <m/>
    <m/>
    <m/>
    <m/>
    <m/>
    <n v="0"/>
    <m/>
    <m/>
    <m/>
    <m/>
    <m/>
    <m/>
    <s v="AUD"/>
    <s v="13565851Waste Recycled - Commingled [t]"/>
    <n v="13565851"/>
  </r>
  <r>
    <d v="2019-07-01T00:00:00"/>
    <d v="2021-06-30T00:00:00"/>
    <s v="Telstra"/>
    <s v="NON-NETWORK"/>
    <s v="NON-NETWORK"/>
    <s v="ACT"/>
    <s v="Australia"/>
    <s v="Manuka Oval"/>
    <s v="TELSTRA BUILDING"/>
    <n v="423031897900"/>
    <s v="Recycled Waste"/>
    <x v="0"/>
    <x v="3"/>
    <s v="Account"/>
    <s v="Remondis Commingle-Public Place Recycle"/>
    <m/>
    <s v="423031897900_RPPRCOMIN"/>
    <s v="COMMINGLE-PUBLIC PLACE RECYCLE"/>
    <s v="Remondis"/>
    <m/>
    <m/>
    <d v="2021-01-01T00:00:00"/>
    <d v="2020-12-01T00:00:00"/>
    <s v="FY21"/>
    <s v="t"/>
    <n v="0"/>
    <n v="0.3"/>
    <n v="0"/>
    <n v="0.3"/>
    <n v="0"/>
    <n v="1"/>
    <n v="0"/>
    <n v="1"/>
    <n v="0"/>
    <n v="100"/>
    <n v="0"/>
    <s v="Consolidation"/>
    <s v="CO2e and Base Measure"/>
    <n v="100"/>
    <n v="100"/>
    <n v="0.3"/>
    <m/>
    <m/>
    <m/>
    <m/>
    <m/>
    <m/>
    <n v="0"/>
    <m/>
    <m/>
    <m/>
    <m/>
    <m/>
    <m/>
    <s v="AUD"/>
    <s v="13565851Waste Recycled - Commingled [t]"/>
    <n v="13565851"/>
  </r>
  <r>
    <d v="2019-07-01T00:00:00"/>
    <d v="2021-06-30T00:00:00"/>
    <s v="Telstra"/>
    <s v="NON-NETWORK"/>
    <s v="NON-NETWORK"/>
    <s v="ACT"/>
    <s v="Australia"/>
    <s v="Manuka Oval"/>
    <s v="TELSTRA BUILDING"/>
    <n v="423031897900"/>
    <s v="Recycled Waste"/>
    <x v="0"/>
    <x v="3"/>
    <s v="Account"/>
    <s v="Remondis Commingle-Public Place Recycle"/>
    <m/>
    <s v="423031897900_RPPRCOMIN"/>
    <s v="COMMINGLE-PUBLIC PLACE RECYCLE"/>
    <s v="Remondis"/>
    <m/>
    <m/>
    <d v="2021-01-01T00:00:00"/>
    <d v="2021-01-01T00:00:00"/>
    <s v="FY21"/>
    <s v="t"/>
    <n v="0"/>
    <n v="0"/>
    <n v="4.8999999999999998E-3"/>
    <n v="4.8999999999999998E-3"/>
    <n v="0"/>
    <n v="0"/>
    <n v="1"/>
    <n v="1"/>
    <n v="0"/>
    <n v="0"/>
    <n v="100"/>
    <s v="Consolidation"/>
    <s v="CO2e and Base Measure"/>
    <n v="100"/>
    <n v="100"/>
    <n v="0"/>
    <m/>
    <m/>
    <m/>
    <m/>
    <m/>
    <m/>
    <n v="0"/>
    <m/>
    <m/>
    <m/>
    <m/>
    <m/>
    <m/>
    <s v="AUD"/>
    <s v="13565851Waste Recycled - Commingled [t]"/>
    <n v="13565851"/>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07-01T00:00:00"/>
    <s v="FY21"/>
    <s v="t"/>
    <n v="3.21"/>
    <n v="0"/>
    <n v="0"/>
    <n v="3.21"/>
    <n v="11"/>
    <n v="0"/>
    <n v="0"/>
    <n v="11"/>
    <n v="100"/>
    <n v="0"/>
    <n v="0"/>
    <s v="Consolidation"/>
    <s v="CO2e and Base Measure"/>
    <n v="100"/>
    <n v="100"/>
    <n v="3.21"/>
    <m/>
    <m/>
    <m/>
    <m/>
    <m/>
    <n v="4.173"/>
    <m/>
    <n v="4.173"/>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08-01T00:00:00"/>
    <s v="FY21"/>
    <s v="t"/>
    <n v="1.5549999999999999"/>
    <n v="0"/>
    <n v="0"/>
    <n v="1.5549999999999999"/>
    <n v="9"/>
    <n v="0"/>
    <n v="0"/>
    <n v="9"/>
    <n v="100"/>
    <n v="0"/>
    <n v="0"/>
    <s v="Consolidation"/>
    <s v="CO2e and Base Measure"/>
    <n v="100"/>
    <n v="100"/>
    <n v="1.56"/>
    <m/>
    <m/>
    <m/>
    <m/>
    <m/>
    <n v="2.0215000000000001"/>
    <m/>
    <n v="2.0215000000000001"/>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09-01T00:00:00"/>
    <s v="FY21"/>
    <s v="t"/>
    <n v="0.36499999999999999"/>
    <n v="0"/>
    <n v="0"/>
    <n v="0.36499999999999999"/>
    <n v="9"/>
    <n v="0"/>
    <n v="0"/>
    <n v="9"/>
    <n v="100"/>
    <n v="0"/>
    <n v="0"/>
    <s v="Consolidation"/>
    <s v="CO2e and Base Measure"/>
    <n v="100"/>
    <n v="100"/>
    <n v="0.37"/>
    <m/>
    <m/>
    <m/>
    <m/>
    <m/>
    <n v="0.47449999999999998"/>
    <m/>
    <n v="0.47449999999999998"/>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10-01T00:00:00"/>
    <s v="FY21"/>
    <s v="t"/>
    <n v="2.5049999999999999"/>
    <n v="0"/>
    <n v="0"/>
    <n v="2.5049999999999999"/>
    <n v="10"/>
    <n v="0"/>
    <n v="0"/>
    <n v="10"/>
    <n v="100"/>
    <n v="0"/>
    <n v="0"/>
    <s v="Consolidation"/>
    <s v="CO2e and Base Measure"/>
    <n v="100"/>
    <n v="100"/>
    <n v="2.5099999999999998"/>
    <m/>
    <m/>
    <m/>
    <m/>
    <m/>
    <n v="3.2565"/>
    <m/>
    <n v="3.2565"/>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11-01T00:00:00"/>
    <s v="FY21"/>
    <s v="t"/>
    <n v="0.45500000000000002"/>
    <n v="0.19500000000000001"/>
    <n v="0"/>
    <n v="0.65"/>
    <n v="6"/>
    <n v="1"/>
    <n v="0"/>
    <n v="7"/>
    <n v="70"/>
    <n v="30"/>
    <n v="0"/>
    <s v="Consolidation"/>
    <s v="CO2e and Base Measure"/>
    <n v="100"/>
    <n v="100"/>
    <n v="0.65"/>
    <m/>
    <m/>
    <m/>
    <m/>
    <m/>
    <n v="0.84499999999999997"/>
    <m/>
    <n v="0.84499999999999997"/>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12-01T00:00:00"/>
    <s v="FY21"/>
    <s v="t"/>
    <n v="0.72"/>
    <n v="0.58499999999999996"/>
    <n v="0"/>
    <n v="1.3049999999999999"/>
    <n v="1"/>
    <n v="3"/>
    <n v="0"/>
    <n v="4"/>
    <n v="55.17"/>
    <n v="44.82"/>
    <n v="0"/>
    <s v="Consolidation"/>
    <s v="CO2e and Base Measure"/>
    <n v="100"/>
    <n v="100"/>
    <n v="1.31"/>
    <m/>
    <m/>
    <m/>
    <m/>
    <m/>
    <n v="1.6964999999999999"/>
    <m/>
    <n v="1.6964999999999999"/>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1-01-01T00:00:00"/>
    <s v="FY21"/>
    <s v="t"/>
    <n v="0"/>
    <n v="0"/>
    <n v="5.8999999999999997E-2"/>
    <n v="5.8999999999999997E-2"/>
    <n v="0"/>
    <n v="0"/>
    <n v="1"/>
    <n v="1"/>
    <n v="0"/>
    <n v="0"/>
    <n v="100"/>
    <s v="Consolidation"/>
    <s v="CO2e and Base Measure"/>
    <n v="100"/>
    <n v="100"/>
    <n v="0.06"/>
    <m/>
    <m/>
    <m/>
    <m/>
    <m/>
    <n v="7.6700000000000004E-2"/>
    <m/>
    <n v="7.6700000000000004E-2"/>
    <m/>
    <m/>
    <m/>
    <m/>
    <m/>
    <s v="AUD"/>
    <s v="13565853Waste - General [t] - Scope 3"/>
    <n v="13565853"/>
  </r>
  <r>
    <d v="2019-07-01T00:00:00"/>
    <d v="2021-06-30T00:00:00"/>
    <s v="Telstra"/>
    <s v="NON-NETWORK"/>
    <s v="NON-NETWORK"/>
    <s v="ACT"/>
    <s v="Australia"/>
    <s v="Manuka Oval"/>
    <s v="TELSTRA BUILDING"/>
    <n v="423031897900"/>
    <s v="Recycled Waste"/>
    <x v="0"/>
    <x v="1"/>
    <s v="Account"/>
    <s v="Remondis Metal - Copper"/>
    <m/>
    <s v="423031897900_RMETCOPPR"/>
    <s v="METAL - COPPER"/>
    <s v="Remondis"/>
    <m/>
    <m/>
    <d v="2020-12-01T00:00:00"/>
    <d v="2020-08-01T00:00:00"/>
    <s v="FY21"/>
    <s v="t"/>
    <n v="0.48699999999999999"/>
    <n v="0"/>
    <n v="0"/>
    <n v="0.48699999999999999"/>
    <n v="1"/>
    <n v="0"/>
    <n v="0"/>
    <n v="1"/>
    <n v="100"/>
    <n v="0"/>
    <n v="0"/>
    <s v="Consolidation"/>
    <s v="CO2e and Base Measure"/>
    <n v="100"/>
    <n v="100"/>
    <n v="0.49"/>
    <m/>
    <m/>
    <m/>
    <m/>
    <m/>
    <m/>
    <m/>
    <m/>
    <m/>
    <m/>
    <m/>
    <m/>
    <m/>
    <s v="AUD"/>
    <s v="13565854Waste Recycled - E-waste [t]"/>
    <n v="13565854"/>
  </r>
  <r>
    <d v="2019-07-01T00:00:00"/>
    <d v="2021-06-30T00:00:00"/>
    <s v="Telstra"/>
    <s v="NON-NETWORK"/>
    <s v="NON-NETWORK"/>
    <s v="ACT"/>
    <s v="Australia"/>
    <s v="Manuka Oval"/>
    <s v="TELSTRA BUILDING"/>
    <n v="423031897900"/>
    <s v="Recycled Waste"/>
    <x v="0"/>
    <x v="1"/>
    <s v="Account"/>
    <s v="Remondis Metal - Copper"/>
    <m/>
    <s v="423031897900_RMETCOPPR"/>
    <s v="METAL - COPPER"/>
    <s v="Remondis"/>
    <m/>
    <m/>
    <d v="2020-12-01T00:00:00"/>
    <d v="2020-11-01T00:00:00"/>
    <s v="FY21"/>
    <s v="t"/>
    <n v="0.76400000000000001"/>
    <n v="0"/>
    <n v="0"/>
    <n v="0.76400000000000001"/>
    <n v="2"/>
    <n v="0"/>
    <n v="0"/>
    <n v="2"/>
    <n v="100"/>
    <n v="0"/>
    <n v="0"/>
    <s v="Consolidation"/>
    <s v="CO2e and Base Measure"/>
    <n v="100"/>
    <n v="100"/>
    <n v="0.76"/>
    <m/>
    <m/>
    <m/>
    <m/>
    <m/>
    <m/>
    <m/>
    <m/>
    <m/>
    <m/>
    <m/>
    <m/>
    <m/>
    <s v="AUD"/>
    <s v="13565854Waste Recycled - E-waste [t]"/>
    <n v="13565854"/>
  </r>
  <r>
    <d v="2019-07-01T00:00:00"/>
    <d v="2021-06-30T00:00:00"/>
    <s v="Telstra"/>
    <s v="NON-NETWORK"/>
    <s v="NON-NETWORK"/>
    <s v="ACT"/>
    <s v="Australia"/>
    <s v="Manuka Oval"/>
    <s v="TELSTRA BUILDING"/>
    <n v="423031897900"/>
    <s v="Recycled Waste"/>
    <x v="0"/>
    <x v="1"/>
    <s v="Account"/>
    <s v="Remondis Metal - Copper"/>
    <m/>
    <s v="423031897900_RMETCOPPR"/>
    <s v="METAL - COPPER"/>
    <s v="Remondis"/>
    <m/>
    <m/>
    <d v="2020-12-01T00:00:00"/>
    <d v="2020-12-01T00:00:00"/>
    <s v="FY21"/>
    <s v="t"/>
    <n v="0"/>
    <n v="0"/>
    <n v="1.03E-2"/>
    <n v="1.03E-2"/>
    <n v="0"/>
    <n v="0"/>
    <n v="1"/>
    <n v="1"/>
    <n v="0"/>
    <n v="0"/>
    <n v="100"/>
    <s v="Consolidation"/>
    <s v="CO2e and Base Measure"/>
    <n v="100"/>
    <n v="100"/>
    <n v="0.01"/>
    <m/>
    <m/>
    <m/>
    <m/>
    <m/>
    <m/>
    <m/>
    <m/>
    <m/>
    <m/>
    <m/>
    <m/>
    <m/>
    <s v="AUD"/>
    <s v="13565854Waste Recycled - E-waste [t]"/>
    <n v="13565854"/>
  </r>
  <r>
    <d v="2019-07-01T00:00:00"/>
    <d v="2021-06-30T00:00:00"/>
    <s v="Telstra"/>
    <s v="NON-NETWORK"/>
    <s v="NON-NETWORK"/>
    <s v="ACT"/>
    <s v="Australia"/>
    <s v="Manuka Oval"/>
    <s v="TELSTRA BUILDING"/>
    <n v="423031897900"/>
    <s v="Recycled Waste"/>
    <x v="0"/>
    <x v="5"/>
    <s v="Account"/>
    <s v="Remondis Metal - Mixed All"/>
    <m/>
    <s v="423031897900_RMETMIXED"/>
    <s v="METAL - MIXED ALL"/>
    <s v="Remondis"/>
    <m/>
    <m/>
    <d v="2020-12-01T00:00:00"/>
    <d v="2020-07-01T00:00:00"/>
    <s v="FY21"/>
    <s v="t"/>
    <n v="1.2"/>
    <n v="0"/>
    <n v="0"/>
    <n v="1.2"/>
    <n v="1"/>
    <n v="0"/>
    <n v="0"/>
    <n v="1"/>
    <n v="100"/>
    <n v="0"/>
    <n v="0"/>
    <s v="Consolidation"/>
    <s v="CO2e and Base Measure"/>
    <n v="100"/>
    <n v="100"/>
    <n v="1.2"/>
    <m/>
    <m/>
    <m/>
    <m/>
    <m/>
    <m/>
    <m/>
    <m/>
    <m/>
    <m/>
    <m/>
    <m/>
    <m/>
    <s v="AUD"/>
    <s v="13565855Waste Recycled - Construction and Demolition [t]"/>
    <n v="13565855"/>
  </r>
  <r>
    <d v="2019-07-01T00:00:00"/>
    <d v="2021-06-30T00:00:00"/>
    <s v="Telstra"/>
    <s v="NON-NETWORK"/>
    <s v="NON-NETWORK"/>
    <s v="ACT"/>
    <s v="Australia"/>
    <s v="Manuka Oval"/>
    <s v="TELSTRA BUILDING"/>
    <n v="423031897900"/>
    <s v="Recycled Waste"/>
    <x v="0"/>
    <x v="5"/>
    <s v="Account"/>
    <s v="Remondis Metal - Mixed All"/>
    <m/>
    <s v="423031897900_RMETMIXED"/>
    <s v="METAL - MIXED ALL"/>
    <s v="Remondis"/>
    <m/>
    <m/>
    <d v="2020-12-01T00:00:00"/>
    <d v="2020-10-01T00:00:00"/>
    <s v="FY21"/>
    <s v="t"/>
    <n v="0.98"/>
    <n v="0"/>
    <n v="0"/>
    <n v="0.98"/>
    <n v="1"/>
    <n v="0"/>
    <n v="0"/>
    <n v="1"/>
    <n v="100"/>
    <n v="0"/>
    <n v="0"/>
    <s v="Consolidation"/>
    <s v="CO2e and Base Measure"/>
    <n v="100"/>
    <n v="100"/>
    <n v="0.98"/>
    <m/>
    <m/>
    <m/>
    <m/>
    <m/>
    <m/>
    <m/>
    <m/>
    <m/>
    <m/>
    <m/>
    <m/>
    <m/>
    <s v="AUD"/>
    <s v="13565855Waste Recycled - Construction and Demolition [t]"/>
    <n v="13565855"/>
  </r>
  <r>
    <d v="2019-07-01T00:00:00"/>
    <d v="2021-06-30T00:00:00"/>
    <s v="Telstra"/>
    <s v="NON-NETWORK"/>
    <s v="NON-NETWORK"/>
    <s v="ACT"/>
    <s v="Australia"/>
    <s v="Manuka Oval"/>
    <s v="TELSTRA BUILDING"/>
    <n v="423031897900"/>
    <s v="Recycled Waste"/>
    <x v="0"/>
    <x v="5"/>
    <s v="Account"/>
    <s v="Remondis Metal - Mixed All"/>
    <m/>
    <s v="423031897900_RMETMIXED"/>
    <s v="METAL - MIXED ALL"/>
    <s v="Remondis"/>
    <m/>
    <m/>
    <d v="2020-12-01T00:00:00"/>
    <d v="2020-11-01T00:00:00"/>
    <s v="FY21"/>
    <s v="t"/>
    <n v="0.42599999999999999"/>
    <n v="0"/>
    <n v="0"/>
    <n v="0.42599999999999999"/>
    <n v="1"/>
    <n v="0"/>
    <n v="0"/>
    <n v="1"/>
    <n v="100"/>
    <n v="0"/>
    <n v="0"/>
    <s v="Consolidation"/>
    <s v="CO2e and Base Measure"/>
    <n v="100"/>
    <n v="100"/>
    <n v="0.43"/>
    <m/>
    <m/>
    <m/>
    <m/>
    <m/>
    <m/>
    <m/>
    <m/>
    <m/>
    <m/>
    <m/>
    <m/>
    <m/>
    <s v="AUD"/>
    <s v="13565855Waste Recycled - Construction and Demolition [t]"/>
    <n v="13565855"/>
  </r>
  <r>
    <d v="2019-07-01T00:00:00"/>
    <d v="2021-06-30T00:00:00"/>
    <s v="Telstra"/>
    <s v="NON-NETWORK"/>
    <s v="NON-NETWORK"/>
    <s v="ACT"/>
    <s v="Australia"/>
    <s v="Manuka Oval"/>
    <s v="TELSTRA BUILDING"/>
    <n v="423031897900"/>
    <s v="Recycled Waste"/>
    <x v="0"/>
    <x v="5"/>
    <s v="Account"/>
    <s v="Remondis Metal - Mixed All"/>
    <m/>
    <s v="423031897900_RMETMIXED"/>
    <s v="METAL - MIXED ALL"/>
    <s v="Remondis"/>
    <m/>
    <m/>
    <d v="2020-12-01T00:00:00"/>
    <d v="2020-12-01T00:00:00"/>
    <s v="FY21"/>
    <s v="t"/>
    <n v="0"/>
    <n v="0"/>
    <n v="1.7100000000000001E-2"/>
    <n v="1.7100000000000001E-2"/>
    <n v="0"/>
    <n v="0"/>
    <n v="1"/>
    <n v="1"/>
    <n v="0"/>
    <n v="0"/>
    <n v="100"/>
    <s v="Consolidation"/>
    <s v="CO2e and Base Measure"/>
    <n v="100"/>
    <n v="100"/>
    <n v="0.02"/>
    <m/>
    <m/>
    <m/>
    <m/>
    <m/>
    <m/>
    <m/>
    <m/>
    <m/>
    <m/>
    <m/>
    <m/>
    <m/>
    <s v="AUD"/>
    <s v="13565855Waste Recycled - Construction and Demolition [t]"/>
    <n v="13565855"/>
  </r>
  <r>
    <d v="2019-07-01T00:00:00"/>
    <d v="2021-06-30T00:00:00"/>
    <s v="Telstra"/>
    <s v="NON-NETWORK"/>
    <s v="NON-NETWORK"/>
    <s v="ACT"/>
    <s v="Australia"/>
    <s v="Manuka Oval"/>
    <s v="TELSTRA BUILDING"/>
    <n v="423031897900"/>
    <s v="Recycled Waste"/>
    <x v="0"/>
    <x v="1"/>
    <s v="Account"/>
    <s v="Remondis Batteries - Mixed Recycled"/>
    <m/>
    <s v="423031897900_RBATTERY."/>
    <s v="BATTERIES - MIXED RECYCLED"/>
    <s v="Remondis"/>
    <m/>
    <m/>
    <d v="2020-07-01T00:00:00"/>
    <d v="2020-07-01T00:00:00"/>
    <s v="FY21"/>
    <s v="t"/>
    <n v="0"/>
    <n v="0"/>
    <n v="4.0000000000000002E-4"/>
    <n v="4.0000000000000002E-4"/>
    <n v="0"/>
    <n v="0"/>
    <n v="1"/>
    <n v="1"/>
    <n v="0"/>
    <n v="0"/>
    <n v="100"/>
    <s v="Consolidation"/>
    <s v="CO2e and Base Measure"/>
    <n v="100"/>
    <n v="100"/>
    <n v="0"/>
    <m/>
    <m/>
    <m/>
    <m/>
    <m/>
    <m/>
    <m/>
    <m/>
    <m/>
    <m/>
    <m/>
    <m/>
    <m/>
    <s v="AUD"/>
    <s v="13566108Waste Recycled - E-waste [t]"/>
    <n v="13566108"/>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07-01T00:00:00"/>
    <s v="FY21"/>
    <s v="t"/>
    <n v="0.216"/>
    <n v="0"/>
    <n v="0"/>
    <n v="0.216"/>
    <n v="2"/>
    <n v="0"/>
    <n v="0"/>
    <n v="2"/>
    <n v="100"/>
    <n v="0"/>
    <n v="0"/>
    <s v="Consolidation"/>
    <s v="CO2e and Base Measure"/>
    <n v="100"/>
    <n v="100"/>
    <n v="0.22"/>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08-01T00:00:00"/>
    <s v="FY21"/>
    <s v="t"/>
    <n v="0.108"/>
    <n v="0"/>
    <n v="0"/>
    <n v="0.108"/>
    <n v="1"/>
    <n v="0"/>
    <n v="0"/>
    <n v="1"/>
    <n v="100"/>
    <n v="0"/>
    <n v="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09-01T00:00:00"/>
    <s v="FY21"/>
    <s v="t"/>
    <n v="4.0000000000000001E-3"/>
    <n v="0"/>
    <n v="0"/>
    <n v="4.0000000000000001E-3"/>
    <n v="1"/>
    <n v="0"/>
    <n v="0"/>
    <n v="1"/>
    <n v="100"/>
    <n v="0"/>
    <n v="0"/>
    <s v="Consolidation"/>
    <s v="CO2e and Base Measure"/>
    <n v="100"/>
    <n v="100"/>
    <n v="0"/>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10-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11-01T00:00:00"/>
    <s v="FY21"/>
    <s v="t"/>
    <n v="0"/>
    <n v="0"/>
    <n v="0.108"/>
    <n v="0.108"/>
    <n v="0"/>
    <n v="0"/>
    <n v="30"/>
    <n v="30"/>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12-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1-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2-01T00:00:00"/>
    <s v="FY21"/>
    <s v="t"/>
    <n v="0"/>
    <n v="0"/>
    <n v="0.1008"/>
    <n v="0.1008"/>
    <n v="0"/>
    <n v="0"/>
    <n v="28"/>
    <n v="28"/>
    <n v="0"/>
    <n v="0"/>
    <n v="100"/>
    <s v="Consolidation"/>
    <s v="CO2e and Base Measure"/>
    <n v="100"/>
    <n v="100"/>
    <n v="0.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3-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4-01T00:00:00"/>
    <s v="FY21"/>
    <s v="t"/>
    <n v="0"/>
    <n v="0"/>
    <n v="0.108"/>
    <n v="0.108"/>
    <n v="0"/>
    <n v="0"/>
    <n v="30"/>
    <n v="30"/>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5-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0-12-01T00:00:00"/>
    <s v="FY21"/>
    <s v="t"/>
    <n v="0.77500000000000002"/>
    <n v="0.1782"/>
    <n v="0"/>
    <n v="0.95320000000000005"/>
    <n v="6"/>
    <n v="2"/>
    <n v="0"/>
    <n v="8"/>
    <n v="81.3"/>
    <n v="18.690000000000001"/>
    <n v="0"/>
    <s v="Consolidation"/>
    <s v="CO2e and Base Measure"/>
    <n v="100"/>
    <n v="100"/>
    <n v="0.95"/>
    <m/>
    <m/>
    <m/>
    <m/>
    <m/>
    <n v="1.2392000000000001"/>
    <m/>
    <n v="1.2392000000000001"/>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1-01T00:00:00"/>
    <s v="FY21"/>
    <s v="t"/>
    <n v="1.599"/>
    <n v="1.0800000000000001E-2"/>
    <n v="0"/>
    <n v="1.6097999999999999"/>
    <n v="9"/>
    <n v="1"/>
    <n v="0"/>
    <n v="10"/>
    <n v="99.32"/>
    <n v="0.67"/>
    <n v="0"/>
    <s v="Consolidation"/>
    <s v="CO2e and Base Measure"/>
    <n v="100"/>
    <n v="100"/>
    <n v="1.61"/>
    <m/>
    <m/>
    <m/>
    <m/>
    <m/>
    <n v="2.0926999999999998"/>
    <m/>
    <n v="2.0926999999999998"/>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2-01T00:00:00"/>
    <s v="FY21"/>
    <s v="t"/>
    <n v="0.47499999999999998"/>
    <n v="2.1600000000000001E-2"/>
    <n v="0"/>
    <n v="0.49659999999999999"/>
    <n v="8"/>
    <n v="2"/>
    <n v="0"/>
    <n v="10"/>
    <n v="95.65"/>
    <n v="4.34"/>
    <n v="0"/>
    <s v="Consolidation"/>
    <s v="CO2e and Base Measure"/>
    <n v="100"/>
    <n v="100"/>
    <n v="0.5"/>
    <m/>
    <m/>
    <m/>
    <m/>
    <m/>
    <n v="0.64559999999999995"/>
    <m/>
    <n v="0.64559999999999995"/>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3-01T00:00:00"/>
    <s v="FY21"/>
    <s v="t"/>
    <n v="2.7360000000000002"/>
    <n v="0.27"/>
    <n v="0"/>
    <n v="3.0059999999999998"/>
    <n v="8"/>
    <n v="2"/>
    <n v="0"/>
    <n v="10"/>
    <n v="91.01"/>
    <n v="8.98"/>
    <n v="0"/>
    <s v="Consolidation"/>
    <s v="CO2e and Base Measure"/>
    <n v="100"/>
    <n v="100"/>
    <n v="3.01"/>
    <m/>
    <m/>
    <m/>
    <m/>
    <m/>
    <n v="3.9077999999999999"/>
    <m/>
    <n v="3.9077999999999999"/>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4-01T00:00:00"/>
    <s v="FY21"/>
    <s v="t"/>
    <n v="0"/>
    <n v="0"/>
    <n v="1.5149999999999999"/>
    <n v="1.5149999999999999"/>
    <n v="0"/>
    <n v="0"/>
    <n v="30"/>
    <n v="30"/>
    <n v="0"/>
    <n v="0"/>
    <n v="100"/>
    <s v="Consolidation"/>
    <s v="CO2e and Base Measure"/>
    <n v="100"/>
    <n v="100"/>
    <n v="1.52"/>
    <m/>
    <m/>
    <m/>
    <m/>
    <m/>
    <n v="1.9695"/>
    <m/>
    <n v="1.9695"/>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5-01T00:00:00"/>
    <s v="FY21"/>
    <s v="t"/>
    <n v="0"/>
    <n v="0"/>
    <n v="1.5654999999999999"/>
    <n v="1.5654999999999999"/>
    <n v="0"/>
    <n v="0"/>
    <n v="31"/>
    <n v="31"/>
    <n v="0"/>
    <n v="0"/>
    <n v="100"/>
    <s v="Consolidation"/>
    <s v="CO2e and Base Measure"/>
    <n v="100"/>
    <n v="100"/>
    <n v="1.57"/>
    <m/>
    <m/>
    <m/>
    <m/>
    <m/>
    <n v="2.0352000000000001"/>
    <m/>
    <n v="2.0352000000000001"/>
    <m/>
    <m/>
    <m/>
    <m/>
    <m/>
    <s v="AUD"/>
    <s v="13634386Waste - General [t] - Scope 3"/>
    <n v="13634386"/>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0-12-01T00:00:00"/>
    <s v="FY21"/>
    <s v="t"/>
    <n v="0"/>
    <n v="0.22500000000000001"/>
    <n v="0"/>
    <n v="0.22500000000000001"/>
    <n v="0"/>
    <n v="3"/>
    <n v="0"/>
    <n v="3"/>
    <n v="0"/>
    <n v="100"/>
    <n v="0"/>
    <s v="Consolidation"/>
    <s v="CO2e and Base Measure"/>
    <n v="100"/>
    <n v="100"/>
    <n v="0.23"/>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1-01T00:00:00"/>
    <s v="FY21"/>
    <s v="t"/>
    <n v="0"/>
    <n v="0.22500000000000001"/>
    <n v="0"/>
    <n v="0.22500000000000001"/>
    <n v="0"/>
    <n v="3"/>
    <n v="0"/>
    <n v="3"/>
    <n v="0"/>
    <n v="100"/>
    <n v="0"/>
    <s v="Consolidation"/>
    <s v="CO2e and Base Measure"/>
    <n v="100"/>
    <n v="100"/>
    <n v="0.23"/>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2-01T00:00:00"/>
    <s v="FY21"/>
    <s v="t"/>
    <n v="0.06"/>
    <n v="0.15"/>
    <n v="0"/>
    <n v="0.21"/>
    <n v="1"/>
    <n v="2"/>
    <n v="0"/>
    <n v="3"/>
    <n v="28.57"/>
    <n v="71.42"/>
    <n v="0"/>
    <s v="Consolidation"/>
    <s v="CO2e and Base Measure"/>
    <n v="100"/>
    <n v="100"/>
    <n v="0.21"/>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3-01T00:00:00"/>
    <s v="FY21"/>
    <s v="t"/>
    <n v="0.09"/>
    <n v="0.375"/>
    <n v="0"/>
    <n v="0.46500000000000002"/>
    <n v="1"/>
    <n v="5"/>
    <n v="0"/>
    <n v="6"/>
    <n v="19.350000000000001"/>
    <n v="80.64"/>
    <n v="0"/>
    <s v="Consolidation"/>
    <s v="CO2e and Base Measure"/>
    <n v="100"/>
    <n v="100"/>
    <n v="0.47"/>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4-01T00:00:00"/>
    <s v="FY21"/>
    <s v="t"/>
    <n v="0"/>
    <n v="0"/>
    <n v="0.28199999999999997"/>
    <n v="0.28199999999999997"/>
    <n v="0"/>
    <n v="0"/>
    <n v="30"/>
    <n v="30"/>
    <n v="0"/>
    <n v="0"/>
    <n v="100"/>
    <s v="Consolidation"/>
    <s v="CO2e and Base Measure"/>
    <n v="100"/>
    <n v="100"/>
    <n v="0.28000000000000003"/>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5-01T00:00:00"/>
    <s v="FY21"/>
    <s v="t"/>
    <n v="0"/>
    <n v="0"/>
    <n v="0.29139999999999999"/>
    <n v="0.29139999999999999"/>
    <n v="0"/>
    <n v="0"/>
    <n v="31"/>
    <n v="31"/>
    <n v="0"/>
    <n v="0"/>
    <n v="100"/>
    <s v="Consolidation"/>
    <s v="CO2e and Base Measure"/>
    <n v="100"/>
    <n v="100"/>
    <n v="0.28999999999999998"/>
    <m/>
    <m/>
    <m/>
    <m/>
    <m/>
    <m/>
    <m/>
    <m/>
    <m/>
    <m/>
    <m/>
    <m/>
    <m/>
    <s v="AUD"/>
    <s v="13634387Waste Recycled - Paper and Cardboard [t]"/>
    <n v="13634387"/>
  </r>
  <r>
    <d v="2019-07-01T00:00:00"/>
    <d v="2021-06-30T00:00:00"/>
    <s v="Telstra"/>
    <s v="NON-NETWORK"/>
    <s v="NON-NETWORK"/>
    <s v="ACT"/>
    <s v="Australia"/>
    <s v="Manuka Oval"/>
    <s v="TELSTRA BUILDING"/>
    <n v="423031897900"/>
    <s v="Recycled Waste"/>
    <x v="0"/>
    <x v="3"/>
    <s v="Account"/>
    <s v="CLEANAWAY Commingle - Diversion"/>
    <m/>
    <s v="31897900_Diversion_Commingle"/>
    <s v="Commingle"/>
    <s v="Cleanaway"/>
    <m/>
    <m/>
    <m/>
    <d v="2021-03-01T00:00:00"/>
    <s v="FY21"/>
    <s v="t"/>
    <n v="0"/>
    <n v="1.44E-2"/>
    <n v="0"/>
    <n v="1.44E-2"/>
    <n v="0"/>
    <n v="1"/>
    <n v="0"/>
    <n v="1"/>
    <n v="0"/>
    <n v="100"/>
    <n v="0"/>
    <s v="Consolidation"/>
    <s v="CO2e and Base Measure"/>
    <n v="100"/>
    <n v="100"/>
    <n v="0.01"/>
    <m/>
    <m/>
    <m/>
    <m/>
    <m/>
    <m/>
    <n v="0"/>
    <m/>
    <m/>
    <m/>
    <m/>
    <m/>
    <m/>
    <s v="AUD"/>
    <s v="13641247Waste Recycled - Commingled [t]"/>
    <n v="13641247"/>
  </r>
  <r>
    <d v="2019-07-01T00:00:00"/>
    <d v="2021-06-30T00:00:00"/>
    <s v="Telstra"/>
    <s v="NON-NETWORK"/>
    <s v="NON-NETWORK"/>
    <s v="ACT"/>
    <s v="Australia"/>
    <s v="Manuka Oval"/>
    <s v="TELSTRA BUILDING"/>
    <n v="423031897900"/>
    <s v="Recycled Waste"/>
    <x v="0"/>
    <x v="3"/>
    <s v="Account"/>
    <s v="CLEANAWAY Commingle - Diversion"/>
    <m/>
    <s v="31897900_Diversion_Commingle"/>
    <s v="Commingle"/>
    <s v="Cleanaway"/>
    <m/>
    <m/>
    <m/>
    <d v="2021-04-01T00:00:00"/>
    <s v="FY21"/>
    <s v="t"/>
    <n v="0"/>
    <n v="0"/>
    <n v="1.4999999999999999E-2"/>
    <n v="1.4999999999999999E-2"/>
    <n v="0"/>
    <n v="0"/>
    <n v="30"/>
    <n v="30"/>
    <n v="0"/>
    <n v="0"/>
    <n v="100"/>
    <s v="Consolidation"/>
    <s v="CO2e and Base Measure"/>
    <n v="100"/>
    <n v="100"/>
    <n v="0.02"/>
    <m/>
    <m/>
    <m/>
    <m/>
    <m/>
    <m/>
    <n v="0"/>
    <m/>
    <m/>
    <m/>
    <m/>
    <m/>
    <m/>
    <s v="AUD"/>
    <s v="13641247Waste Recycled - Commingled [t]"/>
    <n v="13641247"/>
  </r>
  <r>
    <d v="2019-07-01T00:00:00"/>
    <d v="2021-06-30T00:00:00"/>
    <s v="Telstra"/>
    <s v="NON-NETWORK"/>
    <s v="NON-NETWORK"/>
    <s v="ACT"/>
    <s v="Australia"/>
    <s v="Manuka Oval"/>
    <s v="TELSTRA BUILDING"/>
    <n v="423031897900"/>
    <s v="Recycled Waste"/>
    <x v="0"/>
    <x v="3"/>
    <s v="Account"/>
    <s v="CLEANAWAY Commingle - Diversion"/>
    <m/>
    <s v="31897900_Diversion_Commingle"/>
    <s v="Commingle"/>
    <s v="Cleanaway"/>
    <m/>
    <m/>
    <m/>
    <d v="2021-05-01T00:00:00"/>
    <s v="FY21"/>
    <s v="t"/>
    <n v="0"/>
    <n v="0"/>
    <n v="1.55E-2"/>
    <n v="1.55E-2"/>
    <n v="0"/>
    <n v="0"/>
    <n v="31"/>
    <n v="31"/>
    <n v="0"/>
    <n v="0"/>
    <n v="100"/>
    <s v="Consolidation"/>
    <s v="CO2e and Base Measure"/>
    <n v="100"/>
    <n v="100"/>
    <n v="0.02"/>
    <m/>
    <m/>
    <m/>
    <m/>
    <m/>
    <m/>
    <n v="0"/>
    <m/>
    <m/>
    <m/>
    <m/>
    <m/>
    <m/>
    <s v="AUD"/>
    <s v="13641247Waste Recycled - Commingled [t]"/>
    <n v="13641247"/>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07-01T00:00:00"/>
    <s v="FY21"/>
    <s v="t"/>
    <n v="0"/>
    <n v="0.11650000000000001"/>
    <n v="0"/>
    <n v="0.11650000000000001"/>
    <n v="0"/>
    <n v="4"/>
    <n v="0"/>
    <n v="4"/>
    <n v="0"/>
    <n v="100"/>
    <n v="0"/>
    <s v="Consolidation"/>
    <s v="CO2e and Base Measure"/>
    <n v="100"/>
    <n v="100"/>
    <n v="0.12"/>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08-01T00:00:00"/>
    <s v="FY21"/>
    <s v="t"/>
    <n v="0"/>
    <n v="6.9900000000000004E-2"/>
    <n v="0"/>
    <n v="6.9900000000000004E-2"/>
    <n v="0"/>
    <n v="3"/>
    <n v="0"/>
    <n v="3"/>
    <n v="0"/>
    <n v="100"/>
    <n v="0"/>
    <s v="Consolidation"/>
    <s v="CO2e and Base Measure"/>
    <n v="100"/>
    <n v="100"/>
    <n v="7.0000000000000007E-2"/>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09-01T00:00:00"/>
    <s v="FY21"/>
    <s v="t"/>
    <n v="0"/>
    <n v="4.6600000000000003E-2"/>
    <n v="0"/>
    <n v="4.6600000000000003E-2"/>
    <n v="0"/>
    <n v="2"/>
    <n v="0"/>
    <n v="2"/>
    <n v="0"/>
    <n v="100"/>
    <n v="0"/>
    <s v="Consolidation"/>
    <s v="CO2e and Base Measure"/>
    <n v="100"/>
    <n v="100"/>
    <n v="0.05"/>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10-01T00:00:00"/>
    <s v="FY21"/>
    <s v="t"/>
    <n v="0"/>
    <n v="0.16309999999999999"/>
    <n v="0"/>
    <n v="0.16309999999999999"/>
    <n v="0"/>
    <n v="5"/>
    <n v="0"/>
    <n v="5"/>
    <n v="0"/>
    <n v="100"/>
    <n v="0"/>
    <s v="Consolidation"/>
    <s v="CO2e and Base Measure"/>
    <n v="100"/>
    <n v="100"/>
    <n v="0.16"/>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11-01T00:00:00"/>
    <s v="FY21"/>
    <s v="t"/>
    <n v="0"/>
    <n v="4.6600000000000003E-2"/>
    <n v="0"/>
    <n v="4.6600000000000003E-2"/>
    <n v="0"/>
    <n v="2"/>
    <n v="0"/>
    <n v="2"/>
    <n v="0"/>
    <n v="100"/>
    <n v="0"/>
    <s v="Consolidation"/>
    <s v="CO2e and Base Measure"/>
    <n v="100"/>
    <n v="100"/>
    <n v="0.05"/>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1-01-01T00:00:00"/>
    <s v="FY21"/>
    <s v="t"/>
    <n v="0"/>
    <n v="0"/>
    <n v="3.0999999999999999E-3"/>
    <n v="3.0999999999999999E-3"/>
    <n v="0"/>
    <n v="0"/>
    <n v="1"/>
    <n v="1"/>
    <n v="0"/>
    <n v="0"/>
    <n v="100"/>
    <s v="Consolidation"/>
    <s v="CO2e and Base Measure"/>
    <n v="100"/>
    <n v="100"/>
    <n v="0"/>
    <m/>
    <m/>
    <m/>
    <m/>
    <m/>
    <m/>
    <n v="0"/>
    <m/>
    <m/>
    <m/>
    <m/>
    <m/>
    <m/>
    <s v="AUD"/>
    <s v="13565696Waste Recycled - Cardboard [t]"/>
    <n v="13565696"/>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07-01T00:00:00"/>
    <s v="FY21"/>
    <s v="t"/>
    <n v="0"/>
    <n v="0.43309999999999998"/>
    <n v="0"/>
    <n v="0.43309999999999998"/>
    <n v="0"/>
    <n v="5"/>
    <n v="0"/>
    <n v="5"/>
    <n v="0"/>
    <n v="100"/>
    <n v="0"/>
    <s v="Consolidation"/>
    <s v="CO2e and Base Measure"/>
    <n v="100"/>
    <n v="100"/>
    <n v="0.43"/>
    <m/>
    <m/>
    <m/>
    <m/>
    <m/>
    <n v="0.56299999999999994"/>
    <m/>
    <n v="0.56299999999999994"/>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08-01T00:00:00"/>
    <s v="FY21"/>
    <s v="t"/>
    <n v="0"/>
    <n v="0.3609"/>
    <n v="0"/>
    <n v="0.3609"/>
    <n v="0"/>
    <n v="4"/>
    <n v="0"/>
    <n v="4"/>
    <n v="0"/>
    <n v="100"/>
    <n v="0"/>
    <s v="Consolidation"/>
    <s v="CO2e and Base Measure"/>
    <n v="100"/>
    <n v="100"/>
    <n v="0.36"/>
    <m/>
    <m/>
    <m/>
    <m/>
    <m/>
    <n v="0.46920000000000001"/>
    <m/>
    <n v="0.46920000000000001"/>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09-01T00:00:00"/>
    <s v="FY21"/>
    <s v="t"/>
    <n v="0"/>
    <n v="0.2888"/>
    <n v="0"/>
    <n v="0.2888"/>
    <n v="0"/>
    <n v="4"/>
    <n v="0"/>
    <n v="4"/>
    <n v="0"/>
    <n v="100"/>
    <n v="0"/>
    <s v="Consolidation"/>
    <s v="CO2e and Base Measure"/>
    <n v="100"/>
    <n v="100"/>
    <n v="0.28999999999999998"/>
    <m/>
    <m/>
    <m/>
    <m/>
    <m/>
    <n v="0.37540000000000001"/>
    <m/>
    <n v="0.37540000000000001"/>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10-01T00:00:00"/>
    <s v="FY21"/>
    <s v="t"/>
    <n v="0"/>
    <n v="0.36099999999999999"/>
    <n v="0"/>
    <n v="0.36099999999999999"/>
    <n v="0"/>
    <n v="5"/>
    <n v="0"/>
    <n v="5"/>
    <n v="0"/>
    <n v="100"/>
    <n v="0"/>
    <s v="Consolidation"/>
    <s v="CO2e and Base Measure"/>
    <n v="100"/>
    <n v="100"/>
    <n v="0.36"/>
    <m/>
    <m/>
    <m/>
    <m/>
    <m/>
    <n v="0.46929999999999999"/>
    <m/>
    <n v="0.46929999999999999"/>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11-01T00:00:00"/>
    <s v="FY21"/>
    <s v="t"/>
    <n v="0"/>
    <n v="0.2888"/>
    <n v="0"/>
    <n v="0.2888"/>
    <n v="0"/>
    <n v="4"/>
    <n v="0"/>
    <n v="4"/>
    <n v="0"/>
    <n v="100"/>
    <n v="0"/>
    <s v="Consolidation"/>
    <s v="CO2e and Base Measure"/>
    <n v="100"/>
    <n v="100"/>
    <n v="0.28999999999999998"/>
    <m/>
    <m/>
    <m/>
    <m/>
    <m/>
    <n v="0.37540000000000001"/>
    <m/>
    <n v="0.37540000000000001"/>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1-01-01T00:00:00"/>
    <s v="FY21"/>
    <s v="t"/>
    <n v="0"/>
    <n v="0"/>
    <n v="1.15E-2"/>
    <n v="1.15E-2"/>
    <n v="0"/>
    <n v="0"/>
    <n v="1"/>
    <n v="1"/>
    <n v="0"/>
    <n v="0"/>
    <n v="100"/>
    <s v="Consolidation"/>
    <s v="CO2e and Base Measure"/>
    <n v="100"/>
    <n v="100"/>
    <n v="0.01"/>
    <m/>
    <m/>
    <m/>
    <m/>
    <m/>
    <n v="1.4999999999999999E-2"/>
    <m/>
    <n v="1.4999999999999999E-2"/>
    <m/>
    <m/>
    <m/>
    <m/>
    <m/>
    <s v="AUD"/>
    <s v="13565697Waste - General [t] - Scope 3"/>
    <n v="13565697"/>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07-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08-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09-01T00:00:00"/>
    <s v="FY21"/>
    <s v="t"/>
    <n v="8.0000000000000002E-3"/>
    <n v="0"/>
    <n v="0"/>
    <n v="8.0000000000000002E-3"/>
    <n v="1"/>
    <n v="0"/>
    <n v="0"/>
    <n v="1"/>
    <n v="100"/>
    <n v="0"/>
    <n v="0"/>
    <s v="Consolidation"/>
    <s v="CO2e and Base Measure"/>
    <n v="100"/>
    <n v="100"/>
    <n v="0.0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10-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11-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12-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1-01T00:00:00"/>
    <s v="FY21"/>
    <s v="t"/>
    <n v="0"/>
    <n v="0"/>
    <n v="9.6100000000000005E-2"/>
    <n v="9.6100000000000005E-2"/>
    <n v="0"/>
    <n v="0"/>
    <n v="31"/>
    <n v="31"/>
    <n v="0"/>
    <n v="0"/>
    <n v="100"/>
    <s v="Consolidation"/>
    <s v="CO2e and Base Measure"/>
    <n v="100"/>
    <n v="100"/>
    <n v="0.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2-01T00:00:00"/>
    <s v="FY21"/>
    <s v="t"/>
    <n v="0"/>
    <n v="0"/>
    <n v="8.6800000000000002E-2"/>
    <n v="8.6800000000000002E-2"/>
    <n v="0"/>
    <n v="0"/>
    <n v="28"/>
    <n v="28"/>
    <n v="0"/>
    <n v="0"/>
    <n v="100"/>
    <s v="Consolidation"/>
    <s v="CO2e and Base Measure"/>
    <n v="100"/>
    <n v="100"/>
    <n v="0.09"/>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3-01T00:00:00"/>
    <s v="FY21"/>
    <s v="t"/>
    <n v="0"/>
    <n v="0"/>
    <n v="9.6100000000000005E-2"/>
    <n v="9.6100000000000005E-2"/>
    <n v="0"/>
    <n v="0"/>
    <n v="31"/>
    <n v="31"/>
    <n v="0"/>
    <n v="0"/>
    <n v="100"/>
    <s v="Consolidation"/>
    <s v="CO2e and Base Measure"/>
    <n v="100"/>
    <n v="100"/>
    <n v="0.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4-01T00:00:00"/>
    <s v="FY21"/>
    <s v="t"/>
    <n v="0"/>
    <n v="0"/>
    <n v="9.2999999999999999E-2"/>
    <n v="9.2999999999999999E-2"/>
    <n v="0"/>
    <n v="0"/>
    <n v="30"/>
    <n v="30"/>
    <n v="0"/>
    <n v="0"/>
    <n v="100"/>
    <s v="Consolidation"/>
    <s v="CO2e and Base Measure"/>
    <n v="100"/>
    <n v="100"/>
    <n v="0.09"/>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5-01T00:00:00"/>
    <s v="FY21"/>
    <s v="t"/>
    <n v="0"/>
    <n v="0"/>
    <n v="9.6100000000000005E-2"/>
    <n v="9.6100000000000005E-2"/>
    <n v="0"/>
    <n v="0"/>
    <n v="31"/>
    <n v="31"/>
    <n v="0"/>
    <n v="0"/>
    <n v="100"/>
    <s v="Consolidation"/>
    <s v="CO2e and Base Measure"/>
    <n v="100"/>
    <n v="100"/>
    <n v="0.1"/>
    <m/>
    <m/>
    <m/>
    <m/>
    <m/>
    <m/>
    <m/>
    <m/>
    <m/>
    <m/>
    <m/>
    <m/>
    <m/>
    <s v="AUD"/>
    <s v="13566465Waste Recycled - Paper and Cardboard [t]"/>
    <n v="13566465"/>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0-12-01T00:00:00"/>
    <s v="FY21"/>
    <s v="t"/>
    <n v="0"/>
    <n v="0.1188"/>
    <n v="0"/>
    <n v="0.1188"/>
    <n v="0"/>
    <n v="3"/>
    <n v="0"/>
    <n v="3"/>
    <n v="0"/>
    <n v="100"/>
    <n v="0"/>
    <s v="Consolidation"/>
    <s v="CO2e and Base Measure"/>
    <n v="100"/>
    <n v="100"/>
    <n v="0.12"/>
    <m/>
    <m/>
    <m/>
    <m/>
    <m/>
    <n v="0.15440000000000001"/>
    <m/>
    <n v="0.15440000000000001"/>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1-01T00:00:00"/>
    <s v="FY21"/>
    <s v="t"/>
    <n v="0"/>
    <n v="0.2079"/>
    <n v="0"/>
    <n v="0.2079"/>
    <n v="0"/>
    <n v="6"/>
    <n v="0"/>
    <n v="6"/>
    <n v="0"/>
    <n v="100"/>
    <n v="0"/>
    <s v="Consolidation"/>
    <s v="CO2e and Base Measure"/>
    <n v="100"/>
    <n v="100"/>
    <n v="0.21"/>
    <m/>
    <m/>
    <m/>
    <m/>
    <m/>
    <n v="0.27029999999999998"/>
    <m/>
    <n v="0.27029999999999998"/>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2-01T00:00:00"/>
    <s v="FY21"/>
    <s v="t"/>
    <n v="0"/>
    <n v="0.32669999999999999"/>
    <n v="0"/>
    <n v="0.32669999999999999"/>
    <n v="0"/>
    <n v="8"/>
    <n v="0"/>
    <n v="8"/>
    <n v="0"/>
    <n v="100"/>
    <n v="0"/>
    <s v="Consolidation"/>
    <s v="CO2e and Base Measure"/>
    <n v="100"/>
    <n v="100"/>
    <n v="0.33"/>
    <m/>
    <m/>
    <m/>
    <m/>
    <m/>
    <n v="0.42470000000000002"/>
    <m/>
    <n v="0.42470000000000002"/>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3-01T00:00:00"/>
    <s v="FY21"/>
    <s v="t"/>
    <n v="0"/>
    <n v="0.2079"/>
    <n v="0"/>
    <n v="0.2079"/>
    <n v="0"/>
    <n v="5"/>
    <n v="0"/>
    <n v="5"/>
    <n v="0"/>
    <n v="100"/>
    <n v="0"/>
    <s v="Consolidation"/>
    <s v="CO2e and Base Measure"/>
    <n v="100"/>
    <n v="100"/>
    <n v="0.21"/>
    <m/>
    <m/>
    <m/>
    <m/>
    <m/>
    <n v="0.27029999999999998"/>
    <m/>
    <n v="0.27029999999999998"/>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4-01T00:00:00"/>
    <s v="FY21"/>
    <s v="t"/>
    <n v="0"/>
    <n v="0"/>
    <n v="0.216"/>
    <n v="0.216"/>
    <n v="0"/>
    <n v="0"/>
    <n v="30"/>
    <n v="30"/>
    <n v="0"/>
    <n v="0"/>
    <n v="100"/>
    <s v="Consolidation"/>
    <s v="CO2e and Base Measure"/>
    <n v="100"/>
    <n v="100"/>
    <n v="0.22"/>
    <m/>
    <m/>
    <m/>
    <m/>
    <m/>
    <n v="0.28079999999999999"/>
    <m/>
    <n v="0.28079999999999999"/>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5-01T00:00:00"/>
    <s v="FY21"/>
    <s v="t"/>
    <n v="0"/>
    <n v="0"/>
    <n v="0.22320000000000001"/>
    <n v="0.22320000000000001"/>
    <n v="0"/>
    <n v="0"/>
    <n v="31"/>
    <n v="31"/>
    <n v="0"/>
    <n v="0"/>
    <n v="100"/>
    <s v="Consolidation"/>
    <s v="CO2e and Base Measure"/>
    <n v="100"/>
    <n v="100"/>
    <n v="0.22"/>
    <m/>
    <m/>
    <m/>
    <m/>
    <m/>
    <n v="0.29020000000000001"/>
    <m/>
    <n v="0.29020000000000001"/>
    <m/>
    <m/>
    <m/>
    <m/>
    <m/>
    <s v="AUD"/>
    <s v="13634332Waste - General [t] - Scope 3"/>
    <n v="13634332"/>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0-12-01T00:00:00"/>
    <s v="FY21"/>
    <s v="t"/>
    <n v="0"/>
    <n v="3.3000000000000002E-2"/>
    <n v="0"/>
    <n v="3.3000000000000002E-2"/>
    <n v="0"/>
    <n v="1"/>
    <n v="0"/>
    <n v="1"/>
    <n v="0"/>
    <n v="100"/>
    <n v="0"/>
    <s v="Consolidation"/>
    <s v="CO2e and Base Measure"/>
    <n v="100"/>
    <n v="100"/>
    <n v="0.03"/>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1-01T00:00:00"/>
    <s v="FY21"/>
    <s v="t"/>
    <n v="0"/>
    <n v="3.3000000000000002E-2"/>
    <n v="0"/>
    <n v="3.3000000000000002E-2"/>
    <n v="0"/>
    <n v="2"/>
    <n v="0"/>
    <n v="2"/>
    <n v="0"/>
    <n v="100"/>
    <n v="0"/>
    <s v="Consolidation"/>
    <s v="CO2e and Base Measure"/>
    <n v="100"/>
    <n v="100"/>
    <n v="0.03"/>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2-01T00:00:00"/>
    <s v="FY21"/>
    <s v="t"/>
    <n v="0"/>
    <n v="4.9500000000000002E-2"/>
    <n v="0"/>
    <n v="4.9500000000000002E-2"/>
    <n v="0"/>
    <n v="3"/>
    <n v="0"/>
    <n v="3"/>
    <n v="0"/>
    <n v="100"/>
    <n v="0"/>
    <s v="Consolidation"/>
    <s v="CO2e and Base Measure"/>
    <n v="100"/>
    <n v="100"/>
    <n v="0.05"/>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3-01T00:00:00"/>
    <s v="FY21"/>
    <s v="t"/>
    <n v="0"/>
    <n v="4.9500000000000002E-2"/>
    <n v="0"/>
    <n v="4.9500000000000002E-2"/>
    <n v="0"/>
    <n v="2"/>
    <n v="0"/>
    <n v="2"/>
    <n v="0"/>
    <n v="100"/>
    <n v="0"/>
    <s v="Consolidation"/>
    <s v="CO2e and Base Measure"/>
    <n v="100"/>
    <n v="100"/>
    <n v="0.05"/>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4-01T00:00:00"/>
    <s v="FY21"/>
    <s v="t"/>
    <n v="0"/>
    <n v="0"/>
    <n v="4.2000000000000003E-2"/>
    <n v="4.2000000000000003E-2"/>
    <n v="0"/>
    <n v="0"/>
    <n v="30"/>
    <n v="30"/>
    <n v="0"/>
    <n v="0"/>
    <n v="100"/>
    <s v="Consolidation"/>
    <s v="CO2e and Base Measure"/>
    <n v="100"/>
    <n v="100"/>
    <n v="0.04"/>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5-01T00:00:00"/>
    <s v="FY21"/>
    <s v="t"/>
    <n v="0"/>
    <n v="0"/>
    <n v="4.3400000000000001E-2"/>
    <n v="4.3400000000000001E-2"/>
    <n v="0"/>
    <n v="0"/>
    <n v="31"/>
    <n v="31"/>
    <n v="0"/>
    <n v="0"/>
    <n v="100"/>
    <s v="Consolidation"/>
    <s v="CO2e and Base Measure"/>
    <n v="100"/>
    <n v="100"/>
    <n v="0.04"/>
    <m/>
    <m/>
    <m/>
    <m/>
    <m/>
    <m/>
    <m/>
    <m/>
    <m/>
    <m/>
    <m/>
    <m/>
    <m/>
    <s v="AUD"/>
    <s v="13634333Waste Recycled - Paper and Cardboard [t]"/>
    <n v="13634333"/>
  </r>
  <r>
    <d v="2019-07-01T00:00:00"/>
    <d v="2021-06-30T00:00:00"/>
    <s v="Telstra"/>
    <s v="NON-NETWORK"/>
    <s v="NON-NETWORK"/>
    <s v="VIC"/>
    <s v="Australia"/>
    <s v="Bendigo"/>
    <s v="TELSTRA COUNTRY WIDE"/>
    <n v="423031895500"/>
    <s v="Waste"/>
    <x v="1"/>
    <x v="2"/>
    <s v="Account"/>
    <s v="Remondis General Waste"/>
    <m/>
    <s v="423031895500_WGENERALW"/>
    <s v="GENERAL WASTE"/>
    <s v="Remondis"/>
    <m/>
    <m/>
    <m/>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1-01T00:00:00"/>
    <s v="FY21"/>
    <s v="t"/>
    <n v="0"/>
    <n v="0"/>
    <n v="0.14879999999999999"/>
    <n v="0.14879999999999999"/>
    <n v="0"/>
    <n v="0"/>
    <n v="31"/>
    <n v="31"/>
    <n v="0"/>
    <n v="0"/>
    <n v="100"/>
    <s v="Consolidation"/>
    <s v="CO2e and Base Measure"/>
    <n v="100"/>
    <n v="100"/>
    <n v="0.15"/>
    <m/>
    <m/>
    <m/>
    <m/>
    <m/>
    <n v="0.19339999999999999"/>
    <m/>
    <n v="0.19339999999999999"/>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2-01T00:00:00"/>
    <s v="FY21"/>
    <s v="t"/>
    <n v="0"/>
    <n v="0"/>
    <n v="0.13439999999999999"/>
    <n v="0.13439999999999999"/>
    <n v="0"/>
    <n v="0"/>
    <n v="28"/>
    <n v="28"/>
    <n v="0"/>
    <n v="0"/>
    <n v="100"/>
    <s v="Consolidation"/>
    <s v="CO2e and Base Measure"/>
    <n v="100"/>
    <n v="100"/>
    <n v="0.13"/>
    <m/>
    <m/>
    <m/>
    <m/>
    <m/>
    <n v="0.17469999999999999"/>
    <m/>
    <n v="0.17469999999999999"/>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3-01T00:00:00"/>
    <s v="FY21"/>
    <s v="t"/>
    <n v="0"/>
    <n v="0"/>
    <n v="0.14879999999999999"/>
    <n v="0.14879999999999999"/>
    <n v="0"/>
    <n v="0"/>
    <n v="31"/>
    <n v="31"/>
    <n v="0"/>
    <n v="0"/>
    <n v="100"/>
    <s v="Consolidation"/>
    <s v="CO2e and Base Measure"/>
    <n v="100"/>
    <n v="100"/>
    <n v="0.15"/>
    <m/>
    <m/>
    <m/>
    <m/>
    <m/>
    <n v="0.19339999999999999"/>
    <m/>
    <n v="0.19339999999999999"/>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4-01T00:00:00"/>
    <s v="FY21"/>
    <s v="t"/>
    <n v="0"/>
    <n v="0"/>
    <n v="0.14399999999999999"/>
    <n v="0.14399999999999999"/>
    <n v="0"/>
    <n v="0"/>
    <n v="30"/>
    <n v="30"/>
    <n v="0"/>
    <n v="0"/>
    <n v="100"/>
    <s v="Consolidation"/>
    <s v="CO2e and Base Measure"/>
    <n v="100"/>
    <n v="100"/>
    <n v="0.14000000000000001"/>
    <m/>
    <m/>
    <m/>
    <m/>
    <m/>
    <n v="0.18720000000000001"/>
    <m/>
    <n v="0.18720000000000001"/>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5-01T00:00:00"/>
    <s v="FY21"/>
    <s v="t"/>
    <n v="0"/>
    <n v="0"/>
    <n v="0.14879999999999999"/>
    <n v="0.14879999999999999"/>
    <n v="0"/>
    <n v="0"/>
    <n v="31"/>
    <n v="31"/>
    <n v="0"/>
    <n v="0"/>
    <n v="100"/>
    <s v="Consolidation"/>
    <s v="CO2e and Base Measure"/>
    <n v="100"/>
    <n v="100"/>
    <n v="0.15"/>
    <m/>
    <m/>
    <m/>
    <m/>
    <m/>
    <n v="0.19339999999999999"/>
    <m/>
    <n v="0.19339999999999999"/>
    <m/>
    <m/>
    <m/>
    <m/>
    <m/>
    <s v="AUD"/>
    <s v="13565847Waste - General [t] - Scope 3"/>
    <n v="13565847"/>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0-07-01T00:00:00"/>
    <s v="FY21"/>
    <s v="t"/>
    <n v="0"/>
    <n v="3.15E-2"/>
    <n v="0"/>
    <n v="3.15E-2"/>
    <n v="0"/>
    <n v="1"/>
    <n v="0"/>
    <n v="1"/>
    <n v="0"/>
    <n v="100"/>
    <n v="0"/>
    <s v="Consolidation"/>
    <s v="CO2e and Base Measure"/>
    <n v="100"/>
    <n v="100"/>
    <n v="0.03"/>
    <m/>
    <m/>
    <m/>
    <m/>
    <m/>
    <m/>
    <n v="0"/>
    <m/>
    <m/>
    <m/>
    <m/>
    <m/>
    <m/>
    <s v="AUD"/>
    <s v="13565794Waste Recycled - Cardboard [t]"/>
    <n v="13565794"/>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0-09-01T00:00:00"/>
    <s v="FY21"/>
    <s v="t"/>
    <n v="0"/>
    <n v="3.15E-2"/>
    <n v="0"/>
    <n v="3.15E-2"/>
    <n v="0"/>
    <n v="1"/>
    <n v="0"/>
    <n v="1"/>
    <n v="0"/>
    <n v="100"/>
    <n v="0"/>
    <s v="Consolidation"/>
    <s v="CO2e and Base Measure"/>
    <n v="100"/>
    <n v="100"/>
    <n v="0.03"/>
    <m/>
    <m/>
    <m/>
    <m/>
    <m/>
    <m/>
    <n v="0"/>
    <m/>
    <m/>
    <m/>
    <m/>
    <m/>
    <m/>
    <s v="AUD"/>
    <s v="13565794Waste Recycled - Cardboard [t]"/>
    <n v="13565794"/>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5794Waste Recycled - Cardboard [t]"/>
    <n v="13565794"/>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794Waste Recycled - Cardboard [t]"/>
    <n v="13565794"/>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1-01-01T00:00:00"/>
    <s v="FY21"/>
    <s v="t"/>
    <n v="0"/>
    <n v="0"/>
    <n v="6.9999999999999999E-4"/>
    <n v="6.9999999999999999E-4"/>
    <n v="0"/>
    <n v="0"/>
    <n v="1"/>
    <n v="1"/>
    <n v="0"/>
    <n v="0"/>
    <n v="100"/>
    <s v="Consolidation"/>
    <s v="CO2e and Base Measure"/>
    <n v="100"/>
    <n v="100"/>
    <n v="0"/>
    <m/>
    <m/>
    <m/>
    <m/>
    <m/>
    <m/>
    <n v="0"/>
    <m/>
    <m/>
    <m/>
    <m/>
    <m/>
    <m/>
    <s v="AUD"/>
    <s v="13565794Waste Recycled - Cardboard [t]"/>
    <n v="13565794"/>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1-01-01T00:00:00"/>
    <s v="FY21"/>
    <s v="t"/>
    <n v="0"/>
    <n v="0"/>
    <n v="2.7000000000000001E-3"/>
    <n v="2.7000000000000001E-3"/>
    <n v="0"/>
    <n v="0"/>
    <n v="1"/>
    <n v="1"/>
    <n v="0"/>
    <n v="0"/>
    <n v="100"/>
    <s v="Consolidation"/>
    <s v="CO2e and Base Measure"/>
    <n v="100"/>
    <n v="100"/>
    <n v="0"/>
    <m/>
    <m/>
    <m/>
    <m/>
    <m/>
    <n v="3.5000000000000001E-3"/>
    <m/>
    <n v="3.5000000000000001E-3"/>
    <m/>
    <m/>
    <m/>
    <m/>
    <m/>
    <s v="AUD"/>
    <s v="13565795Waste - General [t] - Scope 3"/>
    <n v="13565795"/>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0-08-01T00:00:00"/>
    <s v="FY21"/>
    <s v="t"/>
    <n v="0.29499999999999998"/>
    <n v="0"/>
    <n v="0"/>
    <n v="0.29499999999999998"/>
    <n v="1"/>
    <n v="0"/>
    <n v="0"/>
    <n v="1"/>
    <n v="100"/>
    <n v="0"/>
    <n v="0"/>
    <s v="Consolidation"/>
    <s v="CO2e and Base Measure"/>
    <n v="100"/>
    <n v="100"/>
    <n v="0.3"/>
    <m/>
    <m/>
    <m/>
    <m/>
    <m/>
    <n v="0.38350000000000001"/>
    <m/>
    <n v="0.38350000000000001"/>
    <m/>
    <m/>
    <m/>
    <m/>
    <m/>
    <s v="AUD"/>
    <s v="13566113Waste - General [t] - Scope 3"/>
    <n v="13566113"/>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0-10-01T00:00:00"/>
    <s v="FY21"/>
    <s v="t"/>
    <n v="0.69"/>
    <n v="0"/>
    <n v="0"/>
    <n v="0.69"/>
    <n v="2"/>
    <n v="0"/>
    <n v="0"/>
    <n v="2"/>
    <n v="100"/>
    <n v="0"/>
    <n v="0"/>
    <s v="Consolidation"/>
    <s v="CO2e and Base Measure"/>
    <n v="100"/>
    <n v="100"/>
    <n v="0.69"/>
    <m/>
    <m/>
    <m/>
    <m/>
    <m/>
    <n v="0.89700000000000002"/>
    <m/>
    <n v="0.89700000000000002"/>
    <m/>
    <m/>
    <m/>
    <m/>
    <m/>
    <s v="AUD"/>
    <s v="13566113Waste - General [t] - Scope 3"/>
    <n v="13566113"/>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0-11-01T00:00:00"/>
    <s v="FY21"/>
    <s v="t"/>
    <n v="0.22500000000000001"/>
    <n v="0"/>
    <n v="0"/>
    <n v="0.22500000000000001"/>
    <n v="1"/>
    <n v="0"/>
    <n v="0"/>
    <n v="1"/>
    <n v="100"/>
    <n v="0"/>
    <n v="0"/>
    <s v="Consolidation"/>
    <s v="CO2e and Base Measure"/>
    <n v="100"/>
    <n v="100"/>
    <n v="0.23"/>
    <m/>
    <m/>
    <m/>
    <m/>
    <m/>
    <n v="0.29249999999999998"/>
    <m/>
    <n v="0.29249999999999998"/>
    <m/>
    <m/>
    <m/>
    <m/>
    <m/>
    <s v="AUD"/>
    <s v="13566113Waste - General [t] - Scope 3"/>
    <n v="13566113"/>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6113Waste - General [t] - Scope 3"/>
    <n v="13566113"/>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1-01-01T00:00:00"/>
    <s v="FY21"/>
    <s v="t"/>
    <n v="0"/>
    <n v="0"/>
    <n v="7.7999999999999996E-3"/>
    <n v="7.7999999999999996E-3"/>
    <n v="0"/>
    <n v="0"/>
    <n v="1"/>
    <n v="1"/>
    <n v="0"/>
    <n v="0"/>
    <n v="100"/>
    <s v="Consolidation"/>
    <s v="CO2e and Base Measure"/>
    <n v="100"/>
    <n v="100"/>
    <n v="0.01"/>
    <m/>
    <m/>
    <m/>
    <m/>
    <m/>
    <n v="1.01E-2"/>
    <m/>
    <n v="1.01E-2"/>
    <m/>
    <m/>
    <m/>
    <m/>
    <m/>
    <s v="AUD"/>
    <s v="13566113Waste - General [t] - Scope 3"/>
    <n v="13566113"/>
  </r>
  <r>
    <d v="2019-07-01T00:00:00"/>
    <d v="2021-06-30T00:00:00"/>
    <s v="Telstra"/>
    <s v="NETWORK"/>
    <s v="Network - Telstra/InfraCo Split"/>
    <s v="VIC"/>
    <s v="Australia"/>
    <s v="Doveton"/>
    <s v="TELSTRA MUSEUM NATIONAL STORAGE FACILITY"/>
    <n v="423034000200"/>
    <s v="Recycled Waste"/>
    <x v="0"/>
    <x v="3"/>
    <s v="Account"/>
    <s v="Remondis Commingled - Recycled"/>
    <m/>
    <s v="423034000200_RCOMINGLE"/>
    <s v="COMMINGLED - RECYCLED"/>
    <s v="Remondis"/>
    <m/>
    <m/>
    <d v="2021-01-01T00:00:00"/>
    <d v="2020-07-01T00:00:00"/>
    <s v="FY21"/>
    <s v="t"/>
    <n v="0"/>
    <n v="0.3"/>
    <n v="0"/>
    <n v="0.3"/>
    <n v="0"/>
    <n v="1"/>
    <n v="0"/>
    <n v="1"/>
    <n v="0"/>
    <n v="100"/>
    <n v="0"/>
    <s v="Consolidation"/>
    <s v="CO2e and Base Measure"/>
    <n v="100"/>
    <n v="100"/>
    <n v="0.3"/>
    <m/>
    <m/>
    <m/>
    <m/>
    <m/>
    <m/>
    <n v="0"/>
    <m/>
    <m/>
    <m/>
    <m/>
    <m/>
    <m/>
    <s v="AUD"/>
    <s v="13576302Waste Recycled - Commingled [t]"/>
    <n v="13576302"/>
  </r>
  <r>
    <d v="2019-07-01T00:00:00"/>
    <d v="2021-06-30T00:00:00"/>
    <s v="Telstra"/>
    <s v="NETWORK"/>
    <s v="Network - Telstra/InfraCo Split"/>
    <s v="VIC"/>
    <s v="Australia"/>
    <s v="Doveton"/>
    <s v="TELSTRA MUSEUM NATIONAL STORAGE FACILITY"/>
    <n v="423034000200"/>
    <s v="Recycled Waste"/>
    <x v="0"/>
    <x v="3"/>
    <s v="Account"/>
    <s v="Remondis Commingled - Recycled"/>
    <m/>
    <s v="423034000200_RCOMINGLE"/>
    <s v="COMMINGLED - RECYCLED"/>
    <s v="Remondis"/>
    <m/>
    <m/>
    <d v="2021-01-01T00:00:00"/>
    <d v="2020-10-01T00:00:00"/>
    <s v="FY21"/>
    <s v="t"/>
    <n v="0"/>
    <n v="0.3"/>
    <n v="0"/>
    <n v="0.3"/>
    <n v="0"/>
    <n v="1"/>
    <n v="0"/>
    <n v="1"/>
    <n v="0"/>
    <n v="100"/>
    <n v="0"/>
    <s v="Consolidation"/>
    <s v="CO2e and Base Measure"/>
    <n v="100"/>
    <n v="100"/>
    <n v="0.3"/>
    <m/>
    <m/>
    <m/>
    <m/>
    <m/>
    <m/>
    <n v="0"/>
    <m/>
    <m/>
    <m/>
    <m/>
    <m/>
    <m/>
    <s v="AUD"/>
    <s v="13576302Waste Recycled - Commingled [t]"/>
    <n v="13576302"/>
  </r>
  <r>
    <d v="2019-07-01T00:00:00"/>
    <d v="2021-06-30T00:00:00"/>
    <s v="Telstra"/>
    <s v="NETWORK"/>
    <s v="Network - Telstra/InfraCo Split"/>
    <s v="VIC"/>
    <s v="Australia"/>
    <s v="Doveton"/>
    <s v="TELSTRA MUSEUM NATIONAL STORAGE FACILITY"/>
    <n v="423034000200"/>
    <s v="Recycled Waste"/>
    <x v="0"/>
    <x v="3"/>
    <s v="Account"/>
    <s v="Remondis Commingled - Recycled"/>
    <m/>
    <s v="423034000200_RCOMINGLE"/>
    <s v="COMMINGLED - RECYCLED"/>
    <s v="Remondis"/>
    <m/>
    <m/>
    <d v="2021-01-01T00:00:00"/>
    <d v="2020-12-01T00:00:00"/>
    <s v="FY21"/>
    <s v="t"/>
    <n v="0"/>
    <n v="0.3"/>
    <n v="0"/>
    <n v="0.3"/>
    <n v="0"/>
    <n v="1"/>
    <n v="0"/>
    <n v="1"/>
    <n v="0"/>
    <n v="100"/>
    <n v="0"/>
    <s v="Consolidation"/>
    <s v="CO2e and Base Measure"/>
    <n v="100"/>
    <n v="100"/>
    <n v="0.3"/>
    <m/>
    <m/>
    <m/>
    <m/>
    <m/>
    <m/>
    <n v="0"/>
    <m/>
    <m/>
    <m/>
    <m/>
    <m/>
    <m/>
    <s v="AUD"/>
    <s v="13576302Waste Recycled - Commingled [t]"/>
    <n v="13576302"/>
  </r>
  <r>
    <d v="2019-07-01T00:00:00"/>
    <d v="2021-06-30T00:00:00"/>
    <s v="Telstra"/>
    <s v="NETWORK"/>
    <s v="Network - Telstra/InfraCo Split"/>
    <s v="VIC"/>
    <s v="Australia"/>
    <s v="Doveton"/>
    <s v="TELSTRA MUSEUM NATIONAL STORAGE FACILITY"/>
    <n v="423034000200"/>
    <s v="Recycled Waste"/>
    <x v="0"/>
    <x v="3"/>
    <s v="Account"/>
    <s v="Remondis Commingled - Recycled"/>
    <m/>
    <s v="423034000200_RCOMINGLE"/>
    <s v="COMMINGLED - RECYCLED"/>
    <s v="Remondis"/>
    <m/>
    <m/>
    <d v="2021-01-01T00:00:00"/>
    <d v="2021-01-01T00:00:00"/>
    <s v="FY21"/>
    <s v="t"/>
    <n v="0"/>
    <n v="0"/>
    <n v="4.8999999999999998E-3"/>
    <n v="4.8999999999999998E-3"/>
    <n v="0"/>
    <n v="0"/>
    <n v="1"/>
    <n v="1"/>
    <n v="0"/>
    <n v="0"/>
    <n v="100"/>
    <s v="Consolidation"/>
    <s v="CO2e and Base Measure"/>
    <n v="100"/>
    <n v="100"/>
    <n v="0"/>
    <m/>
    <m/>
    <m/>
    <m/>
    <m/>
    <m/>
    <n v="0"/>
    <m/>
    <m/>
    <m/>
    <m/>
    <m/>
    <m/>
    <s v="AUD"/>
    <s v="13576302Waste Recycled - Commingled [t]"/>
    <n v="13576302"/>
  </r>
  <r>
    <d v="2019-07-01T00:00:00"/>
    <d v="2021-06-30T00:00:00"/>
    <s v="Telstra"/>
    <s v="NETWORK"/>
    <s v="Network - Telstra/InfraCo Split"/>
    <s v="VIC"/>
    <s v="Australia"/>
    <s v="Doveton"/>
    <s v="TELSTRA MUSEUM NATIONAL STORAGE FACILITY"/>
    <n v="423034000200"/>
    <s v="Waste"/>
    <x v="1"/>
    <x v="2"/>
    <s v="Account"/>
    <s v="CLEANAWAY General"/>
    <m/>
    <s v="34000200_Landfill_General"/>
    <s v="General"/>
    <s v="Cleanaway"/>
    <m/>
    <d v="2021-02-17T00:00:00"/>
    <m/>
    <d v="2021-02-01T00:00:00"/>
    <s v="FY21"/>
    <s v="t"/>
    <n v="0.34399999999999997"/>
    <n v="0"/>
    <n v="0"/>
    <n v="0.34399999999999997"/>
    <n v="1"/>
    <n v="0"/>
    <n v="0"/>
    <n v="1"/>
    <n v="100"/>
    <n v="0"/>
    <n v="0"/>
    <s v="Consolidation"/>
    <s v="CO2e and Base Measure"/>
    <n v="100"/>
    <n v="100"/>
    <n v="0.34"/>
    <m/>
    <m/>
    <m/>
    <m/>
    <m/>
    <n v="0.44719999999999999"/>
    <m/>
    <n v="0.44719999999999999"/>
    <m/>
    <m/>
    <m/>
    <m/>
    <m/>
    <s v="AUD"/>
    <s v="13639960Waste - General [t] - Scope 3"/>
    <n v="13639960"/>
  </r>
  <r>
    <d v="2019-07-01T00:00:00"/>
    <d v="2021-06-30T00:00:00"/>
    <s v="Telstra"/>
    <s v="NETWORK"/>
    <s v="Network - Telstra/InfraCo Split"/>
    <s v="VIC"/>
    <s v="Australia"/>
    <s v="Doveton"/>
    <s v="TELSTRA MUSEUM NATIONAL STORAGE FACILITY"/>
    <n v="423034000200"/>
    <s v="Waste"/>
    <x v="1"/>
    <x v="2"/>
    <s v="Account"/>
    <s v="CLEANAWAY General"/>
    <m/>
    <s v="34000200_Landfill_General"/>
    <s v="General"/>
    <s v="Cleanaway"/>
    <m/>
    <d v="2021-02-17T00:00:00"/>
    <m/>
    <d v="2021-03-01T00:00:00"/>
    <s v="FY21"/>
    <s v="t"/>
    <n v="0.39400000000000002"/>
    <n v="0"/>
    <n v="0"/>
    <n v="0.39400000000000002"/>
    <n v="3"/>
    <n v="0"/>
    <n v="0"/>
    <n v="3"/>
    <n v="100"/>
    <n v="0"/>
    <n v="0"/>
    <s v="Consolidation"/>
    <s v="CO2e and Base Measure"/>
    <n v="100"/>
    <n v="100"/>
    <n v="0.39"/>
    <m/>
    <m/>
    <m/>
    <m/>
    <m/>
    <n v="0.51219999999999999"/>
    <m/>
    <n v="0.51219999999999999"/>
    <m/>
    <m/>
    <m/>
    <m/>
    <m/>
    <s v="AUD"/>
    <s v="13639960Waste - General [t] - Scope 3"/>
    <n v="13639960"/>
  </r>
  <r>
    <d v="2019-07-01T00:00:00"/>
    <d v="2021-06-30T00:00:00"/>
    <s v="Telstra"/>
    <s v="NETWORK"/>
    <s v="Network - Telstra/InfraCo Split"/>
    <s v="VIC"/>
    <s v="Australia"/>
    <s v="Doveton"/>
    <s v="TELSTRA MUSEUM NATIONAL STORAGE FACILITY"/>
    <n v="423034000200"/>
    <s v="Waste"/>
    <x v="1"/>
    <x v="2"/>
    <s v="Account"/>
    <s v="CLEANAWAY General"/>
    <m/>
    <s v="34000200_Landfill_General"/>
    <s v="General"/>
    <s v="Cleanaway"/>
    <m/>
    <d v="2021-02-17T00:00:00"/>
    <m/>
    <d v="2021-04-01T00:00:00"/>
    <s v="FY21"/>
    <s v="t"/>
    <n v="0"/>
    <n v="0"/>
    <n v="0.38100000000000001"/>
    <n v="0.38100000000000001"/>
    <n v="0"/>
    <n v="0"/>
    <n v="30"/>
    <n v="30"/>
    <n v="0"/>
    <n v="0"/>
    <n v="100"/>
    <s v="Consolidation"/>
    <s v="CO2e and Base Measure"/>
    <n v="100"/>
    <n v="100"/>
    <n v="0.38"/>
    <m/>
    <m/>
    <m/>
    <m/>
    <m/>
    <n v="0.49530000000000002"/>
    <m/>
    <n v="0.49530000000000002"/>
    <m/>
    <m/>
    <m/>
    <m/>
    <m/>
    <s v="AUD"/>
    <s v="13639960Waste - General [t] - Scope 3"/>
    <n v="13639960"/>
  </r>
  <r>
    <d v="2019-07-01T00:00:00"/>
    <d v="2021-06-30T00:00:00"/>
    <s v="Telstra"/>
    <s v="NETWORK"/>
    <s v="Network - Telstra/InfraCo Split"/>
    <s v="VIC"/>
    <s v="Australia"/>
    <s v="Doveton"/>
    <s v="TELSTRA MUSEUM NATIONAL STORAGE FACILITY"/>
    <n v="423034000200"/>
    <s v="Waste"/>
    <x v="1"/>
    <x v="2"/>
    <s v="Account"/>
    <s v="CLEANAWAY General"/>
    <m/>
    <s v="34000200_Landfill_General"/>
    <s v="General"/>
    <s v="Cleanaway"/>
    <m/>
    <d v="2021-02-17T00:00:00"/>
    <m/>
    <d v="2021-05-01T00:00:00"/>
    <s v="FY21"/>
    <s v="t"/>
    <n v="0"/>
    <n v="0"/>
    <n v="0.39369999999999999"/>
    <n v="0.39369999999999999"/>
    <n v="0"/>
    <n v="0"/>
    <n v="31"/>
    <n v="31"/>
    <n v="0"/>
    <n v="0"/>
    <n v="100"/>
    <s v="Consolidation"/>
    <s v="CO2e and Base Measure"/>
    <n v="100"/>
    <n v="100"/>
    <n v="0.39"/>
    <m/>
    <m/>
    <m/>
    <m/>
    <m/>
    <n v="0.51180000000000003"/>
    <m/>
    <n v="0.51180000000000003"/>
    <m/>
    <m/>
    <m/>
    <m/>
    <m/>
    <s v="AUD"/>
    <s v="13639960Waste - General [t] - Scope 3"/>
    <n v="13639960"/>
  </r>
  <r>
    <d v="2019-07-01T00:00:00"/>
    <d v="2021-06-30T00:00:00"/>
    <s v="Telstra"/>
    <s v="NETWORK"/>
    <s v="Network - Telstra/InfraCo Split"/>
    <s v="VIC"/>
    <s v="Australia"/>
    <s v="Doveton"/>
    <s v="TELSTRA MUSEUM NATIONAL STORAGE FACILITY"/>
    <n v="423034000200"/>
    <s v="Recycled Waste"/>
    <x v="0"/>
    <x v="0"/>
    <s v="Account"/>
    <s v="CLEANAWAY Cardboard"/>
    <m/>
    <s v="34000200_Diversion_Cardboard"/>
    <s v="Cardboard"/>
    <s v="Cleanaway"/>
    <m/>
    <m/>
    <m/>
    <d v="2021-03-01T00:00:00"/>
    <s v="FY21"/>
    <s v="t"/>
    <n v="0.05"/>
    <n v="7.4999999999999997E-2"/>
    <n v="0"/>
    <n v="0.125"/>
    <n v="1"/>
    <n v="1"/>
    <n v="0"/>
    <n v="2"/>
    <n v="40"/>
    <n v="60"/>
    <n v="0"/>
    <s v="Consolidation"/>
    <s v="CO2e and Base Measure"/>
    <n v="100"/>
    <n v="100"/>
    <n v="0.13"/>
    <m/>
    <m/>
    <m/>
    <m/>
    <m/>
    <m/>
    <m/>
    <m/>
    <m/>
    <m/>
    <m/>
    <m/>
    <m/>
    <s v="AUD"/>
    <s v="13641245Waste Recycled - Paper and Cardboard [t]"/>
    <n v="13641245"/>
  </r>
  <r>
    <d v="2019-07-01T00:00:00"/>
    <d v="2021-06-30T00:00:00"/>
    <s v="Telstra"/>
    <s v="NETWORK"/>
    <s v="Network - Telstra/InfraCo Split"/>
    <s v="VIC"/>
    <s v="Australia"/>
    <s v="Doveton"/>
    <s v="TELSTRA MUSEUM NATIONAL STORAGE FACILITY"/>
    <n v="423034000200"/>
    <s v="Recycled Waste"/>
    <x v="0"/>
    <x v="0"/>
    <s v="Account"/>
    <s v="CLEANAWAY Cardboard"/>
    <m/>
    <s v="34000200_Diversion_Cardboard"/>
    <s v="Cardboard"/>
    <s v="Cleanaway"/>
    <m/>
    <m/>
    <m/>
    <d v="2021-04-01T00:00:00"/>
    <s v="FY21"/>
    <s v="t"/>
    <n v="0"/>
    <n v="0"/>
    <n v="0.126"/>
    <n v="0.126"/>
    <n v="0"/>
    <n v="0"/>
    <n v="30"/>
    <n v="30"/>
    <n v="0"/>
    <n v="0"/>
    <n v="100"/>
    <s v="Consolidation"/>
    <s v="CO2e and Base Measure"/>
    <n v="100"/>
    <n v="100"/>
    <n v="0.13"/>
    <m/>
    <m/>
    <m/>
    <m/>
    <m/>
    <m/>
    <m/>
    <m/>
    <m/>
    <m/>
    <m/>
    <m/>
    <m/>
    <s v="AUD"/>
    <s v="13641245Waste Recycled - Paper and Cardboard [t]"/>
    <n v="13641245"/>
  </r>
  <r>
    <d v="2019-07-01T00:00:00"/>
    <d v="2021-06-30T00:00:00"/>
    <s v="Telstra"/>
    <s v="NETWORK"/>
    <s v="Network - Telstra/InfraCo Split"/>
    <s v="VIC"/>
    <s v="Australia"/>
    <s v="Doveton"/>
    <s v="TELSTRA MUSEUM NATIONAL STORAGE FACILITY"/>
    <n v="423034000200"/>
    <s v="Recycled Waste"/>
    <x v="0"/>
    <x v="0"/>
    <s v="Account"/>
    <s v="CLEANAWAY Cardboard"/>
    <m/>
    <s v="34000200_Diversion_Cardboard"/>
    <s v="Cardboard"/>
    <s v="Cleanaway"/>
    <m/>
    <m/>
    <m/>
    <d v="2021-05-01T00:00:00"/>
    <s v="FY21"/>
    <s v="t"/>
    <n v="0"/>
    <n v="0"/>
    <n v="0.13020000000000001"/>
    <n v="0.13020000000000001"/>
    <n v="0"/>
    <n v="0"/>
    <n v="31"/>
    <n v="31"/>
    <n v="0"/>
    <n v="0"/>
    <n v="100"/>
    <s v="Consolidation"/>
    <s v="CO2e and Base Measure"/>
    <n v="100"/>
    <n v="100"/>
    <n v="0.13"/>
    <m/>
    <m/>
    <m/>
    <m/>
    <m/>
    <m/>
    <m/>
    <m/>
    <m/>
    <m/>
    <m/>
    <m/>
    <m/>
    <s v="AUD"/>
    <s v="13641245Waste Recycled - Paper and Cardboard [t]"/>
    <n v="13641245"/>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1-01T00:00:00"/>
    <s v="FY21"/>
    <s v="t"/>
    <n v="1"/>
    <n v="0"/>
    <n v="0"/>
    <n v="1"/>
    <n v="1"/>
    <n v="0"/>
    <n v="0"/>
    <n v="1"/>
    <n v="100"/>
    <n v="0"/>
    <n v="0"/>
    <s v="Consolidation"/>
    <s v="CO2e and Base Measure"/>
    <n v="100"/>
    <n v="100"/>
    <n v="1"/>
    <m/>
    <m/>
    <m/>
    <m/>
    <m/>
    <n v="1.3"/>
    <m/>
    <n v="1.3"/>
    <m/>
    <m/>
    <m/>
    <m/>
    <m/>
    <s v="AUD"/>
    <s v="13634520Waste - General [t] - Scope 3"/>
    <n v="13634520"/>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2-01T00:00:00"/>
    <s v="FY21"/>
    <s v="t"/>
    <n v="3.2"/>
    <n v="0"/>
    <n v="0"/>
    <n v="3.2"/>
    <n v="3"/>
    <n v="0"/>
    <n v="0"/>
    <n v="3"/>
    <n v="100"/>
    <n v="0"/>
    <n v="0"/>
    <s v="Consolidation"/>
    <s v="CO2e and Base Measure"/>
    <n v="100"/>
    <n v="100"/>
    <n v="3.2"/>
    <m/>
    <m/>
    <m/>
    <m/>
    <m/>
    <n v="4.16"/>
    <m/>
    <n v="4.16"/>
    <m/>
    <m/>
    <m/>
    <m/>
    <m/>
    <s v="AUD"/>
    <s v="13634520Waste - General [t] - Scope 3"/>
    <n v="13634520"/>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3-01T00:00:00"/>
    <s v="FY21"/>
    <s v="t"/>
    <n v="2.74"/>
    <n v="0"/>
    <n v="0"/>
    <n v="2.74"/>
    <n v="3"/>
    <n v="0"/>
    <n v="0"/>
    <n v="3"/>
    <n v="100"/>
    <n v="0"/>
    <n v="0"/>
    <s v="Consolidation"/>
    <s v="CO2e and Base Measure"/>
    <n v="100"/>
    <n v="100"/>
    <n v="2.74"/>
    <m/>
    <m/>
    <m/>
    <m/>
    <m/>
    <n v="3.5619999999999998"/>
    <m/>
    <n v="3.5619999999999998"/>
    <m/>
    <m/>
    <m/>
    <m/>
    <m/>
    <s v="AUD"/>
    <s v="13634520Waste - General [t] - Scope 3"/>
    <n v="13634520"/>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4-01T00:00:00"/>
    <s v="FY21"/>
    <s v="t"/>
    <n v="0"/>
    <n v="0"/>
    <n v="2.34"/>
    <n v="2.34"/>
    <n v="0"/>
    <n v="0"/>
    <n v="30"/>
    <n v="30"/>
    <n v="0"/>
    <n v="0"/>
    <n v="100"/>
    <s v="Consolidation"/>
    <s v="CO2e and Base Measure"/>
    <n v="100"/>
    <n v="100"/>
    <n v="2.34"/>
    <m/>
    <m/>
    <m/>
    <m/>
    <m/>
    <n v="3.0419999999999998"/>
    <m/>
    <n v="3.0419999999999998"/>
    <m/>
    <m/>
    <m/>
    <m/>
    <m/>
    <s v="AUD"/>
    <s v="13634520Waste - General [t] - Scope 3"/>
    <n v="13634520"/>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5-01T00:00:00"/>
    <s v="FY21"/>
    <s v="t"/>
    <n v="0"/>
    <n v="0"/>
    <n v="2.4180000000000001"/>
    <n v="2.4180000000000001"/>
    <n v="0"/>
    <n v="0"/>
    <n v="31"/>
    <n v="31"/>
    <n v="0"/>
    <n v="0"/>
    <n v="100"/>
    <s v="Consolidation"/>
    <s v="CO2e and Base Measure"/>
    <n v="100"/>
    <n v="100"/>
    <n v="2.42"/>
    <m/>
    <m/>
    <m/>
    <m/>
    <m/>
    <n v="3.1434000000000002"/>
    <m/>
    <n v="3.1434000000000002"/>
    <m/>
    <m/>
    <m/>
    <m/>
    <m/>
    <s v="AUD"/>
    <s v="13634520Waste - General [t] - Scope 3"/>
    <n v="13634520"/>
  </r>
  <r>
    <d v="2019-07-01T00:00:00"/>
    <d v="2021-06-30T00:00:00"/>
    <s v="Telstra"/>
    <s v="NON-NETWORK"/>
    <s v="NON-NETWORK"/>
    <s v="VIC"/>
    <s v="Australia"/>
    <s v="Victoria"/>
    <s v="Telstra Shop S006"/>
    <n v="423034098600"/>
    <s v="Waste"/>
    <x v="1"/>
    <x v="2"/>
    <s v="Account"/>
    <s v="Remondis General Waste"/>
    <m/>
    <s v="423031014762_WGENERALW"/>
    <s v="GENERAL WASTE"/>
    <s v="Remondis"/>
    <m/>
    <m/>
    <d v="2021-01-01T00:00:00"/>
    <d v="2020-07-01T00:00:00"/>
    <s v="FY21"/>
    <s v="t"/>
    <n v="0"/>
    <n v="7.8E-2"/>
    <n v="0"/>
    <n v="7.8E-2"/>
    <n v="0"/>
    <n v="5"/>
    <n v="0"/>
    <n v="5"/>
    <n v="0"/>
    <n v="100"/>
    <n v="0"/>
    <s v="Consolidation"/>
    <s v="CO2e and Base Measure"/>
    <n v="100"/>
    <n v="100"/>
    <n v="0.08"/>
    <m/>
    <m/>
    <m/>
    <m/>
    <m/>
    <n v="0.1014"/>
    <m/>
    <n v="0.1014"/>
    <m/>
    <m/>
    <m/>
    <m/>
    <m/>
    <s v="AUD"/>
    <s v="13596891Waste - General [t] - Scope 3"/>
    <n v="13596891"/>
  </r>
  <r>
    <d v="2019-07-01T00:00:00"/>
    <d v="2021-06-30T00:00:00"/>
    <s v="Telstra"/>
    <s v="NON-NETWORK"/>
    <s v="NON-NETWORK"/>
    <s v="VIC"/>
    <s v="Australia"/>
    <s v="Victoria"/>
    <s v="Telstra Shop S006"/>
    <n v="423034098600"/>
    <s v="Waste"/>
    <x v="1"/>
    <x v="2"/>
    <s v="Account"/>
    <s v="Remondis General Waste"/>
    <m/>
    <s v="423031014762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96891Waste - General [t] - Scope 3"/>
    <n v="13596891"/>
  </r>
  <r>
    <d v="2019-07-01T00:00:00"/>
    <d v="2021-06-30T00:00:00"/>
    <s v="Telstra"/>
    <s v="NON-NETWORK"/>
    <s v="NON-NETWORK"/>
    <s v="VIC"/>
    <s v="Australia"/>
    <s v="Victoria"/>
    <s v="Telstra Shop S006"/>
    <n v="423034098600"/>
    <s v="Waste"/>
    <x v="1"/>
    <x v="2"/>
    <s v="Account"/>
    <s v="Remondis General Waste"/>
    <m/>
    <s v="423031014762_WGENERALW"/>
    <s v="GENERAL WASTE"/>
    <s v="Remondis"/>
    <m/>
    <m/>
    <d v="2021-01-01T00:00:00"/>
    <d v="2021-01-01T00:00:00"/>
    <s v="FY21"/>
    <s v="t"/>
    <n v="0"/>
    <n v="0"/>
    <n v="1E-3"/>
    <n v="1E-3"/>
    <n v="0"/>
    <n v="0"/>
    <n v="1"/>
    <n v="1"/>
    <n v="0"/>
    <n v="0"/>
    <n v="100"/>
    <s v="Consolidation"/>
    <s v="CO2e and Base Measure"/>
    <n v="100"/>
    <n v="100"/>
    <n v="0"/>
    <m/>
    <m/>
    <m/>
    <m/>
    <m/>
    <n v="1.2999999999999999E-3"/>
    <m/>
    <n v="1.2999999999999999E-3"/>
    <m/>
    <m/>
    <m/>
    <m/>
    <m/>
    <s v="AUD"/>
    <s v="13596891Waste - General [t] - Scope 3"/>
    <n v="13596891"/>
  </r>
  <r>
    <d v="2019-07-01T00:00:00"/>
    <d v="2021-06-30T00:00:00"/>
    <s v="Telstra"/>
    <s v="NON-NETWORK"/>
    <s v="NON-NETWORK"/>
    <s v="VIC"/>
    <s v="Australia"/>
    <s v="Victoria"/>
    <s v="Telstra Shop S006"/>
    <n v="423034098600"/>
    <s v="Recycled Waste"/>
    <x v="0"/>
    <x v="3"/>
    <s v="Account"/>
    <s v="Remondis Commingled - Recycled"/>
    <m/>
    <s v="423031014762_RCOMINGLE"/>
    <s v="COMMINGLED - RECYCLED"/>
    <s v="Remondis"/>
    <m/>
    <m/>
    <d v="2021-01-01T00:00:00"/>
    <d v="2020-07-01T00:00:00"/>
    <s v="FY21"/>
    <s v="t"/>
    <n v="0"/>
    <n v="0.12"/>
    <n v="0"/>
    <n v="0.12"/>
    <n v="0"/>
    <n v="5"/>
    <n v="0"/>
    <n v="5"/>
    <n v="0"/>
    <n v="100"/>
    <n v="0"/>
    <s v="Consolidation"/>
    <s v="CO2e and Base Measure"/>
    <n v="100"/>
    <n v="100"/>
    <n v="0.12"/>
    <m/>
    <m/>
    <m/>
    <m/>
    <m/>
    <m/>
    <n v="0"/>
    <m/>
    <m/>
    <m/>
    <m/>
    <m/>
    <m/>
    <s v="AUD"/>
    <s v="13596895Waste Recycled - Commingled [t]"/>
    <n v="13596895"/>
  </r>
  <r>
    <d v="2019-07-01T00:00:00"/>
    <d v="2021-06-30T00:00:00"/>
    <s v="Telstra"/>
    <s v="NON-NETWORK"/>
    <s v="NON-NETWORK"/>
    <s v="VIC"/>
    <s v="Australia"/>
    <s v="Victoria"/>
    <s v="Telstra Shop S006"/>
    <n v="423034098600"/>
    <s v="Recycled Waste"/>
    <x v="0"/>
    <x v="3"/>
    <s v="Account"/>
    <s v="Remondis Commingled - Recycled"/>
    <m/>
    <s v="423031014762_RCOMINGLE"/>
    <s v="COMMINGLED - RECYCLED"/>
    <s v="Remondis"/>
    <m/>
    <m/>
    <d v="2021-01-01T00:00:00"/>
    <d v="2020-08-01T00:00:00"/>
    <s v="FY21"/>
    <s v="t"/>
    <n v="0"/>
    <n v="4.8000000000000001E-2"/>
    <n v="0"/>
    <n v="4.8000000000000001E-2"/>
    <n v="0"/>
    <n v="1"/>
    <n v="0"/>
    <n v="1"/>
    <n v="0"/>
    <n v="100"/>
    <n v="0"/>
    <s v="Consolidation"/>
    <s v="CO2e and Base Measure"/>
    <n v="100"/>
    <n v="100"/>
    <n v="0.05"/>
    <m/>
    <m/>
    <m/>
    <m/>
    <m/>
    <m/>
    <n v="0"/>
    <m/>
    <m/>
    <m/>
    <m/>
    <m/>
    <m/>
    <s v="AUD"/>
    <s v="13596895Waste Recycled - Commingled [t]"/>
    <n v="13596895"/>
  </r>
  <r>
    <d v="2019-07-01T00:00:00"/>
    <d v="2021-06-30T00:00:00"/>
    <s v="Telstra"/>
    <s v="NON-NETWORK"/>
    <s v="NON-NETWORK"/>
    <s v="VIC"/>
    <s v="Australia"/>
    <s v="Victoria"/>
    <s v="Telstra Shop S006"/>
    <n v="423034098600"/>
    <s v="Recycled Waste"/>
    <x v="0"/>
    <x v="3"/>
    <s v="Account"/>
    <s v="Remondis Commingled - Recycled"/>
    <m/>
    <s v="423031014762_RCOMINGLE"/>
    <s v="COMMINGLED - RECYCLED"/>
    <s v="Remondis"/>
    <m/>
    <m/>
    <d v="2021-01-01T00:00:00"/>
    <d v="2020-12-01T00:00:00"/>
    <s v="FY21"/>
    <s v="t"/>
    <n v="0"/>
    <n v="2.4E-2"/>
    <n v="0"/>
    <n v="2.4E-2"/>
    <n v="0"/>
    <n v="1"/>
    <n v="0"/>
    <n v="1"/>
    <n v="0"/>
    <n v="100"/>
    <n v="0"/>
    <s v="Consolidation"/>
    <s v="CO2e and Base Measure"/>
    <n v="100"/>
    <n v="100"/>
    <n v="0.02"/>
    <m/>
    <m/>
    <m/>
    <m/>
    <m/>
    <m/>
    <n v="0"/>
    <m/>
    <m/>
    <m/>
    <m/>
    <m/>
    <m/>
    <s v="AUD"/>
    <s v="13596895Waste Recycled - Commingled [t]"/>
    <n v="13596895"/>
  </r>
  <r>
    <d v="2019-07-01T00:00:00"/>
    <d v="2021-06-30T00:00:00"/>
    <s v="Telstra"/>
    <s v="NON-NETWORK"/>
    <s v="NON-NETWORK"/>
    <s v="VIC"/>
    <s v="Australia"/>
    <s v="Victoria"/>
    <s v="Telstra Shop S006"/>
    <n v="423034098600"/>
    <s v="Recycled Waste"/>
    <x v="0"/>
    <x v="3"/>
    <s v="Account"/>
    <s v="Remondis Commingled - Recycled"/>
    <m/>
    <s v="423031014762_RCOMINGLE"/>
    <s v="COMMINGLED - RECYCLED"/>
    <s v="Remondis"/>
    <m/>
    <m/>
    <d v="2021-01-01T00:00:00"/>
    <d v="2021-01-01T00:00:00"/>
    <s v="FY21"/>
    <s v="t"/>
    <n v="0"/>
    <n v="0"/>
    <n v="1.1999999999999999E-3"/>
    <n v="1.1999999999999999E-3"/>
    <n v="0"/>
    <n v="0"/>
    <n v="1"/>
    <n v="1"/>
    <n v="0"/>
    <n v="0"/>
    <n v="100"/>
    <s v="Consolidation"/>
    <s v="CO2e and Base Measure"/>
    <n v="100"/>
    <n v="100"/>
    <n v="0"/>
    <m/>
    <m/>
    <m/>
    <m/>
    <m/>
    <m/>
    <n v="0"/>
    <m/>
    <m/>
    <m/>
    <m/>
    <m/>
    <m/>
    <s v="AUD"/>
    <s v="13596895Waste Recycled - Commingled [t]"/>
    <n v="13596895"/>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1-01T00:00:00"/>
    <s v="FY21"/>
    <s v="t"/>
    <n v="0"/>
    <n v="0.14849999999999999"/>
    <n v="0"/>
    <n v="0.14849999999999999"/>
    <n v="0"/>
    <n v="5"/>
    <n v="0"/>
    <n v="5"/>
    <n v="0"/>
    <n v="100"/>
    <n v="0"/>
    <s v="Consolidation"/>
    <s v="CO2e and Base Measure"/>
    <n v="100"/>
    <n v="100"/>
    <n v="0.15"/>
    <m/>
    <m/>
    <m/>
    <m/>
    <m/>
    <n v="0.19309999999999999"/>
    <m/>
    <n v="0.19309999999999999"/>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2-01T00:00:00"/>
    <s v="FY21"/>
    <s v="t"/>
    <n v="0"/>
    <n v="0.14849999999999999"/>
    <n v="0"/>
    <n v="0.14849999999999999"/>
    <n v="0"/>
    <n v="5"/>
    <n v="0"/>
    <n v="5"/>
    <n v="0"/>
    <n v="100"/>
    <n v="0"/>
    <s v="Consolidation"/>
    <s v="CO2e and Base Measure"/>
    <n v="100"/>
    <n v="100"/>
    <n v="0.15"/>
    <m/>
    <m/>
    <m/>
    <m/>
    <m/>
    <n v="0.19309999999999999"/>
    <m/>
    <n v="0.19309999999999999"/>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3-01T00:00:00"/>
    <s v="FY21"/>
    <s v="t"/>
    <n v="0"/>
    <n v="0.1188"/>
    <n v="0"/>
    <n v="0.1188"/>
    <n v="0"/>
    <n v="4"/>
    <n v="0"/>
    <n v="4"/>
    <n v="0"/>
    <n v="100"/>
    <n v="0"/>
    <s v="Consolidation"/>
    <s v="CO2e and Base Measure"/>
    <n v="100"/>
    <n v="100"/>
    <n v="0.12"/>
    <m/>
    <m/>
    <m/>
    <m/>
    <m/>
    <n v="0.15440000000000001"/>
    <m/>
    <n v="0.15440000000000001"/>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4-01T00:00:00"/>
    <s v="FY21"/>
    <s v="t"/>
    <n v="0"/>
    <n v="0"/>
    <n v="0.111"/>
    <n v="0.111"/>
    <n v="0"/>
    <n v="0"/>
    <n v="30"/>
    <n v="30"/>
    <n v="0"/>
    <n v="0"/>
    <n v="100"/>
    <s v="Consolidation"/>
    <s v="CO2e and Base Measure"/>
    <n v="100"/>
    <n v="100"/>
    <n v="0.11"/>
    <m/>
    <m/>
    <m/>
    <m/>
    <m/>
    <n v="0.14430000000000001"/>
    <m/>
    <n v="0.14430000000000001"/>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5-01T00:00:00"/>
    <s v="FY21"/>
    <s v="t"/>
    <n v="0"/>
    <n v="0"/>
    <n v="0.1147"/>
    <n v="0.1147"/>
    <n v="0"/>
    <n v="0"/>
    <n v="31"/>
    <n v="31"/>
    <n v="0"/>
    <n v="0"/>
    <n v="100"/>
    <s v="Consolidation"/>
    <s v="CO2e and Base Measure"/>
    <n v="100"/>
    <n v="100"/>
    <n v="0.11"/>
    <m/>
    <m/>
    <m/>
    <m/>
    <m/>
    <n v="0.14910000000000001"/>
    <m/>
    <n v="0.14910000000000001"/>
    <m/>
    <m/>
    <m/>
    <m/>
    <m/>
    <s v="AUD"/>
    <s v="13634362Waste - General [t] - Scope 3"/>
    <n v="13634362"/>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1-01T00:00:00"/>
    <s v="FY21"/>
    <s v="t"/>
    <n v="0"/>
    <n v="4.9500000000000002E-2"/>
    <n v="0"/>
    <n v="4.9500000000000002E-2"/>
    <n v="0"/>
    <n v="3"/>
    <n v="0"/>
    <n v="3"/>
    <n v="0"/>
    <n v="100"/>
    <n v="0"/>
    <s v="Consolidation"/>
    <s v="CO2e and Base Measure"/>
    <n v="100"/>
    <n v="100"/>
    <n v="0.05"/>
    <m/>
    <m/>
    <m/>
    <m/>
    <m/>
    <m/>
    <m/>
    <m/>
    <m/>
    <m/>
    <m/>
    <m/>
    <m/>
    <s v="AUD"/>
    <s v="13634516Waste Recycled - Paper and Cardboard [t]"/>
    <n v="13634516"/>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2-01T00:00:00"/>
    <s v="FY21"/>
    <s v="t"/>
    <n v="0"/>
    <n v="8.2500000000000004E-2"/>
    <n v="0"/>
    <n v="8.2500000000000004E-2"/>
    <n v="0"/>
    <n v="5"/>
    <n v="0"/>
    <n v="5"/>
    <n v="0"/>
    <n v="100"/>
    <n v="0"/>
    <s v="Consolidation"/>
    <s v="CO2e and Base Measure"/>
    <n v="100"/>
    <n v="100"/>
    <n v="0.08"/>
    <m/>
    <m/>
    <m/>
    <m/>
    <m/>
    <m/>
    <m/>
    <m/>
    <m/>
    <m/>
    <m/>
    <m/>
    <m/>
    <s v="AUD"/>
    <s v="13634516Waste Recycled - Paper and Cardboard [t]"/>
    <n v="13634516"/>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3-01T00:00:00"/>
    <s v="FY21"/>
    <s v="t"/>
    <n v="0"/>
    <n v="6.6000000000000003E-2"/>
    <n v="0"/>
    <n v="6.6000000000000003E-2"/>
    <n v="0"/>
    <n v="4"/>
    <n v="0"/>
    <n v="4"/>
    <n v="0"/>
    <n v="100"/>
    <n v="0"/>
    <s v="Consolidation"/>
    <s v="CO2e and Base Measure"/>
    <n v="100"/>
    <n v="100"/>
    <n v="7.0000000000000007E-2"/>
    <m/>
    <m/>
    <m/>
    <m/>
    <m/>
    <m/>
    <m/>
    <m/>
    <m/>
    <m/>
    <m/>
    <m/>
    <m/>
    <s v="AUD"/>
    <s v="13634516Waste Recycled - Paper and Cardboard [t]"/>
    <n v="13634516"/>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4-01T00:00:00"/>
    <s v="FY21"/>
    <s v="t"/>
    <n v="0"/>
    <n v="0"/>
    <n v="6.6000000000000003E-2"/>
    <n v="6.6000000000000003E-2"/>
    <n v="0"/>
    <n v="0"/>
    <n v="30"/>
    <n v="30"/>
    <n v="0"/>
    <n v="0"/>
    <n v="100"/>
    <s v="Consolidation"/>
    <s v="CO2e and Base Measure"/>
    <n v="100"/>
    <n v="100"/>
    <n v="7.0000000000000007E-2"/>
    <m/>
    <m/>
    <m/>
    <m/>
    <m/>
    <m/>
    <m/>
    <m/>
    <m/>
    <m/>
    <m/>
    <m/>
    <m/>
    <s v="AUD"/>
    <s v="13634516Waste Recycled - Paper and Cardboard [t]"/>
    <n v="13634516"/>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5-01T00:00:00"/>
    <s v="FY21"/>
    <s v="t"/>
    <n v="0"/>
    <n v="0"/>
    <n v="6.8199999999999997E-2"/>
    <n v="6.8199999999999997E-2"/>
    <n v="0"/>
    <n v="0"/>
    <n v="31"/>
    <n v="31"/>
    <n v="0"/>
    <n v="0"/>
    <n v="100"/>
    <s v="Consolidation"/>
    <s v="CO2e and Base Measure"/>
    <n v="100"/>
    <n v="100"/>
    <n v="7.0000000000000007E-2"/>
    <m/>
    <m/>
    <m/>
    <m/>
    <m/>
    <m/>
    <m/>
    <m/>
    <m/>
    <m/>
    <m/>
    <m/>
    <m/>
    <s v="AUD"/>
    <s v="13634516Waste Recycled - Paper and Cardboard [t]"/>
    <n v="13634516"/>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08-01T00:00:00"/>
    <s v="FY21"/>
    <s v="t"/>
    <n v="2.7E-2"/>
    <n v="0"/>
    <n v="0"/>
    <n v="2.7E-2"/>
    <n v="1"/>
    <n v="0"/>
    <n v="0"/>
    <n v="1"/>
    <n v="100"/>
    <n v="0"/>
    <n v="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09-01T00:00:00"/>
    <s v="FY21"/>
    <s v="t"/>
    <n v="0"/>
    <n v="0"/>
    <n v="2.7E-2"/>
    <n v="2.7E-2"/>
    <n v="0"/>
    <n v="0"/>
    <n v="30"/>
    <n v="30"/>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11-01T00:00:00"/>
    <s v="FY21"/>
    <s v="t"/>
    <n v="0"/>
    <n v="0"/>
    <n v="2.7E-2"/>
    <n v="2.7E-2"/>
    <n v="0"/>
    <n v="0"/>
    <n v="30"/>
    <n v="30"/>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2-01T00:00:00"/>
    <s v="FY21"/>
    <s v="t"/>
    <n v="0"/>
    <n v="0"/>
    <n v="2.52E-2"/>
    <n v="2.52E-2"/>
    <n v="0"/>
    <n v="0"/>
    <n v="28"/>
    <n v="28"/>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4-01T00:00:00"/>
    <s v="FY21"/>
    <s v="t"/>
    <n v="0"/>
    <n v="0"/>
    <n v="2.7E-2"/>
    <n v="2.7E-2"/>
    <n v="0"/>
    <n v="0"/>
    <n v="30"/>
    <n v="30"/>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07-01T00:00:00"/>
    <s v="FY21"/>
    <s v="t"/>
    <n v="0.59499999999999997"/>
    <n v="0"/>
    <n v="0"/>
    <n v="0.59499999999999997"/>
    <n v="3"/>
    <n v="0"/>
    <n v="0"/>
    <n v="3"/>
    <n v="100"/>
    <n v="0"/>
    <n v="0"/>
    <s v="Consolidation"/>
    <s v="CO2e and Base Measure"/>
    <n v="100"/>
    <n v="100"/>
    <n v="0.6"/>
    <m/>
    <m/>
    <m/>
    <m/>
    <m/>
    <n v="0.77349999999999997"/>
    <m/>
    <n v="0.77349999999999997"/>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08-01T00:00:00"/>
    <s v="FY21"/>
    <s v="t"/>
    <n v="0.54"/>
    <n v="0"/>
    <n v="0"/>
    <n v="0.54"/>
    <n v="1"/>
    <n v="0"/>
    <n v="0"/>
    <n v="1"/>
    <n v="100"/>
    <n v="0"/>
    <n v="0"/>
    <s v="Consolidation"/>
    <s v="CO2e and Base Measure"/>
    <n v="100"/>
    <n v="100"/>
    <n v="0.54"/>
    <m/>
    <m/>
    <m/>
    <m/>
    <m/>
    <n v="0.70199999999999996"/>
    <m/>
    <n v="0.70199999999999996"/>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10-01T00:00:00"/>
    <s v="FY21"/>
    <s v="t"/>
    <n v="0.755"/>
    <n v="0"/>
    <n v="0"/>
    <n v="0.755"/>
    <n v="2"/>
    <n v="0"/>
    <n v="0"/>
    <n v="2"/>
    <n v="100"/>
    <n v="0"/>
    <n v="0"/>
    <s v="Consolidation"/>
    <s v="CO2e and Base Measure"/>
    <n v="100"/>
    <n v="100"/>
    <n v="0.76"/>
    <m/>
    <m/>
    <m/>
    <m/>
    <m/>
    <n v="0.98150000000000004"/>
    <m/>
    <n v="0.98150000000000004"/>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11-01T00:00:00"/>
    <s v="FY21"/>
    <s v="t"/>
    <n v="0.40500000000000003"/>
    <n v="0"/>
    <n v="0"/>
    <n v="0.40500000000000003"/>
    <n v="2"/>
    <n v="0"/>
    <n v="0"/>
    <n v="2"/>
    <n v="100"/>
    <n v="0"/>
    <n v="0"/>
    <s v="Consolidation"/>
    <s v="CO2e and Base Measure"/>
    <n v="100"/>
    <n v="100"/>
    <n v="0.41"/>
    <m/>
    <m/>
    <m/>
    <m/>
    <m/>
    <n v="0.52649999999999997"/>
    <m/>
    <n v="0.52649999999999997"/>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12-01T00:00:00"/>
    <s v="FY21"/>
    <s v="t"/>
    <n v="0.24"/>
    <n v="0"/>
    <n v="0"/>
    <n v="0.24"/>
    <n v="1"/>
    <n v="0"/>
    <n v="0"/>
    <n v="1"/>
    <n v="100"/>
    <n v="0"/>
    <n v="0"/>
    <s v="Consolidation"/>
    <s v="CO2e and Base Measure"/>
    <n v="100"/>
    <n v="100"/>
    <n v="0.24"/>
    <m/>
    <m/>
    <m/>
    <m/>
    <m/>
    <n v="0.312"/>
    <m/>
    <n v="0.312"/>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1-01-01T00:00:00"/>
    <s v="FY21"/>
    <s v="t"/>
    <n v="0"/>
    <n v="0"/>
    <n v="1.52E-2"/>
    <n v="1.52E-2"/>
    <n v="0"/>
    <n v="0"/>
    <n v="1"/>
    <n v="1"/>
    <n v="0"/>
    <n v="0"/>
    <n v="100"/>
    <s v="Consolidation"/>
    <s v="CO2e and Base Measure"/>
    <n v="100"/>
    <n v="100"/>
    <n v="0.02"/>
    <m/>
    <m/>
    <m/>
    <m/>
    <m/>
    <n v="1.9800000000000002E-2"/>
    <m/>
    <n v="1.9800000000000002E-2"/>
    <m/>
    <m/>
    <m/>
    <m/>
    <m/>
    <s v="AUD"/>
    <s v="13565174Waste - General [t] - Scope 3"/>
    <n v="13565174"/>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0-11-01T00:00:00"/>
    <s v="FY21"/>
    <s v="t"/>
    <n v="0.25"/>
    <n v="0"/>
    <n v="0"/>
    <n v="0.25"/>
    <n v="1"/>
    <n v="0"/>
    <n v="0"/>
    <n v="1"/>
    <n v="100"/>
    <n v="0"/>
    <n v="0"/>
    <s v="Consolidation"/>
    <s v="CO2e and Base Measure"/>
    <n v="100"/>
    <n v="100"/>
    <n v="0.25"/>
    <m/>
    <m/>
    <m/>
    <m/>
    <m/>
    <n v="0.32500000000000001"/>
    <m/>
    <n v="0.32500000000000001"/>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0-12-01T00:00:00"/>
    <s v="FY21"/>
    <s v="t"/>
    <n v="0.27800000000000002"/>
    <n v="0"/>
    <n v="0"/>
    <n v="0.27800000000000002"/>
    <n v="2"/>
    <n v="0"/>
    <n v="0"/>
    <n v="2"/>
    <n v="100"/>
    <n v="0"/>
    <n v="0"/>
    <s v="Consolidation"/>
    <s v="CO2e and Base Measure"/>
    <n v="100"/>
    <n v="100"/>
    <n v="0.28000000000000003"/>
    <m/>
    <m/>
    <m/>
    <m/>
    <m/>
    <n v="0.3614"/>
    <m/>
    <n v="0.3614"/>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1-01T00:00:00"/>
    <s v="FY21"/>
    <s v="t"/>
    <n v="0.2"/>
    <n v="0"/>
    <n v="0"/>
    <n v="0.2"/>
    <n v="2"/>
    <n v="0"/>
    <n v="0"/>
    <n v="2"/>
    <n v="100"/>
    <n v="0"/>
    <n v="0"/>
    <s v="Consolidation"/>
    <s v="CO2e and Base Measure"/>
    <n v="100"/>
    <n v="100"/>
    <n v="0.2"/>
    <m/>
    <m/>
    <m/>
    <m/>
    <m/>
    <n v="0.26"/>
    <m/>
    <n v="0.26"/>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2-01T00:00:00"/>
    <s v="FY21"/>
    <s v="t"/>
    <n v="0.33"/>
    <n v="0"/>
    <n v="0"/>
    <n v="0.33"/>
    <n v="2"/>
    <n v="0"/>
    <n v="0"/>
    <n v="2"/>
    <n v="100"/>
    <n v="0"/>
    <n v="0"/>
    <s v="Consolidation"/>
    <s v="CO2e and Base Measure"/>
    <n v="100"/>
    <n v="100"/>
    <n v="0.33"/>
    <m/>
    <m/>
    <m/>
    <m/>
    <m/>
    <n v="0.42899999999999999"/>
    <m/>
    <n v="0.42899999999999999"/>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3-01T00:00:00"/>
    <s v="FY21"/>
    <s v="t"/>
    <n v="0.61499999999999999"/>
    <n v="0"/>
    <n v="0"/>
    <n v="0.61499999999999999"/>
    <n v="3"/>
    <n v="0"/>
    <n v="0"/>
    <n v="3"/>
    <n v="100"/>
    <n v="0"/>
    <n v="0"/>
    <s v="Consolidation"/>
    <s v="CO2e and Base Measure"/>
    <n v="100"/>
    <n v="100"/>
    <n v="0.62"/>
    <m/>
    <m/>
    <m/>
    <m/>
    <m/>
    <n v="0.79949999999999999"/>
    <m/>
    <n v="0.79949999999999999"/>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4-01T00:00:00"/>
    <s v="FY21"/>
    <s v="t"/>
    <n v="0"/>
    <n v="0"/>
    <n v="0.33600000000000002"/>
    <n v="0.33600000000000002"/>
    <n v="0"/>
    <n v="0"/>
    <n v="30"/>
    <n v="30"/>
    <n v="0"/>
    <n v="0"/>
    <n v="100"/>
    <s v="Consolidation"/>
    <s v="CO2e and Base Measure"/>
    <n v="100"/>
    <n v="100"/>
    <n v="0.34"/>
    <m/>
    <m/>
    <m/>
    <m/>
    <m/>
    <n v="0.43680000000000002"/>
    <m/>
    <n v="0.43680000000000002"/>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5-01T00:00:00"/>
    <s v="FY21"/>
    <s v="t"/>
    <n v="0"/>
    <n v="0"/>
    <n v="0.34720000000000001"/>
    <n v="0.34720000000000001"/>
    <n v="0"/>
    <n v="0"/>
    <n v="31"/>
    <n v="31"/>
    <n v="0"/>
    <n v="0"/>
    <n v="100"/>
    <s v="Consolidation"/>
    <s v="CO2e and Base Measure"/>
    <n v="100"/>
    <n v="100"/>
    <n v="0.35"/>
    <m/>
    <m/>
    <m/>
    <m/>
    <m/>
    <n v="0.45140000000000002"/>
    <m/>
    <n v="0.45140000000000002"/>
    <m/>
    <m/>
    <m/>
    <m/>
    <m/>
    <s v="AUD"/>
    <s v="13633990Waste - General [t] - Scope 3"/>
    <n v="13633990"/>
  </r>
  <r>
    <d v="2019-07-01T00:00:00"/>
    <d v="2021-06-30T00:00:00"/>
    <s v="Telstra"/>
    <s v="NETWORK"/>
    <s v="Network - InfraCo"/>
    <s v="NT"/>
    <s v="Australia"/>
    <s v="Tennant Creek"/>
    <s v="TENNANT CREEK EXCHANGE"/>
    <n v="423031016300"/>
    <s v="Waste"/>
    <x v="1"/>
    <x v="2"/>
    <s v="Account"/>
    <s v="Remondis General Waste"/>
    <m/>
    <s v="4230310163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5511Waste - General [t] - Scope 3"/>
    <n v="13565511"/>
  </r>
  <r>
    <d v="2019-07-01T00:00:00"/>
    <d v="2021-06-30T00:00:00"/>
    <s v="Telstra"/>
    <s v="NETWORK"/>
    <s v="Network - InfraCo"/>
    <s v="NT"/>
    <s v="Australia"/>
    <s v="Tennant Creek"/>
    <s v="TENNANT CREEK EXCHANGE"/>
    <n v="423031016300"/>
    <s v="Waste"/>
    <x v="1"/>
    <x v="2"/>
    <s v="Account"/>
    <s v="Remondis General Waste"/>
    <m/>
    <s v="423031016300_WGENERALW"/>
    <s v="GENERAL WASTE"/>
    <s v="Remondis"/>
    <m/>
    <m/>
    <d v="2020-09-01T00:00:00"/>
    <d v="2020-09-01T00:00:00"/>
    <s v="FY21"/>
    <s v="t"/>
    <n v="0"/>
    <n v="0"/>
    <n v="6.4999999999999997E-3"/>
    <n v="6.4999999999999997E-3"/>
    <n v="0"/>
    <n v="0"/>
    <n v="1"/>
    <n v="1"/>
    <n v="0"/>
    <n v="0"/>
    <n v="100"/>
    <s v="Consolidation"/>
    <s v="CO2e and Base Measure"/>
    <n v="100"/>
    <n v="100"/>
    <n v="0.01"/>
    <m/>
    <m/>
    <m/>
    <m/>
    <m/>
    <n v="8.5000000000000006E-3"/>
    <m/>
    <n v="8.5000000000000006E-3"/>
    <m/>
    <m/>
    <m/>
    <m/>
    <m/>
    <s v="AUD"/>
    <s v="13565511Waste - General [t] - Scope 3"/>
    <n v="13565511"/>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07-01T00:00:00"/>
    <s v="FY21"/>
    <s v="t"/>
    <n v="0.47"/>
    <n v="0"/>
    <n v="0"/>
    <n v="0.47"/>
    <n v="2"/>
    <n v="0"/>
    <n v="0"/>
    <n v="2"/>
    <n v="100"/>
    <n v="0"/>
    <n v="0"/>
    <s v="Consolidation"/>
    <s v="CO2e and Base Measure"/>
    <n v="100"/>
    <n v="100"/>
    <n v="0.47"/>
    <m/>
    <m/>
    <m/>
    <m/>
    <m/>
    <n v="0.61099999999999999"/>
    <m/>
    <n v="0.61099999999999999"/>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08-01T00:00:00"/>
    <s v="FY21"/>
    <s v="t"/>
    <n v="0.05"/>
    <n v="0"/>
    <n v="0"/>
    <n v="0.05"/>
    <n v="2"/>
    <n v="0"/>
    <n v="0"/>
    <n v="2"/>
    <n v="100"/>
    <n v="0"/>
    <n v="0"/>
    <s v="Consolidation"/>
    <s v="CO2e and Base Measure"/>
    <n v="100"/>
    <n v="100"/>
    <n v="0.05"/>
    <m/>
    <m/>
    <m/>
    <m/>
    <m/>
    <n v="6.5000000000000002E-2"/>
    <m/>
    <n v="6.5000000000000002E-2"/>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09-01T00:00:00"/>
    <s v="FY21"/>
    <s v="t"/>
    <n v="0.6"/>
    <n v="0"/>
    <n v="0"/>
    <n v="0.6"/>
    <n v="3"/>
    <n v="0"/>
    <n v="0"/>
    <n v="3"/>
    <n v="100"/>
    <n v="0"/>
    <n v="0"/>
    <s v="Consolidation"/>
    <s v="CO2e and Base Measure"/>
    <n v="100"/>
    <n v="100"/>
    <n v="0.6"/>
    <m/>
    <m/>
    <m/>
    <m/>
    <m/>
    <n v="0.78"/>
    <m/>
    <n v="0.78"/>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10-01T00:00:00"/>
    <s v="FY21"/>
    <s v="t"/>
    <n v="0.28499999999999998"/>
    <n v="0"/>
    <n v="0"/>
    <n v="0.28499999999999998"/>
    <n v="2"/>
    <n v="0"/>
    <n v="0"/>
    <n v="2"/>
    <n v="100"/>
    <n v="0"/>
    <n v="0"/>
    <s v="Consolidation"/>
    <s v="CO2e and Base Measure"/>
    <n v="100"/>
    <n v="100"/>
    <n v="0.28999999999999998"/>
    <m/>
    <m/>
    <m/>
    <m/>
    <m/>
    <n v="0.3705"/>
    <m/>
    <n v="0.3705"/>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11-01T00:00:00"/>
    <s v="FY21"/>
    <s v="t"/>
    <n v="0.12"/>
    <n v="0"/>
    <n v="0"/>
    <n v="0.12"/>
    <n v="2"/>
    <n v="0"/>
    <n v="0"/>
    <n v="2"/>
    <n v="100"/>
    <n v="0"/>
    <n v="0"/>
    <s v="Consolidation"/>
    <s v="CO2e and Base Measure"/>
    <n v="100"/>
    <n v="100"/>
    <n v="0.12"/>
    <m/>
    <m/>
    <m/>
    <m/>
    <m/>
    <n v="0.156"/>
    <m/>
    <n v="0.156"/>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4536Waste - General [t] - Scope 3"/>
    <n v="13564536"/>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0-12-01T00:00:00"/>
    <s v="FY21"/>
    <s v="t"/>
    <n v="5.8999999999999997E-2"/>
    <n v="0.20250000000000001"/>
    <n v="0"/>
    <n v="0.26150000000000001"/>
    <n v="2"/>
    <n v="3"/>
    <n v="0"/>
    <n v="5"/>
    <n v="22.56"/>
    <n v="77.430000000000007"/>
    <n v="0"/>
    <s v="Consolidation"/>
    <s v="CO2e and Base Measure"/>
    <n v="100"/>
    <n v="100"/>
    <n v="0.26"/>
    <m/>
    <m/>
    <m/>
    <m/>
    <m/>
    <n v="0.34"/>
    <m/>
    <n v="0.34"/>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1-01T00:00:00"/>
    <s v="FY21"/>
    <s v="t"/>
    <n v="1.9E-2"/>
    <n v="0.20250000000000001"/>
    <n v="0"/>
    <n v="0.2215"/>
    <n v="1"/>
    <n v="3"/>
    <n v="0"/>
    <n v="4"/>
    <n v="8.57"/>
    <n v="91.42"/>
    <n v="0"/>
    <s v="Consolidation"/>
    <s v="CO2e and Base Measure"/>
    <n v="100"/>
    <n v="100"/>
    <n v="0.22"/>
    <m/>
    <m/>
    <m/>
    <m/>
    <m/>
    <n v="0.28799999999999998"/>
    <m/>
    <n v="0.28799999999999998"/>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2-01T00:00:00"/>
    <s v="FY21"/>
    <s v="t"/>
    <n v="0.04"/>
    <n v="0.20250000000000001"/>
    <n v="0"/>
    <n v="0.24249999999999999"/>
    <n v="1"/>
    <n v="3"/>
    <n v="0"/>
    <n v="4"/>
    <n v="16.489999999999998"/>
    <n v="83.5"/>
    <n v="0"/>
    <s v="Consolidation"/>
    <s v="CO2e and Base Measure"/>
    <n v="100"/>
    <n v="100"/>
    <n v="0.24"/>
    <m/>
    <m/>
    <m/>
    <m/>
    <m/>
    <n v="0.31530000000000002"/>
    <m/>
    <n v="0.31530000000000002"/>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3-01T00:00:00"/>
    <s v="FY21"/>
    <s v="t"/>
    <n v="6.7000000000000004E-2"/>
    <n v="0.20250000000000001"/>
    <n v="0"/>
    <n v="0.26950000000000002"/>
    <n v="1"/>
    <n v="3"/>
    <n v="0"/>
    <n v="4"/>
    <n v="24.86"/>
    <n v="75.13"/>
    <n v="0"/>
    <s v="Consolidation"/>
    <s v="CO2e and Base Measure"/>
    <n v="100"/>
    <n v="100"/>
    <n v="0.27"/>
    <m/>
    <m/>
    <m/>
    <m/>
    <m/>
    <n v="0.35039999999999999"/>
    <m/>
    <n v="0.35039999999999999"/>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4-01T00:00:00"/>
    <s v="FY21"/>
    <s v="t"/>
    <n v="0"/>
    <n v="0"/>
    <n v="0.249"/>
    <n v="0.249"/>
    <n v="0"/>
    <n v="0"/>
    <n v="30"/>
    <n v="30"/>
    <n v="0"/>
    <n v="0"/>
    <n v="100"/>
    <s v="Consolidation"/>
    <s v="CO2e and Base Measure"/>
    <n v="100"/>
    <n v="100"/>
    <n v="0.25"/>
    <m/>
    <m/>
    <m/>
    <m/>
    <m/>
    <n v="0.32369999999999999"/>
    <m/>
    <n v="0.32369999999999999"/>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5-01T00:00:00"/>
    <s v="FY21"/>
    <s v="t"/>
    <n v="0"/>
    <n v="0"/>
    <n v="0.25729999999999997"/>
    <n v="0.25729999999999997"/>
    <n v="0"/>
    <n v="0"/>
    <n v="31"/>
    <n v="31"/>
    <n v="0"/>
    <n v="0"/>
    <n v="100"/>
    <s v="Consolidation"/>
    <s v="CO2e and Base Measure"/>
    <n v="100"/>
    <n v="100"/>
    <n v="0.26"/>
    <m/>
    <m/>
    <m/>
    <m/>
    <m/>
    <n v="0.33450000000000002"/>
    <m/>
    <n v="0.33450000000000002"/>
    <m/>
    <m/>
    <m/>
    <m/>
    <m/>
    <s v="AUD"/>
    <s v="13634103Waste - General [t] - Scope 3"/>
    <n v="13634103"/>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07-01T00:00:00"/>
    <s v="FY21"/>
    <s v="t"/>
    <n v="0.04"/>
    <n v="6.3E-2"/>
    <n v="0"/>
    <n v="0.10299999999999999"/>
    <n v="1"/>
    <n v="1"/>
    <n v="0"/>
    <n v="2"/>
    <n v="38.83"/>
    <n v="61.16"/>
    <n v="0"/>
    <s v="Consolidation"/>
    <s v="CO2e and Base Measure"/>
    <n v="100"/>
    <n v="100"/>
    <n v="0.1"/>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08-01T00:00:00"/>
    <s v="FY21"/>
    <s v="t"/>
    <n v="0.04"/>
    <n v="6.3E-2"/>
    <n v="0"/>
    <n v="0.10299999999999999"/>
    <n v="1"/>
    <n v="1"/>
    <n v="0"/>
    <n v="2"/>
    <n v="38.83"/>
    <n v="61.16"/>
    <n v="0"/>
    <s v="Consolidation"/>
    <s v="CO2e and Base Measure"/>
    <n v="100"/>
    <n v="100"/>
    <n v="0.1"/>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09-01T00:00:00"/>
    <s v="FY21"/>
    <s v="t"/>
    <n v="0.42"/>
    <n v="0"/>
    <n v="0"/>
    <n v="0.42"/>
    <n v="2"/>
    <n v="0"/>
    <n v="0"/>
    <n v="2"/>
    <n v="100"/>
    <n v="0"/>
    <n v="0"/>
    <s v="Consolidation"/>
    <s v="CO2e and Base Measure"/>
    <n v="100"/>
    <n v="100"/>
    <n v="0.42"/>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10-01T00:00:00"/>
    <s v="FY21"/>
    <s v="t"/>
    <n v="0.22"/>
    <n v="6.3E-2"/>
    <n v="0"/>
    <n v="0.28299999999999997"/>
    <n v="2"/>
    <n v="1"/>
    <n v="0"/>
    <n v="3"/>
    <n v="77.73"/>
    <n v="22.26"/>
    <n v="0"/>
    <s v="Consolidation"/>
    <s v="CO2e and Base Measure"/>
    <n v="100"/>
    <n v="100"/>
    <n v="0.28000000000000003"/>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11-01T00:00:00"/>
    <s v="FY21"/>
    <s v="t"/>
    <n v="0.08"/>
    <n v="6.3E-2"/>
    <n v="0"/>
    <n v="0.14299999999999999"/>
    <n v="1"/>
    <n v="1"/>
    <n v="0"/>
    <n v="2"/>
    <n v="55.94"/>
    <n v="44.05"/>
    <n v="0"/>
    <s v="Consolidation"/>
    <s v="CO2e and Base Measure"/>
    <n v="100"/>
    <n v="100"/>
    <n v="0.14000000000000001"/>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1-01-01T00:00:00"/>
    <s v="FY21"/>
    <s v="t"/>
    <n v="0"/>
    <n v="0"/>
    <n v="5.7999999999999996E-3"/>
    <n v="5.7999999999999996E-3"/>
    <n v="0"/>
    <n v="0"/>
    <n v="1"/>
    <n v="1"/>
    <n v="0"/>
    <n v="0"/>
    <n v="100"/>
    <s v="Consolidation"/>
    <s v="CO2e and Base Measure"/>
    <n v="100"/>
    <n v="100"/>
    <n v="0.01"/>
    <m/>
    <m/>
    <m/>
    <m/>
    <m/>
    <m/>
    <n v="0"/>
    <m/>
    <m/>
    <m/>
    <m/>
    <m/>
    <m/>
    <s v="AUD"/>
    <s v="13565202Waste Recycled - Cardboard [t]"/>
    <n v="13565202"/>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07-01T00:00:00"/>
    <s v="FY21"/>
    <s v="t"/>
    <n v="0.76"/>
    <n v="0"/>
    <n v="0"/>
    <n v="0.76"/>
    <n v="2"/>
    <n v="0"/>
    <n v="0"/>
    <n v="2"/>
    <n v="100"/>
    <n v="0"/>
    <n v="0"/>
    <s v="Consolidation"/>
    <s v="CO2e and Base Measure"/>
    <n v="100"/>
    <n v="100"/>
    <n v="0.76"/>
    <m/>
    <m/>
    <m/>
    <m/>
    <m/>
    <n v="0.98799999999999999"/>
    <m/>
    <n v="0.98799999999999999"/>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08-01T00:00:00"/>
    <s v="FY21"/>
    <s v="t"/>
    <n v="0.42"/>
    <n v="0"/>
    <n v="0"/>
    <n v="0.42"/>
    <n v="2"/>
    <n v="0"/>
    <n v="0"/>
    <n v="2"/>
    <n v="100"/>
    <n v="0"/>
    <n v="0"/>
    <s v="Consolidation"/>
    <s v="CO2e and Base Measure"/>
    <n v="100"/>
    <n v="100"/>
    <n v="0.42"/>
    <m/>
    <m/>
    <m/>
    <m/>
    <m/>
    <n v="0.54600000000000004"/>
    <m/>
    <n v="0.54600000000000004"/>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09-01T00:00:00"/>
    <s v="FY21"/>
    <s v="t"/>
    <n v="0.68"/>
    <n v="0"/>
    <n v="0"/>
    <n v="0.68"/>
    <n v="2"/>
    <n v="0"/>
    <n v="0"/>
    <n v="2"/>
    <n v="100"/>
    <n v="0"/>
    <n v="0"/>
    <s v="Consolidation"/>
    <s v="CO2e and Base Measure"/>
    <n v="100"/>
    <n v="100"/>
    <n v="0.68"/>
    <m/>
    <m/>
    <m/>
    <m/>
    <m/>
    <n v="0.88400000000000001"/>
    <m/>
    <n v="0.88400000000000001"/>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10-01T00:00:00"/>
    <s v="FY21"/>
    <s v="t"/>
    <n v="1.72"/>
    <n v="0"/>
    <n v="0"/>
    <n v="1.72"/>
    <n v="3"/>
    <n v="0"/>
    <n v="0"/>
    <n v="3"/>
    <n v="100"/>
    <n v="0"/>
    <n v="0"/>
    <s v="Consolidation"/>
    <s v="CO2e and Base Measure"/>
    <n v="100"/>
    <n v="100"/>
    <n v="1.72"/>
    <m/>
    <m/>
    <m/>
    <m/>
    <m/>
    <n v="2.2360000000000002"/>
    <m/>
    <n v="2.2360000000000002"/>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11-01T00:00:00"/>
    <s v="FY21"/>
    <s v="t"/>
    <n v="0.5"/>
    <n v="0.26"/>
    <n v="0"/>
    <n v="0.76"/>
    <n v="2"/>
    <n v="1"/>
    <n v="0"/>
    <n v="3"/>
    <n v="65.78"/>
    <n v="34.21"/>
    <n v="0"/>
    <s v="Consolidation"/>
    <s v="CO2e and Base Measure"/>
    <n v="100"/>
    <n v="100"/>
    <n v="0.76"/>
    <m/>
    <m/>
    <m/>
    <m/>
    <m/>
    <n v="0.98799999999999999"/>
    <m/>
    <n v="0.98799999999999999"/>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12-01T00:00:00"/>
    <s v="FY21"/>
    <s v="t"/>
    <n v="0.24"/>
    <n v="0"/>
    <n v="0"/>
    <n v="0.24"/>
    <n v="1"/>
    <n v="0"/>
    <n v="0"/>
    <n v="1"/>
    <n v="100"/>
    <n v="0"/>
    <n v="0"/>
    <s v="Consolidation"/>
    <s v="CO2e and Base Measure"/>
    <n v="100"/>
    <n v="100"/>
    <n v="0.24"/>
    <m/>
    <m/>
    <m/>
    <m/>
    <m/>
    <n v="0.312"/>
    <m/>
    <n v="0.312"/>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1-01-01T00:00:00"/>
    <s v="FY21"/>
    <s v="t"/>
    <n v="0"/>
    <n v="0"/>
    <n v="2.4199999999999999E-2"/>
    <n v="2.4199999999999999E-2"/>
    <n v="0"/>
    <n v="0"/>
    <n v="1"/>
    <n v="1"/>
    <n v="0"/>
    <n v="0"/>
    <n v="100"/>
    <s v="Consolidation"/>
    <s v="CO2e and Base Measure"/>
    <n v="100"/>
    <n v="100"/>
    <n v="0.02"/>
    <m/>
    <m/>
    <m/>
    <m/>
    <m/>
    <n v="3.15E-2"/>
    <m/>
    <n v="3.15E-2"/>
    <m/>
    <m/>
    <m/>
    <m/>
    <m/>
    <s v="AUD"/>
    <s v="13565203Waste - General [t] - Scope 3"/>
    <n v="13565203"/>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0-12-01T00:00:00"/>
    <s v="FY21"/>
    <s v="t"/>
    <n v="0.23899999999999999"/>
    <n v="0"/>
    <n v="0"/>
    <n v="0.23899999999999999"/>
    <n v="2"/>
    <n v="0"/>
    <n v="0"/>
    <n v="2"/>
    <n v="100"/>
    <n v="0"/>
    <n v="0"/>
    <s v="Consolidation"/>
    <s v="CO2e and Base Measure"/>
    <n v="100"/>
    <n v="100"/>
    <n v="0.24"/>
    <m/>
    <m/>
    <m/>
    <m/>
    <m/>
    <n v="0.31069999999999998"/>
    <m/>
    <n v="0.31069999999999998"/>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1-01T00:00:00"/>
    <s v="FY21"/>
    <s v="t"/>
    <n v="1.4079999999999999"/>
    <n v="0"/>
    <n v="0"/>
    <n v="1.4079999999999999"/>
    <n v="3"/>
    <n v="0"/>
    <n v="0"/>
    <n v="3"/>
    <n v="100"/>
    <n v="0"/>
    <n v="0"/>
    <s v="Consolidation"/>
    <s v="CO2e and Base Measure"/>
    <n v="100"/>
    <n v="100"/>
    <n v="1.41"/>
    <m/>
    <m/>
    <m/>
    <m/>
    <m/>
    <n v="1.8304"/>
    <m/>
    <n v="1.8304"/>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2-01T00:00:00"/>
    <s v="FY21"/>
    <s v="t"/>
    <n v="0.48"/>
    <n v="0"/>
    <n v="0"/>
    <n v="0.48"/>
    <n v="4"/>
    <n v="0"/>
    <n v="0"/>
    <n v="4"/>
    <n v="100"/>
    <n v="0"/>
    <n v="0"/>
    <s v="Consolidation"/>
    <s v="CO2e and Base Measure"/>
    <n v="100"/>
    <n v="100"/>
    <n v="0.48"/>
    <m/>
    <m/>
    <m/>
    <m/>
    <m/>
    <n v="0.624"/>
    <m/>
    <n v="0.624"/>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3-01T00:00:00"/>
    <s v="FY21"/>
    <s v="t"/>
    <n v="0.47599999999999998"/>
    <n v="0"/>
    <n v="0"/>
    <n v="0.47599999999999998"/>
    <n v="3"/>
    <n v="0"/>
    <n v="0"/>
    <n v="3"/>
    <n v="100"/>
    <n v="0"/>
    <n v="0"/>
    <s v="Consolidation"/>
    <s v="CO2e and Base Measure"/>
    <n v="100"/>
    <n v="100"/>
    <n v="0.48"/>
    <m/>
    <m/>
    <m/>
    <m/>
    <m/>
    <n v="0.61880000000000002"/>
    <m/>
    <n v="0.61880000000000002"/>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4-01T00:00:00"/>
    <s v="FY21"/>
    <s v="t"/>
    <n v="0"/>
    <n v="0"/>
    <n v="0.65100000000000002"/>
    <n v="0.65100000000000002"/>
    <n v="0"/>
    <n v="0"/>
    <n v="30"/>
    <n v="30"/>
    <n v="0"/>
    <n v="0"/>
    <n v="100"/>
    <s v="Consolidation"/>
    <s v="CO2e and Base Measure"/>
    <n v="100"/>
    <n v="100"/>
    <n v="0.65"/>
    <m/>
    <m/>
    <m/>
    <m/>
    <m/>
    <n v="0.84630000000000005"/>
    <m/>
    <n v="0.84630000000000005"/>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5-01T00:00:00"/>
    <s v="FY21"/>
    <s v="t"/>
    <n v="0"/>
    <n v="0"/>
    <n v="0.67269999999999996"/>
    <n v="0.67269999999999996"/>
    <n v="0"/>
    <n v="0"/>
    <n v="31"/>
    <n v="31"/>
    <n v="0"/>
    <n v="0"/>
    <n v="100"/>
    <s v="Consolidation"/>
    <s v="CO2e and Base Measure"/>
    <n v="100"/>
    <n v="100"/>
    <n v="0.67"/>
    <m/>
    <m/>
    <m/>
    <m/>
    <m/>
    <n v="0.87450000000000006"/>
    <m/>
    <n v="0.87450000000000006"/>
    <m/>
    <m/>
    <m/>
    <m/>
    <m/>
    <s v="AUD"/>
    <s v="13634276Waste - General [t] - Scope 3"/>
    <n v="136342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1-01T00:00:00"/>
    <s v="FY21"/>
    <s v="t"/>
    <n v="0.13700000000000001"/>
    <n v="0"/>
    <n v="0"/>
    <n v="0.13700000000000001"/>
    <n v="2"/>
    <n v="0"/>
    <n v="0"/>
    <n v="2"/>
    <n v="100"/>
    <n v="0"/>
    <n v="0"/>
    <s v="Consolidation"/>
    <s v="CO2e and Base Measure"/>
    <n v="100"/>
    <n v="100"/>
    <n v="0.14000000000000001"/>
    <m/>
    <m/>
    <m/>
    <m/>
    <m/>
    <m/>
    <m/>
    <m/>
    <m/>
    <m/>
    <m/>
    <m/>
    <m/>
    <s v="AUD"/>
    <s v="13634476Waste Recycled - Paper and Cardboard [t]"/>
    <n v="136344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2-01T00:00:00"/>
    <s v="FY21"/>
    <s v="t"/>
    <n v="9.7000000000000003E-2"/>
    <n v="0"/>
    <n v="0"/>
    <n v="9.7000000000000003E-2"/>
    <n v="2"/>
    <n v="0"/>
    <n v="0"/>
    <n v="2"/>
    <n v="100"/>
    <n v="0"/>
    <n v="0"/>
    <s v="Consolidation"/>
    <s v="CO2e and Base Measure"/>
    <n v="100"/>
    <n v="100"/>
    <n v="0.1"/>
    <m/>
    <m/>
    <m/>
    <m/>
    <m/>
    <m/>
    <m/>
    <m/>
    <m/>
    <m/>
    <m/>
    <m/>
    <m/>
    <s v="AUD"/>
    <s v="13634476Waste Recycled - Paper and Cardboard [t]"/>
    <n v="136344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3-01T00:00:00"/>
    <s v="FY21"/>
    <s v="t"/>
    <n v="4.4999999999999998E-2"/>
    <n v="7.4999999999999997E-2"/>
    <n v="0"/>
    <n v="0.12"/>
    <n v="2"/>
    <n v="1"/>
    <n v="0"/>
    <n v="3"/>
    <n v="37.5"/>
    <n v="62.5"/>
    <n v="0"/>
    <s v="Consolidation"/>
    <s v="CO2e and Base Measure"/>
    <n v="100"/>
    <n v="100"/>
    <n v="0.12"/>
    <m/>
    <m/>
    <m/>
    <m/>
    <m/>
    <m/>
    <m/>
    <m/>
    <m/>
    <m/>
    <m/>
    <m/>
    <m/>
    <s v="AUD"/>
    <s v="13634476Waste Recycled - Paper and Cardboard [t]"/>
    <n v="136344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4-01T00:00:00"/>
    <s v="FY21"/>
    <s v="t"/>
    <n v="0"/>
    <n v="0"/>
    <n v="0.12"/>
    <n v="0.12"/>
    <n v="0"/>
    <n v="0"/>
    <n v="30"/>
    <n v="30"/>
    <n v="0"/>
    <n v="0"/>
    <n v="100"/>
    <s v="Consolidation"/>
    <s v="CO2e and Base Measure"/>
    <n v="100"/>
    <n v="100"/>
    <n v="0.12"/>
    <m/>
    <m/>
    <m/>
    <m/>
    <m/>
    <m/>
    <m/>
    <m/>
    <m/>
    <m/>
    <m/>
    <m/>
    <m/>
    <s v="AUD"/>
    <s v="13634476Waste Recycled - Paper and Cardboard [t]"/>
    <n v="136344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5-01T00:00:00"/>
    <s v="FY21"/>
    <s v="t"/>
    <n v="0"/>
    <n v="0"/>
    <n v="0.124"/>
    <n v="0.124"/>
    <n v="0"/>
    <n v="0"/>
    <n v="31"/>
    <n v="31"/>
    <n v="0"/>
    <n v="0"/>
    <n v="100"/>
    <s v="Consolidation"/>
    <s v="CO2e and Base Measure"/>
    <n v="100"/>
    <n v="100"/>
    <n v="0.12"/>
    <m/>
    <m/>
    <m/>
    <m/>
    <m/>
    <m/>
    <m/>
    <m/>
    <m/>
    <m/>
    <m/>
    <m/>
    <m/>
    <s v="AUD"/>
    <s v="13634476Waste Recycled - Paper and Cardboard [t]"/>
    <n v="136344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1-01-01T00:00:00"/>
    <s v="FY21"/>
    <s v="t"/>
    <n v="0"/>
    <n v="0"/>
    <n v="3.8E-3"/>
    <n v="3.8E-3"/>
    <n v="0"/>
    <n v="0"/>
    <n v="1"/>
    <n v="1"/>
    <n v="0"/>
    <n v="0"/>
    <n v="100"/>
    <s v="Consolidation"/>
    <s v="CO2e and Base Measure"/>
    <n v="100"/>
    <n v="100"/>
    <n v="0"/>
    <m/>
    <m/>
    <m/>
    <m/>
    <m/>
    <m/>
    <n v="0"/>
    <m/>
    <m/>
    <m/>
    <m/>
    <m/>
    <m/>
    <s v="AUD"/>
    <s v="13564276Waste Recycled - Cardboard [t]"/>
    <n v="13564276"/>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07-01T00:00:00"/>
    <s v="FY21"/>
    <s v="t"/>
    <n v="0.26"/>
    <n v="0"/>
    <n v="0"/>
    <n v="0.26"/>
    <n v="2"/>
    <n v="0"/>
    <n v="0"/>
    <n v="2"/>
    <n v="100"/>
    <n v="0"/>
    <n v="0"/>
    <s v="Consolidation"/>
    <s v="CO2e and Base Measure"/>
    <n v="100"/>
    <n v="100"/>
    <n v="0.26"/>
    <m/>
    <m/>
    <m/>
    <m/>
    <m/>
    <n v="0.33800000000000002"/>
    <m/>
    <n v="0.33800000000000002"/>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08-01T00:00:00"/>
    <s v="FY21"/>
    <s v="t"/>
    <n v="0.22500000000000001"/>
    <n v="0"/>
    <n v="0"/>
    <n v="0.22500000000000001"/>
    <n v="3"/>
    <n v="0"/>
    <n v="0"/>
    <n v="3"/>
    <n v="100"/>
    <n v="0"/>
    <n v="0"/>
    <s v="Consolidation"/>
    <s v="CO2e and Base Measure"/>
    <n v="100"/>
    <n v="100"/>
    <n v="0.23"/>
    <m/>
    <m/>
    <m/>
    <m/>
    <m/>
    <n v="0.29249999999999998"/>
    <m/>
    <n v="0.29249999999999998"/>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09-01T00:00:00"/>
    <s v="FY21"/>
    <s v="t"/>
    <n v="8.5000000000000006E-2"/>
    <n v="0"/>
    <n v="0"/>
    <n v="8.5000000000000006E-2"/>
    <n v="2"/>
    <n v="0"/>
    <n v="0"/>
    <n v="2"/>
    <n v="100"/>
    <n v="0"/>
    <n v="0"/>
    <s v="Consolidation"/>
    <s v="CO2e and Base Measure"/>
    <n v="100"/>
    <n v="100"/>
    <n v="0.09"/>
    <m/>
    <m/>
    <m/>
    <m/>
    <m/>
    <n v="0.1105"/>
    <m/>
    <n v="0.1105"/>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10-01T00:00:00"/>
    <s v="FY21"/>
    <s v="t"/>
    <n v="0.14499999999999999"/>
    <n v="0"/>
    <n v="0"/>
    <n v="0.14499999999999999"/>
    <n v="2"/>
    <n v="0"/>
    <n v="0"/>
    <n v="2"/>
    <n v="100"/>
    <n v="0"/>
    <n v="0"/>
    <s v="Consolidation"/>
    <s v="CO2e and Base Measure"/>
    <n v="100"/>
    <n v="100"/>
    <n v="0.15"/>
    <m/>
    <m/>
    <m/>
    <m/>
    <m/>
    <n v="0.1885"/>
    <m/>
    <n v="0.1885"/>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11-01T00:00:00"/>
    <s v="FY21"/>
    <s v="t"/>
    <n v="0.21"/>
    <n v="0"/>
    <n v="0"/>
    <n v="0.21"/>
    <n v="2"/>
    <n v="0"/>
    <n v="0"/>
    <n v="2"/>
    <n v="100"/>
    <n v="0"/>
    <n v="0"/>
    <s v="Consolidation"/>
    <s v="CO2e and Base Measure"/>
    <n v="100"/>
    <n v="100"/>
    <n v="0.21"/>
    <m/>
    <m/>
    <m/>
    <m/>
    <m/>
    <n v="0.27300000000000002"/>
    <m/>
    <n v="0.27300000000000002"/>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12-01T00:00:00"/>
    <s v="FY21"/>
    <s v="t"/>
    <n v="2.5000000000000001E-2"/>
    <n v="9.7500000000000003E-2"/>
    <n v="0"/>
    <n v="0.1225"/>
    <n v="1"/>
    <n v="1"/>
    <n v="0"/>
    <n v="2"/>
    <n v="20.399999999999999"/>
    <n v="79.59"/>
    <n v="0"/>
    <s v="Consolidation"/>
    <s v="CO2e and Base Measure"/>
    <n v="100"/>
    <n v="100"/>
    <n v="0.12"/>
    <m/>
    <m/>
    <m/>
    <m/>
    <m/>
    <n v="0.1593"/>
    <m/>
    <n v="0.1593"/>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1-01-01T00:00:00"/>
    <s v="FY21"/>
    <s v="t"/>
    <n v="0"/>
    <n v="0"/>
    <n v="5.5999999999999999E-3"/>
    <n v="5.5999999999999999E-3"/>
    <n v="0"/>
    <n v="0"/>
    <n v="1"/>
    <n v="1"/>
    <n v="0"/>
    <n v="0"/>
    <n v="100"/>
    <s v="Consolidation"/>
    <s v="CO2e and Base Measure"/>
    <n v="100"/>
    <n v="100"/>
    <n v="0.01"/>
    <m/>
    <m/>
    <m/>
    <m/>
    <m/>
    <n v="7.3000000000000001E-3"/>
    <m/>
    <n v="7.3000000000000001E-3"/>
    <m/>
    <m/>
    <m/>
    <m/>
    <m/>
    <s v="AUD"/>
    <s v="13564277Waste - General [t] - Scope 3"/>
    <n v="135642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1-01T00:00:00"/>
    <s v="FY21"/>
    <s v="t"/>
    <n v="0.08"/>
    <n v="0.13500000000000001"/>
    <n v="0"/>
    <n v="0.215"/>
    <n v="1"/>
    <n v="2"/>
    <n v="0"/>
    <n v="3"/>
    <n v="37.200000000000003"/>
    <n v="62.79"/>
    <n v="0"/>
    <s v="Consolidation"/>
    <s v="CO2e and Base Measure"/>
    <n v="100"/>
    <n v="100"/>
    <n v="0.22"/>
    <m/>
    <m/>
    <m/>
    <m/>
    <m/>
    <n v="0.27950000000000003"/>
    <m/>
    <n v="0.27950000000000003"/>
    <m/>
    <m/>
    <m/>
    <m/>
    <m/>
    <s v="AUD"/>
    <s v="13634477Waste - General [t] - Scope 3"/>
    <n v="136344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2-01T00:00:00"/>
    <s v="FY21"/>
    <s v="t"/>
    <n v="0.05"/>
    <n v="6.7500000000000004E-2"/>
    <n v="0"/>
    <n v="0.11749999999999999"/>
    <n v="1"/>
    <n v="1"/>
    <n v="0"/>
    <n v="2"/>
    <n v="42.55"/>
    <n v="57.44"/>
    <n v="0"/>
    <s v="Consolidation"/>
    <s v="CO2e and Base Measure"/>
    <n v="100"/>
    <n v="100"/>
    <n v="0.12"/>
    <m/>
    <m/>
    <m/>
    <m/>
    <m/>
    <n v="0.15279999999999999"/>
    <m/>
    <n v="0.15279999999999999"/>
    <m/>
    <m/>
    <m/>
    <m/>
    <m/>
    <s v="AUD"/>
    <s v="13634477Waste - General [t] - Scope 3"/>
    <n v="136344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3-01T00:00:00"/>
    <s v="FY21"/>
    <s v="t"/>
    <n v="0"/>
    <n v="0"/>
    <n v="0.1767"/>
    <n v="0.1767"/>
    <n v="0"/>
    <n v="0"/>
    <n v="31"/>
    <n v="31"/>
    <n v="0"/>
    <n v="0"/>
    <n v="100"/>
    <s v="Consolidation"/>
    <s v="CO2e and Base Measure"/>
    <n v="100"/>
    <n v="100"/>
    <n v="0.18"/>
    <m/>
    <m/>
    <m/>
    <m/>
    <m/>
    <n v="0.22969999999999999"/>
    <m/>
    <n v="0.22969999999999999"/>
    <m/>
    <m/>
    <m/>
    <m/>
    <m/>
    <s v="AUD"/>
    <s v="13634477Waste - General [t] - Scope 3"/>
    <n v="136344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4-01T00:00:00"/>
    <s v="FY21"/>
    <s v="t"/>
    <n v="0"/>
    <n v="0"/>
    <n v="0.17100000000000001"/>
    <n v="0.17100000000000001"/>
    <n v="0"/>
    <n v="0"/>
    <n v="30"/>
    <n v="30"/>
    <n v="0"/>
    <n v="0"/>
    <n v="100"/>
    <s v="Consolidation"/>
    <s v="CO2e and Base Measure"/>
    <n v="100"/>
    <n v="100"/>
    <n v="0.17"/>
    <m/>
    <m/>
    <m/>
    <m/>
    <m/>
    <n v="0.2223"/>
    <m/>
    <n v="0.2223"/>
    <m/>
    <m/>
    <m/>
    <m/>
    <m/>
    <s v="AUD"/>
    <s v="13634477Waste - General [t] - Scope 3"/>
    <n v="136344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5-01T00:00:00"/>
    <s v="FY21"/>
    <s v="t"/>
    <n v="0"/>
    <n v="0"/>
    <n v="0.1767"/>
    <n v="0.1767"/>
    <n v="0"/>
    <n v="0"/>
    <n v="31"/>
    <n v="31"/>
    <n v="0"/>
    <n v="0"/>
    <n v="100"/>
    <s v="Consolidation"/>
    <s v="CO2e and Base Measure"/>
    <n v="100"/>
    <n v="100"/>
    <n v="0.18"/>
    <m/>
    <m/>
    <m/>
    <m/>
    <m/>
    <n v="0.22969999999999999"/>
    <m/>
    <n v="0.22969999999999999"/>
    <m/>
    <m/>
    <m/>
    <m/>
    <m/>
    <s v="AUD"/>
    <s v="13634477Waste - General [t] - Scope 3"/>
    <n v="13634477"/>
  </r>
  <r>
    <d v="2019-07-01T00:00:00"/>
    <d v="2021-06-30T00:00:00"/>
    <s v="Telstra"/>
    <s v="NON-NETWORK"/>
    <s v="NON-NETWORK"/>
    <s v="VIC"/>
    <s v="Australia"/>
    <s v="Melbourne"/>
    <s v="TNCY 2 180 LONSDALE ST MELBOURNE"/>
    <n v="423032005000"/>
    <s v="Recycled Waste"/>
    <x v="0"/>
    <x v="3"/>
    <s v="Account"/>
    <s v="Remondis Commingled - Recycled"/>
    <m/>
    <s v="423032005000_RCOMINGLE"/>
    <s v="COMMINGLED - RECYCLED"/>
    <s v="Remondis"/>
    <m/>
    <m/>
    <d v="2021-01-01T00:00:00"/>
    <d v="2020-07-01T00:00:00"/>
    <s v="FY21"/>
    <s v="t"/>
    <n v="0"/>
    <n v="0.13200000000000001"/>
    <n v="0"/>
    <n v="0.13200000000000001"/>
    <n v="0"/>
    <n v="1"/>
    <n v="0"/>
    <n v="1"/>
    <n v="0"/>
    <n v="100"/>
    <n v="0"/>
    <s v="Consolidation"/>
    <s v="CO2e and Base Measure"/>
    <n v="100"/>
    <n v="100"/>
    <n v="0.13"/>
    <m/>
    <m/>
    <m/>
    <m/>
    <m/>
    <m/>
    <n v="0"/>
    <m/>
    <m/>
    <m/>
    <m/>
    <m/>
    <m/>
    <s v="AUD"/>
    <s v="13565878Waste Recycled - Commingled [t]"/>
    <n v="13565878"/>
  </r>
  <r>
    <d v="2019-07-01T00:00:00"/>
    <d v="2021-06-30T00:00:00"/>
    <s v="Telstra"/>
    <s v="NON-NETWORK"/>
    <s v="NON-NETWORK"/>
    <s v="VIC"/>
    <s v="Australia"/>
    <s v="Melbourne"/>
    <s v="TNCY 2 180 LONSDALE ST MELBOURNE"/>
    <n v="423032005000"/>
    <s v="Recycled Waste"/>
    <x v="0"/>
    <x v="3"/>
    <s v="Account"/>
    <s v="Remondis Commingled - Recycled"/>
    <m/>
    <s v="423032005000_RCOMINGLE"/>
    <s v="COMMINGLED - RECYCLED"/>
    <s v="Remondis"/>
    <m/>
    <m/>
    <d v="2021-01-01T00:00:00"/>
    <d v="2020-12-01T00:00:00"/>
    <s v="FY21"/>
    <s v="t"/>
    <n v="0"/>
    <n v="0.13200000000000001"/>
    <n v="0"/>
    <n v="0.13200000000000001"/>
    <n v="0"/>
    <n v="1"/>
    <n v="0"/>
    <n v="1"/>
    <n v="0"/>
    <n v="100"/>
    <n v="0"/>
    <s v="Consolidation"/>
    <s v="CO2e and Base Measure"/>
    <n v="100"/>
    <n v="100"/>
    <n v="0.13"/>
    <m/>
    <m/>
    <m/>
    <m/>
    <m/>
    <m/>
    <n v="0"/>
    <m/>
    <m/>
    <m/>
    <m/>
    <m/>
    <m/>
    <s v="AUD"/>
    <s v="13565878Waste Recycled - Commingled [t]"/>
    <n v="13565878"/>
  </r>
  <r>
    <d v="2019-07-01T00:00:00"/>
    <d v="2021-06-30T00:00:00"/>
    <s v="Telstra"/>
    <s v="NON-NETWORK"/>
    <s v="NON-NETWORK"/>
    <s v="VIC"/>
    <s v="Australia"/>
    <s v="Melbourne"/>
    <s v="TNCY 2 180 LONSDALE ST MELBOURNE"/>
    <n v="423032005000"/>
    <s v="Recycled Waste"/>
    <x v="0"/>
    <x v="3"/>
    <s v="Account"/>
    <s v="Remondis Commingled - Recycled"/>
    <m/>
    <s v="423032005000_RCOMINGLE"/>
    <s v="COMMINGLED - RECYCLED"/>
    <s v="Remondis"/>
    <m/>
    <m/>
    <d v="2021-01-01T00:00:00"/>
    <d v="2021-01-01T00:00:00"/>
    <s v="FY21"/>
    <s v="t"/>
    <n v="0"/>
    <n v="0"/>
    <n v="1.4E-3"/>
    <n v="1.4E-3"/>
    <n v="0"/>
    <n v="0"/>
    <n v="1"/>
    <n v="1"/>
    <n v="0"/>
    <n v="0"/>
    <n v="100"/>
    <s v="Consolidation"/>
    <s v="CO2e and Base Measure"/>
    <n v="100"/>
    <n v="100"/>
    <n v="0"/>
    <m/>
    <m/>
    <m/>
    <m/>
    <m/>
    <m/>
    <n v="0"/>
    <m/>
    <m/>
    <m/>
    <m/>
    <m/>
    <m/>
    <s v="AUD"/>
    <s v="13565878Waste Recycled - Commingled [t]"/>
    <n v="13565878"/>
  </r>
  <r>
    <d v="2019-07-01T00:00:00"/>
    <d v="2021-06-30T00:00:00"/>
    <s v="Telstra"/>
    <s v="NON-NETWORK"/>
    <s v="NON-NETWORK"/>
    <s v="VIC"/>
    <s v="Australia"/>
    <s v="Melbourne"/>
    <s v="TNCY 2 180 LONSDALE ST MELBOURNE"/>
    <n v="423032005000"/>
    <s v="Recycled Waste"/>
    <x v="0"/>
    <x v="1"/>
    <s v="Account"/>
    <s v="Remondis Electrical Comp. (E-Waste)"/>
    <m/>
    <s v="423032005000_RELECTRIC"/>
    <s v="ELECTRICAL COMP. E-WASTE"/>
    <s v="Remondis"/>
    <m/>
    <m/>
    <d v="2021-01-01T00:00:00"/>
    <d v="2020-07-01T00:00:00"/>
    <s v="FY21"/>
    <s v="t"/>
    <n v="0"/>
    <n v="0.37619999999999998"/>
    <n v="0"/>
    <n v="0.37619999999999998"/>
    <n v="0"/>
    <n v="2"/>
    <n v="0"/>
    <n v="2"/>
    <n v="0"/>
    <n v="100"/>
    <n v="0"/>
    <s v="Consolidation"/>
    <s v="CO2e and Base Measure"/>
    <n v="100"/>
    <n v="100"/>
    <n v="0.38"/>
    <m/>
    <m/>
    <m/>
    <m/>
    <m/>
    <m/>
    <m/>
    <m/>
    <m/>
    <m/>
    <m/>
    <m/>
    <m/>
    <s v="AUD"/>
    <s v="13565879Waste Recycled - E-waste [t]"/>
    <n v="13565879"/>
  </r>
  <r>
    <d v="2019-07-01T00:00:00"/>
    <d v="2021-06-30T00:00:00"/>
    <s v="Telstra"/>
    <s v="NON-NETWORK"/>
    <s v="NON-NETWORK"/>
    <s v="VIC"/>
    <s v="Australia"/>
    <s v="Melbourne"/>
    <s v="TNCY 2 180 LONSDALE ST MELBOURNE"/>
    <n v="423032005000"/>
    <s v="Recycled Waste"/>
    <x v="0"/>
    <x v="1"/>
    <s v="Account"/>
    <s v="Remondis Electrical Comp. (E-Waste)"/>
    <m/>
    <s v="423032005000_RELECTRIC"/>
    <s v="ELECTRICAL COMP. E-WASTE"/>
    <s v="Remondis"/>
    <m/>
    <m/>
    <d v="2021-01-01T00:00:00"/>
    <d v="2020-11-01T00:00:00"/>
    <s v="FY21"/>
    <s v="t"/>
    <n v="0"/>
    <n v="0.25080000000000002"/>
    <n v="0"/>
    <n v="0.25080000000000002"/>
    <n v="0"/>
    <n v="1"/>
    <n v="0"/>
    <n v="1"/>
    <n v="0"/>
    <n v="100"/>
    <n v="0"/>
    <s v="Consolidation"/>
    <s v="CO2e and Base Measure"/>
    <n v="100"/>
    <n v="100"/>
    <n v="0.25"/>
    <m/>
    <m/>
    <m/>
    <m/>
    <m/>
    <m/>
    <m/>
    <m/>
    <m/>
    <m/>
    <m/>
    <m/>
    <m/>
    <s v="AUD"/>
    <s v="13565879Waste Recycled - E-waste [t]"/>
    <n v="13565879"/>
  </r>
  <r>
    <d v="2019-07-01T00:00:00"/>
    <d v="2021-06-30T00:00:00"/>
    <s v="Telstra"/>
    <s v="NON-NETWORK"/>
    <s v="NON-NETWORK"/>
    <s v="VIC"/>
    <s v="Australia"/>
    <s v="Melbourne"/>
    <s v="TNCY 2 180 LONSDALE ST MELBOURNE"/>
    <n v="423032005000"/>
    <s v="Recycled Waste"/>
    <x v="0"/>
    <x v="1"/>
    <s v="Account"/>
    <s v="Remondis Electrical Comp. (E-Waste)"/>
    <m/>
    <s v="423032005000_RELECTRIC"/>
    <s v="ELECTRICAL COMP. E-WASTE"/>
    <s v="Remondis"/>
    <m/>
    <m/>
    <d v="2021-01-01T00:00:00"/>
    <d v="2020-12-01T00:00:00"/>
    <s v="FY21"/>
    <s v="t"/>
    <n v="0"/>
    <n v="0.627"/>
    <n v="0"/>
    <n v="0.627"/>
    <n v="0"/>
    <n v="3"/>
    <n v="0"/>
    <n v="3"/>
    <n v="0"/>
    <n v="100"/>
    <n v="0"/>
    <s v="Consolidation"/>
    <s v="CO2e and Base Measure"/>
    <n v="100"/>
    <n v="100"/>
    <n v="0.63"/>
    <m/>
    <m/>
    <m/>
    <m/>
    <m/>
    <m/>
    <m/>
    <m/>
    <m/>
    <m/>
    <m/>
    <m/>
    <m/>
    <s v="AUD"/>
    <s v="13565879Waste Recycled - E-waste [t]"/>
    <n v="13565879"/>
  </r>
  <r>
    <d v="2019-07-01T00:00:00"/>
    <d v="2021-06-30T00:00:00"/>
    <s v="Telstra"/>
    <s v="NON-NETWORK"/>
    <s v="NON-NETWORK"/>
    <s v="VIC"/>
    <s v="Australia"/>
    <s v="Melbourne"/>
    <s v="TNCY 2 180 LONSDALE ST MELBOURNE"/>
    <n v="423032005000"/>
    <s v="Recycled Waste"/>
    <x v="0"/>
    <x v="1"/>
    <s v="Account"/>
    <s v="Remondis Electrical Comp. (E-Waste)"/>
    <m/>
    <s v="423032005000_RELECTRIC"/>
    <s v="ELECTRICAL COMP. E-WASTE"/>
    <s v="Remondis"/>
    <m/>
    <m/>
    <d v="2021-01-01T00:00:00"/>
    <d v="2021-01-01T00:00:00"/>
    <s v="FY21"/>
    <s v="t"/>
    <n v="0"/>
    <n v="0"/>
    <n v="6.8999999999999999E-3"/>
    <n v="6.8999999999999999E-3"/>
    <n v="0"/>
    <n v="0"/>
    <n v="1"/>
    <n v="1"/>
    <n v="0"/>
    <n v="0"/>
    <n v="100"/>
    <s v="Consolidation"/>
    <s v="CO2e and Base Measure"/>
    <n v="100"/>
    <n v="100"/>
    <n v="0.01"/>
    <m/>
    <m/>
    <m/>
    <m/>
    <m/>
    <m/>
    <m/>
    <m/>
    <m/>
    <m/>
    <m/>
    <m/>
    <m/>
    <s v="AUD"/>
    <s v="13565879Waste Recycled - E-waste [t]"/>
    <n v="13565879"/>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0-07-01T00:00:00"/>
    <s v="FY21"/>
    <s v="t"/>
    <n v="0"/>
    <n v="0.3861"/>
    <n v="0"/>
    <n v="0.3861"/>
    <n v="0"/>
    <n v="4"/>
    <n v="0"/>
    <n v="4"/>
    <n v="0"/>
    <n v="100"/>
    <n v="0"/>
    <s v="Consolidation"/>
    <s v="CO2e and Base Measure"/>
    <n v="100"/>
    <n v="100"/>
    <n v="0.39"/>
    <m/>
    <m/>
    <m/>
    <m/>
    <m/>
    <n v="0.50190000000000001"/>
    <m/>
    <n v="0.50190000000000001"/>
    <m/>
    <m/>
    <m/>
    <m/>
    <m/>
    <s v="AUD"/>
    <s v="13565880Waste - General [t] - Scope 3"/>
    <n v="13565880"/>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0-08-01T00:00:00"/>
    <s v="FY21"/>
    <s v="t"/>
    <n v="0"/>
    <n v="8.5800000000000001E-2"/>
    <n v="0"/>
    <n v="8.5800000000000001E-2"/>
    <n v="0"/>
    <n v="1"/>
    <n v="0"/>
    <n v="1"/>
    <n v="0"/>
    <n v="100"/>
    <n v="0"/>
    <s v="Consolidation"/>
    <s v="CO2e and Base Measure"/>
    <n v="100"/>
    <n v="100"/>
    <n v="0.09"/>
    <m/>
    <m/>
    <m/>
    <m/>
    <m/>
    <n v="0.1115"/>
    <m/>
    <n v="0.1115"/>
    <m/>
    <m/>
    <m/>
    <m/>
    <m/>
    <s v="AUD"/>
    <s v="13565880Waste - General [t] - Scope 3"/>
    <n v="13565880"/>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0-11-01T00:00:00"/>
    <s v="FY21"/>
    <s v="t"/>
    <n v="0"/>
    <n v="0.1716"/>
    <n v="0"/>
    <n v="0.1716"/>
    <n v="0"/>
    <n v="1"/>
    <n v="0"/>
    <n v="1"/>
    <n v="0"/>
    <n v="100"/>
    <n v="0"/>
    <s v="Consolidation"/>
    <s v="CO2e and Base Measure"/>
    <n v="100"/>
    <n v="100"/>
    <n v="0.17"/>
    <m/>
    <m/>
    <m/>
    <m/>
    <m/>
    <n v="0.22309999999999999"/>
    <m/>
    <n v="0.22309999999999999"/>
    <m/>
    <m/>
    <m/>
    <m/>
    <m/>
    <s v="AUD"/>
    <s v="13565880Waste - General [t] - Scope 3"/>
    <n v="13565880"/>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0-12-01T00:00:00"/>
    <s v="FY21"/>
    <s v="t"/>
    <n v="0"/>
    <n v="0.47189999999999999"/>
    <n v="0"/>
    <n v="0.47189999999999999"/>
    <n v="0"/>
    <n v="3"/>
    <n v="0"/>
    <n v="3"/>
    <n v="0"/>
    <n v="100"/>
    <n v="0"/>
    <s v="Consolidation"/>
    <s v="CO2e and Base Measure"/>
    <n v="100"/>
    <n v="100"/>
    <n v="0.47"/>
    <m/>
    <m/>
    <m/>
    <m/>
    <m/>
    <n v="0.61350000000000005"/>
    <m/>
    <n v="0.61350000000000005"/>
    <m/>
    <m/>
    <m/>
    <m/>
    <m/>
    <s v="AUD"/>
    <s v="13565880Waste - General [t] - Scope 3"/>
    <n v="13565880"/>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1-01-01T00:00:00"/>
    <s v="FY21"/>
    <s v="t"/>
    <n v="0"/>
    <n v="0"/>
    <n v="6.1000000000000004E-3"/>
    <n v="6.1000000000000004E-3"/>
    <n v="0"/>
    <n v="0"/>
    <n v="1"/>
    <n v="1"/>
    <n v="0"/>
    <n v="0"/>
    <n v="100"/>
    <s v="Consolidation"/>
    <s v="CO2e and Base Measure"/>
    <n v="100"/>
    <n v="100"/>
    <n v="0.01"/>
    <m/>
    <m/>
    <m/>
    <m/>
    <m/>
    <n v="7.9000000000000008E-3"/>
    <m/>
    <n v="7.9000000000000008E-3"/>
    <m/>
    <m/>
    <m/>
    <m/>
    <m/>
    <s v="AUD"/>
    <s v="13565880Waste - General [t] - Scope 3"/>
    <n v="13565880"/>
  </r>
  <r>
    <d v="2019-07-01T00:00:00"/>
    <d v="2021-06-30T00:00:00"/>
    <s v="Telstra"/>
    <s v="NON-NETWORK"/>
    <s v="NON-NETWORK"/>
    <s v="VIC"/>
    <s v="Australia"/>
    <s v="Melbourne"/>
    <s v="TNCY 2 180 LONSDALE ST MELBOURNE"/>
    <n v="423032005000"/>
    <s v="Recycled Waste"/>
    <x v="0"/>
    <x v="0"/>
    <s v="Account"/>
    <s v="Remondis Security Destruction"/>
    <m/>
    <s v="423032005000_RPAPSECUR"/>
    <s v="SECURITY DESTRUCTION"/>
    <s v="Remondis"/>
    <m/>
    <m/>
    <d v="2021-01-01T00:00:00"/>
    <d v="2020-07-01T00:00:00"/>
    <s v="FY21"/>
    <s v="t"/>
    <n v="0"/>
    <n v="7.9200000000000007E-2"/>
    <n v="0"/>
    <n v="7.9200000000000007E-2"/>
    <n v="0"/>
    <n v="1"/>
    <n v="0"/>
    <n v="1"/>
    <n v="0"/>
    <n v="100"/>
    <n v="0"/>
    <s v="Consolidation"/>
    <s v="CO2e and Base Measure"/>
    <n v="100"/>
    <n v="100"/>
    <n v="0.08"/>
    <m/>
    <m/>
    <m/>
    <m/>
    <m/>
    <m/>
    <n v="0"/>
    <m/>
    <m/>
    <m/>
    <m/>
    <m/>
    <m/>
    <s v="AUD"/>
    <s v="13565881Waste Recycled - Cardboard [t]"/>
    <n v="13565881"/>
  </r>
  <r>
    <d v="2019-07-01T00:00:00"/>
    <d v="2021-06-30T00:00:00"/>
    <s v="Telstra"/>
    <s v="NON-NETWORK"/>
    <s v="NON-NETWORK"/>
    <s v="VIC"/>
    <s v="Australia"/>
    <s v="Melbourne"/>
    <s v="TNCY 2 180 LONSDALE ST MELBOURNE"/>
    <n v="423032005000"/>
    <s v="Recycled Waste"/>
    <x v="0"/>
    <x v="0"/>
    <s v="Account"/>
    <s v="Remondis Security Destruction"/>
    <m/>
    <s v="423032005000_RPAPSECUR"/>
    <s v="SECURITY DESTRUCTION"/>
    <s v="Remondis"/>
    <m/>
    <m/>
    <d v="2021-01-01T00:00:00"/>
    <d v="2020-11-01T00:00:00"/>
    <s v="FY21"/>
    <s v="t"/>
    <n v="0"/>
    <n v="0.15840000000000001"/>
    <n v="0"/>
    <n v="0.15840000000000001"/>
    <n v="0"/>
    <n v="1"/>
    <n v="0"/>
    <n v="1"/>
    <n v="0"/>
    <n v="100"/>
    <n v="0"/>
    <s v="Consolidation"/>
    <s v="CO2e and Base Measure"/>
    <n v="100"/>
    <n v="100"/>
    <n v="0.16"/>
    <m/>
    <m/>
    <m/>
    <m/>
    <m/>
    <m/>
    <n v="0"/>
    <m/>
    <m/>
    <m/>
    <m/>
    <m/>
    <m/>
    <s v="AUD"/>
    <s v="13565881Waste Recycled - Cardboard [t]"/>
    <n v="13565881"/>
  </r>
  <r>
    <d v="2019-07-01T00:00:00"/>
    <d v="2021-06-30T00:00:00"/>
    <s v="Telstra"/>
    <s v="NON-NETWORK"/>
    <s v="NON-NETWORK"/>
    <s v="VIC"/>
    <s v="Australia"/>
    <s v="Melbourne"/>
    <s v="TNCY 2 180 LONSDALE ST MELBOURNE"/>
    <n v="423032005000"/>
    <s v="Recycled Waste"/>
    <x v="0"/>
    <x v="0"/>
    <s v="Account"/>
    <s v="Remondis Security Destruction"/>
    <m/>
    <s v="423032005000_RPAPSECUR"/>
    <s v="SECURITY DESTRUCTION"/>
    <s v="Remondis"/>
    <m/>
    <m/>
    <d v="2021-01-01T00:00:00"/>
    <d v="2020-12-01T00:00:00"/>
    <s v="FY21"/>
    <s v="t"/>
    <n v="0"/>
    <n v="0.15840000000000001"/>
    <n v="0"/>
    <n v="0.15840000000000001"/>
    <n v="0"/>
    <n v="1"/>
    <n v="0"/>
    <n v="1"/>
    <n v="0"/>
    <n v="100"/>
    <n v="0"/>
    <s v="Consolidation"/>
    <s v="CO2e and Base Measure"/>
    <n v="100"/>
    <n v="100"/>
    <n v="0.16"/>
    <m/>
    <m/>
    <m/>
    <m/>
    <m/>
    <m/>
    <n v="0"/>
    <m/>
    <m/>
    <m/>
    <m/>
    <m/>
    <m/>
    <s v="AUD"/>
    <s v="13565881Waste Recycled - Cardboard [t]"/>
    <n v="13565881"/>
  </r>
  <r>
    <d v="2019-07-01T00:00:00"/>
    <d v="2021-06-30T00:00:00"/>
    <s v="Telstra"/>
    <s v="NON-NETWORK"/>
    <s v="NON-NETWORK"/>
    <s v="VIC"/>
    <s v="Australia"/>
    <s v="Melbourne"/>
    <s v="TNCY 2 180 LONSDALE ST MELBOURNE"/>
    <n v="423032005000"/>
    <s v="Recycled Waste"/>
    <x v="0"/>
    <x v="0"/>
    <s v="Account"/>
    <s v="Remondis Security Destruction"/>
    <m/>
    <s v="423032005000_RPAPSECUR"/>
    <s v="SECURITY DESTRUCTION"/>
    <s v="Remondis"/>
    <m/>
    <m/>
    <d v="2021-01-01T00:00:00"/>
    <d v="2021-01-01T00:00:00"/>
    <s v="FY21"/>
    <s v="t"/>
    <n v="0"/>
    <n v="0"/>
    <n v="2.2000000000000001E-3"/>
    <n v="2.2000000000000001E-3"/>
    <n v="0"/>
    <n v="0"/>
    <n v="1"/>
    <n v="1"/>
    <n v="0"/>
    <n v="0"/>
    <n v="100"/>
    <s v="Consolidation"/>
    <s v="CO2e and Base Measure"/>
    <n v="100"/>
    <n v="100"/>
    <n v="0"/>
    <m/>
    <m/>
    <m/>
    <m/>
    <m/>
    <m/>
    <n v="0"/>
    <m/>
    <m/>
    <m/>
    <m/>
    <m/>
    <m/>
    <s v="AUD"/>
    <s v="13565881Waste Recycled - Cardboard [t]"/>
    <n v="13565881"/>
  </r>
  <r>
    <d v="2019-07-01T00:00:00"/>
    <d v="2021-06-30T00:00:00"/>
    <s v="Telstra"/>
    <s v="NETWORK"/>
    <s v="Network - InfraCo"/>
    <s v="WA"/>
    <s v="Australia"/>
    <s v="Tom Price"/>
    <s v="TOM PRICE EXCHANGE"/>
    <n v="423030850700"/>
    <s v="Waste"/>
    <x v="1"/>
    <x v="2"/>
    <s v="Account"/>
    <s v="Remondis General Waste"/>
    <m/>
    <s v="423030850700_WGENERALW"/>
    <s v="GENERAL WASTE"/>
    <s v="Remondis"/>
    <m/>
    <m/>
    <d v="2020-08-01T00:00:00"/>
    <d v="2020-07-01T00:00:00"/>
    <s v="FY21"/>
    <s v="t"/>
    <n v="0"/>
    <n v="0.19500000000000001"/>
    <n v="0"/>
    <n v="0.19500000000000001"/>
    <n v="0"/>
    <n v="1"/>
    <n v="0"/>
    <n v="1"/>
    <n v="0"/>
    <n v="100"/>
    <n v="0"/>
    <s v="Consolidation"/>
    <s v="CO2e and Base Measure"/>
    <n v="100"/>
    <n v="100"/>
    <n v="0.2"/>
    <m/>
    <m/>
    <m/>
    <m/>
    <m/>
    <n v="0.2535"/>
    <m/>
    <n v="0.2535"/>
    <m/>
    <m/>
    <m/>
    <m/>
    <m/>
    <s v="AUD"/>
    <s v="13565362Waste - General [t] - Scope 3"/>
    <n v="13565362"/>
  </r>
  <r>
    <d v="2019-07-01T00:00:00"/>
    <d v="2021-06-30T00:00:00"/>
    <s v="Telstra"/>
    <s v="NETWORK"/>
    <s v="Network - InfraCo"/>
    <s v="WA"/>
    <s v="Australia"/>
    <s v="Tom Price"/>
    <s v="TOM PRICE EXCHANGE"/>
    <n v="423030850700"/>
    <s v="Waste"/>
    <x v="1"/>
    <x v="2"/>
    <s v="Account"/>
    <s v="Remondis General Waste"/>
    <m/>
    <s v="423030850700_WGENERALW"/>
    <s v="GENERAL WASTE"/>
    <s v="Remondis"/>
    <m/>
    <m/>
    <d v="2020-08-01T00:00:00"/>
    <d v="2020-08-01T00:00:00"/>
    <s v="FY21"/>
    <s v="t"/>
    <n v="0"/>
    <n v="0"/>
    <n v="6.4999999999999997E-3"/>
    <n v="6.4999999999999997E-3"/>
    <n v="0"/>
    <n v="0"/>
    <n v="1"/>
    <n v="1"/>
    <n v="0"/>
    <n v="0"/>
    <n v="100"/>
    <s v="Consolidation"/>
    <s v="CO2e and Base Measure"/>
    <n v="100"/>
    <n v="100"/>
    <n v="0.01"/>
    <m/>
    <m/>
    <m/>
    <m/>
    <m/>
    <n v="8.5000000000000006E-3"/>
    <m/>
    <n v="8.5000000000000006E-3"/>
    <m/>
    <m/>
    <m/>
    <m/>
    <m/>
    <s v="AUD"/>
    <s v="13565362Waste - General [t] - Scope 3"/>
    <n v="13565362"/>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499Waste - General [t] - Scope 3"/>
    <n v="13634499"/>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2-01T00:00:00"/>
    <s v="FY21"/>
    <s v="t"/>
    <n v="0"/>
    <n v="0"/>
    <n v="6.4399999999999999E-2"/>
    <n v="6.4399999999999999E-2"/>
    <n v="0"/>
    <n v="0"/>
    <n v="28"/>
    <n v="28"/>
    <n v="0"/>
    <n v="0"/>
    <n v="100"/>
    <s v="Consolidation"/>
    <s v="CO2e and Base Measure"/>
    <n v="100"/>
    <n v="100"/>
    <n v="0.06"/>
    <m/>
    <m/>
    <m/>
    <m/>
    <m/>
    <n v="8.3699999999999997E-2"/>
    <m/>
    <n v="8.3699999999999997E-2"/>
    <m/>
    <m/>
    <m/>
    <m/>
    <m/>
    <s v="AUD"/>
    <s v="13634499Waste - General [t] - Scope 3"/>
    <n v="13634499"/>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3-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99Waste - General [t] - Scope 3"/>
    <n v="13634499"/>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499Waste - General [t] - Scope 3"/>
    <n v="13634499"/>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99Waste - General [t] - Scope 3"/>
    <n v="13634499"/>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1-01-01T00:00:00"/>
    <s v="FY21"/>
    <s v="t"/>
    <n v="0"/>
    <n v="0"/>
    <n v="6.0000000000000001E-3"/>
    <n v="6.0000000000000001E-3"/>
    <n v="0"/>
    <n v="0"/>
    <n v="1"/>
    <n v="1"/>
    <n v="0"/>
    <n v="0"/>
    <n v="100"/>
    <s v="Consolidation"/>
    <s v="CO2e and Base Measure"/>
    <n v="100"/>
    <n v="100"/>
    <n v="0.01"/>
    <m/>
    <m/>
    <m/>
    <m/>
    <m/>
    <n v="7.7999999999999996E-3"/>
    <m/>
    <n v="7.7999999999999996E-3"/>
    <m/>
    <m/>
    <m/>
    <m/>
    <m/>
    <s v="AUD"/>
    <s v="13564285Waste - General [t] - Scope 3"/>
    <n v="13564285"/>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0-12-01T00:00:00"/>
    <s v="FY21"/>
    <s v="t"/>
    <n v="0"/>
    <n v="0.27"/>
    <n v="0"/>
    <n v="0.27"/>
    <n v="0"/>
    <n v="4"/>
    <n v="0"/>
    <n v="4"/>
    <n v="0"/>
    <n v="100"/>
    <n v="0"/>
    <s v="Consolidation"/>
    <s v="CO2e and Base Measure"/>
    <n v="100"/>
    <n v="100"/>
    <n v="0.27"/>
    <m/>
    <m/>
    <m/>
    <m/>
    <m/>
    <n v="0.35099999999999998"/>
    <m/>
    <n v="0.35099999999999998"/>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1-01T00:00:00"/>
    <s v="FY21"/>
    <s v="t"/>
    <n v="0"/>
    <n v="0.27"/>
    <n v="0"/>
    <n v="0.27"/>
    <n v="0"/>
    <n v="4"/>
    <n v="0"/>
    <n v="4"/>
    <n v="0"/>
    <n v="100"/>
    <n v="0"/>
    <s v="Consolidation"/>
    <s v="CO2e and Base Measure"/>
    <n v="100"/>
    <n v="100"/>
    <n v="0.27"/>
    <m/>
    <m/>
    <m/>
    <m/>
    <m/>
    <n v="0.35099999999999998"/>
    <m/>
    <n v="0.35099999999999998"/>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2-01T00:00:00"/>
    <s v="FY21"/>
    <s v="t"/>
    <n v="0"/>
    <n v="0.27"/>
    <n v="0"/>
    <n v="0.27"/>
    <n v="0"/>
    <n v="4"/>
    <n v="0"/>
    <n v="4"/>
    <n v="0"/>
    <n v="100"/>
    <n v="0"/>
    <s v="Consolidation"/>
    <s v="CO2e and Base Measure"/>
    <n v="100"/>
    <n v="100"/>
    <n v="0.27"/>
    <m/>
    <m/>
    <m/>
    <m/>
    <m/>
    <n v="0.35099999999999998"/>
    <m/>
    <n v="0.35099999999999998"/>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3-01T00:00:00"/>
    <s v="FY21"/>
    <s v="t"/>
    <n v="0"/>
    <n v="0.33750000000000002"/>
    <n v="0"/>
    <n v="0.33750000000000002"/>
    <n v="0"/>
    <n v="5"/>
    <n v="0"/>
    <n v="5"/>
    <n v="0"/>
    <n v="100"/>
    <n v="0"/>
    <s v="Consolidation"/>
    <s v="CO2e and Base Measure"/>
    <n v="100"/>
    <n v="100"/>
    <n v="0.34"/>
    <m/>
    <m/>
    <m/>
    <m/>
    <m/>
    <n v="0.43880000000000002"/>
    <m/>
    <n v="0.43880000000000002"/>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5-01T00:00:00"/>
    <s v="FY21"/>
    <s v="t"/>
    <n v="0"/>
    <n v="0"/>
    <n v="0.29759999999999998"/>
    <n v="0.29759999999999998"/>
    <n v="0"/>
    <n v="0"/>
    <n v="31"/>
    <n v="31"/>
    <n v="0"/>
    <n v="0"/>
    <n v="100"/>
    <s v="Consolidation"/>
    <s v="CO2e and Base Measure"/>
    <n v="100"/>
    <n v="100"/>
    <n v="0.3"/>
    <m/>
    <m/>
    <m/>
    <m/>
    <m/>
    <n v="0.38690000000000002"/>
    <m/>
    <n v="0.38690000000000002"/>
    <m/>
    <m/>
    <m/>
    <m/>
    <m/>
    <s v="AUD"/>
    <s v="13634277Waste - General [t] - Scope 3"/>
    <n v="13634277"/>
  </r>
  <r>
    <d v="2019-07-01T00:00:00"/>
    <d v="2021-06-30T00:00:00"/>
    <s v="Telstra"/>
    <s v="NETWORK"/>
    <s v="Network - InfraCo"/>
    <s v="VIC"/>
    <s v="Australia"/>
    <s v="Toorak"/>
    <s v="TOORAK EXCHANGE"/>
    <n v="423030670200"/>
    <s v="Waste"/>
    <x v="1"/>
    <x v="2"/>
    <s v="Account"/>
    <s v="Remondis General Waste"/>
    <m/>
    <s v="423030670200_WGENERALW"/>
    <s v="GENERAL WASTE"/>
    <s v="Remondis"/>
    <m/>
    <m/>
    <d v="2020-08-01T00:00:00"/>
    <d v="2020-07-01T00:00:00"/>
    <s v="FY21"/>
    <s v="t"/>
    <n v="0"/>
    <n v="0.39"/>
    <n v="0"/>
    <n v="0.39"/>
    <n v="0"/>
    <n v="1"/>
    <n v="0"/>
    <n v="1"/>
    <n v="0"/>
    <n v="100"/>
    <n v="0"/>
    <s v="Consolidation"/>
    <s v="CO2e and Base Measure"/>
    <n v="100"/>
    <n v="100"/>
    <n v="0.39"/>
    <m/>
    <m/>
    <m/>
    <m/>
    <m/>
    <n v="0.50700000000000001"/>
    <m/>
    <n v="0.50700000000000001"/>
    <m/>
    <m/>
    <m/>
    <m/>
    <m/>
    <s v="AUD"/>
    <s v="13565094Waste - General [t] - Scope 3"/>
    <n v="13565094"/>
  </r>
  <r>
    <d v="2019-07-01T00:00:00"/>
    <d v="2021-06-30T00:00:00"/>
    <s v="Telstra"/>
    <s v="NETWORK"/>
    <s v="Network - InfraCo"/>
    <s v="VIC"/>
    <s v="Australia"/>
    <s v="Toorak"/>
    <s v="TOORAK EXCHANGE"/>
    <n v="423030670200"/>
    <s v="Waste"/>
    <x v="1"/>
    <x v="2"/>
    <s v="Account"/>
    <s v="Remondis General Waste"/>
    <m/>
    <s v="423030670200_WGENERALW"/>
    <s v="GENERAL WASTE"/>
    <s v="Remondis"/>
    <m/>
    <m/>
    <d v="2020-08-01T00:00:00"/>
    <d v="2020-08-01T00:00:00"/>
    <s v="FY21"/>
    <s v="t"/>
    <n v="0"/>
    <n v="0"/>
    <n v="1.2999999999999999E-2"/>
    <n v="1.2999999999999999E-2"/>
    <n v="0"/>
    <n v="0"/>
    <n v="1"/>
    <n v="1"/>
    <n v="0"/>
    <n v="0"/>
    <n v="100"/>
    <s v="Consolidation"/>
    <s v="CO2e and Base Measure"/>
    <n v="100"/>
    <n v="100"/>
    <n v="0.01"/>
    <m/>
    <m/>
    <m/>
    <m/>
    <m/>
    <n v="1.6899999999999998E-2"/>
    <m/>
    <n v="1.6899999999999998E-2"/>
    <m/>
    <m/>
    <m/>
    <m/>
    <m/>
    <s v="AUD"/>
    <s v="13565094Waste - General [t] - Scope 3"/>
    <n v="1356509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07-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08-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09-01T00:00:00"/>
    <s v="FY21"/>
    <s v="t"/>
    <n v="6.0000000000000001E-3"/>
    <n v="0"/>
    <n v="0"/>
    <n v="6.0000000000000001E-3"/>
    <n v="3"/>
    <n v="0"/>
    <n v="0"/>
    <n v="3"/>
    <n v="100"/>
    <n v="0"/>
    <n v="0"/>
    <s v="Consolidation"/>
    <s v="CO2e and Base Measure"/>
    <n v="100"/>
    <n v="100"/>
    <n v="0.01"/>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10-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11-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12-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1-01T00:00:00"/>
    <s v="FY21"/>
    <s v="t"/>
    <n v="0"/>
    <n v="0"/>
    <n v="4.65E-2"/>
    <n v="4.65E-2"/>
    <n v="0"/>
    <n v="0"/>
    <n v="31"/>
    <n v="31"/>
    <n v="0"/>
    <n v="0"/>
    <n v="10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2-01T00:00:00"/>
    <s v="FY21"/>
    <s v="t"/>
    <n v="0"/>
    <n v="0"/>
    <n v="4.2000000000000003E-2"/>
    <n v="4.2000000000000003E-2"/>
    <n v="0"/>
    <n v="0"/>
    <n v="28"/>
    <n v="28"/>
    <n v="0"/>
    <n v="0"/>
    <n v="100"/>
    <s v="Consolidation"/>
    <s v="CO2e and Base Measure"/>
    <n v="100"/>
    <n v="100"/>
    <n v="0.04"/>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3-01T00:00:00"/>
    <s v="FY21"/>
    <s v="t"/>
    <n v="0"/>
    <n v="0"/>
    <n v="4.65E-2"/>
    <n v="4.65E-2"/>
    <n v="0"/>
    <n v="0"/>
    <n v="31"/>
    <n v="31"/>
    <n v="0"/>
    <n v="0"/>
    <n v="10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4-01T00:00:00"/>
    <s v="FY21"/>
    <s v="t"/>
    <n v="0"/>
    <n v="0"/>
    <n v="4.4999999999999998E-2"/>
    <n v="4.4999999999999998E-2"/>
    <n v="0"/>
    <n v="0"/>
    <n v="30"/>
    <n v="30"/>
    <n v="0"/>
    <n v="0"/>
    <n v="10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5-01T00:00:00"/>
    <s v="FY21"/>
    <s v="t"/>
    <n v="0"/>
    <n v="0"/>
    <n v="4.65E-2"/>
    <n v="4.65E-2"/>
    <n v="0"/>
    <n v="0"/>
    <n v="31"/>
    <n v="31"/>
    <n v="0"/>
    <n v="0"/>
    <n v="100"/>
    <s v="Consolidation"/>
    <s v="CO2e and Base Measure"/>
    <n v="100"/>
    <n v="100"/>
    <n v="0.05"/>
    <m/>
    <m/>
    <m/>
    <m/>
    <m/>
    <m/>
    <m/>
    <m/>
    <m/>
    <m/>
    <m/>
    <m/>
    <m/>
    <s v="AUD"/>
    <s v="13566634Waste Recycled - Paper and Cardboard [t]"/>
    <n v="13566634"/>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07-01T00:00:00"/>
    <s v="FY21"/>
    <s v="t"/>
    <n v="0"/>
    <n v="0.189"/>
    <n v="0"/>
    <n v="0.189"/>
    <n v="0"/>
    <n v="3"/>
    <n v="0"/>
    <n v="3"/>
    <n v="0"/>
    <n v="100"/>
    <n v="0"/>
    <s v="Consolidation"/>
    <s v="CO2e and Base Measure"/>
    <n v="100"/>
    <n v="100"/>
    <n v="0.19"/>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291Waste Recycled - Cardboard [t]"/>
    <n v="13564291"/>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11-01T00:00:00"/>
    <s v="FY21"/>
    <s v="t"/>
    <n v="0"/>
    <n v="0.29249999999999998"/>
    <n v="0"/>
    <n v="0.29249999999999998"/>
    <n v="0"/>
    <n v="3"/>
    <n v="0"/>
    <n v="3"/>
    <n v="0"/>
    <n v="100"/>
    <n v="0"/>
    <s v="Consolidation"/>
    <s v="CO2e and Base Measure"/>
    <n v="100"/>
    <n v="100"/>
    <n v="0.28999999999999998"/>
    <m/>
    <m/>
    <m/>
    <m/>
    <m/>
    <n v="0.38030000000000003"/>
    <m/>
    <n v="0.38030000000000003"/>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4292Waste - General [t] - Scope 3"/>
    <n v="13564292"/>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0-12-01T00:00:00"/>
    <s v="FY21"/>
    <s v="t"/>
    <n v="0.20799999999999999"/>
    <n v="0"/>
    <n v="0"/>
    <n v="0.20799999999999999"/>
    <n v="4"/>
    <n v="0"/>
    <n v="0"/>
    <n v="4"/>
    <n v="100"/>
    <n v="0"/>
    <n v="0"/>
    <s v="Consolidation"/>
    <s v="CO2e and Base Measure"/>
    <n v="100"/>
    <n v="100"/>
    <n v="0.21"/>
    <m/>
    <m/>
    <m/>
    <m/>
    <m/>
    <n v="0.27039999999999997"/>
    <m/>
    <n v="0.27039999999999997"/>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1-01T00:00:00"/>
    <s v="FY21"/>
    <s v="t"/>
    <n v="9.6000000000000002E-2"/>
    <n v="0"/>
    <n v="0"/>
    <n v="9.6000000000000002E-2"/>
    <n v="4"/>
    <n v="0"/>
    <n v="0"/>
    <n v="4"/>
    <n v="100"/>
    <n v="0"/>
    <n v="0"/>
    <s v="Consolidation"/>
    <s v="CO2e and Base Measure"/>
    <n v="100"/>
    <n v="100"/>
    <n v="0.1"/>
    <m/>
    <m/>
    <m/>
    <m/>
    <m/>
    <n v="0.12479999999999999"/>
    <m/>
    <n v="0.12479999999999999"/>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2-01T00:00:00"/>
    <s v="FY21"/>
    <s v="t"/>
    <n v="0.13100000000000001"/>
    <n v="0"/>
    <n v="0"/>
    <n v="0.13100000000000001"/>
    <n v="4"/>
    <n v="0"/>
    <n v="0"/>
    <n v="4"/>
    <n v="100"/>
    <n v="0"/>
    <n v="0"/>
    <s v="Consolidation"/>
    <s v="CO2e and Base Measure"/>
    <n v="100"/>
    <n v="100"/>
    <n v="0.13"/>
    <m/>
    <m/>
    <m/>
    <m/>
    <m/>
    <n v="0.17030000000000001"/>
    <m/>
    <n v="0.17030000000000001"/>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3-01T00:00:00"/>
    <s v="FY21"/>
    <s v="t"/>
    <n v="0.13900000000000001"/>
    <n v="6.7500000000000004E-2"/>
    <n v="0"/>
    <n v="0.20649999999999999"/>
    <n v="3"/>
    <n v="1"/>
    <n v="0"/>
    <n v="4"/>
    <n v="67.31"/>
    <n v="32.68"/>
    <n v="0"/>
    <s v="Consolidation"/>
    <s v="CO2e and Base Measure"/>
    <n v="100"/>
    <n v="100"/>
    <n v="0.21"/>
    <m/>
    <m/>
    <m/>
    <m/>
    <m/>
    <n v="0.26850000000000002"/>
    <m/>
    <n v="0.26850000000000002"/>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4-01T00:00:00"/>
    <s v="FY21"/>
    <s v="t"/>
    <n v="0"/>
    <n v="0"/>
    <n v="0.159"/>
    <n v="0.159"/>
    <n v="0"/>
    <n v="0"/>
    <n v="30"/>
    <n v="30"/>
    <n v="0"/>
    <n v="0"/>
    <n v="100"/>
    <s v="Consolidation"/>
    <s v="CO2e and Base Measure"/>
    <n v="100"/>
    <n v="100"/>
    <n v="0.16"/>
    <m/>
    <m/>
    <m/>
    <m/>
    <m/>
    <n v="0.20669999999999999"/>
    <m/>
    <n v="0.20669999999999999"/>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5-01T00:00:00"/>
    <s v="FY21"/>
    <s v="t"/>
    <n v="0"/>
    <n v="0"/>
    <n v="0.1643"/>
    <n v="0.1643"/>
    <n v="0"/>
    <n v="0"/>
    <n v="31"/>
    <n v="31"/>
    <n v="0"/>
    <n v="0"/>
    <n v="100"/>
    <s v="Consolidation"/>
    <s v="CO2e and Base Measure"/>
    <n v="100"/>
    <n v="100"/>
    <n v="0.16"/>
    <m/>
    <m/>
    <m/>
    <m/>
    <m/>
    <n v="0.21360000000000001"/>
    <m/>
    <n v="0.21360000000000001"/>
    <m/>
    <m/>
    <m/>
    <m/>
    <m/>
    <s v="AUD"/>
    <s v="13634278Waste - General [t] - Scope 3"/>
    <n v="13634278"/>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07-01T00:00:00"/>
    <s v="FY21"/>
    <s v="t"/>
    <n v="0"/>
    <n v="0.21659999999999999"/>
    <n v="0"/>
    <n v="0.21659999999999999"/>
    <n v="0"/>
    <n v="3"/>
    <n v="0"/>
    <n v="3"/>
    <n v="0"/>
    <n v="100"/>
    <n v="0"/>
    <s v="Consolidation"/>
    <s v="CO2e and Base Measure"/>
    <n v="100"/>
    <n v="100"/>
    <n v="0.22"/>
    <m/>
    <m/>
    <m/>
    <m/>
    <m/>
    <n v="0.28160000000000002"/>
    <m/>
    <n v="0.28160000000000002"/>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08-01T00:00:00"/>
    <s v="FY21"/>
    <s v="t"/>
    <n v="0"/>
    <n v="7.22E-2"/>
    <n v="0"/>
    <n v="7.22E-2"/>
    <n v="0"/>
    <n v="1"/>
    <n v="0"/>
    <n v="1"/>
    <n v="0"/>
    <n v="100"/>
    <n v="0"/>
    <s v="Consolidation"/>
    <s v="CO2e and Base Measure"/>
    <n v="100"/>
    <n v="100"/>
    <n v="7.0000000000000007E-2"/>
    <m/>
    <m/>
    <m/>
    <m/>
    <m/>
    <n v="9.3899999999999997E-2"/>
    <m/>
    <n v="9.3899999999999997E-2"/>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1-01-01T00:00:00"/>
    <s v="FY21"/>
    <s v="t"/>
    <n v="0"/>
    <n v="0"/>
    <n v="4.1000000000000003E-3"/>
    <n v="4.1000000000000003E-3"/>
    <n v="0"/>
    <n v="0"/>
    <n v="1"/>
    <n v="1"/>
    <n v="0"/>
    <n v="0"/>
    <n v="100"/>
    <s v="Consolidation"/>
    <s v="CO2e and Base Measure"/>
    <n v="100"/>
    <n v="100"/>
    <n v="0"/>
    <m/>
    <m/>
    <m/>
    <m/>
    <m/>
    <n v="5.3E-3"/>
    <m/>
    <n v="5.3E-3"/>
    <m/>
    <m/>
    <m/>
    <m/>
    <m/>
    <s v="AUD"/>
    <s v="13565093Waste - General [t] - Scope 3"/>
    <n v="13565093"/>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07-01T00:00:00"/>
    <s v="FY21"/>
    <s v="t"/>
    <n v="0"/>
    <n v="0.39"/>
    <n v="0"/>
    <n v="0.39"/>
    <n v="0"/>
    <n v="4"/>
    <n v="0"/>
    <n v="4"/>
    <n v="0"/>
    <n v="100"/>
    <n v="0"/>
    <s v="Consolidation"/>
    <s v="CO2e and Base Measure"/>
    <n v="100"/>
    <n v="100"/>
    <n v="0.39"/>
    <m/>
    <m/>
    <m/>
    <m/>
    <m/>
    <n v="0.50700000000000001"/>
    <m/>
    <n v="0.50700000000000001"/>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08-01T00:00:00"/>
    <s v="FY21"/>
    <s v="t"/>
    <n v="0"/>
    <n v="0.39"/>
    <n v="0"/>
    <n v="0.39"/>
    <n v="0"/>
    <n v="4"/>
    <n v="0"/>
    <n v="4"/>
    <n v="0"/>
    <n v="100"/>
    <n v="0"/>
    <s v="Consolidation"/>
    <s v="CO2e and Base Measure"/>
    <n v="100"/>
    <n v="100"/>
    <n v="0.39"/>
    <m/>
    <m/>
    <m/>
    <m/>
    <m/>
    <n v="0.50700000000000001"/>
    <m/>
    <n v="0.50700000000000001"/>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09-01T00:00:00"/>
    <s v="FY21"/>
    <s v="t"/>
    <n v="0"/>
    <n v="0.48749999999999999"/>
    <n v="0"/>
    <n v="0.48749999999999999"/>
    <n v="0"/>
    <n v="5"/>
    <n v="0"/>
    <n v="5"/>
    <n v="0"/>
    <n v="100"/>
    <n v="0"/>
    <s v="Consolidation"/>
    <s v="CO2e and Base Measure"/>
    <n v="100"/>
    <n v="100"/>
    <n v="0.49"/>
    <m/>
    <m/>
    <m/>
    <m/>
    <m/>
    <n v="0.63380000000000003"/>
    <m/>
    <n v="0.63380000000000003"/>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10-01T00:00:00"/>
    <s v="FY21"/>
    <s v="t"/>
    <n v="0"/>
    <n v="0.39"/>
    <n v="0"/>
    <n v="0.39"/>
    <n v="0"/>
    <n v="4"/>
    <n v="0"/>
    <n v="4"/>
    <n v="0"/>
    <n v="100"/>
    <n v="0"/>
    <s v="Consolidation"/>
    <s v="CO2e and Base Measure"/>
    <n v="100"/>
    <n v="100"/>
    <n v="0.39"/>
    <m/>
    <m/>
    <m/>
    <m/>
    <m/>
    <n v="0.50700000000000001"/>
    <m/>
    <n v="0.50700000000000001"/>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11-01T00:00:00"/>
    <s v="FY21"/>
    <s v="t"/>
    <n v="0"/>
    <n v="0.39"/>
    <n v="0"/>
    <n v="0.39"/>
    <n v="0"/>
    <n v="4"/>
    <n v="0"/>
    <n v="4"/>
    <n v="0"/>
    <n v="100"/>
    <n v="0"/>
    <s v="Consolidation"/>
    <s v="CO2e and Base Measure"/>
    <n v="100"/>
    <n v="100"/>
    <n v="0.39"/>
    <m/>
    <m/>
    <m/>
    <m/>
    <m/>
    <n v="0.50700000000000001"/>
    <m/>
    <n v="0.50700000000000001"/>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179Waste - General [t] - Scope 3"/>
    <n v="135651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0-12-01T00:00:00"/>
    <s v="FY21"/>
    <s v="t"/>
    <n v="0.27800000000000002"/>
    <n v="0"/>
    <n v="0"/>
    <n v="0.27800000000000002"/>
    <n v="5"/>
    <n v="0"/>
    <n v="0"/>
    <n v="5"/>
    <n v="100"/>
    <n v="0"/>
    <n v="0"/>
    <s v="Consolidation"/>
    <s v="CO2e and Base Measure"/>
    <n v="100"/>
    <n v="100"/>
    <n v="0.28000000000000003"/>
    <m/>
    <m/>
    <m/>
    <m/>
    <m/>
    <n v="0.3614"/>
    <m/>
    <n v="0.3614"/>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1-01T00:00:00"/>
    <s v="FY21"/>
    <s v="t"/>
    <n v="0.23899999999999999"/>
    <n v="0"/>
    <n v="0"/>
    <n v="0.23899999999999999"/>
    <n v="4"/>
    <n v="0"/>
    <n v="0"/>
    <n v="4"/>
    <n v="100"/>
    <n v="0"/>
    <n v="0"/>
    <s v="Consolidation"/>
    <s v="CO2e and Base Measure"/>
    <n v="100"/>
    <n v="100"/>
    <n v="0.24"/>
    <m/>
    <m/>
    <m/>
    <m/>
    <m/>
    <n v="0.31069999999999998"/>
    <m/>
    <n v="0.31069999999999998"/>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2-01T00:00:00"/>
    <s v="FY21"/>
    <s v="t"/>
    <n v="0.60599999999999998"/>
    <n v="0.13500000000000001"/>
    <n v="0"/>
    <n v="0.74099999999999999"/>
    <n v="3"/>
    <n v="1"/>
    <n v="0"/>
    <n v="4"/>
    <n v="81.78"/>
    <n v="18.21"/>
    <n v="0"/>
    <s v="Consolidation"/>
    <s v="CO2e and Base Measure"/>
    <n v="100"/>
    <n v="100"/>
    <n v="0.74"/>
    <m/>
    <m/>
    <m/>
    <m/>
    <m/>
    <n v="0.96330000000000005"/>
    <m/>
    <n v="0.96330000000000005"/>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3-01T00:00:00"/>
    <s v="FY21"/>
    <s v="t"/>
    <n v="0.33300000000000002"/>
    <n v="0"/>
    <n v="0"/>
    <n v="0.33300000000000002"/>
    <n v="5"/>
    <n v="0"/>
    <n v="0"/>
    <n v="5"/>
    <n v="100"/>
    <n v="0"/>
    <n v="0"/>
    <s v="Consolidation"/>
    <s v="CO2e and Base Measure"/>
    <n v="100"/>
    <n v="100"/>
    <n v="0.33"/>
    <m/>
    <m/>
    <m/>
    <m/>
    <m/>
    <n v="0.43290000000000001"/>
    <m/>
    <n v="0.43290000000000001"/>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4-01T00:00:00"/>
    <s v="FY21"/>
    <s v="t"/>
    <n v="0"/>
    <n v="0"/>
    <n v="0.39900000000000002"/>
    <n v="0.39900000000000002"/>
    <n v="0"/>
    <n v="0"/>
    <n v="30"/>
    <n v="30"/>
    <n v="0"/>
    <n v="0"/>
    <n v="100"/>
    <s v="Consolidation"/>
    <s v="CO2e and Base Measure"/>
    <n v="100"/>
    <n v="100"/>
    <n v="0.4"/>
    <m/>
    <m/>
    <m/>
    <m/>
    <m/>
    <n v="0.51870000000000005"/>
    <m/>
    <n v="0.51870000000000005"/>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5-01T00:00:00"/>
    <s v="FY21"/>
    <s v="t"/>
    <n v="0"/>
    <n v="0"/>
    <n v="0.4123"/>
    <n v="0.4123"/>
    <n v="0"/>
    <n v="0"/>
    <n v="31"/>
    <n v="31"/>
    <n v="0"/>
    <n v="0"/>
    <n v="100"/>
    <s v="Consolidation"/>
    <s v="CO2e and Base Measure"/>
    <n v="100"/>
    <n v="100"/>
    <n v="0.41"/>
    <m/>
    <m/>
    <m/>
    <m/>
    <m/>
    <n v="0.53600000000000003"/>
    <m/>
    <n v="0.53600000000000003"/>
    <m/>
    <m/>
    <m/>
    <m/>
    <m/>
    <s v="AUD"/>
    <s v="13634279Waste - General [t] - Scope 3"/>
    <n v="13634279"/>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1-01-01T00:00:00"/>
    <s v="FY21"/>
    <s v="t"/>
    <n v="0"/>
    <n v="0"/>
    <n v="3.2000000000000002E-3"/>
    <n v="3.2000000000000002E-3"/>
    <n v="0"/>
    <n v="0"/>
    <n v="1"/>
    <n v="1"/>
    <n v="0"/>
    <n v="0"/>
    <n v="100"/>
    <s v="Consolidation"/>
    <s v="CO2e and Base Measure"/>
    <n v="100"/>
    <n v="100"/>
    <n v="0"/>
    <m/>
    <m/>
    <m/>
    <m/>
    <m/>
    <n v="4.1999999999999997E-3"/>
    <m/>
    <n v="4.1999999999999997E-3"/>
    <m/>
    <m/>
    <m/>
    <m/>
    <m/>
    <s v="AUD"/>
    <s v="13564278Waste - General [t] - Scope 3"/>
    <n v="13564278"/>
  </r>
  <r>
    <d v="2019-07-01T00:00:00"/>
    <d v="2021-06-30T00:00:00"/>
    <s v="Telstra"/>
    <s v="NETWORK"/>
    <s v="Network - InfraCo"/>
    <s v="QLD"/>
    <s v="Australia"/>
    <s v="Trinity Beach"/>
    <s v="TRINITY BEACH EXCHANGE"/>
    <n v="423030202700"/>
    <s v="Recycled Waste"/>
    <x v="0"/>
    <x v="1"/>
    <s v="Account"/>
    <s v="Remondis Electrical Comp. (E-Waste)"/>
    <m/>
    <s v="423030202700_RELECTRIC"/>
    <s v="ELECTRICAL COMP. (E-WASTE)"/>
    <s v="Remondis"/>
    <m/>
    <d v="2020-08-20T00:00:00"/>
    <d v="2020-09-01T00:00:00"/>
    <d v="2020-08-01T00:00:00"/>
    <s v="FY21"/>
    <s v="t"/>
    <n v="0"/>
    <n v="0.76"/>
    <n v="0"/>
    <n v="0.76"/>
    <n v="0"/>
    <n v="2"/>
    <n v="0"/>
    <n v="2"/>
    <n v="0"/>
    <n v="100"/>
    <n v="0"/>
    <s v="Consolidation"/>
    <s v="CO2e and Base Measure"/>
    <n v="100"/>
    <n v="100"/>
    <n v="0.76"/>
    <m/>
    <m/>
    <m/>
    <m/>
    <m/>
    <m/>
    <m/>
    <m/>
    <m/>
    <m/>
    <m/>
    <m/>
    <m/>
    <s v="AUD"/>
    <s v="13625674Waste Recycled - E-waste [t]"/>
    <n v="13625674"/>
  </r>
  <r>
    <d v="2019-07-01T00:00:00"/>
    <d v="2021-06-30T00:00:00"/>
    <s v="Telstra"/>
    <s v="NETWORK"/>
    <s v="Network - InfraCo"/>
    <s v="QLD"/>
    <s v="Australia"/>
    <s v="Trinity Beach"/>
    <s v="TRINITY BEACH EXCHANGE"/>
    <n v="423030202700"/>
    <s v="Recycled Waste"/>
    <x v="0"/>
    <x v="1"/>
    <s v="Account"/>
    <s v="Remondis Electrical Comp. (E-Waste)"/>
    <m/>
    <s v="423030202700_RELECTRIC"/>
    <s v="ELECTRICAL COMP. (E-WASTE)"/>
    <s v="Remondis"/>
    <m/>
    <d v="2020-08-20T00:00:00"/>
    <d v="2020-09-01T00:00:00"/>
    <d v="2020-09-01T00:00:00"/>
    <s v="FY21"/>
    <s v="t"/>
    <n v="0"/>
    <n v="0"/>
    <n v="2.53E-2"/>
    <n v="2.53E-2"/>
    <n v="0"/>
    <n v="0"/>
    <n v="1"/>
    <n v="1"/>
    <n v="0"/>
    <n v="0"/>
    <n v="100"/>
    <s v="Consolidation"/>
    <s v="CO2e and Base Measure"/>
    <n v="100"/>
    <n v="100"/>
    <n v="0.03"/>
    <m/>
    <m/>
    <m/>
    <m/>
    <m/>
    <m/>
    <m/>
    <m/>
    <m/>
    <m/>
    <m/>
    <m/>
    <m/>
    <s v="AUD"/>
    <s v="13625674Waste Recycled - E-waste [t]"/>
    <n v="13625674"/>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08-01T00:00:00"/>
    <s v="FY21"/>
    <s v="t"/>
    <n v="1.52"/>
    <n v="0"/>
    <n v="0"/>
    <n v="1.52"/>
    <n v="1"/>
    <n v="0"/>
    <n v="0"/>
    <n v="1"/>
    <n v="100"/>
    <n v="0"/>
    <n v="0"/>
    <s v="Consolidation"/>
    <s v="CO2e and Base Measure"/>
    <n v="100"/>
    <n v="100"/>
    <n v="1.5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09-01T00:00:00"/>
    <s v="FY21"/>
    <s v="t"/>
    <n v="0"/>
    <n v="0"/>
    <n v="1.5209999999999999"/>
    <n v="1.5209999999999999"/>
    <n v="0"/>
    <n v="0"/>
    <n v="30"/>
    <n v="30"/>
    <n v="0"/>
    <n v="0"/>
    <n v="100"/>
    <s v="Consolidation"/>
    <s v="CO2e and Base Measure"/>
    <n v="100"/>
    <n v="100"/>
    <n v="1.5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10-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11-01T00:00:00"/>
    <s v="FY21"/>
    <s v="t"/>
    <n v="0"/>
    <n v="0"/>
    <n v="1.5209999999999999"/>
    <n v="1.5209999999999999"/>
    <n v="0"/>
    <n v="0"/>
    <n v="30"/>
    <n v="30"/>
    <n v="0"/>
    <n v="0"/>
    <n v="100"/>
    <s v="Consolidation"/>
    <s v="CO2e and Base Measure"/>
    <n v="100"/>
    <n v="100"/>
    <n v="1.5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12-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1-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2-01T00:00:00"/>
    <s v="FY21"/>
    <s v="t"/>
    <n v="0"/>
    <n v="0"/>
    <n v="1.4196"/>
    <n v="1.4196"/>
    <n v="0"/>
    <n v="0"/>
    <n v="28"/>
    <n v="28"/>
    <n v="0"/>
    <n v="0"/>
    <n v="100"/>
    <s v="Consolidation"/>
    <s v="CO2e and Base Measure"/>
    <n v="100"/>
    <n v="100"/>
    <n v="1.4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3-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4-01T00:00:00"/>
    <s v="FY21"/>
    <s v="t"/>
    <n v="0"/>
    <n v="0"/>
    <n v="1.5209999999999999"/>
    <n v="1.5209999999999999"/>
    <n v="0"/>
    <n v="0"/>
    <n v="30"/>
    <n v="30"/>
    <n v="0"/>
    <n v="0"/>
    <n v="100"/>
    <s v="Consolidation"/>
    <s v="CO2e and Base Measure"/>
    <n v="100"/>
    <n v="100"/>
    <n v="1.5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5-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5381Waste - General [t] - Scope 3"/>
    <n v="13565381"/>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09-01T00:00:00"/>
    <s v="FY21"/>
    <s v="t"/>
    <n v="0.105"/>
    <n v="0"/>
    <n v="0"/>
    <n v="0.105"/>
    <n v="2"/>
    <n v="0"/>
    <n v="0"/>
    <n v="2"/>
    <n v="100"/>
    <n v="0"/>
    <n v="0"/>
    <s v="Consolidation"/>
    <s v="CO2e and Base Measure"/>
    <n v="100"/>
    <n v="100"/>
    <n v="0.11"/>
    <m/>
    <m/>
    <m/>
    <m/>
    <m/>
    <n v="0.13650000000000001"/>
    <m/>
    <n v="0.13650000000000001"/>
    <m/>
    <m/>
    <m/>
    <m/>
    <m/>
    <s v="AUD"/>
    <s v="13565381Waste - General [t] - Scope 3"/>
    <n v="13565381"/>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10-01T00:00:00"/>
    <s v="FY21"/>
    <s v="t"/>
    <n v="4.4999999999999998E-2"/>
    <n v="0"/>
    <n v="0"/>
    <n v="4.4999999999999998E-2"/>
    <n v="2"/>
    <n v="0"/>
    <n v="0"/>
    <n v="2"/>
    <n v="100"/>
    <n v="0"/>
    <n v="0"/>
    <s v="Consolidation"/>
    <s v="CO2e and Base Measure"/>
    <n v="100"/>
    <n v="100"/>
    <n v="0.05"/>
    <m/>
    <m/>
    <m/>
    <m/>
    <m/>
    <n v="5.8500000000000003E-2"/>
    <m/>
    <n v="5.8500000000000003E-2"/>
    <m/>
    <m/>
    <m/>
    <m/>
    <m/>
    <s v="AUD"/>
    <s v="13565381Waste - General [t] - Scope 3"/>
    <n v="13565381"/>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11-01T00:00:00"/>
    <s v="FY21"/>
    <s v="t"/>
    <n v="0"/>
    <n v="0"/>
    <n v="0"/>
    <n v="0"/>
    <n v="0"/>
    <n v="2"/>
    <n v="0"/>
    <n v="2"/>
    <m/>
    <m/>
    <m/>
    <s v="Consolidation"/>
    <s v="CO2e and Base Measure"/>
    <n v="100"/>
    <n v="100"/>
    <n v="0"/>
    <m/>
    <m/>
    <m/>
    <m/>
    <m/>
    <m/>
    <m/>
    <m/>
    <m/>
    <m/>
    <m/>
    <m/>
    <m/>
    <s v="AUD"/>
    <s v="13565381Waste - General [t] - Scope 3"/>
    <n v="13565381"/>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12-01T00:00:00"/>
    <s v="FY21"/>
    <s v="t"/>
    <n v="0"/>
    <n v="0"/>
    <n v="4.0000000000000001E-3"/>
    <n v="4.0000000000000001E-3"/>
    <n v="0"/>
    <n v="0"/>
    <n v="1"/>
    <n v="1"/>
    <n v="0"/>
    <n v="0"/>
    <n v="100"/>
    <s v="Consolidation"/>
    <s v="CO2e and Base Measure"/>
    <n v="100"/>
    <n v="100"/>
    <n v="0"/>
    <m/>
    <m/>
    <m/>
    <m/>
    <m/>
    <n v="5.1999999999999998E-3"/>
    <m/>
    <n v="5.1999999999999998E-3"/>
    <m/>
    <m/>
    <m/>
    <m/>
    <m/>
    <s v="AUD"/>
    <s v="13565381Waste - General [t] - Scope 3"/>
    <n v="13565381"/>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0-12-01T00:00:00"/>
    <s v="FY21"/>
    <s v="t"/>
    <n v="2.9000000000000001E-2"/>
    <n v="0"/>
    <n v="0"/>
    <n v="2.9000000000000001E-2"/>
    <n v="1"/>
    <n v="0"/>
    <n v="0"/>
    <n v="1"/>
    <n v="100"/>
    <n v="0"/>
    <n v="0"/>
    <s v="Consolidation"/>
    <s v="CO2e and Base Measure"/>
    <n v="100"/>
    <n v="100"/>
    <n v="0.03"/>
    <m/>
    <m/>
    <m/>
    <m/>
    <m/>
    <n v="3.7699999999999997E-2"/>
    <m/>
    <n v="3.7699999999999997E-2"/>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2-01T00:00:00"/>
    <s v="FY21"/>
    <s v="t"/>
    <n v="0.18"/>
    <n v="0"/>
    <n v="0"/>
    <n v="0.18"/>
    <n v="1"/>
    <n v="0"/>
    <n v="0"/>
    <n v="1"/>
    <n v="100"/>
    <n v="0"/>
    <n v="0"/>
    <s v="Consolidation"/>
    <s v="CO2e and Base Measure"/>
    <n v="100"/>
    <n v="100"/>
    <n v="0.18"/>
    <m/>
    <m/>
    <m/>
    <m/>
    <m/>
    <n v="0.23400000000000001"/>
    <m/>
    <n v="0.23400000000000001"/>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3-01T00:00:00"/>
    <s v="FY21"/>
    <s v="t"/>
    <n v="4.1000000000000002E-2"/>
    <n v="0"/>
    <n v="0"/>
    <n v="4.1000000000000002E-2"/>
    <n v="1"/>
    <n v="0"/>
    <n v="0"/>
    <n v="1"/>
    <n v="100"/>
    <n v="0"/>
    <n v="0"/>
    <s v="Consolidation"/>
    <s v="CO2e and Base Measure"/>
    <n v="100"/>
    <n v="100"/>
    <n v="0.04"/>
    <m/>
    <m/>
    <m/>
    <m/>
    <m/>
    <n v="5.33E-2"/>
    <m/>
    <n v="5.33E-2"/>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4-01T00:00:00"/>
    <s v="FY21"/>
    <s v="t"/>
    <n v="0"/>
    <n v="0"/>
    <n v="9.6000000000000002E-2"/>
    <n v="9.6000000000000002E-2"/>
    <n v="0"/>
    <n v="0"/>
    <n v="30"/>
    <n v="30"/>
    <n v="0"/>
    <n v="0"/>
    <n v="100"/>
    <s v="Consolidation"/>
    <s v="CO2e and Base Measure"/>
    <n v="100"/>
    <n v="100"/>
    <n v="0.1"/>
    <m/>
    <m/>
    <m/>
    <m/>
    <m/>
    <n v="0.12479999999999999"/>
    <m/>
    <n v="0.12479999999999999"/>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5-01T00:00:00"/>
    <s v="FY21"/>
    <s v="t"/>
    <n v="0"/>
    <n v="0"/>
    <n v="9.9199999999999997E-2"/>
    <n v="9.9199999999999997E-2"/>
    <n v="0"/>
    <n v="0"/>
    <n v="31"/>
    <n v="31"/>
    <n v="0"/>
    <n v="0"/>
    <n v="100"/>
    <s v="Consolidation"/>
    <s v="CO2e and Base Measure"/>
    <n v="100"/>
    <n v="100"/>
    <n v="0.1"/>
    <m/>
    <m/>
    <m/>
    <m/>
    <m/>
    <n v="0.129"/>
    <m/>
    <n v="0.129"/>
    <m/>
    <m/>
    <m/>
    <m/>
    <m/>
    <s v="AUD"/>
    <s v="13634280Waste - General [t] - Scope 3"/>
    <n v="13634280"/>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1-01T00:00:00"/>
    <s v="FY21"/>
    <s v="t"/>
    <n v="0"/>
    <n v="7.4999999999999997E-2"/>
    <n v="0"/>
    <n v="7.4999999999999997E-2"/>
    <n v="0"/>
    <n v="1"/>
    <n v="0"/>
    <n v="1"/>
    <n v="0"/>
    <n v="100"/>
    <n v="0"/>
    <s v="Consolidation"/>
    <s v="CO2e and Base Measure"/>
    <n v="100"/>
    <n v="100"/>
    <n v="0.08"/>
    <m/>
    <m/>
    <m/>
    <m/>
    <m/>
    <m/>
    <m/>
    <m/>
    <m/>
    <m/>
    <m/>
    <m/>
    <m/>
    <s v="AUD"/>
    <s v="13634478Waste Recycled - Paper and Cardboard [t]"/>
    <n v="13634478"/>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2-01T00:00:00"/>
    <s v="FY21"/>
    <s v="t"/>
    <n v="0"/>
    <n v="7.4999999999999997E-2"/>
    <n v="0"/>
    <n v="7.4999999999999997E-2"/>
    <n v="0"/>
    <n v="1"/>
    <n v="0"/>
    <n v="1"/>
    <n v="0"/>
    <n v="100"/>
    <n v="0"/>
    <s v="Consolidation"/>
    <s v="CO2e and Base Measure"/>
    <n v="100"/>
    <n v="100"/>
    <n v="0.08"/>
    <m/>
    <m/>
    <m/>
    <m/>
    <m/>
    <m/>
    <m/>
    <m/>
    <m/>
    <m/>
    <m/>
    <m/>
    <m/>
    <s v="AUD"/>
    <s v="13634478Waste Recycled - Paper and Cardboard [t]"/>
    <n v="13634478"/>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3-01T00:00:00"/>
    <s v="FY21"/>
    <s v="t"/>
    <n v="2.9000000000000001E-2"/>
    <n v="0"/>
    <n v="0"/>
    <n v="2.9000000000000001E-2"/>
    <n v="1"/>
    <n v="0"/>
    <n v="0"/>
    <n v="1"/>
    <n v="100"/>
    <n v="0"/>
    <n v="0"/>
    <s v="Consolidation"/>
    <s v="CO2e and Base Measure"/>
    <n v="100"/>
    <n v="100"/>
    <n v="0.03"/>
    <m/>
    <m/>
    <m/>
    <m/>
    <m/>
    <m/>
    <m/>
    <m/>
    <m/>
    <m/>
    <m/>
    <m/>
    <m/>
    <s v="AUD"/>
    <s v="13634478Waste Recycled - Paper and Cardboard [t]"/>
    <n v="13634478"/>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4-01T00:00:00"/>
    <s v="FY21"/>
    <s v="t"/>
    <n v="0"/>
    <n v="0"/>
    <n v="0.06"/>
    <n v="0.06"/>
    <n v="0"/>
    <n v="0"/>
    <n v="30"/>
    <n v="30"/>
    <n v="0"/>
    <n v="0"/>
    <n v="100"/>
    <s v="Consolidation"/>
    <s v="CO2e and Base Measure"/>
    <n v="100"/>
    <n v="100"/>
    <n v="0.06"/>
    <m/>
    <m/>
    <m/>
    <m/>
    <m/>
    <m/>
    <m/>
    <m/>
    <m/>
    <m/>
    <m/>
    <m/>
    <m/>
    <s v="AUD"/>
    <s v="13634478Waste Recycled - Paper and Cardboard [t]"/>
    <n v="13634478"/>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5-01T00:00:00"/>
    <s v="FY21"/>
    <s v="t"/>
    <n v="0"/>
    <n v="0"/>
    <n v="6.2E-2"/>
    <n v="6.2E-2"/>
    <n v="0"/>
    <n v="0"/>
    <n v="31"/>
    <n v="31"/>
    <n v="0"/>
    <n v="0"/>
    <n v="100"/>
    <s v="Consolidation"/>
    <s v="CO2e and Base Measure"/>
    <n v="100"/>
    <n v="100"/>
    <n v="0.06"/>
    <m/>
    <m/>
    <m/>
    <m/>
    <m/>
    <m/>
    <m/>
    <m/>
    <m/>
    <m/>
    <m/>
    <m/>
    <m/>
    <s v="AUD"/>
    <s v="13634478Waste Recycled - Paper and Cardboard [t]"/>
    <n v="13634478"/>
  </r>
  <r>
    <d v="2019-07-01T00:00:00"/>
    <d v="2021-06-30T00:00:00"/>
    <s v="Telstra"/>
    <s v="NON-NETWORK"/>
    <s v="NON-NETWORK"/>
    <s v="NT"/>
    <s v="Australia"/>
    <s v="Darwin"/>
    <s v="TUKN002678"/>
    <n v="423031741600"/>
    <s v="Recycled Waste"/>
    <x v="0"/>
    <x v="3"/>
    <s v="Account"/>
    <s v="Remondis Commingled - Recycled"/>
    <m/>
    <s v="423031741600_RCOMINGLE"/>
    <s v="COMMINGLED - RECYCLED"/>
    <s v="Remondis"/>
    <m/>
    <m/>
    <d v="2020-10-01T00:00:00"/>
    <d v="2020-09-01T00:00:00"/>
    <s v="FY21"/>
    <s v="t"/>
    <n v="0"/>
    <n v="2.4E-2"/>
    <n v="0"/>
    <n v="2.4E-2"/>
    <n v="0"/>
    <n v="1"/>
    <n v="0"/>
    <n v="1"/>
    <n v="0"/>
    <n v="100"/>
    <n v="0"/>
    <s v="Consolidation"/>
    <s v="CO2e and Base Measure"/>
    <n v="100"/>
    <n v="100"/>
    <n v="0.02"/>
    <m/>
    <m/>
    <m/>
    <m/>
    <m/>
    <m/>
    <n v="0"/>
    <m/>
    <m/>
    <m/>
    <m/>
    <m/>
    <m/>
    <s v="AUD"/>
    <s v="13565814Waste Recycled - Commingled [t]"/>
    <n v="13565814"/>
  </r>
  <r>
    <d v="2019-07-01T00:00:00"/>
    <d v="2021-06-30T00:00:00"/>
    <s v="Telstra"/>
    <s v="NON-NETWORK"/>
    <s v="NON-NETWORK"/>
    <s v="NT"/>
    <s v="Australia"/>
    <s v="Darwin"/>
    <s v="TUKN002678"/>
    <n v="423031741600"/>
    <s v="Recycled Waste"/>
    <x v="0"/>
    <x v="3"/>
    <s v="Account"/>
    <s v="Remondis Commingled - Recycled"/>
    <m/>
    <s v="423031741600_RCOMINGLE"/>
    <s v="COMMINGLED - RECYCLED"/>
    <s v="Remondis"/>
    <m/>
    <m/>
    <d v="2020-10-01T00:00:00"/>
    <d v="2020-10-01T00:00:00"/>
    <s v="FY21"/>
    <s v="t"/>
    <n v="0"/>
    <n v="0"/>
    <n v="8.0000000000000004E-4"/>
    <n v="8.0000000000000004E-4"/>
    <n v="0"/>
    <n v="0"/>
    <n v="1"/>
    <n v="1"/>
    <n v="0"/>
    <n v="0"/>
    <n v="100"/>
    <s v="Consolidation"/>
    <s v="CO2e and Base Measure"/>
    <n v="100"/>
    <n v="100"/>
    <n v="0"/>
    <m/>
    <m/>
    <m/>
    <m/>
    <m/>
    <m/>
    <n v="0"/>
    <m/>
    <m/>
    <m/>
    <m/>
    <m/>
    <m/>
    <s v="AUD"/>
    <s v="13565814Waste Recycled - Commingled [t]"/>
    <n v="13565814"/>
  </r>
  <r>
    <d v="2019-07-01T00:00:00"/>
    <d v="2021-06-30T00:00:00"/>
    <s v="Telstra"/>
    <s v="NON-NETWORK"/>
    <s v="NON-NETWORK"/>
    <s v="NT"/>
    <s v="Australia"/>
    <s v="Darwin"/>
    <s v="TUKN002678"/>
    <n v="423031741600"/>
    <s v="Waste"/>
    <x v="1"/>
    <x v="2"/>
    <s v="Account"/>
    <s v="Remondis General Waste"/>
    <m/>
    <s v="423031741600_WGENERALW"/>
    <s v="GENERAL WASTE"/>
    <s v="Remondis"/>
    <m/>
    <m/>
    <m/>
    <d v="2020-09-01T00:00:00"/>
    <s v="FY21"/>
    <s v="t"/>
    <n v="0"/>
    <n v="4.6800000000000001E-2"/>
    <n v="0"/>
    <n v="4.6800000000000001E-2"/>
    <n v="0"/>
    <n v="1"/>
    <n v="0"/>
    <n v="1"/>
    <n v="0"/>
    <n v="100"/>
    <n v="0"/>
    <s v="Consolidation"/>
    <s v="CO2e and Base Measure"/>
    <n v="100"/>
    <n v="100"/>
    <n v="0.05"/>
    <m/>
    <m/>
    <m/>
    <m/>
    <m/>
    <n v="6.08E-2"/>
    <m/>
    <n v="6.08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0-10-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0-11-01T00:00:00"/>
    <s v="FY21"/>
    <s v="t"/>
    <n v="0"/>
    <n v="0"/>
    <n v="4.8000000000000001E-2"/>
    <n v="4.8000000000000001E-2"/>
    <n v="0"/>
    <n v="0"/>
    <n v="30"/>
    <n v="30"/>
    <n v="0"/>
    <n v="0"/>
    <n v="100"/>
    <s v="Consolidation"/>
    <s v="CO2e and Base Measure"/>
    <n v="100"/>
    <n v="100"/>
    <n v="0.05"/>
    <m/>
    <m/>
    <m/>
    <m/>
    <m/>
    <n v="6.2399999999999997E-2"/>
    <m/>
    <n v="6.2399999999999997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0-12-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1-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2-01T00:00:00"/>
    <s v="FY21"/>
    <s v="t"/>
    <n v="0"/>
    <n v="0"/>
    <n v="4.48E-2"/>
    <n v="4.48E-2"/>
    <n v="0"/>
    <n v="0"/>
    <n v="28"/>
    <n v="28"/>
    <n v="0"/>
    <n v="0"/>
    <n v="100"/>
    <s v="Consolidation"/>
    <s v="CO2e and Base Measure"/>
    <n v="100"/>
    <n v="100"/>
    <n v="0.04"/>
    <m/>
    <m/>
    <m/>
    <m/>
    <m/>
    <n v="5.8200000000000002E-2"/>
    <m/>
    <n v="5.82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3-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4-01T00:00:00"/>
    <s v="FY21"/>
    <s v="t"/>
    <n v="0"/>
    <n v="0"/>
    <n v="4.8000000000000001E-2"/>
    <n v="4.8000000000000001E-2"/>
    <n v="0"/>
    <n v="0"/>
    <n v="30"/>
    <n v="30"/>
    <n v="0"/>
    <n v="0"/>
    <n v="100"/>
    <s v="Consolidation"/>
    <s v="CO2e and Base Measure"/>
    <n v="100"/>
    <n v="100"/>
    <n v="0.05"/>
    <m/>
    <m/>
    <m/>
    <m/>
    <m/>
    <n v="6.2399999999999997E-2"/>
    <m/>
    <n v="6.2399999999999997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5-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0-07-01T00:00:00"/>
    <s v="FY21"/>
    <s v="t"/>
    <n v="5.3999999999999999E-2"/>
    <n v="0"/>
    <n v="0"/>
    <n v="5.3999999999999999E-2"/>
    <n v="2"/>
    <n v="0"/>
    <n v="0"/>
    <n v="2"/>
    <n v="100"/>
    <n v="0"/>
    <n v="0"/>
    <s v="Consolidation"/>
    <s v="CO2e and Base Measure"/>
    <n v="100"/>
    <n v="100"/>
    <n v="0.05"/>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0-09-01T00:00:00"/>
    <s v="FY21"/>
    <s v="t"/>
    <n v="2E-3"/>
    <n v="0"/>
    <n v="0"/>
    <n v="2E-3"/>
    <n v="1"/>
    <n v="0"/>
    <n v="0"/>
    <n v="1"/>
    <n v="100"/>
    <n v="0"/>
    <n v="0"/>
    <s v="Consolidation"/>
    <s v="CO2e and Base Measure"/>
    <n v="100"/>
    <n v="100"/>
    <n v="0"/>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0-11-01T00:00:00"/>
    <s v="FY21"/>
    <s v="t"/>
    <n v="2.7E-2"/>
    <n v="0"/>
    <n v="0"/>
    <n v="2.7E-2"/>
    <n v="1"/>
    <n v="0"/>
    <n v="0"/>
    <n v="1"/>
    <n v="100"/>
    <n v="0"/>
    <n v="0"/>
    <s v="Consolidation"/>
    <s v="CO2e and Base Measure"/>
    <n v="100"/>
    <n v="100"/>
    <n v="0.03"/>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0-12-01T00:00:00"/>
    <s v="FY21"/>
    <s v="t"/>
    <n v="0"/>
    <n v="0"/>
    <n v="1.55E-2"/>
    <n v="1.55E-2"/>
    <n v="0"/>
    <n v="0"/>
    <n v="31"/>
    <n v="31"/>
    <n v="0"/>
    <n v="0"/>
    <n v="100"/>
    <s v="Consolidation"/>
    <s v="CO2e and Base Measure"/>
    <n v="100"/>
    <n v="100"/>
    <n v="0.02"/>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1-01T00:00:00"/>
    <s v="FY21"/>
    <s v="t"/>
    <n v="0"/>
    <n v="0"/>
    <n v="1.55E-2"/>
    <n v="1.55E-2"/>
    <n v="0"/>
    <n v="0"/>
    <n v="31"/>
    <n v="31"/>
    <n v="0"/>
    <n v="0"/>
    <n v="100"/>
    <s v="Consolidation"/>
    <s v="CO2e and Base Measure"/>
    <n v="100"/>
    <n v="100"/>
    <n v="0.02"/>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2-01T00:00:00"/>
    <s v="FY21"/>
    <s v="t"/>
    <n v="0"/>
    <n v="0"/>
    <n v="1.4E-2"/>
    <n v="1.4E-2"/>
    <n v="0"/>
    <n v="0"/>
    <n v="28"/>
    <n v="28"/>
    <n v="0"/>
    <n v="0"/>
    <n v="100"/>
    <s v="Consolidation"/>
    <s v="CO2e and Base Measure"/>
    <n v="100"/>
    <n v="100"/>
    <n v="0.01"/>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3-01T00:00:00"/>
    <s v="FY21"/>
    <s v="t"/>
    <n v="0"/>
    <n v="0"/>
    <n v="1.55E-2"/>
    <n v="1.55E-2"/>
    <n v="0"/>
    <n v="0"/>
    <n v="31"/>
    <n v="31"/>
    <n v="0"/>
    <n v="0"/>
    <n v="100"/>
    <s v="Consolidation"/>
    <s v="CO2e and Base Measure"/>
    <n v="100"/>
    <n v="100"/>
    <n v="0.02"/>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5-01T00:00:00"/>
    <s v="FY21"/>
    <s v="t"/>
    <n v="0"/>
    <n v="0"/>
    <n v="1.55E-2"/>
    <n v="1.55E-2"/>
    <n v="0"/>
    <n v="0"/>
    <n v="31"/>
    <n v="31"/>
    <n v="0"/>
    <n v="0"/>
    <n v="100"/>
    <s v="Consolidation"/>
    <s v="CO2e and Base Measure"/>
    <n v="100"/>
    <n v="100"/>
    <n v="0.02"/>
    <m/>
    <m/>
    <m/>
    <m/>
    <m/>
    <m/>
    <m/>
    <m/>
    <m/>
    <m/>
    <m/>
    <m/>
    <m/>
    <s v="AUD"/>
    <s v="13566588Waste Recycled - Paper and Cardboard [t]"/>
    <n v="13566588"/>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07-01T00:00:00"/>
    <s v="FY21"/>
    <s v="t"/>
    <n v="0"/>
    <n v="0.189"/>
    <n v="0"/>
    <n v="0.189"/>
    <n v="0"/>
    <n v="3"/>
    <n v="0"/>
    <n v="3"/>
    <n v="0"/>
    <n v="100"/>
    <n v="0"/>
    <s v="Consolidation"/>
    <s v="CO2e and Base Measure"/>
    <n v="100"/>
    <n v="100"/>
    <n v="0.19"/>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08-01T00:00:00"/>
    <s v="FY21"/>
    <s v="t"/>
    <n v="0"/>
    <n v="6.3E-2"/>
    <n v="0"/>
    <n v="6.3E-2"/>
    <n v="0"/>
    <n v="1"/>
    <n v="0"/>
    <n v="1"/>
    <n v="0"/>
    <n v="100"/>
    <n v="0"/>
    <s v="Consolidation"/>
    <s v="CO2e and Base Measure"/>
    <n v="100"/>
    <n v="100"/>
    <n v="0.06"/>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10-01T00:00:00"/>
    <s v="FY21"/>
    <s v="t"/>
    <n v="0"/>
    <n v="0.126"/>
    <n v="0"/>
    <n v="0.126"/>
    <n v="0"/>
    <n v="2"/>
    <n v="0"/>
    <n v="2"/>
    <n v="0"/>
    <n v="100"/>
    <n v="0"/>
    <s v="Consolidation"/>
    <s v="CO2e and Base Measure"/>
    <n v="100"/>
    <n v="100"/>
    <n v="0.13"/>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12-01T00:00:00"/>
    <s v="FY21"/>
    <s v="t"/>
    <n v="0"/>
    <n v="0.126"/>
    <n v="0"/>
    <n v="0.126"/>
    <n v="0"/>
    <n v="2"/>
    <n v="0"/>
    <n v="2"/>
    <n v="0"/>
    <n v="100"/>
    <n v="0"/>
    <s v="Consolidation"/>
    <s v="CO2e and Base Measure"/>
    <n v="100"/>
    <n v="100"/>
    <n v="0.13"/>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1-01-01T00:00:00"/>
    <s v="FY21"/>
    <s v="t"/>
    <n v="0"/>
    <n v="0"/>
    <n v="3.8E-3"/>
    <n v="3.8E-3"/>
    <n v="0"/>
    <n v="0"/>
    <n v="1"/>
    <n v="1"/>
    <n v="0"/>
    <n v="0"/>
    <n v="100"/>
    <s v="Consolidation"/>
    <s v="CO2e and Base Measure"/>
    <n v="100"/>
    <n v="100"/>
    <n v="0"/>
    <m/>
    <m/>
    <m/>
    <m/>
    <m/>
    <m/>
    <n v="0"/>
    <m/>
    <m/>
    <m/>
    <m/>
    <m/>
    <m/>
    <s v="AUD"/>
    <s v="13565681Waste Recycled - Cardboard [t]"/>
    <n v="13565681"/>
  </r>
  <r>
    <d v="2019-07-01T00:00:00"/>
    <d v="2021-06-30T00:00:00"/>
    <s v="Telstra"/>
    <s v="NON-NETWORK"/>
    <s v="NON-NETWORK"/>
    <s v="VIC"/>
    <s v="Australia"/>
    <s v="Ballarat Central"/>
    <s v="TUKN006500"/>
    <n v="423031573200"/>
    <s v="Recycled Waste"/>
    <x v="0"/>
    <x v="3"/>
    <s v="Account"/>
    <s v="Remondis Commingled - Recycled"/>
    <m/>
    <s v="423031573200_RCOMINGLE"/>
    <s v="COMMINGLED - RECYCLED"/>
    <s v="Remondis"/>
    <m/>
    <m/>
    <d v="2021-01-01T00:00:00"/>
    <d v="2020-12-01T00:00:00"/>
    <s v="FY21"/>
    <s v="t"/>
    <n v="0"/>
    <n v="9.6000000000000002E-2"/>
    <n v="0"/>
    <n v="9.6000000000000002E-2"/>
    <n v="0"/>
    <n v="1"/>
    <n v="0"/>
    <n v="1"/>
    <n v="0"/>
    <n v="100"/>
    <n v="0"/>
    <s v="Consolidation"/>
    <s v="CO2e and Base Measure"/>
    <n v="100"/>
    <n v="100"/>
    <n v="0.1"/>
    <m/>
    <m/>
    <m/>
    <m/>
    <m/>
    <m/>
    <n v="0"/>
    <m/>
    <m/>
    <m/>
    <m/>
    <m/>
    <m/>
    <s v="AUD"/>
    <s v="13565682Waste Recycled - Commingled [t]"/>
    <n v="13565682"/>
  </r>
  <r>
    <d v="2019-07-01T00:00:00"/>
    <d v="2021-06-30T00:00:00"/>
    <s v="Telstra"/>
    <s v="NON-NETWORK"/>
    <s v="NON-NETWORK"/>
    <s v="VIC"/>
    <s v="Australia"/>
    <s v="Ballarat Central"/>
    <s v="TUKN006500"/>
    <n v="423031573200"/>
    <s v="Recycled Waste"/>
    <x v="0"/>
    <x v="3"/>
    <s v="Account"/>
    <s v="Remondis Commingled - Recycled"/>
    <m/>
    <s v="423031573200_RCOMINGLE"/>
    <s v="COMMINGLED - RECYCLED"/>
    <s v="Remondis"/>
    <m/>
    <m/>
    <d v="2021-01-01T00:00:00"/>
    <d v="2021-01-01T00:00:00"/>
    <s v="FY21"/>
    <s v="t"/>
    <n v="0"/>
    <n v="0"/>
    <n v="3.2000000000000002E-3"/>
    <n v="3.2000000000000002E-3"/>
    <n v="0"/>
    <n v="0"/>
    <n v="1"/>
    <n v="1"/>
    <n v="0"/>
    <n v="0"/>
    <n v="100"/>
    <s v="Consolidation"/>
    <s v="CO2e and Base Measure"/>
    <n v="100"/>
    <n v="100"/>
    <n v="0"/>
    <m/>
    <m/>
    <m/>
    <m/>
    <m/>
    <m/>
    <n v="0"/>
    <m/>
    <m/>
    <m/>
    <m/>
    <m/>
    <m/>
    <s v="AUD"/>
    <s v="13565682Waste Recycled - Commingled [t]"/>
    <n v="13565682"/>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07-01T00:00:00"/>
    <s v="FY21"/>
    <s v="t"/>
    <n v="0"/>
    <n v="1.365"/>
    <n v="0"/>
    <n v="1.365"/>
    <n v="0"/>
    <n v="7"/>
    <n v="0"/>
    <n v="7"/>
    <n v="0"/>
    <n v="100"/>
    <n v="0"/>
    <s v="Consolidation"/>
    <s v="CO2e and Base Measure"/>
    <n v="100"/>
    <n v="100"/>
    <n v="1.37"/>
    <m/>
    <m/>
    <m/>
    <m/>
    <m/>
    <n v="1.7745"/>
    <m/>
    <n v="1.7745"/>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08-01T00:00:00"/>
    <s v="FY21"/>
    <s v="t"/>
    <n v="0"/>
    <n v="1.17"/>
    <n v="0"/>
    <n v="1.17"/>
    <n v="0"/>
    <n v="6"/>
    <n v="0"/>
    <n v="6"/>
    <n v="0"/>
    <n v="100"/>
    <n v="0"/>
    <s v="Consolidation"/>
    <s v="CO2e and Base Measure"/>
    <n v="100"/>
    <n v="100"/>
    <n v="1.17"/>
    <m/>
    <m/>
    <m/>
    <m/>
    <m/>
    <n v="1.5209999999999999"/>
    <m/>
    <n v="1.5209999999999999"/>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09-01T00:00:00"/>
    <s v="FY21"/>
    <s v="t"/>
    <n v="0"/>
    <n v="1.17"/>
    <n v="0"/>
    <n v="1.17"/>
    <n v="0"/>
    <n v="6"/>
    <n v="0"/>
    <n v="6"/>
    <n v="0"/>
    <n v="100"/>
    <n v="0"/>
    <s v="Consolidation"/>
    <s v="CO2e and Base Measure"/>
    <n v="100"/>
    <n v="100"/>
    <n v="1.17"/>
    <m/>
    <m/>
    <m/>
    <m/>
    <m/>
    <n v="1.5209999999999999"/>
    <m/>
    <n v="1.5209999999999999"/>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10-01T00:00:00"/>
    <s v="FY21"/>
    <s v="t"/>
    <n v="0"/>
    <n v="0.78"/>
    <n v="0"/>
    <n v="0.78"/>
    <n v="0"/>
    <n v="4"/>
    <n v="0"/>
    <n v="4"/>
    <n v="0"/>
    <n v="100"/>
    <n v="0"/>
    <s v="Consolidation"/>
    <s v="CO2e and Base Measure"/>
    <n v="100"/>
    <n v="100"/>
    <n v="0.78"/>
    <m/>
    <m/>
    <m/>
    <m/>
    <m/>
    <n v="1.014"/>
    <m/>
    <n v="1.014"/>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11-01T00:00:00"/>
    <s v="FY21"/>
    <s v="t"/>
    <n v="0"/>
    <n v="0.78"/>
    <n v="0"/>
    <n v="0.78"/>
    <n v="0"/>
    <n v="4"/>
    <n v="0"/>
    <n v="4"/>
    <n v="0"/>
    <n v="100"/>
    <n v="0"/>
    <s v="Consolidation"/>
    <s v="CO2e and Base Measure"/>
    <n v="100"/>
    <n v="100"/>
    <n v="0.78"/>
    <m/>
    <m/>
    <m/>
    <m/>
    <m/>
    <n v="1.014"/>
    <m/>
    <n v="1.014"/>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12-01T00:00:00"/>
    <s v="FY21"/>
    <s v="t"/>
    <n v="0"/>
    <n v="0.78"/>
    <n v="0"/>
    <n v="0.78"/>
    <n v="0"/>
    <n v="4"/>
    <n v="0"/>
    <n v="4"/>
    <n v="0"/>
    <n v="100"/>
    <n v="0"/>
    <s v="Consolidation"/>
    <s v="CO2e and Base Measure"/>
    <n v="100"/>
    <n v="100"/>
    <n v="0.78"/>
    <m/>
    <m/>
    <m/>
    <m/>
    <m/>
    <n v="1.014"/>
    <m/>
    <n v="1.014"/>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1-01-01T00:00:00"/>
    <s v="FY21"/>
    <s v="t"/>
    <n v="0"/>
    <n v="0"/>
    <n v="3.4799999999999998E-2"/>
    <n v="3.4799999999999998E-2"/>
    <n v="0"/>
    <n v="0"/>
    <n v="1"/>
    <n v="1"/>
    <n v="0"/>
    <n v="0"/>
    <n v="100"/>
    <s v="Consolidation"/>
    <s v="CO2e and Base Measure"/>
    <n v="100"/>
    <n v="100"/>
    <n v="0.03"/>
    <m/>
    <m/>
    <m/>
    <m/>
    <m/>
    <n v="4.5199999999999997E-2"/>
    <m/>
    <n v="4.5199999999999997E-2"/>
    <m/>
    <m/>
    <m/>
    <m/>
    <m/>
    <s v="AUD"/>
    <s v="13565683Waste - General [t] - Scope 3"/>
    <n v="13565683"/>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870Waste - General [t] - Scope 3"/>
    <n v="13564870"/>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07-01T00:00:00"/>
    <s v="FY21"/>
    <s v="t"/>
    <n v="0.8"/>
    <n v="0"/>
    <n v="0"/>
    <n v="0.8"/>
    <n v="3"/>
    <n v="0"/>
    <n v="0"/>
    <n v="3"/>
    <n v="100"/>
    <n v="0"/>
    <n v="0"/>
    <s v="Consolidation"/>
    <s v="CO2e and Base Measure"/>
    <n v="100"/>
    <n v="100"/>
    <n v="0.8"/>
    <m/>
    <m/>
    <m/>
    <m/>
    <m/>
    <n v="1.04"/>
    <m/>
    <n v="1.04"/>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08-01T00:00:00"/>
    <s v="FY21"/>
    <s v="t"/>
    <n v="0.28000000000000003"/>
    <n v="0.19500000000000001"/>
    <n v="0"/>
    <n v="0.47499999999999998"/>
    <n v="1"/>
    <n v="1"/>
    <n v="0"/>
    <n v="2"/>
    <n v="58.94"/>
    <n v="41.05"/>
    <n v="0"/>
    <s v="Consolidation"/>
    <s v="CO2e and Base Measure"/>
    <n v="100"/>
    <n v="100"/>
    <n v="0.48"/>
    <m/>
    <m/>
    <m/>
    <m/>
    <m/>
    <n v="0.61750000000000005"/>
    <m/>
    <n v="0.61750000000000005"/>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11-01T00:00:00"/>
    <s v="FY21"/>
    <s v="t"/>
    <n v="0.48"/>
    <n v="0"/>
    <n v="0"/>
    <n v="0.48"/>
    <n v="1"/>
    <n v="0"/>
    <n v="0"/>
    <n v="1"/>
    <n v="100"/>
    <n v="0"/>
    <n v="0"/>
    <s v="Consolidation"/>
    <s v="CO2e and Base Measure"/>
    <n v="100"/>
    <n v="100"/>
    <n v="0.48"/>
    <m/>
    <m/>
    <m/>
    <m/>
    <m/>
    <n v="0.624"/>
    <m/>
    <n v="0.624"/>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1-01-01T00:00:00"/>
    <s v="FY21"/>
    <s v="t"/>
    <n v="0"/>
    <n v="0"/>
    <n v="1.2500000000000001E-2"/>
    <n v="1.2500000000000001E-2"/>
    <n v="0"/>
    <n v="0"/>
    <n v="1"/>
    <n v="1"/>
    <n v="0"/>
    <n v="0"/>
    <n v="100"/>
    <s v="Consolidation"/>
    <s v="CO2e and Base Measure"/>
    <n v="100"/>
    <n v="100"/>
    <n v="0.01"/>
    <m/>
    <m/>
    <m/>
    <m/>
    <m/>
    <n v="1.6299999999999999E-2"/>
    <m/>
    <n v="1.6299999999999999E-2"/>
    <m/>
    <m/>
    <m/>
    <m/>
    <m/>
    <s v="AUD"/>
    <s v="13565127Waste - General [t] - Scope 3"/>
    <n v="13565127"/>
  </r>
  <r>
    <d v="2019-07-01T00:00:00"/>
    <d v="2021-06-30T00:00:00"/>
    <s v="Telstra"/>
    <s v="NETWORK"/>
    <s v="Network - InfraCo"/>
    <s v="VIC"/>
    <s v="Australia"/>
    <s v="Tullamarine"/>
    <s v="TULLAMARINE EXCHANGE"/>
    <n v="423030711500"/>
    <s v="Recycled Waste"/>
    <x v="0"/>
    <x v="5"/>
    <s v="Account"/>
    <s v="Remondis Construction &amp; Demolition - Recycled"/>
    <m/>
    <s v="423030711500_RCONSDEM"/>
    <s v="CONSTRUCTION &amp; DEMOLITION - RECYLED"/>
    <s v="Remondis"/>
    <m/>
    <d v="2020-06-04T00:00:00"/>
    <d v="2020-07-01T00:00:00"/>
    <d v="2020-07-01T00:00:00"/>
    <s v="FY21"/>
    <s v="t"/>
    <n v="0"/>
    <n v="0"/>
    <n v="8.14E-2"/>
    <n v="8.14E-2"/>
    <n v="0"/>
    <n v="0"/>
    <n v="1"/>
    <n v="1"/>
    <n v="0"/>
    <n v="0"/>
    <n v="100"/>
    <s v="Consolidation"/>
    <s v="CO2e and Base Measure"/>
    <n v="100"/>
    <n v="100"/>
    <n v="0.08"/>
    <m/>
    <m/>
    <m/>
    <m/>
    <m/>
    <m/>
    <m/>
    <m/>
    <m/>
    <m/>
    <m/>
    <m/>
    <m/>
    <s v="AUD"/>
    <s v="13612603Waste Recycled - Construction and Demolition [t]"/>
    <n v="13612603"/>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0-12-01T00:00:00"/>
    <s v="FY21"/>
    <s v="t"/>
    <n v="0.36599999999999999"/>
    <n v="0"/>
    <n v="0"/>
    <n v="0.36599999999999999"/>
    <n v="2"/>
    <n v="0"/>
    <n v="0"/>
    <n v="2"/>
    <n v="100"/>
    <n v="0"/>
    <n v="0"/>
    <s v="Consolidation"/>
    <s v="CO2e and Base Measure"/>
    <n v="100"/>
    <n v="100"/>
    <n v="0.37"/>
    <m/>
    <m/>
    <m/>
    <m/>
    <m/>
    <n v="0.4758"/>
    <m/>
    <n v="0.4758"/>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1-01T00:00:00"/>
    <s v="FY21"/>
    <s v="t"/>
    <n v="0.35"/>
    <n v="0"/>
    <n v="0"/>
    <n v="0.35"/>
    <n v="2"/>
    <n v="0"/>
    <n v="0"/>
    <n v="2"/>
    <n v="100"/>
    <n v="0"/>
    <n v="0"/>
    <s v="Consolidation"/>
    <s v="CO2e and Base Measure"/>
    <n v="100"/>
    <n v="100"/>
    <n v="0.35"/>
    <m/>
    <m/>
    <m/>
    <m/>
    <m/>
    <n v="0.45500000000000002"/>
    <m/>
    <n v="0.45500000000000002"/>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2-01T00:00:00"/>
    <s v="FY21"/>
    <s v="t"/>
    <n v="0.43099999999999999"/>
    <n v="0"/>
    <n v="0"/>
    <n v="0.43099999999999999"/>
    <n v="2"/>
    <n v="0"/>
    <n v="0"/>
    <n v="2"/>
    <n v="100"/>
    <n v="0"/>
    <n v="0"/>
    <s v="Consolidation"/>
    <s v="CO2e and Base Measure"/>
    <n v="100"/>
    <n v="100"/>
    <n v="0.43"/>
    <m/>
    <m/>
    <m/>
    <m/>
    <m/>
    <n v="0.56030000000000002"/>
    <m/>
    <n v="0.56030000000000002"/>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3-01T00:00:00"/>
    <s v="FY21"/>
    <s v="t"/>
    <n v="0.32400000000000001"/>
    <n v="0"/>
    <n v="0"/>
    <n v="0.32400000000000001"/>
    <n v="2"/>
    <n v="0"/>
    <n v="0"/>
    <n v="2"/>
    <n v="100"/>
    <n v="0"/>
    <n v="0"/>
    <s v="Consolidation"/>
    <s v="CO2e and Base Measure"/>
    <n v="100"/>
    <n v="100"/>
    <n v="0.32"/>
    <m/>
    <m/>
    <m/>
    <m/>
    <m/>
    <n v="0.42120000000000002"/>
    <m/>
    <n v="0.42120000000000002"/>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4-01T00:00:00"/>
    <s v="FY21"/>
    <s v="t"/>
    <n v="0"/>
    <n v="0"/>
    <n v="0.36899999999999999"/>
    <n v="0.36899999999999999"/>
    <n v="0"/>
    <n v="0"/>
    <n v="30"/>
    <n v="30"/>
    <n v="0"/>
    <n v="0"/>
    <n v="100"/>
    <s v="Consolidation"/>
    <s v="CO2e and Base Measure"/>
    <n v="100"/>
    <n v="100"/>
    <n v="0.37"/>
    <m/>
    <m/>
    <m/>
    <m/>
    <m/>
    <n v="0.47970000000000002"/>
    <m/>
    <n v="0.47970000000000002"/>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5-01T00:00:00"/>
    <s v="FY21"/>
    <s v="t"/>
    <n v="0"/>
    <n v="0"/>
    <n v="0.38129999999999997"/>
    <n v="0.38129999999999997"/>
    <n v="0"/>
    <n v="0"/>
    <n v="31"/>
    <n v="31"/>
    <n v="0"/>
    <n v="0"/>
    <n v="100"/>
    <s v="Consolidation"/>
    <s v="CO2e and Base Measure"/>
    <n v="100"/>
    <n v="100"/>
    <n v="0.38"/>
    <m/>
    <m/>
    <m/>
    <m/>
    <m/>
    <n v="0.49569999999999997"/>
    <m/>
    <n v="0.49569999999999997"/>
    <m/>
    <m/>
    <m/>
    <m/>
    <m/>
    <s v="AUD"/>
    <s v="13634281Waste - General [t] - Scope 3"/>
    <n v="13634281"/>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0-12-01T00:00:00"/>
    <s v="FY21"/>
    <s v="t"/>
    <n v="0.03"/>
    <n v="0.20250000000000001"/>
    <n v="0"/>
    <n v="0.23250000000000001"/>
    <n v="1"/>
    <n v="3"/>
    <n v="0"/>
    <n v="4"/>
    <n v="12.9"/>
    <n v="87.09"/>
    <n v="0"/>
    <s v="Consolidation"/>
    <s v="CO2e and Base Measure"/>
    <n v="100"/>
    <n v="100"/>
    <n v="0.23"/>
    <m/>
    <m/>
    <m/>
    <m/>
    <m/>
    <n v="0.30230000000000001"/>
    <m/>
    <n v="0.30230000000000001"/>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1-01T00:00:00"/>
    <s v="FY21"/>
    <s v="t"/>
    <n v="0.19"/>
    <n v="0.20250000000000001"/>
    <n v="0"/>
    <n v="0.39250000000000002"/>
    <n v="1"/>
    <n v="3"/>
    <n v="0"/>
    <n v="4"/>
    <n v="48.4"/>
    <n v="51.59"/>
    <n v="0"/>
    <s v="Consolidation"/>
    <s v="CO2e and Base Measure"/>
    <n v="100"/>
    <n v="100"/>
    <n v="0.39"/>
    <m/>
    <m/>
    <m/>
    <m/>
    <m/>
    <n v="0.51029999999999998"/>
    <m/>
    <n v="0.51029999999999998"/>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2-01T00:00:00"/>
    <s v="FY21"/>
    <s v="t"/>
    <n v="0.13"/>
    <n v="0.20250000000000001"/>
    <n v="0"/>
    <n v="0.33250000000000002"/>
    <n v="1"/>
    <n v="3"/>
    <n v="0"/>
    <n v="4"/>
    <n v="39.090000000000003"/>
    <n v="60.9"/>
    <n v="0"/>
    <s v="Consolidation"/>
    <s v="CO2e and Base Measure"/>
    <n v="100"/>
    <n v="100"/>
    <n v="0.33"/>
    <m/>
    <m/>
    <m/>
    <m/>
    <m/>
    <n v="0.43230000000000002"/>
    <m/>
    <n v="0.43230000000000002"/>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3-01T00:00:00"/>
    <s v="FY21"/>
    <s v="t"/>
    <n v="0"/>
    <n v="0.33750000000000002"/>
    <n v="0"/>
    <n v="0.33750000000000002"/>
    <n v="0"/>
    <n v="5"/>
    <n v="0"/>
    <n v="5"/>
    <n v="0"/>
    <n v="100"/>
    <n v="0"/>
    <s v="Consolidation"/>
    <s v="CO2e and Base Measure"/>
    <n v="100"/>
    <n v="100"/>
    <n v="0.34"/>
    <m/>
    <m/>
    <m/>
    <m/>
    <m/>
    <n v="0.43880000000000002"/>
    <m/>
    <n v="0.43880000000000002"/>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4-01T00:00:00"/>
    <s v="FY21"/>
    <s v="t"/>
    <n v="0"/>
    <n v="0"/>
    <n v="0.32400000000000001"/>
    <n v="0.32400000000000001"/>
    <n v="0"/>
    <n v="0"/>
    <n v="30"/>
    <n v="30"/>
    <n v="0"/>
    <n v="0"/>
    <n v="100"/>
    <s v="Consolidation"/>
    <s v="CO2e and Base Measure"/>
    <n v="100"/>
    <n v="100"/>
    <n v="0.32"/>
    <m/>
    <m/>
    <m/>
    <m/>
    <m/>
    <n v="0.42120000000000002"/>
    <m/>
    <n v="0.42120000000000002"/>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5-01T00:00:00"/>
    <s v="FY21"/>
    <s v="t"/>
    <n v="0"/>
    <n v="0"/>
    <n v="0.33479999999999999"/>
    <n v="0.33479999999999999"/>
    <n v="0"/>
    <n v="0"/>
    <n v="31"/>
    <n v="31"/>
    <n v="0"/>
    <n v="0"/>
    <n v="100"/>
    <s v="Consolidation"/>
    <s v="CO2e and Base Measure"/>
    <n v="100"/>
    <n v="100"/>
    <n v="0.33"/>
    <m/>
    <m/>
    <m/>
    <m/>
    <m/>
    <n v="0.43519999999999998"/>
    <m/>
    <n v="0.43519999999999998"/>
    <m/>
    <m/>
    <m/>
    <m/>
    <m/>
    <s v="AUD"/>
    <s v="13634282Waste - General [t] - Scope 3"/>
    <n v="13634282"/>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0-12-01T00:00:00"/>
    <s v="FY21"/>
    <s v="t"/>
    <n v="0.14000000000000001"/>
    <n v="3.7499999999999999E-2"/>
    <n v="0"/>
    <n v="0.17749999999999999"/>
    <n v="3"/>
    <n v="1"/>
    <n v="0"/>
    <n v="4"/>
    <n v="78.87"/>
    <n v="21.12"/>
    <n v="0"/>
    <s v="Consolidation"/>
    <s v="CO2e and Base Measure"/>
    <n v="100"/>
    <n v="100"/>
    <n v="0.18"/>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1-01T00:00:00"/>
    <s v="FY21"/>
    <s v="t"/>
    <n v="6.3E-2"/>
    <n v="0.1125"/>
    <n v="0"/>
    <n v="0.17549999999999999"/>
    <n v="1"/>
    <n v="3"/>
    <n v="0"/>
    <n v="4"/>
    <n v="35.89"/>
    <n v="64.099999999999994"/>
    <n v="0"/>
    <s v="Consolidation"/>
    <s v="CO2e and Base Measure"/>
    <n v="100"/>
    <n v="100"/>
    <n v="0.18"/>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2-01T00:00:00"/>
    <s v="FY21"/>
    <s v="t"/>
    <n v="0.04"/>
    <n v="0.1125"/>
    <n v="0"/>
    <n v="0.1525"/>
    <n v="1"/>
    <n v="3"/>
    <n v="0"/>
    <n v="4"/>
    <n v="26.22"/>
    <n v="73.77"/>
    <n v="0"/>
    <s v="Consolidation"/>
    <s v="CO2e and Base Measure"/>
    <n v="100"/>
    <n v="100"/>
    <n v="0.15"/>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3-01T00:00:00"/>
    <s v="FY21"/>
    <s v="t"/>
    <n v="0.08"/>
    <n v="3.7499999999999999E-2"/>
    <n v="0"/>
    <n v="0.11749999999999999"/>
    <n v="3"/>
    <n v="1"/>
    <n v="0"/>
    <n v="4"/>
    <n v="68.08"/>
    <n v="31.91"/>
    <n v="0"/>
    <s v="Consolidation"/>
    <s v="CO2e and Base Measure"/>
    <n v="100"/>
    <n v="100"/>
    <n v="0.12"/>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4-01T00:00:00"/>
    <s v="FY21"/>
    <s v="t"/>
    <n v="0"/>
    <n v="0"/>
    <n v="0.156"/>
    <n v="0.156"/>
    <n v="0"/>
    <n v="0"/>
    <n v="30"/>
    <n v="30"/>
    <n v="0"/>
    <n v="0"/>
    <n v="100"/>
    <s v="Consolidation"/>
    <s v="CO2e and Base Measure"/>
    <n v="100"/>
    <n v="100"/>
    <n v="0.16"/>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5-01T00:00:00"/>
    <s v="FY21"/>
    <s v="t"/>
    <n v="0"/>
    <n v="0"/>
    <n v="0.16120000000000001"/>
    <n v="0.16120000000000001"/>
    <n v="0"/>
    <n v="0"/>
    <n v="31"/>
    <n v="31"/>
    <n v="0"/>
    <n v="0"/>
    <n v="100"/>
    <s v="Consolidation"/>
    <s v="CO2e and Base Measure"/>
    <n v="100"/>
    <n v="100"/>
    <n v="0.16"/>
    <m/>
    <m/>
    <m/>
    <m/>
    <m/>
    <m/>
    <m/>
    <m/>
    <m/>
    <m/>
    <m/>
    <m/>
    <m/>
    <s v="AUD"/>
    <s v="13634283Waste Recycled - Paper and Cardboard [t]"/>
    <n v="13634283"/>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12-01T00:00:00"/>
    <s v="FY21"/>
    <s v="t"/>
    <n v="0"/>
    <n v="0"/>
    <n v="3.2000000000000002E-3"/>
    <n v="3.2000000000000002E-3"/>
    <n v="0"/>
    <n v="0"/>
    <n v="1"/>
    <n v="1"/>
    <n v="0"/>
    <n v="0"/>
    <n v="100"/>
    <s v="Consolidation"/>
    <s v="CO2e and Base Measure"/>
    <n v="100"/>
    <n v="100"/>
    <n v="0"/>
    <m/>
    <m/>
    <m/>
    <m/>
    <m/>
    <n v="4.1999999999999997E-3"/>
    <m/>
    <n v="4.1999999999999997E-3"/>
    <m/>
    <m/>
    <m/>
    <m/>
    <m/>
    <s v="AUD"/>
    <s v="13564578Waste - General [t] - Scope 3"/>
    <n v="13564578"/>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84Waste - General [t] - Scope 3"/>
    <n v="13634284"/>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64570Waste - General [t] - Scope 3"/>
    <n v="13564570"/>
  </r>
  <r>
    <d v="2019-07-01T00:00:00"/>
    <d v="2021-06-30T00:00:00"/>
    <s v="Telstra"/>
    <s v="NETWORK"/>
    <s v="Network - InfraCo"/>
    <s v="NSW"/>
    <s v="Australia"/>
    <s v="Tumut"/>
    <s v="TUMUT EXCHANGE"/>
    <n v="423030323700"/>
    <s v="Recycled Waste"/>
    <x v="0"/>
    <x v="1"/>
    <s v="Account"/>
    <s v="Remondis Electrical Comp. (E-Waste)"/>
    <m/>
    <s v="423030323700_RELECTRIC"/>
    <s v="ELECTRICAL COMP. (E-WASTE)"/>
    <s v="Remondis"/>
    <m/>
    <d v="2020-06-23T00:00:00"/>
    <d v="2020-07-01T00:00:00"/>
    <d v="2020-07-01T00:00:00"/>
    <s v="FY21"/>
    <s v="t"/>
    <n v="0"/>
    <n v="0"/>
    <n v="3.9300000000000002E-2"/>
    <n v="3.9300000000000002E-2"/>
    <n v="0"/>
    <n v="0"/>
    <n v="1"/>
    <n v="1"/>
    <n v="0"/>
    <n v="0"/>
    <n v="100"/>
    <s v="Consolidation"/>
    <s v="CO2e and Base Measure"/>
    <n v="100"/>
    <n v="100"/>
    <n v="0.04"/>
    <m/>
    <m/>
    <m/>
    <m/>
    <m/>
    <m/>
    <m/>
    <m/>
    <m/>
    <m/>
    <m/>
    <m/>
    <m/>
    <s v="AUD"/>
    <s v="13612610Waste Recycled - E-waste [t]"/>
    <n v="13612610"/>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0-12-01T00:00:00"/>
    <s v="FY21"/>
    <s v="t"/>
    <n v="0.12"/>
    <n v="0.13500000000000001"/>
    <n v="0"/>
    <n v="0.255"/>
    <n v="2"/>
    <n v="1"/>
    <n v="0"/>
    <n v="3"/>
    <n v="47.05"/>
    <n v="52.94"/>
    <n v="0"/>
    <s v="Consolidation"/>
    <s v="CO2e and Base Measure"/>
    <n v="100"/>
    <n v="100"/>
    <n v="0.26"/>
    <m/>
    <m/>
    <m/>
    <m/>
    <m/>
    <n v="0.33150000000000002"/>
    <m/>
    <n v="0.33150000000000002"/>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1-01T00:00:00"/>
    <s v="FY21"/>
    <s v="t"/>
    <n v="0.32"/>
    <n v="0"/>
    <n v="0"/>
    <n v="0.32"/>
    <n v="2"/>
    <n v="0"/>
    <n v="0"/>
    <n v="2"/>
    <n v="100"/>
    <n v="0"/>
    <n v="0"/>
    <s v="Consolidation"/>
    <s v="CO2e and Base Measure"/>
    <n v="100"/>
    <n v="100"/>
    <n v="0.32"/>
    <m/>
    <m/>
    <m/>
    <m/>
    <m/>
    <n v="0.41599999999999998"/>
    <m/>
    <n v="0.41599999999999998"/>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2-01T00:00:00"/>
    <s v="FY21"/>
    <s v="t"/>
    <n v="7.0000000000000007E-2"/>
    <n v="0.13500000000000001"/>
    <n v="0"/>
    <n v="0.20499999999999999"/>
    <n v="1"/>
    <n v="1"/>
    <n v="0"/>
    <n v="2"/>
    <n v="34.14"/>
    <n v="65.849999999999994"/>
    <n v="0"/>
    <s v="Consolidation"/>
    <s v="CO2e and Base Measure"/>
    <n v="100"/>
    <n v="100"/>
    <n v="0.21"/>
    <m/>
    <m/>
    <m/>
    <m/>
    <m/>
    <n v="0.26650000000000001"/>
    <m/>
    <n v="0.26650000000000001"/>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3-01T00:00:00"/>
    <s v="FY21"/>
    <s v="t"/>
    <n v="2.8000000000000001E-2"/>
    <n v="0"/>
    <n v="0"/>
    <n v="2.8000000000000001E-2"/>
    <n v="1"/>
    <n v="0"/>
    <n v="0"/>
    <n v="1"/>
    <n v="100"/>
    <n v="0"/>
    <n v="0"/>
    <s v="Consolidation"/>
    <s v="CO2e and Base Measure"/>
    <n v="100"/>
    <n v="100"/>
    <n v="0.03"/>
    <m/>
    <m/>
    <m/>
    <m/>
    <m/>
    <n v="3.6400000000000002E-2"/>
    <m/>
    <n v="3.6400000000000002E-2"/>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4-01T00:00:00"/>
    <s v="FY21"/>
    <s v="t"/>
    <n v="0"/>
    <n v="0"/>
    <n v="0.20100000000000001"/>
    <n v="0.20100000000000001"/>
    <n v="0"/>
    <n v="0"/>
    <n v="30"/>
    <n v="30"/>
    <n v="0"/>
    <n v="0"/>
    <n v="100"/>
    <s v="Consolidation"/>
    <s v="CO2e and Base Measure"/>
    <n v="100"/>
    <n v="100"/>
    <n v="0.2"/>
    <m/>
    <m/>
    <m/>
    <m/>
    <m/>
    <n v="0.26129999999999998"/>
    <m/>
    <n v="0.26129999999999998"/>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5-01T00:00:00"/>
    <s v="FY21"/>
    <s v="t"/>
    <n v="0"/>
    <n v="0"/>
    <n v="0.2077"/>
    <n v="0.2077"/>
    <n v="0"/>
    <n v="0"/>
    <n v="31"/>
    <n v="31"/>
    <n v="0"/>
    <n v="0"/>
    <n v="100"/>
    <s v="Consolidation"/>
    <s v="CO2e and Base Measure"/>
    <n v="100"/>
    <n v="100"/>
    <n v="0.21"/>
    <m/>
    <m/>
    <m/>
    <m/>
    <m/>
    <n v="0.27"/>
    <m/>
    <n v="0.27"/>
    <m/>
    <m/>
    <m/>
    <m/>
    <m/>
    <s v="AUD"/>
    <s v="13634285Waste - General [t] - Scope 3"/>
    <n v="13634285"/>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07-01T00:00:00"/>
    <s v="FY21"/>
    <s v="t"/>
    <n v="0"/>
    <n v="6.3E-2"/>
    <n v="0"/>
    <n v="6.3E-2"/>
    <n v="0"/>
    <n v="1"/>
    <n v="0"/>
    <n v="1"/>
    <n v="0"/>
    <n v="100"/>
    <n v="0"/>
    <s v="Consolidation"/>
    <s v="CO2e and Base Measure"/>
    <n v="100"/>
    <n v="100"/>
    <n v="0.06"/>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08-01T00:00:00"/>
    <s v="FY21"/>
    <s v="t"/>
    <n v="0"/>
    <n v="6.3E-2"/>
    <n v="0"/>
    <n v="6.3E-2"/>
    <n v="0"/>
    <n v="1"/>
    <n v="0"/>
    <n v="1"/>
    <n v="0"/>
    <n v="100"/>
    <n v="0"/>
    <s v="Consolidation"/>
    <s v="CO2e and Base Measure"/>
    <n v="100"/>
    <n v="100"/>
    <n v="0.06"/>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09-01T00:00:00"/>
    <s v="FY21"/>
    <s v="t"/>
    <n v="0"/>
    <n v="6.3E-2"/>
    <n v="0"/>
    <n v="6.3E-2"/>
    <n v="0"/>
    <n v="1"/>
    <n v="0"/>
    <n v="1"/>
    <n v="0"/>
    <n v="100"/>
    <n v="0"/>
    <s v="Consolidation"/>
    <s v="CO2e and Base Measure"/>
    <n v="100"/>
    <n v="100"/>
    <n v="0.06"/>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4571Waste Recycled - Cardboard [t]"/>
    <n v="13564571"/>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0-10-01T00:00:00"/>
    <s v="FY21"/>
    <s v="t"/>
    <n v="0.94"/>
    <n v="0"/>
    <n v="0"/>
    <n v="0.94"/>
    <n v="1"/>
    <n v="0"/>
    <n v="0"/>
    <n v="1"/>
    <n v="100"/>
    <n v="0"/>
    <n v="0"/>
    <s v="Consolidation"/>
    <s v="CO2e and Base Measure"/>
    <n v="100"/>
    <n v="100"/>
    <n v="0.94"/>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0-11-01T00:00:00"/>
    <s v="FY21"/>
    <s v="t"/>
    <n v="0"/>
    <n v="0"/>
    <n v="0.93899999999999995"/>
    <n v="0.93899999999999995"/>
    <n v="0"/>
    <n v="0"/>
    <n v="30"/>
    <n v="30"/>
    <n v="0"/>
    <n v="0"/>
    <n v="100"/>
    <s v="Consolidation"/>
    <s v="CO2e and Base Measure"/>
    <n v="100"/>
    <n v="100"/>
    <n v="0.94"/>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0-12-01T00:00:00"/>
    <s v="FY21"/>
    <s v="t"/>
    <n v="0"/>
    <n v="0"/>
    <n v="0.97030000000000005"/>
    <n v="0.97030000000000005"/>
    <n v="0"/>
    <n v="0"/>
    <n v="31"/>
    <n v="31"/>
    <n v="0"/>
    <n v="0"/>
    <n v="100"/>
    <s v="Consolidation"/>
    <s v="CO2e and Base Measure"/>
    <n v="100"/>
    <n v="100"/>
    <n v="0.97"/>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1-01T00:00:00"/>
    <s v="FY21"/>
    <s v="t"/>
    <n v="0"/>
    <n v="0"/>
    <n v="0.97030000000000005"/>
    <n v="0.97030000000000005"/>
    <n v="0"/>
    <n v="0"/>
    <n v="31"/>
    <n v="31"/>
    <n v="0"/>
    <n v="0"/>
    <n v="100"/>
    <s v="Consolidation"/>
    <s v="CO2e and Base Measure"/>
    <n v="100"/>
    <n v="100"/>
    <n v="0.97"/>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2-01T00:00:00"/>
    <s v="FY21"/>
    <s v="t"/>
    <n v="0"/>
    <n v="0"/>
    <n v="0.87639999999999996"/>
    <n v="0.87639999999999996"/>
    <n v="0"/>
    <n v="0"/>
    <n v="28"/>
    <n v="28"/>
    <n v="0"/>
    <n v="0"/>
    <n v="100"/>
    <s v="Consolidation"/>
    <s v="CO2e and Base Measure"/>
    <n v="100"/>
    <n v="100"/>
    <n v="0.88"/>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3-01T00:00:00"/>
    <s v="FY21"/>
    <s v="t"/>
    <n v="0"/>
    <n v="0"/>
    <n v="0.97030000000000005"/>
    <n v="0.97030000000000005"/>
    <n v="0"/>
    <n v="0"/>
    <n v="31"/>
    <n v="31"/>
    <n v="0"/>
    <n v="0"/>
    <n v="100"/>
    <s v="Consolidation"/>
    <s v="CO2e and Base Measure"/>
    <n v="100"/>
    <n v="100"/>
    <n v="0.97"/>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4-01T00:00:00"/>
    <s v="FY21"/>
    <s v="t"/>
    <n v="0"/>
    <n v="0"/>
    <n v="0.93899999999999995"/>
    <n v="0.93899999999999995"/>
    <n v="0"/>
    <n v="0"/>
    <n v="30"/>
    <n v="30"/>
    <n v="0"/>
    <n v="0"/>
    <n v="100"/>
    <s v="Consolidation"/>
    <s v="CO2e and Base Measure"/>
    <n v="100"/>
    <n v="100"/>
    <n v="0.94"/>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5-01T00:00:00"/>
    <s v="FY21"/>
    <s v="t"/>
    <n v="0"/>
    <n v="0"/>
    <n v="0.97030000000000005"/>
    <n v="0.97030000000000005"/>
    <n v="0"/>
    <n v="0"/>
    <n v="31"/>
    <n v="31"/>
    <n v="0"/>
    <n v="0"/>
    <n v="100"/>
    <s v="Consolidation"/>
    <s v="CO2e and Base Measure"/>
    <n v="100"/>
    <n v="100"/>
    <n v="0.97"/>
    <m/>
    <m/>
    <m/>
    <m/>
    <m/>
    <m/>
    <m/>
    <m/>
    <m/>
    <m/>
    <m/>
    <m/>
    <m/>
    <s v="AUD"/>
    <s v="13564572Waste Recycled - Construction and Demolition [t]"/>
    <n v="13564572"/>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573Waste - General [t] - Scope 3"/>
    <n v="13564573"/>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0-12-01T00:00:00"/>
    <s v="FY21"/>
    <s v="t"/>
    <n v="2.12"/>
    <n v="0"/>
    <n v="0"/>
    <n v="2.12"/>
    <n v="2"/>
    <n v="0"/>
    <n v="0"/>
    <n v="2"/>
    <n v="100"/>
    <n v="0"/>
    <n v="0"/>
    <s v="Consolidation"/>
    <s v="CO2e and Base Measure"/>
    <n v="100"/>
    <n v="100"/>
    <n v="2.12"/>
    <m/>
    <m/>
    <m/>
    <m/>
    <m/>
    <n v="2.7559999999999998"/>
    <m/>
    <n v="2.7559999999999998"/>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2-01T00:00:00"/>
    <s v="FY21"/>
    <s v="t"/>
    <n v="0"/>
    <n v="0.40500000000000003"/>
    <n v="0"/>
    <n v="0.40500000000000003"/>
    <n v="0"/>
    <n v="3"/>
    <n v="0"/>
    <n v="3"/>
    <n v="0"/>
    <n v="100"/>
    <n v="0"/>
    <s v="Consolidation"/>
    <s v="CO2e and Base Measure"/>
    <n v="100"/>
    <n v="100"/>
    <n v="0.41"/>
    <m/>
    <m/>
    <m/>
    <m/>
    <m/>
    <n v="0.52649999999999997"/>
    <m/>
    <n v="0.52649999999999997"/>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4-01T00:00:00"/>
    <s v="FY21"/>
    <s v="t"/>
    <n v="0"/>
    <n v="0"/>
    <n v="0.69899999999999995"/>
    <n v="0.69899999999999995"/>
    <n v="0"/>
    <n v="0"/>
    <n v="30"/>
    <n v="30"/>
    <n v="0"/>
    <n v="0"/>
    <n v="100"/>
    <s v="Consolidation"/>
    <s v="CO2e and Base Measure"/>
    <n v="100"/>
    <n v="100"/>
    <n v="0.7"/>
    <m/>
    <m/>
    <m/>
    <m/>
    <m/>
    <n v="0.90869999999999995"/>
    <m/>
    <n v="0.90869999999999995"/>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5-01T00:00:00"/>
    <s v="FY21"/>
    <s v="t"/>
    <n v="0"/>
    <n v="0"/>
    <n v="0.72230000000000005"/>
    <n v="0.72230000000000005"/>
    <n v="0"/>
    <n v="0"/>
    <n v="31"/>
    <n v="31"/>
    <n v="0"/>
    <n v="0"/>
    <n v="100"/>
    <s v="Consolidation"/>
    <s v="CO2e and Base Measure"/>
    <n v="100"/>
    <n v="100"/>
    <n v="0.72"/>
    <m/>
    <m/>
    <m/>
    <m/>
    <m/>
    <n v="0.93899999999999995"/>
    <m/>
    <n v="0.93899999999999995"/>
    <m/>
    <m/>
    <m/>
    <m/>
    <m/>
    <s v="AUD"/>
    <s v="13634286Waste - General [t] - Scope 3"/>
    <n v="13634286"/>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1-01T00:00:00"/>
    <s v="FY21"/>
    <s v="t"/>
    <n v="0"/>
    <n v="7.4999999999999997E-2"/>
    <n v="0"/>
    <n v="7.4999999999999997E-2"/>
    <n v="0"/>
    <n v="1"/>
    <n v="0"/>
    <n v="1"/>
    <n v="0"/>
    <n v="100"/>
    <n v="0"/>
    <s v="Consolidation"/>
    <s v="CO2e and Base Measure"/>
    <n v="100"/>
    <n v="100"/>
    <n v="0.08"/>
    <m/>
    <m/>
    <m/>
    <m/>
    <m/>
    <m/>
    <m/>
    <m/>
    <m/>
    <m/>
    <m/>
    <m/>
    <m/>
    <s v="AUD"/>
    <s v="13639875Waste Recycled - Paper and Cardboard [t]"/>
    <n v="13639875"/>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2-01T00:00:00"/>
    <s v="FY21"/>
    <s v="t"/>
    <n v="0"/>
    <n v="0.22500000000000001"/>
    <n v="0"/>
    <n v="0.22500000000000001"/>
    <n v="0"/>
    <n v="3"/>
    <n v="0"/>
    <n v="3"/>
    <n v="0"/>
    <n v="100"/>
    <n v="0"/>
    <s v="Consolidation"/>
    <s v="CO2e and Base Measure"/>
    <n v="100"/>
    <n v="100"/>
    <n v="0.23"/>
    <m/>
    <m/>
    <m/>
    <m/>
    <m/>
    <m/>
    <m/>
    <m/>
    <m/>
    <m/>
    <m/>
    <m/>
    <m/>
    <s v="AUD"/>
    <s v="13639875Waste Recycled - Paper and Cardboard [t]"/>
    <n v="13639875"/>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3-01T00:00:00"/>
    <s v="FY21"/>
    <s v="t"/>
    <n v="0"/>
    <n v="7.4999999999999997E-2"/>
    <n v="0"/>
    <n v="7.4999999999999997E-2"/>
    <n v="0"/>
    <n v="1"/>
    <n v="0"/>
    <n v="1"/>
    <n v="0"/>
    <n v="100"/>
    <n v="0"/>
    <s v="Consolidation"/>
    <s v="CO2e and Base Measure"/>
    <n v="100"/>
    <n v="100"/>
    <n v="0.08"/>
    <m/>
    <m/>
    <m/>
    <m/>
    <m/>
    <m/>
    <m/>
    <m/>
    <m/>
    <m/>
    <m/>
    <m/>
    <m/>
    <s v="AUD"/>
    <s v="13639875Waste Recycled - Paper and Cardboard [t]"/>
    <n v="13639875"/>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4-01T00:00:00"/>
    <s v="FY21"/>
    <s v="t"/>
    <n v="0"/>
    <n v="0"/>
    <n v="0.126"/>
    <n v="0.126"/>
    <n v="0"/>
    <n v="0"/>
    <n v="30"/>
    <n v="30"/>
    <n v="0"/>
    <n v="0"/>
    <n v="100"/>
    <s v="Consolidation"/>
    <s v="CO2e and Base Measure"/>
    <n v="100"/>
    <n v="100"/>
    <n v="0.13"/>
    <m/>
    <m/>
    <m/>
    <m/>
    <m/>
    <m/>
    <m/>
    <m/>
    <m/>
    <m/>
    <m/>
    <m/>
    <m/>
    <s v="AUD"/>
    <s v="13639875Waste Recycled - Paper and Cardboard [t]"/>
    <n v="13639875"/>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5-01T00:00:00"/>
    <s v="FY21"/>
    <s v="t"/>
    <n v="0"/>
    <n v="0"/>
    <n v="0.13020000000000001"/>
    <n v="0.13020000000000001"/>
    <n v="0"/>
    <n v="0"/>
    <n v="31"/>
    <n v="31"/>
    <n v="0"/>
    <n v="0"/>
    <n v="100"/>
    <s v="Consolidation"/>
    <s v="CO2e and Base Measure"/>
    <n v="100"/>
    <n v="100"/>
    <n v="0.13"/>
    <m/>
    <m/>
    <m/>
    <m/>
    <m/>
    <m/>
    <m/>
    <m/>
    <m/>
    <m/>
    <m/>
    <m/>
    <m/>
    <s v="AUD"/>
    <s v="13639875Waste Recycled - Paper and Cardboard [t]"/>
    <n v="13639875"/>
  </r>
  <r>
    <d v="2019-07-01T00:00:00"/>
    <d v="2021-06-30T00:00:00"/>
    <s v="Telstra"/>
    <s v="NETWORK"/>
    <s v="Network - InfraCo"/>
    <s v="QLD"/>
    <s v="Australia"/>
    <s v="Moranbah"/>
    <s v="TWIN HILLS R_T2"/>
    <n v="423030204500"/>
    <s v="Recycled Waste"/>
    <x v="0"/>
    <x v="1"/>
    <s v="Account"/>
    <s v="Remondis Batteries - Mixed Recycled"/>
    <m/>
    <s v="423030204500_RBATTERY."/>
    <s v="BATTERIES - MIXED RECYCLED"/>
    <s v="Remondis"/>
    <m/>
    <d v="2020-08-20T00:00:00"/>
    <d v="2020-09-01T00:00:00"/>
    <d v="2020-08-01T00:00:00"/>
    <s v="FY21"/>
    <s v="t"/>
    <n v="1.893"/>
    <n v="0"/>
    <n v="0"/>
    <n v="1.893"/>
    <n v="1"/>
    <n v="0"/>
    <n v="0"/>
    <n v="1"/>
    <n v="100"/>
    <n v="0"/>
    <n v="0"/>
    <s v="Consolidation"/>
    <s v="CO2e and Base Measure"/>
    <n v="100"/>
    <n v="100"/>
    <n v="1.89"/>
    <m/>
    <m/>
    <m/>
    <m/>
    <m/>
    <m/>
    <m/>
    <m/>
    <m/>
    <m/>
    <m/>
    <m/>
    <m/>
    <s v="AUD"/>
    <s v="13629336Waste Recycled - E-waste [t]"/>
    <n v="13629336"/>
  </r>
  <r>
    <d v="2019-07-01T00:00:00"/>
    <d v="2021-06-30T00:00:00"/>
    <s v="Telstra"/>
    <s v="NETWORK"/>
    <s v="Network - InfraCo"/>
    <s v="QLD"/>
    <s v="Australia"/>
    <s v="Moranbah"/>
    <s v="TWIN HILLS R_T2"/>
    <n v="423030204500"/>
    <s v="Recycled Waste"/>
    <x v="0"/>
    <x v="1"/>
    <s v="Account"/>
    <s v="Remondis Batteries - Mixed Recycled"/>
    <m/>
    <s v="423030204500_RBATTERY."/>
    <s v="BATTERIES - MIXED RECYCLED"/>
    <s v="Remondis"/>
    <m/>
    <d v="2020-08-20T00:00:00"/>
    <d v="2020-09-01T00:00:00"/>
    <d v="2020-09-01T00:00:00"/>
    <s v="FY21"/>
    <s v="t"/>
    <n v="0"/>
    <n v="0"/>
    <n v="6.3100000000000003E-2"/>
    <n v="6.3100000000000003E-2"/>
    <n v="0"/>
    <n v="0"/>
    <n v="1"/>
    <n v="1"/>
    <n v="0"/>
    <n v="0"/>
    <n v="100"/>
    <s v="Consolidation"/>
    <s v="CO2e and Base Measure"/>
    <n v="100"/>
    <n v="100"/>
    <n v="0.06"/>
    <m/>
    <m/>
    <m/>
    <m/>
    <m/>
    <m/>
    <m/>
    <m/>
    <m/>
    <m/>
    <m/>
    <m/>
    <m/>
    <s v="AUD"/>
    <s v="13629336Waste Recycled - E-waste [t]"/>
    <n v="13629336"/>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457Waste Recycled - Cardboard [t]"/>
    <n v="13564457"/>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08-01T00:00:00"/>
    <s v="FY21"/>
    <s v="t"/>
    <n v="0"/>
    <n v="6.3E-2"/>
    <n v="0"/>
    <n v="6.3E-2"/>
    <n v="0"/>
    <n v="1"/>
    <n v="0"/>
    <n v="1"/>
    <n v="0"/>
    <n v="100"/>
    <n v="0"/>
    <s v="Consolidation"/>
    <s v="CO2e and Base Measure"/>
    <n v="100"/>
    <n v="100"/>
    <n v="0.06"/>
    <m/>
    <m/>
    <m/>
    <m/>
    <m/>
    <m/>
    <n v="0"/>
    <m/>
    <m/>
    <m/>
    <m/>
    <m/>
    <m/>
    <s v="AUD"/>
    <s v="13564457Waste Recycled - Cardboard [t]"/>
    <n v="13564457"/>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457Waste Recycled - Cardboard [t]"/>
    <n v="13564457"/>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457Waste Recycled - Cardboard [t]"/>
    <n v="13564457"/>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4457Waste Recycled - Cardboard [t]"/>
    <n v="13564457"/>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07-01T00:00:00"/>
    <s v="FY21"/>
    <s v="t"/>
    <n v="0"/>
    <n v="0.97499999999999998"/>
    <n v="0"/>
    <n v="0.97499999999999998"/>
    <n v="0"/>
    <n v="5"/>
    <n v="0"/>
    <n v="5"/>
    <n v="0"/>
    <n v="100"/>
    <n v="0"/>
    <s v="Consolidation"/>
    <s v="CO2e and Base Measure"/>
    <n v="100"/>
    <n v="100"/>
    <n v="0.98"/>
    <m/>
    <m/>
    <m/>
    <m/>
    <m/>
    <n v="1.2675000000000001"/>
    <m/>
    <n v="1.2675000000000001"/>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08-01T00:00:00"/>
    <s v="FY21"/>
    <s v="t"/>
    <n v="0"/>
    <n v="0.78"/>
    <n v="0"/>
    <n v="0.78"/>
    <n v="0"/>
    <n v="4"/>
    <n v="0"/>
    <n v="4"/>
    <n v="0"/>
    <n v="100"/>
    <n v="0"/>
    <s v="Consolidation"/>
    <s v="CO2e and Base Measure"/>
    <n v="100"/>
    <n v="100"/>
    <n v="0.78"/>
    <m/>
    <m/>
    <m/>
    <m/>
    <m/>
    <n v="1.014"/>
    <m/>
    <n v="1.014"/>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09-01T00:00:00"/>
    <s v="FY21"/>
    <s v="t"/>
    <n v="0"/>
    <n v="0.78"/>
    <n v="0"/>
    <n v="0.78"/>
    <n v="0"/>
    <n v="4"/>
    <n v="0"/>
    <n v="4"/>
    <n v="0"/>
    <n v="100"/>
    <n v="0"/>
    <s v="Consolidation"/>
    <s v="CO2e and Base Measure"/>
    <n v="100"/>
    <n v="100"/>
    <n v="0.78"/>
    <m/>
    <m/>
    <m/>
    <m/>
    <m/>
    <n v="1.014"/>
    <m/>
    <n v="1.014"/>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12-01T00:00:00"/>
    <s v="FY21"/>
    <s v="t"/>
    <n v="0"/>
    <n v="0"/>
    <n v="2.5700000000000001E-2"/>
    <n v="2.5700000000000001E-2"/>
    <n v="0"/>
    <n v="0"/>
    <n v="1"/>
    <n v="1"/>
    <n v="0"/>
    <n v="0"/>
    <n v="100"/>
    <s v="Consolidation"/>
    <s v="CO2e and Base Measure"/>
    <n v="100"/>
    <n v="100"/>
    <n v="0.03"/>
    <m/>
    <m/>
    <m/>
    <m/>
    <m/>
    <n v="3.3399999999999999E-2"/>
    <m/>
    <n v="3.3399999999999999E-2"/>
    <m/>
    <m/>
    <m/>
    <m/>
    <m/>
    <s v="AUD"/>
    <s v="13564458Waste - General [t] - Scope 3"/>
    <n v="13564458"/>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0-12-01T00:00:00"/>
    <s v="FY21"/>
    <s v="t"/>
    <n v="0.45"/>
    <n v="0"/>
    <n v="0"/>
    <n v="0.45"/>
    <n v="1"/>
    <n v="0"/>
    <n v="0"/>
    <n v="1"/>
    <n v="100"/>
    <n v="0"/>
    <n v="0"/>
    <s v="Consolidation"/>
    <s v="CO2e and Base Measure"/>
    <n v="100"/>
    <n v="100"/>
    <n v="0.45"/>
    <m/>
    <m/>
    <m/>
    <m/>
    <m/>
    <n v="0.58499999999999996"/>
    <m/>
    <n v="0.58499999999999996"/>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1-01T00:00:00"/>
    <s v="FY21"/>
    <s v="t"/>
    <n v="0.7"/>
    <n v="0"/>
    <n v="0"/>
    <n v="0.7"/>
    <n v="5"/>
    <n v="0"/>
    <n v="0"/>
    <n v="5"/>
    <n v="100"/>
    <n v="0"/>
    <n v="0"/>
    <s v="Consolidation"/>
    <s v="CO2e and Base Measure"/>
    <n v="100"/>
    <n v="100"/>
    <n v="0.7"/>
    <m/>
    <m/>
    <m/>
    <m/>
    <m/>
    <n v="0.91"/>
    <m/>
    <n v="0.91"/>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2-01T00:00:00"/>
    <s v="FY21"/>
    <s v="t"/>
    <n v="0.3"/>
    <n v="0"/>
    <n v="0"/>
    <n v="0.3"/>
    <n v="3"/>
    <n v="0"/>
    <n v="0"/>
    <n v="3"/>
    <n v="100"/>
    <n v="0"/>
    <n v="0"/>
    <s v="Consolidation"/>
    <s v="CO2e and Base Measure"/>
    <n v="100"/>
    <n v="100"/>
    <n v="0.3"/>
    <m/>
    <m/>
    <m/>
    <m/>
    <m/>
    <n v="0.39"/>
    <m/>
    <n v="0.39"/>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3-01T00:00:00"/>
    <s v="FY21"/>
    <s v="t"/>
    <n v="0.24"/>
    <n v="0.13500000000000001"/>
    <n v="0"/>
    <n v="0.375"/>
    <n v="3"/>
    <n v="1"/>
    <n v="0"/>
    <n v="4"/>
    <n v="64"/>
    <n v="36"/>
    <n v="0"/>
    <s v="Consolidation"/>
    <s v="CO2e and Base Measure"/>
    <n v="100"/>
    <n v="100"/>
    <n v="0.38"/>
    <m/>
    <m/>
    <m/>
    <m/>
    <m/>
    <n v="0.48749999999999999"/>
    <m/>
    <n v="0.48749999999999999"/>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4-01T00:00:00"/>
    <s v="FY21"/>
    <s v="t"/>
    <n v="0"/>
    <n v="0"/>
    <n v="0.45600000000000002"/>
    <n v="0.45600000000000002"/>
    <n v="0"/>
    <n v="0"/>
    <n v="30"/>
    <n v="30"/>
    <n v="0"/>
    <n v="0"/>
    <n v="100"/>
    <s v="Consolidation"/>
    <s v="CO2e and Base Measure"/>
    <n v="100"/>
    <n v="100"/>
    <n v="0.46"/>
    <m/>
    <m/>
    <m/>
    <m/>
    <m/>
    <n v="0.59279999999999999"/>
    <m/>
    <n v="0.59279999999999999"/>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5-01T00:00:00"/>
    <s v="FY21"/>
    <s v="t"/>
    <n v="0"/>
    <n v="0"/>
    <n v="0.47120000000000001"/>
    <n v="0.47120000000000001"/>
    <n v="0"/>
    <n v="0"/>
    <n v="31"/>
    <n v="31"/>
    <n v="0"/>
    <n v="0"/>
    <n v="100"/>
    <s v="Consolidation"/>
    <s v="CO2e and Base Measure"/>
    <n v="100"/>
    <n v="100"/>
    <n v="0.47"/>
    <m/>
    <m/>
    <m/>
    <m/>
    <m/>
    <n v="0.61260000000000003"/>
    <m/>
    <n v="0.61260000000000003"/>
    <m/>
    <m/>
    <m/>
    <m/>
    <m/>
    <s v="AUD"/>
    <s v="13634287Waste - General [t] - Scope 3"/>
    <n v="13634287"/>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1-01T00:00:00"/>
    <s v="FY21"/>
    <s v="t"/>
    <n v="1.9E-2"/>
    <n v="7.4999999999999997E-2"/>
    <n v="0"/>
    <n v="9.4E-2"/>
    <n v="1"/>
    <n v="1"/>
    <n v="0"/>
    <n v="2"/>
    <n v="20.21"/>
    <n v="79.78"/>
    <n v="0"/>
    <s v="Consolidation"/>
    <s v="CO2e and Base Measure"/>
    <n v="100"/>
    <n v="100"/>
    <n v="0.09"/>
    <m/>
    <m/>
    <m/>
    <m/>
    <m/>
    <m/>
    <m/>
    <m/>
    <m/>
    <m/>
    <m/>
    <m/>
    <m/>
    <s v="AUD"/>
    <s v="13634479Waste Recycled - Paper and Cardboard [t]"/>
    <n v="13634479"/>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2-01T00:00:00"/>
    <s v="FY21"/>
    <s v="t"/>
    <n v="0.04"/>
    <n v="0"/>
    <n v="0"/>
    <n v="0.04"/>
    <n v="2"/>
    <n v="0"/>
    <n v="0"/>
    <n v="2"/>
    <n v="100"/>
    <n v="0"/>
    <n v="0"/>
    <s v="Consolidation"/>
    <s v="CO2e and Base Measure"/>
    <n v="100"/>
    <n v="100"/>
    <n v="0.04"/>
    <m/>
    <m/>
    <m/>
    <m/>
    <m/>
    <m/>
    <m/>
    <m/>
    <m/>
    <m/>
    <m/>
    <m/>
    <m/>
    <s v="AUD"/>
    <s v="13634479Waste Recycled - Paper and Cardboard [t]"/>
    <n v="13634479"/>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3-01T00:00:00"/>
    <s v="FY21"/>
    <s v="t"/>
    <n v="8.8999999999999996E-2"/>
    <n v="7.4999999999999997E-2"/>
    <n v="0"/>
    <n v="0.16400000000000001"/>
    <n v="1"/>
    <n v="1"/>
    <n v="0"/>
    <n v="2"/>
    <n v="54.26"/>
    <n v="45.73"/>
    <n v="0"/>
    <s v="Consolidation"/>
    <s v="CO2e and Base Measure"/>
    <n v="100"/>
    <n v="100"/>
    <n v="0.16"/>
    <m/>
    <m/>
    <m/>
    <m/>
    <m/>
    <m/>
    <m/>
    <m/>
    <m/>
    <m/>
    <m/>
    <m/>
    <m/>
    <s v="AUD"/>
    <s v="13634479Waste Recycled - Paper and Cardboard [t]"/>
    <n v="13634479"/>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4-01T00:00:00"/>
    <s v="FY21"/>
    <s v="t"/>
    <n v="0"/>
    <n v="0"/>
    <n v="9.9000000000000005E-2"/>
    <n v="9.9000000000000005E-2"/>
    <n v="0"/>
    <n v="0"/>
    <n v="30"/>
    <n v="30"/>
    <n v="0"/>
    <n v="0"/>
    <n v="100"/>
    <s v="Consolidation"/>
    <s v="CO2e and Base Measure"/>
    <n v="100"/>
    <n v="100"/>
    <n v="0.1"/>
    <m/>
    <m/>
    <m/>
    <m/>
    <m/>
    <m/>
    <m/>
    <m/>
    <m/>
    <m/>
    <m/>
    <m/>
    <m/>
    <s v="AUD"/>
    <s v="13634479Waste Recycled - Paper and Cardboard [t]"/>
    <n v="13634479"/>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5-01T00:00:00"/>
    <s v="FY21"/>
    <s v="t"/>
    <n v="0"/>
    <n v="0"/>
    <n v="0.1023"/>
    <n v="0.1023"/>
    <n v="0"/>
    <n v="0"/>
    <n v="31"/>
    <n v="31"/>
    <n v="0"/>
    <n v="0"/>
    <n v="100"/>
    <s v="Consolidation"/>
    <s v="CO2e and Base Measure"/>
    <n v="100"/>
    <n v="100"/>
    <n v="0.1"/>
    <m/>
    <m/>
    <m/>
    <m/>
    <m/>
    <m/>
    <m/>
    <m/>
    <m/>
    <m/>
    <m/>
    <m/>
    <m/>
    <s v="AUD"/>
    <s v="13634479Waste Recycled - Paper and Cardboard [t]"/>
    <n v="13634479"/>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07-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08-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09-01T00:00:00"/>
    <s v="FY21"/>
    <s v="t"/>
    <n v="0"/>
    <n v="0.7944"/>
    <n v="0"/>
    <n v="0.7944"/>
    <n v="0"/>
    <n v="30"/>
    <n v="0"/>
    <n v="30"/>
    <n v="0"/>
    <n v="100"/>
    <n v="0"/>
    <s v="Consolidation"/>
    <s v="CO2e and Base Measure"/>
    <n v="100"/>
    <n v="100"/>
    <n v="0.79"/>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10-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11-01T00:00:00"/>
    <s v="FY21"/>
    <s v="t"/>
    <n v="0"/>
    <n v="0.7944"/>
    <n v="0"/>
    <n v="0.7944"/>
    <n v="0"/>
    <n v="30"/>
    <n v="0"/>
    <n v="30"/>
    <n v="0"/>
    <n v="100"/>
    <n v="0"/>
    <s v="Consolidation"/>
    <s v="CO2e and Base Measure"/>
    <n v="100"/>
    <n v="100"/>
    <n v="0.79"/>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12-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1-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2-01T00:00:00"/>
    <s v="FY21"/>
    <s v="t"/>
    <n v="0"/>
    <n v="0.74139999999999995"/>
    <n v="0"/>
    <n v="0.74139999999999995"/>
    <n v="0"/>
    <n v="28"/>
    <n v="0"/>
    <n v="28"/>
    <n v="0"/>
    <n v="100"/>
    <n v="0"/>
    <s v="Consolidation"/>
    <s v="CO2e and Base Measure"/>
    <n v="100"/>
    <n v="100"/>
    <n v="0.74"/>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3-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4-01T00:00:00"/>
    <s v="FY21"/>
    <s v="t"/>
    <n v="0"/>
    <n v="0.7944"/>
    <n v="0"/>
    <n v="0.7944"/>
    <n v="0"/>
    <n v="30"/>
    <n v="0"/>
    <n v="30"/>
    <n v="0"/>
    <n v="100"/>
    <n v="0"/>
    <s v="Consolidation"/>
    <s v="CO2e and Base Measure"/>
    <n v="100"/>
    <n v="100"/>
    <n v="0.79"/>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5-01T00:00:00"/>
    <s v="FY21"/>
    <s v="t"/>
    <n v="0"/>
    <n v="0"/>
    <n v="0.8246"/>
    <n v="0.8246"/>
    <n v="0"/>
    <n v="0"/>
    <n v="31"/>
    <n v="31"/>
    <n v="0"/>
    <n v="0"/>
    <n v="10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07-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08-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09-01T00:00:00"/>
    <s v="FY21"/>
    <s v="t"/>
    <n v="0"/>
    <n v="0.84570000000000001"/>
    <n v="0"/>
    <n v="0.84570000000000001"/>
    <n v="0"/>
    <n v="30"/>
    <n v="0"/>
    <n v="30"/>
    <n v="0"/>
    <n v="100"/>
    <n v="0"/>
    <s v="Consolidation"/>
    <s v="CO2e and Base Measure"/>
    <n v="100"/>
    <n v="100"/>
    <n v="0.85"/>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10-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11-01T00:00:00"/>
    <s v="FY21"/>
    <s v="t"/>
    <n v="0"/>
    <n v="0.84570000000000001"/>
    <n v="0"/>
    <n v="0.84570000000000001"/>
    <n v="0"/>
    <n v="30"/>
    <n v="0"/>
    <n v="30"/>
    <n v="0"/>
    <n v="100"/>
    <n v="0"/>
    <s v="Consolidation"/>
    <s v="CO2e and Base Measure"/>
    <n v="100"/>
    <n v="100"/>
    <n v="0.85"/>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12-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1-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2-01T00:00:00"/>
    <s v="FY21"/>
    <s v="t"/>
    <n v="0"/>
    <n v="0.7893"/>
    <n v="0"/>
    <n v="0.7893"/>
    <n v="0"/>
    <n v="28"/>
    <n v="0"/>
    <n v="28"/>
    <n v="0"/>
    <n v="100"/>
    <n v="0"/>
    <s v="Consolidation"/>
    <s v="CO2e and Base Measure"/>
    <n v="100"/>
    <n v="100"/>
    <n v="0.79"/>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3-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4-01T00:00:00"/>
    <s v="FY21"/>
    <s v="t"/>
    <n v="0"/>
    <n v="0.84570000000000001"/>
    <n v="0"/>
    <n v="0.84570000000000001"/>
    <n v="0"/>
    <n v="30"/>
    <n v="0"/>
    <n v="30"/>
    <n v="0"/>
    <n v="100"/>
    <n v="0"/>
    <s v="Consolidation"/>
    <s v="CO2e and Base Measure"/>
    <n v="100"/>
    <n v="100"/>
    <n v="0.85"/>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5-01T00:00:00"/>
    <s v="FY21"/>
    <s v="t"/>
    <n v="0"/>
    <n v="0"/>
    <n v="0.87729999999999997"/>
    <n v="0.87729999999999997"/>
    <n v="0"/>
    <n v="0"/>
    <n v="31"/>
    <n v="31"/>
    <n v="0"/>
    <n v="0"/>
    <n v="100"/>
    <s v="Consolidation"/>
    <s v="CO2e and Base Measure"/>
    <n v="100"/>
    <n v="100"/>
    <n v="0.88"/>
    <m/>
    <m/>
    <m/>
    <m/>
    <m/>
    <m/>
    <m/>
    <m/>
    <m/>
    <m/>
    <m/>
    <m/>
    <m/>
    <s v="AUD"/>
    <s v="13644546Waste Recycled - E-waste [t]"/>
    <n v="13644546"/>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07-01T00:00:00"/>
    <s v="FY21"/>
    <s v="t"/>
    <n v="0"/>
    <n v="6.3E-2"/>
    <n v="0"/>
    <n v="6.3E-2"/>
    <n v="0"/>
    <n v="2"/>
    <n v="0"/>
    <n v="2"/>
    <n v="0"/>
    <n v="100"/>
    <n v="0"/>
    <s v="Consolidation"/>
    <s v="CO2e and Base Measure"/>
    <n v="100"/>
    <n v="100"/>
    <n v="0.06"/>
    <m/>
    <m/>
    <m/>
    <m/>
    <m/>
    <m/>
    <n v="0"/>
    <m/>
    <m/>
    <m/>
    <m/>
    <m/>
    <m/>
    <s v="AUD"/>
    <s v="13565464Waste Recycled - Cardboard [t]"/>
    <n v="13565464"/>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08-01T00:00:00"/>
    <s v="FY21"/>
    <s v="t"/>
    <n v="0"/>
    <n v="3.15E-2"/>
    <n v="0"/>
    <n v="3.15E-2"/>
    <n v="0"/>
    <n v="1"/>
    <n v="0"/>
    <n v="1"/>
    <n v="0"/>
    <n v="100"/>
    <n v="0"/>
    <s v="Consolidation"/>
    <s v="CO2e and Base Measure"/>
    <n v="100"/>
    <n v="100"/>
    <n v="0.03"/>
    <m/>
    <m/>
    <m/>
    <m/>
    <m/>
    <m/>
    <n v="0"/>
    <m/>
    <m/>
    <m/>
    <m/>
    <m/>
    <m/>
    <s v="AUD"/>
    <s v="13565464Waste Recycled - Cardboard [t]"/>
    <n v="13565464"/>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09-01T00:00:00"/>
    <s v="FY21"/>
    <s v="t"/>
    <n v="0"/>
    <n v="6.3E-2"/>
    <n v="0"/>
    <n v="6.3E-2"/>
    <n v="0"/>
    <n v="2"/>
    <n v="0"/>
    <n v="2"/>
    <n v="0"/>
    <n v="100"/>
    <n v="0"/>
    <s v="Consolidation"/>
    <s v="CO2e and Base Measure"/>
    <n v="100"/>
    <n v="100"/>
    <n v="0.06"/>
    <m/>
    <m/>
    <m/>
    <m/>
    <m/>
    <m/>
    <n v="0"/>
    <m/>
    <m/>
    <m/>
    <m/>
    <m/>
    <m/>
    <s v="AUD"/>
    <s v="13565464Waste Recycled - Cardboard [t]"/>
    <n v="13565464"/>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5464Waste Recycled - Cardboard [t]"/>
    <n v="13565464"/>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12-01T00:00:00"/>
    <s v="FY21"/>
    <s v="t"/>
    <n v="0"/>
    <n v="0"/>
    <n v="1.4E-3"/>
    <n v="1.4E-3"/>
    <n v="0"/>
    <n v="0"/>
    <n v="1"/>
    <n v="1"/>
    <n v="0"/>
    <n v="0"/>
    <n v="100"/>
    <s v="Consolidation"/>
    <s v="CO2e and Base Measure"/>
    <n v="100"/>
    <n v="100"/>
    <n v="0"/>
    <m/>
    <m/>
    <m/>
    <m/>
    <m/>
    <m/>
    <n v="0"/>
    <m/>
    <m/>
    <m/>
    <m/>
    <m/>
    <m/>
    <s v="AUD"/>
    <s v="13565464Waste Recycled - Cardboard [t]"/>
    <n v="13565464"/>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07-01T00:00:00"/>
    <s v="FY21"/>
    <s v="t"/>
    <n v="0"/>
    <n v="0.39"/>
    <n v="0"/>
    <n v="0.39"/>
    <n v="0"/>
    <n v="3"/>
    <n v="0"/>
    <n v="3"/>
    <n v="0"/>
    <n v="100"/>
    <n v="0"/>
    <s v="Consolidation"/>
    <s v="CO2e and Base Measure"/>
    <n v="100"/>
    <n v="100"/>
    <n v="0.39"/>
    <m/>
    <m/>
    <m/>
    <m/>
    <m/>
    <n v="0.50700000000000001"/>
    <m/>
    <n v="0.50700000000000001"/>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08-01T00:00:00"/>
    <s v="FY21"/>
    <s v="t"/>
    <n v="0"/>
    <n v="0.13"/>
    <n v="0"/>
    <n v="0.13"/>
    <n v="0"/>
    <n v="1"/>
    <n v="0"/>
    <n v="1"/>
    <n v="0"/>
    <n v="100"/>
    <n v="0"/>
    <s v="Consolidation"/>
    <s v="CO2e and Base Measure"/>
    <n v="100"/>
    <n v="100"/>
    <n v="0.13"/>
    <m/>
    <m/>
    <m/>
    <m/>
    <m/>
    <n v="0.16900000000000001"/>
    <m/>
    <n v="0.16900000000000001"/>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09-01T00:00:00"/>
    <s v="FY21"/>
    <s v="t"/>
    <n v="0"/>
    <n v="0.26"/>
    <n v="0"/>
    <n v="0.26"/>
    <n v="0"/>
    <n v="2"/>
    <n v="0"/>
    <n v="2"/>
    <n v="0"/>
    <n v="100"/>
    <n v="0"/>
    <s v="Consolidation"/>
    <s v="CO2e and Base Measure"/>
    <n v="100"/>
    <n v="100"/>
    <n v="0.26"/>
    <m/>
    <m/>
    <m/>
    <m/>
    <m/>
    <n v="0.33800000000000002"/>
    <m/>
    <n v="0.33800000000000002"/>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10-01T00:00:00"/>
    <s v="FY21"/>
    <s v="t"/>
    <n v="0"/>
    <n v="0.26"/>
    <n v="0"/>
    <n v="0.26"/>
    <n v="0"/>
    <n v="2"/>
    <n v="0"/>
    <n v="2"/>
    <n v="0"/>
    <n v="100"/>
    <n v="0"/>
    <s v="Consolidation"/>
    <s v="CO2e and Base Measure"/>
    <n v="100"/>
    <n v="100"/>
    <n v="0.26"/>
    <m/>
    <m/>
    <m/>
    <m/>
    <m/>
    <n v="0.33800000000000002"/>
    <m/>
    <n v="0.33800000000000002"/>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11-01T00:00:00"/>
    <s v="FY21"/>
    <s v="t"/>
    <n v="0"/>
    <n v="0.13"/>
    <n v="0"/>
    <n v="0.13"/>
    <n v="0"/>
    <n v="1"/>
    <n v="0"/>
    <n v="1"/>
    <n v="0"/>
    <n v="100"/>
    <n v="0"/>
    <s v="Consolidation"/>
    <s v="CO2e and Base Measure"/>
    <n v="100"/>
    <n v="100"/>
    <n v="0.13"/>
    <m/>
    <m/>
    <m/>
    <m/>
    <m/>
    <n v="0.16900000000000001"/>
    <m/>
    <n v="0.16900000000000001"/>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12-01T00:00:00"/>
    <s v="FY21"/>
    <s v="t"/>
    <n v="0"/>
    <n v="0"/>
    <n v="7.9000000000000008E-3"/>
    <n v="7.9000000000000008E-3"/>
    <n v="0"/>
    <n v="0"/>
    <n v="1"/>
    <n v="1"/>
    <n v="0"/>
    <n v="0"/>
    <n v="100"/>
    <s v="Consolidation"/>
    <s v="CO2e and Base Measure"/>
    <n v="100"/>
    <n v="100"/>
    <n v="0.01"/>
    <m/>
    <m/>
    <m/>
    <m/>
    <m/>
    <n v="1.03E-2"/>
    <m/>
    <n v="1.03E-2"/>
    <m/>
    <m/>
    <m/>
    <m/>
    <m/>
    <s v="AUD"/>
    <s v="13565465Waste - General [t] - Scope 3"/>
    <n v="13565465"/>
  </r>
  <r>
    <d v="2019-07-01T00:00:00"/>
    <d v="2021-06-30T00:00:00"/>
    <s v="Telstra"/>
    <s v="NETWORK"/>
    <s v="Network - InfraCo"/>
    <s v="TAS"/>
    <s v="Australia"/>
    <s v="Ulverstone"/>
    <s v="ULVERSTONE EXCHANGE"/>
    <n v="423030926000"/>
    <s v="Recycled Waste"/>
    <x v="0"/>
    <x v="5"/>
    <s v="Account"/>
    <s v="Remondis Metal - Mixed All"/>
    <m/>
    <s v="423030926000_RMETMIXED"/>
    <s v="METAL - MIXED ALL"/>
    <s v="Remondis"/>
    <m/>
    <m/>
    <d v="2020-09-01T00:00:00"/>
    <d v="2020-08-01T00:00:00"/>
    <s v="FY21"/>
    <s v="t"/>
    <n v="0.373"/>
    <n v="0"/>
    <n v="0"/>
    <n v="0.373"/>
    <n v="1"/>
    <n v="0"/>
    <n v="0"/>
    <n v="1"/>
    <n v="100"/>
    <n v="0"/>
    <n v="0"/>
    <s v="Consolidation"/>
    <s v="CO2e and Base Measure"/>
    <n v="100"/>
    <n v="100"/>
    <n v="0.37"/>
    <m/>
    <m/>
    <m/>
    <m/>
    <m/>
    <m/>
    <m/>
    <m/>
    <m/>
    <m/>
    <m/>
    <m/>
    <m/>
    <s v="AUD"/>
    <s v="13565466Waste Recycled - Construction and Demolition [t]"/>
    <n v="13565466"/>
  </r>
  <r>
    <d v="2019-07-01T00:00:00"/>
    <d v="2021-06-30T00:00:00"/>
    <s v="Telstra"/>
    <s v="NETWORK"/>
    <s v="Network - InfraCo"/>
    <s v="TAS"/>
    <s v="Australia"/>
    <s v="Ulverstone"/>
    <s v="ULVERSTONE EXCHANGE"/>
    <n v="423030926000"/>
    <s v="Recycled Waste"/>
    <x v="0"/>
    <x v="5"/>
    <s v="Account"/>
    <s v="Remondis Metal - Mixed All"/>
    <m/>
    <s v="423030926000_RMETMIXED"/>
    <s v="METAL - MIXED ALL"/>
    <s v="Remondis"/>
    <m/>
    <m/>
    <d v="2020-09-01T00:00:00"/>
    <d v="2020-09-01T00:00:00"/>
    <s v="FY21"/>
    <s v="t"/>
    <n v="0"/>
    <n v="0"/>
    <n v="1.24E-2"/>
    <n v="1.24E-2"/>
    <n v="0"/>
    <n v="0"/>
    <n v="1"/>
    <n v="1"/>
    <n v="0"/>
    <n v="0"/>
    <n v="100"/>
    <s v="Consolidation"/>
    <s v="CO2e and Base Measure"/>
    <n v="100"/>
    <n v="100"/>
    <n v="0.01"/>
    <m/>
    <m/>
    <m/>
    <m/>
    <m/>
    <m/>
    <m/>
    <m/>
    <m/>
    <m/>
    <m/>
    <m/>
    <m/>
    <s v="AUD"/>
    <s v="13565466Waste Recycled - Construction and Demolition [t]"/>
    <n v="13565466"/>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0-12-01T00:00:00"/>
    <s v="FY21"/>
    <s v="t"/>
    <n v="0.21199999999999999"/>
    <n v="0"/>
    <n v="0"/>
    <n v="0.21199999999999999"/>
    <n v="1"/>
    <n v="0"/>
    <n v="0"/>
    <n v="1"/>
    <n v="100"/>
    <n v="0"/>
    <n v="0"/>
    <s v="Consolidation"/>
    <s v="CO2e and Base Measure"/>
    <n v="100"/>
    <n v="100"/>
    <n v="0.21"/>
    <m/>
    <m/>
    <m/>
    <m/>
    <m/>
    <n v="0.27560000000000001"/>
    <m/>
    <n v="0.27560000000000001"/>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1-01T00:00:00"/>
    <s v="FY21"/>
    <s v="t"/>
    <n v="0.2"/>
    <n v="0"/>
    <n v="0"/>
    <n v="0.2"/>
    <n v="1"/>
    <n v="0"/>
    <n v="0"/>
    <n v="1"/>
    <n v="100"/>
    <n v="0"/>
    <n v="0"/>
    <s v="Consolidation"/>
    <s v="CO2e and Base Measure"/>
    <n v="100"/>
    <n v="100"/>
    <n v="0.2"/>
    <m/>
    <m/>
    <m/>
    <m/>
    <m/>
    <n v="0.26"/>
    <m/>
    <n v="0.26"/>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2-01T00:00:00"/>
    <s v="FY21"/>
    <s v="t"/>
    <n v="0.125"/>
    <n v="0"/>
    <n v="0"/>
    <n v="0.125"/>
    <n v="1"/>
    <n v="0"/>
    <n v="0"/>
    <n v="1"/>
    <n v="100"/>
    <n v="0"/>
    <n v="0"/>
    <s v="Consolidation"/>
    <s v="CO2e and Base Measure"/>
    <n v="100"/>
    <n v="100"/>
    <n v="0.13"/>
    <m/>
    <m/>
    <m/>
    <m/>
    <m/>
    <n v="0.16250000000000001"/>
    <m/>
    <n v="0.16250000000000001"/>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3-01T00:00:00"/>
    <s v="FY21"/>
    <s v="t"/>
    <n v="0.59"/>
    <n v="0"/>
    <n v="0"/>
    <n v="0.59"/>
    <n v="3"/>
    <n v="0"/>
    <n v="0"/>
    <n v="3"/>
    <n v="100"/>
    <n v="0"/>
    <n v="0"/>
    <s v="Consolidation"/>
    <s v="CO2e and Base Measure"/>
    <n v="100"/>
    <n v="100"/>
    <n v="0.59"/>
    <m/>
    <m/>
    <m/>
    <m/>
    <m/>
    <n v="0.76700000000000002"/>
    <m/>
    <n v="0.76700000000000002"/>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4-01T00:00:00"/>
    <s v="FY21"/>
    <s v="t"/>
    <n v="0"/>
    <n v="0"/>
    <n v="0.28199999999999997"/>
    <n v="0.28199999999999997"/>
    <n v="0"/>
    <n v="0"/>
    <n v="30"/>
    <n v="30"/>
    <n v="0"/>
    <n v="0"/>
    <n v="100"/>
    <s v="Consolidation"/>
    <s v="CO2e and Base Measure"/>
    <n v="100"/>
    <n v="100"/>
    <n v="0.28000000000000003"/>
    <m/>
    <m/>
    <m/>
    <m/>
    <m/>
    <n v="0.36659999999999998"/>
    <m/>
    <n v="0.36659999999999998"/>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5-01T00:00:00"/>
    <s v="FY21"/>
    <s v="t"/>
    <n v="0"/>
    <n v="0"/>
    <n v="0.29139999999999999"/>
    <n v="0.29139999999999999"/>
    <n v="0"/>
    <n v="0"/>
    <n v="31"/>
    <n v="31"/>
    <n v="0"/>
    <n v="0"/>
    <n v="100"/>
    <s v="Consolidation"/>
    <s v="CO2e and Base Measure"/>
    <n v="100"/>
    <n v="100"/>
    <n v="0.28999999999999998"/>
    <m/>
    <m/>
    <m/>
    <m/>
    <m/>
    <n v="0.37880000000000003"/>
    <m/>
    <n v="0.37880000000000003"/>
    <m/>
    <m/>
    <m/>
    <m/>
    <m/>
    <s v="AUD"/>
    <s v="13634288Waste - General [t] - Scope 3"/>
    <n v="13634288"/>
  </r>
  <r>
    <d v="2019-07-01T00:00:00"/>
    <d v="2021-06-30T00:00:00"/>
    <s v="Telstra"/>
    <s v="TBC"/>
    <s v="TBC"/>
    <s v="VIC"/>
    <s v="Australia"/>
    <s v="Victoria"/>
    <s v="Unallocated Sustainability Accounts"/>
    <m/>
    <s v="Waste"/>
    <x v="1"/>
    <x v="2"/>
    <s v="Account"/>
    <s v="Remondis General Waste"/>
    <m/>
    <s v="423032143100_WGENERALW"/>
    <m/>
    <s v="Remondis"/>
    <m/>
    <m/>
    <d v="2020-12-01T00:00:00"/>
    <d v="2020-11-01T00:00:00"/>
    <s v="FY21"/>
    <s v="t"/>
    <n v="0"/>
    <n v="0.1716"/>
    <n v="0"/>
    <n v="0.1716"/>
    <n v="0"/>
    <n v="2"/>
    <n v="0"/>
    <n v="2"/>
    <n v="0"/>
    <n v="100"/>
    <n v="0"/>
    <s v="Consolidation"/>
    <s v="CO2e and Base Measure"/>
    <n v="100"/>
    <n v="100"/>
    <n v="0.17"/>
    <m/>
    <m/>
    <m/>
    <m/>
    <m/>
    <n v="0.22309999999999999"/>
    <m/>
    <n v="0.22309999999999999"/>
    <m/>
    <m/>
    <m/>
    <m/>
    <m/>
    <s v="AUD"/>
    <s v="13632346Waste - General [t] - Scope 3"/>
    <n v="13632346"/>
  </r>
  <r>
    <d v="2019-07-01T00:00:00"/>
    <d v="2021-06-30T00:00:00"/>
    <s v="Telstra"/>
    <s v="TBC"/>
    <s v="TBC"/>
    <s v="VIC"/>
    <s v="Australia"/>
    <s v="Victoria"/>
    <s v="Unallocated Sustainability Accounts"/>
    <m/>
    <s v="Waste"/>
    <x v="1"/>
    <x v="2"/>
    <s v="Account"/>
    <s v="Remondis General Waste"/>
    <m/>
    <s v="423032143100_WGENERALW"/>
    <m/>
    <s v="Remondis"/>
    <m/>
    <m/>
    <d v="2020-12-01T00:00:00"/>
    <d v="2020-12-01T00:00:00"/>
    <s v="FY21"/>
    <s v="t"/>
    <n v="0"/>
    <n v="0"/>
    <n v="5.8999999999999999E-3"/>
    <n v="5.8999999999999999E-3"/>
    <n v="0"/>
    <n v="0"/>
    <n v="1"/>
    <n v="1"/>
    <n v="0"/>
    <n v="0"/>
    <n v="100"/>
    <s v="Consolidation"/>
    <s v="CO2e and Base Measure"/>
    <n v="100"/>
    <n v="100"/>
    <n v="0.01"/>
    <m/>
    <m/>
    <m/>
    <m/>
    <m/>
    <n v="7.7000000000000002E-3"/>
    <m/>
    <n v="7.7000000000000002E-3"/>
    <m/>
    <m/>
    <m/>
    <m/>
    <m/>
    <s v="AUD"/>
    <s v="13632346Waste - General [t] - Scope 3"/>
    <n v="13632346"/>
  </r>
  <r>
    <d v="2019-07-01T00:00:00"/>
    <d v="2021-06-30T00:00:00"/>
    <s v="Telstra"/>
    <s v="TBC"/>
    <s v="TBC"/>
    <s v="VIC"/>
    <s v="Australia"/>
    <s v="Victoria"/>
    <s v="Unallocated Sustainability Accounts"/>
    <m/>
    <s v="Recycled Waste"/>
    <x v="0"/>
    <x v="0"/>
    <s v="Account"/>
    <s v="Remondis Security Destruction"/>
    <m/>
    <s v="423032143100_RPAPSECUR"/>
    <m/>
    <s v="Remondis"/>
    <m/>
    <m/>
    <d v="2020-12-01T00:00:00"/>
    <d v="2020-11-01T00:00:00"/>
    <s v="FY21"/>
    <s v="t"/>
    <n v="0"/>
    <n v="0.15840000000000001"/>
    <n v="0"/>
    <n v="0.15840000000000001"/>
    <n v="0"/>
    <n v="1"/>
    <n v="0"/>
    <n v="1"/>
    <n v="0"/>
    <n v="100"/>
    <n v="0"/>
    <s v="Consolidation"/>
    <s v="CO2e and Base Measure"/>
    <n v="100"/>
    <n v="100"/>
    <n v="0.16"/>
    <m/>
    <m/>
    <m/>
    <m/>
    <m/>
    <m/>
    <n v="0"/>
    <m/>
    <m/>
    <m/>
    <m/>
    <m/>
    <m/>
    <s v="AUD"/>
    <s v="13632350Waste Recycled - Cardboard [t]"/>
    <n v="13632350"/>
  </r>
  <r>
    <d v="2019-07-01T00:00:00"/>
    <d v="2021-06-30T00:00:00"/>
    <s v="Telstra"/>
    <s v="TBC"/>
    <s v="TBC"/>
    <s v="VIC"/>
    <s v="Australia"/>
    <s v="Victoria"/>
    <s v="Unallocated Sustainability Accounts"/>
    <m/>
    <s v="Recycled Waste"/>
    <x v="0"/>
    <x v="0"/>
    <s v="Account"/>
    <s v="Remondis Security Destruction"/>
    <m/>
    <s v="423032143100_RPAPSECUR"/>
    <m/>
    <s v="Remondis"/>
    <m/>
    <m/>
    <d v="2020-12-01T00:00:00"/>
    <d v="2020-12-01T00:00:00"/>
    <s v="FY21"/>
    <s v="t"/>
    <n v="0"/>
    <n v="0"/>
    <n v="5.4999999999999997E-3"/>
    <n v="5.4999999999999997E-3"/>
    <n v="0"/>
    <n v="0"/>
    <n v="1"/>
    <n v="1"/>
    <n v="0"/>
    <n v="0"/>
    <n v="100"/>
    <s v="Consolidation"/>
    <s v="CO2e and Base Measure"/>
    <n v="100"/>
    <n v="100"/>
    <n v="0.01"/>
    <m/>
    <m/>
    <m/>
    <m/>
    <m/>
    <m/>
    <n v="0"/>
    <m/>
    <m/>
    <m/>
    <m/>
    <m/>
    <m/>
    <s v="AUD"/>
    <s v="13632350Waste Recycled - Cardboard [t]"/>
    <n v="13632350"/>
  </r>
  <r>
    <d v="2019-07-01T00:00:00"/>
    <d v="2021-06-30T00:00:00"/>
    <s v="Telstra"/>
    <s v="TBC"/>
    <s v="TBC"/>
    <s v="VIC"/>
    <s v="Australia"/>
    <s v="Victoria"/>
    <s v="Unallocated Sustainability Accounts"/>
    <m/>
    <s v="Recycled Waste"/>
    <x v="0"/>
    <x v="1"/>
    <s v="Account"/>
    <s v="Remondis Electrical Comp. (E-Waste)"/>
    <m/>
    <s v="423032143100_RELECTRIC"/>
    <m/>
    <s v="Remondis"/>
    <m/>
    <m/>
    <d v="2020-12-01T00:00:00"/>
    <d v="2020-11-01T00:00:00"/>
    <s v="FY21"/>
    <s v="t"/>
    <n v="0"/>
    <n v="0.25080000000000002"/>
    <n v="0"/>
    <n v="0.25080000000000002"/>
    <n v="0"/>
    <n v="1"/>
    <n v="0"/>
    <n v="1"/>
    <n v="0"/>
    <n v="100"/>
    <n v="0"/>
    <s v="Consolidation"/>
    <s v="CO2e and Base Measure"/>
    <n v="100"/>
    <n v="100"/>
    <n v="0.25"/>
    <m/>
    <m/>
    <m/>
    <m/>
    <m/>
    <m/>
    <m/>
    <m/>
    <m/>
    <m/>
    <m/>
    <m/>
    <m/>
    <s v="AUD"/>
    <s v="13632359Waste Recycled - E-waste [t]"/>
    <n v="13632359"/>
  </r>
  <r>
    <d v="2019-07-01T00:00:00"/>
    <d v="2021-06-30T00:00:00"/>
    <s v="Telstra"/>
    <s v="TBC"/>
    <s v="TBC"/>
    <s v="VIC"/>
    <s v="Australia"/>
    <s v="Victoria"/>
    <s v="Unallocated Sustainability Accounts"/>
    <m/>
    <s v="Recycled Waste"/>
    <x v="0"/>
    <x v="1"/>
    <s v="Account"/>
    <s v="Remondis Electrical Comp. (E-Waste)"/>
    <m/>
    <s v="423032143100_RELECTRIC"/>
    <m/>
    <s v="Remondis"/>
    <m/>
    <m/>
    <d v="2020-12-01T00:00:00"/>
    <d v="2020-12-01T00:00:00"/>
    <s v="FY21"/>
    <s v="t"/>
    <n v="0"/>
    <n v="0"/>
    <n v="8.6E-3"/>
    <n v="8.6E-3"/>
    <n v="0"/>
    <n v="0"/>
    <n v="1"/>
    <n v="1"/>
    <n v="0"/>
    <n v="0"/>
    <n v="100"/>
    <s v="Consolidation"/>
    <s v="CO2e and Base Measure"/>
    <n v="100"/>
    <n v="100"/>
    <n v="0.01"/>
    <m/>
    <m/>
    <m/>
    <m/>
    <m/>
    <m/>
    <m/>
    <m/>
    <m/>
    <m/>
    <m/>
    <m/>
    <m/>
    <s v="AUD"/>
    <s v="13632359Waste Recycled - E-waste [t]"/>
    <n v="13632359"/>
  </r>
  <r>
    <d v="2019-07-01T00:00:00"/>
    <d v="2021-06-30T00:00:00"/>
    <s v="Telstra"/>
    <s v="TBC"/>
    <s v="TBC"/>
    <s v="VIC"/>
    <s v="Australia"/>
    <s v="Victoria"/>
    <s v="Unallocated Sustainability Accounts"/>
    <m/>
    <s v="Waste"/>
    <x v="1"/>
    <x v="2"/>
    <s v="Account"/>
    <s v="Remondis General Waste"/>
    <m/>
    <s v="423032154500_WGENERALW"/>
    <m/>
    <s v="Remondis"/>
    <m/>
    <m/>
    <d v="2021-01-01T00:00:00"/>
    <d v="2020-12-01T00:00:00"/>
    <s v="FY21"/>
    <s v="t"/>
    <n v="0"/>
    <n v="0.19500000000000001"/>
    <n v="0"/>
    <n v="0.19500000000000001"/>
    <n v="0"/>
    <n v="1"/>
    <n v="0"/>
    <n v="1"/>
    <n v="0"/>
    <n v="100"/>
    <n v="0"/>
    <s v="Consolidation"/>
    <s v="CO2e and Base Measure"/>
    <n v="100"/>
    <n v="100"/>
    <n v="0.2"/>
    <m/>
    <m/>
    <m/>
    <m/>
    <m/>
    <n v="0.2535"/>
    <m/>
    <n v="0.2535"/>
    <m/>
    <m/>
    <m/>
    <m/>
    <m/>
    <s v="AUD"/>
    <s v="13633417Waste - General [t] - Scope 3"/>
    <n v="13633417"/>
  </r>
  <r>
    <d v="2019-07-01T00:00:00"/>
    <d v="2021-06-30T00:00:00"/>
    <s v="Telstra"/>
    <s v="TBC"/>
    <s v="TBC"/>
    <s v="VIC"/>
    <s v="Australia"/>
    <s v="Victoria"/>
    <s v="Unallocated Sustainability Accounts"/>
    <m/>
    <s v="Waste"/>
    <x v="1"/>
    <x v="2"/>
    <s v="Account"/>
    <s v="Remondis General Waste"/>
    <m/>
    <s v="423032154500_WGENERALW"/>
    <m/>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633417Waste - General [t] - Scope 3"/>
    <n v="13633417"/>
  </r>
  <r>
    <d v="2019-07-01T00:00:00"/>
    <d v="2021-06-30T00:00:00"/>
    <s v="Telstra"/>
    <s v="TBC"/>
    <s v="TBC"/>
    <s v="VIC"/>
    <s v="Australia"/>
    <s v="Victoria"/>
    <s v="Unallocated Sustainability Accounts"/>
    <m/>
    <s v="No Recovery"/>
    <x v="1"/>
    <x v="7"/>
    <s v="Account"/>
    <s v="Remondis Clinical Waste"/>
    <m/>
    <s v="423030741800_WMEDMEDIC"/>
    <m/>
    <s v="Remondis"/>
    <m/>
    <m/>
    <d v="2021-01-01T00:00:00"/>
    <d v="2020-12-01T00:00:00"/>
    <s v="FY21"/>
    <s v="t"/>
    <n v="0"/>
    <n v="1.9199999999999998E-2"/>
    <n v="0"/>
    <n v="1.9199999999999998E-2"/>
    <n v="0"/>
    <n v="1"/>
    <n v="0"/>
    <n v="1"/>
    <n v="0"/>
    <n v="100"/>
    <n v="0"/>
    <s v="Consolidation"/>
    <s v="CO2e and Base Measure"/>
    <n v="100"/>
    <n v="100"/>
    <n v="0.02"/>
    <m/>
    <m/>
    <m/>
    <m/>
    <m/>
    <n v="2.3E-2"/>
    <m/>
    <n v="2.3E-2"/>
    <m/>
    <m/>
    <m/>
    <m/>
    <m/>
    <s v="AUD"/>
    <s v="13633427Hazardous Waste [t]"/>
    <n v="13633427"/>
  </r>
  <r>
    <d v="2019-07-01T00:00:00"/>
    <d v="2021-06-30T00:00:00"/>
    <s v="Telstra"/>
    <s v="TBC"/>
    <s v="TBC"/>
    <s v="VIC"/>
    <s v="Australia"/>
    <s v="Victoria"/>
    <s v="Unallocated Sustainability Accounts"/>
    <m/>
    <s v="No Recovery"/>
    <x v="1"/>
    <x v="7"/>
    <s v="Account"/>
    <s v="Remondis Clinical Waste"/>
    <m/>
    <s v="423030741800_WMEDMEDIC"/>
    <m/>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633427Hazardous Waste [t]"/>
    <n v="13633427"/>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07-01T00:00:00"/>
    <s v="FY21"/>
    <s v="t"/>
    <n v="0.26129999999999998"/>
    <n v="1.1100000000000001"/>
    <n v="0"/>
    <n v="1.3713"/>
    <n v="4"/>
    <n v="2"/>
    <n v="0"/>
    <n v="6"/>
    <n v="19.05"/>
    <n v="80.94"/>
    <n v="0"/>
    <s v="Consolidation"/>
    <s v="CO2e and Base Measure"/>
    <n v="100"/>
    <n v="100"/>
    <n v="1.37"/>
    <m/>
    <m/>
    <m/>
    <m/>
    <m/>
    <n v="1.6456"/>
    <m/>
    <n v="1.6456"/>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08-01T00:00:00"/>
    <s v="FY21"/>
    <s v="t"/>
    <n v="5.0000000000000001E-4"/>
    <n v="0.55500000000000005"/>
    <n v="0"/>
    <n v="0.55549999999999999"/>
    <n v="2"/>
    <n v="1"/>
    <n v="0"/>
    <n v="3"/>
    <n v="0.09"/>
    <n v="99.9"/>
    <n v="0"/>
    <s v="Consolidation"/>
    <s v="CO2e and Base Measure"/>
    <n v="100"/>
    <n v="100"/>
    <n v="0.56000000000000005"/>
    <m/>
    <m/>
    <m/>
    <m/>
    <m/>
    <n v="0.66659999999999997"/>
    <m/>
    <n v="0.66659999999999997"/>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09-01T00:00:00"/>
    <s v="FY21"/>
    <s v="t"/>
    <n v="0"/>
    <n v="1.1100000000000001"/>
    <n v="0"/>
    <n v="1.1100000000000001"/>
    <n v="0"/>
    <n v="2"/>
    <n v="0"/>
    <n v="2"/>
    <n v="0"/>
    <n v="100"/>
    <n v="0"/>
    <s v="Consolidation"/>
    <s v="CO2e and Base Measure"/>
    <n v="100"/>
    <n v="100"/>
    <n v="1.1100000000000001"/>
    <m/>
    <m/>
    <m/>
    <m/>
    <m/>
    <n v="1.3320000000000001"/>
    <m/>
    <n v="1.3320000000000001"/>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10-01T00:00:00"/>
    <s v="FY21"/>
    <s v="t"/>
    <n v="0.14019999999999999"/>
    <n v="0"/>
    <n v="0"/>
    <n v="0.14019999999999999"/>
    <n v="2"/>
    <n v="0"/>
    <n v="0"/>
    <n v="2"/>
    <n v="100"/>
    <n v="0"/>
    <n v="0"/>
    <s v="Consolidation"/>
    <s v="CO2e and Base Measure"/>
    <n v="100"/>
    <n v="100"/>
    <n v="0.14000000000000001"/>
    <m/>
    <m/>
    <m/>
    <m/>
    <m/>
    <n v="0.16819999999999999"/>
    <m/>
    <n v="0.16819999999999999"/>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11-01T00:00:00"/>
    <s v="FY21"/>
    <s v="t"/>
    <n v="0"/>
    <n v="1.1100000000000001"/>
    <n v="0"/>
    <n v="1.1100000000000001"/>
    <n v="0"/>
    <n v="2"/>
    <n v="0"/>
    <n v="2"/>
    <n v="0"/>
    <n v="100"/>
    <n v="0"/>
    <s v="Consolidation"/>
    <s v="CO2e and Base Measure"/>
    <n v="100"/>
    <n v="100"/>
    <n v="1.1100000000000001"/>
    <m/>
    <m/>
    <m/>
    <m/>
    <m/>
    <n v="1.3320000000000001"/>
    <m/>
    <n v="1.3320000000000001"/>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12-01T00:00:00"/>
    <s v="FY21"/>
    <s v="t"/>
    <n v="0"/>
    <n v="0"/>
    <n v="2.76E-2"/>
    <n v="2.76E-2"/>
    <n v="0"/>
    <n v="0"/>
    <n v="1"/>
    <n v="1"/>
    <n v="0"/>
    <n v="0"/>
    <n v="100"/>
    <s v="Consolidation"/>
    <s v="CO2e and Base Measure"/>
    <n v="100"/>
    <n v="100"/>
    <n v="0.03"/>
    <m/>
    <m/>
    <m/>
    <m/>
    <m/>
    <n v="3.3099999999999997E-2"/>
    <m/>
    <n v="3.3099999999999997E-2"/>
    <m/>
    <m/>
    <m/>
    <m/>
    <m/>
    <s v="AUD"/>
    <s v="13565764Waste - Construction and Demolition [t]"/>
    <n v="13565764"/>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07-01T00:00:00"/>
    <s v="FY21"/>
    <s v="t"/>
    <n v="0.03"/>
    <n v="0"/>
    <n v="0"/>
    <n v="0.03"/>
    <n v="2"/>
    <n v="0"/>
    <n v="0"/>
    <n v="2"/>
    <n v="100"/>
    <n v="0"/>
    <n v="0"/>
    <s v="Consolidation"/>
    <s v="CO2e and Base Measure"/>
    <n v="100"/>
    <n v="100"/>
    <n v="0.03"/>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08-01T00:00:00"/>
    <s v="FY21"/>
    <s v="t"/>
    <n v="0.15"/>
    <n v="0"/>
    <n v="0"/>
    <n v="0.15"/>
    <n v="3"/>
    <n v="0"/>
    <n v="0"/>
    <n v="3"/>
    <n v="100"/>
    <n v="0"/>
    <n v="0"/>
    <s v="Consolidation"/>
    <s v="CO2e and Base Measure"/>
    <n v="100"/>
    <n v="100"/>
    <n v="0.15"/>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09-01T00:00:00"/>
    <s v="FY21"/>
    <s v="t"/>
    <n v="5.5E-2"/>
    <n v="0"/>
    <n v="0"/>
    <n v="5.5E-2"/>
    <n v="2"/>
    <n v="0"/>
    <n v="0"/>
    <n v="2"/>
    <n v="100"/>
    <n v="0"/>
    <n v="0"/>
    <s v="Consolidation"/>
    <s v="CO2e and Base Measure"/>
    <n v="100"/>
    <n v="100"/>
    <n v="0.06"/>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10-01T00:00:00"/>
    <s v="FY21"/>
    <s v="t"/>
    <n v="3.5000000000000003E-2"/>
    <n v="0"/>
    <n v="0"/>
    <n v="3.5000000000000003E-2"/>
    <n v="2"/>
    <n v="0"/>
    <n v="0"/>
    <n v="2"/>
    <n v="100"/>
    <n v="0"/>
    <n v="0"/>
    <s v="Consolidation"/>
    <s v="CO2e and Base Measure"/>
    <n v="100"/>
    <n v="100"/>
    <n v="0.04"/>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11-01T00:00:00"/>
    <s v="FY21"/>
    <s v="t"/>
    <n v="0.05"/>
    <n v="0"/>
    <n v="0"/>
    <n v="0.05"/>
    <n v="2"/>
    <n v="0"/>
    <n v="0"/>
    <n v="2"/>
    <n v="100"/>
    <n v="0"/>
    <n v="0"/>
    <s v="Consolidation"/>
    <s v="CO2e and Base Measure"/>
    <n v="100"/>
    <n v="100"/>
    <n v="0.05"/>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1-01-01T00:00:00"/>
    <s v="FY21"/>
    <s v="t"/>
    <n v="0"/>
    <n v="0"/>
    <n v="1.9E-3"/>
    <n v="1.9E-3"/>
    <n v="0"/>
    <n v="0"/>
    <n v="1"/>
    <n v="1"/>
    <n v="0"/>
    <n v="0"/>
    <n v="100"/>
    <s v="Consolidation"/>
    <s v="CO2e and Base Measure"/>
    <n v="100"/>
    <n v="100"/>
    <n v="0"/>
    <m/>
    <m/>
    <m/>
    <m/>
    <m/>
    <m/>
    <n v="0"/>
    <m/>
    <m/>
    <m/>
    <m/>
    <m/>
    <m/>
    <s v="AUD"/>
    <s v="13565766Waste Recycled - Cardboard [t]"/>
    <n v="13565766"/>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07-01T00:00:00"/>
    <s v="FY21"/>
    <s v="t"/>
    <n v="0.53"/>
    <n v="0"/>
    <n v="0"/>
    <n v="0.53"/>
    <n v="2"/>
    <n v="0"/>
    <n v="0"/>
    <n v="2"/>
    <n v="100"/>
    <n v="0"/>
    <n v="0"/>
    <s v="Consolidation"/>
    <s v="CO2e and Base Measure"/>
    <n v="100"/>
    <n v="100"/>
    <n v="0.53"/>
    <m/>
    <m/>
    <m/>
    <m/>
    <m/>
    <n v="0.68899999999999995"/>
    <m/>
    <n v="0.68899999999999995"/>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08-01T00:00:00"/>
    <s v="FY21"/>
    <s v="t"/>
    <n v="0.27"/>
    <n v="0"/>
    <n v="0"/>
    <n v="0.27"/>
    <n v="2"/>
    <n v="0"/>
    <n v="0"/>
    <n v="2"/>
    <n v="100"/>
    <n v="0"/>
    <n v="0"/>
    <s v="Consolidation"/>
    <s v="CO2e and Base Measure"/>
    <n v="100"/>
    <n v="100"/>
    <n v="0.27"/>
    <m/>
    <m/>
    <m/>
    <m/>
    <m/>
    <n v="0.35099999999999998"/>
    <m/>
    <n v="0.35099999999999998"/>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09-01T00:00:00"/>
    <s v="FY21"/>
    <s v="t"/>
    <n v="0.57999999999999996"/>
    <n v="0"/>
    <n v="0"/>
    <n v="0.57999999999999996"/>
    <n v="3"/>
    <n v="0"/>
    <n v="0"/>
    <n v="3"/>
    <n v="100"/>
    <n v="0"/>
    <n v="0"/>
    <s v="Consolidation"/>
    <s v="CO2e and Base Measure"/>
    <n v="100"/>
    <n v="100"/>
    <n v="0.57999999999999996"/>
    <m/>
    <m/>
    <m/>
    <m/>
    <m/>
    <n v="0.754"/>
    <m/>
    <n v="0.754"/>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10-01T00:00:00"/>
    <s v="FY21"/>
    <s v="t"/>
    <n v="0.34499999999999997"/>
    <n v="0"/>
    <n v="0"/>
    <n v="0.34499999999999997"/>
    <n v="2"/>
    <n v="0"/>
    <n v="0"/>
    <n v="2"/>
    <n v="100"/>
    <n v="0"/>
    <n v="0"/>
    <s v="Consolidation"/>
    <s v="CO2e and Base Measure"/>
    <n v="100"/>
    <n v="100"/>
    <n v="0.35"/>
    <m/>
    <m/>
    <m/>
    <m/>
    <m/>
    <n v="0.44850000000000001"/>
    <m/>
    <n v="0.44850000000000001"/>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11-01T00:00:00"/>
    <s v="FY21"/>
    <s v="t"/>
    <n v="0.23499999999999999"/>
    <n v="0"/>
    <n v="0"/>
    <n v="0.23499999999999999"/>
    <n v="2"/>
    <n v="0"/>
    <n v="0"/>
    <n v="2"/>
    <n v="100"/>
    <n v="0"/>
    <n v="0"/>
    <s v="Consolidation"/>
    <s v="CO2e and Base Measure"/>
    <n v="100"/>
    <n v="100"/>
    <n v="0.24"/>
    <m/>
    <m/>
    <m/>
    <m/>
    <m/>
    <n v="0.30549999999999999"/>
    <m/>
    <n v="0.30549999999999999"/>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1-01-01T00:00:00"/>
    <s v="FY21"/>
    <s v="t"/>
    <n v="0"/>
    <n v="0"/>
    <n v="1.34E-2"/>
    <n v="1.34E-2"/>
    <n v="0"/>
    <n v="0"/>
    <n v="1"/>
    <n v="1"/>
    <n v="0"/>
    <n v="0"/>
    <n v="100"/>
    <s v="Consolidation"/>
    <s v="CO2e and Base Measure"/>
    <n v="100"/>
    <n v="100"/>
    <n v="0.01"/>
    <m/>
    <m/>
    <m/>
    <m/>
    <m/>
    <n v="1.7399999999999999E-2"/>
    <m/>
    <n v="1.7399999999999999E-2"/>
    <m/>
    <m/>
    <m/>
    <m/>
    <m/>
    <s v="AUD"/>
    <s v="13565767Waste - General [t] - Scope 3"/>
    <n v="13565767"/>
  </r>
  <r>
    <d v="2019-07-01T00:00:00"/>
    <d v="2021-06-30T00:00:00"/>
    <s v="Telstra"/>
    <s v="NON-NETWORK"/>
    <s v="NON-NETWORK"/>
    <s v="NSW"/>
    <s v="Australia"/>
    <s v="Mount Saint Thomas"/>
    <s v="Unanderra 222 Berkeley Rd"/>
    <n v="423031640900"/>
    <s v="Recycled Waste"/>
    <x v="0"/>
    <x v="5"/>
    <s v="Account"/>
    <s v="Remondis Metal - Mixed All"/>
    <m/>
    <s v="423031640900_RMETMIXED"/>
    <s v="METAL - MIXED ALL"/>
    <s v="Remondis"/>
    <m/>
    <m/>
    <d v="2020-12-01T00:00:00"/>
    <d v="2020-08-01T00:00:00"/>
    <s v="FY21"/>
    <s v="t"/>
    <n v="0.66"/>
    <n v="0"/>
    <n v="0"/>
    <n v="0.66"/>
    <n v="1"/>
    <n v="0"/>
    <n v="0"/>
    <n v="1"/>
    <n v="100"/>
    <n v="0"/>
    <n v="0"/>
    <s v="Consolidation"/>
    <s v="CO2e and Base Measure"/>
    <n v="100"/>
    <n v="100"/>
    <n v="0.66"/>
    <m/>
    <m/>
    <m/>
    <m/>
    <m/>
    <m/>
    <m/>
    <m/>
    <m/>
    <m/>
    <m/>
    <m/>
    <m/>
    <s v="AUD"/>
    <s v="13565768Waste Recycled - Construction and Demolition [t]"/>
    <n v="13565768"/>
  </r>
  <r>
    <d v="2019-07-01T00:00:00"/>
    <d v="2021-06-30T00:00:00"/>
    <s v="Telstra"/>
    <s v="NON-NETWORK"/>
    <s v="NON-NETWORK"/>
    <s v="NSW"/>
    <s v="Australia"/>
    <s v="Mount Saint Thomas"/>
    <s v="Unanderra 222 Berkeley Rd"/>
    <n v="423031640900"/>
    <s v="Recycled Waste"/>
    <x v="0"/>
    <x v="5"/>
    <s v="Account"/>
    <s v="Remondis Metal - Mixed All"/>
    <m/>
    <s v="423031640900_RMETMIXED"/>
    <s v="METAL - MIXED ALL"/>
    <s v="Remondis"/>
    <m/>
    <m/>
    <d v="2020-12-01T00:00:00"/>
    <d v="2020-11-01T00:00:00"/>
    <s v="FY21"/>
    <s v="t"/>
    <n v="0.42"/>
    <n v="0"/>
    <n v="0"/>
    <n v="0.42"/>
    <n v="1"/>
    <n v="0"/>
    <n v="0"/>
    <n v="1"/>
    <n v="100"/>
    <n v="0"/>
    <n v="0"/>
    <s v="Consolidation"/>
    <s v="CO2e and Base Measure"/>
    <n v="100"/>
    <n v="100"/>
    <n v="0.42"/>
    <m/>
    <m/>
    <m/>
    <m/>
    <m/>
    <m/>
    <m/>
    <m/>
    <m/>
    <m/>
    <m/>
    <m/>
    <m/>
    <s v="AUD"/>
    <s v="13565768Waste Recycled - Construction and Demolition [t]"/>
    <n v="13565768"/>
  </r>
  <r>
    <d v="2019-07-01T00:00:00"/>
    <d v="2021-06-30T00:00:00"/>
    <s v="Telstra"/>
    <s v="NON-NETWORK"/>
    <s v="NON-NETWORK"/>
    <s v="NSW"/>
    <s v="Australia"/>
    <s v="Mount Saint Thomas"/>
    <s v="Unanderra 222 Berkeley Rd"/>
    <n v="423031640900"/>
    <s v="Recycled Waste"/>
    <x v="0"/>
    <x v="5"/>
    <s v="Account"/>
    <s v="Remondis Metal - Mixed All"/>
    <m/>
    <s v="423031640900_RMETMIXED"/>
    <s v="METAL - MIXED ALL"/>
    <s v="Remondis"/>
    <m/>
    <m/>
    <d v="2020-12-01T00:00:00"/>
    <d v="2020-12-01T00:00:00"/>
    <s v="FY21"/>
    <s v="t"/>
    <n v="0"/>
    <n v="0"/>
    <n v="8.8999999999999999E-3"/>
    <n v="8.8999999999999999E-3"/>
    <n v="0"/>
    <n v="0"/>
    <n v="1"/>
    <n v="1"/>
    <n v="0"/>
    <n v="0"/>
    <n v="100"/>
    <s v="Consolidation"/>
    <s v="CO2e and Base Measure"/>
    <n v="100"/>
    <n v="100"/>
    <n v="0.01"/>
    <m/>
    <m/>
    <m/>
    <m/>
    <m/>
    <m/>
    <m/>
    <m/>
    <m/>
    <m/>
    <m/>
    <m/>
    <m/>
    <s v="AUD"/>
    <s v="13565768Waste Recycled - Construction and Demolition [t]"/>
    <n v="13565768"/>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08-01T00:00:00"/>
    <s v="FY21"/>
    <s v="t"/>
    <n v="2.7E-2"/>
    <n v="0"/>
    <n v="0"/>
    <n v="2.7E-2"/>
    <n v="1"/>
    <n v="0"/>
    <n v="0"/>
    <n v="1"/>
    <n v="100"/>
    <n v="0"/>
    <n v="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09-01T00:00:00"/>
    <s v="FY21"/>
    <s v="t"/>
    <n v="0"/>
    <n v="0"/>
    <n v="2.7E-2"/>
    <n v="2.7E-2"/>
    <n v="0"/>
    <n v="0"/>
    <n v="30"/>
    <n v="30"/>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11-01T00:00:00"/>
    <s v="FY21"/>
    <s v="t"/>
    <n v="0"/>
    <n v="0"/>
    <n v="2.7E-2"/>
    <n v="2.7E-2"/>
    <n v="0"/>
    <n v="0"/>
    <n v="30"/>
    <n v="30"/>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2-01T00:00:00"/>
    <s v="FY21"/>
    <s v="t"/>
    <n v="0"/>
    <n v="0"/>
    <n v="2.52E-2"/>
    <n v="2.52E-2"/>
    <n v="0"/>
    <n v="0"/>
    <n v="28"/>
    <n v="28"/>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4-01T00:00:00"/>
    <s v="FY21"/>
    <s v="t"/>
    <n v="0"/>
    <n v="0"/>
    <n v="2.7E-2"/>
    <n v="2.7E-2"/>
    <n v="0"/>
    <n v="0"/>
    <n v="30"/>
    <n v="30"/>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0-12-01T00:00:00"/>
    <s v="FY21"/>
    <s v="t"/>
    <n v="0.10199999999999999"/>
    <n v="0"/>
    <n v="0"/>
    <n v="0.10199999999999999"/>
    <n v="1"/>
    <n v="0"/>
    <n v="0"/>
    <n v="1"/>
    <n v="100"/>
    <n v="0"/>
    <n v="0"/>
    <s v="Consolidation"/>
    <s v="CO2e and Base Measure"/>
    <n v="100"/>
    <n v="100"/>
    <n v="0.1"/>
    <m/>
    <m/>
    <m/>
    <m/>
    <m/>
    <n v="0.1326"/>
    <m/>
    <n v="0.1326"/>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1-01T00:00:00"/>
    <s v="FY21"/>
    <s v="t"/>
    <n v="0.30599999999999999"/>
    <n v="0"/>
    <n v="0"/>
    <n v="0.30599999999999999"/>
    <n v="2"/>
    <n v="0"/>
    <n v="0"/>
    <n v="2"/>
    <n v="100"/>
    <n v="0"/>
    <n v="0"/>
    <s v="Consolidation"/>
    <s v="CO2e and Base Measure"/>
    <n v="100"/>
    <n v="100"/>
    <n v="0.31"/>
    <m/>
    <m/>
    <m/>
    <m/>
    <m/>
    <n v="0.39779999999999999"/>
    <m/>
    <n v="0.39779999999999999"/>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2-01T00:00:00"/>
    <s v="FY21"/>
    <s v="t"/>
    <n v="0.13300000000000001"/>
    <n v="0"/>
    <n v="0"/>
    <n v="0.13300000000000001"/>
    <n v="2"/>
    <n v="0"/>
    <n v="0"/>
    <n v="2"/>
    <n v="100"/>
    <n v="0"/>
    <n v="0"/>
    <s v="Consolidation"/>
    <s v="CO2e and Base Measure"/>
    <n v="100"/>
    <n v="100"/>
    <n v="0.13"/>
    <m/>
    <m/>
    <m/>
    <m/>
    <m/>
    <n v="0.1729"/>
    <m/>
    <n v="0.1729"/>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3-01T00:00:00"/>
    <s v="FY21"/>
    <s v="t"/>
    <n v="0.32600000000000001"/>
    <n v="0"/>
    <n v="0"/>
    <n v="0.32600000000000001"/>
    <n v="3"/>
    <n v="0"/>
    <n v="0"/>
    <n v="3"/>
    <n v="100"/>
    <n v="0"/>
    <n v="0"/>
    <s v="Consolidation"/>
    <s v="CO2e and Base Measure"/>
    <n v="100"/>
    <n v="100"/>
    <n v="0.33"/>
    <m/>
    <m/>
    <m/>
    <m/>
    <m/>
    <n v="0.42380000000000001"/>
    <m/>
    <n v="0.42380000000000001"/>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4-01T00:00:00"/>
    <s v="FY21"/>
    <s v="t"/>
    <n v="0"/>
    <n v="0"/>
    <n v="0.216"/>
    <n v="0.216"/>
    <n v="0"/>
    <n v="0"/>
    <n v="30"/>
    <n v="30"/>
    <n v="0"/>
    <n v="0"/>
    <n v="100"/>
    <s v="Consolidation"/>
    <s v="CO2e and Base Measure"/>
    <n v="100"/>
    <n v="100"/>
    <n v="0.22"/>
    <m/>
    <m/>
    <m/>
    <m/>
    <m/>
    <n v="0.28079999999999999"/>
    <m/>
    <n v="0.28079999999999999"/>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5-01T00:00:00"/>
    <s v="FY21"/>
    <s v="t"/>
    <n v="0"/>
    <n v="0"/>
    <n v="0.22320000000000001"/>
    <n v="0.22320000000000001"/>
    <n v="0"/>
    <n v="0"/>
    <n v="31"/>
    <n v="31"/>
    <n v="0"/>
    <n v="0"/>
    <n v="100"/>
    <s v="Consolidation"/>
    <s v="CO2e and Base Measure"/>
    <n v="100"/>
    <n v="100"/>
    <n v="0.22"/>
    <m/>
    <m/>
    <m/>
    <m/>
    <m/>
    <n v="0.29020000000000001"/>
    <m/>
    <n v="0.29020000000000001"/>
    <m/>
    <m/>
    <m/>
    <m/>
    <m/>
    <s v="AUD"/>
    <s v="13634390Waste - General [t] - Scope 3"/>
    <n v="13634390"/>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0-12-01T00:00:00"/>
    <s v="FY21"/>
    <s v="t"/>
    <n v="0"/>
    <n v="3.7499999999999999E-2"/>
    <n v="0"/>
    <n v="3.7499999999999999E-2"/>
    <n v="0"/>
    <n v="1"/>
    <n v="0"/>
    <n v="1"/>
    <n v="0"/>
    <n v="100"/>
    <n v="0"/>
    <s v="Consolidation"/>
    <s v="CO2e and Base Measure"/>
    <n v="100"/>
    <n v="100"/>
    <n v="0.04"/>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1-01T00:00:00"/>
    <s v="FY21"/>
    <s v="t"/>
    <n v="0"/>
    <n v="7.4999999999999997E-2"/>
    <n v="0"/>
    <n v="7.4999999999999997E-2"/>
    <n v="0"/>
    <n v="2"/>
    <n v="0"/>
    <n v="2"/>
    <n v="0"/>
    <n v="100"/>
    <n v="0"/>
    <s v="Consolidation"/>
    <s v="CO2e and Base Measure"/>
    <n v="100"/>
    <n v="100"/>
    <n v="0.08"/>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2-01T00:00:00"/>
    <s v="FY21"/>
    <s v="t"/>
    <n v="0"/>
    <n v="7.4999999999999997E-2"/>
    <n v="0"/>
    <n v="7.4999999999999997E-2"/>
    <n v="0"/>
    <n v="2"/>
    <n v="0"/>
    <n v="2"/>
    <n v="0"/>
    <n v="100"/>
    <n v="0"/>
    <s v="Consolidation"/>
    <s v="CO2e and Base Measure"/>
    <n v="100"/>
    <n v="100"/>
    <n v="0.08"/>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3-01T00:00:00"/>
    <s v="FY21"/>
    <s v="t"/>
    <n v="0.05"/>
    <n v="3.7499999999999999E-2"/>
    <n v="0"/>
    <n v="8.7499999999999994E-2"/>
    <n v="2"/>
    <n v="1"/>
    <n v="0"/>
    <n v="3"/>
    <n v="57.14"/>
    <n v="42.85"/>
    <n v="0"/>
    <s v="Consolidation"/>
    <s v="CO2e and Base Measure"/>
    <n v="100"/>
    <n v="100"/>
    <n v="0.09"/>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4-01T00:00:00"/>
    <s v="FY21"/>
    <s v="t"/>
    <n v="0"/>
    <n v="0"/>
    <n v="6.9000000000000006E-2"/>
    <n v="6.9000000000000006E-2"/>
    <n v="0"/>
    <n v="0"/>
    <n v="30"/>
    <n v="30"/>
    <n v="0"/>
    <n v="0"/>
    <n v="100"/>
    <s v="Consolidation"/>
    <s v="CO2e and Base Measure"/>
    <n v="100"/>
    <n v="100"/>
    <n v="7.0000000000000007E-2"/>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5-01T00:00:00"/>
    <s v="FY21"/>
    <s v="t"/>
    <n v="0"/>
    <n v="0"/>
    <n v="7.1300000000000002E-2"/>
    <n v="7.1300000000000002E-2"/>
    <n v="0"/>
    <n v="0"/>
    <n v="31"/>
    <n v="31"/>
    <n v="0"/>
    <n v="0"/>
    <n v="100"/>
    <s v="Consolidation"/>
    <s v="CO2e and Base Measure"/>
    <n v="100"/>
    <n v="100"/>
    <n v="7.0000000000000007E-2"/>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5"/>
    <s v="Account"/>
    <s v="CLEANAWAY Metal - Diversion"/>
    <m/>
    <s v="31640900_Diversion_Metal"/>
    <s v="Metal"/>
    <s v="Cleanaway"/>
    <m/>
    <d v="2021-02-10T00:00:00"/>
    <m/>
    <d v="2021-02-01T00:00:00"/>
    <s v="FY21"/>
    <s v="t"/>
    <n v="0.88"/>
    <n v="0"/>
    <n v="0"/>
    <n v="0.88"/>
    <n v="1"/>
    <n v="0"/>
    <n v="0"/>
    <n v="1"/>
    <n v="100"/>
    <n v="0"/>
    <n v="0"/>
    <s v="Consolidation"/>
    <s v="CO2e and Base Measure"/>
    <n v="100"/>
    <n v="100"/>
    <n v="0.88"/>
    <m/>
    <m/>
    <m/>
    <m/>
    <m/>
    <m/>
    <m/>
    <m/>
    <m/>
    <m/>
    <m/>
    <m/>
    <m/>
    <s v="AUD"/>
    <s v="13639958Waste Recycled - Construction and Demolition [t]"/>
    <n v="13639958"/>
  </r>
  <r>
    <d v="2019-07-01T00:00:00"/>
    <d v="2021-06-30T00:00:00"/>
    <s v="Telstra"/>
    <s v="NON-NETWORK"/>
    <s v="NON-NETWORK"/>
    <s v="NSW"/>
    <s v="Australia"/>
    <s v="Mount Saint Thomas"/>
    <s v="Unanderra 222 Berkeley Rd"/>
    <n v="423031640900"/>
    <s v="Recycled Waste"/>
    <x v="0"/>
    <x v="5"/>
    <s v="Account"/>
    <s v="CLEANAWAY Metal - Diversion"/>
    <m/>
    <s v="31640900_Diversion_Metal"/>
    <s v="Metal"/>
    <s v="Cleanaway"/>
    <m/>
    <d v="2021-02-10T00:00:00"/>
    <m/>
    <d v="2021-03-01T00:00:00"/>
    <s v="FY21"/>
    <s v="t"/>
    <n v="0"/>
    <n v="0"/>
    <n v="1.0105999999999999"/>
    <n v="1.0105999999999999"/>
    <n v="0"/>
    <n v="0"/>
    <n v="31"/>
    <n v="31"/>
    <n v="0"/>
    <n v="0"/>
    <n v="100"/>
    <s v="Consolidation"/>
    <s v="CO2e and Base Measure"/>
    <n v="100"/>
    <n v="100"/>
    <n v="1.01"/>
    <m/>
    <m/>
    <m/>
    <m/>
    <m/>
    <m/>
    <m/>
    <m/>
    <m/>
    <m/>
    <m/>
    <m/>
    <m/>
    <s v="AUD"/>
    <s v="13639958Waste Recycled - Construction and Demolition [t]"/>
    <n v="13639958"/>
  </r>
  <r>
    <d v="2019-07-01T00:00:00"/>
    <d v="2021-06-30T00:00:00"/>
    <s v="Telstra"/>
    <s v="NON-NETWORK"/>
    <s v="NON-NETWORK"/>
    <s v="NSW"/>
    <s v="Australia"/>
    <s v="Mount Saint Thomas"/>
    <s v="Unanderra 222 Berkeley Rd"/>
    <n v="423031640900"/>
    <s v="Recycled Waste"/>
    <x v="0"/>
    <x v="5"/>
    <s v="Account"/>
    <s v="CLEANAWAY Metal - Diversion"/>
    <m/>
    <s v="31640900_Diversion_Metal"/>
    <s v="Metal"/>
    <s v="Cleanaway"/>
    <m/>
    <d v="2021-02-10T00:00:00"/>
    <m/>
    <d v="2021-04-01T00:00:00"/>
    <s v="FY21"/>
    <s v="t"/>
    <n v="0"/>
    <n v="0"/>
    <n v="0.97799999999999998"/>
    <n v="0.97799999999999998"/>
    <n v="0"/>
    <n v="0"/>
    <n v="30"/>
    <n v="30"/>
    <n v="0"/>
    <n v="0"/>
    <n v="100"/>
    <s v="Consolidation"/>
    <s v="CO2e and Base Measure"/>
    <n v="100"/>
    <n v="100"/>
    <n v="0.98"/>
    <m/>
    <m/>
    <m/>
    <m/>
    <m/>
    <m/>
    <m/>
    <m/>
    <m/>
    <m/>
    <m/>
    <m/>
    <m/>
    <s v="AUD"/>
    <s v="13639958Waste Recycled - Construction and Demolition [t]"/>
    <n v="13639958"/>
  </r>
  <r>
    <d v="2019-07-01T00:00:00"/>
    <d v="2021-06-30T00:00:00"/>
    <s v="Telstra"/>
    <s v="NON-NETWORK"/>
    <s v="NON-NETWORK"/>
    <s v="NSW"/>
    <s v="Australia"/>
    <s v="Mount Saint Thomas"/>
    <s v="Unanderra 222 Berkeley Rd"/>
    <n v="423031640900"/>
    <s v="Recycled Waste"/>
    <x v="0"/>
    <x v="5"/>
    <s v="Account"/>
    <s v="CLEANAWAY Metal - Diversion"/>
    <m/>
    <s v="31640900_Diversion_Metal"/>
    <s v="Metal"/>
    <s v="Cleanaway"/>
    <m/>
    <d v="2021-02-10T00:00:00"/>
    <m/>
    <d v="2021-05-01T00:00:00"/>
    <s v="FY21"/>
    <s v="t"/>
    <n v="0"/>
    <n v="0"/>
    <n v="1.0105999999999999"/>
    <n v="1.0105999999999999"/>
    <n v="0"/>
    <n v="0"/>
    <n v="31"/>
    <n v="31"/>
    <n v="0"/>
    <n v="0"/>
    <n v="100"/>
    <s v="Consolidation"/>
    <s v="CO2e and Base Measure"/>
    <n v="100"/>
    <n v="100"/>
    <n v="1.01"/>
    <m/>
    <m/>
    <m/>
    <m/>
    <m/>
    <m/>
    <m/>
    <m/>
    <m/>
    <m/>
    <m/>
    <m/>
    <m/>
    <s v="AUD"/>
    <s v="13639958Waste Recycled - Construction and Demolition [t]"/>
    <n v="13639958"/>
  </r>
  <r>
    <d v="2019-07-01T00:00:00"/>
    <d v="2021-06-30T00:00:00"/>
    <s v="Telstra"/>
    <s v="NON-NETWORK"/>
    <s v="NON-NETWORK"/>
    <s v="NSW"/>
    <s v="Australia"/>
    <s v="Mount Saint Thomas"/>
    <s v="Unanderra 222 Berkeley Rd"/>
    <n v="423031640900"/>
    <s v="Recycled Waste"/>
    <x v="0"/>
    <x v="5"/>
    <s v="Account"/>
    <s v="CLEANAWAY Construction - Diversion"/>
    <m/>
    <s v="31640900_Diversion_Construction"/>
    <s v="Construction"/>
    <s v="Cleanaway"/>
    <m/>
    <m/>
    <m/>
    <d v="2021-03-01T00:00:00"/>
    <s v="FY21"/>
    <s v="t"/>
    <n v="1.06"/>
    <n v="0"/>
    <n v="0"/>
    <n v="1.06"/>
    <n v="1"/>
    <n v="0"/>
    <n v="0"/>
    <n v="1"/>
    <n v="100"/>
    <n v="0"/>
    <n v="0"/>
    <s v="Consolidation"/>
    <s v="CO2e and Base Measure"/>
    <n v="100"/>
    <n v="100"/>
    <n v="1.06"/>
    <m/>
    <m/>
    <m/>
    <m/>
    <m/>
    <m/>
    <m/>
    <m/>
    <m/>
    <m/>
    <m/>
    <m/>
    <m/>
    <s v="AUD"/>
    <s v="13641244Waste Recycled - Construction and Demolition [t]"/>
    <n v="13641244"/>
  </r>
  <r>
    <d v="2019-07-01T00:00:00"/>
    <d v="2021-06-30T00:00:00"/>
    <s v="Telstra"/>
    <s v="NON-NETWORK"/>
    <s v="NON-NETWORK"/>
    <s v="NSW"/>
    <s v="Australia"/>
    <s v="Mount Saint Thomas"/>
    <s v="Unanderra 222 Berkeley Rd"/>
    <n v="423031640900"/>
    <s v="Recycled Waste"/>
    <x v="0"/>
    <x v="5"/>
    <s v="Account"/>
    <s v="CLEANAWAY Construction - Diversion"/>
    <m/>
    <s v="31640900_Diversion_Construction"/>
    <s v="Construction"/>
    <s v="Cleanaway"/>
    <m/>
    <m/>
    <m/>
    <d v="2021-04-01T00:00:00"/>
    <s v="FY21"/>
    <s v="t"/>
    <n v="0"/>
    <n v="0"/>
    <n v="1.026"/>
    <n v="1.026"/>
    <n v="0"/>
    <n v="0"/>
    <n v="30"/>
    <n v="30"/>
    <n v="0"/>
    <n v="0"/>
    <n v="100"/>
    <s v="Consolidation"/>
    <s v="CO2e and Base Measure"/>
    <n v="100"/>
    <n v="100"/>
    <n v="1.03"/>
    <m/>
    <m/>
    <m/>
    <m/>
    <m/>
    <m/>
    <m/>
    <m/>
    <m/>
    <m/>
    <m/>
    <m/>
    <m/>
    <s v="AUD"/>
    <s v="13641244Waste Recycled - Construction and Demolition [t]"/>
    <n v="13641244"/>
  </r>
  <r>
    <d v="2019-07-01T00:00:00"/>
    <d v="2021-06-30T00:00:00"/>
    <s v="Telstra"/>
    <s v="NON-NETWORK"/>
    <s v="NON-NETWORK"/>
    <s v="NSW"/>
    <s v="Australia"/>
    <s v="Mount Saint Thomas"/>
    <s v="Unanderra 222 Berkeley Rd"/>
    <n v="423031640900"/>
    <s v="Recycled Waste"/>
    <x v="0"/>
    <x v="5"/>
    <s v="Account"/>
    <s v="CLEANAWAY Construction - Diversion"/>
    <m/>
    <s v="31640900_Diversion_Construction"/>
    <s v="Construction"/>
    <s v="Cleanaway"/>
    <m/>
    <m/>
    <m/>
    <d v="2021-05-01T00:00:00"/>
    <s v="FY21"/>
    <s v="t"/>
    <n v="0"/>
    <n v="0"/>
    <n v="1.0602"/>
    <n v="1.0602"/>
    <n v="0"/>
    <n v="0"/>
    <n v="31"/>
    <n v="31"/>
    <n v="0"/>
    <n v="0"/>
    <n v="100"/>
    <s v="Consolidation"/>
    <s v="CO2e and Base Measure"/>
    <n v="100"/>
    <n v="100"/>
    <n v="1.06"/>
    <m/>
    <m/>
    <m/>
    <m/>
    <m/>
    <m/>
    <m/>
    <m/>
    <m/>
    <m/>
    <m/>
    <m/>
    <m/>
    <s v="AUD"/>
    <s v="13641244Waste Recycled - Construction and Demolition [t]"/>
    <n v="13641244"/>
  </r>
  <r>
    <d v="2019-07-01T00:00:00"/>
    <d v="2021-06-30T00:00:00"/>
    <s v="Telstra"/>
    <s v="NETWORK"/>
    <s v="Network - InfraCo"/>
    <s v="NSW"/>
    <s v="Australia"/>
    <s v="Mount Saint Thomas"/>
    <s v="UNANDERRA EXCHANGE"/>
    <n v="423030304000"/>
    <s v="Waste"/>
    <x v="1"/>
    <x v="2"/>
    <s v="Account"/>
    <s v="Remondis General Waste"/>
    <m/>
    <s v="423030304000_WGENERALW"/>
    <s v="GENERAL WASTE"/>
    <s v="Remondis"/>
    <m/>
    <d v="2020-06-09T00:00:00"/>
    <d v="2020-07-01T00:00:00"/>
    <d v="2020-07-01T00:00:00"/>
    <s v="FY21"/>
    <s v="t"/>
    <n v="0"/>
    <n v="0"/>
    <n v="1.9300000000000001E-2"/>
    <n v="1.9300000000000001E-2"/>
    <n v="0"/>
    <n v="0"/>
    <n v="1"/>
    <n v="1"/>
    <n v="0"/>
    <n v="0"/>
    <n v="100"/>
    <s v="Consolidation"/>
    <s v="CO2e and Base Measure"/>
    <n v="100"/>
    <n v="100"/>
    <n v="0.02"/>
    <m/>
    <m/>
    <m/>
    <m/>
    <m/>
    <n v="2.5100000000000001E-2"/>
    <m/>
    <n v="2.5100000000000001E-2"/>
    <m/>
    <m/>
    <m/>
    <m/>
    <m/>
    <s v="AUD"/>
    <s v="13612590Waste - General [t] - Scope 3"/>
    <n v="13612590"/>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6024Waste - General [t] - Scope 3"/>
    <n v="13566024"/>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07-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08-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09-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10-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11-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12-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1-01-01T00:00:00"/>
    <s v="FY21"/>
    <s v="t"/>
    <n v="0"/>
    <n v="0"/>
    <n v="1.4800000000000001E-2"/>
    <n v="1.4800000000000001E-2"/>
    <n v="0"/>
    <n v="0"/>
    <n v="1"/>
    <n v="1"/>
    <n v="0"/>
    <n v="0"/>
    <n v="100"/>
    <s v="Consolidation"/>
    <s v="CO2e and Base Measure"/>
    <n v="100"/>
    <n v="100"/>
    <n v="0.01"/>
    <m/>
    <m/>
    <m/>
    <m/>
    <m/>
    <m/>
    <n v="0"/>
    <m/>
    <m/>
    <m/>
    <m/>
    <m/>
    <m/>
    <s v="AUD"/>
    <s v="13565031Waste Recycled - Commingled [t]"/>
    <n v="13565031"/>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1-01-01T00:00:00"/>
    <s v="FY21"/>
    <s v="t"/>
    <n v="0"/>
    <n v="0"/>
    <n v="3.2000000000000002E-3"/>
    <n v="3.2000000000000002E-3"/>
    <n v="0"/>
    <n v="0"/>
    <n v="1"/>
    <n v="1"/>
    <n v="0"/>
    <n v="0"/>
    <n v="100"/>
    <s v="Consolidation"/>
    <s v="CO2e and Base Measure"/>
    <n v="100"/>
    <n v="100"/>
    <n v="0"/>
    <m/>
    <m/>
    <m/>
    <m/>
    <m/>
    <n v="4.1999999999999997E-3"/>
    <m/>
    <n v="4.1999999999999997E-3"/>
    <m/>
    <m/>
    <m/>
    <m/>
    <m/>
    <s v="AUD"/>
    <s v="13565032Waste - General [t] - Scope 3"/>
    <n v="13565032"/>
  </r>
  <r>
    <d v="2019-07-01T00:00:00"/>
    <d v="2021-06-30T00:00:00"/>
    <s v="Telstra"/>
    <s v="NETWORK"/>
    <s v="Network - InfraCo"/>
    <s v="SA"/>
    <s v="Australia"/>
    <s v="Unley"/>
    <s v="UNLEY EXCHANGE"/>
    <n v="423030640300"/>
    <s v="Waste"/>
    <x v="1"/>
    <x v="2"/>
    <s v="Account"/>
    <s v="CLEANAWAY General"/>
    <m/>
    <s v="12448_Landfill_General"/>
    <s v="General"/>
    <s v="Cleanaway"/>
    <m/>
    <d v="2020-12-09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9Waste - General [t] - Scope 3"/>
    <n v="13634289"/>
  </r>
  <r>
    <d v="2019-07-01T00:00:00"/>
    <d v="2021-06-30T00:00:00"/>
    <s v="Telstra"/>
    <s v="NETWORK"/>
    <s v="Network - InfraCo"/>
    <s v="SA"/>
    <s v="Australia"/>
    <s v="Unley"/>
    <s v="UNLEY EXCHANGE"/>
    <n v="423030640300"/>
    <s v="Waste"/>
    <x v="1"/>
    <x v="2"/>
    <s v="Account"/>
    <s v="CLEANAWAY General"/>
    <m/>
    <s v="12448_Landfill_General"/>
    <s v="General"/>
    <s v="Cleanaway"/>
    <m/>
    <d v="2020-12-09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289Waste - General [t] - Scope 3"/>
    <n v="13634289"/>
  </r>
  <r>
    <d v="2019-07-01T00:00:00"/>
    <d v="2021-06-30T00:00:00"/>
    <s v="Telstra"/>
    <s v="NETWORK"/>
    <s v="Network - InfraCo"/>
    <s v="SA"/>
    <s v="Australia"/>
    <s v="Unley"/>
    <s v="UNLEY EXCHANGE"/>
    <n v="423030640300"/>
    <s v="Waste"/>
    <x v="1"/>
    <x v="2"/>
    <s v="Account"/>
    <s v="CLEANAWAY General"/>
    <m/>
    <s v="12448_Landfill_General"/>
    <s v="General"/>
    <s v="Cleanaway"/>
    <m/>
    <d v="2020-12-09T00:00:00"/>
    <m/>
    <d v="2021-04-01T00:00:00"/>
    <s v="FY21"/>
    <s v="t"/>
    <n v="0"/>
    <n v="0"/>
    <n v="0.03"/>
    <n v="0.03"/>
    <n v="0"/>
    <n v="0"/>
    <n v="30"/>
    <n v="30"/>
    <n v="0"/>
    <n v="0"/>
    <n v="100"/>
    <s v="Consolidation"/>
    <s v="CO2e and Base Measure"/>
    <n v="100"/>
    <n v="100"/>
    <n v="0.03"/>
    <m/>
    <m/>
    <m/>
    <m/>
    <m/>
    <n v="3.9E-2"/>
    <m/>
    <n v="3.9E-2"/>
    <m/>
    <m/>
    <m/>
    <m/>
    <m/>
    <s v="AUD"/>
    <s v="13634289Waste - General [t] - Scope 3"/>
    <n v="13634289"/>
  </r>
  <r>
    <d v="2019-07-01T00:00:00"/>
    <d v="2021-06-30T00:00:00"/>
    <s v="Telstra"/>
    <s v="NETWORK"/>
    <s v="Network - InfraCo"/>
    <s v="SA"/>
    <s v="Australia"/>
    <s v="Unley"/>
    <s v="UNLEY EXCHANGE"/>
    <n v="423030640300"/>
    <s v="Waste"/>
    <x v="1"/>
    <x v="2"/>
    <s v="Account"/>
    <s v="CLEANAWAY General"/>
    <m/>
    <s v="12448_Landfill_General"/>
    <s v="General"/>
    <s v="Cleanaway"/>
    <m/>
    <d v="2020-12-09T00:00:00"/>
    <m/>
    <d v="2021-05-01T00:00:00"/>
    <s v="FY21"/>
    <s v="t"/>
    <n v="0"/>
    <n v="0"/>
    <n v="3.1E-2"/>
    <n v="3.1E-2"/>
    <n v="0"/>
    <n v="0"/>
    <n v="31"/>
    <n v="31"/>
    <n v="0"/>
    <n v="0"/>
    <n v="100"/>
    <s v="Consolidation"/>
    <s v="CO2e and Base Measure"/>
    <n v="100"/>
    <n v="100"/>
    <n v="0.03"/>
    <m/>
    <m/>
    <m/>
    <m/>
    <m/>
    <n v="4.0300000000000002E-2"/>
    <m/>
    <n v="4.0300000000000002E-2"/>
    <m/>
    <m/>
    <m/>
    <m/>
    <m/>
    <s v="AUD"/>
    <s v="13634289Waste - General [t] - Scope 3"/>
    <n v="13634289"/>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1-01T00:00:00"/>
    <s v="FY21"/>
    <s v="t"/>
    <n v="0.15"/>
    <n v="0"/>
    <n v="0"/>
    <n v="0.15"/>
    <n v="2"/>
    <n v="0"/>
    <n v="0"/>
    <n v="2"/>
    <n v="100"/>
    <n v="0"/>
    <n v="0"/>
    <s v="Consolidation"/>
    <s v="CO2e and Base Measure"/>
    <n v="100"/>
    <n v="100"/>
    <n v="0.15"/>
    <m/>
    <m/>
    <m/>
    <m/>
    <m/>
    <m/>
    <n v="0"/>
    <m/>
    <m/>
    <m/>
    <m/>
    <m/>
    <m/>
    <s v="AUD"/>
    <s v="13634480Waste Recycled - Commingled [t]"/>
    <n v="13634480"/>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2-01T00:00:00"/>
    <s v="FY21"/>
    <s v="t"/>
    <n v="0.22"/>
    <n v="0"/>
    <n v="0"/>
    <n v="0.22"/>
    <n v="2"/>
    <n v="0"/>
    <n v="0"/>
    <n v="2"/>
    <n v="100"/>
    <n v="0"/>
    <n v="0"/>
    <s v="Consolidation"/>
    <s v="CO2e and Base Measure"/>
    <n v="100"/>
    <n v="100"/>
    <n v="0.22"/>
    <m/>
    <m/>
    <m/>
    <m/>
    <m/>
    <m/>
    <n v="0"/>
    <m/>
    <m/>
    <m/>
    <m/>
    <m/>
    <m/>
    <s v="AUD"/>
    <s v="13634480Waste Recycled - Commingled [t]"/>
    <n v="13634480"/>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3-01T00:00:00"/>
    <s v="FY21"/>
    <s v="t"/>
    <n v="0.129"/>
    <n v="0.126"/>
    <n v="0"/>
    <n v="0.255"/>
    <n v="1"/>
    <n v="2"/>
    <n v="0"/>
    <n v="3"/>
    <n v="50.58"/>
    <n v="49.41"/>
    <n v="0"/>
    <s v="Consolidation"/>
    <s v="CO2e and Base Measure"/>
    <n v="100"/>
    <n v="100"/>
    <n v="0.26"/>
    <m/>
    <m/>
    <m/>
    <m/>
    <m/>
    <m/>
    <n v="0"/>
    <m/>
    <m/>
    <m/>
    <m/>
    <m/>
    <m/>
    <s v="AUD"/>
    <s v="13634480Waste Recycled - Commingled [t]"/>
    <n v="13634480"/>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4-01T00:00:00"/>
    <s v="FY21"/>
    <s v="t"/>
    <n v="0"/>
    <n v="0"/>
    <n v="0.21"/>
    <n v="0.21"/>
    <n v="0"/>
    <n v="0"/>
    <n v="30"/>
    <n v="30"/>
    <n v="0"/>
    <n v="0"/>
    <n v="100"/>
    <s v="Consolidation"/>
    <s v="CO2e and Base Measure"/>
    <n v="100"/>
    <n v="100"/>
    <n v="0.21"/>
    <m/>
    <m/>
    <m/>
    <m/>
    <m/>
    <m/>
    <n v="0"/>
    <m/>
    <m/>
    <m/>
    <m/>
    <m/>
    <m/>
    <s v="AUD"/>
    <s v="13634480Waste Recycled - Commingled [t]"/>
    <n v="13634480"/>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5-01T00:00:00"/>
    <s v="FY21"/>
    <s v="t"/>
    <n v="0"/>
    <n v="0"/>
    <n v="0.217"/>
    <n v="0.217"/>
    <n v="0"/>
    <n v="0"/>
    <n v="31"/>
    <n v="31"/>
    <n v="0"/>
    <n v="0"/>
    <n v="100"/>
    <s v="Consolidation"/>
    <s v="CO2e and Base Measure"/>
    <n v="100"/>
    <n v="100"/>
    <n v="0.22"/>
    <m/>
    <m/>
    <m/>
    <m/>
    <m/>
    <m/>
    <n v="0"/>
    <m/>
    <m/>
    <m/>
    <m/>
    <m/>
    <m/>
    <s v="AUD"/>
    <s v="13634480Waste Recycled - Commingled [t]"/>
    <n v="13634480"/>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0-12-01T00:00:00"/>
    <s v="FY21"/>
    <s v="t"/>
    <n v="1.1599999999999999"/>
    <n v="0"/>
    <n v="0"/>
    <n v="1.1599999999999999"/>
    <n v="1"/>
    <n v="0"/>
    <n v="0"/>
    <n v="1"/>
    <n v="100"/>
    <n v="0"/>
    <n v="0"/>
    <s v="Consolidation"/>
    <s v="CO2e and Base Measure"/>
    <n v="100"/>
    <n v="100"/>
    <n v="1.1599999999999999"/>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1-01T00:00:00"/>
    <s v="FY21"/>
    <s v="t"/>
    <n v="0"/>
    <n v="0"/>
    <n v="1.1997"/>
    <n v="1.1997"/>
    <n v="0"/>
    <n v="0"/>
    <n v="31"/>
    <n v="31"/>
    <n v="0"/>
    <n v="0"/>
    <n v="100"/>
    <s v="Consolidation"/>
    <s v="CO2e and Base Measure"/>
    <n v="100"/>
    <n v="100"/>
    <n v="1.2"/>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2-01T00:00:00"/>
    <s v="FY21"/>
    <s v="t"/>
    <n v="0"/>
    <n v="0"/>
    <n v="1.0835999999999999"/>
    <n v="1.0835999999999999"/>
    <n v="0"/>
    <n v="0"/>
    <n v="28"/>
    <n v="28"/>
    <n v="0"/>
    <n v="0"/>
    <n v="100"/>
    <s v="Consolidation"/>
    <s v="CO2e and Base Measure"/>
    <n v="100"/>
    <n v="100"/>
    <n v="1.08"/>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3-01T00:00:00"/>
    <s v="FY21"/>
    <s v="t"/>
    <n v="0"/>
    <n v="0"/>
    <n v="1.1997"/>
    <n v="1.1997"/>
    <n v="0"/>
    <n v="0"/>
    <n v="31"/>
    <n v="31"/>
    <n v="0"/>
    <n v="0"/>
    <n v="100"/>
    <s v="Consolidation"/>
    <s v="CO2e and Base Measure"/>
    <n v="100"/>
    <n v="100"/>
    <n v="1.2"/>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4-01T00:00:00"/>
    <s v="FY21"/>
    <s v="t"/>
    <n v="0"/>
    <n v="0"/>
    <n v="1.161"/>
    <n v="1.161"/>
    <n v="0"/>
    <n v="0"/>
    <n v="30"/>
    <n v="30"/>
    <n v="0"/>
    <n v="0"/>
    <n v="100"/>
    <s v="Consolidation"/>
    <s v="CO2e and Base Measure"/>
    <n v="100"/>
    <n v="100"/>
    <n v="1.1599999999999999"/>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5-01T00:00:00"/>
    <s v="FY21"/>
    <s v="t"/>
    <n v="0"/>
    <n v="0"/>
    <n v="1.1997"/>
    <n v="1.1997"/>
    <n v="0"/>
    <n v="0"/>
    <n v="31"/>
    <n v="31"/>
    <n v="0"/>
    <n v="0"/>
    <n v="100"/>
    <s v="Consolidation"/>
    <s v="CO2e and Base Measure"/>
    <n v="100"/>
    <n v="100"/>
    <n v="1.2"/>
    <m/>
    <m/>
    <m/>
    <m/>
    <m/>
    <m/>
    <m/>
    <m/>
    <m/>
    <m/>
    <m/>
    <m/>
    <m/>
    <s v="AUD"/>
    <s v="13634328Waste Recycled - E-waste [t]"/>
    <n v="13634328"/>
  </r>
  <r>
    <d v="2019-07-01T00:00:00"/>
    <d v="2021-06-30T00:00:00"/>
    <s v="Telstra"/>
    <s v="NETWORK"/>
    <s v="Network - InfraCo"/>
    <s v="SA"/>
    <s v="Australia"/>
    <s v="Victor Harbor"/>
    <s v="VICTOR HARBOR EXCHANGE"/>
    <n v="423030623400"/>
    <s v="Recycled Waste"/>
    <x v="0"/>
    <x v="0"/>
    <s v="Account"/>
    <s v="Remondis Cardboard - Loose - Recycled"/>
    <m/>
    <s v="423030623400_RCARDBOAR"/>
    <s v="CARDBOARD - LOOSE - RECYCLED"/>
    <s v="Remondis"/>
    <m/>
    <m/>
    <d v="2021-01-01T00:00:00"/>
    <d v="2020-10-01T00:00:00"/>
    <s v="FY21"/>
    <s v="t"/>
    <n v="0"/>
    <n v="6.3E-2"/>
    <n v="0"/>
    <n v="6.3E-2"/>
    <n v="0"/>
    <n v="1"/>
    <n v="0"/>
    <n v="1"/>
    <n v="0"/>
    <n v="100"/>
    <n v="0"/>
    <s v="Consolidation"/>
    <s v="CO2e and Base Measure"/>
    <n v="100"/>
    <n v="100"/>
    <n v="0.06"/>
    <m/>
    <m/>
    <m/>
    <m/>
    <m/>
    <m/>
    <n v="0"/>
    <m/>
    <m/>
    <m/>
    <m/>
    <m/>
    <m/>
    <s v="AUD"/>
    <s v="13565003Waste Recycled - Cardboard [t]"/>
    <n v="13565003"/>
  </r>
  <r>
    <d v="2019-07-01T00:00:00"/>
    <d v="2021-06-30T00:00:00"/>
    <s v="Telstra"/>
    <s v="NETWORK"/>
    <s v="Network - InfraCo"/>
    <s v="SA"/>
    <s v="Australia"/>
    <s v="Victor Harbor"/>
    <s v="VICTOR HARBOR EXCHANGE"/>
    <n v="423030623400"/>
    <s v="Recycled Waste"/>
    <x v="0"/>
    <x v="0"/>
    <s v="Account"/>
    <s v="Remondis Cardboard - Loose - Recycled"/>
    <m/>
    <s v="423030623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03Waste Recycled - Cardboard [t]"/>
    <n v="13565003"/>
  </r>
  <r>
    <d v="2019-07-01T00:00:00"/>
    <d v="2021-06-30T00:00:00"/>
    <s v="Telstra"/>
    <s v="NETWORK"/>
    <s v="Network - InfraCo"/>
    <s v="SA"/>
    <s v="Australia"/>
    <s v="Victor Harbor"/>
    <s v="VICTOR HARBOR EXCHANGE"/>
    <n v="423030623400"/>
    <s v="Recycled Waste"/>
    <x v="0"/>
    <x v="0"/>
    <s v="Account"/>
    <s v="Remondis Cardboard - Loose - Recycled"/>
    <m/>
    <s v="423030623400_RCARDBOAR"/>
    <s v="CARDBOARD - LOOSE - RECYCLED"/>
    <s v="Remondis"/>
    <m/>
    <m/>
    <d v="2021-01-01T00:00:00"/>
    <d v="2021-01-01T00:00:00"/>
    <s v="FY21"/>
    <s v="t"/>
    <n v="0"/>
    <n v="0"/>
    <n v="1.4E-3"/>
    <n v="1.4E-3"/>
    <n v="0"/>
    <n v="0"/>
    <n v="1"/>
    <n v="1"/>
    <n v="0"/>
    <n v="0"/>
    <n v="100"/>
    <s v="Consolidation"/>
    <s v="CO2e and Base Measure"/>
    <n v="100"/>
    <n v="100"/>
    <n v="0"/>
    <m/>
    <m/>
    <m/>
    <m/>
    <m/>
    <m/>
    <n v="0"/>
    <m/>
    <m/>
    <m/>
    <m/>
    <m/>
    <m/>
    <s v="AUD"/>
    <s v="13565003Waste Recycled - Cardboard [t]"/>
    <n v="13565003"/>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09-01T00:00:00"/>
    <s v="FY21"/>
    <s v="t"/>
    <n v="1.34"/>
    <n v="0.19500000000000001"/>
    <n v="0"/>
    <n v="1.5349999999999999"/>
    <n v="2"/>
    <n v="1"/>
    <n v="0"/>
    <n v="3"/>
    <n v="87.29"/>
    <n v="12.7"/>
    <n v="0"/>
    <s v="Consolidation"/>
    <s v="CO2e and Base Measure"/>
    <n v="100"/>
    <n v="100"/>
    <n v="1.54"/>
    <m/>
    <m/>
    <m/>
    <m/>
    <m/>
    <n v="1.9955000000000001"/>
    <m/>
    <n v="1.9955000000000001"/>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11-01T00:00:00"/>
    <s v="FY21"/>
    <s v="t"/>
    <n v="0"/>
    <n v="0.58499999999999996"/>
    <n v="0"/>
    <n v="0.58499999999999996"/>
    <n v="0"/>
    <n v="3"/>
    <n v="0"/>
    <n v="3"/>
    <n v="0"/>
    <n v="100"/>
    <n v="0"/>
    <s v="Consolidation"/>
    <s v="CO2e and Base Measure"/>
    <n v="100"/>
    <n v="100"/>
    <n v="0.59"/>
    <m/>
    <m/>
    <m/>
    <m/>
    <m/>
    <n v="0.76049999999999995"/>
    <m/>
    <n v="0.76049999999999995"/>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1-01-01T00:00:00"/>
    <s v="FY21"/>
    <s v="t"/>
    <n v="0"/>
    <n v="0"/>
    <n v="1.9099999999999999E-2"/>
    <n v="1.9099999999999999E-2"/>
    <n v="0"/>
    <n v="0"/>
    <n v="1"/>
    <n v="1"/>
    <n v="0"/>
    <n v="0"/>
    <n v="100"/>
    <s v="Consolidation"/>
    <s v="CO2e and Base Measure"/>
    <n v="100"/>
    <n v="100"/>
    <n v="0.02"/>
    <m/>
    <m/>
    <m/>
    <m/>
    <m/>
    <n v="2.4799999999999999E-2"/>
    <m/>
    <n v="2.4799999999999999E-2"/>
    <m/>
    <m/>
    <m/>
    <m/>
    <m/>
    <s v="AUD"/>
    <s v="13565005Waste - General [t] - Scope 3"/>
    <n v="13565005"/>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0-12-01T00:00:00"/>
    <s v="FY21"/>
    <s v="t"/>
    <n v="7.9000000000000001E-2"/>
    <n v="0"/>
    <n v="0"/>
    <n v="7.9000000000000001E-2"/>
    <n v="1"/>
    <n v="0"/>
    <n v="0"/>
    <n v="1"/>
    <n v="100"/>
    <n v="0"/>
    <n v="0"/>
    <s v="Consolidation"/>
    <s v="CO2e and Base Measure"/>
    <n v="100"/>
    <n v="100"/>
    <n v="0.08"/>
    <m/>
    <m/>
    <m/>
    <m/>
    <m/>
    <n v="0.1027"/>
    <m/>
    <n v="0.1027"/>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1-01T00:00:00"/>
    <s v="FY21"/>
    <s v="t"/>
    <n v="0.16300000000000001"/>
    <n v="0"/>
    <n v="0"/>
    <n v="0.16300000000000001"/>
    <n v="1"/>
    <n v="0"/>
    <n v="0"/>
    <n v="1"/>
    <n v="100"/>
    <n v="0"/>
    <n v="0"/>
    <s v="Consolidation"/>
    <s v="CO2e and Base Measure"/>
    <n v="100"/>
    <n v="100"/>
    <n v="0.16"/>
    <m/>
    <m/>
    <m/>
    <m/>
    <m/>
    <n v="0.21190000000000001"/>
    <m/>
    <n v="0.21190000000000001"/>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2-01T00:00:00"/>
    <s v="FY21"/>
    <s v="t"/>
    <n v="0.114"/>
    <n v="0"/>
    <n v="0"/>
    <n v="0.114"/>
    <n v="1"/>
    <n v="0"/>
    <n v="0"/>
    <n v="1"/>
    <n v="100"/>
    <n v="0"/>
    <n v="0"/>
    <s v="Consolidation"/>
    <s v="CO2e and Base Measure"/>
    <n v="100"/>
    <n v="100"/>
    <n v="0.11"/>
    <m/>
    <m/>
    <m/>
    <m/>
    <m/>
    <n v="0.1482"/>
    <m/>
    <n v="0.1482"/>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3-01T00:00:00"/>
    <s v="FY21"/>
    <s v="t"/>
    <n v="7.8E-2"/>
    <n v="0"/>
    <n v="0"/>
    <n v="7.8E-2"/>
    <n v="1"/>
    <n v="0"/>
    <n v="0"/>
    <n v="1"/>
    <n v="100"/>
    <n v="0"/>
    <n v="0"/>
    <s v="Consolidation"/>
    <s v="CO2e and Base Measure"/>
    <n v="100"/>
    <n v="100"/>
    <n v="0.08"/>
    <m/>
    <m/>
    <m/>
    <m/>
    <m/>
    <n v="0.1014"/>
    <m/>
    <n v="0.1014"/>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4-01T00:00:00"/>
    <s v="FY21"/>
    <s v="t"/>
    <n v="0"/>
    <n v="0"/>
    <n v="0.108"/>
    <n v="0.108"/>
    <n v="0"/>
    <n v="0"/>
    <n v="30"/>
    <n v="30"/>
    <n v="0"/>
    <n v="0"/>
    <n v="100"/>
    <s v="Consolidation"/>
    <s v="CO2e and Base Measure"/>
    <n v="100"/>
    <n v="100"/>
    <n v="0.11"/>
    <m/>
    <m/>
    <m/>
    <m/>
    <m/>
    <n v="0.1404"/>
    <m/>
    <n v="0.1404"/>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5-01T00:00:00"/>
    <s v="FY21"/>
    <s v="t"/>
    <n v="0"/>
    <n v="0"/>
    <n v="0.1116"/>
    <n v="0.1116"/>
    <n v="0"/>
    <n v="0"/>
    <n v="31"/>
    <n v="31"/>
    <n v="0"/>
    <n v="0"/>
    <n v="100"/>
    <s v="Consolidation"/>
    <s v="CO2e and Base Measure"/>
    <n v="100"/>
    <n v="100"/>
    <n v="0.11"/>
    <m/>
    <m/>
    <m/>
    <m/>
    <m/>
    <n v="0.14510000000000001"/>
    <m/>
    <n v="0.14510000000000001"/>
    <m/>
    <m/>
    <m/>
    <m/>
    <m/>
    <s v="AUD"/>
    <s v="13634290Waste - General [t] - Scope 3"/>
    <n v="13634290"/>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0-12-01T00:00:00"/>
    <s v="FY21"/>
    <s v="t"/>
    <n v="0"/>
    <n v="7.4999999999999997E-2"/>
    <n v="0"/>
    <n v="7.4999999999999997E-2"/>
    <n v="0"/>
    <n v="1"/>
    <n v="0"/>
    <n v="1"/>
    <n v="0"/>
    <n v="100"/>
    <n v="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1-01T00:00:00"/>
    <s v="FY21"/>
    <s v="t"/>
    <n v="0"/>
    <n v="7.4999999999999997E-2"/>
    <n v="0"/>
    <n v="7.4999999999999997E-2"/>
    <n v="0"/>
    <n v="1"/>
    <n v="0"/>
    <n v="1"/>
    <n v="0"/>
    <n v="100"/>
    <n v="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2-01T00:00:00"/>
    <s v="FY21"/>
    <s v="t"/>
    <n v="0"/>
    <n v="7.4999999999999997E-2"/>
    <n v="0"/>
    <n v="7.4999999999999997E-2"/>
    <n v="0"/>
    <n v="1"/>
    <n v="0"/>
    <n v="1"/>
    <n v="0"/>
    <n v="100"/>
    <n v="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3-01T00:00:00"/>
    <s v="FY21"/>
    <s v="t"/>
    <n v="0"/>
    <n v="7.4999999999999997E-2"/>
    <n v="0"/>
    <n v="7.4999999999999997E-2"/>
    <n v="0"/>
    <n v="1"/>
    <n v="0"/>
    <n v="1"/>
    <n v="0"/>
    <n v="100"/>
    <n v="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4-01T00:00:00"/>
    <s v="FY21"/>
    <s v="t"/>
    <n v="0"/>
    <n v="0"/>
    <n v="7.4999999999999997E-2"/>
    <n v="7.4999999999999997E-2"/>
    <n v="0"/>
    <n v="0"/>
    <n v="30"/>
    <n v="30"/>
    <n v="0"/>
    <n v="0"/>
    <n v="10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5-01T00:00:00"/>
    <s v="FY21"/>
    <s v="t"/>
    <n v="0"/>
    <n v="0"/>
    <n v="7.7499999999999999E-2"/>
    <n v="7.7499999999999999E-2"/>
    <n v="0"/>
    <n v="0"/>
    <n v="31"/>
    <n v="31"/>
    <n v="0"/>
    <n v="0"/>
    <n v="100"/>
    <s v="Consolidation"/>
    <s v="CO2e and Base Measure"/>
    <n v="100"/>
    <n v="100"/>
    <n v="0.08"/>
    <m/>
    <m/>
    <m/>
    <m/>
    <m/>
    <m/>
    <m/>
    <m/>
    <m/>
    <m/>
    <m/>
    <m/>
    <m/>
    <s v="AUD"/>
    <s v="13634291Waste Recycled - Paper and Cardboard [t]"/>
    <n v="13634291"/>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07-01T00:00:00"/>
    <s v="FY21"/>
    <s v="t"/>
    <n v="0.28000000000000003"/>
    <n v="0"/>
    <n v="0"/>
    <n v="0.28000000000000003"/>
    <n v="2"/>
    <n v="0"/>
    <n v="0"/>
    <n v="2"/>
    <n v="100"/>
    <n v="0"/>
    <n v="0"/>
    <s v="Consolidation"/>
    <s v="CO2e and Base Measure"/>
    <n v="100"/>
    <n v="100"/>
    <n v="0.28000000000000003"/>
    <m/>
    <m/>
    <m/>
    <m/>
    <m/>
    <n v="0.36399999999999999"/>
    <m/>
    <n v="0.36399999999999999"/>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08-01T00:00:00"/>
    <s v="FY21"/>
    <s v="t"/>
    <n v="0.05"/>
    <n v="0.19500000000000001"/>
    <n v="0"/>
    <n v="0.245"/>
    <n v="1"/>
    <n v="1"/>
    <n v="0"/>
    <n v="2"/>
    <n v="20.399999999999999"/>
    <n v="79.59"/>
    <n v="0"/>
    <s v="Consolidation"/>
    <s v="CO2e and Base Measure"/>
    <n v="100"/>
    <n v="100"/>
    <n v="0.25"/>
    <m/>
    <m/>
    <m/>
    <m/>
    <m/>
    <n v="0.31850000000000001"/>
    <m/>
    <n v="0.31850000000000001"/>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09-01T00:00:00"/>
    <s v="FY21"/>
    <s v="t"/>
    <n v="0.26"/>
    <n v="0.19500000000000001"/>
    <n v="0"/>
    <n v="0.45500000000000002"/>
    <n v="1"/>
    <n v="1"/>
    <n v="0"/>
    <n v="2"/>
    <n v="57.14"/>
    <n v="42.85"/>
    <n v="0"/>
    <s v="Consolidation"/>
    <s v="CO2e and Base Measure"/>
    <n v="100"/>
    <n v="100"/>
    <n v="0.46"/>
    <m/>
    <m/>
    <m/>
    <m/>
    <m/>
    <n v="0.59150000000000003"/>
    <m/>
    <n v="0.59150000000000003"/>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10-01T00:00:00"/>
    <s v="FY21"/>
    <s v="t"/>
    <n v="0.15"/>
    <n v="0"/>
    <n v="0"/>
    <n v="0.15"/>
    <n v="2"/>
    <n v="0"/>
    <n v="0"/>
    <n v="2"/>
    <n v="100"/>
    <n v="0"/>
    <n v="0"/>
    <s v="Consolidation"/>
    <s v="CO2e and Base Measure"/>
    <n v="100"/>
    <n v="100"/>
    <n v="0.15"/>
    <m/>
    <m/>
    <m/>
    <m/>
    <m/>
    <n v="0.19500000000000001"/>
    <m/>
    <n v="0.19500000000000001"/>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11-01T00:00:00"/>
    <s v="FY21"/>
    <s v="t"/>
    <n v="0.05"/>
    <n v="0"/>
    <n v="0"/>
    <n v="0.05"/>
    <n v="1"/>
    <n v="0"/>
    <n v="0"/>
    <n v="1"/>
    <n v="100"/>
    <n v="0"/>
    <n v="0"/>
    <s v="Consolidation"/>
    <s v="CO2e and Base Measure"/>
    <n v="100"/>
    <n v="100"/>
    <n v="0.05"/>
    <m/>
    <m/>
    <m/>
    <m/>
    <m/>
    <n v="6.5000000000000002E-2"/>
    <m/>
    <n v="6.5000000000000002E-2"/>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1-01-01T00:00:00"/>
    <s v="FY21"/>
    <s v="t"/>
    <n v="0"/>
    <n v="0"/>
    <n v="9.4999999999999998E-3"/>
    <n v="9.4999999999999998E-3"/>
    <n v="0"/>
    <n v="0"/>
    <n v="1"/>
    <n v="1"/>
    <n v="0"/>
    <n v="0"/>
    <n v="100"/>
    <s v="Consolidation"/>
    <s v="CO2e and Base Measure"/>
    <n v="100"/>
    <n v="100"/>
    <n v="0.01"/>
    <m/>
    <m/>
    <m/>
    <m/>
    <m/>
    <n v="1.24E-2"/>
    <m/>
    <n v="1.24E-2"/>
    <m/>
    <m/>
    <m/>
    <m/>
    <m/>
    <s v="AUD"/>
    <s v="13565363Waste - General [t] - Scope 3"/>
    <n v="13565363"/>
  </r>
  <r>
    <d v="2019-07-01T00:00:00"/>
    <d v="2021-06-30T00:00:00"/>
    <s v="Telstra"/>
    <s v="NETWORK"/>
    <s v="Network - InfraCo"/>
    <s v="WA"/>
    <s v="Australia"/>
    <s v="Burswood"/>
    <s v="VICTORIA PARK EXCHANGE"/>
    <n v="423030851100"/>
    <s v="Waste"/>
    <x v="1"/>
    <x v="2"/>
    <s v="Account"/>
    <s v="CLEANAWAY General"/>
    <m/>
    <s v="12977_Landfill_General"/>
    <s v="General"/>
    <s v="Cleanaway"/>
    <m/>
    <d v="2021-02-24T00:00:00"/>
    <m/>
    <d v="2021-02-01T00:00:00"/>
    <s v="FY21"/>
    <s v="t"/>
    <n v="0.47399999999999998"/>
    <n v="0"/>
    <n v="0"/>
    <n v="0.47399999999999998"/>
    <n v="1"/>
    <n v="0"/>
    <n v="0"/>
    <n v="1"/>
    <n v="100"/>
    <n v="0"/>
    <n v="0"/>
    <s v="Consolidation"/>
    <s v="CO2e and Base Measure"/>
    <n v="100"/>
    <n v="100"/>
    <n v="0.47"/>
    <m/>
    <m/>
    <m/>
    <m/>
    <m/>
    <n v="0.61619999999999997"/>
    <m/>
    <n v="0.61619999999999997"/>
    <m/>
    <m/>
    <m/>
    <m/>
    <m/>
    <s v="AUD"/>
    <s v="13639929Waste - General [t] - Scope 3"/>
    <n v="13639929"/>
  </r>
  <r>
    <d v="2019-07-01T00:00:00"/>
    <d v="2021-06-30T00:00:00"/>
    <s v="Telstra"/>
    <s v="NETWORK"/>
    <s v="Network - InfraCo"/>
    <s v="WA"/>
    <s v="Australia"/>
    <s v="Burswood"/>
    <s v="VICTORIA PARK EXCHANGE"/>
    <n v="423030851100"/>
    <s v="Waste"/>
    <x v="1"/>
    <x v="2"/>
    <s v="Account"/>
    <s v="CLEANAWAY General"/>
    <m/>
    <s v="12977_Landfill_General"/>
    <s v="General"/>
    <s v="Cleanaway"/>
    <m/>
    <d v="2021-02-24T00:00:00"/>
    <m/>
    <d v="2021-03-01T00:00:00"/>
    <s v="FY21"/>
    <s v="t"/>
    <n v="0"/>
    <n v="0"/>
    <n v="0.54559999999999997"/>
    <n v="0.54559999999999997"/>
    <n v="0"/>
    <n v="0"/>
    <n v="31"/>
    <n v="31"/>
    <n v="0"/>
    <n v="0"/>
    <n v="100"/>
    <s v="Consolidation"/>
    <s v="CO2e and Base Measure"/>
    <n v="100"/>
    <n v="100"/>
    <n v="0.55000000000000004"/>
    <m/>
    <m/>
    <m/>
    <m/>
    <m/>
    <n v="0.70930000000000004"/>
    <m/>
    <n v="0.70930000000000004"/>
    <m/>
    <m/>
    <m/>
    <m/>
    <m/>
    <s v="AUD"/>
    <s v="13639929Waste - General [t] - Scope 3"/>
    <n v="13639929"/>
  </r>
  <r>
    <d v="2019-07-01T00:00:00"/>
    <d v="2021-06-30T00:00:00"/>
    <s v="Telstra"/>
    <s v="NETWORK"/>
    <s v="Network - InfraCo"/>
    <s v="WA"/>
    <s v="Australia"/>
    <s v="Burswood"/>
    <s v="VICTORIA PARK EXCHANGE"/>
    <n v="423030851100"/>
    <s v="Waste"/>
    <x v="1"/>
    <x v="2"/>
    <s v="Account"/>
    <s v="CLEANAWAY General"/>
    <m/>
    <s v="12977_Landfill_General"/>
    <s v="General"/>
    <s v="Cleanaway"/>
    <m/>
    <d v="2021-02-24T00:00:00"/>
    <m/>
    <d v="2021-04-01T00:00:00"/>
    <s v="FY21"/>
    <s v="t"/>
    <n v="0"/>
    <n v="0"/>
    <n v="0.52800000000000002"/>
    <n v="0.52800000000000002"/>
    <n v="0"/>
    <n v="0"/>
    <n v="30"/>
    <n v="30"/>
    <n v="0"/>
    <n v="0"/>
    <n v="100"/>
    <s v="Consolidation"/>
    <s v="CO2e and Base Measure"/>
    <n v="100"/>
    <n v="100"/>
    <n v="0.53"/>
    <m/>
    <m/>
    <m/>
    <m/>
    <m/>
    <n v="0.68640000000000001"/>
    <m/>
    <n v="0.68640000000000001"/>
    <m/>
    <m/>
    <m/>
    <m/>
    <m/>
    <s v="AUD"/>
    <s v="13639929Waste - General [t] - Scope 3"/>
    <n v="13639929"/>
  </r>
  <r>
    <d v="2019-07-01T00:00:00"/>
    <d v="2021-06-30T00:00:00"/>
    <s v="Telstra"/>
    <s v="NETWORK"/>
    <s v="Network - InfraCo"/>
    <s v="WA"/>
    <s v="Australia"/>
    <s v="Burswood"/>
    <s v="VICTORIA PARK EXCHANGE"/>
    <n v="423030851100"/>
    <s v="Waste"/>
    <x v="1"/>
    <x v="2"/>
    <s v="Account"/>
    <s v="CLEANAWAY General"/>
    <m/>
    <s v="12977_Landfill_General"/>
    <s v="General"/>
    <s v="Cleanaway"/>
    <m/>
    <d v="2021-02-24T00:00:00"/>
    <m/>
    <d v="2021-05-01T00:00:00"/>
    <s v="FY21"/>
    <s v="t"/>
    <n v="0"/>
    <n v="0"/>
    <n v="0.54559999999999997"/>
    <n v="0.54559999999999997"/>
    <n v="0"/>
    <n v="0"/>
    <n v="31"/>
    <n v="31"/>
    <n v="0"/>
    <n v="0"/>
    <n v="100"/>
    <s v="Consolidation"/>
    <s v="CO2e and Base Measure"/>
    <n v="100"/>
    <n v="100"/>
    <n v="0.55000000000000004"/>
    <m/>
    <m/>
    <m/>
    <m/>
    <m/>
    <n v="0.70930000000000004"/>
    <m/>
    <n v="0.70930000000000004"/>
    <m/>
    <m/>
    <m/>
    <m/>
    <m/>
    <s v="AUD"/>
    <s v="13639929Waste - General [t] - Scope 3"/>
    <n v="13639929"/>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07-01T00:00:00"/>
    <s v="FY21"/>
    <s v="t"/>
    <n v="0.41499999999999998"/>
    <n v="0"/>
    <n v="0"/>
    <n v="0.41499999999999998"/>
    <n v="2"/>
    <n v="0"/>
    <n v="0"/>
    <n v="2"/>
    <n v="100"/>
    <n v="0"/>
    <n v="0"/>
    <s v="Consolidation"/>
    <s v="CO2e and Base Measure"/>
    <n v="100"/>
    <n v="100"/>
    <n v="0.42"/>
    <m/>
    <m/>
    <m/>
    <m/>
    <m/>
    <n v="0.53949999999999998"/>
    <m/>
    <n v="0.53949999999999998"/>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08-01T00:00:00"/>
    <s v="FY21"/>
    <s v="t"/>
    <n v="0.36499999999999999"/>
    <n v="0"/>
    <n v="0"/>
    <n v="0.36499999999999999"/>
    <n v="3"/>
    <n v="0"/>
    <n v="0"/>
    <n v="3"/>
    <n v="100"/>
    <n v="0"/>
    <n v="0"/>
    <s v="Consolidation"/>
    <s v="CO2e and Base Measure"/>
    <n v="100"/>
    <n v="100"/>
    <n v="0.37"/>
    <m/>
    <m/>
    <m/>
    <m/>
    <m/>
    <n v="0.47449999999999998"/>
    <m/>
    <n v="0.47449999999999998"/>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09-01T00:00:00"/>
    <s v="FY21"/>
    <s v="t"/>
    <n v="0.125"/>
    <n v="0"/>
    <n v="0"/>
    <n v="0.125"/>
    <n v="2"/>
    <n v="0"/>
    <n v="0"/>
    <n v="2"/>
    <n v="100"/>
    <n v="0"/>
    <n v="0"/>
    <s v="Consolidation"/>
    <s v="CO2e and Base Measure"/>
    <n v="100"/>
    <n v="100"/>
    <n v="0.13"/>
    <m/>
    <m/>
    <m/>
    <m/>
    <m/>
    <n v="0.16250000000000001"/>
    <m/>
    <n v="0.16250000000000001"/>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10-01T00:00:00"/>
    <s v="FY21"/>
    <s v="t"/>
    <n v="0.30499999999999999"/>
    <n v="0"/>
    <n v="0"/>
    <n v="0.30499999999999999"/>
    <n v="2"/>
    <n v="0"/>
    <n v="0"/>
    <n v="2"/>
    <n v="100"/>
    <n v="0"/>
    <n v="0"/>
    <s v="Consolidation"/>
    <s v="CO2e and Base Measure"/>
    <n v="100"/>
    <n v="100"/>
    <n v="0.31"/>
    <m/>
    <m/>
    <m/>
    <m/>
    <m/>
    <n v="0.39650000000000002"/>
    <m/>
    <n v="0.39650000000000002"/>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11-01T00:00:00"/>
    <s v="FY21"/>
    <s v="t"/>
    <n v="0.155"/>
    <n v="0"/>
    <n v="0"/>
    <n v="0.155"/>
    <n v="2"/>
    <n v="0"/>
    <n v="0"/>
    <n v="2"/>
    <n v="100"/>
    <n v="0"/>
    <n v="0"/>
    <s v="Consolidation"/>
    <s v="CO2e and Base Measure"/>
    <n v="100"/>
    <n v="100"/>
    <n v="0.16"/>
    <m/>
    <m/>
    <m/>
    <m/>
    <m/>
    <n v="0.20150000000000001"/>
    <m/>
    <n v="0.20150000000000001"/>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12-01T00:00:00"/>
    <s v="FY21"/>
    <s v="t"/>
    <n v="0.08"/>
    <n v="9.7500000000000003E-2"/>
    <n v="0"/>
    <n v="0.17749999999999999"/>
    <n v="1"/>
    <n v="1"/>
    <n v="0"/>
    <n v="2"/>
    <n v="45.07"/>
    <n v="54.92"/>
    <n v="0"/>
    <s v="Consolidation"/>
    <s v="CO2e and Base Measure"/>
    <n v="100"/>
    <n v="100"/>
    <n v="0.18"/>
    <m/>
    <m/>
    <m/>
    <m/>
    <m/>
    <n v="0.23080000000000001"/>
    <m/>
    <n v="0.23080000000000001"/>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1-01-01T00:00:00"/>
    <s v="FY21"/>
    <s v="t"/>
    <n v="0"/>
    <n v="0"/>
    <n v="7.9000000000000008E-3"/>
    <n v="7.9000000000000008E-3"/>
    <n v="0"/>
    <n v="0"/>
    <n v="1"/>
    <n v="1"/>
    <n v="0"/>
    <n v="0"/>
    <n v="100"/>
    <s v="Consolidation"/>
    <s v="CO2e and Base Measure"/>
    <n v="100"/>
    <n v="100"/>
    <n v="0.01"/>
    <m/>
    <m/>
    <m/>
    <m/>
    <m/>
    <n v="1.03E-2"/>
    <m/>
    <n v="1.03E-2"/>
    <m/>
    <m/>
    <m/>
    <m/>
    <m/>
    <s v="AUD"/>
    <s v="13564287Waste - General [t] - Scope 3"/>
    <n v="13564287"/>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1-01T00:00:00"/>
    <s v="FY21"/>
    <s v="t"/>
    <n v="0.36299999999999999"/>
    <n v="6.7500000000000004E-2"/>
    <n v="0"/>
    <n v="0.43049999999999999"/>
    <n v="2"/>
    <n v="1"/>
    <n v="0"/>
    <n v="3"/>
    <n v="84.32"/>
    <n v="15.67"/>
    <n v="0"/>
    <s v="Consolidation"/>
    <s v="CO2e and Base Measure"/>
    <n v="100"/>
    <n v="100"/>
    <n v="0.43"/>
    <m/>
    <m/>
    <m/>
    <m/>
    <m/>
    <n v="0.55969999999999998"/>
    <m/>
    <n v="0.55969999999999998"/>
    <m/>
    <m/>
    <m/>
    <m/>
    <m/>
    <s v="AUD"/>
    <s v="13634481Waste - General [t] - Scope 3"/>
    <n v="13634481"/>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2-01T00:00:00"/>
    <s v="FY21"/>
    <s v="t"/>
    <n v="0.08"/>
    <n v="0"/>
    <n v="0"/>
    <n v="0.08"/>
    <n v="2"/>
    <n v="0"/>
    <n v="0"/>
    <n v="2"/>
    <n v="100"/>
    <n v="0"/>
    <n v="0"/>
    <s v="Consolidation"/>
    <s v="CO2e and Base Measure"/>
    <n v="100"/>
    <n v="100"/>
    <n v="0.08"/>
    <m/>
    <m/>
    <m/>
    <m/>
    <m/>
    <n v="0.104"/>
    <m/>
    <n v="0.104"/>
    <m/>
    <m/>
    <m/>
    <m/>
    <m/>
    <s v="AUD"/>
    <s v="13634481Waste - General [t] - Scope 3"/>
    <n v="13634481"/>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3-01T00:00:00"/>
    <s v="FY21"/>
    <s v="t"/>
    <n v="0.25"/>
    <n v="0"/>
    <n v="0"/>
    <n v="0.25"/>
    <n v="2"/>
    <n v="0"/>
    <n v="0"/>
    <n v="2"/>
    <n v="100"/>
    <n v="0"/>
    <n v="0"/>
    <s v="Consolidation"/>
    <s v="CO2e and Base Measure"/>
    <n v="100"/>
    <n v="100"/>
    <n v="0.25"/>
    <m/>
    <m/>
    <m/>
    <m/>
    <m/>
    <n v="0.32500000000000001"/>
    <m/>
    <n v="0.32500000000000001"/>
    <m/>
    <m/>
    <m/>
    <m/>
    <m/>
    <s v="AUD"/>
    <s v="13634481Waste - General [t] - Scope 3"/>
    <n v="13634481"/>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4-01T00:00:00"/>
    <s v="FY21"/>
    <s v="t"/>
    <n v="0"/>
    <n v="0"/>
    <n v="0.255"/>
    <n v="0.255"/>
    <n v="0"/>
    <n v="0"/>
    <n v="30"/>
    <n v="30"/>
    <n v="0"/>
    <n v="0"/>
    <n v="100"/>
    <s v="Consolidation"/>
    <s v="CO2e and Base Measure"/>
    <n v="100"/>
    <n v="100"/>
    <n v="0.26"/>
    <m/>
    <m/>
    <m/>
    <m/>
    <m/>
    <n v="0.33150000000000002"/>
    <m/>
    <n v="0.33150000000000002"/>
    <m/>
    <m/>
    <m/>
    <m/>
    <m/>
    <s v="AUD"/>
    <s v="13634481Waste - General [t] - Scope 3"/>
    <n v="13634481"/>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5-01T00:00:00"/>
    <s v="FY21"/>
    <s v="t"/>
    <n v="0"/>
    <n v="0"/>
    <n v="0.26350000000000001"/>
    <n v="0.26350000000000001"/>
    <n v="0"/>
    <n v="0"/>
    <n v="31"/>
    <n v="31"/>
    <n v="0"/>
    <n v="0"/>
    <n v="100"/>
    <s v="Consolidation"/>
    <s v="CO2e and Base Measure"/>
    <n v="100"/>
    <n v="100"/>
    <n v="0.26"/>
    <m/>
    <m/>
    <m/>
    <m/>
    <m/>
    <n v="0.34260000000000002"/>
    <m/>
    <n v="0.34260000000000002"/>
    <m/>
    <m/>
    <m/>
    <m/>
    <m/>
    <s v="AUD"/>
    <s v="13634481Waste - General [t] - Scope 3"/>
    <n v="13634481"/>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09-01T00:00:00"/>
    <s v="FY21"/>
    <s v="t"/>
    <n v="0"/>
    <n v="6.3E-2"/>
    <n v="0"/>
    <n v="6.3E-2"/>
    <n v="0"/>
    <n v="2"/>
    <n v="0"/>
    <n v="2"/>
    <n v="0"/>
    <n v="100"/>
    <n v="0"/>
    <s v="Consolidation"/>
    <s v="CO2e and Base Measure"/>
    <n v="100"/>
    <n v="100"/>
    <n v="0.06"/>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10-01T00:00:00"/>
    <s v="FY21"/>
    <s v="t"/>
    <n v="0"/>
    <n v="9.4500000000000001E-2"/>
    <n v="0"/>
    <n v="9.4500000000000001E-2"/>
    <n v="0"/>
    <n v="3"/>
    <n v="0"/>
    <n v="3"/>
    <n v="0"/>
    <n v="100"/>
    <n v="0"/>
    <s v="Consolidation"/>
    <s v="CO2e and Base Measure"/>
    <n v="100"/>
    <n v="100"/>
    <n v="0.09"/>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1-01-01T00:00:00"/>
    <s v="FY21"/>
    <s v="t"/>
    <n v="0"/>
    <n v="0"/>
    <n v="1.9E-3"/>
    <n v="1.9E-3"/>
    <n v="0"/>
    <n v="0"/>
    <n v="1"/>
    <n v="1"/>
    <n v="0"/>
    <n v="0"/>
    <n v="100"/>
    <s v="Consolidation"/>
    <s v="CO2e and Base Measure"/>
    <n v="100"/>
    <n v="100"/>
    <n v="0"/>
    <m/>
    <m/>
    <m/>
    <m/>
    <m/>
    <m/>
    <n v="0"/>
    <m/>
    <m/>
    <m/>
    <m/>
    <m/>
    <m/>
    <s v="AUD"/>
    <s v="13564279Waste Recycled - Cardboard [t]"/>
    <n v="13564279"/>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07-01T00:00:00"/>
    <s v="FY21"/>
    <s v="t"/>
    <n v="0.14000000000000001"/>
    <n v="0"/>
    <n v="0"/>
    <n v="0.14000000000000001"/>
    <n v="2"/>
    <n v="0"/>
    <n v="0"/>
    <n v="2"/>
    <n v="100"/>
    <n v="0"/>
    <n v="0"/>
    <s v="Consolidation"/>
    <s v="CO2e and Base Measure"/>
    <n v="100"/>
    <n v="100"/>
    <n v="0.14000000000000001"/>
    <m/>
    <m/>
    <m/>
    <m/>
    <m/>
    <n v="0.182"/>
    <m/>
    <n v="0.182"/>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08-01T00:00:00"/>
    <s v="FY21"/>
    <s v="t"/>
    <n v="0.36"/>
    <n v="0"/>
    <n v="0"/>
    <n v="0.36"/>
    <n v="2"/>
    <n v="0"/>
    <n v="0"/>
    <n v="2"/>
    <n v="100"/>
    <n v="0"/>
    <n v="0"/>
    <s v="Consolidation"/>
    <s v="CO2e and Base Measure"/>
    <n v="100"/>
    <n v="100"/>
    <n v="0.36"/>
    <m/>
    <m/>
    <m/>
    <m/>
    <m/>
    <n v="0.46800000000000003"/>
    <m/>
    <n v="0.46800000000000003"/>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09-01T00:00:00"/>
    <s v="FY21"/>
    <s v="t"/>
    <n v="0.06"/>
    <n v="0"/>
    <n v="0"/>
    <n v="0.06"/>
    <n v="2"/>
    <n v="0"/>
    <n v="0"/>
    <n v="2"/>
    <n v="100"/>
    <n v="0"/>
    <n v="0"/>
    <s v="Consolidation"/>
    <s v="CO2e and Base Measure"/>
    <n v="100"/>
    <n v="100"/>
    <n v="0.06"/>
    <m/>
    <m/>
    <m/>
    <m/>
    <m/>
    <n v="7.8E-2"/>
    <m/>
    <n v="7.8E-2"/>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10-01T00:00:00"/>
    <s v="FY21"/>
    <s v="t"/>
    <n v="0.19"/>
    <n v="0"/>
    <n v="0"/>
    <n v="0.19"/>
    <n v="3"/>
    <n v="0"/>
    <n v="0"/>
    <n v="3"/>
    <n v="100"/>
    <n v="0"/>
    <n v="0"/>
    <s v="Consolidation"/>
    <s v="CO2e and Base Measure"/>
    <n v="100"/>
    <n v="100"/>
    <n v="0.19"/>
    <m/>
    <m/>
    <m/>
    <m/>
    <m/>
    <n v="0.247"/>
    <m/>
    <n v="0.247"/>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11-01T00:00:00"/>
    <s v="FY21"/>
    <s v="t"/>
    <n v="0.15"/>
    <n v="0"/>
    <n v="0"/>
    <n v="0.15"/>
    <n v="2"/>
    <n v="0"/>
    <n v="0"/>
    <n v="2"/>
    <n v="100"/>
    <n v="0"/>
    <n v="0"/>
    <s v="Consolidation"/>
    <s v="CO2e and Base Measure"/>
    <n v="100"/>
    <n v="100"/>
    <n v="0.15"/>
    <m/>
    <m/>
    <m/>
    <m/>
    <m/>
    <n v="0.19500000000000001"/>
    <m/>
    <n v="0.19500000000000001"/>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1-01-01T00:00:00"/>
    <s v="FY21"/>
    <s v="t"/>
    <n v="0"/>
    <n v="0"/>
    <n v="7.3000000000000001E-3"/>
    <n v="7.3000000000000001E-3"/>
    <n v="0"/>
    <n v="0"/>
    <n v="1"/>
    <n v="1"/>
    <n v="0"/>
    <n v="0"/>
    <n v="100"/>
    <s v="Consolidation"/>
    <s v="CO2e and Base Measure"/>
    <n v="100"/>
    <n v="100"/>
    <n v="0.01"/>
    <m/>
    <m/>
    <m/>
    <m/>
    <m/>
    <n v="9.4999999999999998E-3"/>
    <m/>
    <n v="9.4999999999999998E-3"/>
    <m/>
    <m/>
    <m/>
    <m/>
    <m/>
    <s v="AUD"/>
    <s v="13564280Waste - General [t] - Scope 3"/>
    <n v="13564280"/>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0-12-01T00:00:00"/>
    <s v="FY21"/>
    <s v="t"/>
    <n v="0.39900000000000002"/>
    <n v="0"/>
    <n v="0"/>
    <n v="0.39900000000000002"/>
    <n v="3"/>
    <n v="0"/>
    <n v="0"/>
    <n v="3"/>
    <n v="100"/>
    <n v="0"/>
    <n v="0"/>
    <s v="Consolidation"/>
    <s v="CO2e and Base Measure"/>
    <n v="100"/>
    <n v="100"/>
    <n v="0.4"/>
    <m/>
    <m/>
    <m/>
    <m/>
    <m/>
    <n v="0.51870000000000005"/>
    <m/>
    <n v="0.51870000000000005"/>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1-01T00:00:00"/>
    <s v="FY21"/>
    <s v="t"/>
    <n v="0.27800000000000002"/>
    <n v="0"/>
    <n v="0"/>
    <n v="0.27800000000000002"/>
    <n v="4"/>
    <n v="0"/>
    <n v="0"/>
    <n v="4"/>
    <n v="100"/>
    <n v="0"/>
    <n v="0"/>
    <s v="Consolidation"/>
    <s v="CO2e and Base Measure"/>
    <n v="100"/>
    <n v="100"/>
    <n v="0.28000000000000003"/>
    <m/>
    <m/>
    <m/>
    <m/>
    <m/>
    <n v="0.3614"/>
    <m/>
    <n v="0.3614"/>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2-01T00:00:00"/>
    <s v="FY21"/>
    <s v="t"/>
    <n v="0.20300000000000001"/>
    <n v="6.7500000000000004E-2"/>
    <n v="0"/>
    <n v="0.27050000000000002"/>
    <n v="3"/>
    <n v="1"/>
    <n v="0"/>
    <n v="4"/>
    <n v="75.040000000000006"/>
    <n v="24.95"/>
    <n v="0"/>
    <s v="Consolidation"/>
    <s v="CO2e and Base Measure"/>
    <n v="100"/>
    <n v="100"/>
    <n v="0.27"/>
    <m/>
    <m/>
    <m/>
    <m/>
    <m/>
    <n v="0.35170000000000001"/>
    <m/>
    <n v="0.35170000000000001"/>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3-01T00:00:00"/>
    <s v="FY21"/>
    <s v="t"/>
    <n v="0.218"/>
    <n v="0"/>
    <n v="0"/>
    <n v="0.218"/>
    <n v="3"/>
    <n v="0"/>
    <n v="0"/>
    <n v="3"/>
    <n v="100"/>
    <n v="0"/>
    <n v="0"/>
    <s v="Consolidation"/>
    <s v="CO2e and Base Measure"/>
    <n v="100"/>
    <n v="100"/>
    <n v="0.22"/>
    <m/>
    <m/>
    <m/>
    <m/>
    <m/>
    <n v="0.28339999999999999"/>
    <m/>
    <n v="0.28339999999999999"/>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4-01T00:00:00"/>
    <s v="FY21"/>
    <s v="t"/>
    <n v="0"/>
    <n v="0"/>
    <n v="0.29099999999999998"/>
    <n v="0.29099999999999998"/>
    <n v="0"/>
    <n v="0"/>
    <n v="30"/>
    <n v="30"/>
    <n v="0"/>
    <n v="0"/>
    <n v="100"/>
    <s v="Consolidation"/>
    <s v="CO2e and Base Measure"/>
    <n v="100"/>
    <n v="100"/>
    <n v="0.28999999999999998"/>
    <m/>
    <m/>
    <m/>
    <m/>
    <m/>
    <n v="0.37830000000000003"/>
    <m/>
    <n v="0.37830000000000003"/>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5-01T00:00:00"/>
    <s v="FY21"/>
    <s v="t"/>
    <n v="0"/>
    <n v="0"/>
    <n v="0.30070000000000002"/>
    <n v="0.30070000000000002"/>
    <n v="0"/>
    <n v="0"/>
    <n v="31"/>
    <n v="31"/>
    <n v="0"/>
    <n v="0"/>
    <n v="100"/>
    <s v="Consolidation"/>
    <s v="CO2e and Base Measure"/>
    <n v="100"/>
    <n v="100"/>
    <n v="0.3"/>
    <m/>
    <m/>
    <m/>
    <m/>
    <m/>
    <n v="0.39090000000000003"/>
    <m/>
    <n v="0.39090000000000003"/>
    <m/>
    <m/>
    <m/>
    <m/>
    <m/>
    <s v="AUD"/>
    <s v="13634292Waste - General [t] - Scope 3"/>
    <n v="13634292"/>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0-12-01T00:00:00"/>
    <s v="FY21"/>
    <s v="t"/>
    <n v="0"/>
    <n v="7.4999999999999997E-2"/>
    <n v="0"/>
    <n v="7.4999999999999997E-2"/>
    <n v="0"/>
    <n v="2"/>
    <n v="0"/>
    <n v="2"/>
    <n v="0"/>
    <n v="100"/>
    <n v="0"/>
    <s v="Consolidation"/>
    <s v="CO2e and Base Measure"/>
    <n v="100"/>
    <n v="100"/>
    <n v="0.08"/>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1-01T00:00:00"/>
    <s v="FY21"/>
    <s v="t"/>
    <n v="0"/>
    <n v="7.4999999999999997E-2"/>
    <n v="0"/>
    <n v="7.4999999999999997E-2"/>
    <n v="0"/>
    <n v="2"/>
    <n v="0"/>
    <n v="2"/>
    <n v="0"/>
    <n v="100"/>
    <n v="0"/>
    <s v="Consolidation"/>
    <s v="CO2e and Base Measure"/>
    <n v="100"/>
    <n v="100"/>
    <n v="0.08"/>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2-01T00:00:00"/>
    <s v="FY21"/>
    <s v="t"/>
    <n v="4.1000000000000002E-2"/>
    <n v="0"/>
    <n v="0"/>
    <n v="4.1000000000000002E-2"/>
    <n v="1"/>
    <n v="0"/>
    <n v="0"/>
    <n v="1"/>
    <n v="100"/>
    <n v="0"/>
    <n v="0"/>
    <s v="Consolidation"/>
    <s v="CO2e and Base Measure"/>
    <n v="100"/>
    <n v="100"/>
    <n v="0.04"/>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3-01T00:00:00"/>
    <s v="FY21"/>
    <s v="t"/>
    <n v="7.0000000000000007E-2"/>
    <n v="3.7499999999999999E-2"/>
    <n v="0"/>
    <n v="0.1075"/>
    <n v="1"/>
    <n v="1"/>
    <n v="0"/>
    <n v="2"/>
    <n v="65.11"/>
    <n v="34.880000000000003"/>
    <n v="0"/>
    <s v="Consolidation"/>
    <s v="CO2e and Base Measure"/>
    <n v="100"/>
    <n v="100"/>
    <n v="0.11"/>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4-01T00:00:00"/>
    <s v="FY21"/>
    <s v="t"/>
    <n v="0"/>
    <n v="0"/>
    <n v="7.4999999999999997E-2"/>
    <n v="7.4999999999999997E-2"/>
    <n v="0"/>
    <n v="0"/>
    <n v="30"/>
    <n v="30"/>
    <n v="0"/>
    <n v="0"/>
    <n v="100"/>
    <s v="Consolidation"/>
    <s v="CO2e and Base Measure"/>
    <n v="100"/>
    <n v="100"/>
    <n v="0.08"/>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5-01T00:00:00"/>
    <s v="FY21"/>
    <s v="t"/>
    <n v="0"/>
    <n v="0"/>
    <n v="7.7499999999999999E-2"/>
    <n v="7.7499999999999999E-2"/>
    <n v="0"/>
    <n v="0"/>
    <n v="31"/>
    <n v="31"/>
    <n v="0"/>
    <n v="0"/>
    <n v="100"/>
    <s v="Consolidation"/>
    <s v="CO2e and Base Measure"/>
    <n v="100"/>
    <n v="100"/>
    <n v="0.08"/>
    <m/>
    <m/>
    <m/>
    <m/>
    <m/>
    <m/>
    <m/>
    <m/>
    <m/>
    <m/>
    <m/>
    <m/>
    <m/>
    <s v="AUD"/>
    <s v="13634293Waste Recycled - Paper and Cardboard [t]"/>
    <n v="13634293"/>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0-12-01T00:00:00"/>
    <s v="FY21"/>
    <s v="t"/>
    <n v="0.157"/>
    <n v="0.81"/>
    <n v="0"/>
    <n v="0.96699999999999997"/>
    <n v="1"/>
    <n v="3"/>
    <n v="0"/>
    <n v="4"/>
    <n v="16.23"/>
    <n v="83.76"/>
    <n v="0"/>
    <s v="Consolidation"/>
    <s v="CO2e and Base Measure"/>
    <n v="100"/>
    <n v="100"/>
    <n v="0.97"/>
    <m/>
    <m/>
    <m/>
    <m/>
    <m/>
    <n v="1.2571000000000001"/>
    <m/>
    <n v="1.2571000000000001"/>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1-01T00:00:00"/>
    <s v="FY21"/>
    <s v="t"/>
    <n v="0.08"/>
    <n v="0.54"/>
    <n v="0"/>
    <n v="0.62"/>
    <n v="1"/>
    <n v="2"/>
    <n v="0"/>
    <n v="3"/>
    <n v="12.9"/>
    <n v="87.09"/>
    <n v="0"/>
    <s v="Consolidation"/>
    <s v="CO2e and Base Measure"/>
    <n v="100"/>
    <n v="100"/>
    <n v="0.62"/>
    <m/>
    <m/>
    <m/>
    <m/>
    <m/>
    <n v="0.80600000000000005"/>
    <m/>
    <n v="0.80600000000000005"/>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2-01T00:00:00"/>
    <s v="FY21"/>
    <s v="t"/>
    <n v="0.69099999999999995"/>
    <n v="0"/>
    <n v="0"/>
    <n v="0.69099999999999995"/>
    <n v="3"/>
    <n v="0"/>
    <n v="0"/>
    <n v="3"/>
    <n v="100"/>
    <n v="0"/>
    <n v="0"/>
    <s v="Consolidation"/>
    <s v="CO2e and Base Measure"/>
    <n v="100"/>
    <n v="100"/>
    <n v="0.69"/>
    <m/>
    <m/>
    <m/>
    <m/>
    <m/>
    <n v="0.89829999999999999"/>
    <m/>
    <n v="0.89829999999999999"/>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3-01T00:00:00"/>
    <s v="FY21"/>
    <s v="t"/>
    <n v="0.372"/>
    <n v="0"/>
    <n v="0"/>
    <n v="0.372"/>
    <n v="5"/>
    <n v="0"/>
    <n v="0"/>
    <n v="5"/>
    <n v="100"/>
    <n v="0"/>
    <n v="0"/>
    <s v="Consolidation"/>
    <s v="CO2e and Base Measure"/>
    <n v="100"/>
    <n v="100"/>
    <n v="0.37"/>
    <m/>
    <m/>
    <m/>
    <m/>
    <m/>
    <n v="0.48359999999999997"/>
    <m/>
    <n v="0.48359999999999997"/>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4-01T00:00:00"/>
    <s v="FY21"/>
    <s v="t"/>
    <n v="0"/>
    <n v="0"/>
    <n v="0.66300000000000003"/>
    <n v="0.66300000000000003"/>
    <n v="0"/>
    <n v="0"/>
    <n v="30"/>
    <n v="30"/>
    <n v="0"/>
    <n v="0"/>
    <n v="100"/>
    <s v="Consolidation"/>
    <s v="CO2e and Base Measure"/>
    <n v="100"/>
    <n v="100"/>
    <n v="0.66"/>
    <m/>
    <m/>
    <m/>
    <m/>
    <m/>
    <n v="0.8619"/>
    <m/>
    <n v="0.8619"/>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5-01T00:00:00"/>
    <s v="FY21"/>
    <s v="t"/>
    <n v="0"/>
    <n v="0"/>
    <n v="0.68510000000000004"/>
    <n v="0.68510000000000004"/>
    <n v="0"/>
    <n v="0"/>
    <n v="31"/>
    <n v="31"/>
    <n v="0"/>
    <n v="0"/>
    <n v="100"/>
    <s v="Consolidation"/>
    <s v="CO2e and Base Measure"/>
    <n v="100"/>
    <n v="100"/>
    <n v="0.69"/>
    <m/>
    <m/>
    <m/>
    <m/>
    <m/>
    <n v="0.89059999999999995"/>
    <m/>
    <n v="0.89059999999999995"/>
    <m/>
    <m/>
    <m/>
    <m/>
    <m/>
    <s v="AUD"/>
    <s v="13634392Waste - General [t] - Scope 3"/>
    <n v="13634392"/>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0-12-01T00:00:00"/>
    <s v="FY21"/>
    <s v="t"/>
    <n v="0.14000000000000001"/>
    <n v="7.4999999999999997E-2"/>
    <n v="0"/>
    <n v="0.215"/>
    <n v="1"/>
    <n v="1"/>
    <n v="0"/>
    <n v="2"/>
    <n v="65.11"/>
    <n v="34.880000000000003"/>
    <n v="0"/>
    <s v="Consolidation"/>
    <s v="CO2e and Base Measure"/>
    <n v="100"/>
    <n v="100"/>
    <n v="0.22"/>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1-01T00:00:00"/>
    <s v="FY21"/>
    <s v="t"/>
    <n v="0.08"/>
    <n v="7.4999999999999997E-2"/>
    <n v="0"/>
    <n v="0.155"/>
    <n v="1"/>
    <n v="1"/>
    <n v="0"/>
    <n v="2"/>
    <n v="51.61"/>
    <n v="48.38"/>
    <n v="0"/>
    <s v="Consolidation"/>
    <s v="CO2e and Base Measure"/>
    <n v="100"/>
    <n v="100"/>
    <n v="0.16"/>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2-01T00:00:00"/>
    <s v="FY21"/>
    <s v="t"/>
    <n v="0.121"/>
    <n v="0"/>
    <n v="0"/>
    <n v="0.121"/>
    <n v="2"/>
    <n v="0"/>
    <n v="0"/>
    <n v="2"/>
    <n v="100"/>
    <n v="0"/>
    <n v="0"/>
    <s v="Consolidation"/>
    <s v="CO2e and Base Measure"/>
    <n v="100"/>
    <n v="100"/>
    <n v="0.12"/>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3-01T00:00:00"/>
    <s v="FY21"/>
    <s v="t"/>
    <n v="0.121"/>
    <n v="0"/>
    <n v="0"/>
    <n v="0.121"/>
    <n v="3"/>
    <n v="0"/>
    <n v="0"/>
    <n v="3"/>
    <n v="100"/>
    <n v="0"/>
    <n v="0"/>
    <s v="Consolidation"/>
    <s v="CO2e and Base Measure"/>
    <n v="100"/>
    <n v="100"/>
    <n v="0.12"/>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4-01T00:00:00"/>
    <s v="FY21"/>
    <s v="t"/>
    <n v="0"/>
    <n v="0"/>
    <n v="0.153"/>
    <n v="0.153"/>
    <n v="0"/>
    <n v="0"/>
    <n v="30"/>
    <n v="30"/>
    <n v="0"/>
    <n v="0"/>
    <n v="100"/>
    <s v="Consolidation"/>
    <s v="CO2e and Base Measure"/>
    <n v="100"/>
    <n v="100"/>
    <n v="0.15"/>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5-01T00:00:00"/>
    <s v="FY21"/>
    <s v="t"/>
    <n v="0"/>
    <n v="0"/>
    <n v="0.15809999999999999"/>
    <n v="0.15809999999999999"/>
    <n v="0"/>
    <n v="0"/>
    <n v="31"/>
    <n v="31"/>
    <n v="0"/>
    <n v="0"/>
    <n v="100"/>
    <s v="Consolidation"/>
    <s v="CO2e and Base Measure"/>
    <n v="100"/>
    <n v="100"/>
    <n v="0.16"/>
    <m/>
    <m/>
    <m/>
    <m/>
    <m/>
    <m/>
    <m/>
    <m/>
    <m/>
    <m/>
    <m/>
    <m/>
    <m/>
    <s v="AUD"/>
    <s v="13634393Waste Recycled - Paper and Cardboard [t]"/>
    <n v="13634393"/>
  </r>
  <r>
    <d v="2019-07-01T00:00:00"/>
    <d v="2021-06-30T00:00:00"/>
    <s v="Telstra"/>
    <s v="NETWORK"/>
    <s v="Network - InfraCo"/>
    <s v="NSW"/>
    <s v="Australia"/>
    <s v="Wagga Wagga"/>
    <s v="WAGGA WAGGA EXCHANGE"/>
    <n v="423030305700"/>
    <s v="Recycled Waste"/>
    <x v="0"/>
    <x v="0"/>
    <s v="Account"/>
    <s v="Remondis Cardboard - Loose - Recycled"/>
    <m/>
    <s v="4230303057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488Waste Recycled - Cardboard [t]"/>
    <n v="13564488"/>
  </r>
  <r>
    <d v="2019-07-01T00:00:00"/>
    <d v="2021-06-30T00:00:00"/>
    <s v="Telstra"/>
    <s v="NETWORK"/>
    <s v="Network - InfraCo"/>
    <s v="NSW"/>
    <s v="Australia"/>
    <s v="Wagga Wagga"/>
    <s v="WAGGA WAGGA EXCHANGE"/>
    <n v="423030305700"/>
    <s v="Recycled Waste"/>
    <x v="0"/>
    <x v="0"/>
    <s v="Account"/>
    <s v="Remondis Cardboard - Loose - Recycled"/>
    <m/>
    <s v="4230303057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488Waste Recycled - Cardboard [t]"/>
    <n v="13564488"/>
  </r>
  <r>
    <d v="2019-07-01T00:00:00"/>
    <d v="2021-06-30T00:00:00"/>
    <s v="Telstra"/>
    <s v="NETWORK"/>
    <s v="Network - InfraCo"/>
    <s v="NSW"/>
    <s v="Australia"/>
    <s v="Wagga Wagga"/>
    <s v="WAGGA WAGGA EXCHANGE"/>
    <n v="423030305700"/>
    <s v="Recycled Waste"/>
    <x v="0"/>
    <x v="0"/>
    <s v="Account"/>
    <s v="Remondis Cardboard - Loose - Recycled"/>
    <m/>
    <s v="4230303057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488Waste Recycled - Cardboard [t]"/>
    <n v="13564488"/>
  </r>
  <r>
    <d v="2019-07-01T00:00:00"/>
    <d v="2021-06-30T00:00:00"/>
    <s v="Telstra"/>
    <s v="NETWORK"/>
    <s v="Network - InfraCo"/>
    <s v="NSW"/>
    <s v="Australia"/>
    <s v="Wagga Wagga"/>
    <s v="WAGGA WAGGA EXCHANGE"/>
    <n v="423030305700"/>
    <s v="Recycled Waste"/>
    <x v="0"/>
    <x v="0"/>
    <s v="Account"/>
    <s v="Remondis Cardboard - Loose - Recycled"/>
    <m/>
    <s v="423030305700_RCARDBOAR"/>
    <s v="CARDBOARD - LOOSE - RECYCLED"/>
    <s v="Remondis"/>
    <m/>
    <m/>
    <d v="2020-12-01T00:00:00"/>
    <d v="2020-12-01T00:00:00"/>
    <s v="FY21"/>
    <s v="t"/>
    <n v="0"/>
    <n v="0"/>
    <n v="8.0000000000000004E-4"/>
    <n v="8.0000000000000004E-4"/>
    <n v="0"/>
    <n v="0"/>
    <n v="1"/>
    <n v="1"/>
    <n v="0"/>
    <n v="0"/>
    <n v="100"/>
    <s v="Consolidation"/>
    <s v="CO2e and Base Measure"/>
    <n v="100"/>
    <n v="100"/>
    <n v="0"/>
    <m/>
    <m/>
    <m/>
    <m/>
    <m/>
    <m/>
    <n v="0"/>
    <m/>
    <m/>
    <m/>
    <m/>
    <m/>
    <m/>
    <s v="AUD"/>
    <s v="13564488Waste Recycled - Cardboard [t]"/>
    <n v="13564488"/>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489Waste - General [t] - Scope 3"/>
    <n v="13564489"/>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07-01T00:00:00"/>
    <s v="FY21"/>
    <s v="t"/>
    <n v="0"/>
    <n v="0.315"/>
    <n v="0"/>
    <n v="0.315"/>
    <n v="0"/>
    <n v="5"/>
    <n v="0"/>
    <n v="5"/>
    <n v="0"/>
    <n v="100"/>
    <n v="0"/>
    <s v="Consolidation"/>
    <s v="CO2e and Base Measure"/>
    <n v="100"/>
    <n v="100"/>
    <n v="0.32"/>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08-01T00:00:00"/>
    <s v="FY21"/>
    <s v="t"/>
    <n v="0"/>
    <n v="0.252"/>
    <n v="0"/>
    <n v="0.252"/>
    <n v="0"/>
    <n v="4"/>
    <n v="0"/>
    <n v="4"/>
    <n v="0"/>
    <n v="100"/>
    <n v="0"/>
    <s v="Consolidation"/>
    <s v="CO2e and Base Measure"/>
    <n v="100"/>
    <n v="100"/>
    <n v="0.25"/>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09-01T00:00:00"/>
    <s v="FY21"/>
    <s v="t"/>
    <n v="0"/>
    <n v="0.252"/>
    <n v="0"/>
    <n v="0.252"/>
    <n v="0"/>
    <n v="4"/>
    <n v="0"/>
    <n v="4"/>
    <n v="0"/>
    <n v="100"/>
    <n v="0"/>
    <s v="Consolidation"/>
    <s v="CO2e and Base Measure"/>
    <n v="100"/>
    <n v="100"/>
    <n v="0.25"/>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10-01T00:00:00"/>
    <s v="FY21"/>
    <s v="t"/>
    <n v="0"/>
    <n v="0.252"/>
    <n v="0"/>
    <n v="0.252"/>
    <n v="0"/>
    <n v="4"/>
    <n v="0"/>
    <n v="4"/>
    <n v="0"/>
    <n v="100"/>
    <n v="0"/>
    <s v="Consolidation"/>
    <s v="CO2e and Base Measure"/>
    <n v="100"/>
    <n v="100"/>
    <n v="0.25"/>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11-01T00:00:00"/>
    <s v="FY21"/>
    <s v="t"/>
    <n v="0"/>
    <n v="0.252"/>
    <n v="0"/>
    <n v="0.252"/>
    <n v="0"/>
    <n v="4"/>
    <n v="0"/>
    <n v="4"/>
    <n v="0"/>
    <n v="100"/>
    <n v="0"/>
    <s v="Consolidation"/>
    <s v="CO2e and Base Measure"/>
    <n v="100"/>
    <n v="100"/>
    <n v="0.25"/>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12-01T00:00:00"/>
    <s v="FY21"/>
    <s v="t"/>
    <n v="0"/>
    <n v="0"/>
    <n v="8.6999999999999994E-3"/>
    <n v="8.6999999999999994E-3"/>
    <n v="0"/>
    <n v="0"/>
    <n v="1"/>
    <n v="1"/>
    <n v="0"/>
    <n v="0"/>
    <n v="100"/>
    <s v="Consolidation"/>
    <s v="CO2e and Base Measure"/>
    <n v="100"/>
    <n v="100"/>
    <n v="0.01"/>
    <m/>
    <m/>
    <m/>
    <m/>
    <m/>
    <m/>
    <n v="0"/>
    <m/>
    <m/>
    <m/>
    <m/>
    <m/>
    <m/>
    <s v="AUD"/>
    <s v="13564493Waste Recycled - Cardboard [t]"/>
    <n v="13564493"/>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07-01T00:00:00"/>
    <s v="FY21"/>
    <s v="t"/>
    <n v="0"/>
    <n v="0.78"/>
    <n v="0"/>
    <n v="0.78"/>
    <n v="0"/>
    <n v="4"/>
    <n v="0"/>
    <n v="4"/>
    <n v="0"/>
    <n v="100"/>
    <n v="0"/>
    <s v="Consolidation"/>
    <s v="CO2e and Base Measure"/>
    <n v="100"/>
    <n v="100"/>
    <n v="0.78"/>
    <m/>
    <m/>
    <m/>
    <m/>
    <m/>
    <n v="1.014"/>
    <m/>
    <n v="1.014"/>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09-01T00:00:00"/>
    <s v="FY21"/>
    <s v="t"/>
    <n v="0"/>
    <n v="0.78"/>
    <n v="0"/>
    <n v="0.78"/>
    <n v="0"/>
    <n v="4"/>
    <n v="0"/>
    <n v="4"/>
    <n v="0"/>
    <n v="100"/>
    <n v="0"/>
    <s v="Consolidation"/>
    <s v="CO2e and Base Measure"/>
    <n v="100"/>
    <n v="100"/>
    <n v="0.78"/>
    <m/>
    <m/>
    <m/>
    <m/>
    <m/>
    <n v="1.014"/>
    <m/>
    <n v="1.014"/>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10-01T00:00:00"/>
    <s v="FY21"/>
    <s v="t"/>
    <n v="0"/>
    <n v="0.78"/>
    <n v="0"/>
    <n v="0.78"/>
    <n v="0"/>
    <n v="4"/>
    <n v="0"/>
    <n v="4"/>
    <n v="0"/>
    <n v="100"/>
    <n v="0"/>
    <s v="Consolidation"/>
    <s v="CO2e and Base Measure"/>
    <n v="100"/>
    <n v="100"/>
    <n v="0.78"/>
    <m/>
    <m/>
    <m/>
    <m/>
    <m/>
    <n v="1.014"/>
    <m/>
    <n v="1.014"/>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11-01T00:00:00"/>
    <s v="FY21"/>
    <s v="t"/>
    <n v="0"/>
    <n v="1.365"/>
    <n v="0"/>
    <n v="1.365"/>
    <n v="0"/>
    <n v="6"/>
    <n v="0"/>
    <n v="6"/>
    <n v="0"/>
    <n v="100"/>
    <n v="0"/>
    <s v="Consolidation"/>
    <s v="CO2e and Base Measure"/>
    <n v="100"/>
    <n v="100"/>
    <n v="1.37"/>
    <m/>
    <m/>
    <m/>
    <m/>
    <m/>
    <n v="1.7745"/>
    <m/>
    <n v="1.7745"/>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12-01T00:00:00"/>
    <s v="FY21"/>
    <s v="t"/>
    <n v="0"/>
    <n v="0"/>
    <n v="3.1099999999999999E-2"/>
    <n v="3.1099999999999999E-2"/>
    <n v="0"/>
    <n v="0"/>
    <n v="1"/>
    <n v="1"/>
    <n v="0"/>
    <n v="0"/>
    <n v="100"/>
    <s v="Consolidation"/>
    <s v="CO2e and Base Measure"/>
    <n v="100"/>
    <n v="100"/>
    <n v="0.03"/>
    <m/>
    <m/>
    <m/>
    <m/>
    <m/>
    <n v="4.0399999999999998E-2"/>
    <m/>
    <n v="4.0399999999999998E-2"/>
    <m/>
    <m/>
    <m/>
    <m/>
    <m/>
    <s v="AUD"/>
    <s v="13564496Waste - General [t] - Scope 3"/>
    <n v="13564496"/>
  </r>
  <r>
    <d v="2019-07-01T00:00:00"/>
    <d v="2021-06-30T00:00:00"/>
    <s v="Telstra"/>
    <s v="NON-NETWORK"/>
    <s v="NON-NETWORK"/>
    <s v="NSW"/>
    <s v="Australia"/>
    <s v="Wagga Wagga"/>
    <s v="WAGGA WAGGA LINE DEPOT"/>
    <n v="423030306300"/>
    <s v="Recycled Waste"/>
    <x v="0"/>
    <x v="5"/>
    <s v="Account"/>
    <s v="Remondis Metal - Mixed All"/>
    <m/>
    <s v="423030306300_RMETMIXED"/>
    <s v="METAL - MIXED ALL"/>
    <s v="Remondis"/>
    <m/>
    <m/>
    <d v="2021-01-01T00:00:00"/>
    <d v="2020-12-01T00:00:00"/>
    <s v="FY21"/>
    <s v="t"/>
    <n v="0.77"/>
    <n v="0"/>
    <n v="0"/>
    <n v="0.77"/>
    <n v="1"/>
    <n v="0"/>
    <n v="0"/>
    <n v="1"/>
    <n v="100"/>
    <n v="0"/>
    <n v="0"/>
    <s v="Consolidation"/>
    <s v="CO2e and Base Measure"/>
    <n v="100"/>
    <n v="100"/>
    <n v="0.77"/>
    <m/>
    <m/>
    <m/>
    <m/>
    <m/>
    <m/>
    <m/>
    <m/>
    <m/>
    <m/>
    <m/>
    <m/>
    <m/>
    <s v="AUD"/>
    <s v="13564497Waste Recycled - Construction and Demolition [t]"/>
    <n v="13564497"/>
  </r>
  <r>
    <d v="2019-07-01T00:00:00"/>
    <d v="2021-06-30T00:00:00"/>
    <s v="Telstra"/>
    <s v="NON-NETWORK"/>
    <s v="NON-NETWORK"/>
    <s v="NSW"/>
    <s v="Australia"/>
    <s v="Wagga Wagga"/>
    <s v="WAGGA WAGGA LINE DEPOT"/>
    <n v="423030306300"/>
    <s v="Recycled Waste"/>
    <x v="0"/>
    <x v="5"/>
    <s v="Account"/>
    <s v="Remondis Metal - Mixed All"/>
    <m/>
    <s v="423030306300_RMETMIXED"/>
    <s v="METAL - MIXED ALL"/>
    <s v="Remondis"/>
    <m/>
    <m/>
    <d v="2021-01-01T00:00:00"/>
    <d v="2021-01-01T00:00:00"/>
    <s v="FY21"/>
    <s v="t"/>
    <n v="0"/>
    <n v="0"/>
    <n v="1.09E-2"/>
    <n v="1.09E-2"/>
    <n v="0"/>
    <n v="0"/>
    <n v="1"/>
    <n v="1"/>
    <n v="0"/>
    <n v="0"/>
    <n v="100"/>
    <s v="Consolidation"/>
    <s v="CO2e and Base Measure"/>
    <n v="100"/>
    <n v="100"/>
    <n v="0.01"/>
    <m/>
    <m/>
    <m/>
    <m/>
    <m/>
    <m/>
    <m/>
    <m/>
    <m/>
    <m/>
    <m/>
    <m/>
    <m/>
    <s v="AUD"/>
    <s v="13564497Waste Recycled - Construction and Demolition [t]"/>
    <n v="13564497"/>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08-01T00:00:00"/>
    <s v="FY21"/>
    <s v="t"/>
    <n v="2.64"/>
    <n v="1"/>
    <n v="0"/>
    <n v="3.64"/>
    <n v="2"/>
    <n v="1"/>
    <n v="0"/>
    <n v="3"/>
    <n v="72.52"/>
    <n v="27.47"/>
    <n v="0"/>
    <s v="Consolidation"/>
    <s v="CO2e and Base Measure"/>
    <n v="100"/>
    <n v="100"/>
    <n v="3.64"/>
    <m/>
    <m/>
    <m/>
    <m/>
    <m/>
    <m/>
    <m/>
    <m/>
    <m/>
    <m/>
    <m/>
    <m/>
    <m/>
    <s v="AUD"/>
    <s v="13625671Waste Recycled - Construction and Demolition [t]"/>
    <n v="13625671"/>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09-01T00:00:00"/>
    <s v="FY21"/>
    <s v="t"/>
    <n v="1"/>
    <n v="0"/>
    <n v="0"/>
    <n v="1"/>
    <n v="1"/>
    <n v="0"/>
    <n v="0"/>
    <n v="1"/>
    <n v="100"/>
    <n v="0"/>
    <n v="0"/>
    <s v="Consolidation"/>
    <s v="CO2e and Base Measure"/>
    <n v="100"/>
    <n v="100"/>
    <n v="1"/>
    <m/>
    <m/>
    <m/>
    <m/>
    <m/>
    <m/>
    <m/>
    <m/>
    <m/>
    <m/>
    <m/>
    <m/>
    <m/>
    <s v="AUD"/>
    <s v="13625671Waste Recycled - Construction and Demolition [t]"/>
    <n v="13625671"/>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10-01T00:00:00"/>
    <s v="FY21"/>
    <s v="t"/>
    <n v="0"/>
    <n v="1"/>
    <n v="0"/>
    <n v="1"/>
    <n v="0"/>
    <n v="1"/>
    <n v="0"/>
    <n v="1"/>
    <n v="0"/>
    <n v="100"/>
    <n v="0"/>
    <s v="Consolidation"/>
    <s v="CO2e and Base Measure"/>
    <n v="100"/>
    <n v="100"/>
    <n v="1"/>
    <m/>
    <m/>
    <m/>
    <m/>
    <m/>
    <m/>
    <m/>
    <m/>
    <m/>
    <m/>
    <m/>
    <m/>
    <m/>
    <s v="AUD"/>
    <s v="13625671Waste Recycled - Construction and Demolition [t]"/>
    <n v="13625671"/>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11-01T00:00:00"/>
    <s v="FY21"/>
    <s v="t"/>
    <n v="1"/>
    <n v="0"/>
    <n v="0"/>
    <n v="1"/>
    <n v="1"/>
    <n v="0"/>
    <n v="0"/>
    <n v="1"/>
    <n v="100"/>
    <n v="0"/>
    <n v="0"/>
    <s v="Consolidation"/>
    <s v="CO2e and Base Measure"/>
    <n v="100"/>
    <n v="100"/>
    <n v="1"/>
    <m/>
    <m/>
    <m/>
    <m/>
    <m/>
    <m/>
    <m/>
    <m/>
    <m/>
    <m/>
    <m/>
    <m/>
    <m/>
    <s v="AUD"/>
    <s v="13625671Waste Recycled - Construction and Demolition [t]"/>
    <n v="13625671"/>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12-01T00:00:00"/>
    <s v="FY21"/>
    <s v="t"/>
    <n v="0"/>
    <n v="0"/>
    <n v="5.4899999999999997E-2"/>
    <n v="5.4899999999999997E-2"/>
    <n v="0"/>
    <n v="0"/>
    <n v="1"/>
    <n v="1"/>
    <n v="0"/>
    <n v="0"/>
    <n v="100"/>
    <s v="Consolidation"/>
    <s v="CO2e and Base Measure"/>
    <n v="100"/>
    <n v="100"/>
    <n v="0.05"/>
    <m/>
    <m/>
    <m/>
    <m/>
    <m/>
    <m/>
    <m/>
    <m/>
    <m/>
    <m/>
    <m/>
    <m/>
    <m/>
    <s v="AUD"/>
    <s v="13625671Waste Recycled - Construction and Demolition [t]"/>
    <n v="13625671"/>
  </r>
  <r>
    <d v="2019-07-01T00:00:00"/>
    <d v="2021-06-30T00:00:00"/>
    <s v="Telstra"/>
    <s v="NETWORK"/>
    <s v="Network - InfraCo"/>
    <s v="NSW"/>
    <s v="Australia"/>
    <s v="Normanhurst"/>
    <s v="WAHROONGA EXCHANGE"/>
    <n v="423030307500"/>
    <s v="Waste"/>
    <x v="1"/>
    <x v="2"/>
    <s v="Account"/>
    <s v="CLEANAWAY General"/>
    <m/>
    <s v="44222_Landfill_General"/>
    <s v="General"/>
    <s v="Cleanaway"/>
    <m/>
    <d v="2021-02-23T00:00:00"/>
    <m/>
    <d v="2021-02-01T00:00:00"/>
    <s v="FY21"/>
    <s v="t"/>
    <n v="1.04"/>
    <n v="0"/>
    <n v="0"/>
    <n v="1.04"/>
    <n v="1"/>
    <n v="0"/>
    <n v="0"/>
    <n v="1"/>
    <n v="100"/>
    <n v="0"/>
    <n v="0"/>
    <s v="Consolidation"/>
    <s v="CO2e and Base Measure"/>
    <n v="100"/>
    <n v="100"/>
    <n v="1.04"/>
    <m/>
    <m/>
    <m/>
    <m/>
    <m/>
    <n v="1.3520000000000001"/>
    <m/>
    <n v="1.3520000000000001"/>
    <m/>
    <m/>
    <m/>
    <m/>
    <m/>
    <s v="AUD"/>
    <s v="13639941Waste - General [t] - Scope 3"/>
    <n v="13639941"/>
  </r>
  <r>
    <d v="2019-07-01T00:00:00"/>
    <d v="2021-06-30T00:00:00"/>
    <s v="Telstra"/>
    <s v="NETWORK"/>
    <s v="Network - InfraCo"/>
    <s v="NSW"/>
    <s v="Australia"/>
    <s v="Normanhurst"/>
    <s v="WAHROONGA EXCHANGE"/>
    <n v="423030307500"/>
    <s v="Waste"/>
    <x v="1"/>
    <x v="2"/>
    <s v="Account"/>
    <s v="CLEANAWAY General"/>
    <m/>
    <s v="44222_Landfill_General"/>
    <s v="General"/>
    <s v="Cleanaway"/>
    <m/>
    <d v="2021-02-23T00:00:00"/>
    <m/>
    <d v="2021-03-01T00:00:00"/>
    <s v="FY21"/>
    <s v="t"/>
    <n v="0"/>
    <n v="0"/>
    <n v="1.1935"/>
    <n v="1.1935"/>
    <n v="0"/>
    <n v="0"/>
    <n v="31"/>
    <n v="31"/>
    <n v="0"/>
    <n v="0"/>
    <n v="100"/>
    <s v="Consolidation"/>
    <s v="CO2e and Base Measure"/>
    <n v="100"/>
    <n v="100"/>
    <n v="1.19"/>
    <m/>
    <m/>
    <m/>
    <m/>
    <m/>
    <n v="1.5516000000000001"/>
    <m/>
    <n v="1.5516000000000001"/>
    <m/>
    <m/>
    <m/>
    <m/>
    <m/>
    <s v="AUD"/>
    <s v="13639941Waste - General [t] - Scope 3"/>
    <n v="13639941"/>
  </r>
  <r>
    <d v="2019-07-01T00:00:00"/>
    <d v="2021-06-30T00:00:00"/>
    <s v="Telstra"/>
    <s v="NETWORK"/>
    <s v="Network - InfraCo"/>
    <s v="NSW"/>
    <s v="Australia"/>
    <s v="Normanhurst"/>
    <s v="WAHROONGA EXCHANGE"/>
    <n v="423030307500"/>
    <s v="Waste"/>
    <x v="1"/>
    <x v="2"/>
    <s v="Account"/>
    <s v="CLEANAWAY General"/>
    <m/>
    <s v="44222_Landfill_General"/>
    <s v="General"/>
    <s v="Cleanaway"/>
    <m/>
    <d v="2021-02-23T00:00:00"/>
    <m/>
    <d v="2021-04-01T00:00:00"/>
    <s v="FY21"/>
    <s v="t"/>
    <n v="0"/>
    <n v="0"/>
    <n v="1.155"/>
    <n v="1.155"/>
    <n v="0"/>
    <n v="0"/>
    <n v="30"/>
    <n v="30"/>
    <n v="0"/>
    <n v="0"/>
    <n v="100"/>
    <s v="Consolidation"/>
    <s v="CO2e and Base Measure"/>
    <n v="100"/>
    <n v="100"/>
    <n v="1.1599999999999999"/>
    <m/>
    <m/>
    <m/>
    <m/>
    <m/>
    <n v="1.5015000000000001"/>
    <m/>
    <n v="1.5015000000000001"/>
    <m/>
    <m/>
    <m/>
    <m/>
    <m/>
    <s v="AUD"/>
    <s v="13639941Waste - General [t] - Scope 3"/>
    <n v="13639941"/>
  </r>
  <r>
    <d v="2019-07-01T00:00:00"/>
    <d v="2021-06-30T00:00:00"/>
    <s v="Telstra"/>
    <s v="NETWORK"/>
    <s v="Network - InfraCo"/>
    <s v="NSW"/>
    <s v="Australia"/>
    <s v="Normanhurst"/>
    <s v="WAHROONGA EXCHANGE"/>
    <n v="423030307500"/>
    <s v="Waste"/>
    <x v="1"/>
    <x v="2"/>
    <s v="Account"/>
    <s v="CLEANAWAY General"/>
    <m/>
    <s v="44222_Landfill_General"/>
    <s v="General"/>
    <s v="Cleanaway"/>
    <m/>
    <d v="2021-02-23T00:00:00"/>
    <m/>
    <d v="2021-05-01T00:00:00"/>
    <s v="FY21"/>
    <s v="t"/>
    <n v="0"/>
    <n v="0"/>
    <n v="1.1935"/>
    <n v="1.1935"/>
    <n v="0"/>
    <n v="0"/>
    <n v="31"/>
    <n v="31"/>
    <n v="0"/>
    <n v="0"/>
    <n v="100"/>
    <s v="Consolidation"/>
    <s v="CO2e and Base Measure"/>
    <n v="100"/>
    <n v="100"/>
    <n v="1.19"/>
    <m/>
    <m/>
    <m/>
    <m/>
    <m/>
    <n v="1.5516000000000001"/>
    <m/>
    <n v="1.5516000000000001"/>
    <m/>
    <m/>
    <m/>
    <m/>
    <m/>
    <s v="AUD"/>
    <s v="13639941Waste - General [t] - Scope 3"/>
    <n v="13639941"/>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5104Waste - General [t] - Scope 3"/>
    <n v="13565104"/>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08-01T00:00:00"/>
    <s v="FY21"/>
    <s v="t"/>
    <n v="0"/>
    <n v="0.19500000000000001"/>
    <n v="0"/>
    <n v="0.19500000000000001"/>
    <n v="0"/>
    <n v="2"/>
    <n v="0"/>
    <n v="2"/>
    <n v="0"/>
    <n v="100"/>
    <n v="0"/>
    <s v="Consolidation"/>
    <s v="CO2e and Base Measure"/>
    <n v="100"/>
    <n v="100"/>
    <n v="0.2"/>
    <m/>
    <m/>
    <m/>
    <m/>
    <m/>
    <n v="0.2535"/>
    <m/>
    <n v="0.2535"/>
    <m/>
    <m/>
    <m/>
    <m/>
    <m/>
    <s v="AUD"/>
    <s v="13565104Waste - General [t] - Scope 3"/>
    <n v="13565104"/>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09-01T00:00:00"/>
    <s v="FY21"/>
    <s v="t"/>
    <n v="0"/>
    <n v="0.19500000000000001"/>
    <n v="0"/>
    <n v="0.19500000000000001"/>
    <n v="0"/>
    <n v="2"/>
    <n v="0"/>
    <n v="2"/>
    <n v="0"/>
    <n v="100"/>
    <n v="0"/>
    <s v="Consolidation"/>
    <s v="CO2e and Base Measure"/>
    <n v="100"/>
    <n v="100"/>
    <n v="0.2"/>
    <m/>
    <m/>
    <m/>
    <m/>
    <m/>
    <n v="0.2535"/>
    <m/>
    <n v="0.2535"/>
    <m/>
    <m/>
    <m/>
    <m/>
    <m/>
    <s v="AUD"/>
    <s v="13565104Waste - General [t] - Scope 3"/>
    <n v="13565104"/>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10-01T00:00:00"/>
    <s v="FY21"/>
    <s v="t"/>
    <n v="0"/>
    <n v="0.19500000000000001"/>
    <n v="0"/>
    <n v="0.19500000000000001"/>
    <n v="0"/>
    <n v="2"/>
    <n v="0"/>
    <n v="2"/>
    <n v="0"/>
    <n v="100"/>
    <n v="0"/>
    <s v="Consolidation"/>
    <s v="CO2e and Base Measure"/>
    <n v="100"/>
    <n v="100"/>
    <n v="0.2"/>
    <m/>
    <m/>
    <m/>
    <m/>
    <m/>
    <n v="0.2535"/>
    <m/>
    <n v="0.2535"/>
    <m/>
    <m/>
    <m/>
    <m/>
    <m/>
    <s v="AUD"/>
    <s v="13565104Waste - General [t] - Scope 3"/>
    <n v="13565104"/>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11-01T00:00:00"/>
    <s v="FY21"/>
    <s v="t"/>
    <n v="0"/>
    <n v="0"/>
    <n v="7.1000000000000004E-3"/>
    <n v="7.1000000000000004E-3"/>
    <n v="0"/>
    <n v="0"/>
    <n v="1"/>
    <n v="1"/>
    <n v="0"/>
    <n v="0"/>
    <n v="100"/>
    <s v="Consolidation"/>
    <s v="CO2e and Base Measure"/>
    <n v="100"/>
    <n v="100"/>
    <n v="0.01"/>
    <m/>
    <m/>
    <m/>
    <m/>
    <m/>
    <n v="9.1999999999999998E-3"/>
    <m/>
    <n v="9.1999999999999998E-3"/>
    <m/>
    <m/>
    <m/>
    <m/>
    <m/>
    <s v="AUD"/>
    <s v="13565104Waste - General [t] - Scope 3"/>
    <n v="13565104"/>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0-11-01T00:00:00"/>
    <s v="FY21"/>
    <s v="t"/>
    <n v="0"/>
    <n v="6.7500000000000004E-2"/>
    <n v="0"/>
    <n v="6.7500000000000004E-2"/>
    <n v="0"/>
    <n v="1"/>
    <n v="0"/>
    <n v="1"/>
    <n v="0"/>
    <n v="100"/>
    <n v="0"/>
    <s v="Consolidation"/>
    <s v="CO2e and Base Measure"/>
    <n v="100"/>
    <n v="100"/>
    <n v="7.0000000000000007E-2"/>
    <m/>
    <m/>
    <m/>
    <m/>
    <m/>
    <n v="8.7800000000000003E-2"/>
    <m/>
    <n v="8.7800000000000003E-2"/>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0-12-01T00:00:00"/>
    <s v="FY21"/>
    <s v="t"/>
    <n v="5.8999999999999997E-2"/>
    <n v="6.7500000000000004E-2"/>
    <n v="0"/>
    <n v="0.1265"/>
    <n v="1"/>
    <n v="1"/>
    <n v="0"/>
    <n v="2"/>
    <n v="46.64"/>
    <n v="53.35"/>
    <n v="0"/>
    <s v="Consolidation"/>
    <s v="CO2e and Base Measure"/>
    <n v="100"/>
    <n v="100"/>
    <n v="0.13"/>
    <m/>
    <m/>
    <m/>
    <m/>
    <m/>
    <n v="0.16450000000000001"/>
    <m/>
    <n v="0.16450000000000001"/>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1-01T00:00:00"/>
    <s v="FY21"/>
    <s v="t"/>
    <n v="5.0999999999999997E-2"/>
    <n v="0"/>
    <n v="0"/>
    <n v="5.0999999999999997E-2"/>
    <n v="1"/>
    <n v="0"/>
    <n v="0"/>
    <n v="1"/>
    <n v="100"/>
    <n v="0"/>
    <n v="0"/>
    <s v="Consolidation"/>
    <s v="CO2e and Base Measure"/>
    <n v="100"/>
    <n v="100"/>
    <n v="0.05"/>
    <m/>
    <m/>
    <m/>
    <m/>
    <m/>
    <n v="6.6299999999999998E-2"/>
    <m/>
    <n v="6.6299999999999998E-2"/>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3-01T00:00:00"/>
    <s v="FY21"/>
    <s v="t"/>
    <n v="0.08"/>
    <n v="0"/>
    <n v="0"/>
    <n v="0.08"/>
    <n v="1"/>
    <n v="0"/>
    <n v="0"/>
    <n v="1"/>
    <n v="100"/>
    <n v="0"/>
    <n v="0"/>
    <s v="Consolidation"/>
    <s v="CO2e and Base Measure"/>
    <n v="100"/>
    <n v="100"/>
    <n v="0.08"/>
    <m/>
    <m/>
    <m/>
    <m/>
    <m/>
    <n v="0.104"/>
    <m/>
    <n v="0.104"/>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4-01T00:00:00"/>
    <s v="FY21"/>
    <s v="t"/>
    <n v="0"/>
    <n v="0"/>
    <n v="7.8E-2"/>
    <n v="7.8E-2"/>
    <n v="0"/>
    <n v="0"/>
    <n v="30"/>
    <n v="30"/>
    <n v="0"/>
    <n v="0"/>
    <n v="100"/>
    <s v="Consolidation"/>
    <s v="CO2e and Base Measure"/>
    <n v="100"/>
    <n v="100"/>
    <n v="0.08"/>
    <m/>
    <m/>
    <m/>
    <m/>
    <m/>
    <n v="0.1014"/>
    <m/>
    <n v="0.1014"/>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5-01T00:00:00"/>
    <s v="FY21"/>
    <s v="t"/>
    <n v="0"/>
    <n v="0"/>
    <n v="8.0600000000000005E-2"/>
    <n v="8.0600000000000005E-2"/>
    <n v="0"/>
    <n v="0"/>
    <n v="31"/>
    <n v="31"/>
    <n v="0"/>
    <n v="0"/>
    <n v="100"/>
    <s v="Consolidation"/>
    <s v="CO2e and Base Measure"/>
    <n v="100"/>
    <n v="100"/>
    <n v="0.08"/>
    <m/>
    <m/>
    <m/>
    <m/>
    <m/>
    <n v="0.1048"/>
    <m/>
    <n v="0.1048"/>
    <m/>
    <m/>
    <m/>
    <m/>
    <m/>
    <s v="AUD"/>
    <s v="13633991Waste - General [t] - Scope 3"/>
    <n v="13633991"/>
  </r>
  <r>
    <d v="2019-07-01T00:00:00"/>
    <d v="2021-06-30T00:00:00"/>
    <s v="Telstra"/>
    <s v="NETWORK"/>
    <s v="Network - InfraCo"/>
    <s v="VIC"/>
    <s v="Australia"/>
    <s v="Wangaratta"/>
    <s v="WANGARATTA EXCHANGE __ R_T"/>
    <n v="423030669600"/>
    <s v="Waste"/>
    <x v="1"/>
    <x v="4"/>
    <s v="Account"/>
    <s v="Remondis Asbestos"/>
    <m/>
    <s v="423030669600_WASBESTOS"/>
    <s v="ASBESTOS"/>
    <s v="Remondis"/>
    <m/>
    <m/>
    <d v="2021-01-01T00:00:00"/>
    <d v="2020-10-01T00:00:00"/>
    <s v="FY21"/>
    <s v="t"/>
    <n v="0.2"/>
    <n v="0"/>
    <n v="0"/>
    <n v="0.2"/>
    <n v="1"/>
    <n v="0"/>
    <n v="0"/>
    <n v="1"/>
    <n v="100"/>
    <n v="0"/>
    <n v="0"/>
    <s v="Consolidation"/>
    <s v="CO2e and Base Measure"/>
    <n v="100"/>
    <n v="100"/>
    <n v="0.2"/>
    <m/>
    <m/>
    <m/>
    <m/>
    <m/>
    <n v="0.24"/>
    <m/>
    <n v="0.24"/>
    <m/>
    <m/>
    <m/>
    <m/>
    <m/>
    <s v="AUD"/>
    <s v="13565091Waste - Construction and Demolition [t]"/>
    <n v="13565091"/>
  </r>
  <r>
    <d v="2019-07-01T00:00:00"/>
    <d v="2021-06-30T00:00:00"/>
    <s v="Telstra"/>
    <s v="NETWORK"/>
    <s v="Network - InfraCo"/>
    <s v="VIC"/>
    <s v="Australia"/>
    <s v="Wangaratta"/>
    <s v="WANGARATTA EXCHANGE __ R_T"/>
    <n v="423030669600"/>
    <s v="Waste"/>
    <x v="1"/>
    <x v="4"/>
    <s v="Account"/>
    <s v="Remondis Asbestos"/>
    <m/>
    <s v="4230306696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5091Waste - Construction and Demolition [t]"/>
    <n v="13565091"/>
  </r>
  <r>
    <d v="2019-07-01T00:00:00"/>
    <d v="2021-06-30T00:00:00"/>
    <s v="Telstra"/>
    <s v="NETWORK"/>
    <s v="Network - InfraCo"/>
    <s v="VIC"/>
    <s v="Australia"/>
    <s v="Wangaratta"/>
    <s v="WANGARATTA EXCHANGE __ R_T"/>
    <n v="423030669600"/>
    <s v="Waste"/>
    <x v="1"/>
    <x v="4"/>
    <s v="Account"/>
    <s v="Remondis Asbestos"/>
    <m/>
    <s v="423030669600_WASBESTOS"/>
    <s v="ASBESTOS"/>
    <s v="Remondis"/>
    <m/>
    <m/>
    <d v="2021-01-01T00:00:00"/>
    <d v="2021-01-01T00:00:00"/>
    <s v="FY21"/>
    <s v="t"/>
    <n v="0"/>
    <n v="0"/>
    <n v="2.5999999999999999E-3"/>
    <n v="2.5999999999999999E-3"/>
    <n v="0"/>
    <n v="0"/>
    <n v="1"/>
    <n v="1"/>
    <n v="0"/>
    <n v="0"/>
    <n v="100"/>
    <s v="Consolidation"/>
    <s v="CO2e and Base Measure"/>
    <n v="100"/>
    <n v="100"/>
    <n v="0"/>
    <m/>
    <m/>
    <m/>
    <m/>
    <m/>
    <n v="3.0999999999999999E-3"/>
    <m/>
    <n v="3.0999999999999999E-3"/>
    <m/>
    <m/>
    <m/>
    <m/>
    <m/>
    <s v="AUD"/>
    <s v="13565091Waste - Construction and Demolition [t]"/>
    <n v="13565091"/>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12-01T00:00:00"/>
    <s v="FY21"/>
    <s v="t"/>
    <n v="0"/>
    <n v="0"/>
    <n v="1.29E-2"/>
    <n v="1.29E-2"/>
    <n v="0"/>
    <n v="0"/>
    <n v="1"/>
    <n v="1"/>
    <n v="0"/>
    <n v="0"/>
    <n v="100"/>
    <s v="Consolidation"/>
    <s v="CO2e and Base Measure"/>
    <n v="100"/>
    <n v="100"/>
    <n v="0.01"/>
    <m/>
    <m/>
    <m/>
    <m/>
    <m/>
    <n v="1.6799999999999999E-2"/>
    <m/>
    <n v="1.6799999999999999E-2"/>
    <m/>
    <m/>
    <m/>
    <m/>
    <m/>
    <s v="AUD"/>
    <s v="13565092Waste - General [t] - Scope 3"/>
    <n v="13565092"/>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3Hazardous Waste [t]"/>
    <n v="13633423"/>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0-12-01T00:00:00"/>
    <s v="FY21"/>
    <s v="t"/>
    <n v="0.21199999999999999"/>
    <n v="0"/>
    <n v="0"/>
    <n v="0.21199999999999999"/>
    <n v="2"/>
    <n v="0"/>
    <n v="0"/>
    <n v="2"/>
    <n v="100"/>
    <n v="0"/>
    <n v="0"/>
    <s v="Consolidation"/>
    <s v="CO2e and Base Measure"/>
    <n v="100"/>
    <n v="100"/>
    <n v="0.21"/>
    <m/>
    <m/>
    <m/>
    <m/>
    <m/>
    <n v="0.27560000000000001"/>
    <m/>
    <n v="0.27560000000000001"/>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1-01T00:00:00"/>
    <s v="FY21"/>
    <s v="t"/>
    <n v="0.27700000000000002"/>
    <n v="0"/>
    <n v="0"/>
    <n v="0.27700000000000002"/>
    <n v="3"/>
    <n v="0"/>
    <n v="0"/>
    <n v="3"/>
    <n v="100"/>
    <n v="0"/>
    <n v="0"/>
    <s v="Consolidation"/>
    <s v="CO2e and Base Measure"/>
    <n v="100"/>
    <n v="100"/>
    <n v="0.28000000000000003"/>
    <m/>
    <m/>
    <m/>
    <m/>
    <m/>
    <n v="0.36009999999999998"/>
    <m/>
    <n v="0.36009999999999998"/>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2-01T00:00:00"/>
    <s v="FY21"/>
    <s v="t"/>
    <n v="0.191"/>
    <n v="0"/>
    <n v="0"/>
    <n v="0.191"/>
    <n v="2"/>
    <n v="0"/>
    <n v="0"/>
    <n v="2"/>
    <n v="100"/>
    <n v="0"/>
    <n v="0"/>
    <s v="Consolidation"/>
    <s v="CO2e and Base Measure"/>
    <n v="100"/>
    <n v="100"/>
    <n v="0.19"/>
    <m/>
    <m/>
    <m/>
    <m/>
    <m/>
    <n v="0.24829999999999999"/>
    <m/>
    <n v="0.24829999999999999"/>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3-01T00:00:00"/>
    <s v="FY21"/>
    <s v="t"/>
    <n v="0.41"/>
    <n v="0"/>
    <n v="0"/>
    <n v="0.41"/>
    <n v="2"/>
    <n v="0"/>
    <n v="0"/>
    <n v="2"/>
    <n v="100"/>
    <n v="0"/>
    <n v="0"/>
    <s v="Consolidation"/>
    <s v="CO2e and Base Measure"/>
    <n v="100"/>
    <n v="100"/>
    <n v="0.41"/>
    <m/>
    <m/>
    <m/>
    <m/>
    <m/>
    <n v="0.53300000000000003"/>
    <m/>
    <n v="0.53300000000000003"/>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4-01T00:00:00"/>
    <s v="FY21"/>
    <s v="t"/>
    <n v="0"/>
    <n v="0"/>
    <n v="0.27300000000000002"/>
    <n v="0.27300000000000002"/>
    <n v="0"/>
    <n v="0"/>
    <n v="30"/>
    <n v="30"/>
    <n v="0"/>
    <n v="0"/>
    <n v="100"/>
    <s v="Consolidation"/>
    <s v="CO2e and Base Measure"/>
    <n v="100"/>
    <n v="100"/>
    <n v="0.27"/>
    <m/>
    <m/>
    <m/>
    <m/>
    <m/>
    <n v="0.35489999999999999"/>
    <m/>
    <n v="0.35489999999999999"/>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5-01T00:00:00"/>
    <s v="FY21"/>
    <s v="t"/>
    <n v="0"/>
    <n v="0"/>
    <n v="0.28210000000000002"/>
    <n v="0.28210000000000002"/>
    <n v="0"/>
    <n v="0"/>
    <n v="31"/>
    <n v="31"/>
    <n v="0"/>
    <n v="0"/>
    <n v="100"/>
    <s v="Consolidation"/>
    <s v="CO2e and Base Measure"/>
    <n v="100"/>
    <n v="100"/>
    <n v="0.28000000000000003"/>
    <m/>
    <m/>
    <m/>
    <m/>
    <m/>
    <n v="0.36670000000000003"/>
    <m/>
    <n v="0.36670000000000003"/>
    <m/>
    <m/>
    <m/>
    <m/>
    <m/>
    <s v="AUD"/>
    <s v="13634296Waste - General [t] - Scope 3"/>
    <n v="13634296"/>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0-12-01T00:00:00"/>
    <s v="FY21"/>
    <s v="t"/>
    <n v="0"/>
    <n v="3.7499999999999999E-2"/>
    <n v="0"/>
    <n v="3.7499999999999999E-2"/>
    <n v="0"/>
    <n v="1"/>
    <n v="0"/>
    <n v="1"/>
    <n v="0"/>
    <n v="100"/>
    <n v="0"/>
    <s v="Consolidation"/>
    <s v="CO2e and Base Measure"/>
    <n v="100"/>
    <n v="100"/>
    <n v="0.04"/>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1-01T00:00:00"/>
    <s v="FY21"/>
    <s v="t"/>
    <n v="0"/>
    <n v="7.4999999999999997E-2"/>
    <n v="0"/>
    <n v="7.4999999999999997E-2"/>
    <n v="0"/>
    <n v="2"/>
    <n v="0"/>
    <n v="2"/>
    <n v="0"/>
    <n v="100"/>
    <n v="0"/>
    <s v="Consolidation"/>
    <s v="CO2e and Base Measure"/>
    <n v="100"/>
    <n v="100"/>
    <n v="0.08"/>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2-01T00:00:00"/>
    <s v="FY21"/>
    <s v="t"/>
    <n v="0"/>
    <n v="7.4999999999999997E-2"/>
    <n v="0"/>
    <n v="7.4999999999999997E-2"/>
    <n v="0"/>
    <n v="2"/>
    <n v="0"/>
    <n v="2"/>
    <n v="0"/>
    <n v="100"/>
    <n v="0"/>
    <s v="Consolidation"/>
    <s v="CO2e and Base Measure"/>
    <n v="100"/>
    <n v="100"/>
    <n v="0.08"/>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3-01T00:00:00"/>
    <s v="FY21"/>
    <s v="t"/>
    <n v="0"/>
    <n v="0.1125"/>
    <n v="0"/>
    <n v="0.1125"/>
    <n v="0"/>
    <n v="3"/>
    <n v="0"/>
    <n v="3"/>
    <n v="0"/>
    <n v="100"/>
    <n v="0"/>
    <s v="Consolidation"/>
    <s v="CO2e and Base Measure"/>
    <n v="100"/>
    <n v="100"/>
    <n v="0.11"/>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4-01T00:00:00"/>
    <s v="FY21"/>
    <s v="t"/>
    <n v="0"/>
    <n v="0"/>
    <n v="7.4999999999999997E-2"/>
    <n v="7.4999999999999997E-2"/>
    <n v="0"/>
    <n v="0"/>
    <n v="30"/>
    <n v="30"/>
    <n v="0"/>
    <n v="0"/>
    <n v="100"/>
    <s v="Consolidation"/>
    <s v="CO2e and Base Measure"/>
    <n v="100"/>
    <n v="100"/>
    <n v="0.08"/>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5-01T00:00:00"/>
    <s v="FY21"/>
    <s v="t"/>
    <n v="0"/>
    <n v="0"/>
    <n v="7.7499999999999999E-2"/>
    <n v="7.7499999999999999E-2"/>
    <n v="0"/>
    <n v="0"/>
    <n v="31"/>
    <n v="31"/>
    <n v="0"/>
    <n v="0"/>
    <n v="100"/>
    <s v="Consolidation"/>
    <s v="CO2e and Base Measure"/>
    <n v="100"/>
    <n v="100"/>
    <n v="0.08"/>
    <m/>
    <m/>
    <m/>
    <m/>
    <m/>
    <m/>
    <m/>
    <m/>
    <m/>
    <m/>
    <m/>
    <m/>
    <m/>
    <s v="AUD"/>
    <s v="13634297Waste Recycled - Paper and Cardboard [t]"/>
    <n v="13634297"/>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08-01T00:00:00"/>
    <s v="FY21"/>
    <s v="t"/>
    <n v="0.22500000000000001"/>
    <n v="0"/>
    <n v="0"/>
    <n v="0.22500000000000001"/>
    <n v="2"/>
    <n v="0"/>
    <n v="0"/>
    <n v="2"/>
    <n v="100"/>
    <n v="0"/>
    <n v="0"/>
    <s v="Consolidation"/>
    <s v="CO2e and Base Measure"/>
    <n v="100"/>
    <n v="100"/>
    <n v="0.23"/>
    <m/>
    <m/>
    <m/>
    <m/>
    <m/>
    <n v="0.29249999999999998"/>
    <m/>
    <n v="0.29249999999999998"/>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09-01T00:00:00"/>
    <s v="FY21"/>
    <s v="t"/>
    <n v="0.34"/>
    <n v="0"/>
    <n v="0"/>
    <n v="0.34"/>
    <n v="2"/>
    <n v="0"/>
    <n v="0"/>
    <n v="2"/>
    <n v="100"/>
    <n v="0"/>
    <n v="0"/>
    <s v="Consolidation"/>
    <s v="CO2e and Base Measure"/>
    <n v="100"/>
    <n v="100"/>
    <n v="0.34"/>
    <m/>
    <m/>
    <m/>
    <m/>
    <m/>
    <n v="0.442"/>
    <m/>
    <n v="0.442"/>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10-01T00:00:00"/>
    <s v="FY21"/>
    <s v="t"/>
    <n v="0.23499999999999999"/>
    <n v="0"/>
    <n v="0"/>
    <n v="0.23499999999999999"/>
    <n v="2"/>
    <n v="0"/>
    <n v="0"/>
    <n v="2"/>
    <n v="100"/>
    <n v="0"/>
    <n v="0"/>
    <s v="Consolidation"/>
    <s v="CO2e and Base Measure"/>
    <n v="100"/>
    <n v="100"/>
    <n v="0.24"/>
    <m/>
    <m/>
    <m/>
    <m/>
    <m/>
    <n v="0.30549999999999999"/>
    <m/>
    <n v="0.30549999999999999"/>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11-01T00:00:00"/>
    <s v="FY21"/>
    <s v="t"/>
    <n v="0.105"/>
    <n v="0.19500000000000001"/>
    <n v="0"/>
    <n v="0.3"/>
    <n v="1"/>
    <n v="1"/>
    <n v="0"/>
    <n v="2"/>
    <n v="35"/>
    <n v="65"/>
    <n v="0"/>
    <s v="Consolidation"/>
    <s v="CO2e and Base Measure"/>
    <n v="100"/>
    <n v="100"/>
    <n v="0.3"/>
    <m/>
    <m/>
    <m/>
    <m/>
    <m/>
    <n v="0.39"/>
    <m/>
    <n v="0.39"/>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12-01T00:00:00"/>
    <s v="FY21"/>
    <s v="t"/>
    <n v="0"/>
    <n v="0"/>
    <n v="8.2000000000000007E-3"/>
    <n v="8.2000000000000007E-3"/>
    <n v="0"/>
    <n v="0"/>
    <n v="1"/>
    <n v="1"/>
    <n v="0"/>
    <n v="0"/>
    <n v="100"/>
    <s v="Consolidation"/>
    <s v="CO2e and Base Measure"/>
    <n v="100"/>
    <n v="100"/>
    <n v="0.01"/>
    <m/>
    <m/>
    <m/>
    <m/>
    <m/>
    <n v="1.0699999999999999E-2"/>
    <m/>
    <n v="1.0699999999999999E-2"/>
    <m/>
    <m/>
    <m/>
    <m/>
    <m/>
    <s v="AUD"/>
    <s v="13565365Waste - General [t] - Scope 3"/>
    <n v="13565365"/>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0-12-01T00:00:00"/>
    <s v="FY21"/>
    <s v="t"/>
    <n v="0.105"/>
    <n v="0"/>
    <n v="0"/>
    <n v="0.105"/>
    <n v="2"/>
    <n v="0"/>
    <n v="0"/>
    <n v="2"/>
    <n v="100"/>
    <n v="0"/>
    <n v="0"/>
    <s v="Consolidation"/>
    <s v="CO2e and Base Measure"/>
    <n v="100"/>
    <n v="100"/>
    <n v="0.11"/>
    <m/>
    <m/>
    <m/>
    <m/>
    <m/>
    <n v="0.13650000000000001"/>
    <m/>
    <n v="0.13650000000000001"/>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2-01T00:00:00"/>
    <s v="FY21"/>
    <s v="t"/>
    <n v="0"/>
    <n v="0.27"/>
    <n v="0"/>
    <n v="0.27"/>
    <n v="0"/>
    <n v="2"/>
    <n v="0"/>
    <n v="2"/>
    <n v="0"/>
    <n v="100"/>
    <n v="0"/>
    <s v="Consolidation"/>
    <s v="CO2e and Base Measure"/>
    <n v="100"/>
    <n v="100"/>
    <n v="0.27"/>
    <m/>
    <m/>
    <m/>
    <m/>
    <m/>
    <n v="0.35099999999999998"/>
    <m/>
    <n v="0.35099999999999998"/>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3-01T00:00:00"/>
    <s v="FY21"/>
    <s v="t"/>
    <n v="0.12"/>
    <n v="0.13500000000000001"/>
    <n v="0"/>
    <n v="0.255"/>
    <n v="1"/>
    <n v="1"/>
    <n v="0"/>
    <n v="2"/>
    <n v="47.05"/>
    <n v="52.94"/>
    <n v="0"/>
    <s v="Consolidation"/>
    <s v="CO2e and Base Measure"/>
    <n v="100"/>
    <n v="100"/>
    <n v="0.26"/>
    <m/>
    <m/>
    <m/>
    <m/>
    <m/>
    <n v="0.33150000000000002"/>
    <m/>
    <n v="0.33150000000000002"/>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4-01T00:00:00"/>
    <s v="FY21"/>
    <s v="t"/>
    <n v="0"/>
    <n v="0"/>
    <n v="0.192"/>
    <n v="0.192"/>
    <n v="0"/>
    <n v="0"/>
    <n v="30"/>
    <n v="30"/>
    <n v="0"/>
    <n v="0"/>
    <n v="100"/>
    <s v="Consolidation"/>
    <s v="CO2e and Base Measure"/>
    <n v="100"/>
    <n v="100"/>
    <n v="0.19"/>
    <m/>
    <m/>
    <m/>
    <m/>
    <m/>
    <n v="0.24959999999999999"/>
    <m/>
    <n v="0.24959999999999999"/>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5-01T00:00:00"/>
    <s v="FY21"/>
    <s v="t"/>
    <n v="0"/>
    <n v="0"/>
    <n v="0.19839999999999999"/>
    <n v="0.19839999999999999"/>
    <n v="0"/>
    <n v="0"/>
    <n v="31"/>
    <n v="31"/>
    <n v="0"/>
    <n v="0"/>
    <n v="100"/>
    <s v="Consolidation"/>
    <s v="CO2e and Base Measure"/>
    <n v="100"/>
    <n v="100"/>
    <n v="0.2"/>
    <m/>
    <m/>
    <m/>
    <m/>
    <m/>
    <n v="0.25790000000000002"/>
    <m/>
    <n v="0.25790000000000002"/>
    <m/>
    <m/>
    <m/>
    <m/>
    <m/>
    <s v="AUD"/>
    <s v="13634298Waste - General [t] - Scope 3"/>
    <n v="13634298"/>
  </r>
  <r>
    <d v="2019-07-01T00:00:00"/>
    <d v="2021-06-30T00:00:00"/>
    <s v="Telstra"/>
    <s v="NETWORK"/>
    <s v="Network - InfraCo"/>
    <s v="NSW"/>
    <s v="Australia"/>
    <s v="Illawarra"/>
    <s v="WARILLA EXCHANGE"/>
    <n v="423030307700"/>
    <s v="Waste"/>
    <x v="1"/>
    <x v="2"/>
    <s v="Account"/>
    <s v="Remondis General Waste"/>
    <m/>
    <s v="423030307700_WGENERALW"/>
    <s v="GENERAL WASTE"/>
    <s v="Remondis"/>
    <m/>
    <m/>
    <m/>
    <d v="2020-11-01T00:00:00"/>
    <s v="FY21"/>
    <s v="t"/>
    <n v="1.1000000000000001"/>
    <n v="0"/>
    <n v="0"/>
    <n v="1.1000000000000001"/>
    <n v="1"/>
    <n v="0"/>
    <n v="0"/>
    <n v="1"/>
    <n v="100"/>
    <n v="0"/>
    <n v="0"/>
    <s v="Consolidation"/>
    <s v="CO2e and Base Measure"/>
    <n v="100"/>
    <n v="100"/>
    <n v="1.1000000000000001"/>
    <m/>
    <m/>
    <m/>
    <m/>
    <m/>
    <n v="1.43"/>
    <m/>
    <n v="1.43"/>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0-12-01T00:00:00"/>
    <s v="FY21"/>
    <s v="t"/>
    <n v="0"/>
    <n v="0"/>
    <n v="1.1749000000000001"/>
    <n v="1.1749000000000001"/>
    <n v="0"/>
    <n v="0"/>
    <n v="31"/>
    <n v="31"/>
    <n v="0"/>
    <n v="0"/>
    <n v="100"/>
    <s v="Consolidation"/>
    <s v="CO2e and Base Measure"/>
    <n v="100"/>
    <n v="100"/>
    <n v="1.17"/>
    <m/>
    <m/>
    <m/>
    <m/>
    <m/>
    <n v="1.5274000000000001"/>
    <m/>
    <n v="1.5274000000000001"/>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1-01T00:00:00"/>
    <s v="FY21"/>
    <s v="t"/>
    <n v="0"/>
    <n v="0"/>
    <n v="1.1749000000000001"/>
    <n v="1.1749000000000001"/>
    <n v="0"/>
    <n v="0"/>
    <n v="31"/>
    <n v="31"/>
    <n v="0"/>
    <n v="0"/>
    <n v="100"/>
    <s v="Consolidation"/>
    <s v="CO2e and Base Measure"/>
    <n v="100"/>
    <n v="100"/>
    <n v="1.17"/>
    <m/>
    <m/>
    <m/>
    <m/>
    <m/>
    <n v="1.5274000000000001"/>
    <m/>
    <n v="1.5274000000000001"/>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2-01T00:00:00"/>
    <s v="FY21"/>
    <s v="t"/>
    <n v="0"/>
    <n v="0"/>
    <n v="1.0611999999999999"/>
    <n v="1.0611999999999999"/>
    <n v="0"/>
    <n v="0"/>
    <n v="28"/>
    <n v="28"/>
    <n v="0"/>
    <n v="0"/>
    <n v="100"/>
    <s v="Consolidation"/>
    <s v="CO2e and Base Measure"/>
    <n v="100"/>
    <n v="100"/>
    <n v="1.06"/>
    <m/>
    <m/>
    <m/>
    <m/>
    <m/>
    <n v="1.3795999999999999"/>
    <m/>
    <n v="1.3795999999999999"/>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3-01T00:00:00"/>
    <s v="FY21"/>
    <s v="t"/>
    <n v="0"/>
    <n v="0"/>
    <n v="1.1749000000000001"/>
    <n v="1.1749000000000001"/>
    <n v="0"/>
    <n v="0"/>
    <n v="31"/>
    <n v="31"/>
    <n v="0"/>
    <n v="0"/>
    <n v="100"/>
    <s v="Consolidation"/>
    <s v="CO2e and Base Measure"/>
    <n v="100"/>
    <n v="100"/>
    <n v="1.17"/>
    <m/>
    <m/>
    <m/>
    <m/>
    <m/>
    <n v="1.5274000000000001"/>
    <m/>
    <n v="1.5274000000000001"/>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4-01T00:00:00"/>
    <s v="FY21"/>
    <s v="t"/>
    <n v="0"/>
    <n v="0"/>
    <n v="1.137"/>
    <n v="1.137"/>
    <n v="0"/>
    <n v="0"/>
    <n v="30"/>
    <n v="30"/>
    <n v="0"/>
    <n v="0"/>
    <n v="100"/>
    <s v="Consolidation"/>
    <s v="CO2e and Base Measure"/>
    <n v="100"/>
    <n v="100"/>
    <n v="1.1399999999999999"/>
    <m/>
    <m/>
    <m/>
    <m/>
    <m/>
    <n v="1.4781"/>
    <m/>
    <n v="1.4781"/>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5-01T00:00:00"/>
    <s v="FY21"/>
    <s v="t"/>
    <n v="0"/>
    <n v="0"/>
    <n v="1.1749000000000001"/>
    <n v="1.1749000000000001"/>
    <n v="0"/>
    <n v="0"/>
    <n v="31"/>
    <n v="31"/>
    <n v="0"/>
    <n v="0"/>
    <n v="100"/>
    <s v="Consolidation"/>
    <s v="CO2e and Base Measure"/>
    <n v="100"/>
    <n v="100"/>
    <n v="1.17"/>
    <m/>
    <m/>
    <m/>
    <m/>
    <m/>
    <n v="1.5274000000000001"/>
    <m/>
    <n v="1.5274000000000001"/>
    <m/>
    <m/>
    <m/>
    <m/>
    <m/>
    <s v="AUD"/>
    <s v="13564501Waste - General [t] - Scope 3"/>
    <n v="13564501"/>
  </r>
  <r>
    <d v="2019-07-01T00:00:00"/>
    <d v="2021-06-30T00:00:00"/>
    <s v="Telstra"/>
    <s v="NETWORK"/>
    <s v="Network - InfraCo"/>
    <s v="NSW"/>
    <s v="Australia"/>
    <s v="Illawarra"/>
    <s v="WARILLA EXCHANGE"/>
    <n v="423030307700"/>
    <s v="Waste"/>
    <x v="1"/>
    <x v="2"/>
    <s v="Account"/>
    <s v="CLEANAWAY General"/>
    <m/>
    <s v="44224_Landfill_General"/>
    <s v="General"/>
    <s v="Cleanaway"/>
    <m/>
    <d v="2021-02-18T00:00:00"/>
    <m/>
    <d v="2021-02-01T00:00:00"/>
    <s v="FY21"/>
    <s v="t"/>
    <n v="4.1000000000000002E-2"/>
    <n v="0"/>
    <n v="0"/>
    <n v="4.1000000000000002E-2"/>
    <n v="1"/>
    <n v="0"/>
    <n v="0"/>
    <n v="1"/>
    <n v="100"/>
    <n v="0"/>
    <n v="0"/>
    <s v="Consolidation"/>
    <s v="CO2e and Base Measure"/>
    <n v="100"/>
    <n v="100"/>
    <n v="0.04"/>
    <m/>
    <m/>
    <m/>
    <m/>
    <m/>
    <n v="5.33E-2"/>
    <m/>
    <n v="5.33E-2"/>
    <m/>
    <m/>
    <m/>
    <m/>
    <m/>
    <s v="AUD"/>
    <s v="13639936Waste - General [t] - Scope 3"/>
    <n v="13639936"/>
  </r>
  <r>
    <d v="2019-07-01T00:00:00"/>
    <d v="2021-06-30T00:00:00"/>
    <s v="Telstra"/>
    <s v="NETWORK"/>
    <s v="Network - InfraCo"/>
    <s v="NSW"/>
    <s v="Australia"/>
    <s v="Illawarra"/>
    <s v="WARILLA EXCHANGE"/>
    <n v="423030307700"/>
    <s v="Waste"/>
    <x v="1"/>
    <x v="2"/>
    <s v="Account"/>
    <s v="CLEANAWAY General"/>
    <m/>
    <s v="44224_Landfill_General"/>
    <s v="General"/>
    <s v="Cleanaway"/>
    <m/>
    <d v="2021-02-18T00:00:00"/>
    <m/>
    <d v="2021-03-01T00:00:00"/>
    <s v="FY21"/>
    <s v="t"/>
    <n v="0.17899999999999999"/>
    <n v="0"/>
    <n v="0"/>
    <n v="0.17899999999999999"/>
    <n v="2"/>
    <n v="0"/>
    <n v="0"/>
    <n v="2"/>
    <n v="100"/>
    <n v="0"/>
    <n v="0"/>
    <s v="Consolidation"/>
    <s v="CO2e and Base Measure"/>
    <n v="100"/>
    <n v="100"/>
    <n v="0.18"/>
    <m/>
    <m/>
    <m/>
    <m/>
    <m/>
    <n v="0.23269999999999999"/>
    <m/>
    <n v="0.23269999999999999"/>
    <m/>
    <m/>
    <m/>
    <m/>
    <m/>
    <s v="AUD"/>
    <s v="13639936Waste - General [t] - Scope 3"/>
    <n v="13639936"/>
  </r>
  <r>
    <d v="2019-07-01T00:00:00"/>
    <d v="2021-06-30T00:00:00"/>
    <s v="Telstra"/>
    <s v="NETWORK"/>
    <s v="Network - InfraCo"/>
    <s v="NSW"/>
    <s v="Australia"/>
    <s v="Illawarra"/>
    <s v="WARILLA EXCHANGE"/>
    <n v="423030307700"/>
    <s v="Waste"/>
    <x v="1"/>
    <x v="2"/>
    <s v="Account"/>
    <s v="CLEANAWAY General"/>
    <m/>
    <s v="44224_Landfill_General"/>
    <s v="General"/>
    <s v="Cleanaway"/>
    <m/>
    <d v="2021-02-18T00:00:00"/>
    <m/>
    <d v="2021-04-01T00:00:00"/>
    <s v="FY21"/>
    <s v="t"/>
    <n v="0"/>
    <n v="0"/>
    <n v="0.114"/>
    <n v="0.114"/>
    <n v="0"/>
    <n v="0"/>
    <n v="30"/>
    <n v="30"/>
    <n v="0"/>
    <n v="0"/>
    <n v="100"/>
    <s v="Consolidation"/>
    <s v="CO2e and Base Measure"/>
    <n v="100"/>
    <n v="100"/>
    <n v="0.11"/>
    <m/>
    <m/>
    <m/>
    <m/>
    <m/>
    <n v="0.1482"/>
    <m/>
    <n v="0.1482"/>
    <m/>
    <m/>
    <m/>
    <m/>
    <m/>
    <s v="AUD"/>
    <s v="13639936Waste - General [t] - Scope 3"/>
    <n v="13639936"/>
  </r>
  <r>
    <d v="2019-07-01T00:00:00"/>
    <d v="2021-06-30T00:00:00"/>
    <s v="Telstra"/>
    <s v="NETWORK"/>
    <s v="Network - InfraCo"/>
    <s v="NSW"/>
    <s v="Australia"/>
    <s v="Illawarra"/>
    <s v="WARILLA EXCHANGE"/>
    <n v="423030307700"/>
    <s v="Waste"/>
    <x v="1"/>
    <x v="2"/>
    <s v="Account"/>
    <s v="CLEANAWAY General"/>
    <m/>
    <s v="44224_Landfill_General"/>
    <s v="General"/>
    <s v="Cleanaway"/>
    <m/>
    <d v="2021-02-18T00:00:00"/>
    <m/>
    <d v="2021-05-01T00:00:00"/>
    <s v="FY21"/>
    <s v="t"/>
    <n v="0"/>
    <n v="0"/>
    <n v="0.1178"/>
    <n v="0.1178"/>
    <n v="0"/>
    <n v="0"/>
    <n v="31"/>
    <n v="31"/>
    <n v="0"/>
    <n v="0"/>
    <n v="100"/>
    <s v="Consolidation"/>
    <s v="CO2e and Base Measure"/>
    <n v="100"/>
    <n v="100"/>
    <n v="0.12"/>
    <m/>
    <m/>
    <m/>
    <m/>
    <m/>
    <n v="0.15310000000000001"/>
    <m/>
    <n v="0.15310000000000001"/>
    <m/>
    <m/>
    <m/>
    <m/>
    <m/>
    <s v="AUD"/>
    <s v="13639936Waste - General [t] - Scope 3"/>
    <n v="13639936"/>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07-01T00:00:00"/>
    <s v="FY21"/>
    <s v="t"/>
    <n v="0"/>
    <n v="0.78"/>
    <n v="0"/>
    <n v="0.78"/>
    <n v="0"/>
    <n v="4"/>
    <n v="0"/>
    <n v="4"/>
    <n v="0"/>
    <n v="100"/>
    <n v="0"/>
    <s v="Consolidation"/>
    <s v="CO2e and Base Measure"/>
    <n v="100"/>
    <n v="100"/>
    <n v="0.78"/>
    <m/>
    <m/>
    <m/>
    <m/>
    <m/>
    <n v="1.014"/>
    <m/>
    <n v="1.014"/>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09-01T00:00:00"/>
    <s v="FY21"/>
    <s v="t"/>
    <n v="0"/>
    <n v="0.78"/>
    <n v="0"/>
    <n v="0.78"/>
    <n v="0"/>
    <n v="4"/>
    <n v="0"/>
    <n v="4"/>
    <n v="0"/>
    <n v="100"/>
    <n v="0"/>
    <s v="Consolidation"/>
    <s v="CO2e and Base Measure"/>
    <n v="100"/>
    <n v="100"/>
    <n v="0.78"/>
    <m/>
    <m/>
    <m/>
    <m/>
    <m/>
    <n v="1.014"/>
    <m/>
    <n v="1.014"/>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10-01T00:00:00"/>
    <s v="FY21"/>
    <s v="t"/>
    <n v="0"/>
    <n v="0.78"/>
    <n v="0"/>
    <n v="0.78"/>
    <n v="0"/>
    <n v="4"/>
    <n v="0"/>
    <n v="4"/>
    <n v="0"/>
    <n v="100"/>
    <n v="0"/>
    <s v="Consolidation"/>
    <s v="CO2e and Base Measure"/>
    <n v="100"/>
    <n v="100"/>
    <n v="0.78"/>
    <m/>
    <m/>
    <m/>
    <m/>
    <m/>
    <n v="1.014"/>
    <m/>
    <n v="1.014"/>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11-01T00:00:00"/>
    <s v="FY21"/>
    <s v="t"/>
    <n v="0"/>
    <n v="0.78"/>
    <n v="0"/>
    <n v="0.78"/>
    <n v="0"/>
    <n v="4"/>
    <n v="0"/>
    <n v="4"/>
    <n v="0"/>
    <n v="100"/>
    <n v="0"/>
    <s v="Consolidation"/>
    <s v="CO2e and Base Measure"/>
    <n v="100"/>
    <n v="100"/>
    <n v="0.78"/>
    <m/>
    <m/>
    <m/>
    <m/>
    <m/>
    <n v="1.014"/>
    <m/>
    <n v="1.014"/>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5122Waste - General [t] - Scope 3"/>
    <n v="13565122"/>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0-12-01T00:00:00"/>
    <s v="FY21"/>
    <s v="t"/>
    <n v="0.90700000000000003"/>
    <n v="0"/>
    <n v="0"/>
    <n v="0.90700000000000003"/>
    <n v="3"/>
    <n v="0"/>
    <n v="0"/>
    <n v="3"/>
    <n v="100"/>
    <n v="0"/>
    <n v="0"/>
    <s v="Consolidation"/>
    <s v="CO2e and Base Measure"/>
    <n v="100"/>
    <n v="100"/>
    <n v="0.91"/>
    <m/>
    <m/>
    <m/>
    <m/>
    <m/>
    <n v="1.1791"/>
    <m/>
    <n v="1.1791"/>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1-01T00:00:00"/>
    <s v="FY21"/>
    <s v="t"/>
    <n v="0.64"/>
    <n v="0"/>
    <n v="0"/>
    <n v="0.64"/>
    <n v="2"/>
    <n v="0"/>
    <n v="0"/>
    <n v="2"/>
    <n v="100"/>
    <n v="0"/>
    <n v="0"/>
    <s v="Consolidation"/>
    <s v="CO2e and Base Measure"/>
    <n v="100"/>
    <n v="100"/>
    <n v="0.64"/>
    <m/>
    <m/>
    <m/>
    <m/>
    <m/>
    <n v="0.83199999999999996"/>
    <m/>
    <n v="0.83199999999999996"/>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2-01T00:00:00"/>
    <s v="FY21"/>
    <s v="t"/>
    <n v="0.504"/>
    <n v="0"/>
    <n v="0"/>
    <n v="0.504"/>
    <n v="2"/>
    <n v="0"/>
    <n v="0"/>
    <n v="2"/>
    <n v="100"/>
    <n v="0"/>
    <n v="0"/>
    <s v="Consolidation"/>
    <s v="CO2e and Base Measure"/>
    <n v="100"/>
    <n v="100"/>
    <n v="0.5"/>
    <m/>
    <m/>
    <m/>
    <m/>
    <m/>
    <n v="0.6552"/>
    <m/>
    <n v="0.6552"/>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3-01T00:00:00"/>
    <s v="FY21"/>
    <s v="t"/>
    <n v="0.45"/>
    <n v="0"/>
    <n v="0"/>
    <n v="0.45"/>
    <n v="2"/>
    <n v="0"/>
    <n v="0"/>
    <n v="2"/>
    <n v="100"/>
    <n v="0"/>
    <n v="0"/>
    <s v="Consolidation"/>
    <s v="CO2e and Base Measure"/>
    <n v="100"/>
    <n v="100"/>
    <n v="0.45"/>
    <m/>
    <m/>
    <m/>
    <m/>
    <m/>
    <n v="0.58499999999999996"/>
    <m/>
    <n v="0.58499999999999996"/>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4-01T00:00:00"/>
    <s v="FY21"/>
    <s v="t"/>
    <n v="0"/>
    <n v="0"/>
    <n v="0.624"/>
    <n v="0.624"/>
    <n v="0"/>
    <n v="0"/>
    <n v="30"/>
    <n v="30"/>
    <n v="0"/>
    <n v="0"/>
    <n v="100"/>
    <s v="Consolidation"/>
    <s v="CO2e and Base Measure"/>
    <n v="100"/>
    <n v="100"/>
    <n v="0.62"/>
    <m/>
    <m/>
    <m/>
    <m/>
    <m/>
    <n v="0.81120000000000003"/>
    <m/>
    <n v="0.81120000000000003"/>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5-01T00:00:00"/>
    <s v="FY21"/>
    <s v="t"/>
    <n v="0"/>
    <n v="0"/>
    <n v="0.64480000000000004"/>
    <n v="0.64480000000000004"/>
    <n v="0"/>
    <n v="0"/>
    <n v="31"/>
    <n v="31"/>
    <n v="0"/>
    <n v="0"/>
    <n v="100"/>
    <s v="Consolidation"/>
    <s v="CO2e and Base Measure"/>
    <n v="100"/>
    <n v="100"/>
    <n v="0.64"/>
    <m/>
    <m/>
    <m/>
    <m/>
    <m/>
    <n v="0.83819999999999995"/>
    <m/>
    <n v="0.83819999999999995"/>
    <m/>
    <m/>
    <m/>
    <m/>
    <m/>
    <s v="AUD"/>
    <s v="13634299Waste - General [t] - Scope 3"/>
    <n v="13634299"/>
  </r>
  <r>
    <d v="2019-07-01T00:00:00"/>
    <d v="2021-06-30T00:00:00"/>
    <s v="Telstra"/>
    <s v="NETWORK"/>
    <s v="Network - InfraCo"/>
    <s v="VIC"/>
    <s v="Australia"/>
    <s v="Warrnambool"/>
    <s v="WARRNAMBOOL EXCHANGE"/>
    <n v="423030718800"/>
    <s v="Recycled Waste"/>
    <x v="0"/>
    <x v="0"/>
    <s v="Account"/>
    <s v="Remondis Cardboard - Loose - Recycled"/>
    <m/>
    <s v="423031551700_RCARDBOAR"/>
    <s v="CARDBOARD - LOOSE - RECYCLED"/>
    <s v="Remondis"/>
    <m/>
    <m/>
    <d v="2020-10-01T00:00:00"/>
    <d v="2020-09-01T00:00:00"/>
    <s v="FY21"/>
    <s v="t"/>
    <n v="0"/>
    <n v="3.15E-2"/>
    <n v="0"/>
    <n v="3.15E-2"/>
    <n v="0"/>
    <n v="1"/>
    <n v="0"/>
    <n v="1"/>
    <n v="0"/>
    <n v="100"/>
    <n v="0"/>
    <s v="Consolidation"/>
    <s v="CO2e and Base Measure"/>
    <n v="100"/>
    <n v="100"/>
    <n v="0.03"/>
    <m/>
    <m/>
    <m/>
    <m/>
    <m/>
    <m/>
    <n v="0"/>
    <m/>
    <m/>
    <m/>
    <m/>
    <m/>
    <m/>
    <s v="AUD"/>
    <s v="13565981Waste Recycled - Cardboard [t]"/>
    <n v="13565981"/>
  </r>
  <r>
    <d v="2019-07-01T00:00:00"/>
    <d v="2021-06-30T00:00:00"/>
    <s v="Telstra"/>
    <s v="NETWORK"/>
    <s v="Network - InfraCo"/>
    <s v="VIC"/>
    <s v="Australia"/>
    <s v="Warrnambool"/>
    <s v="WARRNAMBOOL EXCHANGE"/>
    <n v="423030718800"/>
    <s v="Recycled Waste"/>
    <x v="0"/>
    <x v="0"/>
    <s v="Account"/>
    <s v="Remondis Cardboard - Loose - Recycled"/>
    <m/>
    <s v="423031551700_RCARDBOAR"/>
    <s v="CARDBOARD - LOOSE - RECYCLED"/>
    <s v="Remondis"/>
    <m/>
    <m/>
    <d v="2020-10-01T00:00:00"/>
    <d v="2020-10-01T00:00:00"/>
    <s v="FY21"/>
    <s v="t"/>
    <n v="0"/>
    <n v="0"/>
    <n v="5.0000000000000001E-4"/>
    <n v="5.0000000000000001E-4"/>
    <n v="0"/>
    <n v="0"/>
    <n v="1"/>
    <n v="1"/>
    <n v="0"/>
    <n v="0"/>
    <n v="100"/>
    <s v="Consolidation"/>
    <s v="CO2e and Base Measure"/>
    <n v="100"/>
    <n v="100"/>
    <n v="0"/>
    <m/>
    <m/>
    <m/>
    <m/>
    <m/>
    <m/>
    <n v="0"/>
    <m/>
    <m/>
    <m/>
    <m/>
    <m/>
    <m/>
    <s v="AUD"/>
    <s v="13565981Waste Recycled - Cardboard [t]"/>
    <n v="13565981"/>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08-01T00:00:00"/>
    <s v="FY21"/>
    <s v="t"/>
    <n v="0"/>
    <n v="0.78"/>
    <n v="0"/>
    <n v="0.78"/>
    <n v="0"/>
    <n v="4"/>
    <n v="0"/>
    <n v="4"/>
    <n v="0"/>
    <n v="100"/>
    <n v="0"/>
    <s v="Consolidation"/>
    <s v="CO2e and Base Measure"/>
    <n v="100"/>
    <n v="100"/>
    <n v="0.78"/>
    <m/>
    <m/>
    <m/>
    <m/>
    <m/>
    <n v="1.014"/>
    <m/>
    <n v="1.014"/>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09-01T00:00:00"/>
    <s v="FY21"/>
    <s v="t"/>
    <n v="0"/>
    <n v="0.97499999999999998"/>
    <n v="0"/>
    <n v="0.97499999999999998"/>
    <n v="0"/>
    <n v="5"/>
    <n v="0"/>
    <n v="5"/>
    <n v="0"/>
    <n v="100"/>
    <n v="0"/>
    <s v="Consolidation"/>
    <s v="CO2e and Base Measure"/>
    <n v="100"/>
    <n v="100"/>
    <n v="0.98"/>
    <m/>
    <m/>
    <m/>
    <m/>
    <m/>
    <n v="1.2675000000000001"/>
    <m/>
    <n v="1.2675000000000001"/>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10-01T00:00:00"/>
    <s v="FY21"/>
    <s v="t"/>
    <n v="0"/>
    <n v="0.78"/>
    <n v="0"/>
    <n v="0.78"/>
    <n v="0"/>
    <n v="4"/>
    <n v="0"/>
    <n v="4"/>
    <n v="0"/>
    <n v="100"/>
    <n v="0"/>
    <s v="Consolidation"/>
    <s v="CO2e and Base Measure"/>
    <n v="100"/>
    <n v="100"/>
    <n v="0.78"/>
    <m/>
    <m/>
    <m/>
    <m/>
    <m/>
    <n v="1.014"/>
    <m/>
    <n v="1.014"/>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11-01T00:00:00"/>
    <s v="FY21"/>
    <s v="t"/>
    <n v="0"/>
    <n v="0.78"/>
    <n v="0"/>
    <n v="0.78"/>
    <n v="0"/>
    <n v="4"/>
    <n v="0"/>
    <n v="4"/>
    <n v="0"/>
    <n v="100"/>
    <n v="0"/>
    <s v="Consolidation"/>
    <s v="CO2e and Base Measure"/>
    <n v="100"/>
    <n v="100"/>
    <n v="0.78"/>
    <m/>
    <m/>
    <m/>
    <m/>
    <m/>
    <n v="1.014"/>
    <m/>
    <n v="1.014"/>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1-01-01T00:00:00"/>
    <s v="FY21"/>
    <s v="t"/>
    <n v="0"/>
    <n v="0"/>
    <n v="2.3800000000000002E-2"/>
    <n v="2.3800000000000002E-2"/>
    <n v="0"/>
    <n v="0"/>
    <n v="1"/>
    <n v="1"/>
    <n v="0"/>
    <n v="0"/>
    <n v="100"/>
    <s v="Consolidation"/>
    <s v="CO2e and Base Measure"/>
    <n v="100"/>
    <n v="100"/>
    <n v="0.02"/>
    <m/>
    <m/>
    <m/>
    <m/>
    <m/>
    <n v="3.09E-2"/>
    <m/>
    <n v="3.09E-2"/>
    <m/>
    <m/>
    <m/>
    <m/>
    <m/>
    <s v="AUD"/>
    <s v="13565982Waste - General [t] - Scope 3"/>
    <n v="13565982"/>
  </r>
  <r>
    <d v="2019-07-01T00:00:00"/>
    <d v="2021-06-30T00:00:00"/>
    <s v="Telstra"/>
    <s v="NETWORK"/>
    <s v="Network - InfraCo"/>
    <s v="VIC"/>
    <s v="Australia"/>
    <s v="Warrnambool"/>
    <s v="WARRNAMBOOL EXCHANGE"/>
    <n v="423030718800"/>
    <s v="Recycled Waste"/>
    <x v="0"/>
    <x v="5"/>
    <s v="Account"/>
    <s v="Remondis Metal - Mixed All"/>
    <m/>
    <s v="4230315517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5983Waste Recycled - Construction and Demolition [t]"/>
    <n v="13565983"/>
  </r>
  <r>
    <d v="2019-07-01T00:00:00"/>
    <d v="2021-06-30T00:00:00"/>
    <s v="Telstra"/>
    <s v="NETWORK"/>
    <s v="Network - InfraCo"/>
    <s v="VIC"/>
    <s v="Australia"/>
    <s v="Warrnambool"/>
    <s v="WARRNAMBOOL EXCHANGE"/>
    <n v="423030718800"/>
    <s v="Recycled Waste"/>
    <x v="0"/>
    <x v="5"/>
    <s v="Account"/>
    <s v="Remondis Metal - Mixed All"/>
    <m/>
    <s v="423031551700_RMETMIXED"/>
    <s v="METAL - MIXED ALL"/>
    <s v="Remondis"/>
    <m/>
    <m/>
    <d v="2021-01-01T00:00:00"/>
    <d v="2021-01-01T00:00:00"/>
    <s v="FY21"/>
    <s v="t"/>
    <n v="0"/>
    <n v="0"/>
    <n v="1.7500000000000002E-2"/>
    <n v="1.7500000000000002E-2"/>
    <n v="0"/>
    <n v="0"/>
    <n v="1"/>
    <n v="1"/>
    <n v="0"/>
    <n v="0"/>
    <n v="100"/>
    <s v="Consolidation"/>
    <s v="CO2e and Base Measure"/>
    <n v="100"/>
    <n v="100"/>
    <n v="0.02"/>
    <m/>
    <m/>
    <m/>
    <m/>
    <m/>
    <m/>
    <m/>
    <m/>
    <m/>
    <m/>
    <m/>
    <m/>
    <m/>
    <s v="AUD"/>
    <s v="13565983Waste Recycled - Construction and Demolition [t]"/>
    <n v="13565983"/>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0-12-01T00:00:00"/>
    <s v="FY21"/>
    <s v="t"/>
    <n v="0.69"/>
    <n v="0.13500000000000001"/>
    <n v="0"/>
    <n v="0.82499999999999996"/>
    <n v="2"/>
    <n v="1"/>
    <n v="0"/>
    <n v="3"/>
    <n v="83.63"/>
    <n v="16.36"/>
    <n v="0"/>
    <s v="Consolidation"/>
    <s v="CO2e and Base Measure"/>
    <n v="100"/>
    <n v="100"/>
    <n v="0.83"/>
    <m/>
    <m/>
    <m/>
    <m/>
    <m/>
    <n v="1.0725"/>
    <m/>
    <n v="1.0725"/>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1-01T00:00:00"/>
    <s v="FY21"/>
    <s v="t"/>
    <n v="0.42499999999999999"/>
    <n v="0"/>
    <n v="0"/>
    <n v="0.42499999999999999"/>
    <n v="2"/>
    <n v="0"/>
    <n v="0"/>
    <n v="2"/>
    <n v="100"/>
    <n v="0"/>
    <n v="0"/>
    <s v="Consolidation"/>
    <s v="CO2e and Base Measure"/>
    <n v="100"/>
    <n v="100"/>
    <n v="0.43"/>
    <m/>
    <m/>
    <m/>
    <m/>
    <m/>
    <n v="0.55249999999999999"/>
    <m/>
    <n v="0.55249999999999999"/>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2-01T00:00:00"/>
    <s v="FY21"/>
    <s v="t"/>
    <n v="2.98"/>
    <n v="0"/>
    <n v="0"/>
    <n v="2.98"/>
    <n v="4"/>
    <n v="0"/>
    <n v="0"/>
    <n v="4"/>
    <n v="100"/>
    <n v="0"/>
    <n v="0"/>
    <s v="Consolidation"/>
    <s v="CO2e and Base Measure"/>
    <n v="100"/>
    <n v="100"/>
    <n v="2.98"/>
    <m/>
    <m/>
    <m/>
    <m/>
    <m/>
    <n v="3.8740000000000001"/>
    <m/>
    <n v="3.8740000000000001"/>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3-01T00:00:00"/>
    <s v="FY21"/>
    <s v="t"/>
    <n v="2.08"/>
    <n v="0"/>
    <n v="0"/>
    <n v="2.08"/>
    <n v="5"/>
    <n v="0"/>
    <n v="0"/>
    <n v="5"/>
    <n v="100"/>
    <n v="0"/>
    <n v="0"/>
    <s v="Consolidation"/>
    <s v="CO2e and Base Measure"/>
    <n v="100"/>
    <n v="100"/>
    <n v="2.08"/>
    <m/>
    <m/>
    <m/>
    <m/>
    <m/>
    <n v="2.7040000000000002"/>
    <m/>
    <n v="2.7040000000000002"/>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4-01T00:00:00"/>
    <s v="FY21"/>
    <s v="t"/>
    <n v="0"/>
    <n v="0"/>
    <n v="1.5780000000000001"/>
    <n v="1.5780000000000001"/>
    <n v="0"/>
    <n v="0"/>
    <n v="30"/>
    <n v="30"/>
    <n v="0"/>
    <n v="0"/>
    <n v="100"/>
    <s v="Consolidation"/>
    <s v="CO2e and Base Measure"/>
    <n v="100"/>
    <n v="100"/>
    <n v="1.58"/>
    <m/>
    <m/>
    <m/>
    <m/>
    <m/>
    <n v="2.0514000000000001"/>
    <m/>
    <n v="2.0514000000000001"/>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5-01T00:00:00"/>
    <s v="FY21"/>
    <s v="t"/>
    <n v="0"/>
    <n v="0"/>
    <n v="1.6306"/>
    <n v="1.6306"/>
    <n v="0"/>
    <n v="0"/>
    <n v="31"/>
    <n v="31"/>
    <n v="0"/>
    <n v="0"/>
    <n v="100"/>
    <s v="Consolidation"/>
    <s v="CO2e and Base Measure"/>
    <n v="100"/>
    <n v="100"/>
    <n v="1.63"/>
    <m/>
    <m/>
    <m/>
    <m/>
    <m/>
    <n v="2.1198000000000001"/>
    <m/>
    <n v="2.1198000000000001"/>
    <m/>
    <m/>
    <m/>
    <m/>
    <m/>
    <s v="AUD"/>
    <s v="13634300Waste - General [t] - Scope 3"/>
    <n v="13634300"/>
  </r>
  <r>
    <d v="2019-07-01T00:00:00"/>
    <d v="2021-06-30T00:00:00"/>
    <s v="Telstra"/>
    <s v="NETWORK"/>
    <s v="Network - InfraCo"/>
    <s v="VIC"/>
    <s v="Australia"/>
    <s v="Warrnambool"/>
    <s v="WARRNAMBOOL EXCHANGE"/>
    <n v="423030718800"/>
    <s v="Recycled Waste"/>
    <x v="0"/>
    <x v="0"/>
    <s v="Account"/>
    <s v="CLEANAWAY Cardboard"/>
    <m/>
    <s v="26073_Diversion_Cardboard"/>
    <s v="Cardboard"/>
    <s v="Cleanaway"/>
    <m/>
    <d v="2021-02-17T00:00:00"/>
    <m/>
    <d v="2021-02-01T00:00:00"/>
    <s v="FY21"/>
    <s v="t"/>
    <n v="0"/>
    <n v="3.7499999999999999E-2"/>
    <n v="0"/>
    <n v="3.7499999999999999E-2"/>
    <n v="0"/>
    <n v="1"/>
    <n v="0"/>
    <n v="1"/>
    <n v="0"/>
    <n v="100"/>
    <n v="0"/>
    <s v="Consolidation"/>
    <s v="CO2e and Base Measure"/>
    <n v="100"/>
    <n v="100"/>
    <n v="0.04"/>
    <m/>
    <m/>
    <m/>
    <m/>
    <m/>
    <m/>
    <m/>
    <m/>
    <m/>
    <m/>
    <m/>
    <m/>
    <m/>
    <s v="AUD"/>
    <s v="13639917Waste Recycled - Paper and Cardboard [t]"/>
    <n v="13639917"/>
  </r>
  <r>
    <d v="2019-07-01T00:00:00"/>
    <d v="2021-06-30T00:00:00"/>
    <s v="Telstra"/>
    <s v="NETWORK"/>
    <s v="Network - InfraCo"/>
    <s v="VIC"/>
    <s v="Australia"/>
    <s v="Warrnambool"/>
    <s v="WARRNAMBOOL EXCHANGE"/>
    <n v="423030718800"/>
    <s v="Recycled Waste"/>
    <x v="0"/>
    <x v="0"/>
    <s v="Account"/>
    <s v="CLEANAWAY Cardboard"/>
    <m/>
    <s v="26073_Diversion_Cardboard"/>
    <s v="Cardboard"/>
    <s v="Cleanaway"/>
    <m/>
    <d v="2021-02-17T00:00:00"/>
    <m/>
    <d v="2021-03-01T00:00:00"/>
    <s v="FY21"/>
    <s v="t"/>
    <n v="0"/>
    <n v="0"/>
    <n v="4.3400000000000001E-2"/>
    <n v="4.3400000000000001E-2"/>
    <n v="0"/>
    <n v="0"/>
    <n v="31"/>
    <n v="31"/>
    <n v="0"/>
    <n v="0"/>
    <n v="100"/>
    <s v="Consolidation"/>
    <s v="CO2e and Base Measure"/>
    <n v="100"/>
    <n v="100"/>
    <n v="0.04"/>
    <m/>
    <m/>
    <m/>
    <m/>
    <m/>
    <m/>
    <m/>
    <m/>
    <m/>
    <m/>
    <m/>
    <m/>
    <m/>
    <s v="AUD"/>
    <s v="13639917Waste Recycled - Paper and Cardboard [t]"/>
    <n v="13639917"/>
  </r>
  <r>
    <d v="2019-07-01T00:00:00"/>
    <d v="2021-06-30T00:00:00"/>
    <s v="Telstra"/>
    <s v="NETWORK"/>
    <s v="Network - InfraCo"/>
    <s v="VIC"/>
    <s v="Australia"/>
    <s v="Warrnambool"/>
    <s v="WARRNAMBOOL EXCHANGE"/>
    <n v="423030718800"/>
    <s v="Recycled Waste"/>
    <x v="0"/>
    <x v="0"/>
    <s v="Account"/>
    <s v="CLEANAWAY Cardboard"/>
    <m/>
    <s v="26073_Diversion_Cardboard"/>
    <s v="Cardboard"/>
    <s v="Cleanaway"/>
    <m/>
    <d v="2021-02-17T00:00:00"/>
    <m/>
    <d v="2021-04-01T00:00:00"/>
    <s v="FY21"/>
    <s v="t"/>
    <n v="0"/>
    <n v="0"/>
    <n v="4.2000000000000003E-2"/>
    <n v="4.2000000000000003E-2"/>
    <n v="0"/>
    <n v="0"/>
    <n v="30"/>
    <n v="30"/>
    <n v="0"/>
    <n v="0"/>
    <n v="100"/>
    <s v="Consolidation"/>
    <s v="CO2e and Base Measure"/>
    <n v="100"/>
    <n v="100"/>
    <n v="0.04"/>
    <m/>
    <m/>
    <m/>
    <m/>
    <m/>
    <m/>
    <m/>
    <m/>
    <m/>
    <m/>
    <m/>
    <m/>
    <m/>
    <s v="AUD"/>
    <s v="13639917Waste Recycled - Paper and Cardboard [t]"/>
    <n v="13639917"/>
  </r>
  <r>
    <d v="2019-07-01T00:00:00"/>
    <d v="2021-06-30T00:00:00"/>
    <s v="Telstra"/>
    <s v="NETWORK"/>
    <s v="Network - InfraCo"/>
    <s v="VIC"/>
    <s v="Australia"/>
    <s v="Warrnambool"/>
    <s v="WARRNAMBOOL EXCHANGE"/>
    <n v="423030718800"/>
    <s v="Recycled Waste"/>
    <x v="0"/>
    <x v="0"/>
    <s v="Account"/>
    <s v="CLEANAWAY Cardboard"/>
    <m/>
    <s v="26073_Diversion_Cardboard"/>
    <s v="Cardboard"/>
    <s v="Cleanaway"/>
    <m/>
    <d v="2021-02-17T00:00:00"/>
    <m/>
    <d v="2021-05-01T00:00:00"/>
    <s v="FY21"/>
    <s v="t"/>
    <n v="0"/>
    <n v="0"/>
    <n v="4.3400000000000001E-2"/>
    <n v="4.3400000000000001E-2"/>
    <n v="0"/>
    <n v="0"/>
    <n v="31"/>
    <n v="31"/>
    <n v="0"/>
    <n v="0"/>
    <n v="100"/>
    <s v="Consolidation"/>
    <s v="CO2e and Base Measure"/>
    <n v="100"/>
    <n v="100"/>
    <n v="0.04"/>
    <m/>
    <m/>
    <m/>
    <m/>
    <m/>
    <m/>
    <m/>
    <m/>
    <m/>
    <m/>
    <m/>
    <m/>
    <m/>
    <s v="AUD"/>
    <s v="13639917Waste Recycled - Paper and Cardboard [t]"/>
    <n v="13639917"/>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0-12-01T00:00:00"/>
    <s v="FY21"/>
    <s v="t"/>
    <n v="0.17199999999999999"/>
    <n v="0.13500000000000001"/>
    <n v="0"/>
    <n v="0.307"/>
    <n v="2"/>
    <n v="1"/>
    <n v="0"/>
    <n v="3"/>
    <n v="56.02"/>
    <n v="43.97"/>
    <n v="0"/>
    <s v="Consolidation"/>
    <s v="CO2e and Base Measure"/>
    <n v="100"/>
    <n v="100"/>
    <n v="0.31"/>
    <m/>
    <m/>
    <m/>
    <m/>
    <m/>
    <n v="0.39910000000000001"/>
    <m/>
    <n v="0.39910000000000001"/>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1-01T00:00:00"/>
    <s v="FY21"/>
    <s v="t"/>
    <n v="0.04"/>
    <n v="0.13500000000000001"/>
    <n v="0"/>
    <n v="0.17499999999999999"/>
    <n v="2"/>
    <n v="1"/>
    <n v="0"/>
    <n v="3"/>
    <n v="22.85"/>
    <n v="77.14"/>
    <n v="0"/>
    <s v="Consolidation"/>
    <s v="CO2e and Base Measure"/>
    <n v="100"/>
    <n v="100"/>
    <n v="0.18"/>
    <m/>
    <m/>
    <m/>
    <m/>
    <m/>
    <n v="0.22750000000000001"/>
    <m/>
    <n v="0.22750000000000001"/>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2-01T00:00:00"/>
    <s v="FY21"/>
    <s v="t"/>
    <n v="4.9000000000000002E-2"/>
    <n v="0.13500000000000001"/>
    <n v="0"/>
    <n v="0.184"/>
    <n v="2"/>
    <n v="1"/>
    <n v="0"/>
    <n v="3"/>
    <n v="26.63"/>
    <n v="73.36"/>
    <n v="0"/>
    <s v="Consolidation"/>
    <s v="CO2e and Base Measure"/>
    <n v="100"/>
    <n v="100"/>
    <n v="0.18"/>
    <m/>
    <m/>
    <m/>
    <m/>
    <m/>
    <n v="0.2392"/>
    <m/>
    <n v="0.2392"/>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3-01T00:00:00"/>
    <s v="FY21"/>
    <s v="t"/>
    <n v="0.64500000000000002"/>
    <n v="0"/>
    <n v="0"/>
    <n v="0.64500000000000002"/>
    <n v="3"/>
    <n v="0"/>
    <n v="0"/>
    <n v="3"/>
    <n v="100"/>
    <n v="0"/>
    <n v="0"/>
    <s v="Consolidation"/>
    <s v="CO2e and Base Measure"/>
    <n v="100"/>
    <n v="100"/>
    <n v="0.65"/>
    <m/>
    <m/>
    <m/>
    <m/>
    <m/>
    <n v="0.83850000000000002"/>
    <m/>
    <n v="0.83850000000000002"/>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4-01T00:00:00"/>
    <s v="FY21"/>
    <s v="t"/>
    <n v="0"/>
    <n v="0"/>
    <n v="0.32700000000000001"/>
    <n v="0.32700000000000001"/>
    <n v="0"/>
    <n v="0"/>
    <n v="30"/>
    <n v="30"/>
    <n v="0"/>
    <n v="0"/>
    <n v="100"/>
    <s v="Consolidation"/>
    <s v="CO2e and Base Measure"/>
    <n v="100"/>
    <n v="100"/>
    <n v="0.33"/>
    <m/>
    <m/>
    <m/>
    <m/>
    <m/>
    <n v="0.42509999999999998"/>
    <m/>
    <n v="0.42509999999999998"/>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5-01T00:00:00"/>
    <s v="FY21"/>
    <s v="t"/>
    <n v="0"/>
    <n v="0"/>
    <n v="0.33789999999999998"/>
    <n v="0.33789999999999998"/>
    <n v="0"/>
    <n v="0"/>
    <n v="31"/>
    <n v="31"/>
    <n v="0"/>
    <n v="0"/>
    <n v="100"/>
    <s v="Consolidation"/>
    <s v="CO2e and Base Measure"/>
    <n v="100"/>
    <n v="100"/>
    <n v="0.34"/>
    <m/>
    <m/>
    <m/>
    <m/>
    <m/>
    <n v="0.43930000000000002"/>
    <m/>
    <n v="0.43930000000000002"/>
    <m/>
    <m/>
    <m/>
    <m/>
    <m/>
    <s v="AUD"/>
    <s v="13634301Waste - General [t] - Scope 3"/>
    <n v="13634301"/>
  </r>
  <r>
    <d v="2019-07-01T00:00:00"/>
    <d v="2021-06-30T00:00:00"/>
    <s v="Telstra"/>
    <s v="NETWORK"/>
    <s v="Network - InfraCo"/>
    <s v="QLD"/>
    <s v="Australia"/>
    <s v="Warwick"/>
    <s v="WARWICK EXCHANGE"/>
    <n v="423030208800"/>
    <s v="Recycled Waste"/>
    <x v="0"/>
    <x v="0"/>
    <s v="Account"/>
    <s v="CLEANAWAY Cardboard"/>
    <m/>
    <s v="57533_Diversion_Cardboard"/>
    <s v="Cardboard"/>
    <s v="Cleanaway"/>
    <m/>
    <d v="2021-03-12T00:00:00"/>
    <m/>
    <d v="2021-03-01T00:00:00"/>
    <s v="FY21"/>
    <s v="t"/>
    <n v="0"/>
    <n v="1.2E-2"/>
    <n v="0"/>
    <n v="1.2E-2"/>
    <n v="0"/>
    <n v="2"/>
    <n v="0"/>
    <n v="2"/>
    <n v="0"/>
    <n v="100"/>
    <n v="0"/>
    <s v="Consolidation"/>
    <s v="CO2e and Base Measure"/>
    <n v="100"/>
    <n v="100"/>
    <n v="0.01"/>
    <m/>
    <m/>
    <m/>
    <m/>
    <m/>
    <m/>
    <m/>
    <m/>
    <m/>
    <m/>
    <m/>
    <m/>
    <m/>
    <s v="AUD"/>
    <s v="13641228Waste Recycled - Paper and Cardboard [t]"/>
    <n v="13641228"/>
  </r>
  <r>
    <d v="2019-07-01T00:00:00"/>
    <d v="2021-06-30T00:00:00"/>
    <s v="Telstra"/>
    <s v="NETWORK"/>
    <s v="Network - InfraCo"/>
    <s v="QLD"/>
    <s v="Australia"/>
    <s v="Warwick"/>
    <s v="WARWICK EXCHANGE"/>
    <n v="423030208800"/>
    <s v="Recycled Waste"/>
    <x v="0"/>
    <x v="0"/>
    <s v="Account"/>
    <s v="CLEANAWAY Cardboard"/>
    <m/>
    <s v="57533_Diversion_Cardboard"/>
    <s v="Cardboard"/>
    <s v="Cleanaway"/>
    <m/>
    <d v="2021-03-12T00:00:00"/>
    <m/>
    <d v="2021-04-01T00:00:00"/>
    <s v="FY21"/>
    <s v="t"/>
    <n v="0"/>
    <n v="0"/>
    <n v="1.2E-2"/>
    <n v="1.2E-2"/>
    <n v="0"/>
    <n v="0"/>
    <n v="30"/>
    <n v="30"/>
    <n v="0"/>
    <n v="0"/>
    <n v="100"/>
    <s v="Consolidation"/>
    <s v="CO2e and Base Measure"/>
    <n v="100"/>
    <n v="100"/>
    <n v="0.01"/>
    <m/>
    <m/>
    <m/>
    <m/>
    <m/>
    <m/>
    <m/>
    <m/>
    <m/>
    <m/>
    <m/>
    <m/>
    <m/>
    <s v="AUD"/>
    <s v="13641228Waste Recycled - Paper and Cardboard [t]"/>
    <n v="13641228"/>
  </r>
  <r>
    <d v="2019-07-01T00:00:00"/>
    <d v="2021-06-30T00:00:00"/>
    <s v="Telstra"/>
    <s v="NETWORK"/>
    <s v="Network - InfraCo"/>
    <s v="QLD"/>
    <s v="Australia"/>
    <s v="Warwick"/>
    <s v="WARWICK EXCHANGE"/>
    <n v="423030208800"/>
    <s v="Recycled Waste"/>
    <x v="0"/>
    <x v="0"/>
    <s v="Account"/>
    <s v="CLEANAWAY Cardboard"/>
    <m/>
    <s v="57533_Diversion_Cardboard"/>
    <s v="Cardboard"/>
    <s v="Cleanaway"/>
    <m/>
    <d v="2021-03-12T00:00:00"/>
    <m/>
    <d v="2021-05-01T00:00:00"/>
    <s v="FY21"/>
    <s v="t"/>
    <n v="0"/>
    <n v="0"/>
    <n v="1.24E-2"/>
    <n v="1.24E-2"/>
    <n v="0"/>
    <n v="0"/>
    <n v="31"/>
    <n v="31"/>
    <n v="0"/>
    <n v="0"/>
    <n v="100"/>
    <s v="Consolidation"/>
    <s v="CO2e and Base Measure"/>
    <n v="100"/>
    <n v="100"/>
    <n v="0.01"/>
    <m/>
    <m/>
    <m/>
    <m/>
    <m/>
    <m/>
    <m/>
    <m/>
    <m/>
    <m/>
    <m/>
    <m/>
    <m/>
    <s v="AUD"/>
    <s v="13641228Waste Recycled - Paper and Cardboard [t]"/>
    <n v="13641228"/>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08-01T00:00:00"/>
    <s v="FY21"/>
    <s v="t"/>
    <n v="0"/>
    <n v="5.0000000000000001E-3"/>
    <n v="0"/>
    <n v="5.0000000000000001E-3"/>
    <n v="0"/>
    <n v="1"/>
    <n v="0"/>
    <n v="1"/>
    <n v="0"/>
    <n v="100"/>
    <n v="0"/>
    <s v="Consolidation"/>
    <s v="CO2e and Base Measure"/>
    <n v="100"/>
    <n v="100"/>
    <n v="0.01"/>
    <m/>
    <m/>
    <m/>
    <m/>
    <m/>
    <m/>
    <n v="0"/>
    <m/>
    <m/>
    <m/>
    <m/>
    <m/>
    <m/>
    <s v="AUD"/>
    <s v="13564283Waste Recycled - Cardboard [t]"/>
    <n v="13564283"/>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09-01T00:00:00"/>
    <s v="FY21"/>
    <s v="t"/>
    <n v="0"/>
    <n v="1.01E-2"/>
    <n v="0"/>
    <n v="1.01E-2"/>
    <n v="0"/>
    <n v="1"/>
    <n v="0"/>
    <n v="1"/>
    <n v="0"/>
    <n v="100"/>
    <n v="0"/>
    <s v="Consolidation"/>
    <s v="CO2e and Base Measure"/>
    <n v="100"/>
    <n v="100"/>
    <n v="0.01"/>
    <m/>
    <m/>
    <m/>
    <m/>
    <m/>
    <m/>
    <n v="0"/>
    <m/>
    <m/>
    <m/>
    <m/>
    <m/>
    <m/>
    <s v="AUD"/>
    <s v="13564283Waste Recycled - Cardboard [t]"/>
    <n v="13564283"/>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10-01T00:00:00"/>
    <s v="FY21"/>
    <s v="t"/>
    <n v="0"/>
    <n v="5.0000000000000001E-3"/>
    <n v="0"/>
    <n v="5.0000000000000001E-3"/>
    <n v="0"/>
    <n v="1"/>
    <n v="0"/>
    <n v="1"/>
    <n v="0"/>
    <n v="100"/>
    <n v="0"/>
    <s v="Consolidation"/>
    <s v="CO2e and Base Measure"/>
    <n v="100"/>
    <n v="100"/>
    <n v="0.01"/>
    <m/>
    <m/>
    <m/>
    <m/>
    <m/>
    <m/>
    <n v="0"/>
    <m/>
    <m/>
    <m/>
    <m/>
    <m/>
    <m/>
    <s v="AUD"/>
    <s v="13564283Waste Recycled - Cardboard [t]"/>
    <n v="13564283"/>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11-01T00:00:00"/>
    <s v="FY21"/>
    <s v="t"/>
    <n v="0"/>
    <n v="2.01E-2"/>
    <n v="0"/>
    <n v="2.01E-2"/>
    <n v="0"/>
    <n v="2"/>
    <n v="0"/>
    <n v="2"/>
    <n v="0"/>
    <n v="100"/>
    <n v="0"/>
    <s v="Consolidation"/>
    <s v="CO2e and Base Measure"/>
    <n v="100"/>
    <n v="100"/>
    <n v="0.02"/>
    <m/>
    <m/>
    <m/>
    <m/>
    <m/>
    <m/>
    <n v="0"/>
    <m/>
    <m/>
    <m/>
    <m/>
    <m/>
    <m/>
    <s v="AUD"/>
    <s v="13564283Waste Recycled - Cardboard [t]"/>
    <n v="13564283"/>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12-01T00:00:00"/>
    <s v="FY21"/>
    <s v="t"/>
    <n v="0"/>
    <n v="0"/>
    <n v="2.9999999999999997E-4"/>
    <n v="2.9999999999999997E-4"/>
    <n v="0"/>
    <n v="0"/>
    <n v="1"/>
    <n v="1"/>
    <n v="0"/>
    <n v="0"/>
    <n v="100"/>
    <s v="Consolidation"/>
    <s v="CO2e and Base Measure"/>
    <n v="100"/>
    <n v="100"/>
    <n v="0"/>
    <m/>
    <m/>
    <m/>
    <m/>
    <m/>
    <m/>
    <n v="0"/>
    <m/>
    <m/>
    <m/>
    <m/>
    <m/>
    <m/>
    <s v="AUD"/>
    <s v="13564283Waste Recycled - Cardboard [t]"/>
    <n v="13564283"/>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1-01-01T00:00:00"/>
    <s v="FY21"/>
    <s v="t"/>
    <n v="0"/>
    <n v="0"/>
    <n v="1.0999999999999999E-2"/>
    <n v="1.0999999999999999E-2"/>
    <n v="0"/>
    <n v="0"/>
    <n v="1"/>
    <n v="1"/>
    <n v="0"/>
    <n v="0"/>
    <n v="100"/>
    <s v="Consolidation"/>
    <s v="CO2e and Base Measure"/>
    <n v="100"/>
    <n v="100"/>
    <n v="0.01"/>
    <m/>
    <m/>
    <m/>
    <m/>
    <m/>
    <n v="1.43E-2"/>
    <m/>
    <n v="1.43E-2"/>
    <m/>
    <m/>
    <m/>
    <m/>
    <m/>
    <s v="AUD"/>
    <s v="13564284Waste - General [t] - Scope 3"/>
    <n v="1356428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07-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08-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09-01T00:00:00"/>
    <s v="FY21"/>
    <s v="t"/>
    <n v="2.1899999999999999E-2"/>
    <n v="0"/>
    <n v="0"/>
    <n v="2.1899999999999999E-2"/>
    <n v="30"/>
    <n v="0"/>
    <n v="0"/>
    <n v="30"/>
    <n v="100"/>
    <n v="0"/>
    <n v="0"/>
    <s v="Consolidation"/>
    <s v="CO2e and Base Measure"/>
    <n v="100"/>
    <n v="100"/>
    <n v="0.02"/>
    <m/>
    <m/>
    <m/>
    <m/>
    <m/>
    <n v="2.63E-2"/>
    <m/>
    <n v="2.63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10-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11-01T00:00:00"/>
    <s v="FY21"/>
    <s v="t"/>
    <n v="2.1899999999999999E-2"/>
    <n v="0"/>
    <n v="0"/>
    <n v="2.1899999999999999E-2"/>
    <n v="30"/>
    <n v="0"/>
    <n v="0"/>
    <n v="30"/>
    <n v="100"/>
    <n v="0"/>
    <n v="0"/>
    <s v="Consolidation"/>
    <s v="CO2e and Base Measure"/>
    <n v="100"/>
    <n v="100"/>
    <n v="0.02"/>
    <m/>
    <m/>
    <m/>
    <m/>
    <m/>
    <n v="2.63E-2"/>
    <m/>
    <n v="2.63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12-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1-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2-01T00:00:00"/>
    <s v="FY21"/>
    <s v="t"/>
    <n v="2.0400000000000001E-2"/>
    <n v="0"/>
    <n v="0"/>
    <n v="2.0400000000000001E-2"/>
    <n v="28"/>
    <n v="0"/>
    <n v="0"/>
    <n v="28"/>
    <n v="100"/>
    <n v="0"/>
    <n v="0"/>
    <s v="Consolidation"/>
    <s v="CO2e and Base Measure"/>
    <n v="100"/>
    <n v="100"/>
    <n v="0.02"/>
    <m/>
    <m/>
    <m/>
    <m/>
    <m/>
    <n v="2.4500000000000001E-2"/>
    <m/>
    <n v="2.4500000000000001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3-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4-01T00:00:00"/>
    <s v="FY21"/>
    <s v="t"/>
    <n v="0"/>
    <n v="0"/>
    <n v="2.1000000000000001E-2"/>
    <n v="2.1000000000000001E-2"/>
    <n v="0"/>
    <n v="0"/>
    <n v="30"/>
    <n v="30"/>
    <n v="0"/>
    <n v="0"/>
    <n v="100"/>
    <s v="Consolidation"/>
    <s v="CO2e and Base Measure"/>
    <n v="100"/>
    <n v="100"/>
    <n v="0.02"/>
    <m/>
    <m/>
    <m/>
    <m/>
    <m/>
    <n v="2.52E-2"/>
    <m/>
    <n v="2.52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5-01T00:00:00"/>
    <s v="FY21"/>
    <s v="t"/>
    <n v="0"/>
    <n v="0"/>
    <n v="2.1700000000000001E-2"/>
    <n v="2.1700000000000001E-2"/>
    <n v="0"/>
    <n v="0"/>
    <n v="31"/>
    <n v="31"/>
    <n v="0"/>
    <n v="0"/>
    <n v="100"/>
    <s v="Consolidation"/>
    <s v="CO2e and Base Measure"/>
    <n v="100"/>
    <n v="100"/>
    <n v="0.02"/>
    <m/>
    <m/>
    <m/>
    <m/>
    <m/>
    <n v="2.5999999999999999E-2"/>
    <m/>
    <n v="2.59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07-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08-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09-01T00:00:00"/>
    <s v="FY21"/>
    <s v="t"/>
    <n v="2.1899999999999999E-2"/>
    <n v="0"/>
    <n v="0"/>
    <n v="2.1899999999999999E-2"/>
    <n v="30"/>
    <n v="0"/>
    <n v="0"/>
    <n v="30"/>
    <n v="100"/>
    <n v="0"/>
    <n v="0"/>
    <s v="Consolidation"/>
    <s v="CO2e and Base Measure"/>
    <n v="100"/>
    <n v="100"/>
    <n v="0.02"/>
    <m/>
    <m/>
    <m/>
    <m/>
    <m/>
    <n v="2.63E-2"/>
    <m/>
    <n v="2.63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10-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11-01T00:00:00"/>
    <s v="FY21"/>
    <s v="t"/>
    <n v="2.1899999999999999E-2"/>
    <n v="0"/>
    <n v="0"/>
    <n v="2.1899999999999999E-2"/>
    <n v="30"/>
    <n v="0"/>
    <n v="0"/>
    <n v="30"/>
    <n v="100"/>
    <n v="0"/>
    <n v="0"/>
    <s v="Consolidation"/>
    <s v="CO2e and Base Measure"/>
    <n v="100"/>
    <n v="100"/>
    <n v="0.02"/>
    <m/>
    <m/>
    <m/>
    <m/>
    <m/>
    <n v="2.63E-2"/>
    <m/>
    <n v="2.63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12-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1-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2-01T00:00:00"/>
    <s v="FY21"/>
    <s v="t"/>
    <n v="2.0400000000000001E-2"/>
    <n v="0"/>
    <n v="0"/>
    <n v="2.0400000000000001E-2"/>
    <n v="28"/>
    <n v="0"/>
    <n v="0"/>
    <n v="28"/>
    <n v="100"/>
    <n v="0"/>
    <n v="0"/>
    <s v="Consolidation"/>
    <s v="CO2e and Base Measure"/>
    <n v="100"/>
    <n v="100"/>
    <n v="0.02"/>
    <m/>
    <m/>
    <m/>
    <m/>
    <m/>
    <n v="2.4500000000000001E-2"/>
    <m/>
    <n v="2.4500000000000001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3-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4-01T00:00:00"/>
    <s v="FY21"/>
    <s v="t"/>
    <n v="0"/>
    <n v="0"/>
    <n v="2.1000000000000001E-2"/>
    <n v="2.1000000000000001E-2"/>
    <n v="0"/>
    <n v="0"/>
    <n v="30"/>
    <n v="30"/>
    <n v="0"/>
    <n v="0"/>
    <n v="100"/>
    <s v="Consolidation"/>
    <s v="CO2e and Base Measure"/>
    <n v="100"/>
    <n v="100"/>
    <n v="0.02"/>
    <m/>
    <m/>
    <m/>
    <m/>
    <m/>
    <n v="2.52E-2"/>
    <m/>
    <n v="2.52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5-01T00:00:00"/>
    <s v="FY21"/>
    <s v="t"/>
    <n v="0"/>
    <n v="0"/>
    <n v="2.1700000000000001E-2"/>
    <n v="2.1700000000000001E-2"/>
    <n v="0"/>
    <n v="0"/>
    <n v="31"/>
    <n v="31"/>
    <n v="0"/>
    <n v="0"/>
    <n v="100"/>
    <s v="Consolidation"/>
    <s v="CO2e and Base Measure"/>
    <n v="100"/>
    <n v="100"/>
    <n v="0.02"/>
    <m/>
    <m/>
    <m/>
    <m/>
    <m/>
    <n v="2.5999999999999999E-2"/>
    <m/>
    <n v="2.59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07-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08-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09-01T00:00:00"/>
    <s v="FY21"/>
    <s v="t"/>
    <n v="8.8000000000000005E-3"/>
    <n v="0"/>
    <n v="0"/>
    <n v="8.8000000000000005E-3"/>
    <n v="30"/>
    <n v="0"/>
    <n v="0"/>
    <n v="30"/>
    <n v="100"/>
    <n v="0"/>
    <n v="0"/>
    <s v="Consolidation"/>
    <s v="CO2e and Base Measure"/>
    <n v="100"/>
    <n v="100"/>
    <n v="0.01"/>
    <m/>
    <m/>
    <m/>
    <m/>
    <m/>
    <n v="1.06E-2"/>
    <m/>
    <n v="1.06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10-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11-01T00:00:00"/>
    <s v="FY21"/>
    <s v="t"/>
    <n v="8.8000000000000005E-3"/>
    <n v="0"/>
    <n v="0"/>
    <n v="8.8000000000000005E-3"/>
    <n v="30"/>
    <n v="0"/>
    <n v="0"/>
    <n v="30"/>
    <n v="100"/>
    <n v="0"/>
    <n v="0"/>
    <s v="Consolidation"/>
    <s v="CO2e and Base Measure"/>
    <n v="100"/>
    <n v="100"/>
    <n v="0.01"/>
    <m/>
    <m/>
    <m/>
    <m/>
    <m/>
    <n v="1.06E-2"/>
    <m/>
    <n v="1.06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12-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1-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2-01T00:00:00"/>
    <s v="FY21"/>
    <s v="t"/>
    <n v="8.2000000000000007E-3"/>
    <n v="0"/>
    <n v="0"/>
    <n v="8.2000000000000007E-3"/>
    <n v="28"/>
    <n v="0"/>
    <n v="0"/>
    <n v="28"/>
    <n v="100"/>
    <n v="0"/>
    <n v="0"/>
    <s v="Consolidation"/>
    <s v="CO2e and Base Measure"/>
    <n v="100"/>
    <n v="100"/>
    <n v="0.01"/>
    <m/>
    <m/>
    <m/>
    <m/>
    <m/>
    <n v="9.7999999999999997E-3"/>
    <m/>
    <n v="9.7999999999999997E-3"/>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3-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4-01T00:00:00"/>
    <s v="FY21"/>
    <s v="t"/>
    <n v="0"/>
    <n v="0"/>
    <n v="8.9999999999999993E-3"/>
    <n v="8.9999999999999993E-3"/>
    <n v="0"/>
    <n v="0"/>
    <n v="30"/>
    <n v="30"/>
    <n v="0"/>
    <n v="0"/>
    <n v="100"/>
    <s v="Consolidation"/>
    <s v="CO2e and Base Measure"/>
    <n v="100"/>
    <n v="100"/>
    <n v="0.01"/>
    <m/>
    <m/>
    <m/>
    <m/>
    <m/>
    <n v="1.0800000000000001E-2"/>
    <m/>
    <n v="1.0800000000000001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5-01T00:00:00"/>
    <s v="FY21"/>
    <s v="t"/>
    <n v="0"/>
    <n v="0"/>
    <n v="9.2999999999999992E-3"/>
    <n v="9.2999999999999992E-3"/>
    <n v="0"/>
    <n v="0"/>
    <n v="31"/>
    <n v="31"/>
    <n v="0"/>
    <n v="0"/>
    <n v="100"/>
    <s v="Consolidation"/>
    <s v="CO2e and Base Measure"/>
    <n v="100"/>
    <n v="100"/>
    <n v="0.01"/>
    <m/>
    <m/>
    <m/>
    <m/>
    <m/>
    <n v="1.12E-2"/>
    <m/>
    <n v="1.12E-2"/>
    <m/>
    <m/>
    <m/>
    <m/>
    <m/>
    <s v="AUD"/>
    <s v="13566116Hazardous Waste [t]"/>
    <n v="13566116"/>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07-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08-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09-01T00:00:00"/>
    <s v="FY21"/>
    <s v="t"/>
    <n v="0.36680000000000001"/>
    <n v="0"/>
    <n v="0"/>
    <n v="0.36680000000000001"/>
    <n v="30"/>
    <n v="0"/>
    <n v="0"/>
    <n v="30"/>
    <n v="100"/>
    <n v="0"/>
    <n v="0"/>
    <s v="Consolidation"/>
    <s v="CO2e and Base Measure"/>
    <n v="100"/>
    <n v="100"/>
    <n v="0.37"/>
    <m/>
    <m/>
    <m/>
    <m/>
    <m/>
    <n v="0.4768"/>
    <m/>
    <n v="0.4768"/>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10-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11-01T00:00:00"/>
    <s v="FY21"/>
    <s v="t"/>
    <n v="0.36680000000000001"/>
    <n v="0"/>
    <n v="0"/>
    <n v="0.36680000000000001"/>
    <n v="30"/>
    <n v="0"/>
    <n v="0"/>
    <n v="30"/>
    <n v="100"/>
    <n v="0"/>
    <n v="0"/>
    <s v="Consolidation"/>
    <s v="CO2e and Base Measure"/>
    <n v="100"/>
    <n v="100"/>
    <n v="0.37"/>
    <m/>
    <m/>
    <m/>
    <m/>
    <m/>
    <n v="0.4768"/>
    <m/>
    <n v="0.4768"/>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12-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1-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2-01T00:00:00"/>
    <s v="FY21"/>
    <s v="t"/>
    <n v="0.34229999999999999"/>
    <n v="0"/>
    <n v="0"/>
    <n v="0.34229999999999999"/>
    <n v="28"/>
    <n v="0"/>
    <n v="0"/>
    <n v="28"/>
    <n v="100"/>
    <n v="0"/>
    <n v="0"/>
    <s v="Consolidation"/>
    <s v="CO2e and Base Measure"/>
    <n v="100"/>
    <n v="100"/>
    <n v="0.34"/>
    <m/>
    <m/>
    <m/>
    <m/>
    <m/>
    <n v="0.44500000000000001"/>
    <m/>
    <n v="0.44500000000000001"/>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3-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4-01T00:00:00"/>
    <s v="FY21"/>
    <s v="t"/>
    <n v="0"/>
    <n v="0"/>
    <n v="0.36"/>
    <n v="0.36"/>
    <n v="0"/>
    <n v="0"/>
    <n v="30"/>
    <n v="30"/>
    <n v="0"/>
    <n v="0"/>
    <n v="100"/>
    <s v="Consolidation"/>
    <s v="CO2e and Base Measure"/>
    <n v="100"/>
    <n v="100"/>
    <n v="0.36"/>
    <m/>
    <m/>
    <m/>
    <m/>
    <m/>
    <n v="0.46800000000000003"/>
    <m/>
    <n v="0.4680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5-01T00:00:00"/>
    <s v="FY21"/>
    <s v="t"/>
    <n v="0"/>
    <n v="0"/>
    <n v="0.372"/>
    <n v="0.372"/>
    <n v="0"/>
    <n v="0"/>
    <n v="31"/>
    <n v="31"/>
    <n v="0"/>
    <n v="0"/>
    <n v="100"/>
    <s v="Consolidation"/>
    <s v="CO2e and Base Measure"/>
    <n v="100"/>
    <n v="100"/>
    <n v="0.37"/>
    <m/>
    <m/>
    <m/>
    <m/>
    <m/>
    <n v="0.48359999999999997"/>
    <m/>
    <n v="0.48359999999999997"/>
    <m/>
    <m/>
    <m/>
    <m/>
    <m/>
    <s v="AUD"/>
    <s v="13566117Waste - General [t] - Scope 3"/>
    <n v="13566117"/>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07-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08-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09-01T00:00:00"/>
    <s v="FY21"/>
    <s v="t"/>
    <n v="1.09E-2"/>
    <n v="0"/>
    <n v="0"/>
    <n v="1.09E-2"/>
    <n v="30"/>
    <n v="0"/>
    <n v="0"/>
    <n v="30"/>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10-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11-01T00:00:00"/>
    <s v="FY21"/>
    <s v="t"/>
    <n v="1.09E-2"/>
    <n v="0"/>
    <n v="0"/>
    <n v="1.09E-2"/>
    <n v="30"/>
    <n v="0"/>
    <n v="0"/>
    <n v="30"/>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12-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1-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2-01T00:00:00"/>
    <s v="FY21"/>
    <s v="t"/>
    <n v="1.0200000000000001E-2"/>
    <n v="0"/>
    <n v="0"/>
    <n v="1.0200000000000001E-2"/>
    <n v="28"/>
    <n v="0"/>
    <n v="0"/>
    <n v="28"/>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3-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4-01T00:00:00"/>
    <s v="FY21"/>
    <s v="t"/>
    <n v="0"/>
    <n v="0"/>
    <n v="1.2E-2"/>
    <n v="1.2E-2"/>
    <n v="0"/>
    <n v="0"/>
    <n v="30"/>
    <n v="30"/>
    <n v="0"/>
    <n v="0"/>
    <n v="10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5-01T00:00:00"/>
    <s v="FY21"/>
    <s v="t"/>
    <n v="0"/>
    <n v="0"/>
    <n v="1.24E-2"/>
    <n v="1.24E-2"/>
    <n v="0"/>
    <n v="0"/>
    <n v="31"/>
    <n v="31"/>
    <n v="0"/>
    <n v="0"/>
    <n v="10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0"/>
    <s v="Account"/>
    <s v="Payphones Paper"/>
    <m/>
    <s v="Payphones paper"/>
    <s v="Payphones paper"/>
    <s v="Payphones"/>
    <m/>
    <m/>
    <m/>
    <d v="2020-07-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08-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09-01T00:00:00"/>
    <s v="FY21"/>
    <s v="t"/>
    <n v="2.1899999999999999E-2"/>
    <n v="0"/>
    <n v="0"/>
    <n v="2.1899999999999999E-2"/>
    <n v="30"/>
    <n v="0"/>
    <n v="0"/>
    <n v="30"/>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10-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11-01T00:00:00"/>
    <s v="FY21"/>
    <s v="t"/>
    <n v="2.1899999999999999E-2"/>
    <n v="0"/>
    <n v="0"/>
    <n v="2.1899999999999999E-2"/>
    <n v="30"/>
    <n v="0"/>
    <n v="0"/>
    <n v="30"/>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12-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1-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2-01T00:00:00"/>
    <s v="FY21"/>
    <s v="t"/>
    <n v="2.0400000000000001E-2"/>
    <n v="0"/>
    <n v="0"/>
    <n v="2.0400000000000001E-2"/>
    <n v="28"/>
    <n v="0"/>
    <n v="0"/>
    <n v="28"/>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3-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4-01T00:00:00"/>
    <s v="FY21"/>
    <s v="t"/>
    <n v="0"/>
    <n v="0"/>
    <n v="2.1000000000000001E-2"/>
    <n v="2.1000000000000001E-2"/>
    <n v="0"/>
    <n v="0"/>
    <n v="30"/>
    <n v="30"/>
    <n v="0"/>
    <n v="0"/>
    <n v="10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5-01T00:00:00"/>
    <s v="FY21"/>
    <s v="t"/>
    <n v="0"/>
    <n v="0"/>
    <n v="2.1700000000000001E-2"/>
    <n v="2.1700000000000001E-2"/>
    <n v="0"/>
    <n v="0"/>
    <n v="31"/>
    <n v="31"/>
    <n v="0"/>
    <n v="0"/>
    <n v="10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07-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08-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09-01T00:00:00"/>
    <s v="FY21"/>
    <s v="t"/>
    <n v="0.2409"/>
    <n v="0"/>
    <n v="0"/>
    <n v="0.2409"/>
    <n v="30"/>
    <n v="0"/>
    <n v="0"/>
    <n v="30"/>
    <n v="100"/>
    <n v="0"/>
    <n v="0"/>
    <s v="Consolidation"/>
    <s v="CO2e and Base Measure"/>
    <n v="100"/>
    <n v="100"/>
    <n v="0.24"/>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10-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11-01T00:00:00"/>
    <s v="FY21"/>
    <s v="t"/>
    <n v="0.2409"/>
    <n v="0"/>
    <n v="0"/>
    <n v="0.2409"/>
    <n v="30"/>
    <n v="0"/>
    <n v="0"/>
    <n v="30"/>
    <n v="100"/>
    <n v="0"/>
    <n v="0"/>
    <s v="Consolidation"/>
    <s v="CO2e and Base Measure"/>
    <n v="100"/>
    <n v="100"/>
    <n v="0.24"/>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12-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1-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2-01T00:00:00"/>
    <s v="FY21"/>
    <s v="t"/>
    <n v="0.2248"/>
    <n v="0"/>
    <n v="0"/>
    <n v="0.2248"/>
    <n v="28"/>
    <n v="0"/>
    <n v="0"/>
    <n v="28"/>
    <n v="100"/>
    <n v="0"/>
    <n v="0"/>
    <s v="Consolidation"/>
    <s v="CO2e and Base Measure"/>
    <n v="100"/>
    <n v="100"/>
    <n v="0.22"/>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3-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4-01T00:00:00"/>
    <s v="FY21"/>
    <s v="t"/>
    <n v="0"/>
    <n v="0"/>
    <n v="0.23699999999999999"/>
    <n v="0.23699999999999999"/>
    <n v="0"/>
    <n v="0"/>
    <n v="30"/>
    <n v="30"/>
    <n v="0"/>
    <n v="0"/>
    <n v="100"/>
    <s v="Consolidation"/>
    <s v="CO2e and Base Measure"/>
    <n v="100"/>
    <n v="100"/>
    <n v="0.24"/>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5-01T00:00:00"/>
    <s v="FY21"/>
    <s v="t"/>
    <n v="0"/>
    <n v="0"/>
    <n v="0.24490000000000001"/>
    <n v="0.24490000000000001"/>
    <n v="0"/>
    <n v="0"/>
    <n v="31"/>
    <n v="31"/>
    <n v="0"/>
    <n v="0"/>
    <n v="100"/>
    <s v="Consolidation"/>
    <s v="CO2e and Base Measure"/>
    <n v="100"/>
    <n v="100"/>
    <n v="0.24"/>
    <m/>
    <m/>
    <m/>
    <m/>
    <m/>
    <m/>
    <n v="0"/>
    <m/>
    <m/>
    <m/>
    <m/>
    <m/>
    <m/>
    <s v="AUD"/>
    <s v="13566121Waste Recycled - Cardboard [t]"/>
    <n v="13566121"/>
  </r>
  <r>
    <d v="2019-07-01T00:00:00"/>
    <d v="2021-06-30T00:00:00"/>
    <s v="Telstra"/>
    <s v="Corporate"/>
    <s v="Corporate"/>
    <s v="Waste"/>
    <s v="Australia"/>
    <s v="Victoria"/>
    <s v="Waste Corporate Virtual Loc"/>
    <m/>
    <s v="Recycled Waste"/>
    <x v="0"/>
    <x v="5"/>
    <s v="Account"/>
    <s v="Payphones Timber"/>
    <m/>
    <s v="Payphones timber"/>
    <s v="Payphones timber"/>
    <s v="Payphones"/>
    <m/>
    <m/>
    <m/>
    <d v="2020-07-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08-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09-01T00:00:00"/>
    <s v="FY21"/>
    <s v="t"/>
    <n v="1.09E-2"/>
    <n v="0"/>
    <n v="0"/>
    <n v="1.09E-2"/>
    <n v="30"/>
    <n v="0"/>
    <n v="0"/>
    <n v="30"/>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10-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11-01T00:00:00"/>
    <s v="FY21"/>
    <s v="t"/>
    <n v="1.09E-2"/>
    <n v="0"/>
    <n v="0"/>
    <n v="1.09E-2"/>
    <n v="30"/>
    <n v="0"/>
    <n v="0"/>
    <n v="30"/>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12-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1-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2-01T00:00:00"/>
    <s v="FY21"/>
    <s v="t"/>
    <n v="1.0200000000000001E-2"/>
    <n v="0"/>
    <n v="0"/>
    <n v="1.0200000000000001E-2"/>
    <n v="28"/>
    <n v="0"/>
    <n v="0"/>
    <n v="28"/>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3-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4-01T00:00:00"/>
    <s v="FY21"/>
    <s v="t"/>
    <n v="0"/>
    <n v="0"/>
    <n v="1.2E-2"/>
    <n v="1.2E-2"/>
    <n v="0"/>
    <n v="0"/>
    <n v="30"/>
    <n v="30"/>
    <n v="0"/>
    <n v="0"/>
    <n v="10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5-01T00:00:00"/>
    <s v="FY21"/>
    <s v="t"/>
    <n v="0"/>
    <n v="0"/>
    <n v="1.24E-2"/>
    <n v="1.24E-2"/>
    <n v="0"/>
    <n v="0"/>
    <n v="31"/>
    <n v="31"/>
    <n v="0"/>
    <n v="0"/>
    <n v="10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07-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08-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09-01T00:00:00"/>
    <s v="FY21"/>
    <s v="t"/>
    <n v="0.20910000000000001"/>
    <n v="0"/>
    <n v="0"/>
    <n v="0.20910000000000001"/>
    <n v="30"/>
    <n v="0"/>
    <n v="0"/>
    <n v="30"/>
    <n v="100"/>
    <n v="0"/>
    <n v="0"/>
    <s v="Consolidation"/>
    <s v="CO2e and Base Measure"/>
    <n v="100"/>
    <n v="100"/>
    <n v="0.21"/>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10-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11-01T00:00:00"/>
    <s v="FY21"/>
    <s v="t"/>
    <n v="0.20910000000000001"/>
    <n v="0"/>
    <n v="0"/>
    <n v="0.20910000000000001"/>
    <n v="30"/>
    <n v="0"/>
    <n v="0"/>
    <n v="30"/>
    <n v="100"/>
    <n v="0"/>
    <n v="0"/>
    <s v="Consolidation"/>
    <s v="CO2e and Base Measure"/>
    <n v="100"/>
    <n v="100"/>
    <n v="0.21"/>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12-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1-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2-01T00:00:00"/>
    <s v="FY21"/>
    <s v="t"/>
    <n v="0.19520000000000001"/>
    <n v="0"/>
    <n v="0"/>
    <n v="0.19520000000000001"/>
    <n v="28"/>
    <n v="0"/>
    <n v="0"/>
    <n v="28"/>
    <n v="100"/>
    <n v="0"/>
    <n v="0"/>
    <s v="Consolidation"/>
    <s v="CO2e and Base Measure"/>
    <n v="100"/>
    <n v="100"/>
    <n v="0.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3-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4-01T00:00:00"/>
    <s v="FY21"/>
    <s v="t"/>
    <n v="0"/>
    <n v="0"/>
    <n v="0.20699999999999999"/>
    <n v="0.20699999999999999"/>
    <n v="0"/>
    <n v="0"/>
    <n v="30"/>
    <n v="30"/>
    <n v="0"/>
    <n v="0"/>
    <n v="100"/>
    <s v="Consolidation"/>
    <s v="CO2e and Base Measure"/>
    <n v="100"/>
    <n v="100"/>
    <n v="0.21"/>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5-01T00:00:00"/>
    <s v="FY21"/>
    <s v="t"/>
    <n v="0"/>
    <n v="0"/>
    <n v="0.21390000000000001"/>
    <n v="0.21390000000000001"/>
    <n v="0"/>
    <n v="0"/>
    <n v="31"/>
    <n v="31"/>
    <n v="0"/>
    <n v="0"/>
    <n v="100"/>
    <s v="Consolidation"/>
    <s v="CO2e and Base Measure"/>
    <n v="100"/>
    <n v="100"/>
    <n v="0.21"/>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07-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08-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09-01T00:00:00"/>
    <s v="FY21"/>
    <s v="t"/>
    <n v="0.3745"/>
    <n v="0"/>
    <n v="0"/>
    <n v="0.3745"/>
    <n v="30"/>
    <n v="0"/>
    <n v="0"/>
    <n v="30"/>
    <n v="100"/>
    <n v="0"/>
    <n v="0"/>
    <s v="Consolidation"/>
    <s v="CO2e and Base Measure"/>
    <n v="100"/>
    <n v="100"/>
    <n v="0.37"/>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10-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11-01T00:00:00"/>
    <s v="FY21"/>
    <s v="t"/>
    <n v="0.3745"/>
    <n v="0"/>
    <n v="0"/>
    <n v="0.3745"/>
    <n v="30"/>
    <n v="0"/>
    <n v="0"/>
    <n v="30"/>
    <n v="100"/>
    <n v="0"/>
    <n v="0"/>
    <s v="Consolidation"/>
    <s v="CO2e and Base Measure"/>
    <n v="100"/>
    <n v="100"/>
    <n v="0.37"/>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12-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1-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2-01T00:00:00"/>
    <s v="FY21"/>
    <s v="t"/>
    <n v="0.34949999999999998"/>
    <n v="0"/>
    <n v="0"/>
    <n v="0.34949999999999998"/>
    <n v="28"/>
    <n v="0"/>
    <n v="0"/>
    <n v="28"/>
    <n v="100"/>
    <n v="0"/>
    <n v="0"/>
    <s v="Consolidation"/>
    <s v="CO2e and Base Measure"/>
    <n v="100"/>
    <n v="100"/>
    <n v="0.35"/>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3-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4-01T00:00:00"/>
    <s v="FY21"/>
    <s v="t"/>
    <n v="0"/>
    <n v="0"/>
    <n v="0.36899999999999999"/>
    <n v="0.36899999999999999"/>
    <n v="0"/>
    <n v="0"/>
    <n v="30"/>
    <n v="30"/>
    <n v="0"/>
    <n v="0"/>
    <n v="100"/>
    <s v="Consolidation"/>
    <s v="CO2e and Base Measure"/>
    <n v="100"/>
    <n v="100"/>
    <n v="0.37"/>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5-01T00:00:00"/>
    <s v="FY21"/>
    <s v="t"/>
    <n v="0"/>
    <n v="0"/>
    <n v="0.38129999999999997"/>
    <n v="0.38129999999999997"/>
    <n v="0"/>
    <n v="0"/>
    <n v="31"/>
    <n v="31"/>
    <n v="0"/>
    <n v="0"/>
    <n v="100"/>
    <s v="Consolidation"/>
    <s v="CO2e and Base Measure"/>
    <n v="100"/>
    <n v="100"/>
    <n v="0.38"/>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07-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08-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09-01T00:00:00"/>
    <s v="FY21"/>
    <s v="t"/>
    <n v="0.25509999999999999"/>
    <n v="0"/>
    <n v="0"/>
    <n v="0.25509999999999999"/>
    <n v="30"/>
    <n v="0"/>
    <n v="0"/>
    <n v="30"/>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10-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11-01T00:00:00"/>
    <s v="FY21"/>
    <s v="t"/>
    <n v="0.25509999999999999"/>
    <n v="0"/>
    <n v="0"/>
    <n v="0.25509999999999999"/>
    <n v="30"/>
    <n v="0"/>
    <n v="0"/>
    <n v="30"/>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12-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1-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2-01T00:00:00"/>
    <s v="FY21"/>
    <s v="t"/>
    <n v="0.23810000000000001"/>
    <n v="0"/>
    <n v="0"/>
    <n v="0.23810000000000001"/>
    <n v="28"/>
    <n v="0"/>
    <n v="0"/>
    <n v="28"/>
    <n v="100"/>
    <n v="0"/>
    <n v="0"/>
    <s v="Consolidation"/>
    <s v="CO2e and Base Measure"/>
    <n v="100"/>
    <n v="100"/>
    <n v="0.24"/>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3-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4-01T00:00:00"/>
    <s v="FY21"/>
    <s v="t"/>
    <n v="0"/>
    <n v="0"/>
    <n v="0.252"/>
    <n v="0.252"/>
    <n v="0"/>
    <n v="0"/>
    <n v="30"/>
    <n v="30"/>
    <n v="0"/>
    <n v="0"/>
    <n v="100"/>
    <s v="Consolidation"/>
    <s v="CO2e and Base Measure"/>
    <n v="100"/>
    <n v="100"/>
    <n v="0.25"/>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5-01T00:00:00"/>
    <s v="FY21"/>
    <s v="t"/>
    <n v="0"/>
    <n v="0"/>
    <n v="0.26040000000000002"/>
    <n v="0.26040000000000002"/>
    <n v="0"/>
    <n v="0"/>
    <n v="31"/>
    <n v="31"/>
    <n v="0"/>
    <n v="0"/>
    <n v="10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07-01T00:00:00"/>
    <s v="FY21"/>
    <s v="t"/>
    <n v="0"/>
    <n v="0"/>
    <n v="0"/>
    <n v="0"/>
    <n v="31"/>
    <n v="0"/>
    <n v="0"/>
    <n v="31"/>
    <m/>
    <m/>
    <m/>
    <s v="Consolidation"/>
    <s v="CO2e and Base Measure"/>
    <n v="100"/>
    <n v="100"/>
    <n v="0"/>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08-01T00:00:00"/>
    <s v="FY21"/>
    <s v="t"/>
    <n v="13.2"/>
    <n v="0"/>
    <n v="0"/>
    <n v="13.2"/>
    <n v="31"/>
    <n v="0"/>
    <n v="0"/>
    <n v="31"/>
    <n v="100"/>
    <n v="0"/>
    <n v="0"/>
    <s v="Consolidation"/>
    <s v="CO2e and Base Measure"/>
    <n v="100"/>
    <n v="100"/>
    <n v="13.2"/>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09-01T00:00:00"/>
    <s v="FY21"/>
    <s v="t"/>
    <n v="0"/>
    <n v="0"/>
    <n v="0"/>
    <n v="0"/>
    <n v="30"/>
    <n v="0"/>
    <n v="0"/>
    <n v="30"/>
    <m/>
    <m/>
    <m/>
    <s v="Consolidation"/>
    <s v="CO2e and Base Measure"/>
    <n v="100"/>
    <n v="100"/>
    <n v="0"/>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10-01T00:00:00"/>
    <s v="FY21"/>
    <s v="t"/>
    <n v="5.58"/>
    <n v="0"/>
    <n v="0"/>
    <n v="5.58"/>
    <n v="31"/>
    <n v="0"/>
    <n v="0"/>
    <n v="31"/>
    <n v="100"/>
    <n v="0"/>
    <n v="0"/>
    <s v="Consolidation"/>
    <s v="CO2e and Base Measure"/>
    <n v="100"/>
    <n v="100"/>
    <n v="5.58"/>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11-01T00:00:00"/>
    <s v="FY21"/>
    <s v="t"/>
    <n v="15.42"/>
    <n v="0"/>
    <n v="0"/>
    <n v="15.42"/>
    <n v="30"/>
    <n v="0"/>
    <n v="0"/>
    <n v="30"/>
    <n v="100"/>
    <n v="0"/>
    <n v="0"/>
    <s v="Consolidation"/>
    <s v="CO2e and Base Measure"/>
    <n v="100"/>
    <n v="100"/>
    <n v="15.42"/>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12-01T00:00:00"/>
    <s v="FY21"/>
    <s v="t"/>
    <n v="11.13"/>
    <n v="0"/>
    <n v="0"/>
    <n v="11.13"/>
    <n v="31"/>
    <n v="0"/>
    <n v="0"/>
    <n v="31"/>
    <n v="100"/>
    <n v="0"/>
    <n v="0"/>
    <s v="Consolidation"/>
    <s v="CO2e and Base Measure"/>
    <n v="100"/>
    <n v="100"/>
    <n v="11.13"/>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1-01T00:00:00"/>
    <s v="FY21"/>
    <s v="t"/>
    <n v="3.93"/>
    <n v="0"/>
    <n v="0"/>
    <n v="3.93"/>
    <n v="31"/>
    <n v="0"/>
    <n v="0"/>
    <n v="31"/>
    <n v="100"/>
    <n v="0"/>
    <n v="0"/>
    <s v="Consolidation"/>
    <s v="CO2e and Base Measure"/>
    <n v="100"/>
    <n v="100"/>
    <n v="3.93"/>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2-01T00:00:00"/>
    <s v="FY21"/>
    <s v="t"/>
    <n v="0"/>
    <n v="0"/>
    <n v="0"/>
    <n v="0"/>
    <n v="28"/>
    <n v="0"/>
    <n v="0"/>
    <n v="28"/>
    <m/>
    <m/>
    <m/>
    <s v="Consolidation"/>
    <s v="CO2e and Base Measure"/>
    <n v="100"/>
    <n v="100"/>
    <n v="0"/>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3-01T00:00:00"/>
    <s v="FY21"/>
    <s v="t"/>
    <n v="0"/>
    <n v="0"/>
    <n v="0"/>
    <n v="0"/>
    <n v="31"/>
    <n v="0"/>
    <n v="0"/>
    <n v="31"/>
    <m/>
    <m/>
    <m/>
    <s v="Consolidation"/>
    <s v="CO2e and Base Measure"/>
    <n v="100"/>
    <n v="100"/>
    <n v="0"/>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4-01T00:00:00"/>
    <s v="FY21"/>
    <s v="t"/>
    <n v="0"/>
    <n v="0"/>
    <n v="4.8780000000000001"/>
    <n v="4.8780000000000001"/>
    <n v="0"/>
    <n v="0"/>
    <n v="30"/>
    <n v="30"/>
    <n v="0"/>
    <n v="0"/>
    <n v="100"/>
    <s v="Consolidation"/>
    <s v="CO2e and Base Measure"/>
    <n v="100"/>
    <n v="100"/>
    <n v="4.88"/>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5-01T00:00:00"/>
    <s v="FY21"/>
    <s v="t"/>
    <n v="0"/>
    <n v="0"/>
    <n v="5.0406000000000004"/>
    <n v="5.0406000000000004"/>
    <n v="0"/>
    <n v="0"/>
    <n v="31"/>
    <n v="31"/>
    <n v="0"/>
    <n v="0"/>
    <n v="100"/>
    <s v="Consolidation"/>
    <s v="CO2e and Base Measure"/>
    <n v="100"/>
    <n v="100"/>
    <n v="5.04"/>
    <m/>
    <m/>
    <m/>
    <m/>
    <m/>
    <m/>
    <m/>
    <m/>
    <m/>
    <m/>
    <m/>
    <m/>
    <m/>
    <s v="AUD"/>
    <s v="13566209Waste Recycled - Construction and Demolition [t]"/>
    <n v="13566209"/>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07-01T00:00:00"/>
    <s v="FY21"/>
    <s v="t"/>
    <n v="0"/>
    <n v="0"/>
    <n v="0"/>
    <n v="0"/>
    <n v="31"/>
    <n v="0"/>
    <n v="0"/>
    <n v="31"/>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08-01T00:00:00"/>
    <s v="FY21"/>
    <s v="t"/>
    <n v="0"/>
    <n v="0"/>
    <n v="0"/>
    <n v="0"/>
    <n v="31"/>
    <n v="0"/>
    <n v="0"/>
    <n v="31"/>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09-01T00:00:00"/>
    <s v="FY21"/>
    <s v="t"/>
    <n v="0"/>
    <n v="0"/>
    <n v="0"/>
    <n v="0"/>
    <n v="30"/>
    <n v="0"/>
    <n v="0"/>
    <n v="30"/>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10-01T00:00:00"/>
    <s v="FY21"/>
    <s v="t"/>
    <n v="0.12"/>
    <n v="0"/>
    <n v="0"/>
    <n v="0.12"/>
    <n v="31"/>
    <n v="0"/>
    <n v="0"/>
    <n v="31"/>
    <n v="100"/>
    <n v="0"/>
    <n v="0"/>
    <s v="Consolidation"/>
    <s v="CO2e and Base Measure"/>
    <n v="100"/>
    <n v="100"/>
    <n v="0.12"/>
    <m/>
    <m/>
    <m/>
    <m/>
    <m/>
    <n v="0.14399999999999999"/>
    <m/>
    <n v="0.14399999999999999"/>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11-01T00:00:00"/>
    <s v="FY21"/>
    <s v="t"/>
    <n v="1.06"/>
    <n v="0"/>
    <n v="0"/>
    <n v="1.06"/>
    <n v="30"/>
    <n v="0"/>
    <n v="0"/>
    <n v="30"/>
    <n v="100"/>
    <n v="0"/>
    <n v="0"/>
    <s v="Consolidation"/>
    <s v="CO2e and Base Measure"/>
    <n v="100"/>
    <n v="100"/>
    <n v="1.06"/>
    <m/>
    <m/>
    <m/>
    <m/>
    <m/>
    <n v="1.272"/>
    <m/>
    <n v="1.272"/>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12-01T00:00:00"/>
    <s v="FY21"/>
    <s v="t"/>
    <n v="0.98"/>
    <n v="0"/>
    <n v="0"/>
    <n v="0.98"/>
    <n v="31"/>
    <n v="0"/>
    <n v="0"/>
    <n v="31"/>
    <n v="100"/>
    <n v="0"/>
    <n v="0"/>
    <s v="Consolidation"/>
    <s v="CO2e and Base Measure"/>
    <n v="100"/>
    <n v="100"/>
    <n v="0.98"/>
    <m/>
    <m/>
    <m/>
    <m/>
    <m/>
    <n v="1.1759999999999999"/>
    <m/>
    <n v="1.1759999999999999"/>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1-01T00:00:00"/>
    <s v="FY21"/>
    <s v="t"/>
    <n v="0.38"/>
    <n v="0"/>
    <n v="0"/>
    <n v="0.38"/>
    <n v="31"/>
    <n v="0"/>
    <n v="0"/>
    <n v="31"/>
    <n v="100"/>
    <n v="0"/>
    <n v="0"/>
    <s v="Consolidation"/>
    <s v="CO2e and Base Measure"/>
    <n v="100"/>
    <n v="100"/>
    <n v="0.38"/>
    <m/>
    <m/>
    <m/>
    <m/>
    <m/>
    <n v="0.45600000000000002"/>
    <m/>
    <n v="0.45600000000000002"/>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2-01T00:00:00"/>
    <s v="FY21"/>
    <s v="t"/>
    <n v="0"/>
    <n v="0"/>
    <n v="0"/>
    <n v="0"/>
    <n v="28"/>
    <n v="0"/>
    <n v="0"/>
    <n v="28"/>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3-01T00:00:00"/>
    <s v="FY21"/>
    <s v="t"/>
    <n v="0"/>
    <n v="0"/>
    <n v="0"/>
    <n v="0"/>
    <n v="31"/>
    <n v="0"/>
    <n v="0"/>
    <n v="31"/>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4-01T00:00:00"/>
    <s v="FY21"/>
    <s v="t"/>
    <n v="0"/>
    <n v="0"/>
    <n v="0.252"/>
    <n v="0.252"/>
    <n v="0"/>
    <n v="0"/>
    <n v="30"/>
    <n v="30"/>
    <n v="0"/>
    <n v="0"/>
    <n v="100"/>
    <s v="Consolidation"/>
    <s v="CO2e and Base Measure"/>
    <n v="100"/>
    <n v="100"/>
    <n v="0.25"/>
    <m/>
    <m/>
    <m/>
    <m/>
    <m/>
    <n v="0.3024"/>
    <m/>
    <n v="0.3024"/>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5-01T00:00:00"/>
    <s v="FY21"/>
    <s v="t"/>
    <n v="0"/>
    <n v="0"/>
    <n v="0.26040000000000002"/>
    <n v="0.26040000000000002"/>
    <n v="0"/>
    <n v="0"/>
    <n v="31"/>
    <n v="31"/>
    <n v="0"/>
    <n v="0"/>
    <n v="100"/>
    <s v="Consolidation"/>
    <s v="CO2e and Base Measure"/>
    <n v="100"/>
    <n v="100"/>
    <n v="0.26"/>
    <m/>
    <m/>
    <m/>
    <m/>
    <m/>
    <n v="0.3125"/>
    <m/>
    <n v="0.3125"/>
    <m/>
    <m/>
    <m/>
    <m/>
    <m/>
    <s v="AUD"/>
    <s v="13566210Waste - Construction and Demolition [t]"/>
    <n v="13566210"/>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07-01T00:00:00"/>
    <s v="FY21"/>
    <s v="t"/>
    <n v="15.8"/>
    <n v="0"/>
    <n v="0"/>
    <n v="15.8"/>
    <n v="31"/>
    <n v="0"/>
    <n v="0"/>
    <n v="31"/>
    <n v="100"/>
    <n v="0"/>
    <n v="0"/>
    <s v="Consolidation"/>
    <s v="CO2e and Base Measure"/>
    <n v="100"/>
    <n v="100"/>
    <n v="15.8"/>
    <m/>
    <m/>
    <m/>
    <m/>
    <m/>
    <n v="20.54"/>
    <m/>
    <n v="20.54"/>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09-01T00:00:00"/>
    <s v="FY21"/>
    <s v="t"/>
    <n v="2.1"/>
    <n v="0"/>
    <n v="0"/>
    <n v="2.1"/>
    <n v="30"/>
    <n v="0"/>
    <n v="0"/>
    <n v="30"/>
    <n v="100"/>
    <n v="0"/>
    <n v="0"/>
    <s v="Consolidation"/>
    <s v="CO2e and Base Measure"/>
    <n v="100"/>
    <n v="100"/>
    <n v="2.1"/>
    <m/>
    <m/>
    <m/>
    <m/>
    <m/>
    <n v="2.73"/>
    <m/>
    <n v="2.73"/>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10-01T00:00:00"/>
    <s v="FY21"/>
    <s v="t"/>
    <n v="9.6"/>
    <n v="0"/>
    <n v="0"/>
    <n v="9.6"/>
    <n v="31"/>
    <n v="0"/>
    <n v="0"/>
    <n v="31"/>
    <n v="100"/>
    <n v="0"/>
    <n v="0"/>
    <s v="Consolidation"/>
    <s v="CO2e and Base Measure"/>
    <n v="100"/>
    <n v="100"/>
    <n v="9.6"/>
    <m/>
    <m/>
    <m/>
    <m/>
    <m/>
    <n v="12.48"/>
    <m/>
    <n v="12.48"/>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11-01T00:00:00"/>
    <s v="FY21"/>
    <s v="t"/>
    <n v="1.1000000000000001"/>
    <n v="0"/>
    <n v="0"/>
    <n v="1.1000000000000001"/>
    <n v="30"/>
    <n v="0"/>
    <n v="0"/>
    <n v="30"/>
    <n v="100"/>
    <n v="0"/>
    <n v="0"/>
    <s v="Consolidation"/>
    <s v="CO2e and Base Measure"/>
    <n v="100"/>
    <n v="100"/>
    <n v="1.1000000000000001"/>
    <m/>
    <m/>
    <m/>
    <m/>
    <m/>
    <n v="1.43"/>
    <m/>
    <n v="1.43"/>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12-01T00:00:00"/>
    <s v="FY21"/>
    <s v="t"/>
    <n v="1.7"/>
    <n v="0"/>
    <n v="0"/>
    <n v="1.7"/>
    <n v="31"/>
    <n v="0"/>
    <n v="0"/>
    <n v="31"/>
    <n v="100"/>
    <n v="0"/>
    <n v="0"/>
    <s v="Consolidation"/>
    <s v="CO2e and Base Measure"/>
    <n v="100"/>
    <n v="100"/>
    <n v="1.7"/>
    <m/>
    <m/>
    <m/>
    <m/>
    <m/>
    <n v="2.21"/>
    <m/>
    <n v="2.21"/>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1-01T00:00:00"/>
    <s v="FY21"/>
    <s v="t"/>
    <n v="5.8"/>
    <n v="0"/>
    <n v="0"/>
    <n v="5.8"/>
    <n v="31"/>
    <n v="0"/>
    <n v="0"/>
    <n v="31"/>
    <n v="100"/>
    <n v="0"/>
    <n v="0"/>
    <s v="Consolidation"/>
    <s v="CO2e and Base Measure"/>
    <n v="100"/>
    <n v="100"/>
    <n v="5.8"/>
    <m/>
    <m/>
    <m/>
    <m/>
    <m/>
    <n v="7.54"/>
    <m/>
    <n v="7.54"/>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2-01T00:00:00"/>
    <s v="FY21"/>
    <s v="t"/>
    <n v="2.7"/>
    <n v="0"/>
    <n v="0"/>
    <n v="2.7"/>
    <n v="28"/>
    <n v="0"/>
    <n v="0"/>
    <n v="28"/>
    <n v="100"/>
    <n v="0"/>
    <n v="0"/>
    <s v="Consolidation"/>
    <s v="CO2e and Base Measure"/>
    <n v="100"/>
    <n v="100"/>
    <n v="2.7"/>
    <m/>
    <m/>
    <m/>
    <m/>
    <m/>
    <n v="3.51"/>
    <m/>
    <n v="3.51"/>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3-01T00:00:00"/>
    <s v="FY21"/>
    <s v="t"/>
    <n v="11.1"/>
    <n v="0"/>
    <n v="0"/>
    <n v="11.1"/>
    <n v="31"/>
    <n v="0"/>
    <n v="0"/>
    <n v="31"/>
    <n v="100"/>
    <n v="0"/>
    <n v="0"/>
    <s v="Consolidation"/>
    <s v="CO2e and Base Measure"/>
    <n v="100"/>
    <n v="100"/>
    <n v="11.1"/>
    <m/>
    <m/>
    <m/>
    <m/>
    <m/>
    <n v="14.43"/>
    <m/>
    <n v="14.43"/>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4-01T00:00:00"/>
    <s v="FY21"/>
    <s v="t"/>
    <n v="0"/>
    <n v="0"/>
    <n v="5.484"/>
    <n v="5.484"/>
    <n v="0"/>
    <n v="0"/>
    <n v="30"/>
    <n v="30"/>
    <n v="0"/>
    <n v="0"/>
    <n v="100"/>
    <s v="Consolidation"/>
    <s v="CO2e and Base Measure"/>
    <n v="100"/>
    <n v="100"/>
    <n v="5.48"/>
    <m/>
    <m/>
    <m/>
    <m/>
    <m/>
    <n v="7.1292"/>
    <m/>
    <n v="7.1292"/>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5-01T00:00:00"/>
    <s v="FY21"/>
    <s v="t"/>
    <n v="0"/>
    <n v="0"/>
    <n v="5.6668000000000003"/>
    <n v="5.6668000000000003"/>
    <n v="0"/>
    <n v="0"/>
    <n v="31"/>
    <n v="31"/>
    <n v="0"/>
    <n v="0"/>
    <n v="100"/>
    <s v="Consolidation"/>
    <s v="CO2e and Base Measure"/>
    <n v="100"/>
    <n v="100"/>
    <n v="5.67"/>
    <m/>
    <m/>
    <m/>
    <m/>
    <m/>
    <n v="7.3667999999999996"/>
    <m/>
    <n v="7.3667999999999996"/>
    <m/>
    <m/>
    <m/>
    <m/>
    <m/>
    <s v="AUD"/>
    <s v="13566783Waste - General [t] - Scope 3"/>
    <n v="13566783"/>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07-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08-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09-01T00:00:00"/>
    <s v="FY21"/>
    <s v="t"/>
    <n v="239.05860000000001"/>
    <n v="0"/>
    <n v="0"/>
    <n v="239.05860000000001"/>
    <n v="30"/>
    <n v="0"/>
    <n v="0"/>
    <n v="30"/>
    <n v="100"/>
    <n v="0"/>
    <n v="0"/>
    <s v="Consolidation"/>
    <s v="CO2e and Base Measure"/>
    <n v="100"/>
    <n v="100"/>
    <n v="239.06"/>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10-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11-01T00:00:00"/>
    <s v="FY21"/>
    <s v="t"/>
    <n v="239.05860000000001"/>
    <n v="0"/>
    <n v="0"/>
    <n v="239.05860000000001"/>
    <n v="30"/>
    <n v="0"/>
    <n v="0"/>
    <n v="30"/>
    <n v="100"/>
    <n v="0"/>
    <n v="0"/>
    <s v="Consolidation"/>
    <s v="CO2e and Base Measure"/>
    <n v="100"/>
    <n v="100"/>
    <n v="239.06"/>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12-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1-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2-01T00:00:00"/>
    <s v="FY21"/>
    <s v="t"/>
    <n v="223.12129999999999"/>
    <n v="0"/>
    <n v="0"/>
    <n v="223.12129999999999"/>
    <n v="28"/>
    <n v="0"/>
    <n v="0"/>
    <n v="28"/>
    <n v="100"/>
    <n v="0"/>
    <n v="0"/>
    <s v="Consolidation"/>
    <s v="CO2e and Base Measure"/>
    <n v="100"/>
    <n v="100"/>
    <n v="223.12"/>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3-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4-01T00:00:00"/>
    <s v="FY21"/>
    <s v="t"/>
    <n v="0"/>
    <n v="0"/>
    <n v="243.267"/>
    <n v="243.267"/>
    <n v="0"/>
    <n v="0"/>
    <n v="30"/>
    <n v="30"/>
    <n v="0"/>
    <n v="0"/>
    <n v="100"/>
    <s v="Consolidation"/>
    <s v="CO2e and Base Measure"/>
    <n v="100"/>
    <n v="100"/>
    <n v="243.27"/>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5-01T00:00:00"/>
    <s v="FY21"/>
    <s v="t"/>
    <n v="0"/>
    <n v="0"/>
    <n v="251.3759"/>
    <n v="251.3759"/>
    <n v="0"/>
    <n v="0"/>
    <n v="31"/>
    <n v="31"/>
    <n v="0"/>
    <n v="0"/>
    <n v="100"/>
    <s v="Consolidation"/>
    <s v="CO2e and Base Measure"/>
    <n v="100"/>
    <n v="100"/>
    <n v="251.38"/>
    <m/>
    <m/>
    <m/>
    <m/>
    <m/>
    <m/>
    <m/>
    <m/>
    <m/>
    <m/>
    <m/>
    <m/>
    <m/>
    <s v="AUD"/>
    <s v="13563710Waste Recycled - E-waste [t]"/>
    <n v="13563710"/>
  </r>
  <r>
    <d v="2019-07-01T00:00:00"/>
    <d v="2021-06-30T00:00:00"/>
    <s v="Telstra"/>
    <s v="Corporate"/>
    <s v="Corporate"/>
    <s v="Waste"/>
    <s v="Australia"/>
    <s v="Victoria"/>
    <s v="Waste Network Virtual Loc"/>
    <m/>
    <s v="Recycled Waste"/>
    <x v="0"/>
    <x v="1"/>
    <s v="Account"/>
    <s v="Payphones E-Waste"/>
    <m/>
    <s v="Payphones e-waste"/>
    <s v="Payphones e-waste"/>
    <s v="Payphones"/>
    <m/>
    <m/>
    <m/>
    <d v="2020-07-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08-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09-01T00:00:00"/>
    <s v="FY21"/>
    <s v="t"/>
    <n v="0.1653"/>
    <n v="0"/>
    <n v="0"/>
    <n v="0.1653"/>
    <n v="30"/>
    <n v="0"/>
    <n v="0"/>
    <n v="30"/>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10-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11-01T00:00:00"/>
    <s v="FY21"/>
    <s v="t"/>
    <n v="0.1653"/>
    <n v="0"/>
    <n v="0"/>
    <n v="0.1653"/>
    <n v="30"/>
    <n v="0"/>
    <n v="0"/>
    <n v="30"/>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12-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1-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2-01T00:00:00"/>
    <s v="FY21"/>
    <s v="t"/>
    <n v="0.15429999999999999"/>
    <n v="0"/>
    <n v="0"/>
    <n v="0.15429999999999999"/>
    <n v="28"/>
    <n v="0"/>
    <n v="0"/>
    <n v="28"/>
    <n v="100"/>
    <n v="0"/>
    <n v="0"/>
    <s v="Consolidation"/>
    <s v="CO2e and Base Measure"/>
    <n v="100"/>
    <n v="100"/>
    <n v="0.15"/>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3-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4-01T00:00:00"/>
    <s v="FY21"/>
    <s v="t"/>
    <n v="0"/>
    <n v="0"/>
    <n v="0.16200000000000001"/>
    <n v="0.16200000000000001"/>
    <n v="0"/>
    <n v="0"/>
    <n v="30"/>
    <n v="30"/>
    <n v="0"/>
    <n v="0"/>
    <n v="100"/>
    <s v="Consolidation"/>
    <s v="CO2e and Base Measure"/>
    <n v="100"/>
    <n v="100"/>
    <n v="0.16"/>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5-01T00:00:00"/>
    <s v="FY21"/>
    <s v="t"/>
    <n v="0"/>
    <n v="0"/>
    <n v="0.16739999999999999"/>
    <n v="0.16739999999999999"/>
    <n v="0"/>
    <n v="0"/>
    <n v="31"/>
    <n v="31"/>
    <n v="0"/>
    <n v="0"/>
    <n v="10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07-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08-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09-01T00:00:00"/>
    <s v="FY21"/>
    <s v="t"/>
    <n v="6.5699999999999995E-2"/>
    <n v="0"/>
    <n v="0"/>
    <n v="6.5699999999999995E-2"/>
    <n v="30"/>
    <n v="0"/>
    <n v="0"/>
    <n v="30"/>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10-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11-01T00:00:00"/>
    <s v="FY21"/>
    <s v="t"/>
    <n v="6.5699999999999995E-2"/>
    <n v="0"/>
    <n v="0"/>
    <n v="6.5699999999999995E-2"/>
    <n v="30"/>
    <n v="0"/>
    <n v="0"/>
    <n v="30"/>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12-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1-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2-01T00:00:00"/>
    <s v="FY21"/>
    <s v="t"/>
    <n v="6.13E-2"/>
    <n v="0"/>
    <n v="0"/>
    <n v="6.13E-2"/>
    <n v="28"/>
    <n v="0"/>
    <n v="0"/>
    <n v="28"/>
    <n v="100"/>
    <n v="0"/>
    <n v="0"/>
    <s v="Consolidation"/>
    <s v="CO2e and Base Measure"/>
    <n v="100"/>
    <n v="100"/>
    <n v="0.06"/>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3-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4-01T00:00:00"/>
    <s v="FY21"/>
    <s v="t"/>
    <n v="0"/>
    <n v="0"/>
    <n v="6.6000000000000003E-2"/>
    <n v="6.6000000000000003E-2"/>
    <n v="0"/>
    <n v="0"/>
    <n v="30"/>
    <n v="30"/>
    <n v="0"/>
    <n v="0"/>
    <n v="10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5-01T00:00:00"/>
    <s v="FY21"/>
    <s v="t"/>
    <n v="0"/>
    <n v="0"/>
    <n v="6.8199999999999997E-2"/>
    <n v="6.8199999999999997E-2"/>
    <n v="0"/>
    <n v="0"/>
    <n v="31"/>
    <n v="31"/>
    <n v="0"/>
    <n v="0"/>
    <n v="10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07-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08-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09-01T00:00:00"/>
    <s v="FY21"/>
    <s v="t"/>
    <n v="3.4441999999999999"/>
    <n v="0"/>
    <n v="0"/>
    <n v="3.4441999999999999"/>
    <n v="30"/>
    <n v="0"/>
    <n v="0"/>
    <n v="30"/>
    <n v="100"/>
    <n v="0"/>
    <n v="0"/>
    <s v="Consolidation"/>
    <s v="CO2e and Base Measure"/>
    <n v="100"/>
    <n v="100"/>
    <n v="3.44"/>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10-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11-01T00:00:00"/>
    <s v="FY21"/>
    <s v="t"/>
    <n v="3.4441999999999999"/>
    <n v="0"/>
    <n v="0"/>
    <n v="3.4441999999999999"/>
    <n v="30"/>
    <n v="0"/>
    <n v="0"/>
    <n v="30"/>
    <n v="100"/>
    <n v="0"/>
    <n v="0"/>
    <s v="Consolidation"/>
    <s v="CO2e and Base Measure"/>
    <n v="100"/>
    <n v="100"/>
    <n v="3.44"/>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12-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1-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2-01T00:00:00"/>
    <s v="FY21"/>
    <s v="t"/>
    <n v="3.2145999999999999"/>
    <n v="0"/>
    <n v="0"/>
    <n v="3.2145999999999999"/>
    <n v="28"/>
    <n v="0"/>
    <n v="0"/>
    <n v="28"/>
    <n v="100"/>
    <n v="0"/>
    <n v="0"/>
    <s v="Consolidation"/>
    <s v="CO2e and Base Measure"/>
    <n v="100"/>
    <n v="100"/>
    <n v="3.21"/>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3-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4-01T00:00:00"/>
    <s v="FY21"/>
    <s v="t"/>
    <n v="0"/>
    <n v="0"/>
    <n v="3.36"/>
    <n v="3.36"/>
    <n v="0"/>
    <n v="0"/>
    <n v="30"/>
    <n v="30"/>
    <n v="0"/>
    <n v="0"/>
    <n v="100"/>
    <s v="Consolidation"/>
    <s v="CO2e and Base Measure"/>
    <n v="100"/>
    <n v="100"/>
    <n v="3.3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5-01T00:00:00"/>
    <s v="FY21"/>
    <s v="t"/>
    <n v="0"/>
    <n v="0"/>
    <n v="3.472"/>
    <n v="3.472"/>
    <n v="0"/>
    <n v="0"/>
    <n v="31"/>
    <n v="31"/>
    <n v="0"/>
    <n v="0"/>
    <n v="100"/>
    <s v="Consolidation"/>
    <s v="CO2e and Base Measure"/>
    <n v="100"/>
    <n v="100"/>
    <n v="3.47"/>
    <m/>
    <m/>
    <m/>
    <m/>
    <m/>
    <m/>
    <m/>
    <m/>
    <m/>
    <m/>
    <m/>
    <m/>
    <m/>
    <s v="AUD"/>
    <s v="13566736Waste Recycled - E-waste [t]"/>
    <n v="13566736"/>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07-01T00:00:00"/>
    <s v="FY21"/>
    <s v="t"/>
    <n v="8.6E-3"/>
    <n v="0"/>
    <n v="0"/>
    <n v="8.6E-3"/>
    <n v="31"/>
    <n v="0"/>
    <n v="0"/>
    <n v="31"/>
    <n v="100"/>
    <n v="0"/>
    <n v="0"/>
    <s v="Consolidation"/>
    <s v="CO2e and Base Measure"/>
    <n v="100"/>
    <n v="100"/>
    <n v="0.01"/>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08-01T00:00:00"/>
    <s v="FY21"/>
    <s v="t"/>
    <n v="2.07E-2"/>
    <n v="0"/>
    <n v="0"/>
    <n v="2.07E-2"/>
    <n v="31"/>
    <n v="0"/>
    <n v="0"/>
    <n v="31"/>
    <n v="100"/>
    <n v="0"/>
    <n v="0"/>
    <s v="Consolidation"/>
    <s v="CO2e and Base Measure"/>
    <n v="100"/>
    <n v="100"/>
    <n v="0.02"/>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09-01T00:00:00"/>
    <s v="FY21"/>
    <s v="t"/>
    <n v="3.5099999999999999E-2"/>
    <n v="0"/>
    <n v="0"/>
    <n v="3.5099999999999999E-2"/>
    <n v="30"/>
    <n v="0"/>
    <n v="0"/>
    <n v="30"/>
    <n v="100"/>
    <n v="0"/>
    <n v="0"/>
    <s v="Consolidation"/>
    <s v="CO2e and Base Measure"/>
    <n v="100"/>
    <n v="100"/>
    <n v="0.04"/>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10-01T00:00:00"/>
    <s v="FY21"/>
    <s v="t"/>
    <n v="1.26E-2"/>
    <n v="0"/>
    <n v="0"/>
    <n v="1.26E-2"/>
    <n v="31"/>
    <n v="0"/>
    <n v="0"/>
    <n v="31"/>
    <n v="100"/>
    <n v="0"/>
    <n v="0"/>
    <s v="Consolidation"/>
    <s v="CO2e and Base Measure"/>
    <n v="100"/>
    <n v="100"/>
    <n v="0.01"/>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11-01T00:00:00"/>
    <s v="FY21"/>
    <s v="t"/>
    <n v="3.0999999999999999E-3"/>
    <n v="0"/>
    <n v="0"/>
    <n v="3.0999999999999999E-3"/>
    <n v="30"/>
    <n v="0"/>
    <n v="0"/>
    <n v="30"/>
    <n v="100"/>
    <n v="0"/>
    <n v="0"/>
    <s v="Consolidation"/>
    <s v="CO2e and Base Measure"/>
    <n v="100"/>
    <n v="100"/>
    <n v="0"/>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12-01T00:00:00"/>
    <s v="FY21"/>
    <s v="t"/>
    <n v="1.5299999999999999E-2"/>
    <n v="0"/>
    <n v="0"/>
    <n v="1.5299999999999999E-2"/>
    <n v="31"/>
    <n v="0"/>
    <n v="0"/>
    <n v="31"/>
    <n v="100"/>
    <n v="0"/>
    <n v="0"/>
    <s v="Consolidation"/>
    <s v="CO2e and Base Measure"/>
    <n v="100"/>
    <n v="100"/>
    <n v="0.02"/>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1-01T00:00:00"/>
    <s v="FY21"/>
    <s v="t"/>
    <n v="7.4000000000000003E-3"/>
    <n v="0"/>
    <n v="0"/>
    <n v="7.4000000000000003E-3"/>
    <n v="31"/>
    <n v="0"/>
    <n v="0"/>
    <n v="31"/>
    <n v="100"/>
    <n v="0"/>
    <n v="0"/>
    <s v="Consolidation"/>
    <s v="CO2e and Base Measure"/>
    <n v="100"/>
    <n v="100"/>
    <n v="0.01"/>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2-01T00:00:00"/>
    <s v="FY21"/>
    <s v="t"/>
    <n v="9.2100000000000001E-2"/>
    <n v="0"/>
    <n v="0"/>
    <n v="9.2100000000000001E-2"/>
    <n v="28"/>
    <n v="0"/>
    <n v="0"/>
    <n v="28"/>
    <n v="100"/>
    <n v="0"/>
    <n v="0"/>
    <s v="Consolidation"/>
    <s v="CO2e and Base Measure"/>
    <n v="100"/>
    <n v="100"/>
    <n v="0.09"/>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3-01T00:00:00"/>
    <s v="FY21"/>
    <s v="t"/>
    <n v="4.3799999999999999E-2"/>
    <n v="0"/>
    <n v="0"/>
    <n v="4.3799999999999999E-2"/>
    <n v="31"/>
    <n v="0"/>
    <n v="0"/>
    <n v="31"/>
    <n v="100"/>
    <n v="0"/>
    <n v="0"/>
    <s v="Consolidation"/>
    <s v="CO2e and Base Measure"/>
    <n v="100"/>
    <n v="100"/>
    <n v="0.04"/>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4-01T00:00:00"/>
    <s v="FY21"/>
    <s v="t"/>
    <n v="0"/>
    <n v="0"/>
    <n v="2.4E-2"/>
    <n v="2.4E-2"/>
    <n v="0"/>
    <n v="0"/>
    <n v="30"/>
    <n v="30"/>
    <n v="0"/>
    <n v="0"/>
    <n v="100"/>
    <s v="Consolidation"/>
    <s v="CO2e and Base Measure"/>
    <n v="100"/>
    <n v="100"/>
    <n v="0.02"/>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5-01T00:00:00"/>
    <s v="FY21"/>
    <s v="t"/>
    <n v="0"/>
    <n v="0"/>
    <n v="2.4799999999999999E-2"/>
    <n v="2.4799999999999999E-2"/>
    <n v="0"/>
    <n v="0"/>
    <n v="31"/>
    <n v="31"/>
    <n v="0"/>
    <n v="0"/>
    <n v="100"/>
    <s v="Consolidation"/>
    <s v="CO2e and Base Measure"/>
    <n v="100"/>
    <n v="100"/>
    <n v="0.02"/>
    <m/>
    <m/>
    <m/>
    <m/>
    <m/>
    <m/>
    <m/>
    <m/>
    <m/>
    <m/>
    <m/>
    <m/>
    <m/>
    <s v="AUD"/>
    <s v="13566780Waste Recycled - E-waste [t]"/>
    <n v="13566780"/>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0-07-01T00:00:00"/>
    <s v="FY21"/>
    <s v="t"/>
    <n v="0.32529999999999998"/>
    <n v="0"/>
    <n v="0"/>
    <n v="0.32529999999999998"/>
    <n v="31"/>
    <n v="0"/>
    <n v="0"/>
    <n v="31"/>
    <n v="100"/>
    <n v="0"/>
    <n v="0"/>
    <s v="Consolidation"/>
    <s v="CO2e and Base Measure"/>
    <n v="100"/>
    <n v="100"/>
    <n v="0.33"/>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0-10-01T00:00:00"/>
    <s v="FY21"/>
    <s v="t"/>
    <n v="0.1673"/>
    <n v="0"/>
    <n v="0"/>
    <n v="0.1673"/>
    <n v="31"/>
    <n v="0"/>
    <n v="0"/>
    <n v="31"/>
    <n v="100"/>
    <n v="0"/>
    <n v="0"/>
    <s v="Consolidation"/>
    <s v="CO2e and Base Measure"/>
    <n v="100"/>
    <n v="100"/>
    <n v="0.17"/>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0-12-01T00:00:00"/>
    <s v="FY21"/>
    <s v="t"/>
    <n v="0.2838"/>
    <n v="0"/>
    <n v="0"/>
    <n v="0.2838"/>
    <n v="31"/>
    <n v="0"/>
    <n v="0"/>
    <n v="31"/>
    <n v="100"/>
    <n v="0"/>
    <n v="0"/>
    <s v="Consolidation"/>
    <s v="CO2e and Base Measure"/>
    <n v="100"/>
    <n v="100"/>
    <n v="0.28000000000000003"/>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1-01-01T00:00:00"/>
    <s v="FY21"/>
    <s v="t"/>
    <n v="0.96689999999999998"/>
    <n v="0"/>
    <n v="0"/>
    <n v="0.96689999999999998"/>
    <n v="31"/>
    <n v="0"/>
    <n v="0"/>
    <n v="31"/>
    <n v="100"/>
    <n v="0"/>
    <n v="0"/>
    <s v="Consolidation"/>
    <s v="CO2e and Base Measure"/>
    <n v="100"/>
    <n v="100"/>
    <n v="0.97"/>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1-03-01T00:00:00"/>
    <s v="FY21"/>
    <s v="t"/>
    <n v="0.15390000000000001"/>
    <n v="0"/>
    <n v="0"/>
    <n v="0.15390000000000001"/>
    <n v="31"/>
    <n v="0"/>
    <n v="0"/>
    <n v="31"/>
    <n v="100"/>
    <n v="0"/>
    <n v="0"/>
    <s v="Consolidation"/>
    <s v="CO2e and Base Measure"/>
    <n v="100"/>
    <n v="100"/>
    <n v="0.15"/>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1-04-01T00:00:00"/>
    <s v="FY21"/>
    <s v="t"/>
    <n v="0.36320000000000002"/>
    <n v="0"/>
    <n v="0"/>
    <n v="0.36320000000000002"/>
    <n v="30"/>
    <n v="0"/>
    <n v="0"/>
    <n v="30"/>
    <n v="100"/>
    <n v="0"/>
    <n v="0"/>
    <s v="Consolidation"/>
    <s v="CO2e and Base Measure"/>
    <n v="100"/>
    <n v="100"/>
    <n v="0.36"/>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1-05-01T00:00:00"/>
    <s v="FY21"/>
    <s v="t"/>
    <n v="0"/>
    <n v="0"/>
    <n v="0.23250000000000001"/>
    <n v="0.23250000000000001"/>
    <n v="0"/>
    <n v="0"/>
    <n v="31"/>
    <n v="31"/>
    <n v="0"/>
    <n v="0"/>
    <n v="100"/>
    <s v="Consolidation"/>
    <s v="CO2e and Base Measure"/>
    <n v="100"/>
    <n v="100"/>
    <n v="0.23"/>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07-01T00:00:00"/>
    <s v="FY21"/>
    <s v="t"/>
    <n v="0.14560000000000001"/>
    <n v="0"/>
    <n v="0"/>
    <n v="0.14560000000000001"/>
    <n v="31"/>
    <n v="0"/>
    <n v="0"/>
    <n v="31"/>
    <n v="100"/>
    <n v="0"/>
    <n v="0"/>
    <s v="Consolidation"/>
    <s v="CO2e and Base Measure"/>
    <n v="100"/>
    <n v="100"/>
    <n v="0.15"/>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08-01T00:00:00"/>
    <s v="FY21"/>
    <s v="t"/>
    <n v="3.5299999999999998E-2"/>
    <n v="0"/>
    <n v="0"/>
    <n v="3.5299999999999998E-2"/>
    <n v="31"/>
    <n v="0"/>
    <n v="0"/>
    <n v="31"/>
    <n v="100"/>
    <n v="0"/>
    <n v="0"/>
    <s v="Consolidation"/>
    <s v="CO2e and Base Measure"/>
    <n v="100"/>
    <n v="100"/>
    <n v="0.04"/>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09-01T00:00:00"/>
    <s v="FY21"/>
    <s v="t"/>
    <n v="4.2700000000000002E-2"/>
    <n v="0"/>
    <n v="0"/>
    <n v="4.2700000000000002E-2"/>
    <n v="30"/>
    <n v="0"/>
    <n v="0"/>
    <n v="30"/>
    <n v="100"/>
    <n v="0"/>
    <n v="0"/>
    <s v="Consolidation"/>
    <s v="CO2e and Base Measure"/>
    <n v="100"/>
    <n v="100"/>
    <n v="0.04"/>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10-01T00:00:00"/>
    <s v="FY21"/>
    <s v="t"/>
    <n v="0.1037"/>
    <n v="0"/>
    <n v="0"/>
    <n v="0.1037"/>
    <n v="31"/>
    <n v="0"/>
    <n v="0"/>
    <n v="31"/>
    <n v="100"/>
    <n v="0"/>
    <n v="0"/>
    <s v="Consolidation"/>
    <s v="CO2e and Base Measure"/>
    <n v="100"/>
    <n v="100"/>
    <n v="0.1"/>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11-01T00:00:00"/>
    <s v="FY21"/>
    <s v="t"/>
    <n v="0.12609999999999999"/>
    <n v="0"/>
    <n v="0"/>
    <n v="0.12609999999999999"/>
    <n v="30"/>
    <n v="0"/>
    <n v="0"/>
    <n v="30"/>
    <n v="100"/>
    <n v="0"/>
    <n v="0"/>
    <s v="Consolidation"/>
    <s v="CO2e and Base Measure"/>
    <n v="100"/>
    <n v="100"/>
    <n v="0.13"/>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12-01T00:00:00"/>
    <s v="FY21"/>
    <s v="t"/>
    <n v="6.2799999999999995E-2"/>
    <n v="0"/>
    <n v="0"/>
    <n v="6.2799999999999995E-2"/>
    <n v="31"/>
    <n v="0"/>
    <n v="0"/>
    <n v="31"/>
    <n v="100"/>
    <n v="0"/>
    <n v="0"/>
    <s v="Consolidation"/>
    <s v="CO2e and Base Measure"/>
    <n v="100"/>
    <n v="100"/>
    <n v="0.06"/>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1-01T00:00:00"/>
    <s v="FY21"/>
    <s v="t"/>
    <n v="8.3799999999999999E-2"/>
    <n v="0"/>
    <n v="0"/>
    <n v="8.3799999999999999E-2"/>
    <n v="31"/>
    <n v="0"/>
    <n v="0"/>
    <n v="31"/>
    <n v="100"/>
    <n v="0"/>
    <n v="0"/>
    <s v="Consolidation"/>
    <s v="CO2e and Base Measure"/>
    <n v="100"/>
    <n v="100"/>
    <n v="0.08"/>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2-01T00:00:00"/>
    <s v="FY21"/>
    <s v="t"/>
    <n v="6.6400000000000001E-2"/>
    <n v="0"/>
    <n v="0"/>
    <n v="6.6400000000000001E-2"/>
    <n v="28"/>
    <n v="0"/>
    <n v="0"/>
    <n v="28"/>
    <n v="100"/>
    <n v="0"/>
    <n v="0"/>
    <s v="Consolidation"/>
    <s v="CO2e and Base Measure"/>
    <n v="100"/>
    <n v="100"/>
    <n v="7.0000000000000007E-2"/>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3-01T00:00:00"/>
    <s v="FY21"/>
    <s v="t"/>
    <n v="0.1217"/>
    <n v="0"/>
    <n v="0"/>
    <n v="0.1217"/>
    <n v="31"/>
    <n v="0"/>
    <n v="0"/>
    <n v="31"/>
    <n v="100"/>
    <n v="0"/>
    <n v="0"/>
    <s v="Consolidation"/>
    <s v="CO2e and Base Measure"/>
    <n v="100"/>
    <n v="100"/>
    <n v="0.12"/>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4-01T00:00:00"/>
    <s v="FY21"/>
    <s v="t"/>
    <n v="6.6000000000000003E-2"/>
    <n v="0"/>
    <n v="0"/>
    <n v="6.6000000000000003E-2"/>
    <n v="30"/>
    <n v="0"/>
    <n v="0"/>
    <n v="30"/>
    <n v="100"/>
    <n v="0"/>
    <n v="0"/>
    <s v="Consolidation"/>
    <s v="CO2e and Base Measure"/>
    <n v="100"/>
    <n v="100"/>
    <n v="7.0000000000000007E-2"/>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5-01T00:00:00"/>
    <s v="FY21"/>
    <s v="t"/>
    <n v="0"/>
    <n v="0"/>
    <n v="9.2999999999999999E-2"/>
    <n v="9.2999999999999999E-2"/>
    <n v="0"/>
    <n v="0"/>
    <n v="31"/>
    <n v="31"/>
    <n v="0"/>
    <n v="0"/>
    <n v="100"/>
    <s v="Consolidation"/>
    <s v="CO2e and Base Measure"/>
    <n v="100"/>
    <n v="100"/>
    <n v="0.09"/>
    <m/>
    <m/>
    <m/>
    <m/>
    <m/>
    <m/>
    <m/>
    <m/>
    <m/>
    <m/>
    <m/>
    <m/>
    <m/>
    <s v="AUD"/>
    <s v="13566203Waste Recycled - Mobile Phones [t]"/>
    <n v="13566203"/>
  </r>
  <r>
    <d v="2019-07-01T00:00:00"/>
    <d v="2021-06-30T00:00:00"/>
    <s v="Telstra"/>
    <s v="Corporate"/>
    <s v="Corporate"/>
    <s v="Waste"/>
    <s v="Australia"/>
    <s v="Victoria"/>
    <s v="Waste Offices Virtual Loc"/>
    <m/>
    <s v="Recycled Waste"/>
    <x v="0"/>
    <x v="9"/>
    <s v="Account"/>
    <s v="Mobile Muster Mobiles"/>
    <m/>
    <s v="Corporate Offices Mobile Muster"/>
    <s v="Mobile Muster"/>
    <s v="Mobile Muster"/>
    <m/>
    <m/>
    <m/>
    <d v="2020-07-01T00:00:00"/>
    <s v="FY21"/>
    <s v="t"/>
    <n v="0"/>
    <n v="0"/>
    <n v="0"/>
    <n v="0"/>
    <n v="31"/>
    <n v="0"/>
    <n v="0"/>
    <n v="31"/>
    <m/>
    <m/>
    <m/>
    <s v="Consolidation"/>
    <s v="CO2e and Base Measure"/>
    <n v="100"/>
    <n v="100"/>
    <n v="0"/>
    <m/>
    <m/>
    <m/>
    <m/>
    <m/>
    <m/>
    <m/>
    <m/>
    <m/>
    <m/>
    <m/>
    <m/>
    <m/>
    <s v="AUD"/>
    <s v="13566200Waste Recycled - Mobile Phones [t]"/>
    <n v="13566200"/>
  </r>
  <r>
    <d v="2019-07-01T00:00:00"/>
    <d v="2021-06-30T00:00:00"/>
    <s v="Telstra"/>
    <s v="Corporate"/>
    <s v="Corporate"/>
    <s v="Waste"/>
    <s v="Australia"/>
    <s v="Victoria"/>
    <s v="Waste Offices Virtual Loc"/>
    <m/>
    <s v="Recycled Waste"/>
    <x v="0"/>
    <x v="9"/>
    <s v="Account"/>
    <s v="Mobile Muster Mobiles"/>
    <m/>
    <s v="Corporate Offices Mobile Muster"/>
    <s v="Mobile Muster"/>
    <s v="Mobile Muster"/>
    <m/>
    <m/>
    <m/>
    <d v="2021-02-01T00:00:00"/>
    <s v="FY21"/>
    <s v="t"/>
    <n v="9.5399999999999999E-2"/>
    <n v="0"/>
    <n v="0"/>
    <n v="9.5399999999999999E-2"/>
    <n v="28"/>
    <n v="0"/>
    <n v="0"/>
    <n v="28"/>
    <n v="100"/>
    <n v="0"/>
    <n v="0"/>
    <s v="Consolidation"/>
    <s v="CO2e and Base Measure"/>
    <n v="100"/>
    <n v="100"/>
    <n v="0.1"/>
    <m/>
    <m/>
    <m/>
    <m/>
    <m/>
    <m/>
    <m/>
    <m/>
    <m/>
    <m/>
    <m/>
    <m/>
    <m/>
    <s v="AUD"/>
    <s v="13566200Waste Recycled - Mobile Phones [t]"/>
    <n v="13566200"/>
  </r>
  <r>
    <d v="2019-07-01T00:00:00"/>
    <d v="2021-06-30T00:00:00"/>
    <s v="Telstra"/>
    <s v="Corporate"/>
    <s v="Corporate"/>
    <s v="Waste"/>
    <s v="Australia"/>
    <s v="Victoria"/>
    <s v="Waste Offices Virtual Loc"/>
    <m/>
    <s v="Recycled Waste"/>
    <x v="0"/>
    <x v="9"/>
    <s v="Account"/>
    <s v="Mobile Muster Mobiles"/>
    <m/>
    <s v="Corporate Offices Mobile Muster"/>
    <s v="Mobile Muster"/>
    <s v="Mobile Muster"/>
    <m/>
    <m/>
    <m/>
    <d v="2021-04-01T00:00:00"/>
    <s v="FY21"/>
    <s v="t"/>
    <n v="5.4999999999999997E-3"/>
    <n v="0"/>
    <n v="0"/>
    <n v="5.4999999999999997E-3"/>
    <n v="30"/>
    <n v="0"/>
    <n v="0"/>
    <n v="30"/>
    <n v="100"/>
    <n v="0"/>
    <n v="0"/>
    <s v="Consolidation"/>
    <s v="CO2e and Base Measure"/>
    <n v="100"/>
    <n v="100"/>
    <n v="0.01"/>
    <m/>
    <m/>
    <m/>
    <m/>
    <m/>
    <m/>
    <m/>
    <m/>
    <m/>
    <m/>
    <m/>
    <m/>
    <m/>
    <s v="AUD"/>
    <s v="13566200Waste Recycled - Mobile Phones [t]"/>
    <n v="13566200"/>
  </r>
  <r>
    <d v="2019-07-01T00:00:00"/>
    <d v="2021-06-30T00:00:00"/>
    <s v="Telstra"/>
    <s v="Corporate"/>
    <s v="Corporate"/>
    <s v="Waste"/>
    <s v="Australia"/>
    <s v="Victoria"/>
    <s v="Waste Offices Virtual Loc"/>
    <m/>
    <s v="Recycled Waste"/>
    <x v="0"/>
    <x v="9"/>
    <s v="Account"/>
    <s v="Mobile Muster Mobiles"/>
    <m/>
    <s v="Corporate Offices Mobile Muster"/>
    <s v="Mobile Muster"/>
    <s v="Mobile Muster"/>
    <m/>
    <m/>
    <m/>
    <d v="2021-05-01T00:00:00"/>
    <s v="FY21"/>
    <s v="t"/>
    <n v="0"/>
    <n v="0"/>
    <n v="9.2999999999999992E-3"/>
    <n v="9.2999999999999992E-3"/>
    <n v="0"/>
    <n v="0"/>
    <n v="31"/>
    <n v="31"/>
    <n v="0"/>
    <n v="0"/>
    <n v="100"/>
    <s v="Consolidation"/>
    <s v="CO2e and Base Measure"/>
    <n v="100"/>
    <n v="100"/>
    <n v="0.01"/>
    <m/>
    <m/>
    <m/>
    <m/>
    <m/>
    <m/>
    <m/>
    <m/>
    <m/>
    <m/>
    <m/>
    <m/>
    <m/>
    <s v="AUD"/>
    <s v="13566200Waste Recycled - Mobile Phones [t]"/>
    <n v="13566200"/>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07-01T00:00:00"/>
    <s v="FY21"/>
    <s v="t"/>
    <n v="0.46879999999999999"/>
    <n v="0"/>
    <n v="0"/>
    <n v="0.46879999999999999"/>
    <n v="31"/>
    <n v="0"/>
    <n v="0"/>
    <n v="31"/>
    <n v="100"/>
    <n v="0"/>
    <n v="0"/>
    <s v="Consolidation"/>
    <s v="CO2e and Base Measure"/>
    <n v="100"/>
    <n v="100"/>
    <n v="0.47"/>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08-01T00:00:00"/>
    <s v="FY21"/>
    <s v="t"/>
    <n v="0.31819999999999998"/>
    <n v="0"/>
    <n v="0"/>
    <n v="0.31819999999999998"/>
    <n v="31"/>
    <n v="0"/>
    <n v="0"/>
    <n v="31"/>
    <n v="100"/>
    <n v="0"/>
    <n v="0"/>
    <s v="Consolidation"/>
    <s v="CO2e and Base Measure"/>
    <n v="100"/>
    <n v="100"/>
    <n v="0.32"/>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09-01T00:00:00"/>
    <s v="FY21"/>
    <s v="t"/>
    <n v="0.98"/>
    <n v="0"/>
    <n v="0"/>
    <n v="0.98"/>
    <n v="30"/>
    <n v="0"/>
    <n v="0"/>
    <n v="30"/>
    <n v="100"/>
    <n v="0"/>
    <n v="0"/>
    <s v="Consolidation"/>
    <s v="CO2e and Base Measure"/>
    <n v="100"/>
    <n v="100"/>
    <n v="0.98"/>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10-01T00:00:00"/>
    <s v="FY21"/>
    <s v="t"/>
    <n v="0.63629999999999998"/>
    <n v="0"/>
    <n v="0"/>
    <n v="0.63629999999999998"/>
    <n v="31"/>
    <n v="0"/>
    <n v="0"/>
    <n v="31"/>
    <n v="100"/>
    <n v="0"/>
    <n v="0"/>
    <s v="Consolidation"/>
    <s v="CO2e and Base Measure"/>
    <n v="100"/>
    <n v="100"/>
    <n v="0.64"/>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11-01T00:00:00"/>
    <s v="FY21"/>
    <s v="t"/>
    <n v="0.31109999999999999"/>
    <n v="0"/>
    <n v="0"/>
    <n v="0.31109999999999999"/>
    <n v="30"/>
    <n v="0"/>
    <n v="0"/>
    <n v="30"/>
    <n v="100"/>
    <n v="0"/>
    <n v="0"/>
    <s v="Consolidation"/>
    <s v="CO2e and Base Measure"/>
    <n v="100"/>
    <n v="100"/>
    <n v="0.31"/>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12-01T00:00:00"/>
    <s v="FY21"/>
    <s v="t"/>
    <n v="0.80810000000000004"/>
    <n v="0"/>
    <n v="0"/>
    <n v="0.80810000000000004"/>
    <n v="31"/>
    <n v="0"/>
    <n v="0"/>
    <n v="31"/>
    <n v="100"/>
    <n v="0"/>
    <n v="0"/>
    <s v="Consolidation"/>
    <s v="CO2e and Base Measure"/>
    <n v="100"/>
    <n v="100"/>
    <n v="0.81"/>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1-01T00:00:00"/>
    <s v="FY21"/>
    <s v="t"/>
    <n v="0.65039999999999998"/>
    <n v="0"/>
    <n v="0"/>
    <n v="0.65039999999999998"/>
    <n v="31"/>
    <n v="0"/>
    <n v="0"/>
    <n v="31"/>
    <n v="100"/>
    <n v="0"/>
    <n v="0"/>
    <s v="Consolidation"/>
    <s v="CO2e and Base Measure"/>
    <n v="100"/>
    <n v="100"/>
    <n v="0.65"/>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2-01T00:00:00"/>
    <s v="FY21"/>
    <s v="t"/>
    <n v="0.88570000000000004"/>
    <n v="0"/>
    <n v="0"/>
    <n v="0.88570000000000004"/>
    <n v="28"/>
    <n v="0"/>
    <n v="0"/>
    <n v="28"/>
    <n v="100"/>
    <n v="0"/>
    <n v="0"/>
    <s v="Consolidation"/>
    <s v="CO2e and Base Measure"/>
    <n v="100"/>
    <n v="100"/>
    <n v="0.89"/>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3-01T00:00:00"/>
    <s v="FY21"/>
    <s v="t"/>
    <n v="1.0155000000000001"/>
    <n v="0"/>
    <n v="0"/>
    <n v="1.0155000000000001"/>
    <n v="31"/>
    <n v="0"/>
    <n v="0"/>
    <n v="31"/>
    <n v="100"/>
    <n v="0"/>
    <n v="0"/>
    <s v="Consolidation"/>
    <s v="CO2e and Base Measure"/>
    <n v="100"/>
    <n v="100"/>
    <n v="1.02"/>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4-01T00:00:00"/>
    <s v="FY21"/>
    <s v="t"/>
    <n v="1.1035999999999999"/>
    <n v="0"/>
    <n v="0"/>
    <n v="1.1035999999999999"/>
    <n v="30"/>
    <n v="0"/>
    <n v="0"/>
    <n v="30"/>
    <n v="100"/>
    <n v="0"/>
    <n v="0"/>
    <s v="Consolidation"/>
    <s v="CO2e and Base Measure"/>
    <n v="100"/>
    <n v="100"/>
    <n v="1.1000000000000001"/>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5-01T00:00:00"/>
    <s v="FY21"/>
    <s v="t"/>
    <n v="0"/>
    <n v="0"/>
    <n v="0.70989999999999998"/>
    <n v="0.70989999999999998"/>
    <n v="0"/>
    <n v="0"/>
    <n v="31"/>
    <n v="31"/>
    <n v="0"/>
    <n v="0"/>
    <n v="100"/>
    <s v="Consolidation"/>
    <s v="CO2e and Base Measure"/>
    <n v="100"/>
    <n v="100"/>
    <n v="0.71"/>
    <m/>
    <m/>
    <m/>
    <m/>
    <m/>
    <m/>
    <m/>
    <m/>
    <m/>
    <m/>
    <m/>
    <m/>
    <m/>
    <s v="AUD"/>
    <s v="13566201Waste Recycled - Mobile Phones [t]"/>
    <n v="13566201"/>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1-01T00:00:00"/>
    <s v="FY21"/>
    <s v="t"/>
    <n v="0.24"/>
    <n v="6.7500000000000004E-2"/>
    <n v="0"/>
    <n v="0.3075"/>
    <n v="3"/>
    <n v="1"/>
    <n v="0"/>
    <n v="4"/>
    <n v="78.040000000000006"/>
    <n v="21.95"/>
    <n v="0"/>
    <s v="Consolidation"/>
    <s v="CO2e and Base Measure"/>
    <n v="100"/>
    <n v="100"/>
    <n v="0.31"/>
    <m/>
    <m/>
    <m/>
    <m/>
    <m/>
    <n v="0.39979999999999999"/>
    <m/>
    <n v="0.39979999999999999"/>
    <m/>
    <m/>
    <m/>
    <m/>
    <m/>
    <s v="AUD"/>
    <s v="13634443Waste - General [t] - Scope 3"/>
    <n v="13634443"/>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2-01T00:00:00"/>
    <s v="FY21"/>
    <s v="t"/>
    <n v="0.45"/>
    <n v="0"/>
    <n v="0"/>
    <n v="0.45"/>
    <n v="4"/>
    <n v="0"/>
    <n v="0"/>
    <n v="4"/>
    <n v="100"/>
    <n v="0"/>
    <n v="0"/>
    <s v="Consolidation"/>
    <s v="CO2e and Base Measure"/>
    <n v="100"/>
    <n v="100"/>
    <n v="0.45"/>
    <m/>
    <m/>
    <m/>
    <m/>
    <m/>
    <n v="0.58499999999999996"/>
    <m/>
    <n v="0.58499999999999996"/>
    <m/>
    <m/>
    <m/>
    <m/>
    <m/>
    <s v="AUD"/>
    <s v="13634443Waste - General [t] - Scope 3"/>
    <n v="13634443"/>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3-01T00:00:00"/>
    <s v="FY21"/>
    <s v="t"/>
    <n v="0.2"/>
    <n v="6.7500000000000004E-2"/>
    <n v="0"/>
    <n v="0.26750000000000002"/>
    <n v="3"/>
    <n v="1"/>
    <n v="0"/>
    <n v="4"/>
    <n v="74.760000000000005"/>
    <n v="25.23"/>
    <n v="0"/>
    <s v="Consolidation"/>
    <s v="CO2e and Base Measure"/>
    <n v="100"/>
    <n v="100"/>
    <n v="0.27"/>
    <m/>
    <m/>
    <m/>
    <m/>
    <m/>
    <n v="0.3478"/>
    <m/>
    <n v="0.3478"/>
    <m/>
    <m/>
    <m/>
    <m/>
    <m/>
    <s v="AUD"/>
    <s v="13634443Waste - General [t] - Scope 3"/>
    <n v="13634443"/>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4-01T00:00:00"/>
    <s v="FY21"/>
    <s v="t"/>
    <n v="0"/>
    <n v="0"/>
    <n v="0.34499999999999997"/>
    <n v="0.34499999999999997"/>
    <n v="0"/>
    <n v="0"/>
    <n v="30"/>
    <n v="30"/>
    <n v="0"/>
    <n v="0"/>
    <n v="100"/>
    <s v="Consolidation"/>
    <s v="CO2e and Base Measure"/>
    <n v="100"/>
    <n v="100"/>
    <n v="0.35"/>
    <m/>
    <m/>
    <m/>
    <m/>
    <m/>
    <n v="0.44850000000000001"/>
    <m/>
    <n v="0.44850000000000001"/>
    <m/>
    <m/>
    <m/>
    <m/>
    <m/>
    <s v="AUD"/>
    <s v="13634443Waste - General [t] - Scope 3"/>
    <n v="13634443"/>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5-01T00:00:00"/>
    <s v="FY21"/>
    <s v="t"/>
    <n v="0"/>
    <n v="0"/>
    <n v="0.35649999999999998"/>
    <n v="0.35649999999999998"/>
    <n v="0"/>
    <n v="0"/>
    <n v="31"/>
    <n v="31"/>
    <n v="0"/>
    <n v="0"/>
    <n v="100"/>
    <s v="Consolidation"/>
    <s v="CO2e and Base Measure"/>
    <n v="100"/>
    <n v="100"/>
    <n v="0.36"/>
    <m/>
    <m/>
    <m/>
    <m/>
    <m/>
    <n v="0.46350000000000002"/>
    <m/>
    <n v="0.46350000000000002"/>
    <m/>
    <m/>
    <m/>
    <m/>
    <m/>
    <s v="AUD"/>
    <s v="13634443Waste - General [t] - Scope 3"/>
    <n v="13634443"/>
  </r>
  <r>
    <d v="2019-07-01T00:00:00"/>
    <d v="2021-06-30T00:00:00"/>
    <s v="Telstra"/>
    <s v="NETWORK"/>
    <s v="Network - InfraCo"/>
    <s v="NSW"/>
    <s v="Australia"/>
    <s v="Bondi"/>
    <s v="WAVERLEY EXCHANGE"/>
    <n v="423030310800"/>
    <s v="Waste"/>
    <x v="1"/>
    <x v="2"/>
    <s v="Account"/>
    <s v="Remondis General Waste"/>
    <m/>
    <s v="423030310800_WGENERALW"/>
    <s v="GENERAL WASTE"/>
    <s v="Remondis"/>
    <m/>
    <m/>
    <d v="2020-08-01T00:00:00"/>
    <d v="2020-07-01T00:00:00"/>
    <s v="FY21"/>
    <s v="t"/>
    <n v="0"/>
    <n v="0.26"/>
    <n v="0"/>
    <n v="0.26"/>
    <n v="0"/>
    <n v="1"/>
    <n v="0"/>
    <n v="1"/>
    <n v="0"/>
    <n v="100"/>
    <n v="0"/>
    <s v="Consolidation"/>
    <s v="CO2e and Base Measure"/>
    <n v="100"/>
    <n v="100"/>
    <n v="0.26"/>
    <m/>
    <m/>
    <m/>
    <m/>
    <m/>
    <n v="0.33800000000000002"/>
    <m/>
    <n v="0.33800000000000002"/>
    <m/>
    <m/>
    <m/>
    <m/>
    <m/>
    <s v="AUD"/>
    <s v="13564508Waste - General [t] - Scope 3"/>
    <n v="13564508"/>
  </r>
  <r>
    <d v="2019-07-01T00:00:00"/>
    <d v="2021-06-30T00:00:00"/>
    <s v="Telstra"/>
    <s v="NETWORK"/>
    <s v="Network - InfraCo"/>
    <s v="NSW"/>
    <s v="Australia"/>
    <s v="Bondi"/>
    <s v="WAVERLEY EXCHANGE"/>
    <n v="423030310800"/>
    <s v="Waste"/>
    <x v="1"/>
    <x v="2"/>
    <s v="Account"/>
    <s v="Remondis General Waste"/>
    <m/>
    <s v="423030310800_WGENERALW"/>
    <s v="GENERAL WASTE"/>
    <s v="Remondis"/>
    <m/>
    <m/>
    <d v="2020-08-01T00:00:00"/>
    <d v="2020-08-01T00:00:00"/>
    <s v="FY21"/>
    <s v="t"/>
    <n v="0"/>
    <n v="0"/>
    <n v="1.2999999999999999E-2"/>
    <n v="1.2999999999999999E-2"/>
    <n v="0"/>
    <n v="0"/>
    <n v="1"/>
    <n v="1"/>
    <n v="0"/>
    <n v="0"/>
    <n v="100"/>
    <s v="Consolidation"/>
    <s v="CO2e and Base Measure"/>
    <n v="100"/>
    <n v="100"/>
    <n v="0.01"/>
    <m/>
    <m/>
    <m/>
    <m/>
    <m/>
    <n v="1.6899999999999998E-2"/>
    <m/>
    <n v="1.6899999999999998E-2"/>
    <m/>
    <m/>
    <m/>
    <m/>
    <m/>
    <s v="AUD"/>
    <s v="13564508Waste - General [t] - Scope 3"/>
    <n v="13564508"/>
  </r>
  <r>
    <d v="2019-07-01T00:00:00"/>
    <d v="2021-06-30T00:00:00"/>
    <s v="Telstra"/>
    <s v="NETWORK"/>
    <s v="Network - Telstra/InfraCo Split"/>
    <s v="VIC"/>
    <s v="Australia"/>
    <s v="Mulgrave"/>
    <s v="WAVERLEY PARK CMTS"/>
    <n v="423031648200"/>
    <s v="Recycled Waste"/>
    <x v="0"/>
    <x v="1"/>
    <s v="Account"/>
    <s v="Remondis Batteries - Lead Acid"/>
    <m/>
    <s v="423031648200_RBATLEDAC"/>
    <s v="BATTERIES - LEAD ACID"/>
    <s v="Remondis"/>
    <m/>
    <m/>
    <d v="2021-01-01T00:00:00"/>
    <d v="2020-12-01T00:00:00"/>
    <s v="FY21"/>
    <s v="t"/>
    <n v="0"/>
    <n v="1.3"/>
    <n v="0"/>
    <n v="1.3"/>
    <n v="0"/>
    <n v="1"/>
    <n v="0"/>
    <n v="1"/>
    <n v="0"/>
    <n v="100"/>
    <n v="0"/>
    <s v="Consolidation"/>
    <s v="CO2e and Base Measure"/>
    <n v="100"/>
    <n v="100"/>
    <n v="1.3"/>
    <m/>
    <m/>
    <m/>
    <m/>
    <m/>
    <m/>
    <m/>
    <m/>
    <m/>
    <m/>
    <m/>
    <m/>
    <m/>
    <s v="AUD"/>
    <s v="13565790Waste Recycled - E-waste [t]"/>
    <n v="13565790"/>
  </r>
  <r>
    <d v="2019-07-01T00:00:00"/>
    <d v="2021-06-30T00:00:00"/>
    <s v="Telstra"/>
    <s v="NETWORK"/>
    <s v="Network - Telstra/InfraCo Split"/>
    <s v="VIC"/>
    <s v="Australia"/>
    <s v="Mulgrave"/>
    <s v="WAVERLEY PARK CMTS"/>
    <n v="423031648200"/>
    <s v="Recycled Waste"/>
    <x v="0"/>
    <x v="1"/>
    <s v="Account"/>
    <s v="Remondis Batteries - Lead Acid"/>
    <m/>
    <s v="423031648200_RBATLEDAC"/>
    <s v="BATTERIES - LEAD ACID"/>
    <s v="Remondis"/>
    <m/>
    <m/>
    <d v="2021-01-01T00:00:00"/>
    <d v="2021-01-01T00:00:00"/>
    <s v="FY21"/>
    <s v="t"/>
    <n v="0"/>
    <n v="0"/>
    <n v="4.3299999999999998E-2"/>
    <n v="4.3299999999999998E-2"/>
    <n v="0"/>
    <n v="0"/>
    <n v="1"/>
    <n v="1"/>
    <n v="0"/>
    <n v="0"/>
    <n v="100"/>
    <s v="Consolidation"/>
    <s v="CO2e and Base Measure"/>
    <n v="100"/>
    <n v="100"/>
    <n v="0.04"/>
    <m/>
    <m/>
    <m/>
    <m/>
    <m/>
    <m/>
    <m/>
    <m/>
    <m/>
    <m/>
    <m/>
    <m/>
    <m/>
    <s v="AUD"/>
    <s v="13565790Waste Recycled - E-waste [t]"/>
    <n v="13565790"/>
  </r>
  <r>
    <d v="2019-07-01T00:00:00"/>
    <d v="2021-06-30T00:00:00"/>
    <s v="Telstra"/>
    <s v="NETWORK"/>
    <s v="Network - Telstra/InfraCo Split"/>
    <s v="VIC"/>
    <s v="Australia"/>
    <s v="Mulgrave"/>
    <s v="WAVERLEY PARK CMTS"/>
    <n v="423031648200"/>
    <s v="Recycled Waste"/>
    <x v="0"/>
    <x v="5"/>
    <s v="Account"/>
    <s v="Remondis Metal - Mixed All"/>
    <m/>
    <s v="423031648200_RMETMIXED"/>
    <s v="METAL - MIXED ALL"/>
    <s v="Remondis"/>
    <m/>
    <m/>
    <d v="2021-01-01T00:00:00"/>
    <d v="2020-12-01T00:00:00"/>
    <s v="FY21"/>
    <s v="t"/>
    <n v="1.73"/>
    <n v="0"/>
    <n v="0"/>
    <n v="1.73"/>
    <n v="2"/>
    <n v="0"/>
    <n v="0"/>
    <n v="2"/>
    <n v="100"/>
    <n v="0"/>
    <n v="0"/>
    <s v="Consolidation"/>
    <s v="CO2e and Base Measure"/>
    <n v="100"/>
    <n v="100"/>
    <n v="1.73"/>
    <m/>
    <m/>
    <m/>
    <m/>
    <m/>
    <m/>
    <m/>
    <m/>
    <m/>
    <m/>
    <m/>
    <m/>
    <m/>
    <s v="AUD"/>
    <s v="13565792Waste Recycled - Construction and Demolition [t]"/>
    <n v="13565792"/>
  </r>
  <r>
    <d v="2019-07-01T00:00:00"/>
    <d v="2021-06-30T00:00:00"/>
    <s v="Telstra"/>
    <s v="NETWORK"/>
    <s v="Network - Telstra/InfraCo Split"/>
    <s v="VIC"/>
    <s v="Australia"/>
    <s v="Mulgrave"/>
    <s v="WAVERLEY PARK CMTS"/>
    <n v="423031648200"/>
    <s v="Recycled Waste"/>
    <x v="0"/>
    <x v="5"/>
    <s v="Account"/>
    <s v="Remondis Metal - Mixed All"/>
    <m/>
    <s v="423031648200_RMETMIXED"/>
    <s v="METAL - MIXED ALL"/>
    <s v="Remondis"/>
    <m/>
    <m/>
    <d v="2021-01-01T00:00:00"/>
    <d v="2021-01-01T00:00:00"/>
    <s v="FY21"/>
    <s v="t"/>
    <n v="0"/>
    <n v="0"/>
    <n v="1.6799999999999999E-2"/>
    <n v="1.6799999999999999E-2"/>
    <n v="0"/>
    <n v="0"/>
    <n v="1"/>
    <n v="1"/>
    <n v="0"/>
    <n v="0"/>
    <n v="100"/>
    <s v="Consolidation"/>
    <s v="CO2e and Base Measure"/>
    <n v="100"/>
    <n v="100"/>
    <n v="0.02"/>
    <m/>
    <m/>
    <m/>
    <m/>
    <m/>
    <m/>
    <m/>
    <m/>
    <m/>
    <m/>
    <m/>
    <m/>
    <m/>
    <s v="AUD"/>
    <s v="13565792Waste Recycled - Construction and Demolition [t]"/>
    <n v="13565792"/>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0-10-01T00:00:00"/>
    <s v="FY21"/>
    <s v="t"/>
    <n v="4.74"/>
    <n v="0"/>
    <n v="0"/>
    <n v="4.74"/>
    <n v="1"/>
    <n v="0"/>
    <n v="0"/>
    <n v="1"/>
    <n v="100"/>
    <n v="0"/>
    <n v="0"/>
    <s v="Consolidation"/>
    <s v="CO2e and Base Measure"/>
    <n v="100"/>
    <n v="100"/>
    <n v="4.74"/>
    <m/>
    <m/>
    <m/>
    <m/>
    <m/>
    <n v="6.1619999999999999"/>
    <m/>
    <n v="6.1619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0-11-01T00:00:00"/>
    <s v="FY21"/>
    <s v="t"/>
    <n v="0"/>
    <n v="0"/>
    <n v="4.74"/>
    <n v="4.74"/>
    <n v="0"/>
    <n v="0"/>
    <n v="30"/>
    <n v="30"/>
    <n v="0"/>
    <n v="0"/>
    <n v="100"/>
    <s v="Consolidation"/>
    <s v="CO2e and Base Measure"/>
    <n v="100"/>
    <n v="100"/>
    <n v="4.74"/>
    <m/>
    <m/>
    <m/>
    <m/>
    <m/>
    <n v="6.1619999999999999"/>
    <m/>
    <n v="6.1619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0-12-01T00:00:00"/>
    <s v="FY21"/>
    <s v="t"/>
    <n v="0"/>
    <n v="0"/>
    <n v="4.8979999999999997"/>
    <n v="4.8979999999999997"/>
    <n v="0"/>
    <n v="0"/>
    <n v="31"/>
    <n v="31"/>
    <n v="0"/>
    <n v="0"/>
    <n v="100"/>
    <s v="Consolidation"/>
    <s v="CO2e and Base Measure"/>
    <n v="100"/>
    <n v="100"/>
    <n v="4.9000000000000004"/>
    <m/>
    <m/>
    <m/>
    <m/>
    <m/>
    <n v="6.3673999999999999"/>
    <m/>
    <n v="6.3673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1-01T00:00:00"/>
    <s v="FY21"/>
    <s v="t"/>
    <n v="0"/>
    <n v="0"/>
    <n v="4.8979999999999997"/>
    <n v="4.8979999999999997"/>
    <n v="0"/>
    <n v="0"/>
    <n v="31"/>
    <n v="31"/>
    <n v="0"/>
    <n v="0"/>
    <n v="100"/>
    <s v="Consolidation"/>
    <s v="CO2e and Base Measure"/>
    <n v="100"/>
    <n v="100"/>
    <n v="4.9000000000000004"/>
    <m/>
    <m/>
    <m/>
    <m/>
    <m/>
    <n v="6.3673999999999999"/>
    <m/>
    <n v="6.3673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2-01T00:00:00"/>
    <s v="FY21"/>
    <s v="t"/>
    <n v="0"/>
    <n v="0"/>
    <n v="4.4240000000000004"/>
    <n v="4.4240000000000004"/>
    <n v="0"/>
    <n v="0"/>
    <n v="28"/>
    <n v="28"/>
    <n v="0"/>
    <n v="0"/>
    <n v="100"/>
    <s v="Consolidation"/>
    <s v="CO2e and Base Measure"/>
    <n v="100"/>
    <n v="100"/>
    <n v="4.42"/>
    <m/>
    <m/>
    <m/>
    <m/>
    <m/>
    <n v="5.7511999999999999"/>
    <m/>
    <n v="5.7511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3-01T00:00:00"/>
    <s v="FY21"/>
    <s v="t"/>
    <n v="0"/>
    <n v="0"/>
    <n v="4.8979999999999997"/>
    <n v="4.8979999999999997"/>
    <n v="0"/>
    <n v="0"/>
    <n v="31"/>
    <n v="31"/>
    <n v="0"/>
    <n v="0"/>
    <n v="100"/>
    <s v="Consolidation"/>
    <s v="CO2e and Base Measure"/>
    <n v="100"/>
    <n v="100"/>
    <n v="4.9000000000000004"/>
    <m/>
    <m/>
    <m/>
    <m/>
    <m/>
    <n v="6.3673999999999999"/>
    <m/>
    <n v="6.3673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4-01T00:00:00"/>
    <s v="FY21"/>
    <s v="t"/>
    <n v="0"/>
    <n v="0"/>
    <n v="4.74"/>
    <n v="4.74"/>
    <n v="0"/>
    <n v="0"/>
    <n v="30"/>
    <n v="30"/>
    <n v="0"/>
    <n v="0"/>
    <n v="100"/>
    <s v="Consolidation"/>
    <s v="CO2e and Base Measure"/>
    <n v="100"/>
    <n v="100"/>
    <n v="4.74"/>
    <m/>
    <m/>
    <m/>
    <m/>
    <m/>
    <n v="6.1619999999999999"/>
    <m/>
    <n v="6.1619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5-01T00:00:00"/>
    <s v="FY21"/>
    <s v="t"/>
    <n v="0"/>
    <n v="0"/>
    <n v="4.8979999999999997"/>
    <n v="4.8979999999999997"/>
    <n v="0"/>
    <n v="0"/>
    <n v="31"/>
    <n v="31"/>
    <n v="0"/>
    <n v="0"/>
    <n v="100"/>
    <s v="Consolidation"/>
    <s v="CO2e and Base Measure"/>
    <n v="100"/>
    <n v="100"/>
    <n v="4.9000000000000004"/>
    <m/>
    <m/>
    <m/>
    <m/>
    <m/>
    <n v="6.3673999999999999"/>
    <m/>
    <n v="6.3673999999999999"/>
    <m/>
    <m/>
    <m/>
    <m/>
    <m/>
    <s v="AUD"/>
    <s v="13632345Waste - General [t] - Scope 3"/>
    <n v="13632345"/>
  </r>
  <r>
    <d v="2019-07-01T00:00:00"/>
    <d v="2021-06-30T00:00:00"/>
    <s v="Telstra"/>
    <s v="NETWORK"/>
    <s v="Network - InfraCo"/>
    <s v="NSW"/>
    <s v="Australia"/>
    <s v="Bronte"/>
    <s v="WAVERLEY RT"/>
    <n v="423030309800"/>
    <s v="Waste"/>
    <x v="1"/>
    <x v="2"/>
    <s v="Account"/>
    <s v="CLEANAWAY General"/>
    <m/>
    <s v="44234_Landfill_General"/>
    <s v="General"/>
    <s v="Cleanaway"/>
    <m/>
    <d v="2021-03-23T00:00:00"/>
    <m/>
    <d v="2021-03-01T00:00:00"/>
    <s v="FY21"/>
    <s v="t"/>
    <n v="0"/>
    <n v="4.9500000000000002E-2"/>
    <n v="0"/>
    <n v="4.9500000000000002E-2"/>
    <n v="0"/>
    <n v="1"/>
    <n v="0"/>
    <n v="1"/>
    <n v="0"/>
    <n v="100"/>
    <n v="0"/>
    <s v="Consolidation"/>
    <s v="CO2e and Base Measure"/>
    <n v="100"/>
    <n v="100"/>
    <n v="0.05"/>
    <m/>
    <m/>
    <m/>
    <m/>
    <m/>
    <n v="6.4399999999999999E-2"/>
    <m/>
    <n v="6.4399999999999999E-2"/>
    <m/>
    <m/>
    <m/>
    <m/>
    <m/>
    <s v="AUD"/>
    <s v="13641217Waste - General [t] - Scope 3"/>
    <n v="13641217"/>
  </r>
  <r>
    <d v="2019-07-01T00:00:00"/>
    <d v="2021-06-30T00:00:00"/>
    <s v="Telstra"/>
    <s v="NETWORK"/>
    <s v="Network - InfraCo"/>
    <s v="NSW"/>
    <s v="Australia"/>
    <s v="Bronte"/>
    <s v="WAVERLEY RT"/>
    <n v="423030309800"/>
    <s v="Waste"/>
    <x v="1"/>
    <x v="2"/>
    <s v="Account"/>
    <s v="CLEANAWAY General"/>
    <m/>
    <s v="44234_Landfill_General"/>
    <s v="General"/>
    <s v="Cleanaway"/>
    <m/>
    <d v="2021-03-23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41217Waste - General [t] - Scope 3"/>
    <n v="13641217"/>
  </r>
  <r>
    <d v="2019-07-01T00:00:00"/>
    <d v="2021-06-30T00:00:00"/>
    <s v="Telstra"/>
    <s v="NETWORK"/>
    <s v="Network - InfraCo"/>
    <s v="NSW"/>
    <s v="Australia"/>
    <s v="Bronte"/>
    <s v="WAVERLEY RT"/>
    <n v="423030309800"/>
    <s v="Waste"/>
    <x v="1"/>
    <x v="2"/>
    <s v="Account"/>
    <s v="CLEANAWAY General"/>
    <m/>
    <s v="44234_Landfill_General"/>
    <s v="General"/>
    <s v="Cleanaway"/>
    <m/>
    <d v="2021-03-23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41217Waste - General [t] - Scope 3"/>
    <n v="13641217"/>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07-01T00:00:00"/>
    <s v="FY21"/>
    <s v="t"/>
    <n v="0"/>
    <n v="0.189"/>
    <n v="0"/>
    <n v="0.189"/>
    <n v="0"/>
    <n v="2"/>
    <n v="0"/>
    <n v="2"/>
    <n v="0"/>
    <n v="100"/>
    <n v="0"/>
    <s v="Consolidation"/>
    <s v="CO2e and Base Measure"/>
    <n v="100"/>
    <n v="100"/>
    <n v="0.19"/>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09-01T00:00:00"/>
    <s v="FY21"/>
    <s v="t"/>
    <n v="0"/>
    <n v="0.189"/>
    <n v="0"/>
    <n v="0.189"/>
    <n v="0"/>
    <n v="3"/>
    <n v="0"/>
    <n v="3"/>
    <n v="0"/>
    <n v="100"/>
    <n v="0"/>
    <s v="Consolidation"/>
    <s v="CO2e and Base Measure"/>
    <n v="100"/>
    <n v="100"/>
    <n v="0.19"/>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1-01-01T00:00:00"/>
    <s v="FY21"/>
    <s v="t"/>
    <n v="0"/>
    <n v="0"/>
    <n v="3.5000000000000001E-3"/>
    <n v="3.5000000000000001E-3"/>
    <n v="0"/>
    <n v="0"/>
    <n v="1"/>
    <n v="1"/>
    <n v="0"/>
    <n v="0"/>
    <n v="100"/>
    <s v="Consolidation"/>
    <s v="CO2e and Base Measure"/>
    <n v="100"/>
    <n v="100"/>
    <n v="0"/>
    <m/>
    <m/>
    <m/>
    <m/>
    <m/>
    <m/>
    <n v="0"/>
    <m/>
    <m/>
    <m/>
    <m/>
    <m/>
    <m/>
    <s v="AUD"/>
    <s v="13564750Waste Recycled - Cardboard [t]"/>
    <n v="13564750"/>
  </r>
  <r>
    <d v="2019-07-01T00:00:00"/>
    <d v="2021-06-30T00:00:00"/>
    <s v="Telstra"/>
    <s v="NETWORK"/>
    <s v="Network - InfraCo"/>
    <s v="SA"/>
    <s v="Australia"/>
    <s v="Adelaide"/>
    <s v="WAYMOUTH EXCHANGE"/>
    <n v="423030474300"/>
    <s v="Recycled Waste"/>
    <x v="0"/>
    <x v="1"/>
    <s v="Account"/>
    <s v="Remondis Electrical Comp. (E-Waste)"/>
    <m/>
    <s v="423030474300_RELECTRIC"/>
    <s v="ELECTRICAL COMP. E-WASTE"/>
    <s v="Remondis"/>
    <m/>
    <m/>
    <d v="2021-01-01T00:00:00"/>
    <d v="2020-11-01T00:00:00"/>
    <s v="FY21"/>
    <s v="t"/>
    <n v="0.64600000000000002"/>
    <n v="0.2109"/>
    <n v="0"/>
    <n v="0.8569"/>
    <n v="1"/>
    <n v="1"/>
    <n v="0"/>
    <n v="2"/>
    <n v="75.38"/>
    <n v="24.61"/>
    <n v="0"/>
    <s v="Consolidation"/>
    <s v="CO2e and Base Measure"/>
    <n v="100"/>
    <n v="100"/>
    <n v="0.86"/>
    <m/>
    <m/>
    <m/>
    <m/>
    <m/>
    <m/>
    <m/>
    <m/>
    <m/>
    <m/>
    <m/>
    <m/>
    <m/>
    <s v="AUD"/>
    <s v="13564751Waste Recycled - E-waste [t]"/>
    <n v="13564751"/>
  </r>
  <r>
    <d v="2019-07-01T00:00:00"/>
    <d v="2021-06-30T00:00:00"/>
    <s v="Telstra"/>
    <s v="NETWORK"/>
    <s v="Network - InfraCo"/>
    <s v="SA"/>
    <s v="Australia"/>
    <s v="Adelaide"/>
    <s v="WAYMOUTH EXCHANGE"/>
    <n v="423030474300"/>
    <s v="Recycled Waste"/>
    <x v="0"/>
    <x v="1"/>
    <s v="Account"/>
    <s v="Remondis Electrical Comp. (E-Waste)"/>
    <m/>
    <s v="423030474300_RELECTRIC"/>
    <s v="ELECTRICAL COMP. E-WASTE"/>
    <s v="Remondis"/>
    <m/>
    <m/>
    <d v="2021-01-01T00:00:00"/>
    <d v="2020-12-01T00:00:00"/>
    <s v="FY21"/>
    <s v="t"/>
    <n v="0"/>
    <n v="5.7000000000000002E-2"/>
    <n v="0"/>
    <n v="5.7000000000000002E-2"/>
    <n v="0"/>
    <n v="1"/>
    <n v="0"/>
    <n v="1"/>
    <n v="0"/>
    <n v="100"/>
    <n v="0"/>
    <s v="Consolidation"/>
    <s v="CO2e and Base Measure"/>
    <n v="100"/>
    <n v="100"/>
    <n v="0.06"/>
    <m/>
    <m/>
    <m/>
    <m/>
    <m/>
    <m/>
    <m/>
    <m/>
    <m/>
    <m/>
    <m/>
    <m/>
    <m/>
    <s v="AUD"/>
    <s v="13564751Waste Recycled - E-waste [t]"/>
    <n v="13564751"/>
  </r>
  <r>
    <d v="2019-07-01T00:00:00"/>
    <d v="2021-06-30T00:00:00"/>
    <s v="Telstra"/>
    <s v="NETWORK"/>
    <s v="Network - InfraCo"/>
    <s v="SA"/>
    <s v="Australia"/>
    <s v="Adelaide"/>
    <s v="WAYMOUTH EXCHANGE"/>
    <n v="423030474300"/>
    <s v="Recycled Waste"/>
    <x v="0"/>
    <x v="1"/>
    <s v="Account"/>
    <s v="Remondis Electrical Comp. (E-Waste)"/>
    <m/>
    <s v="423030474300_RELECTRIC"/>
    <s v="ELECTRICAL COMP. E-WASTE"/>
    <s v="Remondis"/>
    <m/>
    <m/>
    <d v="2021-01-01T00:00:00"/>
    <d v="2021-01-01T00:00:00"/>
    <s v="FY21"/>
    <s v="t"/>
    <n v="0"/>
    <n v="0"/>
    <n v="1.52E-2"/>
    <n v="1.52E-2"/>
    <n v="0"/>
    <n v="0"/>
    <n v="1"/>
    <n v="1"/>
    <n v="0"/>
    <n v="0"/>
    <n v="100"/>
    <s v="Consolidation"/>
    <s v="CO2e and Base Measure"/>
    <n v="100"/>
    <n v="100"/>
    <n v="0.02"/>
    <m/>
    <m/>
    <m/>
    <m/>
    <m/>
    <m/>
    <m/>
    <m/>
    <m/>
    <m/>
    <m/>
    <m/>
    <m/>
    <s v="AUD"/>
    <s v="13564751Waste Recycled - E-waste [t]"/>
    <n v="13564751"/>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07-01T00:00:00"/>
    <s v="FY21"/>
    <s v="t"/>
    <n v="1.9"/>
    <n v="0.58499999999999996"/>
    <n v="0"/>
    <n v="2.4849999999999999"/>
    <n v="1"/>
    <n v="2"/>
    <n v="0"/>
    <n v="3"/>
    <n v="76.45"/>
    <n v="23.54"/>
    <n v="0"/>
    <s v="Consolidation"/>
    <s v="CO2e and Base Measure"/>
    <n v="100"/>
    <n v="100"/>
    <n v="2.4900000000000002"/>
    <m/>
    <m/>
    <m/>
    <m/>
    <m/>
    <n v="3.2305000000000001"/>
    <m/>
    <n v="3.2305000000000001"/>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08-01T00:00:00"/>
    <s v="FY21"/>
    <s v="t"/>
    <n v="0"/>
    <n v="0.78"/>
    <n v="0"/>
    <n v="0.78"/>
    <n v="0"/>
    <n v="4"/>
    <n v="0"/>
    <n v="4"/>
    <n v="0"/>
    <n v="100"/>
    <n v="0"/>
    <s v="Consolidation"/>
    <s v="CO2e and Base Measure"/>
    <n v="100"/>
    <n v="100"/>
    <n v="0.78"/>
    <m/>
    <m/>
    <m/>
    <m/>
    <m/>
    <n v="1.014"/>
    <m/>
    <n v="1.014"/>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09-01T00:00:00"/>
    <s v="FY21"/>
    <s v="t"/>
    <n v="0"/>
    <n v="0.78"/>
    <n v="0"/>
    <n v="0.78"/>
    <n v="0"/>
    <n v="4"/>
    <n v="0"/>
    <n v="4"/>
    <n v="0"/>
    <n v="100"/>
    <n v="0"/>
    <s v="Consolidation"/>
    <s v="CO2e and Base Measure"/>
    <n v="100"/>
    <n v="100"/>
    <n v="0.78"/>
    <m/>
    <m/>
    <m/>
    <m/>
    <m/>
    <n v="1.014"/>
    <m/>
    <n v="1.014"/>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10-01T00:00:00"/>
    <s v="FY21"/>
    <s v="t"/>
    <n v="0"/>
    <n v="0.78"/>
    <n v="0"/>
    <n v="0.78"/>
    <n v="0"/>
    <n v="4"/>
    <n v="0"/>
    <n v="4"/>
    <n v="0"/>
    <n v="100"/>
    <n v="0"/>
    <s v="Consolidation"/>
    <s v="CO2e and Base Measure"/>
    <n v="100"/>
    <n v="100"/>
    <n v="0.78"/>
    <m/>
    <m/>
    <m/>
    <m/>
    <m/>
    <n v="1.014"/>
    <m/>
    <n v="1.014"/>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11-01T00:00:00"/>
    <s v="FY21"/>
    <s v="t"/>
    <n v="0"/>
    <n v="0.78"/>
    <n v="0"/>
    <n v="0.78"/>
    <n v="0"/>
    <n v="4"/>
    <n v="0"/>
    <n v="4"/>
    <n v="0"/>
    <n v="100"/>
    <n v="0"/>
    <s v="Consolidation"/>
    <s v="CO2e and Base Measure"/>
    <n v="100"/>
    <n v="100"/>
    <n v="0.78"/>
    <m/>
    <m/>
    <m/>
    <m/>
    <m/>
    <n v="1.014"/>
    <m/>
    <n v="1.014"/>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12-01T00:00:00"/>
    <s v="FY21"/>
    <s v="t"/>
    <n v="2.12"/>
    <n v="0.22620000000000001"/>
    <n v="0"/>
    <n v="2.3462000000000001"/>
    <n v="1"/>
    <n v="2"/>
    <n v="0"/>
    <n v="3"/>
    <n v="90.35"/>
    <n v="9.64"/>
    <n v="0"/>
    <s v="Consolidation"/>
    <s v="CO2e and Base Measure"/>
    <n v="100"/>
    <n v="100"/>
    <n v="2.35"/>
    <m/>
    <m/>
    <m/>
    <m/>
    <m/>
    <n v="3.0501"/>
    <m/>
    <n v="3.0501"/>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1-01-01T00:00:00"/>
    <s v="FY21"/>
    <s v="t"/>
    <n v="0"/>
    <n v="0"/>
    <n v="4.3400000000000001E-2"/>
    <n v="4.3400000000000001E-2"/>
    <n v="0"/>
    <n v="0"/>
    <n v="1"/>
    <n v="1"/>
    <n v="0"/>
    <n v="0"/>
    <n v="100"/>
    <s v="Consolidation"/>
    <s v="CO2e and Base Measure"/>
    <n v="100"/>
    <n v="100"/>
    <n v="0.04"/>
    <m/>
    <m/>
    <m/>
    <m/>
    <m/>
    <n v="5.6399999999999999E-2"/>
    <m/>
    <n v="5.6399999999999999E-2"/>
    <m/>
    <m/>
    <m/>
    <m/>
    <m/>
    <s v="AUD"/>
    <s v="13564752Waste - General [t] - Scope 3"/>
    <n v="13564752"/>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0-07-01T00:00:00"/>
    <s v="FY21"/>
    <s v="t"/>
    <n v="5.3999999999999999E-2"/>
    <n v="0"/>
    <n v="0"/>
    <n v="5.3999999999999999E-2"/>
    <n v="1"/>
    <n v="0"/>
    <n v="0"/>
    <n v="1"/>
    <n v="100"/>
    <n v="0"/>
    <n v="0"/>
    <s v="Consolidation"/>
    <s v="CO2e and Base Measure"/>
    <n v="100"/>
    <n v="100"/>
    <n v="0.05"/>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0-11-01T00:00:00"/>
    <s v="FY21"/>
    <s v="t"/>
    <n v="5.3999999999999999E-2"/>
    <n v="0"/>
    <n v="0"/>
    <n v="5.3999999999999999E-2"/>
    <n v="1"/>
    <n v="0"/>
    <n v="0"/>
    <n v="1"/>
    <n v="100"/>
    <n v="0"/>
    <n v="0"/>
    <s v="Consolidation"/>
    <s v="CO2e and Base Measure"/>
    <n v="100"/>
    <n v="100"/>
    <n v="0.05"/>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0-12-01T00:00:00"/>
    <s v="FY21"/>
    <s v="t"/>
    <n v="0"/>
    <n v="0"/>
    <n v="2.1700000000000001E-2"/>
    <n v="2.1700000000000001E-2"/>
    <n v="0"/>
    <n v="0"/>
    <n v="31"/>
    <n v="31"/>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1-01T00:00:00"/>
    <s v="FY21"/>
    <s v="t"/>
    <n v="0"/>
    <n v="0"/>
    <n v="2.1700000000000001E-2"/>
    <n v="2.1700000000000001E-2"/>
    <n v="0"/>
    <n v="0"/>
    <n v="31"/>
    <n v="31"/>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2-01T00:00:00"/>
    <s v="FY21"/>
    <s v="t"/>
    <n v="0"/>
    <n v="0"/>
    <n v="1.9599999999999999E-2"/>
    <n v="1.9599999999999999E-2"/>
    <n v="0"/>
    <n v="0"/>
    <n v="28"/>
    <n v="28"/>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3-01T00:00:00"/>
    <s v="FY21"/>
    <s v="t"/>
    <n v="0"/>
    <n v="0"/>
    <n v="2.1700000000000001E-2"/>
    <n v="2.1700000000000001E-2"/>
    <n v="0"/>
    <n v="0"/>
    <n v="31"/>
    <n v="31"/>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4-01T00:00:00"/>
    <s v="FY21"/>
    <s v="t"/>
    <n v="0"/>
    <n v="0"/>
    <n v="2.1000000000000001E-2"/>
    <n v="2.1000000000000001E-2"/>
    <n v="0"/>
    <n v="0"/>
    <n v="30"/>
    <n v="30"/>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5-01T00:00:00"/>
    <s v="FY21"/>
    <s v="t"/>
    <n v="0"/>
    <n v="0"/>
    <n v="2.1700000000000001E-2"/>
    <n v="2.1700000000000001E-2"/>
    <n v="0"/>
    <n v="0"/>
    <n v="31"/>
    <n v="31"/>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0-11-01T00:00:00"/>
    <s v="FY21"/>
    <s v="t"/>
    <n v="8.1000000000000003E-2"/>
    <n v="0"/>
    <n v="0"/>
    <n v="8.1000000000000003E-2"/>
    <n v="1"/>
    <n v="0"/>
    <n v="0"/>
    <n v="1"/>
    <n v="100"/>
    <n v="0"/>
    <n v="0"/>
    <s v="Consolidation"/>
    <s v="CO2e and Base Measure"/>
    <n v="100"/>
    <n v="100"/>
    <n v="0.08"/>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0-12-01T00:00:00"/>
    <s v="FY21"/>
    <s v="t"/>
    <n v="0"/>
    <n v="0"/>
    <n v="8.6800000000000002E-2"/>
    <n v="8.6800000000000002E-2"/>
    <n v="0"/>
    <n v="0"/>
    <n v="31"/>
    <n v="31"/>
    <n v="0"/>
    <n v="0"/>
    <n v="100"/>
    <s v="Consolidation"/>
    <s v="CO2e and Base Measure"/>
    <n v="100"/>
    <n v="100"/>
    <n v="0.09"/>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1-01T00:00:00"/>
    <s v="FY21"/>
    <s v="t"/>
    <n v="0"/>
    <n v="0"/>
    <n v="8.6800000000000002E-2"/>
    <n v="8.6800000000000002E-2"/>
    <n v="0"/>
    <n v="0"/>
    <n v="31"/>
    <n v="31"/>
    <n v="0"/>
    <n v="0"/>
    <n v="100"/>
    <s v="Consolidation"/>
    <s v="CO2e and Base Measure"/>
    <n v="100"/>
    <n v="100"/>
    <n v="0.09"/>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2-01T00:00:00"/>
    <s v="FY21"/>
    <s v="t"/>
    <n v="0"/>
    <n v="0"/>
    <n v="7.8399999999999997E-2"/>
    <n v="7.8399999999999997E-2"/>
    <n v="0"/>
    <n v="0"/>
    <n v="28"/>
    <n v="28"/>
    <n v="0"/>
    <n v="0"/>
    <n v="100"/>
    <s v="Consolidation"/>
    <s v="CO2e and Base Measure"/>
    <n v="100"/>
    <n v="100"/>
    <n v="0.08"/>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3-01T00:00:00"/>
    <s v="FY21"/>
    <s v="t"/>
    <n v="0"/>
    <n v="0"/>
    <n v="8.6800000000000002E-2"/>
    <n v="8.6800000000000002E-2"/>
    <n v="0"/>
    <n v="0"/>
    <n v="31"/>
    <n v="31"/>
    <n v="0"/>
    <n v="0"/>
    <n v="100"/>
    <s v="Consolidation"/>
    <s v="CO2e and Base Measure"/>
    <n v="100"/>
    <n v="100"/>
    <n v="0.09"/>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4-01T00:00:00"/>
    <s v="FY21"/>
    <s v="t"/>
    <n v="0"/>
    <n v="0"/>
    <n v="8.4000000000000005E-2"/>
    <n v="8.4000000000000005E-2"/>
    <n v="0"/>
    <n v="0"/>
    <n v="30"/>
    <n v="30"/>
    <n v="0"/>
    <n v="0"/>
    <n v="100"/>
    <s v="Consolidation"/>
    <s v="CO2e and Base Measure"/>
    <n v="100"/>
    <n v="100"/>
    <n v="0.08"/>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5-01T00:00:00"/>
    <s v="FY21"/>
    <s v="t"/>
    <n v="0"/>
    <n v="0"/>
    <n v="8.6800000000000002E-2"/>
    <n v="8.6800000000000002E-2"/>
    <n v="0"/>
    <n v="0"/>
    <n v="31"/>
    <n v="31"/>
    <n v="0"/>
    <n v="0"/>
    <n v="100"/>
    <s v="Consolidation"/>
    <s v="CO2e and Base Measure"/>
    <n v="100"/>
    <n v="100"/>
    <n v="0.09"/>
    <m/>
    <m/>
    <m/>
    <m/>
    <m/>
    <m/>
    <m/>
    <m/>
    <m/>
    <m/>
    <m/>
    <m/>
    <m/>
    <s v="AUD"/>
    <s v="13566633Waste Recycled - Paper and Cardboard [t]"/>
    <n v="13566633"/>
  </r>
  <r>
    <d v="2019-07-01T00:00:00"/>
    <d v="2021-06-30T00:00:00"/>
    <s v="Telstra"/>
    <s v="NETWORK"/>
    <s v="Network - InfraCo"/>
    <s v="SA"/>
    <s v="Australia"/>
    <s v="Adelaide"/>
    <s v="WAYMOUTH EXCHANGE"/>
    <n v="423030474300"/>
    <s v="Recycled Waste"/>
    <x v="0"/>
    <x v="1"/>
    <s v="Account"/>
    <s v="Remondis Fluoro Tubes - Recycled"/>
    <m/>
    <s v="423030474300_RFLUORO"/>
    <s v="FLUORO TUBES - RECYCLED"/>
    <s v="Remondis"/>
    <m/>
    <m/>
    <d v="2021-01-01T00:00:00"/>
    <d v="2020-12-01T00:00:00"/>
    <s v="FY21"/>
    <s v="t"/>
    <n v="8.6999999999999994E-2"/>
    <n v="0"/>
    <n v="0"/>
    <n v="8.6999999999999994E-2"/>
    <n v="1"/>
    <n v="0"/>
    <n v="0"/>
    <n v="1"/>
    <n v="100"/>
    <n v="0"/>
    <n v="0"/>
    <s v="Consolidation"/>
    <s v="CO2e and Base Measure"/>
    <n v="100"/>
    <n v="100"/>
    <n v="0.09"/>
    <m/>
    <m/>
    <m/>
    <m/>
    <m/>
    <m/>
    <m/>
    <m/>
    <m/>
    <m/>
    <m/>
    <m/>
    <m/>
    <s v="AUD"/>
    <s v="13576211Waste Recycled - E-waste [t]"/>
    <n v="13576211"/>
  </r>
  <r>
    <d v="2019-07-01T00:00:00"/>
    <d v="2021-06-30T00:00:00"/>
    <s v="Telstra"/>
    <s v="NETWORK"/>
    <s v="Network - InfraCo"/>
    <s v="SA"/>
    <s v="Australia"/>
    <s v="Adelaide"/>
    <s v="WAYMOUTH EXCHANGE"/>
    <n v="423030474300"/>
    <s v="Recycled Waste"/>
    <x v="0"/>
    <x v="1"/>
    <s v="Account"/>
    <s v="Remondis Fluoro Tubes - Recycled"/>
    <m/>
    <s v="423030474300_RFLUORO"/>
    <s v="FLUORO TUBES - RECYCLED"/>
    <s v="Remondis"/>
    <m/>
    <m/>
    <d v="2021-01-01T00:00:00"/>
    <d v="2021-01-01T00:00:00"/>
    <s v="FY21"/>
    <s v="t"/>
    <n v="0"/>
    <n v="0"/>
    <n v="2.8999999999999998E-3"/>
    <n v="2.8999999999999998E-3"/>
    <n v="0"/>
    <n v="0"/>
    <n v="1"/>
    <n v="1"/>
    <n v="0"/>
    <n v="0"/>
    <n v="100"/>
    <s v="Consolidation"/>
    <s v="CO2e and Base Measure"/>
    <n v="100"/>
    <n v="100"/>
    <n v="0"/>
    <m/>
    <m/>
    <m/>
    <m/>
    <m/>
    <m/>
    <m/>
    <m/>
    <m/>
    <m/>
    <m/>
    <m/>
    <m/>
    <s v="AUD"/>
    <s v="13576211Waste Recycled - E-waste [t]"/>
    <n v="13576211"/>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0-12-01T00:00:00"/>
    <s v="FY21"/>
    <s v="t"/>
    <n v="0.1"/>
    <n v="0.13500000000000001"/>
    <n v="0"/>
    <n v="0.23499999999999999"/>
    <n v="1"/>
    <n v="1"/>
    <n v="0"/>
    <n v="2"/>
    <n v="42.55"/>
    <n v="57.44"/>
    <n v="0"/>
    <s v="Consolidation"/>
    <s v="CO2e and Base Measure"/>
    <n v="100"/>
    <n v="100"/>
    <n v="0.24"/>
    <m/>
    <m/>
    <m/>
    <m/>
    <m/>
    <n v="0.30549999999999999"/>
    <m/>
    <n v="0.30549999999999999"/>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1-01T00:00:00"/>
    <s v="FY21"/>
    <s v="t"/>
    <n v="0"/>
    <n v="0.54"/>
    <n v="0"/>
    <n v="0.54"/>
    <n v="0"/>
    <n v="4"/>
    <n v="0"/>
    <n v="4"/>
    <n v="0"/>
    <n v="100"/>
    <n v="0"/>
    <s v="Consolidation"/>
    <s v="CO2e and Base Measure"/>
    <n v="100"/>
    <n v="100"/>
    <n v="0.54"/>
    <m/>
    <m/>
    <m/>
    <m/>
    <m/>
    <n v="0.70199999999999996"/>
    <m/>
    <n v="0.70199999999999996"/>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2-01T00:00:00"/>
    <s v="FY21"/>
    <s v="t"/>
    <n v="0.42"/>
    <n v="0.13500000000000001"/>
    <n v="0"/>
    <n v="0.55500000000000005"/>
    <n v="3"/>
    <n v="1"/>
    <n v="0"/>
    <n v="4"/>
    <n v="75.67"/>
    <n v="24.32"/>
    <n v="0"/>
    <s v="Consolidation"/>
    <s v="CO2e and Base Measure"/>
    <n v="100"/>
    <n v="100"/>
    <n v="0.56000000000000005"/>
    <m/>
    <m/>
    <m/>
    <m/>
    <m/>
    <n v="0.72150000000000003"/>
    <m/>
    <n v="0.72150000000000003"/>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3-01T00:00:00"/>
    <s v="FY21"/>
    <s v="t"/>
    <n v="0.6"/>
    <n v="0.27"/>
    <n v="0"/>
    <n v="0.87"/>
    <n v="3"/>
    <n v="2"/>
    <n v="0"/>
    <n v="5"/>
    <n v="68.959999999999994"/>
    <n v="31.03"/>
    <n v="0"/>
    <s v="Consolidation"/>
    <s v="CO2e and Base Measure"/>
    <n v="100"/>
    <n v="100"/>
    <n v="0.87"/>
    <m/>
    <m/>
    <m/>
    <m/>
    <m/>
    <n v="1.131"/>
    <m/>
    <n v="1.131"/>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4-01T00:00:00"/>
    <s v="FY21"/>
    <s v="t"/>
    <n v="0"/>
    <n v="0"/>
    <n v="0.54900000000000004"/>
    <n v="0.54900000000000004"/>
    <n v="0"/>
    <n v="0"/>
    <n v="30"/>
    <n v="30"/>
    <n v="0"/>
    <n v="0"/>
    <n v="100"/>
    <s v="Consolidation"/>
    <s v="CO2e and Base Measure"/>
    <n v="100"/>
    <n v="100"/>
    <n v="0.55000000000000004"/>
    <m/>
    <m/>
    <m/>
    <m/>
    <m/>
    <n v="0.7137"/>
    <m/>
    <n v="0.7137"/>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5-01T00:00:00"/>
    <s v="FY21"/>
    <s v="t"/>
    <n v="0"/>
    <n v="0"/>
    <n v="0.56730000000000003"/>
    <n v="0.56730000000000003"/>
    <n v="0"/>
    <n v="0"/>
    <n v="31"/>
    <n v="31"/>
    <n v="0"/>
    <n v="0"/>
    <n v="100"/>
    <s v="Consolidation"/>
    <s v="CO2e and Base Measure"/>
    <n v="100"/>
    <n v="100"/>
    <n v="0.56999999999999995"/>
    <m/>
    <m/>
    <m/>
    <m/>
    <m/>
    <n v="0.73750000000000004"/>
    <m/>
    <n v="0.73750000000000004"/>
    <m/>
    <m/>
    <m/>
    <m/>
    <m/>
    <s v="AUD"/>
    <s v="13634302Waste - General [t] - Scope 3"/>
    <n v="13634302"/>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0-12-01T00:00:00"/>
    <s v="FY21"/>
    <s v="t"/>
    <n v="0.222"/>
    <n v="7.4999999999999997E-2"/>
    <n v="0"/>
    <n v="0.29699999999999999"/>
    <n v="3"/>
    <n v="1"/>
    <n v="0"/>
    <n v="4"/>
    <n v="74.739999999999995"/>
    <n v="25.25"/>
    <n v="0"/>
    <s v="Consolidation"/>
    <s v="CO2e and Base Measure"/>
    <n v="100"/>
    <n v="100"/>
    <n v="0.3"/>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1-01T00:00:00"/>
    <s v="FY21"/>
    <s v="t"/>
    <n v="0.05"/>
    <n v="0.22500000000000001"/>
    <n v="0"/>
    <n v="0.27500000000000002"/>
    <n v="1"/>
    <n v="3"/>
    <n v="0"/>
    <n v="4"/>
    <n v="18.18"/>
    <n v="81.81"/>
    <n v="0"/>
    <s v="Consolidation"/>
    <s v="CO2e and Base Measure"/>
    <n v="100"/>
    <n v="100"/>
    <n v="0.28000000000000003"/>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2-01T00:00:00"/>
    <s v="FY21"/>
    <s v="t"/>
    <n v="0.21"/>
    <n v="7.4999999999999997E-2"/>
    <n v="0"/>
    <n v="0.28499999999999998"/>
    <n v="3"/>
    <n v="1"/>
    <n v="0"/>
    <n v="4"/>
    <n v="73.680000000000007"/>
    <n v="26.31"/>
    <n v="0"/>
    <s v="Consolidation"/>
    <s v="CO2e and Base Measure"/>
    <n v="100"/>
    <n v="100"/>
    <n v="0.28999999999999998"/>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3-01T00:00:00"/>
    <s v="FY21"/>
    <s v="t"/>
    <n v="9.6000000000000002E-2"/>
    <n v="0.22500000000000001"/>
    <n v="0"/>
    <n v="0.32100000000000001"/>
    <n v="2"/>
    <n v="3"/>
    <n v="0"/>
    <n v="5"/>
    <n v="29.9"/>
    <n v="70.09"/>
    <n v="0"/>
    <s v="Consolidation"/>
    <s v="CO2e and Base Measure"/>
    <n v="100"/>
    <n v="100"/>
    <n v="0.32"/>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4-01T00:00:00"/>
    <s v="FY21"/>
    <s v="t"/>
    <n v="0"/>
    <n v="0"/>
    <n v="0.29399999999999998"/>
    <n v="0.29399999999999998"/>
    <n v="0"/>
    <n v="0"/>
    <n v="30"/>
    <n v="30"/>
    <n v="0"/>
    <n v="0"/>
    <n v="100"/>
    <s v="Consolidation"/>
    <s v="CO2e and Base Measure"/>
    <n v="100"/>
    <n v="100"/>
    <n v="0.28999999999999998"/>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5-01T00:00:00"/>
    <s v="FY21"/>
    <s v="t"/>
    <n v="0"/>
    <n v="0"/>
    <n v="0.30380000000000001"/>
    <n v="0.30380000000000001"/>
    <n v="0"/>
    <n v="0"/>
    <n v="31"/>
    <n v="31"/>
    <n v="0"/>
    <n v="0"/>
    <n v="100"/>
    <s v="Consolidation"/>
    <s v="CO2e and Base Measure"/>
    <n v="100"/>
    <n v="100"/>
    <n v="0.3"/>
    <m/>
    <m/>
    <m/>
    <m/>
    <m/>
    <m/>
    <m/>
    <m/>
    <m/>
    <m/>
    <m/>
    <m/>
    <m/>
    <s v="AUD"/>
    <s v="13634303Waste Recycled - Paper and Cardboard [t]"/>
    <n v="13634303"/>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286Waste - General [t] - Scope 3"/>
    <n v="13564286"/>
  </r>
  <r>
    <d v="2019-07-01T00:00:00"/>
    <d v="2021-06-30T00:00:00"/>
    <s v="Telstra"/>
    <s v="NETWORK"/>
    <s v="Network - InfraCo"/>
    <s v="WA"/>
    <s v="Australia"/>
    <s v="West Perth"/>
    <s v="WELLINGTON EXCHANGE3"/>
    <n v="423030867200"/>
    <s v="Waste"/>
    <x v="1"/>
    <x v="4"/>
    <s v="Account"/>
    <s v="Remondis Construction &amp; Demolition - Landfill"/>
    <m/>
    <s v="423030867200_WCONSDEM"/>
    <s v="CONSTRUCTION &amp; DEMOLITION - LANDFILL"/>
    <s v="Remondis"/>
    <m/>
    <m/>
    <d v="2020-09-01T00:00:00"/>
    <d v="2020-08-01T00:00:00"/>
    <s v="FY21"/>
    <s v="t"/>
    <n v="0"/>
    <n v="12.11"/>
    <n v="0"/>
    <n v="12.11"/>
    <n v="0"/>
    <n v="2"/>
    <n v="0"/>
    <n v="2"/>
    <n v="0"/>
    <n v="100"/>
    <n v="0"/>
    <s v="Consolidation"/>
    <s v="CO2e and Base Measure"/>
    <n v="100"/>
    <n v="100"/>
    <n v="12.11"/>
    <m/>
    <m/>
    <m/>
    <m/>
    <m/>
    <n v="14.532"/>
    <m/>
    <n v="14.532"/>
    <m/>
    <m/>
    <m/>
    <m/>
    <m/>
    <s v="AUD"/>
    <s v="13565387Waste - Construction and Demolition [t]"/>
    <n v="13565387"/>
  </r>
  <r>
    <d v="2019-07-01T00:00:00"/>
    <d v="2021-06-30T00:00:00"/>
    <s v="Telstra"/>
    <s v="NETWORK"/>
    <s v="Network - InfraCo"/>
    <s v="WA"/>
    <s v="Australia"/>
    <s v="West Perth"/>
    <s v="WELLINGTON EXCHANGE3"/>
    <n v="423030867200"/>
    <s v="Waste"/>
    <x v="1"/>
    <x v="4"/>
    <s v="Account"/>
    <s v="Remondis Construction &amp; Demolition - Landfill"/>
    <m/>
    <s v="423030867200_WCONSDEM"/>
    <s v="CONSTRUCTION &amp; DEMOLITION - LANDFILL"/>
    <s v="Remondis"/>
    <m/>
    <m/>
    <d v="2020-09-01T00:00:00"/>
    <d v="2020-09-01T00:00:00"/>
    <s v="FY21"/>
    <s v="t"/>
    <n v="0"/>
    <n v="0"/>
    <n v="0.1996"/>
    <n v="0.1996"/>
    <n v="0"/>
    <n v="0"/>
    <n v="1"/>
    <n v="1"/>
    <n v="0"/>
    <n v="0"/>
    <n v="100"/>
    <s v="Consolidation"/>
    <s v="CO2e and Base Measure"/>
    <n v="100"/>
    <n v="100"/>
    <n v="0.2"/>
    <m/>
    <m/>
    <m/>
    <m/>
    <m/>
    <n v="0.23949999999999999"/>
    <m/>
    <n v="0.23949999999999999"/>
    <m/>
    <m/>
    <m/>
    <m/>
    <m/>
    <s v="AUD"/>
    <s v="13565387Waste - Construction and Demolition [t]"/>
    <n v="13565387"/>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0-10-01T00:00:00"/>
    <s v="FY21"/>
    <s v="t"/>
    <n v="0"/>
    <n v="0.25080000000000002"/>
    <n v="0"/>
    <n v="0.25080000000000002"/>
    <n v="0"/>
    <n v="1"/>
    <n v="0"/>
    <n v="1"/>
    <n v="0"/>
    <n v="100"/>
    <n v="0"/>
    <s v="Consolidation"/>
    <s v="CO2e and Base Measure"/>
    <n v="100"/>
    <n v="100"/>
    <n v="0.25"/>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0-11-01T00:00:00"/>
    <s v="FY21"/>
    <s v="t"/>
    <n v="0"/>
    <n v="0"/>
    <n v="0.252"/>
    <n v="0.252"/>
    <n v="0"/>
    <n v="0"/>
    <n v="30"/>
    <n v="30"/>
    <n v="0"/>
    <n v="0"/>
    <n v="100"/>
    <s v="Consolidation"/>
    <s v="CO2e and Base Measure"/>
    <n v="100"/>
    <n v="100"/>
    <n v="0.25"/>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0-12-01T00:00:00"/>
    <s v="FY21"/>
    <s v="t"/>
    <n v="0"/>
    <n v="0"/>
    <n v="0.26040000000000002"/>
    <n v="0.26040000000000002"/>
    <n v="0"/>
    <n v="0"/>
    <n v="31"/>
    <n v="31"/>
    <n v="0"/>
    <n v="0"/>
    <n v="100"/>
    <s v="Consolidation"/>
    <s v="CO2e and Base Measure"/>
    <n v="100"/>
    <n v="100"/>
    <n v="0.26"/>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1-01T00:00:00"/>
    <s v="FY21"/>
    <s v="t"/>
    <n v="0"/>
    <n v="0"/>
    <n v="0.26040000000000002"/>
    <n v="0.26040000000000002"/>
    <n v="0"/>
    <n v="0"/>
    <n v="31"/>
    <n v="31"/>
    <n v="0"/>
    <n v="0"/>
    <n v="100"/>
    <s v="Consolidation"/>
    <s v="CO2e and Base Measure"/>
    <n v="100"/>
    <n v="100"/>
    <n v="0.26"/>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2-01T00:00:00"/>
    <s v="FY21"/>
    <s v="t"/>
    <n v="0"/>
    <n v="0"/>
    <n v="0.23519999999999999"/>
    <n v="0.23519999999999999"/>
    <n v="0"/>
    <n v="0"/>
    <n v="28"/>
    <n v="28"/>
    <n v="0"/>
    <n v="0"/>
    <n v="100"/>
    <s v="Consolidation"/>
    <s v="CO2e and Base Measure"/>
    <n v="100"/>
    <n v="100"/>
    <n v="0.24"/>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3-01T00:00:00"/>
    <s v="FY21"/>
    <s v="t"/>
    <n v="0"/>
    <n v="0"/>
    <n v="0.26040000000000002"/>
    <n v="0.26040000000000002"/>
    <n v="0"/>
    <n v="0"/>
    <n v="31"/>
    <n v="31"/>
    <n v="0"/>
    <n v="0"/>
    <n v="100"/>
    <s v="Consolidation"/>
    <s v="CO2e and Base Measure"/>
    <n v="100"/>
    <n v="100"/>
    <n v="0.26"/>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4-01T00:00:00"/>
    <s v="FY21"/>
    <s v="t"/>
    <n v="0"/>
    <n v="0"/>
    <n v="0.252"/>
    <n v="0.252"/>
    <n v="0"/>
    <n v="0"/>
    <n v="30"/>
    <n v="30"/>
    <n v="0"/>
    <n v="0"/>
    <n v="100"/>
    <s v="Consolidation"/>
    <s v="CO2e and Base Measure"/>
    <n v="100"/>
    <n v="100"/>
    <n v="0.25"/>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5-01T00:00:00"/>
    <s v="FY21"/>
    <s v="t"/>
    <n v="0"/>
    <n v="0"/>
    <n v="0.26040000000000002"/>
    <n v="0.26040000000000002"/>
    <n v="0"/>
    <n v="0"/>
    <n v="31"/>
    <n v="31"/>
    <n v="0"/>
    <n v="0"/>
    <n v="100"/>
    <s v="Consolidation"/>
    <s v="CO2e and Base Measure"/>
    <n v="100"/>
    <n v="100"/>
    <n v="0.26"/>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Fluoro Tubes - Recycled"/>
    <m/>
    <s v="423030867200_RFLUORO"/>
    <s v="FLUORO TUBES - RECYCLED"/>
    <s v="Remondis"/>
    <m/>
    <m/>
    <d v="2020-12-01T00:00:00"/>
    <d v="2020-11-01T00:00:00"/>
    <s v="FY21"/>
    <s v="t"/>
    <n v="0"/>
    <n v="0.06"/>
    <n v="0"/>
    <n v="0.06"/>
    <n v="0"/>
    <n v="1"/>
    <n v="0"/>
    <n v="1"/>
    <n v="0"/>
    <n v="100"/>
    <n v="0"/>
    <s v="Consolidation"/>
    <s v="CO2e and Base Measure"/>
    <n v="100"/>
    <n v="100"/>
    <n v="0.06"/>
    <m/>
    <m/>
    <m/>
    <m/>
    <m/>
    <m/>
    <m/>
    <m/>
    <m/>
    <m/>
    <m/>
    <m/>
    <m/>
    <s v="AUD"/>
    <s v="13565389Waste Recycled - E-waste [t]"/>
    <n v="13565389"/>
  </r>
  <r>
    <d v="2019-07-01T00:00:00"/>
    <d v="2021-06-30T00:00:00"/>
    <s v="Telstra"/>
    <s v="NETWORK"/>
    <s v="Network - InfraCo"/>
    <s v="WA"/>
    <s v="Australia"/>
    <s v="West Perth"/>
    <s v="WELLINGTON EXCHANGE3"/>
    <n v="423030867200"/>
    <s v="Recycled Waste"/>
    <x v="0"/>
    <x v="1"/>
    <s v="Account"/>
    <s v="Remondis Fluoro Tubes - Recycled"/>
    <m/>
    <s v="423030867200_RFLUORO"/>
    <s v="FLUORO TUBES - RECYCLED"/>
    <s v="Remondis"/>
    <m/>
    <m/>
    <d v="2020-12-01T00:00:00"/>
    <d v="2020-12-01T00:00:00"/>
    <s v="FY21"/>
    <s v="t"/>
    <n v="0"/>
    <n v="0"/>
    <n v="2.0999999999999999E-3"/>
    <n v="2.0999999999999999E-3"/>
    <n v="0"/>
    <n v="0"/>
    <n v="1"/>
    <n v="1"/>
    <n v="0"/>
    <n v="0"/>
    <n v="100"/>
    <s v="Consolidation"/>
    <s v="CO2e and Base Measure"/>
    <n v="100"/>
    <n v="100"/>
    <n v="0"/>
    <m/>
    <m/>
    <m/>
    <m/>
    <m/>
    <m/>
    <m/>
    <m/>
    <m/>
    <m/>
    <m/>
    <m/>
    <m/>
    <s v="AUD"/>
    <s v="13565389Waste Recycled - E-waste [t]"/>
    <n v="13565389"/>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07-01T00:00:00"/>
    <s v="FY21"/>
    <s v="t"/>
    <n v="0.10299999999999999"/>
    <n v="0.2165"/>
    <n v="0"/>
    <n v="0.31950000000000001"/>
    <n v="8"/>
    <n v="1"/>
    <n v="0"/>
    <n v="9"/>
    <n v="32.229999999999997"/>
    <n v="67.760000000000005"/>
    <n v="0"/>
    <s v="Consolidation"/>
    <s v="CO2e and Base Measure"/>
    <n v="100"/>
    <n v="100"/>
    <n v="0.32"/>
    <m/>
    <m/>
    <m/>
    <m/>
    <m/>
    <n v="0.41539999999999999"/>
    <m/>
    <n v="0.41539999999999999"/>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08-01T00:00:00"/>
    <s v="FY21"/>
    <s v="t"/>
    <n v="9.2999999999999999E-2"/>
    <n v="0.86599999999999999"/>
    <n v="0"/>
    <n v="0.95899999999999996"/>
    <n v="4"/>
    <n v="4"/>
    <n v="0"/>
    <n v="8"/>
    <n v="9.69"/>
    <n v="90.3"/>
    <n v="0"/>
    <s v="Consolidation"/>
    <s v="CO2e and Base Measure"/>
    <n v="100"/>
    <n v="100"/>
    <n v="0.96"/>
    <m/>
    <m/>
    <m/>
    <m/>
    <m/>
    <n v="1.2466999999999999"/>
    <m/>
    <n v="1.2466999999999999"/>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09-01T00:00:00"/>
    <s v="FY21"/>
    <s v="t"/>
    <n v="0.156"/>
    <n v="0.86599999999999999"/>
    <n v="0"/>
    <n v="1.022"/>
    <n v="5"/>
    <n v="4"/>
    <n v="0"/>
    <n v="9"/>
    <n v="15.26"/>
    <n v="84.73"/>
    <n v="0"/>
    <s v="Consolidation"/>
    <s v="CO2e and Base Measure"/>
    <n v="100"/>
    <n v="100"/>
    <n v="1.02"/>
    <m/>
    <m/>
    <m/>
    <m/>
    <m/>
    <n v="1.3286"/>
    <m/>
    <n v="1.3286"/>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10-01T00:00:00"/>
    <s v="FY21"/>
    <s v="t"/>
    <n v="0.104"/>
    <n v="0.433"/>
    <n v="0"/>
    <n v="0.53700000000000003"/>
    <n v="7"/>
    <n v="2"/>
    <n v="0"/>
    <n v="9"/>
    <n v="19.36"/>
    <n v="80.63"/>
    <n v="0"/>
    <s v="Consolidation"/>
    <s v="CO2e and Base Measure"/>
    <n v="100"/>
    <n v="100"/>
    <n v="0.54"/>
    <m/>
    <m/>
    <m/>
    <m/>
    <m/>
    <n v="0.69810000000000005"/>
    <m/>
    <n v="0.69810000000000005"/>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11-01T00:00:00"/>
    <s v="FY21"/>
    <s v="t"/>
    <n v="0.09"/>
    <n v="0.64949999999999997"/>
    <n v="0"/>
    <n v="0.73950000000000005"/>
    <n v="4"/>
    <n v="3"/>
    <n v="0"/>
    <n v="7"/>
    <n v="12.17"/>
    <n v="87.82"/>
    <n v="0"/>
    <s v="Consolidation"/>
    <s v="CO2e and Base Measure"/>
    <n v="100"/>
    <n v="100"/>
    <n v="0.74"/>
    <m/>
    <m/>
    <m/>
    <m/>
    <m/>
    <n v="0.96140000000000003"/>
    <m/>
    <n v="0.96140000000000003"/>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12-01T00:00:00"/>
    <s v="FY21"/>
    <s v="t"/>
    <n v="0"/>
    <n v="0"/>
    <n v="2.46E-2"/>
    <n v="2.46E-2"/>
    <n v="0"/>
    <n v="0"/>
    <n v="1"/>
    <n v="1"/>
    <n v="0"/>
    <n v="0"/>
    <n v="100"/>
    <s v="Consolidation"/>
    <s v="CO2e and Base Measure"/>
    <n v="100"/>
    <n v="100"/>
    <n v="0.02"/>
    <m/>
    <m/>
    <m/>
    <m/>
    <m/>
    <n v="3.2000000000000001E-2"/>
    <m/>
    <n v="3.2000000000000001E-2"/>
    <m/>
    <m/>
    <m/>
    <m/>
    <m/>
    <s v="AUD"/>
    <s v="13565390Waste - General [t] - Scope 3"/>
    <n v="13565390"/>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07-01T00:00:00"/>
    <s v="FY21"/>
    <s v="t"/>
    <n v="3.4000000000000002E-2"/>
    <n v="4.6600000000000003E-2"/>
    <n v="0"/>
    <n v="8.0600000000000005E-2"/>
    <n v="4"/>
    <n v="2"/>
    <n v="0"/>
    <n v="6"/>
    <n v="42.18"/>
    <n v="57.81"/>
    <n v="0"/>
    <s v="Consolidation"/>
    <s v="CO2e and Base Measure"/>
    <n v="100"/>
    <n v="100"/>
    <n v="0.08"/>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08-01T00:00:00"/>
    <s v="FY21"/>
    <s v="t"/>
    <n v="5.5E-2"/>
    <n v="2.3300000000000001E-2"/>
    <n v="0"/>
    <n v="7.8299999999999995E-2"/>
    <n v="5"/>
    <n v="1"/>
    <n v="0"/>
    <n v="6"/>
    <n v="70.239999999999995"/>
    <n v="29.75"/>
    <n v="0"/>
    <s v="Consolidation"/>
    <s v="CO2e and Base Measure"/>
    <n v="100"/>
    <n v="100"/>
    <n v="0.08"/>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09-01T00:00:00"/>
    <s v="FY21"/>
    <s v="t"/>
    <n v="7.3999999999999996E-2"/>
    <n v="0.11650000000000001"/>
    <n v="0"/>
    <n v="0.1905"/>
    <n v="3"/>
    <n v="5"/>
    <n v="0"/>
    <n v="8"/>
    <n v="38.840000000000003"/>
    <n v="61.15"/>
    <n v="0"/>
    <s v="Consolidation"/>
    <s v="CO2e and Base Measure"/>
    <n v="100"/>
    <n v="100"/>
    <n v="0.19"/>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10-01T00:00:00"/>
    <s v="FY21"/>
    <s v="t"/>
    <n v="0.01"/>
    <n v="0.16309999999999999"/>
    <n v="0"/>
    <n v="0.1731"/>
    <n v="2"/>
    <n v="7"/>
    <n v="0"/>
    <n v="9"/>
    <n v="5.77"/>
    <n v="94.22"/>
    <n v="0"/>
    <s v="Consolidation"/>
    <s v="CO2e and Base Measure"/>
    <n v="100"/>
    <n v="100"/>
    <n v="0.17"/>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11-01T00:00:00"/>
    <s v="FY21"/>
    <s v="t"/>
    <n v="0"/>
    <n v="9.3200000000000005E-2"/>
    <n v="0"/>
    <n v="9.3200000000000005E-2"/>
    <n v="0"/>
    <n v="4"/>
    <n v="0"/>
    <n v="4"/>
    <n v="0"/>
    <n v="100"/>
    <n v="0"/>
    <s v="Consolidation"/>
    <s v="CO2e and Base Measure"/>
    <n v="100"/>
    <n v="100"/>
    <n v="0.09"/>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76253Waste Recycled - Cardboard [t]"/>
    <n v="13576253"/>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0-12-01T00:00:00"/>
    <s v="FY21"/>
    <s v="t"/>
    <n v="0"/>
    <n v="1.5840000000000001"/>
    <n v="0"/>
    <n v="1.5840000000000001"/>
    <n v="0"/>
    <n v="8"/>
    <n v="0"/>
    <n v="8"/>
    <n v="0"/>
    <n v="100"/>
    <n v="0"/>
    <s v="Consolidation"/>
    <s v="CO2e and Base Measure"/>
    <n v="100"/>
    <n v="100"/>
    <n v="1.58"/>
    <m/>
    <m/>
    <m/>
    <m/>
    <m/>
    <n v="2.0592000000000001"/>
    <m/>
    <n v="2.0592000000000001"/>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1-01T00:00:00"/>
    <s v="FY21"/>
    <s v="t"/>
    <n v="0"/>
    <n v="1.2375"/>
    <n v="0"/>
    <n v="1.2375"/>
    <n v="0"/>
    <n v="7"/>
    <n v="0"/>
    <n v="7"/>
    <n v="0"/>
    <n v="100"/>
    <n v="0"/>
    <s v="Consolidation"/>
    <s v="CO2e and Base Measure"/>
    <n v="100"/>
    <n v="100"/>
    <n v="1.24"/>
    <m/>
    <m/>
    <m/>
    <m/>
    <m/>
    <n v="1.6088"/>
    <m/>
    <n v="1.6088"/>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2-01T00:00:00"/>
    <s v="FY21"/>
    <s v="t"/>
    <n v="0"/>
    <n v="1.5840000000000001"/>
    <n v="0"/>
    <n v="1.5840000000000001"/>
    <n v="0"/>
    <n v="8"/>
    <n v="0"/>
    <n v="8"/>
    <n v="0"/>
    <n v="100"/>
    <n v="0"/>
    <s v="Consolidation"/>
    <s v="CO2e and Base Measure"/>
    <n v="100"/>
    <n v="100"/>
    <n v="1.58"/>
    <m/>
    <m/>
    <m/>
    <m/>
    <m/>
    <n v="2.0592000000000001"/>
    <m/>
    <n v="2.0592000000000001"/>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3-01T00:00:00"/>
    <s v="FY21"/>
    <s v="t"/>
    <n v="12.54"/>
    <n v="1.782"/>
    <n v="0"/>
    <n v="14.321999999999999"/>
    <n v="4"/>
    <n v="9"/>
    <n v="0"/>
    <n v="13"/>
    <n v="87.55"/>
    <n v="12.44"/>
    <n v="0"/>
    <s v="Consolidation"/>
    <s v="CO2e and Base Measure"/>
    <n v="100"/>
    <n v="100"/>
    <n v="14.32"/>
    <m/>
    <m/>
    <m/>
    <m/>
    <m/>
    <n v="18.618600000000001"/>
    <m/>
    <n v="18.618600000000001"/>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4-01T00:00:00"/>
    <s v="FY21"/>
    <s v="t"/>
    <n v="0"/>
    <n v="0"/>
    <n v="4.6829999999999998"/>
    <n v="4.6829999999999998"/>
    <n v="0"/>
    <n v="0"/>
    <n v="30"/>
    <n v="30"/>
    <n v="0"/>
    <n v="0"/>
    <n v="100"/>
    <s v="Consolidation"/>
    <s v="CO2e and Base Measure"/>
    <n v="100"/>
    <n v="100"/>
    <n v="4.68"/>
    <m/>
    <m/>
    <m/>
    <m/>
    <m/>
    <n v="6.0879000000000003"/>
    <m/>
    <n v="6.0879000000000003"/>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5-01T00:00:00"/>
    <s v="FY21"/>
    <s v="t"/>
    <n v="0"/>
    <n v="0"/>
    <n v="4.8391000000000002"/>
    <n v="4.8391000000000002"/>
    <n v="0"/>
    <n v="0"/>
    <n v="31"/>
    <n v="31"/>
    <n v="0"/>
    <n v="0"/>
    <n v="100"/>
    <s v="Consolidation"/>
    <s v="CO2e and Base Measure"/>
    <n v="100"/>
    <n v="100"/>
    <n v="4.84"/>
    <m/>
    <m/>
    <m/>
    <m/>
    <m/>
    <n v="6.2907999999999999"/>
    <m/>
    <n v="6.2907999999999999"/>
    <m/>
    <m/>
    <m/>
    <m/>
    <m/>
    <s v="AUD"/>
    <s v="13634304Waste - General [t] - Scope 3"/>
    <n v="13634304"/>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0-12-01T00:00:00"/>
    <s v="FY21"/>
    <s v="t"/>
    <n v="0"/>
    <n v="0.33"/>
    <n v="0"/>
    <n v="0.33"/>
    <n v="0"/>
    <n v="8"/>
    <n v="0"/>
    <n v="8"/>
    <n v="0"/>
    <n v="100"/>
    <n v="0"/>
    <s v="Consolidation"/>
    <s v="CO2e and Base Measure"/>
    <n v="100"/>
    <n v="100"/>
    <n v="0.33"/>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1-01T00:00:00"/>
    <s v="FY21"/>
    <s v="t"/>
    <n v="0"/>
    <n v="0.308"/>
    <n v="0"/>
    <n v="0.308"/>
    <n v="0"/>
    <n v="7"/>
    <n v="0"/>
    <n v="7"/>
    <n v="0"/>
    <n v="100"/>
    <n v="0"/>
    <s v="Consolidation"/>
    <s v="CO2e and Base Measure"/>
    <n v="100"/>
    <n v="100"/>
    <n v="0.31"/>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2-01T00:00:00"/>
    <s v="FY21"/>
    <s v="t"/>
    <n v="0"/>
    <n v="0.35199999999999998"/>
    <n v="0"/>
    <n v="0.35199999999999998"/>
    <n v="0"/>
    <n v="8"/>
    <n v="0"/>
    <n v="8"/>
    <n v="0"/>
    <n v="100"/>
    <n v="0"/>
    <s v="Consolidation"/>
    <s v="CO2e and Base Measure"/>
    <n v="100"/>
    <n v="100"/>
    <n v="0.35"/>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3-01T00:00:00"/>
    <s v="FY21"/>
    <s v="t"/>
    <n v="0"/>
    <n v="0.35199999999999998"/>
    <n v="0"/>
    <n v="0.35199999999999998"/>
    <n v="0"/>
    <n v="8"/>
    <n v="0"/>
    <n v="8"/>
    <n v="0"/>
    <n v="100"/>
    <n v="0"/>
    <s v="Consolidation"/>
    <s v="CO2e and Base Measure"/>
    <n v="100"/>
    <n v="100"/>
    <n v="0.35"/>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4-01T00:00:00"/>
    <s v="FY21"/>
    <s v="t"/>
    <n v="0"/>
    <n v="0"/>
    <n v="0.33600000000000002"/>
    <n v="0.33600000000000002"/>
    <n v="0"/>
    <n v="0"/>
    <n v="30"/>
    <n v="30"/>
    <n v="0"/>
    <n v="0"/>
    <n v="100"/>
    <s v="Consolidation"/>
    <s v="CO2e and Base Measure"/>
    <n v="100"/>
    <n v="100"/>
    <n v="0.34"/>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5-01T00:00:00"/>
    <s v="FY21"/>
    <s v="t"/>
    <n v="0"/>
    <n v="0"/>
    <n v="0.34720000000000001"/>
    <n v="0.34720000000000001"/>
    <n v="0"/>
    <n v="0"/>
    <n v="31"/>
    <n v="31"/>
    <n v="0"/>
    <n v="0"/>
    <n v="100"/>
    <s v="Consolidation"/>
    <s v="CO2e and Base Measure"/>
    <n v="100"/>
    <n v="100"/>
    <n v="0.35"/>
    <m/>
    <m/>
    <m/>
    <m/>
    <m/>
    <m/>
    <n v="0"/>
    <m/>
    <m/>
    <m/>
    <m/>
    <m/>
    <m/>
    <s v="AUD"/>
    <s v="13634305Waste Recycled - Commingled [t]"/>
    <n v="13634305"/>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0-12-01T00:00:00"/>
    <s v="FY21"/>
    <s v="t"/>
    <n v="0.01"/>
    <n v="0"/>
    <n v="0"/>
    <n v="0.01"/>
    <n v="1"/>
    <n v="0"/>
    <n v="0"/>
    <n v="1"/>
    <n v="100"/>
    <n v="0"/>
    <n v="0"/>
    <s v="Consolidation"/>
    <s v="CO2e and Base Measure"/>
    <n v="100"/>
    <n v="100"/>
    <n v="0.01"/>
    <m/>
    <m/>
    <m/>
    <m/>
    <m/>
    <n v="1.2E-2"/>
    <m/>
    <n v="1.2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1-01T00:00:00"/>
    <s v="FY21"/>
    <s v="t"/>
    <n v="0"/>
    <n v="0"/>
    <n v="9.2999999999999992E-3"/>
    <n v="9.2999999999999992E-3"/>
    <n v="0"/>
    <n v="0"/>
    <n v="31"/>
    <n v="31"/>
    <n v="0"/>
    <n v="0"/>
    <n v="100"/>
    <s v="Consolidation"/>
    <s v="CO2e and Base Measure"/>
    <n v="100"/>
    <n v="100"/>
    <n v="0.01"/>
    <m/>
    <m/>
    <m/>
    <m/>
    <m/>
    <n v="1.12E-2"/>
    <m/>
    <n v="1.12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2-01T00:00:00"/>
    <s v="FY21"/>
    <s v="t"/>
    <n v="0"/>
    <n v="0"/>
    <n v="8.3999999999999995E-3"/>
    <n v="8.3999999999999995E-3"/>
    <n v="0"/>
    <n v="0"/>
    <n v="28"/>
    <n v="28"/>
    <n v="0"/>
    <n v="0"/>
    <n v="100"/>
    <s v="Consolidation"/>
    <s v="CO2e and Base Measure"/>
    <n v="100"/>
    <n v="100"/>
    <n v="0.01"/>
    <m/>
    <m/>
    <m/>
    <m/>
    <m/>
    <n v="1.01E-2"/>
    <m/>
    <n v="1.01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3-01T00:00:00"/>
    <s v="FY21"/>
    <s v="t"/>
    <n v="0"/>
    <n v="0"/>
    <n v="9.2999999999999992E-3"/>
    <n v="9.2999999999999992E-3"/>
    <n v="0"/>
    <n v="0"/>
    <n v="31"/>
    <n v="31"/>
    <n v="0"/>
    <n v="0"/>
    <n v="100"/>
    <s v="Consolidation"/>
    <s v="CO2e and Base Measure"/>
    <n v="100"/>
    <n v="100"/>
    <n v="0.01"/>
    <m/>
    <m/>
    <m/>
    <m/>
    <m/>
    <n v="1.12E-2"/>
    <m/>
    <n v="1.12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4-01T00:00:00"/>
    <s v="FY21"/>
    <s v="t"/>
    <n v="0"/>
    <n v="0"/>
    <n v="8.9999999999999993E-3"/>
    <n v="8.9999999999999993E-3"/>
    <n v="0"/>
    <n v="0"/>
    <n v="30"/>
    <n v="30"/>
    <n v="0"/>
    <n v="0"/>
    <n v="100"/>
    <s v="Consolidation"/>
    <s v="CO2e and Base Measure"/>
    <n v="100"/>
    <n v="100"/>
    <n v="0.01"/>
    <m/>
    <m/>
    <m/>
    <m/>
    <m/>
    <n v="1.0800000000000001E-2"/>
    <m/>
    <n v="1.0800000000000001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5-01T00:00:00"/>
    <s v="FY21"/>
    <s v="t"/>
    <n v="0"/>
    <n v="0"/>
    <n v="9.2999999999999992E-3"/>
    <n v="9.2999999999999992E-3"/>
    <n v="0"/>
    <n v="0"/>
    <n v="31"/>
    <n v="31"/>
    <n v="0"/>
    <n v="0"/>
    <n v="100"/>
    <s v="Consolidation"/>
    <s v="CO2e and Base Measure"/>
    <n v="100"/>
    <n v="100"/>
    <n v="0.01"/>
    <m/>
    <m/>
    <m/>
    <m/>
    <m/>
    <n v="1.12E-2"/>
    <m/>
    <n v="1.12E-2"/>
    <m/>
    <m/>
    <m/>
    <m/>
    <m/>
    <s v="AUD"/>
    <s v="13633429Hazardous Waste [t]"/>
    <n v="13633429"/>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07-01T00:00:00"/>
    <s v="FY21"/>
    <s v="t"/>
    <n v="0"/>
    <n v="0.1575"/>
    <n v="0"/>
    <n v="0.1575"/>
    <n v="0"/>
    <n v="5"/>
    <n v="0"/>
    <n v="5"/>
    <n v="0"/>
    <n v="100"/>
    <n v="0"/>
    <s v="Consolidation"/>
    <s v="CO2e and Base Measure"/>
    <n v="100"/>
    <n v="100"/>
    <n v="0.16"/>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08-01T00:00:00"/>
    <s v="FY21"/>
    <s v="t"/>
    <n v="0"/>
    <n v="0.126"/>
    <n v="0"/>
    <n v="0.126"/>
    <n v="0"/>
    <n v="4"/>
    <n v="0"/>
    <n v="4"/>
    <n v="0"/>
    <n v="100"/>
    <n v="0"/>
    <s v="Consolidation"/>
    <s v="CO2e and Base Measure"/>
    <n v="100"/>
    <n v="100"/>
    <n v="0.13"/>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09-01T00:00:00"/>
    <s v="FY21"/>
    <s v="t"/>
    <n v="0"/>
    <n v="6.3E-2"/>
    <n v="0"/>
    <n v="6.3E-2"/>
    <n v="0"/>
    <n v="2"/>
    <n v="0"/>
    <n v="2"/>
    <n v="0"/>
    <n v="100"/>
    <n v="0"/>
    <s v="Consolidation"/>
    <s v="CO2e and Base Measure"/>
    <n v="100"/>
    <n v="100"/>
    <n v="0.06"/>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10-01T00:00:00"/>
    <s v="FY21"/>
    <s v="t"/>
    <n v="0"/>
    <n v="0.1575"/>
    <n v="0"/>
    <n v="0.1575"/>
    <n v="0"/>
    <n v="5"/>
    <n v="0"/>
    <n v="5"/>
    <n v="0"/>
    <n v="100"/>
    <n v="0"/>
    <s v="Consolidation"/>
    <s v="CO2e and Base Measure"/>
    <n v="100"/>
    <n v="100"/>
    <n v="0.16"/>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11-01T00:00:00"/>
    <s v="FY21"/>
    <s v="t"/>
    <n v="0"/>
    <n v="0.126"/>
    <n v="0"/>
    <n v="0.126"/>
    <n v="0"/>
    <n v="4"/>
    <n v="0"/>
    <n v="4"/>
    <n v="0"/>
    <n v="100"/>
    <n v="0"/>
    <s v="Consolidation"/>
    <s v="CO2e and Base Measure"/>
    <n v="100"/>
    <n v="100"/>
    <n v="0.13"/>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12-01T00:00:00"/>
    <s v="FY21"/>
    <s v="t"/>
    <n v="0"/>
    <n v="6.3E-2"/>
    <n v="0"/>
    <n v="6.3E-2"/>
    <n v="0"/>
    <n v="2"/>
    <n v="0"/>
    <n v="2"/>
    <n v="0"/>
    <n v="100"/>
    <n v="0"/>
    <s v="Consolidation"/>
    <s v="CO2e and Base Measure"/>
    <n v="100"/>
    <n v="100"/>
    <n v="0.06"/>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1-01-01T00:00:00"/>
    <s v="FY21"/>
    <s v="t"/>
    <n v="0"/>
    <n v="0"/>
    <n v="3.8E-3"/>
    <n v="3.8E-3"/>
    <n v="0"/>
    <n v="0"/>
    <n v="1"/>
    <n v="1"/>
    <n v="0"/>
    <n v="0"/>
    <n v="100"/>
    <s v="Consolidation"/>
    <s v="CO2e and Base Measure"/>
    <n v="100"/>
    <n v="100"/>
    <n v="0"/>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3"/>
    <s v="Account"/>
    <s v="Remondis Commingled - Recycled"/>
    <m/>
    <s v="423031641600_RCOMINGLE"/>
    <s v="COMMINGLED - RECYCLED"/>
    <s v="Remondis"/>
    <m/>
    <m/>
    <d v="2021-01-01T00:00:00"/>
    <d v="2020-12-01T00:00:00"/>
    <s v="FY21"/>
    <s v="t"/>
    <n v="0"/>
    <n v="2.4E-2"/>
    <n v="0"/>
    <n v="2.4E-2"/>
    <n v="0"/>
    <n v="1"/>
    <n v="0"/>
    <n v="1"/>
    <n v="0"/>
    <n v="100"/>
    <n v="0"/>
    <s v="Consolidation"/>
    <s v="CO2e and Base Measure"/>
    <n v="100"/>
    <n v="100"/>
    <n v="0.02"/>
    <m/>
    <m/>
    <m/>
    <m/>
    <m/>
    <m/>
    <n v="0"/>
    <m/>
    <m/>
    <m/>
    <m/>
    <m/>
    <m/>
    <s v="AUD"/>
    <s v="13565775Waste Recycled - Commingled [t]"/>
    <n v="13565775"/>
  </r>
  <r>
    <d v="2019-07-01T00:00:00"/>
    <d v="2021-06-30T00:00:00"/>
    <s v="Telstra"/>
    <s v="NON-NETWORK"/>
    <s v="NON-NETWORK"/>
    <s v="VIC"/>
    <s v="Australia"/>
    <s v="Ballarat Central"/>
    <s v="WENDOUREE WAREHOUSE 515 DOWLING ST"/>
    <n v="423031641600"/>
    <s v="Recycled Waste"/>
    <x v="0"/>
    <x v="3"/>
    <s v="Account"/>
    <s v="Remondis Commingled - Recycled"/>
    <m/>
    <s v="423031641600_RCOMINGLE"/>
    <s v="COMMINGLED - RECYCLED"/>
    <s v="Remondis"/>
    <m/>
    <m/>
    <d v="2021-01-01T00:00:00"/>
    <d v="2021-01-01T00:00:00"/>
    <s v="FY21"/>
    <s v="t"/>
    <n v="0"/>
    <n v="0"/>
    <n v="8.0000000000000004E-4"/>
    <n v="8.0000000000000004E-4"/>
    <n v="0"/>
    <n v="0"/>
    <n v="1"/>
    <n v="1"/>
    <n v="0"/>
    <n v="0"/>
    <n v="100"/>
    <s v="Consolidation"/>
    <s v="CO2e and Base Measure"/>
    <n v="100"/>
    <n v="100"/>
    <n v="0"/>
    <m/>
    <m/>
    <m/>
    <m/>
    <m/>
    <m/>
    <n v="0"/>
    <m/>
    <m/>
    <m/>
    <m/>
    <m/>
    <m/>
    <s v="AUD"/>
    <s v="13565775Waste Recycled - Commingled [t]"/>
    <n v="13565775"/>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07-01T00:00:00"/>
    <s v="FY21"/>
    <s v="t"/>
    <n v="0"/>
    <n v="1.7549999999999999"/>
    <n v="0"/>
    <n v="1.7549999999999999"/>
    <n v="0"/>
    <n v="9"/>
    <n v="0"/>
    <n v="9"/>
    <n v="0"/>
    <n v="100"/>
    <n v="0"/>
    <s v="Consolidation"/>
    <s v="CO2e and Base Measure"/>
    <n v="100"/>
    <n v="100"/>
    <n v="1.76"/>
    <m/>
    <m/>
    <m/>
    <m/>
    <m/>
    <n v="2.2814999999999999"/>
    <m/>
    <n v="2.2814999999999999"/>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08-01T00:00:00"/>
    <s v="FY21"/>
    <s v="t"/>
    <n v="0.19"/>
    <n v="1.365"/>
    <n v="0"/>
    <n v="1.5549999999999999"/>
    <n v="1"/>
    <n v="7"/>
    <n v="0"/>
    <n v="8"/>
    <n v="12.21"/>
    <n v="87.78"/>
    <n v="0"/>
    <s v="Consolidation"/>
    <s v="CO2e and Base Measure"/>
    <n v="100"/>
    <n v="100"/>
    <n v="1.56"/>
    <m/>
    <m/>
    <m/>
    <m/>
    <m/>
    <n v="2.0215000000000001"/>
    <m/>
    <n v="2.0215000000000001"/>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09-01T00:00:00"/>
    <s v="FY21"/>
    <s v="t"/>
    <n v="0"/>
    <n v="1.7549999999999999"/>
    <n v="0"/>
    <n v="1.7549999999999999"/>
    <n v="0"/>
    <n v="9"/>
    <n v="0"/>
    <n v="9"/>
    <n v="0"/>
    <n v="100"/>
    <n v="0"/>
    <s v="Consolidation"/>
    <s v="CO2e and Base Measure"/>
    <n v="100"/>
    <n v="100"/>
    <n v="1.76"/>
    <m/>
    <m/>
    <m/>
    <m/>
    <m/>
    <n v="2.2814999999999999"/>
    <m/>
    <n v="2.2814999999999999"/>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10-01T00:00:00"/>
    <s v="FY21"/>
    <s v="t"/>
    <n v="0.54"/>
    <n v="1.56"/>
    <n v="0"/>
    <n v="2.1"/>
    <n v="1"/>
    <n v="8"/>
    <n v="0"/>
    <n v="9"/>
    <n v="25.71"/>
    <n v="74.28"/>
    <n v="0"/>
    <s v="Consolidation"/>
    <s v="CO2e and Base Measure"/>
    <n v="100"/>
    <n v="100"/>
    <n v="2.1"/>
    <m/>
    <m/>
    <m/>
    <m/>
    <m/>
    <n v="2.73"/>
    <m/>
    <n v="2.73"/>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11-01T00:00:00"/>
    <s v="FY21"/>
    <s v="t"/>
    <n v="0"/>
    <n v="1.56"/>
    <n v="0"/>
    <n v="1.56"/>
    <n v="0"/>
    <n v="8"/>
    <n v="0"/>
    <n v="8"/>
    <n v="0"/>
    <n v="100"/>
    <n v="0"/>
    <s v="Consolidation"/>
    <s v="CO2e and Base Measure"/>
    <n v="100"/>
    <n v="100"/>
    <n v="1.56"/>
    <m/>
    <m/>
    <m/>
    <m/>
    <m/>
    <n v="2.028"/>
    <m/>
    <n v="2.028"/>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12-01T00:00:00"/>
    <s v="FY21"/>
    <s v="t"/>
    <n v="0"/>
    <n v="0.58499999999999996"/>
    <n v="0"/>
    <n v="0.58499999999999996"/>
    <n v="0"/>
    <n v="3"/>
    <n v="0"/>
    <n v="3"/>
    <n v="0"/>
    <n v="100"/>
    <n v="0"/>
    <s v="Consolidation"/>
    <s v="CO2e and Base Measure"/>
    <n v="100"/>
    <n v="100"/>
    <n v="0.59"/>
    <m/>
    <m/>
    <m/>
    <m/>
    <m/>
    <n v="0.76049999999999995"/>
    <m/>
    <n v="0.76049999999999995"/>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1-01-01T00:00:00"/>
    <s v="FY21"/>
    <s v="t"/>
    <n v="0"/>
    <n v="0"/>
    <n v="5.1900000000000002E-2"/>
    <n v="5.1900000000000002E-2"/>
    <n v="0"/>
    <n v="0"/>
    <n v="1"/>
    <n v="1"/>
    <n v="0"/>
    <n v="0"/>
    <n v="100"/>
    <s v="Consolidation"/>
    <s v="CO2e and Base Measure"/>
    <n v="100"/>
    <n v="100"/>
    <n v="0.05"/>
    <m/>
    <m/>
    <m/>
    <m/>
    <m/>
    <n v="6.7500000000000004E-2"/>
    <m/>
    <n v="6.7500000000000004E-2"/>
    <m/>
    <m/>
    <m/>
    <m/>
    <m/>
    <s v="AUD"/>
    <s v="13565776Waste - General [t] - Scope 3"/>
    <n v="13565776"/>
  </r>
  <r>
    <d v="2019-07-01T00:00:00"/>
    <d v="2021-06-30T00:00:00"/>
    <s v="Telstra"/>
    <s v="NON-NETWORK"/>
    <s v="NON-NETWORK"/>
    <s v="VIC"/>
    <s v="Australia"/>
    <s v="Ballarat Central"/>
    <s v="WENDOUREE WAREHOUSE 515 DOWLING ST"/>
    <n v="423031641600"/>
    <s v="Recycled Waste"/>
    <x v="0"/>
    <x v="1"/>
    <s v="Account"/>
    <s v="Remondis Metal - Copper"/>
    <m/>
    <s v="423031641600_RMETCOPPR"/>
    <s v="METAL - COPPER"/>
    <s v="Remondis"/>
    <m/>
    <m/>
    <d v="2021-01-01T00:00:00"/>
    <d v="2020-12-01T00:00:00"/>
    <s v="FY21"/>
    <s v="t"/>
    <n v="0.33400000000000002"/>
    <n v="0"/>
    <n v="0"/>
    <n v="0.33400000000000002"/>
    <n v="1"/>
    <n v="0"/>
    <n v="0"/>
    <n v="1"/>
    <n v="100"/>
    <n v="0"/>
    <n v="0"/>
    <s v="Consolidation"/>
    <s v="CO2e and Base Measure"/>
    <n v="100"/>
    <n v="100"/>
    <n v="0.33"/>
    <m/>
    <m/>
    <m/>
    <m/>
    <m/>
    <m/>
    <m/>
    <m/>
    <m/>
    <m/>
    <m/>
    <m/>
    <m/>
    <s v="AUD"/>
    <s v="13565777Waste Recycled - E-waste [t]"/>
    <n v="13565777"/>
  </r>
  <r>
    <d v="2019-07-01T00:00:00"/>
    <d v="2021-06-30T00:00:00"/>
    <s v="Telstra"/>
    <s v="NON-NETWORK"/>
    <s v="NON-NETWORK"/>
    <s v="VIC"/>
    <s v="Australia"/>
    <s v="Ballarat Central"/>
    <s v="WENDOUREE WAREHOUSE 515 DOWLING ST"/>
    <n v="423031641600"/>
    <s v="Recycled Waste"/>
    <x v="0"/>
    <x v="1"/>
    <s v="Account"/>
    <s v="Remondis Metal - Copper"/>
    <m/>
    <s v="423031641600_RMETCOPPR"/>
    <s v="METAL - COPPER"/>
    <s v="Remondis"/>
    <m/>
    <m/>
    <d v="2021-01-01T00:00:00"/>
    <d v="2021-01-01T00:00:00"/>
    <s v="FY21"/>
    <s v="t"/>
    <n v="0"/>
    <n v="0"/>
    <n v="1.11E-2"/>
    <n v="1.11E-2"/>
    <n v="0"/>
    <n v="0"/>
    <n v="1"/>
    <n v="1"/>
    <n v="0"/>
    <n v="0"/>
    <n v="100"/>
    <s v="Consolidation"/>
    <s v="CO2e and Base Measure"/>
    <n v="100"/>
    <n v="100"/>
    <n v="0.01"/>
    <m/>
    <m/>
    <m/>
    <m/>
    <m/>
    <m/>
    <m/>
    <m/>
    <m/>
    <m/>
    <m/>
    <m/>
    <m/>
    <s v="AUD"/>
    <s v="13565777Waste Recycled - E-waste [t]"/>
    <n v="13565777"/>
  </r>
  <r>
    <d v="2019-07-01T00:00:00"/>
    <d v="2021-06-30T00:00:00"/>
    <s v="Telstra"/>
    <s v="NON-NETWORK"/>
    <s v="NON-NETWORK"/>
    <s v="VIC"/>
    <s v="Australia"/>
    <s v="Ballarat Central"/>
    <s v="WENDOUREE WAREHOUSE 515 DOWLING ST"/>
    <n v="423031641600"/>
    <s v="Recycled Waste"/>
    <x v="0"/>
    <x v="1"/>
    <s v="Account"/>
    <s v="Remondis Electrical Comp. (E-Waste)"/>
    <m/>
    <s v="423031641600_RELECTRIC"/>
    <s v="ELECTRICAL COMP. E-WASTE"/>
    <s v="Remondis"/>
    <m/>
    <m/>
    <d v="2021-01-01T00:00:00"/>
    <d v="2020-12-01T00:00:00"/>
    <s v="FY21"/>
    <s v="t"/>
    <n v="0"/>
    <n v="0.25080000000000002"/>
    <n v="0"/>
    <n v="0.25080000000000002"/>
    <n v="0"/>
    <n v="1"/>
    <n v="0"/>
    <n v="1"/>
    <n v="0"/>
    <n v="100"/>
    <n v="0"/>
    <s v="Consolidation"/>
    <s v="CO2e and Base Measure"/>
    <n v="100"/>
    <n v="100"/>
    <n v="0.25"/>
    <m/>
    <m/>
    <m/>
    <m/>
    <m/>
    <m/>
    <m/>
    <m/>
    <m/>
    <m/>
    <m/>
    <m/>
    <m/>
    <s v="AUD"/>
    <s v="13576270Waste Recycled - E-waste [t]"/>
    <n v="13576270"/>
  </r>
  <r>
    <d v="2019-07-01T00:00:00"/>
    <d v="2021-06-30T00:00:00"/>
    <s v="Telstra"/>
    <s v="NON-NETWORK"/>
    <s v="NON-NETWORK"/>
    <s v="VIC"/>
    <s v="Australia"/>
    <s v="Ballarat Central"/>
    <s v="WENDOUREE WAREHOUSE 515 DOWLING ST"/>
    <n v="423031641600"/>
    <s v="Recycled Waste"/>
    <x v="0"/>
    <x v="1"/>
    <s v="Account"/>
    <s v="Remondis Electrical Comp. (E-Waste)"/>
    <m/>
    <s v="423031641600_RELECTRIC"/>
    <s v="ELECTRICAL COMP. E-WASTE"/>
    <s v="Remondis"/>
    <m/>
    <m/>
    <d v="2021-01-01T00:00:00"/>
    <d v="2021-01-01T00:00:00"/>
    <s v="FY21"/>
    <s v="t"/>
    <n v="0"/>
    <n v="0"/>
    <n v="8.3999999999999995E-3"/>
    <n v="8.3999999999999995E-3"/>
    <n v="0"/>
    <n v="0"/>
    <n v="1"/>
    <n v="1"/>
    <n v="0"/>
    <n v="0"/>
    <n v="100"/>
    <s v="Consolidation"/>
    <s v="CO2e and Base Measure"/>
    <n v="100"/>
    <n v="100"/>
    <n v="0.01"/>
    <m/>
    <m/>
    <m/>
    <m/>
    <m/>
    <m/>
    <m/>
    <m/>
    <m/>
    <m/>
    <m/>
    <m/>
    <m/>
    <s v="AUD"/>
    <s v="13576270Waste Recycled - E-waste [t]"/>
    <n v="13576270"/>
  </r>
  <r>
    <d v="2019-07-01T00:00:00"/>
    <d v="2021-06-30T00:00:00"/>
    <s v="Telstra"/>
    <s v="NETWORK"/>
    <s v="Network - InfraCo"/>
    <s v="NSW"/>
    <s v="Australia"/>
    <s v="Leura"/>
    <s v="WENTWORTH FALLS EXCHANGE"/>
    <n v="423030264800"/>
    <s v="Waste"/>
    <x v="1"/>
    <x v="2"/>
    <s v="Account"/>
    <s v="Remondis General Waste"/>
    <m/>
    <s v="423030264800_WGENERALW"/>
    <s v="GENERAL WASTE"/>
    <s v="Remondis"/>
    <m/>
    <m/>
    <d v="2020-10-01T00:00:00"/>
    <d v="2020-07-01T00:00:00"/>
    <s v="FY21"/>
    <s v="t"/>
    <n v="0"/>
    <n v="0.19500000000000001"/>
    <n v="0"/>
    <n v="0.19500000000000001"/>
    <n v="0"/>
    <n v="2"/>
    <n v="0"/>
    <n v="2"/>
    <n v="0"/>
    <n v="100"/>
    <n v="0"/>
    <s v="Consolidation"/>
    <s v="CO2e and Base Measure"/>
    <n v="100"/>
    <n v="100"/>
    <n v="0.2"/>
    <m/>
    <m/>
    <m/>
    <m/>
    <m/>
    <n v="0.2535"/>
    <m/>
    <n v="0.2535"/>
    <m/>
    <m/>
    <m/>
    <m/>
    <m/>
    <s v="AUD"/>
    <s v="13564314Waste - General [t] - Scope 3"/>
    <n v="13564314"/>
  </r>
  <r>
    <d v="2019-07-01T00:00:00"/>
    <d v="2021-06-30T00:00:00"/>
    <s v="Telstra"/>
    <s v="NETWORK"/>
    <s v="Network - InfraCo"/>
    <s v="NSW"/>
    <s v="Australia"/>
    <s v="Leura"/>
    <s v="WENTWORTH FALLS EXCHANGE"/>
    <n v="423030264800"/>
    <s v="Waste"/>
    <x v="1"/>
    <x v="2"/>
    <s v="Account"/>
    <s v="Remondis General Waste"/>
    <m/>
    <s v="423030264800_WGENERALW"/>
    <s v="GENERAL WASTE"/>
    <s v="Remondis"/>
    <m/>
    <m/>
    <d v="2020-10-01T00:00:00"/>
    <d v="2020-08-01T00:00:00"/>
    <s v="FY21"/>
    <s v="t"/>
    <n v="0"/>
    <n v="0.19500000000000001"/>
    <n v="0"/>
    <n v="0.19500000000000001"/>
    <n v="0"/>
    <n v="2"/>
    <n v="0"/>
    <n v="2"/>
    <n v="0"/>
    <n v="100"/>
    <n v="0"/>
    <s v="Consolidation"/>
    <s v="CO2e and Base Measure"/>
    <n v="100"/>
    <n v="100"/>
    <n v="0.2"/>
    <m/>
    <m/>
    <m/>
    <m/>
    <m/>
    <n v="0.2535"/>
    <m/>
    <n v="0.2535"/>
    <m/>
    <m/>
    <m/>
    <m/>
    <m/>
    <s v="AUD"/>
    <s v="13564314Waste - General [t] - Scope 3"/>
    <n v="13564314"/>
  </r>
  <r>
    <d v="2019-07-01T00:00:00"/>
    <d v="2021-06-30T00:00:00"/>
    <s v="Telstra"/>
    <s v="NETWORK"/>
    <s v="Network - InfraCo"/>
    <s v="NSW"/>
    <s v="Australia"/>
    <s v="Leura"/>
    <s v="WENTWORTH FALLS EXCHANGE"/>
    <n v="423030264800"/>
    <s v="Waste"/>
    <x v="1"/>
    <x v="2"/>
    <s v="Account"/>
    <s v="Remondis General Waste"/>
    <m/>
    <s v="423030264800_WGENERALW"/>
    <s v="GENERAL WASTE"/>
    <s v="Remondis"/>
    <m/>
    <m/>
    <d v="2020-10-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314Waste - General [t] - Scope 3"/>
    <n v="13564314"/>
  </r>
  <r>
    <d v="2019-07-01T00:00:00"/>
    <d v="2021-06-30T00:00:00"/>
    <s v="Telstra"/>
    <s v="NETWORK"/>
    <s v="Network - InfraCo"/>
    <s v="NSW"/>
    <s v="Australia"/>
    <s v="Leura"/>
    <s v="WENTWORTH FALLS EXCHANGE"/>
    <n v="423030264800"/>
    <s v="Waste"/>
    <x v="1"/>
    <x v="2"/>
    <s v="Account"/>
    <s v="Remondis General Waste"/>
    <m/>
    <s v="423030264800_WGENERALW"/>
    <s v="GENERAL WASTE"/>
    <s v="Remondis"/>
    <m/>
    <m/>
    <d v="2020-10-01T00:00:00"/>
    <d v="2020-10-01T00:00:00"/>
    <s v="FY21"/>
    <s v="t"/>
    <n v="0"/>
    <n v="0"/>
    <n v="7.3000000000000001E-3"/>
    <n v="7.3000000000000001E-3"/>
    <n v="0"/>
    <n v="0"/>
    <n v="1"/>
    <n v="1"/>
    <n v="0"/>
    <n v="0"/>
    <n v="100"/>
    <s v="Consolidation"/>
    <s v="CO2e and Base Measure"/>
    <n v="100"/>
    <n v="100"/>
    <n v="0.01"/>
    <m/>
    <m/>
    <m/>
    <m/>
    <m/>
    <n v="9.4999999999999998E-3"/>
    <m/>
    <n v="9.4999999999999998E-3"/>
    <m/>
    <m/>
    <m/>
    <m/>
    <m/>
    <s v="AUD"/>
    <s v="13564314Waste - General [t] - Scope 3"/>
    <n v="13564314"/>
  </r>
  <r>
    <d v="2019-07-01T00:00:00"/>
    <d v="2021-06-30T00:00:00"/>
    <s v="Telstra"/>
    <s v="NETWORK"/>
    <s v="Network - InfraCo"/>
    <s v="NSW"/>
    <s v="Australia"/>
    <s v="Holmesville"/>
    <s v="WEST WALLSEND"/>
    <n v="423030312300"/>
    <s v="Waste"/>
    <x v="1"/>
    <x v="2"/>
    <s v="Account"/>
    <s v="Remondis General Waste"/>
    <m/>
    <s v="4230303123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521Waste - General [t] - Scope 3"/>
    <n v="13564521"/>
  </r>
  <r>
    <d v="2019-07-01T00:00:00"/>
    <d v="2021-06-30T00:00:00"/>
    <s v="Telstra"/>
    <s v="NETWORK"/>
    <s v="Network - InfraCo"/>
    <s v="NSW"/>
    <s v="Australia"/>
    <s v="Holmesville"/>
    <s v="WEST WALLSEND"/>
    <n v="423030312300"/>
    <s v="Waste"/>
    <x v="1"/>
    <x v="2"/>
    <s v="Account"/>
    <s v="Remondis General Waste"/>
    <m/>
    <s v="423030312300_WGENERALW"/>
    <s v="GENERAL WASTE"/>
    <s v="Remondis"/>
    <m/>
    <m/>
    <d v="2020-12-01T00:00:00"/>
    <d v="2020-12-01T00:00:00"/>
    <s v="FY21"/>
    <s v="t"/>
    <n v="0"/>
    <n v="0"/>
    <n v="3.3999999999999998E-3"/>
    <n v="3.3999999999999998E-3"/>
    <n v="0"/>
    <n v="0"/>
    <n v="1"/>
    <n v="1"/>
    <n v="0"/>
    <n v="0"/>
    <n v="100"/>
    <s v="Consolidation"/>
    <s v="CO2e and Base Measure"/>
    <n v="100"/>
    <n v="100"/>
    <n v="0"/>
    <m/>
    <m/>
    <m/>
    <m/>
    <m/>
    <n v="4.4000000000000003E-3"/>
    <m/>
    <n v="4.4000000000000003E-3"/>
    <m/>
    <m/>
    <m/>
    <m/>
    <m/>
    <s v="AUD"/>
    <s v="13564521Waste - General [t] - Scope 3"/>
    <n v="1356452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531Waste - General [t] - Scope 3"/>
    <n v="1356453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531Waste - General [t] - Scope 3"/>
    <n v="1356453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531Waste - General [t] - Scope 3"/>
    <n v="1356453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531Waste - General [t] - Scope 3"/>
    <n v="1356453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12-01T00:00:00"/>
    <s v="FY21"/>
    <s v="t"/>
    <n v="0"/>
    <n v="0"/>
    <n v="2.7000000000000001E-3"/>
    <n v="2.7000000000000001E-3"/>
    <n v="0"/>
    <n v="0"/>
    <n v="1"/>
    <n v="1"/>
    <n v="0"/>
    <n v="0"/>
    <n v="100"/>
    <s v="Consolidation"/>
    <s v="CO2e and Base Measure"/>
    <n v="100"/>
    <n v="100"/>
    <n v="0"/>
    <m/>
    <m/>
    <m/>
    <m/>
    <m/>
    <n v="3.5000000000000001E-3"/>
    <m/>
    <n v="3.5000000000000001E-3"/>
    <m/>
    <m/>
    <m/>
    <m/>
    <m/>
    <s v="AUD"/>
    <s v="13564531Waste - General [t] - Scope 3"/>
    <n v="13564531"/>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493Waste - General [t] - Scope 3"/>
    <n v="13565493"/>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07-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08-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09-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10-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11-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12-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1-01T00:00:00"/>
    <s v="FY21"/>
    <s v="t"/>
    <n v="0"/>
    <n v="0"/>
    <n v="1.24E-2"/>
    <n v="1.24E-2"/>
    <n v="0"/>
    <n v="0"/>
    <n v="31"/>
    <n v="31"/>
    <n v="0"/>
    <n v="0"/>
    <n v="10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2-01T00:00:00"/>
    <s v="FY21"/>
    <s v="t"/>
    <n v="0"/>
    <n v="0"/>
    <n v="1.12E-2"/>
    <n v="1.12E-2"/>
    <n v="0"/>
    <n v="0"/>
    <n v="28"/>
    <n v="28"/>
    <n v="0"/>
    <n v="0"/>
    <n v="10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3-01T00:00:00"/>
    <s v="FY21"/>
    <s v="t"/>
    <n v="0"/>
    <n v="0"/>
    <n v="1.24E-2"/>
    <n v="1.24E-2"/>
    <n v="0"/>
    <n v="0"/>
    <n v="31"/>
    <n v="31"/>
    <n v="0"/>
    <n v="0"/>
    <n v="10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4-01T00:00:00"/>
    <s v="FY21"/>
    <s v="t"/>
    <n v="0"/>
    <n v="0"/>
    <n v="1.2E-2"/>
    <n v="1.2E-2"/>
    <n v="0"/>
    <n v="0"/>
    <n v="30"/>
    <n v="30"/>
    <n v="0"/>
    <n v="0"/>
    <n v="10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5-01T00:00:00"/>
    <s v="FY21"/>
    <s v="t"/>
    <n v="0"/>
    <n v="0"/>
    <n v="1.24E-2"/>
    <n v="1.24E-2"/>
    <n v="0"/>
    <n v="0"/>
    <n v="31"/>
    <n v="31"/>
    <n v="0"/>
    <n v="0"/>
    <n v="100"/>
    <s v="Consolidation"/>
    <s v="CO2e and Base Measure"/>
    <n v="100"/>
    <n v="100"/>
    <n v="0.01"/>
    <m/>
    <m/>
    <m/>
    <m/>
    <m/>
    <m/>
    <m/>
    <m/>
    <m/>
    <m/>
    <m/>
    <m/>
    <m/>
    <s v="AUD"/>
    <s v="13566455Waste Recycled - Paper and Cardboard [t]"/>
    <n v="13566455"/>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07-01T00:00:00"/>
    <s v="FY21"/>
    <s v="t"/>
    <n v="2.7E-2"/>
    <n v="0"/>
    <n v="0"/>
    <n v="2.7E-2"/>
    <n v="2"/>
    <n v="0"/>
    <n v="0"/>
    <n v="2"/>
    <n v="100"/>
    <n v="0"/>
    <n v="0"/>
    <s v="Consolidation"/>
    <s v="CO2e and Base Measure"/>
    <n v="100"/>
    <n v="100"/>
    <n v="0.03"/>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08-01T00:00:00"/>
    <s v="FY21"/>
    <s v="t"/>
    <n v="1.35E-2"/>
    <n v="0"/>
    <n v="0"/>
    <n v="1.35E-2"/>
    <n v="1"/>
    <n v="0"/>
    <n v="0"/>
    <n v="1"/>
    <n v="100"/>
    <n v="0"/>
    <n v="0"/>
    <s v="Consolidation"/>
    <s v="CO2e and Base Measure"/>
    <n v="100"/>
    <n v="100"/>
    <n v="0.01"/>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09-01T00:00:00"/>
    <s v="FY21"/>
    <s v="t"/>
    <n v="2E-3"/>
    <n v="0"/>
    <n v="0"/>
    <n v="2E-3"/>
    <n v="1"/>
    <n v="0"/>
    <n v="0"/>
    <n v="1"/>
    <n v="100"/>
    <n v="0"/>
    <n v="0"/>
    <s v="Consolidation"/>
    <s v="CO2e and Base Measure"/>
    <n v="100"/>
    <n v="100"/>
    <n v="0"/>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10-01T00:00:00"/>
    <s v="FY21"/>
    <s v="t"/>
    <n v="2.7E-2"/>
    <n v="0"/>
    <n v="0"/>
    <n v="2.7E-2"/>
    <n v="1"/>
    <n v="0"/>
    <n v="0"/>
    <n v="1"/>
    <n v="100"/>
    <n v="0"/>
    <n v="0"/>
    <s v="Consolidation"/>
    <s v="CO2e and Base Measure"/>
    <n v="100"/>
    <n v="100"/>
    <n v="0.03"/>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11-01T00:00:00"/>
    <s v="FY21"/>
    <s v="t"/>
    <n v="2.7E-2"/>
    <n v="0"/>
    <n v="0"/>
    <n v="2.7E-2"/>
    <n v="1"/>
    <n v="0"/>
    <n v="0"/>
    <n v="1"/>
    <n v="100"/>
    <n v="0"/>
    <n v="0"/>
    <s v="Consolidation"/>
    <s v="CO2e and Base Measure"/>
    <n v="100"/>
    <n v="100"/>
    <n v="0.03"/>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12-01T00:00:00"/>
    <s v="FY21"/>
    <s v="t"/>
    <n v="2.7E-2"/>
    <n v="0"/>
    <n v="0"/>
    <n v="2.7E-2"/>
    <n v="1"/>
    <n v="0"/>
    <n v="0"/>
    <n v="1"/>
    <n v="100"/>
    <n v="0"/>
    <n v="0"/>
    <s v="Consolidation"/>
    <s v="CO2e and Base Measure"/>
    <n v="100"/>
    <n v="100"/>
    <n v="0.03"/>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626Waste Recycled - Paper and Cardboard [t]"/>
    <n v="13566626"/>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07-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08-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09-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10-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11-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12-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1-01T00:00:00"/>
    <s v="FY21"/>
    <s v="t"/>
    <n v="0"/>
    <n v="0"/>
    <n v="1.55E-2"/>
    <n v="1.55E-2"/>
    <n v="0"/>
    <n v="0"/>
    <n v="31"/>
    <n v="31"/>
    <n v="0"/>
    <n v="0"/>
    <n v="100"/>
    <s v="Consolidation"/>
    <s v="CO2e and Base Measure"/>
    <n v="100"/>
    <n v="100"/>
    <n v="0.02"/>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2-01T00:00:00"/>
    <s v="FY21"/>
    <s v="t"/>
    <n v="0"/>
    <n v="0"/>
    <n v="1.4E-2"/>
    <n v="1.4E-2"/>
    <n v="0"/>
    <n v="0"/>
    <n v="28"/>
    <n v="28"/>
    <n v="0"/>
    <n v="0"/>
    <n v="10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3-01T00:00:00"/>
    <s v="FY21"/>
    <s v="t"/>
    <n v="0"/>
    <n v="0"/>
    <n v="1.55E-2"/>
    <n v="1.55E-2"/>
    <n v="0"/>
    <n v="0"/>
    <n v="31"/>
    <n v="31"/>
    <n v="0"/>
    <n v="0"/>
    <n v="100"/>
    <s v="Consolidation"/>
    <s v="CO2e and Base Measure"/>
    <n v="100"/>
    <n v="100"/>
    <n v="0.02"/>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5-01T00:00:00"/>
    <s v="FY21"/>
    <s v="t"/>
    <n v="0"/>
    <n v="0"/>
    <n v="1.55E-2"/>
    <n v="1.55E-2"/>
    <n v="0"/>
    <n v="0"/>
    <n v="31"/>
    <n v="31"/>
    <n v="0"/>
    <n v="0"/>
    <n v="100"/>
    <s v="Consolidation"/>
    <s v="CO2e and Base Measure"/>
    <n v="100"/>
    <n v="100"/>
    <n v="0.02"/>
    <m/>
    <m/>
    <m/>
    <m/>
    <m/>
    <m/>
    <m/>
    <m/>
    <m/>
    <m/>
    <m/>
    <m/>
    <m/>
    <s v="AUD"/>
    <s v="13566591Waste Recycled - Paper and Cardboard [t]"/>
    <n v="13566591"/>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0-07-01T00:00:00"/>
    <s v="FY21"/>
    <s v="t"/>
    <n v="2.7E-2"/>
    <n v="0"/>
    <n v="0"/>
    <n v="2.7E-2"/>
    <n v="1"/>
    <n v="0"/>
    <n v="0"/>
    <n v="1"/>
    <n v="100"/>
    <n v="0"/>
    <n v="0"/>
    <s v="Consolidation"/>
    <s v="CO2e and Base Measure"/>
    <n v="100"/>
    <n v="100"/>
    <n v="0.03"/>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0-09-01T00:00:00"/>
    <s v="FY21"/>
    <s v="t"/>
    <n v="2E-3"/>
    <n v="0"/>
    <n v="0"/>
    <n v="2E-3"/>
    <n v="1"/>
    <n v="0"/>
    <n v="0"/>
    <n v="1"/>
    <n v="100"/>
    <n v="0"/>
    <n v="0"/>
    <s v="Consolidation"/>
    <s v="CO2e and Base Measure"/>
    <n v="100"/>
    <n v="100"/>
    <n v="0"/>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0-10-01T00:00:00"/>
    <s v="FY21"/>
    <s v="t"/>
    <n v="2.7E-2"/>
    <n v="0"/>
    <n v="0"/>
    <n v="2.7E-2"/>
    <n v="1"/>
    <n v="0"/>
    <n v="0"/>
    <n v="1"/>
    <n v="100"/>
    <n v="0"/>
    <n v="0"/>
    <s v="Consolidation"/>
    <s v="CO2e and Base Measure"/>
    <n v="100"/>
    <n v="100"/>
    <n v="0.03"/>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0-12-01T00:00:00"/>
    <s v="FY21"/>
    <s v="t"/>
    <n v="2.7E-2"/>
    <n v="0"/>
    <n v="0"/>
    <n v="2.7E-2"/>
    <n v="1"/>
    <n v="0"/>
    <n v="0"/>
    <n v="1"/>
    <n v="100"/>
    <n v="0"/>
    <n v="0"/>
    <s v="Consolidation"/>
    <s v="CO2e and Base Measure"/>
    <n v="100"/>
    <n v="100"/>
    <n v="0.03"/>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1-01T00:00:00"/>
    <s v="FY21"/>
    <s v="t"/>
    <n v="0"/>
    <n v="0"/>
    <n v="1.55E-2"/>
    <n v="1.55E-2"/>
    <n v="0"/>
    <n v="0"/>
    <n v="31"/>
    <n v="31"/>
    <n v="0"/>
    <n v="0"/>
    <n v="100"/>
    <s v="Consolidation"/>
    <s v="CO2e and Base Measure"/>
    <n v="100"/>
    <n v="100"/>
    <n v="0.02"/>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2-01T00:00:00"/>
    <s v="FY21"/>
    <s v="t"/>
    <n v="0"/>
    <n v="0"/>
    <n v="1.4E-2"/>
    <n v="1.4E-2"/>
    <n v="0"/>
    <n v="0"/>
    <n v="28"/>
    <n v="28"/>
    <n v="0"/>
    <n v="0"/>
    <n v="100"/>
    <s v="Consolidation"/>
    <s v="CO2e and Base Measure"/>
    <n v="100"/>
    <n v="100"/>
    <n v="0.01"/>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3-01T00:00:00"/>
    <s v="FY21"/>
    <s v="t"/>
    <n v="0"/>
    <n v="0"/>
    <n v="1.55E-2"/>
    <n v="1.55E-2"/>
    <n v="0"/>
    <n v="0"/>
    <n v="31"/>
    <n v="31"/>
    <n v="0"/>
    <n v="0"/>
    <n v="100"/>
    <s v="Consolidation"/>
    <s v="CO2e and Base Measure"/>
    <n v="100"/>
    <n v="100"/>
    <n v="0.02"/>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5-01T00:00:00"/>
    <s v="FY21"/>
    <s v="t"/>
    <n v="0"/>
    <n v="0"/>
    <n v="1.55E-2"/>
    <n v="1.55E-2"/>
    <n v="0"/>
    <n v="0"/>
    <n v="31"/>
    <n v="31"/>
    <n v="0"/>
    <n v="0"/>
    <n v="100"/>
    <s v="Consolidation"/>
    <s v="CO2e and Base Measure"/>
    <n v="100"/>
    <n v="100"/>
    <n v="0.02"/>
    <m/>
    <m/>
    <m/>
    <m/>
    <m/>
    <m/>
    <m/>
    <m/>
    <m/>
    <m/>
    <m/>
    <m/>
    <m/>
    <s v="AUD"/>
    <s v="13566490Waste Recycled - Paper and Cardboard [t]"/>
    <n v="135664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07-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08-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09-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10-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11-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12-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1-01T00:00:00"/>
    <s v="FY21"/>
    <s v="t"/>
    <n v="0"/>
    <n v="0"/>
    <n v="1.24E-2"/>
    <n v="1.24E-2"/>
    <n v="0"/>
    <n v="0"/>
    <n v="31"/>
    <n v="31"/>
    <n v="0"/>
    <n v="0"/>
    <n v="10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2-01T00:00:00"/>
    <s v="FY21"/>
    <s v="t"/>
    <n v="0"/>
    <n v="0"/>
    <n v="1.12E-2"/>
    <n v="1.12E-2"/>
    <n v="0"/>
    <n v="0"/>
    <n v="28"/>
    <n v="28"/>
    <n v="0"/>
    <n v="0"/>
    <n v="10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3-01T00:00:00"/>
    <s v="FY21"/>
    <s v="t"/>
    <n v="0"/>
    <n v="0"/>
    <n v="1.24E-2"/>
    <n v="1.24E-2"/>
    <n v="0"/>
    <n v="0"/>
    <n v="31"/>
    <n v="31"/>
    <n v="0"/>
    <n v="0"/>
    <n v="10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4-01T00:00:00"/>
    <s v="FY21"/>
    <s v="t"/>
    <n v="0"/>
    <n v="0"/>
    <n v="1.2E-2"/>
    <n v="1.2E-2"/>
    <n v="0"/>
    <n v="0"/>
    <n v="30"/>
    <n v="30"/>
    <n v="0"/>
    <n v="0"/>
    <n v="10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5-01T00:00:00"/>
    <s v="FY21"/>
    <s v="t"/>
    <n v="0"/>
    <n v="0"/>
    <n v="1.24E-2"/>
    <n v="1.24E-2"/>
    <n v="0"/>
    <n v="0"/>
    <n v="31"/>
    <n v="31"/>
    <n v="0"/>
    <n v="0"/>
    <n v="100"/>
    <s v="Consolidation"/>
    <s v="CO2e and Base Measure"/>
    <n v="100"/>
    <n v="100"/>
    <n v="0.01"/>
    <m/>
    <m/>
    <m/>
    <m/>
    <m/>
    <m/>
    <m/>
    <m/>
    <m/>
    <m/>
    <m/>
    <m/>
    <m/>
    <s v="AUD"/>
    <s v="13566590Waste Recycled - Paper and Cardboard [t]"/>
    <n v="1356659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07-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08-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09-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10-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11-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12-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1-01T00:00:00"/>
    <s v="FY21"/>
    <s v="t"/>
    <n v="0"/>
    <n v="0"/>
    <n v="1.24E-2"/>
    <n v="1.24E-2"/>
    <n v="0"/>
    <n v="0"/>
    <n v="31"/>
    <n v="31"/>
    <n v="0"/>
    <n v="0"/>
    <n v="10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2-01T00:00:00"/>
    <s v="FY21"/>
    <s v="t"/>
    <n v="0"/>
    <n v="0"/>
    <n v="1.12E-2"/>
    <n v="1.12E-2"/>
    <n v="0"/>
    <n v="0"/>
    <n v="28"/>
    <n v="28"/>
    <n v="0"/>
    <n v="0"/>
    <n v="10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3-01T00:00:00"/>
    <s v="FY21"/>
    <s v="t"/>
    <n v="0"/>
    <n v="0"/>
    <n v="1.24E-2"/>
    <n v="1.24E-2"/>
    <n v="0"/>
    <n v="0"/>
    <n v="31"/>
    <n v="31"/>
    <n v="0"/>
    <n v="0"/>
    <n v="10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4-01T00:00:00"/>
    <s v="FY21"/>
    <s v="t"/>
    <n v="0"/>
    <n v="0"/>
    <n v="1.2E-2"/>
    <n v="1.2E-2"/>
    <n v="0"/>
    <n v="0"/>
    <n v="30"/>
    <n v="30"/>
    <n v="0"/>
    <n v="0"/>
    <n v="10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5-01T00:00:00"/>
    <s v="FY21"/>
    <s v="t"/>
    <n v="0"/>
    <n v="0"/>
    <n v="1.24E-2"/>
    <n v="1.24E-2"/>
    <n v="0"/>
    <n v="0"/>
    <n v="31"/>
    <n v="31"/>
    <n v="0"/>
    <n v="0"/>
    <n v="100"/>
    <s v="Consolidation"/>
    <s v="CO2e and Base Measure"/>
    <n v="100"/>
    <n v="100"/>
    <n v="0.01"/>
    <m/>
    <m/>
    <m/>
    <m/>
    <m/>
    <m/>
    <m/>
    <m/>
    <m/>
    <m/>
    <m/>
    <m/>
    <m/>
    <s v="AUD"/>
    <s v="13566450Waste Recycled - Paper and Cardboard [t]"/>
    <n v="13566450"/>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0-08-01T00:00:00"/>
    <s v="FY21"/>
    <s v="t"/>
    <n v="1.35E-2"/>
    <n v="0"/>
    <n v="0"/>
    <n v="1.35E-2"/>
    <n v="1"/>
    <n v="0"/>
    <n v="0"/>
    <n v="1"/>
    <n v="100"/>
    <n v="0"/>
    <n v="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0-10-01T00:00:00"/>
    <s v="FY21"/>
    <s v="t"/>
    <n v="1.35E-2"/>
    <n v="0"/>
    <n v="0"/>
    <n v="1.35E-2"/>
    <n v="1"/>
    <n v="0"/>
    <n v="0"/>
    <n v="1"/>
    <n v="100"/>
    <n v="0"/>
    <n v="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0-12-01T00:00:00"/>
    <s v="FY21"/>
    <s v="t"/>
    <n v="1.35E-2"/>
    <n v="0"/>
    <n v="0"/>
    <n v="1.35E-2"/>
    <n v="1"/>
    <n v="0"/>
    <n v="0"/>
    <n v="1"/>
    <n v="100"/>
    <n v="0"/>
    <n v="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Liverpool"/>
    <s v="WETHERILL PARK EXCHANGE"/>
    <n v="423030315500"/>
    <s v="Recycled Waste"/>
    <x v="0"/>
    <x v="0"/>
    <s v="Account"/>
    <s v="Remondis Cardboard - Loose - Recycled"/>
    <m/>
    <s v="423030315500_RCARDBOAR"/>
    <s v="CARDBOARD - LOOSE - RECYCLED"/>
    <s v="Remondis"/>
    <m/>
    <m/>
    <d v="2020-10-01T00:00:00"/>
    <d v="2020-07-01T00:00:00"/>
    <s v="FY21"/>
    <s v="t"/>
    <n v="0.13500000000000001"/>
    <n v="6.3E-2"/>
    <n v="0"/>
    <n v="0.19800000000000001"/>
    <n v="2"/>
    <n v="1"/>
    <n v="0"/>
    <n v="3"/>
    <n v="68.180000000000007"/>
    <n v="31.81"/>
    <n v="0"/>
    <s v="Consolidation"/>
    <s v="CO2e and Base Measure"/>
    <n v="100"/>
    <n v="100"/>
    <n v="0.2"/>
    <m/>
    <m/>
    <m/>
    <m/>
    <m/>
    <m/>
    <n v="0"/>
    <m/>
    <m/>
    <m/>
    <m/>
    <m/>
    <m/>
    <s v="AUD"/>
    <s v="13564533Waste Recycled - Cardboard [t]"/>
    <n v="13564533"/>
  </r>
  <r>
    <d v="2019-07-01T00:00:00"/>
    <d v="2021-06-30T00:00:00"/>
    <s v="Telstra"/>
    <s v="NETWORK"/>
    <s v="Network - InfraCo"/>
    <s v="NSW"/>
    <s v="Australia"/>
    <s v="Liverpool"/>
    <s v="WETHERILL PARK EXCHANGE"/>
    <n v="423030315500"/>
    <s v="Recycled Waste"/>
    <x v="0"/>
    <x v="0"/>
    <s v="Account"/>
    <s v="Remondis Cardboard - Loose - Recycled"/>
    <m/>
    <s v="423030315500_RCARDBOAR"/>
    <s v="CARDBOARD - LOOSE - RECYCLED"/>
    <s v="Remondis"/>
    <m/>
    <m/>
    <d v="2020-10-01T00:00:00"/>
    <d v="2020-08-01T00:00:00"/>
    <s v="FY21"/>
    <s v="t"/>
    <n v="6.5000000000000002E-2"/>
    <n v="6.3E-2"/>
    <n v="0"/>
    <n v="0.128"/>
    <n v="1"/>
    <n v="1"/>
    <n v="0"/>
    <n v="2"/>
    <n v="50.78"/>
    <n v="49.21"/>
    <n v="0"/>
    <s v="Consolidation"/>
    <s v="CO2e and Base Measure"/>
    <n v="100"/>
    <n v="100"/>
    <n v="0.13"/>
    <m/>
    <m/>
    <m/>
    <m/>
    <m/>
    <m/>
    <n v="0"/>
    <m/>
    <m/>
    <m/>
    <m/>
    <m/>
    <m/>
    <s v="AUD"/>
    <s v="13564533Waste Recycled - Cardboard [t]"/>
    <n v="13564533"/>
  </r>
  <r>
    <d v="2019-07-01T00:00:00"/>
    <d v="2021-06-30T00:00:00"/>
    <s v="Telstra"/>
    <s v="NETWORK"/>
    <s v="Network - InfraCo"/>
    <s v="NSW"/>
    <s v="Australia"/>
    <s v="Liverpool"/>
    <s v="WETHERILL PARK EXCHANGE"/>
    <n v="423030315500"/>
    <s v="Recycled Waste"/>
    <x v="0"/>
    <x v="0"/>
    <s v="Account"/>
    <s v="Remondis Cardboard - Loose - Recycled"/>
    <m/>
    <s v="423030315500_RCARDBOAR"/>
    <s v="CARDBOARD - LOOSE - RECYCLED"/>
    <s v="Remondis"/>
    <m/>
    <m/>
    <d v="2020-10-01T00:00:00"/>
    <d v="2020-09-01T00:00:00"/>
    <s v="FY21"/>
    <s v="t"/>
    <n v="9.5000000000000001E-2"/>
    <n v="0"/>
    <n v="0"/>
    <n v="9.5000000000000001E-2"/>
    <n v="1"/>
    <n v="0"/>
    <n v="0"/>
    <n v="1"/>
    <n v="100"/>
    <n v="0"/>
    <n v="0"/>
    <s v="Consolidation"/>
    <s v="CO2e and Base Measure"/>
    <n v="100"/>
    <n v="100"/>
    <n v="0.1"/>
    <m/>
    <m/>
    <m/>
    <m/>
    <m/>
    <m/>
    <n v="0"/>
    <m/>
    <m/>
    <m/>
    <m/>
    <m/>
    <m/>
    <s v="AUD"/>
    <s v="13564533Waste Recycled - Cardboard [t]"/>
    <n v="13564533"/>
  </r>
  <r>
    <d v="2019-07-01T00:00:00"/>
    <d v="2021-06-30T00:00:00"/>
    <s v="Telstra"/>
    <s v="NETWORK"/>
    <s v="Network - InfraCo"/>
    <s v="NSW"/>
    <s v="Australia"/>
    <s v="Liverpool"/>
    <s v="WETHERILL PARK EXCHANGE"/>
    <n v="423030315500"/>
    <s v="Recycled Waste"/>
    <x v="0"/>
    <x v="0"/>
    <s v="Account"/>
    <s v="Remondis Cardboard - Loose - Recycled"/>
    <m/>
    <s v="423030315500_RCARDBOAR"/>
    <s v="CARDBOARD - LOOSE - RECYCLED"/>
    <s v="Remondis"/>
    <m/>
    <m/>
    <d v="2020-10-01T00:00:00"/>
    <d v="2020-10-01T00:00:00"/>
    <s v="FY21"/>
    <s v="t"/>
    <n v="0"/>
    <n v="0"/>
    <n v="4.1000000000000003E-3"/>
    <n v="4.1000000000000003E-3"/>
    <n v="0"/>
    <n v="0"/>
    <n v="1"/>
    <n v="1"/>
    <n v="0"/>
    <n v="0"/>
    <n v="100"/>
    <s v="Consolidation"/>
    <s v="CO2e and Base Measure"/>
    <n v="100"/>
    <n v="100"/>
    <n v="0"/>
    <m/>
    <m/>
    <m/>
    <m/>
    <m/>
    <m/>
    <n v="0"/>
    <m/>
    <m/>
    <m/>
    <m/>
    <m/>
    <m/>
    <s v="AUD"/>
    <s v="13564533Waste Recycled - Cardboard [t]"/>
    <n v="13564533"/>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07-01T00:00:00"/>
    <s v="FY21"/>
    <s v="t"/>
    <n v="0.74"/>
    <n v="0"/>
    <n v="0"/>
    <n v="0.74"/>
    <n v="2"/>
    <n v="0"/>
    <n v="0"/>
    <n v="2"/>
    <n v="100"/>
    <n v="0"/>
    <n v="0"/>
    <s v="Consolidation"/>
    <s v="CO2e and Base Measure"/>
    <n v="100"/>
    <n v="100"/>
    <n v="0.74"/>
    <m/>
    <m/>
    <m/>
    <m/>
    <m/>
    <n v="0.96199999999999997"/>
    <m/>
    <n v="0.96199999999999997"/>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08-01T00:00:00"/>
    <s v="FY21"/>
    <s v="t"/>
    <n v="0.51"/>
    <n v="0"/>
    <n v="0"/>
    <n v="0.51"/>
    <n v="2"/>
    <n v="0"/>
    <n v="0"/>
    <n v="2"/>
    <n v="100"/>
    <n v="0"/>
    <n v="0"/>
    <s v="Consolidation"/>
    <s v="CO2e and Base Measure"/>
    <n v="100"/>
    <n v="100"/>
    <n v="0.51"/>
    <m/>
    <m/>
    <m/>
    <m/>
    <m/>
    <n v="0.66300000000000003"/>
    <m/>
    <n v="0.66300000000000003"/>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09-01T00:00:00"/>
    <s v="FY21"/>
    <s v="t"/>
    <n v="0.79500000000000004"/>
    <n v="0"/>
    <n v="0"/>
    <n v="0.79500000000000004"/>
    <n v="2"/>
    <n v="0"/>
    <n v="0"/>
    <n v="2"/>
    <n v="100"/>
    <n v="0"/>
    <n v="0"/>
    <s v="Consolidation"/>
    <s v="CO2e and Base Measure"/>
    <n v="100"/>
    <n v="100"/>
    <n v="0.8"/>
    <m/>
    <m/>
    <m/>
    <m/>
    <m/>
    <n v="1.0335000000000001"/>
    <m/>
    <n v="1.0335000000000001"/>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10-01T00:00:00"/>
    <s v="FY21"/>
    <s v="t"/>
    <n v="0.17"/>
    <n v="0"/>
    <n v="0"/>
    <n v="0.17"/>
    <n v="1"/>
    <n v="0"/>
    <n v="0"/>
    <n v="1"/>
    <n v="100"/>
    <n v="0"/>
    <n v="0"/>
    <s v="Consolidation"/>
    <s v="CO2e and Base Measure"/>
    <n v="100"/>
    <n v="100"/>
    <n v="0.17"/>
    <m/>
    <m/>
    <m/>
    <m/>
    <m/>
    <n v="0.221"/>
    <m/>
    <n v="0.221"/>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11-01T00:00:00"/>
    <s v="FY21"/>
    <s v="t"/>
    <n v="1.1200000000000001"/>
    <n v="0"/>
    <n v="0"/>
    <n v="1.1200000000000001"/>
    <n v="1"/>
    <n v="0"/>
    <n v="0"/>
    <n v="1"/>
    <n v="100"/>
    <n v="0"/>
    <n v="0"/>
    <s v="Consolidation"/>
    <s v="CO2e and Base Measure"/>
    <n v="100"/>
    <n v="100"/>
    <n v="1.1200000000000001"/>
    <m/>
    <m/>
    <m/>
    <m/>
    <m/>
    <n v="1.456"/>
    <m/>
    <n v="1.456"/>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12-01T00:00:00"/>
    <s v="FY21"/>
    <s v="t"/>
    <n v="1"/>
    <n v="0.19500000000000001"/>
    <n v="0"/>
    <n v="1.1950000000000001"/>
    <n v="1"/>
    <n v="1"/>
    <n v="0"/>
    <n v="2"/>
    <n v="83.68"/>
    <n v="16.309999999999999"/>
    <n v="0"/>
    <s v="Consolidation"/>
    <s v="CO2e and Base Measure"/>
    <n v="100"/>
    <n v="100"/>
    <n v="1.2"/>
    <m/>
    <m/>
    <m/>
    <m/>
    <m/>
    <n v="1.5535000000000001"/>
    <m/>
    <n v="1.5535000000000001"/>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1-01-01T00:00:00"/>
    <s v="FY21"/>
    <s v="t"/>
    <n v="0"/>
    <n v="0"/>
    <n v="2.4899999999999999E-2"/>
    <n v="2.4899999999999999E-2"/>
    <n v="0"/>
    <n v="0"/>
    <n v="1"/>
    <n v="1"/>
    <n v="0"/>
    <n v="0"/>
    <n v="100"/>
    <s v="Consolidation"/>
    <s v="CO2e and Base Measure"/>
    <n v="100"/>
    <n v="100"/>
    <n v="0.02"/>
    <m/>
    <m/>
    <m/>
    <m/>
    <m/>
    <n v="3.2399999999999998E-2"/>
    <m/>
    <n v="3.2399999999999998E-2"/>
    <m/>
    <m/>
    <m/>
    <m/>
    <m/>
    <s v="AUD"/>
    <s v="13564535Waste - General [t] - Scope 3"/>
    <n v="13564535"/>
  </r>
  <r>
    <d v="2019-07-01T00:00:00"/>
    <d v="2021-06-30T00:00:00"/>
    <s v="Telstra"/>
    <s v="NETWORK"/>
    <s v="Network - InfraCo"/>
    <s v="NSW"/>
    <s v="Australia"/>
    <s v="Liverpool"/>
    <s v="WETHERILL PARK EXCHANGE"/>
    <n v="423030315500"/>
    <s v="Recycled Waste"/>
    <x v="0"/>
    <x v="5"/>
    <s v="Account"/>
    <s v="Remondis Construction &amp; Demolition - Recycled"/>
    <m/>
    <s v="423030315500_RCONSDEM"/>
    <s v="CONSTRUCTION &amp; DEMOLITION - RECYLED"/>
    <s v="Remondis"/>
    <m/>
    <m/>
    <d v="2020-10-01T00:00:00"/>
    <d v="2020-08-01T00:00:00"/>
    <s v="FY21"/>
    <s v="t"/>
    <n v="2.96"/>
    <n v="0"/>
    <n v="0"/>
    <n v="2.96"/>
    <n v="1"/>
    <n v="0"/>
    <n v="0"/>
    <n v="1"/>
    <n v="100"/>
    <n v="0"/>
    <n v="0"/>
    <s v="Consolidation"/>
    <s v="CO2e and Base Measure"/>
    <n v="100"/>
    <n v="100"/>
    <n v="2.96"/>
    <m/>
    <m/>
    <m/>
    <m/>
    <m/>
    <m/>
    <m/>
    <m/>
    <m/>
    <m/>
    <m/>
    <m/>
    <m/>
    <s v="AUD"/>
    <s v="13596901Waste Recycled - Construction and Demolition [t]"/>
    <n v="13596901"/>
  </r>
  <r>
    <d v="2019-07-01T00:00:00"/>
    <d v="2021-06-30T00:00:00"/>
    <s v="Telstra"/>
    <s v="NETWORK"/>
    <s v="Network - InfraCo"/>
    <s v="NSW"/>
    <s v="Australia"/>
    <s v="Liverpool"/>
    <s v="WETHERILL PARK EXCHANGE"/>
    <n v="423030315500"/>
    <s v="Recycled Waste"/>
    <x v="0"/>
    <x v="5"/>
    <s v="Account"/>
    <s v="Remondis Construction &amp; Demolition - Recycled"/>
    <m/>
    <s v="423030315500_RCONSDEM"/>
    <s v="CONSTRUCTION &amp; DEMOLITION - RECYLED"/>
    <s v="Remondis"/>
    <m/>
    <m/>
    <d v="2020-10-01T00:00:00"/>
    <d v="2020-09-01T00:00:00"/>
    <s v="FY21"/>
    <s v="t"/>
    <n v="1.22"/>
    <n v="0"/>
    <n v="0"/>
    <n v="1.22"/>
    <n v="1"/>
    <n v="0"/>
    <n v="0"/>
    <n v="1"/>
    <n v="100"/>
    <n v="0"/>
    <n v="0"/>
    <s v="Consolidation"/>
    <s v="CO2e and Base Measure"/>
    <n v="100"/>
    <n v="100"/>
    <n v="1.22"/>
    <m/>
    <m/>
    <m/>
    <m/>
    <m/>
    <m/>
    <m/>
    <m/>
    <m/>
    <m/>
    <m/>
    <m/>
    <m/>
    <s v="AUD"/>
    <s v="13596901Waste Recycled - Construction and Demolition [t]"/>
    <n v="13596901"/>
  </r>
  <r>
    <d v="2019-07-01T00:00:00"/>
    <d v="2021-06-30T00:00:00"/>
    <s v="Telstra"/>
    <s v="NETWORK"/>
    <s v="Network - InfraCo"/>
    <s v="NSW"/>
    <s v="Australia"/>
    <s v="Liverpool"/>
    <s v="WETHERILL PARK EXCHANGE"/>
    <n v="423030315500"/>
    <s v="Recycled Waste"/>
    <x v="0"/>
    <x v="5"/>
    <s v="Account"/>
    <s v="Remondis Construction &amp; Demolition - Recycled"/>
    <m/>
    <s v="423030315500_RCONSDEM"/>
    <s v="CONSTRUCTION &amp; DEMOLITION - RECYLED"/>
    <s v="Remondis"/>
    <m/>
    <m/>
    <d v="2020-10-01T00:00:00"/>
    <d v="2020-10-01T00:00:00"/>
    <s v="FY21"/>
    <s v="t"/>
    <n v="0"/>
    <n v="0"/>
    <n v="6.9699999999999998E-2"/>
    <n v="6.9699999999999998E-2"/>
    <n v="0"/>
    <n v="0"/>
    <n v="1"/>
    <n v="1"/>
    <n v="0"/>
    <n v="0"/>
    <n v="100"/>
    <s v="Consolidation"/>
    <s v="CO2e and Base Measure"/>
    <n v="100"/>
    <n v="100"/>
    <n v="7.0000000000000007E-2"/>
    <m/>
    <m/>
    <m/>
    <m/>
    <m/>
    <m/>
    <m/>
    <m/>
    <m/>
    <m/>
    <m/>
    <m/>
    <m/>
    <s v="AUD"/>
    <s v="13596901Waste Recycled - Construction and Demolition [t]"/>
    <n v="13596901"/>
  </r>
  <r>
    <d v="2019-07-01T00:00:00"/>
    <d v="2021-06-30T00:00:00"/>
    <s v="Telstra"/>
    <s v="NETWORK"/>
    <s v="Network - InfraCo"/>
    <s v="NSW"/>
    <s v="Australia"/>
    <s v="Liverpool"/>
    <s v="WETHERILL PARK EXCHANGE"/>
    <n v="423030315500"/>
    <s v="Waste"/>
    <x v="1"/>
    <x v="4"/>
    <s v="Account"/>
    <s v="Remondis Asbestos"/>
    <m/>
    <s v="423030315500_WASBESTOS"/>
    <s v="ASBESTOS"/>
    <s v="Remondis"/>
    <m/>
    <d v="2020-08-11T00:00:00"/>
    <d v="2020-09-01T00:00:00"/>
    <d v="2020-08-01T00:00:00"/>
    <s v="FY21"/>
    <s v="t"/>
    <n v="1"/>
    <n v="0"/>
    <n v="0"/>
    <n v="1"/>
    <n v="1"/>
    <n v="0"/>
    <n v="0"/>
    <n v="1"/>
    <n v="100"/>
    <n v="0"/>
    <n v="0"/>
    <s v="Consolidation"/>
    <s v="CO2e and Base Measure"/>
    <n v="100"/>
    <n v="100"/>
    <n v="1"/>
    <m/>
    <m/>
    <m/>
    <m/>
    <m/>
    <n v="1.2"/>
    <m/>
    <n v="1.2"/>
    <m/>
    <m/>
    <m/>
    <m/>
    <m/>
    <s v="AUD"/>
    <s v="13631689Waste - Construction and Demolition [t]"/>
    <n v="13631689"/>
  </r>
  <r>
    <d v="2019-07-01T00:00:00"/>
    <d v="2021-06-30T00:00:00"/>
    <s v="Telstra"/>
    <s v="NETWORK"/>
    <s v="Network - InfraCo"/>
    <s v="NSW"/>
    <s v="Australia"/>
    <s v="Liverpool"/>
    <s v="WETHERILL PARK EXCHANGE"/>
    <n v="423030315500"/>
    <s v="Waste"/>
    <x v="1"/>
    <x v="4"/>
    <s v="Account"/>
    <s v="Remondis Asbestos"/>
    <m/>
    <s v="423030315500_WASBESTOS"/>
    <s v="ASBESTOS"/>
    <s v="Remondis"/>
    <m/>
    <d v="2020-08-11T00:00:00"/>
    <d v="2020-09-01T00:00:00"/>
    <d v="2020-09-01T00:00:00"/>
    <s v="FY21"/>
    <s v="t"/>
    <n v="0"/>
    <n v="0"/>
    <n v="3.3300000000000003E-2"/>
    <n v="3.3300000000000003E-2"/>
    <n v="0"/>
    <n v="0"/>
    <n v="1"/>
    <n v="1"/>
    <n v="0"/>
    <n v="0"/>
    <n v="100"/>
    <s v="Consolidation"/>
    <s v="CO2e and Base Measure"/>
    <n v="100"/>
    <n v="100"/>
    <n v="0.03"/>
    <m/>
    <m/>
    <m/>
    <m/>
    <m/>
    <n v="0.04"/>
    <m/>
    <n v="0.04"/>
    <m/>
    <m/>
    <m/>
    <m/>
    <m/>
    <s v="AUD"/>
    <s v="13631689Waste - Construction and Demolition [t]"/>
    <n v="13631689"/>
  </r>
  <r>
    <d v="2019-07-01T00:00:00"/>
    <d v="2021-06-30T00:00:00"/>
    <s v="Telstra"/>
    <s v="NETWORK"/>
    <s v="Network - InfraCo"/>
    <s v="NSW"/>
    <s v="Australia"/>
    <s v="Liverpool"/>
    <s v="WETHERILL PARK EXCHANGE"/>
    <n v="423030315500"/>
    <s v="Waste"/>
    <x v="1"/>
    <x v="2"/>
    <s v="Account"/>
    <s v="CLEANAWAY General"/>
    <m/>
    <s v="44275_Landfill_General"/>
    <s v="General"/>
    <s v="Cleanaway"/>
    <m/>
    <d v="2020-12-08T00:00:00"/>
    <m/>
    <d v="2020-12-01T00:00:00"/>
    <s v="FY21"/>
    <s v="t"/>
    <n v="0.14299999999999999"/>
    <n v="0"/>
    <n v="0"/>
    <n v="0.14299999999999999"/>
    <n v="1"/>
    <n v="0"/>
    <n v="0"/>
    <n v="1"/>
    <n v="100"/>
    <n v="0"/>
    <n v="0"/>
    <s v="Consolidation"/>
    <s v="CO2e and Base Measure"/>
    <n v="100"/>
    <n v="100"/>
    <n v="0.14000000000000001"/>
    <m/>
    <m/>
    <m/>
    <m/>
    <m/>
    <n v="0.18590000000000001"/>
    <m/>
    <n v="0.18590000000000001"/>
    <m/>
    <m/>
    <m/>
    <m/>
    <m/>
    <s v="AUD"/>
    <s v="13634308Waste - General [t] - Scope 3"/>
    <n v="13634308"/>
  </r>
  <r>
    <d v="2019-07-01T00:00:00"/>
    <d v="2021-06-30T00:00:00"/>
    <s v="Telstra"/>
    <s v="NETWORK"/>
    <s v="Network - InfraCo"/>
    <s v="NSW"/>
    <s v="Australia"/>
    <s v="Liverpool"/>
    <s v="WETHERILL PARK EXCHANGE"/>
    <n v="423030315500"/>
    <s v="Waste"/>
    <x v="1"/>
    <x v="2"/>
    <s v="Account"/>
    <s v="CLEANAWAY General"/>
    <m/>
    <s v="44275_Landfill_General"/>
    <s v="General"/>
    <s v="Cleanaway"/>
    <m/>
    <d v="2020-12-08T00:00:00"/>
    <m/>
    <d v="2021-03-01T00:00:00"/>
    <s v="FY21"/>
    <s v="t"/>
    <n v="0"/>
    <n v="0.28349999999999997"/>
    <n v="0"/>
    <n v="0.28349999999999997"/>
    <n v="0"/>
    <n v="2"/>
    <n v="0"/>
    <n v="2"/>
    <n v="0"/>
    <n v="100"/>
    <n v="0"/>
    <s v="Consolidation"/>
    <s v="CO2e and Base Measure"/>
    <n v="100"/>
    <n v="100"/>
    <n v="0.28000000000000003"/>
    <m/>
    <m/>
    <m/>
    <m/>
    <m/>
    <n v="0.36859999999999998"/>
    <m/>
    <n v="0.36859999999999998"/>
    <m/>
    <m/>
    <m/>
    <m/>
    <m/>
    <s v="AUD"/>
    <s v="13634308Waste - General [t] - Scope 3"/>
    <n v="13634308"/>
  </r>
  <r>
    <d v="2019-07-01T00:00:00"/>
    <d v="2021-06-30T00:00:00"/>
    <s v="Telstra"/>
    <s v="NETWORK"/>
    <s v="Network - InfraCo"/>
    <s v="NSW"/>
    <s v="Australia"/>
    <s v="Liverpool"/>
    <s v="WETHERILL PARK EXCHANGE"/>
    <n v="423030315500"/>
    <s v="Waste"/>
    <x v="1"/>
    <x v="2"/>
    <s v="Account"/>
    <s v="CLEANAWAY General"/>
    <m/>
    <s v="44275_Landfill_General"/>
    <s v="General"/>
    <s v="Cleanaway"/>
    <m/>
    <d v="2020-12-08T00:00:00"/>
    <m/>
    <d v="2021-04-01T00:00:00"/>
    <s v="FY21"/>
    <s v="t"/>
    <n v="0"/>
    <n v="0"/>
    <n v="0.108"/>
    <n v="0.108"/>
    <n v="0"/>
    <n v="0"/>
    <n v="30"/>
    <n v="30"/>
    <n v="0"/>
    <n v="0"/>
    <n v="100"/>
    <s v="Consolidation"/>
    <s v="CO2e and Base Measure"/>
    <n v="100"/>
    <n v="100"/>
    <n v="0.11"/>
    <m/>
    <m/>
    <m/>
    <m/>
    <m/>
    <n v="0.1404"/>
    <m/>
    <n v="0.1404"/>
    <m/>
    <m/>
    <m/>
    <m/>
    <m/>
    <s v="AUD"/>
    <s v="13634308Waste - General [t] - Scope 3"/>
    <n v="13634308"/>
  </r>
  <r>
    <d v="2019-07-01T00:00:00"/>
    <d v="2021-06-30T00:00:00"/>
    <s v="Telstra"/>
    <s v="NETWORK"/>
    <s v="Network - InfraCo"/>
    <s v="NSW"/>
    <s v="Australia"/>
    <s v="Liverpool"/>
    <s v="WETHERILL PARK EXCHANGE"/>
    <n v="423030315500"/>
    <s v="Waste"/>
    <x v="1"/>
    <x v="2"/>
    <s v="Account"/>
    <s v="CLEANAWAY General"/>
    <m/>
    <s v="44275_Landfill_General"/>
    <s v="General"/>
    <s v="Cleanaway"/>
    <m/>
    <d v="2020-12-08T00:00:00"/>
    <m/>
    <d v="2021-05-01T00:00:00"/>
    <s v="FY21"/>
    <s v="t"/>
    <n v="0"/>
    <n v="0"/>
    <n v="0.1116"/>
    <n v="0.1116"/>
    <n v="0"/>
    <n v="0"/>
    <n v="31"/>
    <n v="31"/>
    <n v="0"/>
    <n v="0"/>
    <n v="100"/>
    <s v="Consolidation"/>
    <s v="CO2e and Base Measure"/>
    <n v="100"/>
    <n v="100"/>
    <n v="0.11"/>
    <m/>
    <m/>
    <m/>
    <m/>
    <m/>
    <n v="0.14510000000000001"/>
    <m/>
    <n v="0.14510000000000001"/>
    <m/>
    <m/>
    <m/>
    <m/>
    <m/>
    <s v="AUD"/>
    <s v="13634308Waste - General [t] - Scope 3"/>
    <n v="13634308"/>
  </r>
  <r>
    <d v="2019-07-01T00:00:00"/>
    <d v="2021-06-30T00:00:00"/>
    <s v="Telstra"/>
    <s v="NETWORK"/>
    <s v="Network - InfraCo"/>
    <s v="VIC"/>
    <s v="Australia"/>
    <s v="Notting Hill"/>
    <s v="WHEELERS HILL EXCHANGE"/>
    <n v="423030709300"/>
    <s v="Waste"/>
    <x v="1"/>
    <x v="2"/>
    <s v="Account"/>
    <s v="Remondis General Waste"/>
    <m/>
    <s v="423030709300_WGENERALW"/>
    <s v="GENERAL WASTE"/>
    <s v="Remondis"/>
    <m/>
    <m/>
    <d v="2020-08-01T00:00:00"/>
    <d v="2020-07-01T00:00:00"/>
    <s v="FY21"/>
    <s v="t"/>
    <n v="3.38"/>
    <n v="0"/>
    <n v="0"/>
    <n v="3.38"/>
    <n v="1"/>
    <n v="0"/>
    <n v="0"/>
    <n v="1"/>
    <n v="100"/>
    <n v="0"/>
    <n v="0"/>
    <s v="Consolidation"/>
    <s v="CO2e and Base Measure"/>
    <n v="100"/>
    <n v="100"/>
    <n v="3.38"/>
    <m/>
    <m/>
    <m/>
    <m/>
    <m/>
    <n v="4.3940000000000001"/>
    <m/>
    <n v="4.3940000000000001"/>
    <m/>
    <m/>
    <m/>
    <m/>
    <m/>
    <s v="AUD"/>
    <s v="13565119Waste - General [t] - Scope 3"/>
    <n v="13565119"/>
  </r>
  <r>
    <d v="2019-07-01T00:00:00"/>
    <d v="2021-06-30T00:00:00"/>
    <s v="Telstra"/>
    <s v="NETWORK"/>
    <s v="Network - InfraCo"/>
    <s v="VIC"/>
    <s v="Australia"/>
    <s v="Notting Hill"/>
    <s v="WHEELERS HILL EXCHANGE"/>
    <n v="423030709300"/>
    <s v="Waste"/>
    <x v="1"/>
    <x v="2"/>
    <s v="Account"/>
    <s v="Remondis General Waste"/>
    <m/>
    <s v="423030709300_WGENERALW"/>
    <s v="GENERAL WASTE"/>
    <s v="Remondis"/>
    <m/>
    <m/>
    <d v="2020-08-01T00:00:00"/>
    <d v="2020-08-01T00:00:00"/>
    <s v="FY21"/>
    <s v="t"/>
    <n v="0"/>
    <n v="0"/>
    <n v="0.11269999999999999"/>
    <n v="0.11269999999999999"/>
    <n v="0"/>
    <n v="0"/>
    <n v="1"/>
    <n v="1"/>
    <n v="0"/>
    <n v="0"/>
    <n v="100"/>
    <s v="Consolidation"/>
    <s v="CO2e and Base Measure"/>
    <n v="100"/>
    <n v="100"/>
    <n v="0.11"/>
    <m/>
    <m/>
    <m/>
    <m/>
    <m/>
    <n v="0.14649999999999999"/>
    <m/>
    <n v="0.14649999999999999"/>
    <m/>
    <m/>
    <m/>
    <m/>
    <m/>
    <s v="AUD"/>
    <s v="13565119Waste - General [t] - Scope 3"/>
    <n v="13565119"/>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07-01T00:00:00"/>
    <s v="FY21"/>
    <s v="t"/>
    <n v="1.35E-2"/>
    <n v="0"/>
    <n v="0"/>
    <n v="1.35E-2"/>
    <n v="1"/>
    <n v="0"/>
    <n v="0"/>
    <n v="1"/>
    <n v="100"/>
    <n v="0"/>
    <n v="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08-01T00:00:00"/>
    <s v="FY21"/>
    <s v="t"/>
    <n v="1.35E-2"/>
    <n v="0"/>
    <n v="0"/>
    <n v="1.35E-2"/>
    <n v="1"/>
    <n v="0"/>
    <n v="0"/>
    <n v="1"/>
    <n v="100"/>
    <n v="0"/>
    <n v="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10-01T00:00:00"/>
    <s v="FY21"/>
    <s v="t"/>
    <n v="1.35E-2"/>
    <n v="0"/>
    <n v="0"/>
    <n v="1.35E-2"/>
    <n v="1"/>
    <n v="0"/>
    <n v="0"/>
    <n v="1"/>
    <n v="100"/>
    <n v="0"/>
    <n v="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11-01T00:00:00"/>
    <s v="FY21"/>
    <s v="t"/>
    <n v="1.35E-2"/>
    <n v="0"/>
    <n v="0"/>
    <n v="1.35E-2"/>
    <n v="1"/>
    <n v="0"/>
    <n v="0"/>
    <n v="1"/>
    <n v="100"/>
    <n v="0"/>
    <n v="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12-01T00:00:00"/>
    <s v="FY21"/>
    <s v="t"/>
    <n v="0"/>
    <n v="0"/>
    <n v="1.24E-2"/>
    <n v="1.24E-2"/>
    <n v="0"/>
    <n v="0"/>
    <n v="31"/>
    <n v="31"/>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1-01T00:00:00"/>
    <s v="FY21"/>
    <s v="t"/>
    <n v="0"/>
    <n v="0"/>
    <n v="1.24E-2"/>
    <n v="1.24E-2"/>
    <n v="0"/>
    <n v="0"/>
    <n v="31"/>
    <n v="31"/>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2-01T00:00:00"/>
    <s v="FY21"/>
    <s v="t"/>
    <n v="0"/>
    <n v="0"/>
    <n v="1.12E-2"/>
    <n v="1.12E-2"/>
    <n v="0"/>
    <n v="0"/>
    <n v="28"/>
    <n v="28"/>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3-01T00:00:00"/>
    <s v="FY21"/>
    <s v="t"/>
    <n v="0"/>
    <n v="0"/>
    <n v="1.24E-2"/>
    <n v="1.24E-2"/>
    <n v="0"/>
    <n v="0"/>
    <n v="31"/>
    <n v="31"/>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4-01T00:00:00"/>
    <s v="FY21"/>
    <s v="t"/>
    <n v="0"/>
    <n v="0"/>
    <n v="1.2E-2"/>
    <n v="1.2E-2"/>
    <n v="0"/>
    <n v="0"/>
    <n v="30"/>
    <n v="30"/>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5-01T00:00:00"/>
    <s v="FY21"/>
    <s v="t"/>
    <n v="0"/>
    <n v="0"/>
    <n v="1.24E-2"/>
    <n v="1.24E-2"/>
    <n v="0"/>
    <n v="0"/>
    <n v="31"/>
    <n v="31"/>
    <n v="0"/>
    <n v="0"/>
    <n v="100"/>
    <s v="Consolidation"/>
    <s v="CO2e and Base Measure"/>
    <n v="100"/>
    <n v="100"/>
    <n v="0.01"/>
    <m/>
    <m/>
    <m/>
    <m/>
    <m/>
    <m/>
    <m/>
    <m/>
    <m/>
    <m/>
    <m/>
    <m/>
    <m/>
    <s v="AUD"/>
    <s v="13566587Waste Recycled - Paper and Cardboard [t]"/>
    <n v="13566587"/>
  </r>
  <r>
    <d v="2019-07-01T00:00:00"/>
    <d v="2021-06-30T00:00:00"/>
    <s v="Telstra"/>
    <s v="NON-NETWORK"/>
    <s v="NON-NETWORK"/>
    <s v="NSW"/>
    <s v="Australia"/>
    <s v="Dubbo"/>
    <s v="WHOLE LAND __ BUILDING"/>
    <n v="423031559400"/>
    <s v="Waste"/>
    <x v="1"/>
    <x v="4"/>
    <s v="Account"/>
    <s v="Remondis Asbestos"/>
    <m/>
    <s v="423031559400_WASBESTOS"/>
    <s v="ASBESTOS"/>
    <s v="Remondis"/>
    <m/>
    <m/>
    <d v="2021-01-01T00:00:00"/>
    <d v="2020-12-01T00:00:00"/>
    <s v="FY21"/>
    <s v="t"/>
    <n v="0"/>
    <n v="1"/>
    <n v="0"/>
    <n v="1"/>
    <n v="0"/>
    <n v="1"/>
    <n v="0"/>
    <n v="1"/>
    <n v="0"/>
    <n v="100"/>
    <n v="0"/>
    <s v="Consolidation"/>
    <s v="CO2e and Base Measure"/>
    <n v="100"/>
    <n v="100"/>
    <n v="1"/>
    <m/>
    <m/>
    <m/>
    <m/>
    <m/>
    <n v="1.2"/>
    <m/>
    <n v="1.2"/>
    <m/>
    <m/>
    <m/>
    <m/>
    <m/>
    <s v="AUD"/>
    <s v="13565677Waste - Construction and Demolition [t]"/>
    <n v="13565677"/>
  </r>
  <r>
    <d v="2019-07-01T00:00:00"/>
    <d v="2021-06-30T00:00:00"/>
    <s v="Telstra"/>
    <s v="NON-NETWORK"/>
    <s v="NON-NETWORK"/>
    <s v="NSW"/>
    <s v="Australia"/>
    <s v="Dubbo"/>
    <s v="WHOLE LAND __ BUILDING"/>
    <n v="423031559400"/>
    <s v="Waste"/>
    <x v="1"/>
    <x v="4"/>
    <s v="Account"/>
    <s v="Remondis Asbestos"/>
    <m/>
    <s v="423031559400_WASBESTOS"/>
    <s v="ASBESTOS"/>
    <s v="Remondis"/>
    <m/>
    <m/>
    <d v="2021-01-01T00:00:00"/>
    <d v="2021-01-01T00:00:00"/>
    <s v="FY21"/>
    <s v="t"/>
    <n v="0"/>
    <n v="0"/>
    <n v="6.7000000000000002E-3"/>
    <n v="6.7000000000000002E-3"/>
    <n v="0"/>
    <n v="0"/>
    <n v="1"/>
    <n v="1"/>
    <n v="0"/>
    <n v="0"/>
    <n v="100"/>
    <s v="Consolidation"/>
    <s v="CO2e and Base Measure"/>
    <n v="100"/>
    <n v="100"/>
    <n v="0.01"/>
    <m/>
    <m/>
    <m/>
    <m/>
    <m/>
    <n v="8.0000000000000002E-3"/>
    <m/>
    <n v="8.0000000000000002E-3"/>
    <m/>
    <m/>
    <m/>
    <m/>
    <m/>
    <s v="AUD"/>
    <s v="13565677Waste - Construction and Demolition [t]"/>
    <n v="13565677"/>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07-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08-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09-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10-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11-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12-01T00:00:00"/>
    <s v="FY21"/>
    <s v="t"/>
    <n v="0"/>
    <n v="0"/>
    <n v="3.0999999999999999E-3"/>
    <n v="3.0999999999999999E-3"/>
    <n v="0"/>
    <n v="0"/>
    <n v="1"/>
    <n v="1"/>
    <n v="0"/>
    <n v="0"/>
    <n v="100"/>
    <s v="Consolidation"/>
    <s v="CO2e and Base Measure"/>
    <n v="100"/>
    <n v="100"/>
    <n v="0"/>
    <m/>
    <m/>
    <m/>
    <m/>
    <m/>
    <m/>
    <n v="0"/>
    <m/>
    <m/>
    <m/>
    <m/>
    <m/>
    <m/>
    <s v="AUD"/>
    <s v="13565678Waste Recycled - Cardboard [t]"/>
    <n v="13565678"/>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08-01T00:00:00"/>
    <s v="FY21"/>
    <s v="t"/>
    <n v="0"/>
    <n v="0.58499999999999996"/>
    <n v="0"/>
    <n v="0.58499999999999996"/>
    <n v="0"/>
    <n v="3"/>
    <n v="0"/>
    <n v="3"/>
    <n v="0"/>
    <n v="100"/>
    <n v="0"/>
    <s v="Consolidation"/>
    <s v="CO2e and Base Measure"/>
    <n v="100"/>
    <n v="100"/>
    <n v="0.59"/>
    <m/>
    <m/>
    <m/>
    <m/>
    <m/>
    <n v="0.76049999999999995"/>
    <m/>
    <n v="0.76049999999999995"/>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09-01T00:00:00"/>
    <s v="FY21"/>
    <s v="t"/>
    <n v="0"/>
    <n v="0.78"/>
    <n v="0"/>
    <n v="0.78"/>
    <n v="0"/>
    <n v="4"/>
    <n v="0"/>
    <n v="4"/>
    <n v="0"/>
    <n v="100"/>
    <n v="0"/>
    <s v="Consolidation"/>
    <s v="CO2e and Base Measure"/>
    <n v="100"/>
    <n v="100"/>
    <n v="0.78"/>
    <m/>
    <m/>
    <m/>
    <m/>
    <m/>
    <n v="1.014"/>
    <m/>
    <n v="1.014"/>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1-01-01T00:00:00"/>
    <s v="FY21"/>
    <s v="t"/>
    <n v="0"/>
    <n v="0"/>
    <n v="1.7399999999999999E-2"/>
    <n v="1.7399999999999999E-2"/>
    <n v="0"/>
    <n v="0"/>
    <n v="1"/>
    <n v="1"/>
    <n v="0"/>
    <n v="0"/>
    <n v="100"/>
    <s v="Consolidation"/>
    <s v="CO2e and Base Measure"/>
    <n v="100"/>
    <n v="100"/>
    <n v="0.02"/>
    <m/>
    <m/>
    <m/>
    <m/>
    <m/>
    <n v="2.2599999999999999E-2"/>
    <m/>
    <n v="2.2599999999999999E-2"/>
    <m/>
    <m/>
    <m/>
    <m/>
    <m/>
    <s v="AUD"/>
    <s v="13565679Waste - General [t] - Scope 3"/>
    <n v="13565679"/>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07-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08-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09-01T00:00:00"/>
    <s v="FY21"/>
    <s v="t"/>
    <n v="0"/>
    <n v="0"/>
    <n v="8.4000000000000005E-2"/>
    <n v="8.4000000000000005E-2"/>
    <n v="0"/>
    <n v="0"/>
    <n v="30"/>
    <n v="30"/>
    <n v="0"/>
    <n v="0"/>
    <n v="100"/>
    <s v="Consolidation"/>
    <s v="CO2e and Base Measure"/>
    <n v="100"/>
    <n v="100"/>
    <n v="0.08"/>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10-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11-01T00:00:00"/>
    <s v="FY21"/>
    <s v="t"/>
    <n v="0"/>
    <n v="0"/>
    <n v="8.4000000000000005E-2"/>
    <n v="8.4000000000000005E-2"/>
    <n v="0"/>
    <n v="0"/>
    <n v="30"/>
    <n v="30"/>
    <n v="0"/>
    <n v="0"/>
    <n v="100"/>
    <s v="Consolidation"/>
    <s v="CO2e and Base Measure"/>
    <n v="100"/>
    <n v="100"/>
    <n v="0.08"/>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12-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1-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2-01T00:00:00"/>
    <s v="FY21"/>
    <s v="t"/>
    <n v="0"/>
    <n v="0"/>
    <n v="7.8399999999999997E-2"/>
    <n v="7.8399999999999997E-2"/>
    <n v="0"/>
    <n v="0"/>
    <n v="28"/>
    <n v="28"/>
    <n v="0"/>
    <n v="0"/>
    <n v="100"/>
    <s v="Consolidation"/>
    <s v="CO2e and Base Measure"/>
    <n v="100"/>
    <n v="100"/>
    <n v="0.08"/>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3-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4-01T00:00:00"/>
    <s v="FY21"/>
    <s v="t"/>
    <n v="0"/>
    <n v="0"/>
    <n v="8.4000000000000005E-2"/>
    <n v="8.4000000000000005E-2"/>
    <n v="0"/>
    <n v="0"/>
    <n v="30"/>
    <n v="30"/>
    <n v="0"/>
    <n v="0"/>
    <n v="100"/>
    <s v="Consolidation"/>
    <s v="CO2e and Base Measure"/>
    <n v="100"/>
    <n v="100"/>
    <n v="0.08"/>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5-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0-12-01T00:00:00"/>
    <s v="FY21"/>
    <s v="t"/>
    <n v="0"/>
    <n v="0.25080000000000002"/>
    <n v="0"/>
    <n v="0.25080000000000002"/>
    <n v="0"/>
    <n v="1"/>
    <n v="0"/>
    <n v="1"/>
    <n v="0"/>
    <n v="100"/>
    <n v="0"/>
    <s v="Consolidation"/>
    <s v="CO2e and Base Measure"/>
    <n v="100"/>
    <n v="100"/>
    <n v="0.25"/>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1-01T00:00:00"/>
    <s v="FY21"/>
    <s v="t"/>
    <n v="0"/>
    <n v="0"/>
    <n v="0.26040000000000002"/>
    <n v="0.26040000000000002"/>
    <n v="0"/>
    <n v="0"/>
    <n v="31"/>
    <n v="31"/>
    <n v="0"/>
    <n v="0"/>
    <n v="100"/>
    <s v="Consolidation"/>
    <s v="CO2e and Base Measure"/>
    <n v="100"/>
    <n v="100"/>
    <n v="0.26"/>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2-01T00:00:00"/>
    <s v="FY21"/>
    <s v="t"/>
    <n v="0"/>
    <n v="0"/>
    <n v="0.23519999999999999"/>
    <n v="0.23519999999999999"/>
    <n v="0"/>
    <n v="0"/>
    <n v="28"/>
    <n v="28"/>
    <n v="0"/>
    <n v="0"/>
    <n v="100"/>
    <s v="Consolidation"/>
    <s v="CO2e and Base Measure"/>
    <n v="100"/>
    <n v="100"/>
    <n v="0.24"/>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3-01T00:00:00"/>
    <s v="FY21"/>
    <s v="t"/>
    <n v="0"/>
    <n v="0"/>
    <n v="0.26040000000000002"/>
    <n v="0.26040000000000002"/>
    <n v="0"/>
    <n v="0"/>
    <n v="31"/>
    <n v="31"/>
    <n v="0"/>
    <n v="0"/>
    <n v="100"/>
    <s v="Consolidation"/>
    <s v="CO2e and Base Measure"/>
    <n v="100"/>
    <n v="100"/>
    <n v="0.26"/>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4-01T00:00:00"/>
    <s v="FY21"/>
    <s v="t"/>
    <n v="0"/>
    <n v="0"/>
    <n v="0.252"/>
    <n v="0.252"/>
    <n v="0"/>
    <n v="0"/>
    <n v="30"/>
    <n v="30"/>
    <n v="0"/>
    <n v="0"/>
    <n v="100"/>
    <s v="Consolidation"/>
    <s v="CO2e and Base Measure"/>
    <n v="100"/>
    <n v="100"/>
    <n v="0.25"/>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5-01T00:00:00"/>
    <s v="FY21"/>
    <s v="t"/>
    <n v="0"/>
    <n v="0"/>
    <n v="0.26040000000000002"/>
    <n v="0.26040000000000002"/>
    <n v="0"/>
    <n v="0"/>
    <n v="31"/>
    <n v="31"/>
    <n v="0"/>
    <n v="0"/>
    <n v="100"/>
    <s v="Consolidation"/>
    <s v="CO2e and Base Measure"/>
    <n v="100"/>
    <n v="100"/>
    <n v="0.26"/>
    <m/>
    <m/>
    <m/>
    <m/>
    <m/>
    <m/>
    <m/>
    <m/>
    <m/>
    <m/>
    <m/>
    <m/>
    <m/>
    <s v="AUD"/>
    <s v="13633440Waste Recycled - E-waste [t]"/>
    <n v="13633440"/>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0-12-01T00:00:00"/>
    <s v="FY21"/>
    <s v="t"/>
    <n v="5.8000000000000003E-2"/>
    <n v="0"/>
    <n v="0"/>
    <n v="5.8000000000000003E-2"/>
    <n v="1"/>
    <n v="0"/>
    <n v="0"/>
    <n v="1"/>
    <n v="100"/>
    <n v="0"/>
    <n v="0"/>
    <s v="Consolidation"/>
    <s v="CO2e and Base Measure"/>
    <n v="100"/>
    <n v="100"/>
    <n v="0.06"/>
    <m/>
    <m/>
    <m/>
    <m/>
    <m/>
    <n v="7.5399999999999995E-2"/>
    <m/>
    <n v="7.5399999999999995E-2"/>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1-01T00:00:00"/>
    <s v="FY21"/>
    <s v="t"/>
    <n v="0.50600000000000001"/>
    <n v="0"/>
    <n v="0"/>
    <n v="0.50600000000000001"/>
    <n v="3"/>
    <n v="0"/>
    <n v="0"/>
    <n v="3"/>
    <n v="100"/>
    <n v="0"/>
    <n v="0"/>
    <s v="Consolidation"/>
    <s v="CO2e and Base Measure"/>
    <n v="100"/>
    <n v="100"/>
    <n v="0.51"/>
    <m/>
    <m/>
    <m/>
    <m/>
    <m/>
    <n v="0.65780000000000005"/>
    <m/>
    <n v="0.65780000000000005"/>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2-01T00:00:00"/>
    <s v="FY21"/>
    <s v="t"/>
    <n v="0.126"/>
    <n v="6.7500000000000004E-2"/>
    <n v="0"/>
    <n v="0.19350000000000001"/>
    <n v="2"/>
    <n v="1"/>
    <n v="0"/>
    <n v="3"/>
    <n v="65.11"/>
    <n v="34.880000000000003"/>
    <n v="0"/>
    <s v="Consolidation"/>
    <s v="CO2e and Base Measure"/>
    <n v="100"/>
    <n v="100"/>
    <n v="0.19"/>
    <m/>
    <m/>
    <m/>
    <m/>
    <m/>
    <n v="0.25159999999999999"/>
    <m/>
    <n v="0.25159999999999999"/>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3-01T00:00:00"/>
    <s v="FY21"/>
    <s v="t"/>
    <n v="0.126"/>
    <n v="0.13500000000000001"/>
    <n v="0"/>
    <n v="0.26100000000000001"/>
    <n v="1"/>
    <n v="2"/>
    <n v="0"/>
    <n v="3"/>
    <n v="48.27"/>
    <n v="51.72"/>
    <n v="0"/>
    <s v="Consolidation"/>
    <s v="CO2e and Base Measure"/>
    <n v="100"/>
    <n v="100"/>
    <n v="0.26"/>
    <m/>
    <m/>
    <m/>
    <m/>
    <m/>
    <n v="0.33929999999999999"/>
    <m/>
    <n v="0.33929999999999999"/>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4-01T00:00:00"/>
    <s v="FY21"/>
    <s v="t"/>
    <n v="0"/>
    <n v="0"/>
    <n v="0.255"/>
    <n v="0.255"/>
    <n v="0"/>
    <n v="0"/>
    <n v="30"/>
    <n v="30"/>
    <n v="0"/>
    <n v="0"/>
    <n v="100"/>
    <s v="Consolidation"/>
    <s v="CO2e and Base Measure"/>
    <n v="100"/>
    <n v="100"/>
    <n v="0.26"/>
    <m/>
    <m/>
    <m/>
    <m/>
    <m/>
    <n v="0.33150000000000002"/>
    <m/>
    <n v="0.33150000000000002"/>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5-01T00:00:00"/>
    <s v="FY21"/>
    <s v="t"/>
    <n v="0"/>
    <n v="0"/>
    <n v="0.26350000000000001"/>
    <n v="0.26350000000000001"/>
    <n v="0"/>
    <n v="0"/>
    <n v="31"/>
    <n v="31"/>
    <n v="0"/>
    <n v="0"/>
    <n v="100"/>
    <s v="Consolidation"/>
    <s v="CO2e and Base Measure"/>
    <n v="100"/>
    <n v="100"/>
    <n v="0.26"/>
    <m/>
    <m/>
    <m/>
    <m/>
    <m/>
    <n v="0.34260000000000002"/>
    <m/>
    <n v="0.34260000000000002"/>
    <m/>
    <m/>
    <m/>
    <m/>
    <m/>
    <s v="AUD"/>
    <s v="13634361Waste - General [t] - Scope 3"/>
    <n v="13634361"/>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1-01T00:00:00"/>
    <s v="FY21"/>
    <s v="t"/>
    <n v="0.44800000000000001"/>
    <n v="7.4999999999999997E-2"/>
    <n v="0"/>
    <n v="0.52300000000000002"/>
    <n v="1"/>
    <n v="1"/>
    <n v="0"/>
    <n v="2"/>
    <n v="85.65"/>
    <n v="14.34"/>
    <n v="0"/>
    <s v="Consolidation"/>
    <s v="CO2e and Base Measure"/>
    <n v="100"/>
    <n v="100"/>
    <n v="0.52"/>
    <m/>
    <m/>
    <m/>
    <m/>
    <m/>
    <m/>
    <m/>
    <m/>
    <m/>
    <m/>
    <m/>
    <m/>
    <m/>
    <s v="AUD"/>
    <s v="13634515Waste Recycled - Paper and Cardboard [t]"/>
    <n v="13634515"/>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2-01T00:00:00"/>
    <s v="FY21"/>
    <s v="t"/>
    <n v="0.33"/>
    <n v="0"/>
    <n v="0"/>
    <n v="0.33"/>
    <n v="2"/>
    <n v="0"/>
    <n v="0"/>
    <n v="2"/>
    <n v="100"/>
    <n v="0"/>
    <n v="0"/>
    <s v="Consolidation"/>
    <s v="CO2e and Base Measure"/>
    <n v="100"/>
    <n v="100"/>
    <n v="0.33"/>
    <m/>
    <m/>
    <m/>
    <m/>
    <m/>
    <m/>
    <m/>
    <m/>
    <m/>
    <m/>
    <m/>
    <m/>
    <m/>
    <s v="AUD"/>
    <s v="13634515Waste Recycled - Paper and Cardboard [t]"/>
    <n v="13634515"/>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3-01T00:00:00"/>
    <s v="FY21"/>
    <s v="t"/>
    <n v="0"/>
    <n v="0"/>
    <n v="0.45569999999999999"/>
    <n v="0.45569999999999999"/>
    <n v="0"/>
    <n v="0"/>
    <n v="31"/>
    <n v="31"/>
    <n v="0"/>
    <n v="0"/>
    <n v="100"/>
    <s v="Consolidation"/>
    <s v="CO2e and Base Measure"/>
    <n v="100"/>
    <n v="100"/>
    <n v="0.46"/>
    <m/>
    <m/>
    <m/>
    <m/>
    <m/>
    <m/>
    <m/>
    <m/>
    <m/>
    <m/>
    <m/>
    <m/>
    <m/>
    <s v="AUD"/>
    <s v="13634515Waste Recycled - Paper and Cardboard [t]"/>
    <n v="13634515"/>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4-01T00:00:00"/>
    <s v="FY21"/>
    <s v="t"/>
    <n v="0"/>
    <n v="0"/>
    <n v="0.441"/>
    <n v="0.441"/>
    <n v="0"/>
    <n v="0"/>
    <n v="30"/>
    <n v="30"/>
    <n v="0"/>
    <n v="0"/>
    <n v="100"/>
    <s v="Consolidation"/>
    <s v="CO2e and Base Measure"/>
    <n v="100"/>
    <n v="100"/>
    <n v="0.44"/>
    <m/>
    <m/>
    <m/>
    <m/>
    <m/>
    <m/>
    <m/>
    <m/>
    <m/>
    <m/>
    <m/>
    <m/>
    <m/>
    <s v="AUD"/>
    <s v="13634515Waste Recycled - Paper and Cardboard [t]"/>
    <n v="13634515"/>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5-01T00:00:00"/>
    <s v="FY21"/>
    <s v="t"/>
    <n v="0"/>
    <n v="0"/>
    <n v="0.45569999999999999"/>
    <n v="0.45569999999999999"/>
    <n v="0"/>
    <n v="0"/>
    <n v="31"/>
    <n v="31"/>
    <n v="0"/>
    <n v="0"/>
    <n v="100"/>
    <s v="Consolidation"/>
    <s v="CO2e and Base Measure"/>
    <n v="100"/>
    <n v="100"/>
    <n v="0.46"/>
    <m/>
    <m/>
    <m/>
    <m/>
    <m/>
    <m/>
    <m/>
    <m/>
    <m/>
    <m/>
    <m/>
    <m/>
    <m/>
    <s v="AUD"/>
    <s v="13634515Waste Recycled - Paper and Cardboard [t]"/>
    <n v="13634515"/>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07-01T00:00:00"/>
    <s v="FY21"/>
    <s v="t"/>
    <n v="0"/>
    <n v="0.6"/>
    <n v="0"/>
    <n v="0.6"/>
    <n v="0"/>
    <n v="2"/>
    <n v="0"/>
    <n v="2"/>
    <n v="0"/>
    <n v="100"/>
    <n v="0"/>
    <s v="Consolidation"/>
    <s v="CO2e and Base Measure"/>
    <n v="100"/>
    <n v="100"/>
    <n v="0.6"/>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08-01T00:00:00"/>
    <s v="FY21"/>
    <s v="t"/>
    <n v="0"/>
    <n v="0.3"/>
    <n v="0"/>
    <n v="0.3"/>
    <n v="0"/>
    <n v="1"/>
    <n v="0"/>
    <n v="1"/>
    <n v="0"/>
    <n v="100"/>
    <n v="0"/>
    <s v="Consolidation"/>
    <s v="CO2e and Base Measure"/>
    <n v="100"/>
    <n v="100"/>
    <n v="0.3"/>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09-01T00:00:00"/>
    <s v="FY21"/>
    <s v="t"/>
    <n v="0"/>
    <n v="0.3"/>
    <n v="0"/>
    <n v="0.3"/>
    <n v="0"/>
    <n v="1"/>
    <n v="0"/>
    <n v="1"/>
    <n v="0"/>
    <n v="100"/>
    <n v="0"/>
    <s v="Consolidation"/>
    <s v="CO2e and Base Measure"/>
    <n v="100"/>
    <n v="100"/>
    <n v="0.3"/>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10-01T00:00:00"/>
    <s v="FY21"/>
    <s v="t"/>
    <n v="0"/>
    <n v="0.3"/>
    <n v="0"/>
    <n v="0.3"/>
    <n v="0"/>
    <n v="1"/>
    <n v="0"/>
    <n v="1"/>
    <n v="0"/>
    <n v="100"/>
    <n v="0"/>
    <s v="Consolidation"/>
    <s v="CO2e and Base Measure"/>
    <n v="100"/>
    <n v="100"/>
    <n v="0.3"/>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11-01T00:00:00"/>
    <s v="FY21"/>
    <s v="t"/>
    <n v="0"/>
    <n v="0.6"/>
    <n v="0"/>
    <n v="0.6"/>
    <n v="0"/>
    <n v="2"/>
    <n v="0"/>
    <n v="2"/>
    <n v="0"/>
    <n v="100"/>
    <n v="0"/>
    <s v="Consolidation"/>
    <s v="CO2e and Base Measure"/>
    <n v="100"/>
    <n v="100"/>
    <n v="0.6"/>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12-01T00:00:00"/>
    <s v="FY21"/>
    <s v="t"/>
    <n v="0"/>
    <n v="0"/>
    <n v="1.4800000000000001E-2"/>
    <n v="1.4800000000000001E-2"/>
    <n v="0"/>
    <n v="0"/>
    <n v="1"/>
    <n v="1"/>
    <n v="0"/>
    <n v="0"/>
    <n v="100"/>
    <s v="Consolidation"/>
    <s v="CO2e and Base Measure"/>
    <n v="100"/>
    <n v="100"/>
    <n v="0.01"/>
    <m/>
    <m/>
    <m/>
    <m/>
    <m/>
    <m/>
    <n v="0"/>
    <m/>
    <m/>
    <m/>
    <m/>
    <m/>
    <m/>
    <s v="AUD"/>
    <s v="13565534Waste Recycled - Commingled [t]"/>
    <n v="13565534"/>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5535Waste - General [t] - Scope 3"/>
    <n v="13565535"/>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0-11-01T00:00:00"/>
    <s v="FY21"/>
    <s v="t"/>
    <n v="5.3999999999999999E-2"/>
    <n v="0"/>
    <n v="0"/>
    <n v="5.3999999999999999E-2"/>
    <n v="1"/>
    <n v="0"/>
    <n v="0"/>
    <n v="1"/>
    <n v="100"/>
    <n v="0"/>
    <n v="0"/>
    <s v="Consolidation"/>
    <s v="CO2e and Base Measure"/>
    <n v="100"/>
    <n v="100"/>
    <n v="0.05"/>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0-12-01T00:00:00"/>
    <s v="FY21"/>
    <s v="t"/>
    <n v="0"/>
    <n v="0"/>
    <n v="5.8900000000000001E-2"/>
    <n v="5.8900000000000001E-2"/>
    <n v="0"/>
    <n v="0"/>
    <n v="31"/>
    <n v="31"/>
    <n v="0"/>
    <n v="0"/>
    <n v="100"/>
    <s v="Consolidation"/>
    <s v="CO2e and Base Measure"/>
    <n v="100"/>
    <n v="100"/>
    <n v="0.06"/>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1-01T00:00:00"/>
    <s v="FY21"/>
    <s v="t"/>
    <n v="0"/>
    <n v="0"/>
    <n v="5.8900000000000001E-2"/>
    <n v="5.8900000000000001E-2"/>
    <n v="0"/>
    <n v="0"/>
    <n v="31"/>
    <n v="31"/>
    <n v="0"/>
    <n v="0"/>
    <n v="100"/>
    <s v="Consolidation"/>
    <s v="CO2e and Base Measure"/>
    <n v="100"/>
    <n v="100"/>
    <n v="0.06"/>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2-01T00:00:00"/>
    <s v="FY21"/>
    <s v="t"/>
    <n v="0"/>
    <n v="0"/>
    <n v="5.3199999999999997E-2"/>
    <n v="5.3199999999999997E-2"/>
    <n v="0"/>
    <n v="0"/>
    <n v="28"/>
    <n v="28"/>
    <n v="0"/>
    <n v="0"/>
    <n v="100"/>
    <s v="Consolidation"/>
    <s v="CO2e and Base Measure"/>
    <n v="100"/>
    <n v="100"/>
    <n v="0.05"/>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3-01T00:00:00"/>
    <s v="FY21"/>
    <s v="t"/>
    <n v="0"/>
    <n v="0"/>
    <n v="5.8900000000000001E-2"/>
    <n v="5.8900000000000001E-2"/>
    <n v="0"/>
    <n v="0"/>
    <n v="31"/>
    <n v="31"/>
    <n v="0"/>
    <n v="0"/>
    <n v="100"/>
    <s v="Consolidation"/>
    <s v="CO2e and Base Measure"/>
    <n v="100"/>
    <n v="100"/>
    <n v="0.06"/>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4-01T00:00:00"/>
    <s v="FY21"/>
    <s v="t"/>
    <n v="0"/>
    <n v="0"/>
    <n v="5.7000000000000002E-2"/>
    <n v="5.7000000000000002E-2"/>
    <n v="0"/>
    <n v="0"/>
    <n v="30"/>
    <n v="30"/>
    <n v="0"/>
    <n v="0"/>
    <n v="100"/>
    <s v="Consolidation"/>
    <s v="CO2e and Base Measure"/>
    <n v="100"/>
    <n v="100"/>
    <n v="0.06"/>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5-01T00:00:00"/>
    <s v="FY21"/>
    <s v="t"/>
    <n v="0"/>
    <n v="0"/>
    <n v="5.8900000000000001E-2"/>
    <n v="5.8900000000000001E-2"/>
    <n v="0"/>
    <n v="0"/>
    <n v="31"/>
    <n v="31"/>
    <n v="0"/>
    <n v="0"/>
    <n v="100"/>
    <s v="Consolidation"/>
    <s v="CO2e and Base Measure"/>
    <n v="100"/>
    <n v="100"/>
    <n v="0.06"/>
    <m/>
    <m/>
    <m/>
    <m/>
    <m/>
    <m/>
    <m/>
    <m/>
    <m/>
    <m/>
    <m/>
    <m/>
    <m/>
    <s v="AUD"/>
    <s v="13631933Waste Recycled - Paper and Cardboard [t]"/>
    <n v="13631933"/>
  </r>
  <r>
    <d v="2019-07-01T00:00:00"/>
    <d v="2021-06-30T00:00:00"/>
    <s v="Telstra"/>
    <s v="NON-NETWORK"/>
    <s v="NON-NETWORK"/>
    <s v="VIC"/>
    <s v="Australia"/>
    <s v="Hoppers Crossing"/>
    <s v="WHOLE PROPERTY"/>
    <n v="423032066600"/>
    <s v="Waste"/>
    <x v="1"/>
    <x v="4"/>
    <s v="Account"/>
    <s v="Remondis Asbestos"/>
    <m/>
    <s v="423032066600_WASBESTOS"/>
    <s v="ASBESTOS"/>
    <s v="Remondis"/>
    <m/>
    <m/>
    <d v="2021-01-01T00:00:00"/>
    <d v="2020-12-01T00:00:00"/>
    <s v="FY21"/>
    <s v="t"/>
    <n v="0.55000000000000004"/>
    <n v="0"/>
    <n v="0"/>
    <n v="0.55000000000000004"/>
    <n v="1"/>
    <n v="0"/>
    <n v="0"/>
    <n v="1"/>
    <n v="100"/>
    <n v="0"/>
    <n v="0"/>
    <s v="Consolidation"/>
    <s v="CO2e and Base Measure"/>
    <n v="100"/>
    <n v="100"/>
    <n v="0.55000000000000004"/>
    <m/>
    <m/>
    <m/>
    <m/>
    <m/>
    <n v="0.66"/>
    <m/>
    <n v="0.66"/>
    <m/>
    <m/>
    <m/>
    <m/>
    <m/>
    <s v="AUD"/>
    <s v="13565898Waste - Construction and Demolition [t]"/>
    <n v="13565898"/>
  </r>
  <r>
    <d v="2019-07-01T00:00:00"/>
    <d v="2021-06-30T00:00:00"/>
    <s v="Telstra"/>
    <s v="NON-NETWORK"/>
    <s v="NON-NETWORK"/>
    <s v="VIC"/>
    <s v="Australia"/>
    <s v="Hoppers Crossing"/>
    <s v="WHOLE PROPERTY"/>
    <n v="423032066600"/>
    <s v="Waste"/>
    <x v="1"/>
    <x v="4"/>
    <s v="Account"/>
    <s v="Remondis Asbestos"/>
    <m/>
    <s v="423032066600_WASBESTOS"/>
    <s v="ASBESTOS"/>
    <s v="Remondis"/>
    <m/>
    <m/>
    <d v="2021-01-01T00:00:00"/>
    <d v="2021-01-01T00:00:00"/>
    <s v="FY21"/>
    <s v="t"/>
    <n v="0"/>
    <n v="0"/>
    <n v="1.83E-2"/>
    <n v="1.83E-2"/>
    <n v="0"/>
    <n v="0"/>
    <n v="1"/>
    <n v="1"/>
    <n v="0"/>
    <n v="0"/>
    <n v="100"/>
    <s v="Consolidation"/>
    <s v="CO2e and Base Measure"/>
    <n v="100"/>
    <n v="100"/>
    <n v="0.02"/>
    <m/>
    <m/>
    <m/>
    <m/>
    <m/>
    <n v="2.1999999999999999E-2"/>
    <m/>
    <n v="2.1999999999999999E-2"/>
    <m/>
    <m/>
    <m/>
    <m/>
    <m/>
    <s v="AUD"/>
    <s v="13565898Waste - Construction and Demolition [t]"/>
    <n v="13565898"/>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0-07-01T00:00:00"/>
    <s v="FY21"/>
    <s v="t"/>
    <n v="0"/>
    <n v="0.252"/>
    <n v="0"/>
    <n v="0.252"/>
    <n v="0"/>
    <n v="4"/>
    <n v="0"/>
    <n v="4"/>
    <n v="0"/>
    <n v="100"/>
    <n v="0"/>
    <s v="Consolidation"/>
    <s v="CO2e and Base Measure"/>
    <n v="100"/>
    <n v="100"/>
    <n v="0.25"/>
    <m/>
    <m/>
    <m/>
    <m/>
    <m/>
    <m/>
    <n v="0"/>
    <m/>
    <m/>
    <m/>
    <m/>
    <m/>
    <m/>
    <s v="AUD"/>
    <s v="13565900Waste Recycled - Cardboard [t]"/>
    <n v="13565900"/>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0-08-01T00:00:00"/>
    <s v="FY21"/>
    <s v="t"/>
    <n v="0.02"/>
    <n v="0"/>
    <n v="0"/>
    <n v="0.02"/>
    <n v="1"/>
    <n v="0"/>
    <n v="0"/>
    <n v="1"/>
    <n v="100"/>
    <n v="0"/>
    <n v="0"/>
    <s v="Consolidation"/>
    <s v="CO2e and Base Measure"/>
    <n v="100"/>
    <n v="100"/>
    <n v="0.02"/>
    <m/>
    <m/>
    <m/>
    <m/>
    <m/>
    <m/>
    <n v="0"/>
    <m/>
    <m/>
    <m/>
    <m/>
    <m/>
    <m/>
    <s v="AUD"/>
    <s v="13565900Waste Recycled - Cardboard [t]"/>
    <n v="13565900"/>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0-10-01T00:00:00"/>
    <s v="FY21"/>
    <s v="t"/>
    <n v="0.06"/>
    <n v="0"/>
    <n v="0"/>
    <n v="0.06"/>
    <n v="1"/>
    <n v="0"/>
    <n v="0"/>
    <n v="1"/>
    <n v="100"/>
    <n v="0"/>
    <n v="0"/>
    <s v="Consolidation"/>
    <s v="CO2e and Base Measure"/>
    <n v="100"/>
    <n v="100"/>
    <n v="0.06"/>
    <m/>
    <m/>
    <m/>
    <m/>
    <m/>
    <m/>
    <n v="0"/>
    <m/>
    <m/>
    <m/>
    <m/>
    <m/>
    <m/>
    <s v="AUD"/>
    <s v="13565900Waste Recycled - Cardboard [t]"/>
    <n v="13565900"/>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900Waste Recycled - Cardboard [t]"/>
    <n v="13565900"/>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1-01-01T00:00:00"/>
    <s v="FY21"/>
    <s v="t"/>
    <n v="0"/>
    <n v="0"/>
    <n v="2.2000000000000001E-3"/>
    <n v="2.2000000000000001E-3"/>
    <n v="0"/>
    <n v="0"/>
    <n v="1"/>
    <n v="1"/>
    <n v="0"/>
    <n v="0"/>
    <n v="100"/>
    <s v="Consolidation"/>
    <s v="CO2e and Base Measure"/>
    <n v="100"/>
    <n v="100"/>
    <n v="0"/>
    <m/>
    <m/>
    <m/>
    <m/>
    <m/>
    <m/>
    <n v="0"/>
    <m/>
    <m/>
    <m/>
    <m/>
    <m/>
    <m/>
    <s v="AUD"/>
    <s v="13565900Waste Recycled - Cardboard [t]"/>
    <n v="13565900"/>
  </r>
  <r>
    <d v="2019-07-01T00:00:00"/>
    <d v="2021-06-30T00:00:00"/>
    <s v="Telstra"/>
    <s v="NON-NETWORK"/>
    <s v="NON-NETWORK"/>
    <s v="VIC"/>
    <s v="Australia"/>
    <s v="Hoppers Crossing"/>
    <s v="WHOLE PROPERTY"/>
    <n v="423032066600"/>
    <s v="Waste"/>
    <x v="1"/>
    <x v="4"/>
    <s v="Account"/>
    <s v="Remondis Concrete - Landfill"/>
    <m/>
    <s v="423032066600_WCONCRETE"/>
    <s v="CONCRETE - LANDFILL"/>
    <s v="Remondis"/>
    <m/>
    <m/>
    <d v="2021-01-01T00:00:00"/>
    <d v="2020-12-01T00:00:00"/>
    <s v="FY21"/>
    <s v="t"/>
    <n v="1.68"/>
    <n v="0"/>
    <n v="0"/>
    <n v="1.68"/>
    <n v="1"/>
    <n v="0"/>
    <n v="0"/>
    <n v="1"/>
    <n v="100"/>
    <n v="0"/>
    <n v="0"/>
    <s v="Consolidation"/>
    <s v="CO2e and Base Measure"/>
    <n v="100"/>
    <n v="100"/>
    <n v="1.68"/>
    <m/>
    <m/>
    <m/>
    <m/>
    <m/>
    <n v="2.016"/>
    <m/>
    <n v="2.016"/>
    <m/>
    <m/>
    <m/>
    <m/>
    <m/>
    <s v="AUD"/>
    <s v="13565901Waste - Construction and Demolition [t]"/>
    <n v="13565901"/>
  </r>
  <r>
    <d v="2019-07-01T00:00:00"/>
    <d v="2021-06-30T00:00:00"/>
    <s v="Telstra"/>
    <s v="NON-NETWORK"/>
    <s v="NON-NETWORK"/>
    <s v="VIC"/>
    <s v="Australia"/>
    <s v="Hoppers Crossing"/>
    <s v="WHOLE PROPERTY"/>
    <n v="423032066600"/>
    <s v="Waste"/>
    <x v="1"/>
    <x v="4"/>
    <s v="Account"/>
    <s v="Remondis Concrete - Landfill"/>
    <m/>
    <s v="423032066600_WCONCRETE"/>
    <s v="CONCRETE - LANDFILL"/>
    <s v="Remondis"/>
    <m/>
    <m/>
    <d v="2021-01-01T00:00:00"/>
    <d v="2021-01-01T00:00:00"/>
    <s v="FY21"/>
    <s v="t"/>
    <n v="0"/>
    <n v="0"/>
    <n v="5.6000000000000001E-2"/>
    <n v="5.6000000000000001E-2"/>
    <n v="0"/>
    <n v="0"/>
    <n v="1"/>
    <n v="1"/>
    <n v="0"/>
    <n v="0"/>
    <n v="100"/>
    <s v="Consolidation"/>
    <s v="CO2e and Base Measure"/>
    <n v="100"/>
    <n v="100"/>
    <n v="0.06"/>
    <m/>
    <m/>
    <m/>
    <m/>
    <m/>
    <n v="6.7199999999999996E-2"/>
    <m/>
    <n v="6.7199999999999996E-2"/>
    <m/>
    <m/>
    <m/>
    <m/>
    <m/>
    <s v="AUD"/>
    <s v="13565901Waste - Construction and Demolition [t]"/>
    <n v="13565901"/>
  </r>
  <r>
    <d v="2019-07-01T00:00:00"/>
    <d v="2021-06-30T00:00:00"/>
    <s v="Telstra"/>
    <s v="NON-NETWORK"/>
    <s v="NON-NETWORK"/>
    <s v="VIC"/>
    <s v="Australia"/>
    <s v="Hoppers Crossing"/>
    <s v="WHOLE PROPERTY"/>
    <n v="423032066600"/>
    <s v="Recycled Waste"/>
    <x v="0"/>
    <x v="1"/>
    <s v="Account"/>
    <s v="Remondis Electrical Comp. (E-Waste)"/>
    <m/>
    <s v="423032066600_RELECTRIC"/>
    <s v="ELECTRICAL COMP. E-WASTE"/>
    <s v="Remondis"/>
    <m/>
    <m/>
    <d v="2021-01-01T00:00:00"/>
    <d v="2020-12-01T00:00:00"/>
    <s v="FY21"/>
    <s v="t"/>
    <n v="0"/>
    <n v="0.2109"/>
    <n v="0"/>
    <n v="0.2109"/>
    <n v="0"/>
    <n v="1"/>
    <n v="0"/>
    <n v="1"/>
    <n v="0"/>
    <n v="100"/>
    <n v="0"/>
    <s v="Consolidation"/>
    <s v="CO2e and Base Measure"/>
    <n v="100"/>
    <n v="100"/>
    <n v="0.21"/>
    <m/>
    <m/>
    <m/>
    <m/>
    <m/>
    <m/>
    <m/>
    <m/>
    <m/>
    <m/>
    <m/>
    <m/>
    <m/>
    <s v="AUD"/>
    <s v="13565902Waste Recycled - E-waste [t]"/>
    <n v="13565902"/>
  </r>
  <r>
    <d v="2019-07-01T00:00:00"/>
    <d v="2021-06-30T00:00:00"/>
    <s v="Telstra"/>
    <s v="NON-NETWORK"/>
    <s v="NON-NETWORK"/>
    <s v="VIC"/>
    <s v="Australia"/>
    <s v="Hoppers Crossing"/>
    <s v="WHOLE PROPERTY"/>
    <n v="423032066600"/>
    <s v="Recycled Waste"/>
    <x v="0"/>
    <x v="1"/>
    <s v="Account"/>
    <s v="Remondis Electrical Comp. (E-Waste)"/>
    <m/>
    <s v="423032066600_RELECTRIC"/>
    <s v="ELECTRICAL COMP. E-WASTE"/>
    <s v="Remondis"/>
    <m/>
    <m/>
    <d v="2021-01-01T00:00:00"/>
    <d v="2021-01-01T00:00:00"/>
    <s v="FY21"/>
    <s v="t"/>
    <n v="0"/>
    <n v="0"/>
    <n v="7.0000000000000001E-3"/>
    <n v="7.0000000000000001E-3"/>
    <n v="0"/>
    <n v="0"/>
    <n v="1"/>
    <n v="1"/>
    <n v="0"/>
    <n v="0"/>
    <n v="100"/>
    <s v="Consolidation"/>
    <s v="CO2e and Base Measure"/>
    <n v="100"/>
    <n v="100"/>
    <n v="0.01"/>
    <m/>
    <m/>
    <m/>
    <m/>
    <m/>
    <m/>
    <m/>
    <m/>
    <m/>
    <m/>
    <m/>
    <m/>
    <m/>
    <s v="AUD"/>
    <s v="13565902Waste Recycled - E-waste [t]"/>
    <n v="13565902"/>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0-07-01T00:00:00"/>
    <s v="FY21"/>
    <s v="t"/>
    <n v="0.92"/>
    <n v="0.58499999999999996"/>
    <n v="0"/>
    <n v="1.5049999999999999"/>
    <n v="5"/>
    <n v="3"/>
    <n v="0"/>
    <n v="8"/>
    <n v="61.12"/>
    <n v="38.869999999999997"/>
    <n v="0"/>
    <s v="Consolidation"/>
    <s v="CO2e and Base Measure"/>
    <n v="100"/>
    <n v="100"/>
    <n v="1.51"/>
    <m/>
    <m/>
    <m/>
    <m/>
    <m/>
    <n v="1.9564999999999999"/>
    <m/>
    <n v="1.9564999999999999"/>
    <m/>
    <m/>
    <m/>
    <m/>
    <m/>
    <s v="AUD"/>
    <s v="13565903Waste - General [t] - Scope 3"/>
    <n v="13565903"/>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0-08-01T00:00:00"/>
    <s v="FY21"/>
    <s v="t"/>
    <n v="0.12"/>
    <n v="0"/>
    <n v="0"/>
    <n v="0.12"/>
    <n v="1"/>
    <n v="0"/>
    <n v="0"/>
    <n v="1"/>
    <n v="100"/>
    <n v="0"/>
    <n v="0"/>
    <s v="Consolidation"/>
    <s v="CO2e and Base Measure"/>
    <n v="100"/>
    <n v="100"/>
    <n v="0.12"/>
    <m/>
    <m/>
    <m/>
    <m/>
    <m/>
    <n v="0.156"/>
    <m/>
    <n v="0.156"/>
    <m/>
    <m/>
    <m/>
    <m/>
    <m/>
    <s v="AUD"/>
    <s v="13565903Waste - General [t] - Scope 3"/>
    <n v="13565903"/>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0-10-01T00:00:00"/>
    <s v="FY21"/>
    <s v="t"/>
    <n v="0.24"/>
    <n v="0"/>
    <n v="0"/>
    <n v="0.24"/>
    <n v="1"/>
    <n v="0"/>
    <n v="0"/>
    <n v="1"/>
    <n v="100"/>
    <n v="0"/>
    <n v="0"/>
    <s v="Consolidation"/>
    <s v="CO2e and Base Measure"/>
    <n v="100"/>
    <n v="100"/>
    <n v="0.24"/>
    <m/>
    <m/>
    <m/>
    <m/>
    <m/>
    <n v="0.312"/>
    <m/>
    <n v="0.312"/>
    <m/>
    <m/>
    <m/>
    <m/>
    <m/>
    <s v="AUD"/>
    <s v="13565903Waste - General [t] - Scope 3"/>
    <n v="13565903"/>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903Waste - General [t] - Scope 3"/>
    <n v="13565903"/>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1-01-01T00:00:00"/>
    <s v="FY21"/>
    <s v="t"/>
    <n v="0"/>
    <n v="0"/>
    <n v="1.4500000000000001E-2"/>
    <n v="1.4500000000000001E-2"/>
    <n v="0"/>
    <n v="0"/>
    <n v="1"/>
    <n v="1"/>
    <n v="0"/>
    <n v="0"/>
    <n v="100"/>
    <s v="Consolidation"/>
    <s v="CO2e and Base Measure"/>
    <n v="100"/>
    <n v="100"/>
    <n v="0.01"/>
    <m/>
    <m/>
    <m/>
    <m/>
    <m/>
    <n v="1.89E-2"/>
    <m/>
    <n v="1.89E-2"/>
    <m/>
    <m/>
    <m/>
    <m/>
    <m/>
    <s v="AUD"/>
    <s v="13565903Waste - General [t] - Scope 3"/>
    <n v="13565903"/>
  </r>
  <r>
    <d v="2019-07-01T00:00:00"/>
    <d v="2021-06-30T00:00:00"/>
    <s v="Telstra"/>
    <s v="NON-NETWORK"/>
    <s v="NON-NETWORK"/>
    <s v="VIC"/>
    <s v="Australia"/>
    <s v="Hoppers Crossing"/>
    <s v="WHOLE PROPERTY"/>
    <n v="423032066600"/>
    <s v="Recycled Waste"/>
    <x v="0"/>
    <x v="5"/>
    <s v="Account"/>
    <s v="Remondis Metal - Mixed All"/>
    <m/>
    <s v="423032066600_RMETMIXED"/>
    <s v="METAL - MIXED ALL"/>
    <s v="Remondis"/>
    <m/>
    <m/>
    <d v="2020-12-01T00:00:00"/>
    <d v="2020-10-01T00:00:00"/>
    <s v="FY21"/>
    <s v="t"/>
    <n v="0.35099999999999998"/>
    <n v="0"/>
    <n v="0"/>
    <n v="0.35099999999999998"/>
    <n v="1"/>
    <n v="0"/>
    <n v="0"/>
    <n v="1"/>
    <n v="100"/>
    <n v="0"/>
    <n v="0"/>
    <s v="Consolidation"/>
    <s v="CO2e and Base Measure"/>
    <n v="100"/>
    <n v="100"/>
    <n v="0.35"/>
    <m/>
    <m/>
    <m/>
    <m/>
    <m/>
    <m/>
    <m/>
    <m/>
    <m/>
    <m/>
    <m/>
    <m/>
    <m/>
    <s v="AUD"/>
    <s v="13565904Waste Recycled - Construction and Demolition [t]"/>
    <n v="13565904"/>
  </r>
  <r>
    <d v="2019-07-01T00:00:00"/>
    <d v="2021-06-30T00:00:00"/>
    <s v="Telstra"/>
    <s v="NON-NETWORK"/>
    <s v="NON-NETWORK"/>
    <s v="VIC"/>
    <s v="Australia"/>
    <s v="Hoppers Crossing"/>
    <s v="WHOLE PROPERTY"/>
    <n v="423032066600"/>
    <s v="Recycled Waste"/>
    <x v="0"/>
    <x v="5"/>
    <s v="Account"/>
    <s v="Remondis Metal - Mixed All"/>
    <m/>
    <s v="423032066600_RMETMIXED"/>
    <s v="METAL - MIXED ALL"/>
    <s v="Remondis"/>
    <m/>
    <m/>
    <d v="2020-12-01T00:00:00"/>
    <d v="2020-11-01T00:00:00"/>
    <s v="FY21"/>
    <s v="t"/>
    <n v="0.64"/>
    <n v="0"/>
    <n v="0"/>
    <n v="0.64"/>
    <n v="2"/>
    <n v="0"/>
    <n v="0"/>
    <n v="2"/>
    <n v="100"/>
    <n v="0"/>
    <n v="0"/>
    <s v="Consolidation"/>
    <s v="CO2e and Base Measure"/>
    <n v="100"/>
    <n v="100"/>
    <n v="0.64"/>
    <m/>
    <m/>
    <m/>
    <m/>
    <m/>
    <m/>
    <m/>
    <m/>
    <m/>
    <m/>
    <m/>
    <m/>
    <m/>
    <s v="AUD"/>
    <s v="13565904Waste Recycled - Construction and Demolition [t]"/>
    <n v="13565904"/>
  </r>
  <r>
    <d v="2019-07-01T00:00:00"/>
    <d v="2021-06-30T00:00:00"/>
    <s v="Telstra"/>
    <s v="NON-NETWORK"/>
    <s v="NON-NETWORK"/>
    <s v="VIC"/>
    <s v="Australia"/>
    <s v="Hoppers Crossing"/>
    <s v="WHOLE PROPERTY"/>
    <n v="423032066600"/>
    <s v="Recycled Waste"/>
    <x v="0"/>
    <x v="5"/>
    <s v="Account"/>
    <s v="Remondis Metal - Mixed All"/>
    <m/>
    <s v="423032066600_RMETMIXED"/>
    <s v="METAL - MIXED ALL"/>
    <s v="Remondis"/>
    <m/>
    <m/>
    <d v="2020-12-01T00:00:00"/>
    <d v="2020-12-01T00:00:00"/>
    <s v="FY21"/>
    <s v="t"/>
    <n v="0"/>
    <n v="0"/>
    <n v="1.6500000000000001E-2"/>
    <n v="1.6500000000000001E-2"/>
    <n v="0"/>
    <n v="0"/>
    <n v="1"/>
    <n v="1"/>
    <n v="0"/>
    <n v="0"/>
    <n v="100"/>
    <s v="Consolidation"/>
    <s v="CO2e and Base Measure"/>
    <n v="100"/>
    <n v="100"/>
    <n v="0.02"/>
    <m/>
    <m/>
    <m/>
    <m/>
    <m/>
    <m/>
    <m/>
    <m/>
    <m/>
    <m/>
    <m/>
    <m/>
    <m/>
    <s v="AUD"/>
    <s v="13565904Waste Recycled - Construction and Demolition [t]"/>
    <n v="13565904"/>
  </r>
  <r>
    <d v="2019-07-01T00:00:00"/>
    <d v="2021-06-30T00:00:00"/>
    <s v="Telstra"/>
    <s v="NETWORK"/>
    <s v="Network - InfraCo"/>
    <s v="SA"/>
    <s v="Australia"/>
    <s v="Whyalla"/>
    <s v="WHYALLA EXCHANGE"/>
    <n v="423030693700"/>
    <s v="Waste"/>
    <x v="1"/>
    <x v="2"/>
    <s v="Account"/>
    <s v="CLEANAWAY General"/>
    <m/>
    <s v="12597_Landfill_General"/>
    <s v="General"/>
    <s v="Cleanaway"/>
    <m/>
    <d v="2021-01-20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482Waste - General [t] - Scope 3"/>
    <n v="13634482"/>
  </r>
  <r>
    <d v="2019-07-01T00:00:00"/>
    <d v="2021-06-30T00:00:00"/>
    <s v="Telstra"/>
    <s v="NETWORK"/>
    <s v="Network - InfraCo"/>
    <s v="SA"/>
    <s v="Australia"/>
    <s v="Whyalla"/>
    <s v="WHYALLA EXCHANGE"/>
    <n v="423030693700"/>
    <s v="Waste"/>
    <x v="1"/>
    <x v="2"/>
    <s v="Account"/>
    <s v="CLEANAWAY General"/>
    <m/>
    <s v="12597_Landfill_General"/>
    <s v="General"/>
    <s v="Cleanaway"/>
    <m/>
    <d v="2021-01-20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482Waste - General [t] - Scope 3"/>
    <n v="13634482"/>
  </r>
  <r>
    <d v="2019-07-01T00:00:00"/>
    <d v="2021-06-30T00:00:00"/>
    <s v="Telstra"/>
    <s v="NETWORK"/>
    <s v="Network - InfraCo"/>
    <s v="SA"/>
    <s v="Australia"/>
    <s v="Whyalla"/>
    <s v="WHYALLA EXCHANGE"/>
    <n v="423030693700"/>
    <s v="Waste"/>
    <x v="1"/>
    <x v="2"/>
    <s v="Account"/>
    <s v="CLEANAWAY General"/>
    <m/>
    <s v="12597_Landfill_General"/>
    <s v="General"/>
    <s v="Cleanaway"/>
    <m/>
    <d v="2021-01-20T00:00:00"/>
    <m/>
    <d v="2021-04-01T00:00:00"/>
    <s v="FY21"/>
    <s v="t"/>
    <n v="0"/>
    <n v="0"/>
    <n v="4.4999999999999998E-2"/>
    <n v="4.4999999999999998E-2"/>
    <n v="0"/>
    <n v="0"/>
    <n v="30"/>
    <n v="30"/>
    <n v="0"/>
    <n v="0"/>
    <n v="100"/>
    <s v="Consolidation"/>
    <s v="CO2e and Base Measure"/>
    <n v="100"/>
    <n v="100"/>
    <n v="0.05"/>
    <m/>
    <m/>
    <m/>
    <m/>
    <m/>
    <n v="5.8500000000000003E-2"/>
    <m/>
    <n v="5.8500000000000003E-2"/>
    <m/>
    <m/>
    <m/>
    <m/>
    <m/>
    <s v="AUD"/>
    <s v="13634482Waste - General [t] - Scope 3"/>
    <n v="13634482"/>
  </r>
  <r>
    <d v="2019-07-01T00:00:00"/>
    <d v="2021-06-30T00:00:00"/>
    <s v="Telstra"/>
    <s v="NETWORK"/>
    <s v="Network - InfraCo"/>
    <s v="SA"/>
    <s v="Australia"/>
    <s v="Whyalla"/>
    <s v="WHYALLA EXCHANGE"/>
    <n v="423030693700"/>
    <s v="Waste"/>
    <x v="1"/>
    <x v="2"/>
    <s v="Account"/>
    <s v="CLEANAWAY General"/>
    <m/>
    <s v="12597_Landfill_General"/>
    <s v="General"/>
    <s v="Cleanaway"/>
    <m/>
    <d v="2021-01-20T00:00:00"/>
    <m/>
    <d v="2021-05-01T00:00:00"/>
    <s v="FY21"/>
    <s v="t"/>
    <n v="0"/>
    <n v="0"/>
    <n v="4.65E-2"/>
    <n v="4.65E-2"/>
    <n v="0"/>
    <n v="0"/>
    <n v="31"/>
    <n v="31"/>
    <n v="0"/>
    <n v="0"/>
    <n v="100"/>
    <s v="Consolidation"/>
    <s v="CO2e and Base Measure"/>
    <n v="100"/>
    <n v="100"/>
    <n v="0.05"/>
    <m/>
    <m/>
    <m/>
    <m/>
    <m/>
    <n v="6.0499999999999998E-2"/>
    <m/>
    <n v="6.0499999999999998E-2"/>
    <m/>
    <m/>
    <m/>
    <m/>
    <m/>
    <s v="AUD"/>
    <s v="13634482Waste - General [t] - Scope 3"/>
    <n v="13634482"/>
  </r>
  <r>
    <d v="2019-07-01T00:00:00"/>
    <d v="2021-06-30T00:00:00"/>
    <s v="Telstra"/>
    <s v="NETWORK"/>
    <s v="Network - InfraCo"/>
    <s v="SA"/>
    <s v="Australia"/>
    <s v="Whyalla"/>
    <s v="WHYALLA EXCHANGE"/>
    <n v="423030693700"/>
    <s v="Recycled Waste"/>
    <x v="0"/>
    <x v="0"/>
    <s v="Account"/>
    <s v="CLEANAWAY Cardboard"/>
    <m/>
    <s v="12597_Diversion_Cardboard"/>
    <s v="Cardboard"/>
    <s v="Cleanaway"/>
    <m/>
    <d v="2021-02-11T00:00:00"/>
    <m/>
    <d v="2021-02-01T00:00:00"/>
    <s v="FY21"/>
    <s v="t"/>
    <n v="0"/>
    <n v="3.7499999999999999E-2"/>
    <n v="0"/>
    <n v="3.7499999999999999E-2"/>
    <n v="0"/>
    <n v="1"/>
    <n v="0"/>
    <n v="1"/>
    <n v="0"/>
    <n v="100"/>
    <n v="0"/>
    <s v="Consolidation"/>
    <s v="CO2e and Base Measure"/>
    <n v="100"/>
    <n v="100"/>
    <n v="0.04"/>
    <m/>
    <m/>
    <m/>
    <m/>
    <m/>
    <m/>
    <m/>
    <m/>
    <m/>
    <m/>
    <m/>
    <m/>
    <m/>
    <s v="AUD"/>
    <s v="13639918Waste Recycled - Paper and Cardboard [t]"/>
    <n v="13639918"/>
  </r>
  <r>
    <d v="2019-07-01T00:00:00"/>
    <d v="2021-06-30T00:00:00"/>
    <s v="Telstra"/>
    <s v="NETWORK"/>
    <s v="Network - InfraCo"/>
    <s v="SA"/>
    <s v="Australia"/>
    <s v="Whyalla"/>
    <s v="WHYALLA EXCHANGE"/>
    <n v="423030693700"/>
    <s v="Recycled Waste"/>
    <x v="0"/>
    <x v="0"/>
    <s v="Account"/>
    <s v="CLEANAWAY Cardboard"/>
    <m/>
    <s v="12597_Diversion_Cardboard"/>
    <s v="Cardboard"/>
    <s v="Cleanaway"/>
    <m/>
    <d v="2021-02-11T00:00:00"/>
    <m/>
    <d v="2021-03-01T00:00:00"/>
    <s v="FY21"/>
    <s v="t"/>
    <n v="0"/>
    <n v="3.7499999999999999E-2"/>
    <n v="0"/>
    <n v="3.7499999999999999E-2"/>
    <n v="0"/>
    <n v="1"/>
    <n v="0"/>
    <n v="1"/>
    <n v="0"/>
    <n v="100"/>
    <n v="0"/>
    <s v="Consolidation"/>
    <s v="CO2e and Base Measure"/>
    <n v="100"/>
    <n v="100"/>
    <n v="0.04"/>
    <m/>
    <m/>
    <m/>
    <m/>
    <m/>
    <m/>
    <m/>
    <m/>
    <m/>
    <m/>
    <m/>
    <m/>
    <m/>
    <s v="AUD"/>
    <s v="13639918Waste Recycled - Paper and Cardboard [t]"/>
    <n v="13639918"/>
  </r>
  <r>
    <d v="2019-07-01T00:00:00"/>
    <d v="2021-06-30T00:00:00"/>
    <s v="Telstra"/>
    <s v="NETWORK"/>
    <s v="Network - InfraCo"/>
    <s v="SA"/>
    <s v="Australia"/>
    <s v="Whyalla"/>
    <s v="WHYALLA EXCHANGE"/>
    <n v="423030693700"/>
    <s v="Recycled Waste"/>
    <x v="0"/>
    <x v="0"/>
    <s v="Account"/>
    <s v="CLEANAWAY Cardboard"/>
    <m/>
    <s v="12597_Diversion_Cardboard"/>
    <s v="Cardboard"/>
    <s v="Cleanaway"/>
    <m/>
    <d v="2021-02-11T00:00:00"/>
    <m/>
    <d v="2021-04-01T00:00:00"/>
    <s v="FY21"/>
    <s v="t"/>
    <n v="0"/>
    <n v="0"/>
    <n v="3.9E-2"/>
    <n v="3.9E-2"/>
    <n v="0"/>
    <n v="0"/>
    <n v="30"/>
    <n v="30"/>
    <n v="0"/>
    <n v="0"/>
    <n v="100"/>
    <s v="Consolidation"/>
    <s v="CO2e and Base Measure"/>
    <n v="100"/>
    <n v="100"/>
    <n v="0.04"/>
    <m/>
    <m/>
    <m/>
    <m/>
    <m/>
    <m/>
    <m/>
    <m/>
    <m/>
    <m/>
    <m/>
    <m/>
    <m/>
    <s v="AUD"/>
    <s v="13639918Waste Recycled - Paper and Cardboard [t]"/>
    <n v="13639918"/>
  </r>
  <r>
    <d v="2019-07-01T00:00:00"/>
    <d v="2021-06-30T00:00:00"/>
    <s v="Telstra"/>
    <s v="NETWORK"/>
    <s v="Network - InfraCo"/>
    <s v="SA"/>
    <s v="Australia"/>
    <s v="Whyalla"/>
    <s v="WHYALLA EXCHANGE"/>
    <n v="423030693700"/>
    <s v="Recycled Waste"/>
    <x v="0"/>
    <x v="0"/>
    <s v="Account"/>
    <s v="CLEANAWAY Cardboard"/>
    <m/>
    <s v="12597_Diversion_Cardboard"/>
    <s v="Cardboard"/>
    <s v="Cleanaway"/>
    <m/>
    <d v="2021-02-11T00:00:00"/>
    <m/>
    <d v="2021-05-01T00:00:00"/>
    <s v="FY21"/>
    <s v="t"/>
    <n v="0"/>
    <n v="0"/>
    <n v="4.0300000000000002E-2"/>
    <n v="4.0300000000000002E-2"/>
    <n v="0"/>
    <n v="0"/>
    <n v="31"/>
    <n v="31"/>
    <n v="0"/>
    <n v="0"/>
    <n v="100"/>
    <s v="Consolidation"/>
    <s v="CO2e and Base Measure"/>
    <n v="100"/>
    <n v="100"/>
    <n v="0.04"/>
    <m/>
    <m/>
    <m/>
    <m/>
    <m/>
    <m/>
    <m/>
    <m/>
    <m/>
    <m/>
    <m/>
    <m/>
    <m/>
    <s v="AUD"/>
    <s v="13639918Waste Recycled - Paper and Cardboard [t]"/>
    <n v="1363991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07-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08-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10-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12-01T00:00:00"/>
    <s v="FY21"/>
    <s v="t"/>
    <n v="0"/>
    <n v="0"/>
    <n v="1E-3"/>
    <n v="1E-3"/>
    <n v="0"/>
    <n v="0"/>
    <n v="1"/>
    <n v="1"/>
    <n v="0"/>
    <n v="0"/>
    <n v="100"/>
    <s v="Consolidation"/>
    <s v="CO2e and Base Measure"/>
    <n v="100"/>
    <n v="100"/>
    <n v="0"/>
    <m/>
    <m/>
    <m/>
    <m/>
    <m/>
    <m/>
    <n v="0"/>
    <m/>
    <m/>
    <m/>
    <m/>
    <m/>
    <m/>
    <s v="AUD"/>
    <s v="13564768Waste Recycled - Cardboard [t]"/>
    <n v="13564768"/>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1-01-01T00:00:00"/>
    <s v="FY21"/>
    <s v="t"/>
    <n v="0"/>
    <n v="0"/>
    <n v="6.0000000000000001E-3"/>
    <n v="6.0000000000000001E-3"/>
    <n v="0"/>
    <n v="0"/>
    <n v="1"/>
    <n v="1"/>
    <n v="0"/>
    <n v="0"/>
    <n v="100"/>
    <s v="Consolidation"/>
    <s v="CO2e and Base Measure"/>
    <n v="100"/>
    <n v="100"/>
    <n v="0.01"/>
    <m/>
    <m/>
    <m/>
    <m/>
    <m/>
    <n v="7.7999999999999996E-3"/>
    <m/>
    <n v="7.7999999999999996E-3"/>
    <m/>
    <m/>
    <m/>
    <m/>
    <m/>
    <s v="AUD"/>
    <s v="13564769Waste - General [t] - Scope 3"/>
    <n v="13564769"/>
  </r>
  <r>
    <d v="2019-07-01T00:00:00"/>
    <d v="2021-06-30T00:00:00"/>
    <s v="Telstra"/>
    <s v="NETWORK"/>
    <s v="Network - InfraCo"/>
    <s v="NSW"/>
    <s v="Australia"/>
    <s v="Castlecrag"/>
    <s v="WILLOUGHBY EXCHANGE"/>
    <n v="423030320100"/>
    <s v="Recycled Waste"/>
    <x v="0"/>
    <x v="5"/>
    <s v="Account"/>
    <s v="Remondis Construction &amp; Demolition - Recycled"/>
    <m/>
    <s v="423030320100_RCONSDEM"/>
    <s v="CONSTRUCTION &amp; DEMOLITION - RECYLED"/>
    <s v="Remondis"/>
    <m/>
    <d v="2020-09-23T00:00:00"/>
    <d v="2020-12-01T00:00:00"/>
    <d v="2020-09-01T00:00:00"/>
    <s v="FY21"/>
    <s v="t"/>
    <n v="0"/>
    <n v="3.75"/>
    <n v="0"/>
    <n v="3.75"/>
    <n v="0"/>
    <n v="1"/>
    <n v="0"/>
    <n v="1"/>
    <n v="0"/>
    <n v="100"/>
    <n v="0"/>
    <s v="Consolidation"/>
    <s v="CO2e and Base Measure"/>
    <n v="100"/>
    <n v="100"/>
    <n v="3.75"/>
    <m/>
    <m/>
    <m/>
    <m/>
    <m/>
    <m/>
    <m/>
    <m/>
    <m/>
    <m/>
    <m/>
    <m/>
    <m/>
    <s v="AUD"/>
    <s v="13629331Waste Recycled - Construction and Demolition [t]"/>
    <n v="13629331"/>
  </r>
  <r>
    <d v="2019-07-01T00:00:00"/>
    <d v="2021-06-30T00:00:00"/>
    <s v="Telstra"/>
    <s v="NETWORK"/>
    <s v="Network - InfraCo"/>
    <s v="NSW"/>
    <s v="Australia"/>
    <s v="Castlecrag"/>
    <s v="WILLOUGHBY EXCHANGE"/>
    <n v="423030320100"/>
    <s v="Recycled Waste"/>
    <x v="0"/>
    <x v="5"/>
    <s v="Account"/>
    <s v="Remondis Construction &amp; Demolition - Recycled"/>
    <m/>
    <s v="423030320100_RCONSDEM"/>
    <s v="CONSTRUCTION &amp; DEMOLITION - RECYLED"/>
    <s v="Remondis"/>
    <m/>
    <d v="2020-09-23T00:00:00"/>
    <d v="2020-12-01T00:00:00"/>
    <d v="2020-10-01T00:00:00"/>
    <s v="FY21"/>
    <s v="t"/>
    <n v="2.7"/>
    <n v="0"/>
    <n v="0"/>
    <n v="2.7"/>
    <n v="1"/>
    <n v="0"/>
    <n v="0"/>
    <n v="1"/>
    <n v="100"/>
    <n v="0"/>
    <n v="0"/>
    <s v="Consolidation"/>
    <s v="CO2e and Base Measure"/>
    <n v="100"/>
    <n v="100"/>
    <n v="2.7"/>
    <m/>
    <m/>
    <m/>
    <m/>
    <m/>
    <m/>
    <m/>
    <m/>
    <m/>
    <m/>
    <m/>
    <m/>
    <m/>
    <s v="AUD"/>
    <s v="13629331Waste Recycled - Construction and Demolition [t]"/>
    <n v="13629331"/>
  </r>
  <r>
    <d v="2019-07-01T00:00:00"/>
    <d v="2021-06-30T00:00:00"/>
    <s v="Telstra"/>
    <s v="NETWORK"/>
    <s v="Network - InfraCo"/>
    <s v="NSW"/>
    <s v="Australia"/>
    <s v="Castlecrag"/>
    <s v="WILLOUGHBY EXCHANGE"/>
    <n v="423030320100"/>
    <s v="Recycled Waste"/>
    <x v="0"/>
    <x v="5"/>
    <s v="Account"/>
    <s v="Remondis Construction &amp; Demolition - Recycled"/>
    <m/>
    <s v="423030320100_RCONSDEM"/>
    <s v="CONSTRUCTION &amp; DEMOLITION - RECYLED"/>
    <s v="Remondis"/>
    <m/>
    <d v="2020-09-23T00:00:00"/>
    <d v="2020-12-01T00:00:00"/>
    <d v="2020-11-01T00:00:00"/>
    <s v="FY21"/>
    <s v="t"/>
    <n v="3.68"/>
    <n v="0"/>
    <n v="0"/>
    <n v="3.68"/>
    <n v="1"/>
    <n v="0"/>
    <n v="0"/>
    <n v="1"/>
    <n v="100"/>
    <n v="0"/>
    <n v="0"/>
    <s v="Consolidation"/>
    <s v="CO2e and Base Measure"/>
    <n v="100"/>
    <n v="100"/>
    <n v="3.68"/>
    <m/>
    <m/>
    <m/>
    <m/>
    <m/>
    <m/>
    <m/>
    <m/>
    <m/>
    <m/>
    <m/>
    <m/>
    <m/>
    <s v="AUD"/>
    <s v="13629331Waste Recycled - Construction and Demolition [t]"/>
    <n v="13629331"/>
  </r>
  <r>
    <d v="2019-07-01T00:00:00"/>
    <d v="2021-06-30T00:00:00"/>
    <s v="Telstra"/>
    <s v="NETWORK"/>
    <s v="Network - InfraCo"/>
    <s v="NSW"/>
    <s v="Australia"/>
    <s v="Castlecrag"/>
    <s v="WILLOUGHBY EXCHANGE"/>
    <n v="423030320100"/>
    <s v="Recycled Waste"/>
    <x v="0"/>
    <x v="5"/>
    <s v="Account"/>
    <s v="Remondis Construction &amp; Demolition - Recycled"/>
    <m/>
    <s v="423030320100_RCONSDEM"/>
    <s v="CONSTRUCTION &amp; DEMOLITION - RECYLED"/>
    <s v="Remondis"/>
    <m/>
    <d v="2020-09-23T00:00:00"/>
    <d v="2020-12-01T00:00:00"/>
    <d v="2020-12-01T00:00:00"/>
    <s v="FY21"/>
    <s v="t"/>
    <n v="0"/>
    <n v="0"/>
    <n v="0.11260000000000001"/>
    <n v="0.11260000000000001"/>
    <n v="0"/>
    <n v="0"/>
    <n v="1"/>
    <n v="1"/>
    <n v="0"/>
    <n v="0"/>
    <n v="100"/>
    <s v="Consolidation"/>
    <s v="CO2e and Base Measure"/>
    <n v="100"/>
    <n v="100"/>
    <n v="0.11"/>
    <m/>
    <m/>
    <m/>
    <m/>
    <m/>
    <m/>
    <m/>
    <m/>
    <m/>
    <m/>
    <m/>
    <m/>
    <m/>
    <s v="AUD"/>
    <s v="13629331Waste Recycled - Construction and Demolition [t]"/>
    <n v="13629331"/>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07-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08-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09-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10-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11-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1-01-01T00:00:00"/>
    <s v="FY21"/>
    <s v="t"/>
    <n v="0"/>
    <n v="0"/>
    <n v="8.0000000000000004E-4"/>
    <n v="8.0000000000000004E-4"/>
    <n v="0"/>
    <n v="0"/>
    <n v="1"/>
    <n v="1"/>
    <n v="0"/>
    <n v="0"/>
    <n v="100"/>
    <s v="Consolidation"/>
    <s v="CO2e and Base Measure"/>
    <n v="100"/>
    <n v="100"/>
    <n v="0"/>
    <m/>
    <m/>
    <m/>
    <m/>
    <m/>
    <m/>
    <n v="0"/>
    <m/>
    <m/>
    <m/>
    <m/>
    <m/>
    <m/>
    <s v="AUD"/>
    <s v="13565237Waste Recycled - Cardboard [t]"/>
    <n v="13565237"/>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07-01T00:00:00"/>
    <s v="FY21"/>
    <s v="t"/>
    <n v="0"/>
    <n v="0.14399999999999999"/>
    <n v="0"/>
    <n v="0.14399999999999999"/>
    <n v="0"/>
    <n v="2"/>
    <n v="0"/>
    <n v="2"/>
    <n v="0"/>
    <n v="100"/>
    <n v="0"/>
    <s v="Consolidation"/>
    <s v="CO2e and Base Measure"/>
    <n v="100"/>
    <n v="100"/>
    <n v="0.14000000000000001"/>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08-01T00:00:00"/>
    <s v="FY21"/>
    <s v="t"/>
    <n v="0"/>
    <n v="4.8000000000000001E-2"/>
    <n v="0"/>
    <n v="4.8000000000000001E-2"/>
    <n v="0"/>
    <n v="2"/>
    <n v="0"/>
    <n v="2"/>
    <n v="0"/>
    <n v="100"/>
    <n v="0"/>
    <s v="Consolidation"/>
    <s v="CO2e and Base Measure"/>
    <n v="100"/>
    <n v="100"/>
    <n v="0.05"/>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09-01T00:00:00"/>
    <s v="FY21"/>
    <s v="t"/>
    <n v="0"/>
    <n v="7.1999999999999995E-2"/>
    <n v="0"/>
    <n v="7.1999999999999995E-2"/>
    <n v="0"/>
    <n v="2"/>
    <n v="0"/>
    <n v="2"/>
    <n v="0"/>
    <n v="100"/>
    <n v="0"/>
    <s v="Consolidation"/>
    <s v="CO2e and Base Measure"/>
    <n v="100"/>
    <n v="100"/>
    <n v="7.0000000000000007E-2"/>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10-01T00:00:00"/>
    <s v="FY21"/>
    <s v="t"/>
    <n v="0"/>
    <n v="2.4E-2"/>
    <n v="0"/>
    <n v="2.4E-2"/>
    <n v="0"/>
    <n v="1"/>
    <n v="0"/>
    <n v="1"/>
    <n v="0"/>
    <n v="100"/>
    <n v="0"/>
    <s v="Consolidation"/>
    <s v="CO2e and Base Measure"/>
    <n v="100"/>
    <n v="100"/>
    <n v="0.02"/>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11-01T00:00:00"/>
    <s v="FY21"/>
    <s v="t"/>
    <n v="0"/>
    <n v="9.6000000000000002E-2"/>
    <n v="0"/>
    <n v="9.6000000000000002E-2"/>
    <n v="0"/>
    <n v="2"/>
    <n v="0"/>
    <n v="2"/>
    <n v="0"/>
    <n v="100"/>
    <n v="0"/>
    <s v="Consolidation"/>
    <s v="CO2e and Base Measure"/>
    <n v="100"/>
    <n v="100"/>
    <n v="0.1"/>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12-01T00:00:00"/>
    <s v="FY21"/>
    <s v="t"/>
    <n v="0"/>
    <n v="0"/>
    <n v="2.5000000000000001E-3"/>
    <n v="2.5000000000000001E-3"/>
    <n v="0"/>
    <n v="0"/>
    <n v="1"/>
    <n v="1"/>
    <n v="0"/>
    <n v="0"/>
    <n v="100"/>
    <s v="Consolidation"/>
    <s v="CO2e and Base Measure"/>
    <n v="100"/>
    <n v="100"/>
    <n v="0"/>
    <m/>
    <m/>
    <m/>
    <m/>
    <m/>
    <m/>
    <n v="0"/>
    <m/>
    <m/>
    <m/>
    <m/>
    <m/>
    <m/>
    <s v="AUD"/>
    <s v="13565238Waste Recycled - Commingled [t]"/>
    <n v="13565238"/>
  </r>
  <r>
    <d v="2019-07-01T00:00:00"/>
    <d v="2021-06-30T00:00:00"/>
    <s v="Telstra"/>
    <s v="NETWORK"/>
    <s v="Network - InfraCo"/>
    <s v="VIC"/>
    <s v="Australia"/>
    <s v="Windsor"/>
    <s v="WINDSOR EXCHANGE 160 PEEL ST"/>
    <n v="423030777800"/>
    <s v="Recycled Waste"/>
    <x v="0"/>
    <x v="1"/>
    <s v="Account"/>
    <s v="Remondis Electrical Comp. (E-Waste)"/>
    <m/>
    <s v="423030777800_RELECTRIC"/>
    <s v="ELECTRICAL COMP. E-WASTE"/>
    <s v="Remondis"/>
    <m/>
    <m/>
    <d v="2020-12-01T00:00:00"/>
    <d v="2020-08-01T00:00:00"/>
    <s v="FY21"/>
    <s v="t"/>
    <n v="0"/>
    <n v="0.12540000000000001"/>
    <n v="0"/>
    <n v="0.12540000000000001"/>
    <n v="0"/>
    <n v="1"/>
    <n v="0"/>
    <n v="1"/>
    <n v="0"/>
    <n v="100"/>
    <n v="0"/>
    <s v="Consolidation"/>
    <s v="CO2e and Base Measure"/>
    <n v="100"/>
    <n v="100"/>
    <n v="0.13"/>
    <m/>
    <m/>
    <m/>
    <m/>
    <m/>
    <m/>
    <m/>
    <m/>
    <m/>
    <m/>
    <m/>
    <m/>
    <m/>
    <s v="AUD"/>
    <s v="13565239Waste Recycled - E-waste [t]"/>
    <n v="13565239"/>
  </r>
  <r>
    <d v="2019-07-01T00:00:00"/>
    <d v="2021-06-30T00:00:00"/>
    <s v="Telstra"/>
    <s v="NETWORK"/>
    <s v="Network - InfraCo"/>
    <s v="VIC"/>
    <s v="Australia"/>
    <s v="Windsor"/>
    <s v="WINDSOR EXCHANGE 160 PEEL ST"/>
    <n v="423030777800"/>
    <s v="Recycled Waste"/>
    <x v="0"/>
    <x v="1"/>
    <s v="Account"/>
    <s v="Remondis Electrical Comp. (E-Waste)"/>
    <m/>
    <s v="423030777800_RELECTRIC"/>
    <s v="ELECTRICAL COMP. E-WASTE"/>
    <s v="Remondis"/>
    <m/>
    <m/>
    <d v="2020-12-01T00:00:00"/>
    <d v="2020-11-01T00:00:00"/>
    <s v="FY21"/>
    <s v="t"/>
    <n v="0"/>
    <n v="0.12540000000000001"/>
    <n v="0"/>
    <n v="0.12540000000000001"/>
    <n v="0"/>
    <n v="1"/>
    <n v="0"/>
    <n v="1"/>
    <n v="0"/>
    <n v="100"/>
    <n v="0"/>
    <s v="Consolidation"/>
    <s v="CO2e and Base Measure"/>
    <n v="100"/>
    <n v="100"/>
    <n v="0.13"/>
    <m/>
    <m/>
    <m/>
    <m/>
    <m/>
    <m/>
    <m/>
    <m/>
    <m/>
    <m/>
    <m/>
    <m/>
    <m/>
    <s v="AUD"/>
    <s v="13565239Waste Recycled - E-waste [t]"/>
    <n v="13565239"/>
  </r>
  <r>
    <d v="2019-07-01T00:00:00"/>
    <d v="2021-06-30T00:00:00"/>
    <s v="Telstra"/>
    <s v="NETWORK"/>
    <s v="Network - InfraCo"/>
    <s v="VIC"/>
    <s v="Australia"/>
    <s v="Windsor"/>
    <s v="WINDSOR EXCHANGE 160 PEEL ST"/>
    <n v="423030777800"/>
    <s v="Recycled Waste"/>
    <x v="0"/>
    <x v="1"/>
    <s v="Account"/>
    <s v="Remondis Electrical Comp. (E-Waste)"/>
    <m/>
    <s v="423030777800_RELECTRIC"/>
    <s v="ELECTRICAL COMP. E-WASTE"/>
    <s v="Remondis"/>
    <m/>
    <m/>
    <d v="2020-12-01T00:00:00"/>
    <d v="2020-12-01T00:00:00"/>
    <s v="FY21"/>
    <s v="t"/>
    <n v="0"/>
    <n v="0"/>
    <n v="2.0999999999999999E-3"/>
    <n v="2.0999999999999999E-3"/>
    <n v="0"/>
    <n v="0"/>
    <n v="1"/>
    <n v="1"/>
    <n v="0"/>
    <n v="0"/>
    <n v="100"/>
    <s v="Consolidation"/>
    <s v="CO2e and Base Measure"/>
    <n v="100"/>
    <n v="100"/>
    <n v="0"/>
    <m/>
    <m/>
    <m/>
    <m/>
    <m/>
    <m/>
    <m/>
    <m/>
    <m/>
    <m/>
    <m/>
    <m/>
    <m/>
    <s v="AUD"/>
    <s v="13565239Waste Recycled - E-waste [t]"/>
    <n v="13565239"/>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07-01T00:00:00"/>
    <s v="FY21"/>
    <s v="t"/>
    <n v="0"/>
    <n v="7.02"/>
    <n v="0"/>
    <n v="7.02"/>
    <n v="0"/>
    <n v="18"/>
    <n v="0"/>
    <n v="18"/>
    <n v="0"/>
    <n v="100"/>
    <n v="0"/>
    <s v="Consolidation"/>
    <s v="CO2e and Base Measure"/>
    <n v="100"/>
    <n v="100"/>
    <n v="7.02"/>
    <m/>
    <m/>
    <m/>
    <m/>
    <m/>
    <n v="9.1259999999999994"/>
    <m/>
    <n v="9.1259999999999994"/>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08-01T00:00:00"/>
    <s v="FY21"/>
    <s v="t"/>
    <n v="0"/>
    <n v="6.63"/>
    <n v="0"/>
    <n v="6.63"/>
    <n v="0"/>
    <n v="17"/>
    <n v="0"/>
    <n v="17"/>
    <n v="0"/>
    <n v="100"/>
    <n v="0"/>
    <s v="Consolidation"/>
    <s v="CO2e and Base Measure"/>
    <n v="100"/>
    <n v="100"/>
    <n v="6.63"/>
    <m/>
    <m/>
    <m/>
    <m/>
    <m/>
    <n v="8.6189999999999998"/>
    <m/>
    <n v="8.6189999999999998"/>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09-01T00:00:00"/>
    <s v="FY21"/>
    <s v="t"/>
    <n v="0"/>
    <n v="6.63"/>
    <n v="0"/>
    <n v="6.63"/>
    <n v="0"/>
    <n v="17"/>
    <n v="0"/>
    <n v="17"/>
    <n v="0"/>
    <n v="100"/>
    <n v="0"/>
    <s v="Consolidation"/>
    <s v="CO2e and Base Measure"/>
    <n v="100"/>
    <n v="100"/>
    <n v="6.63"/>
    <m/>
    <m/>
    <m/>
    <m/>
    <m/>
    <n v="8.6189999999999998"/>
    <m/>
    <n v="8.6189999999999998"/>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10-01T00:00:00"/>
    <s v="FY21"/>
    <s v="t"/>
    <n v="0"/>
    <n v="6.63"/>
    <n v="0"/>
    <n v="6.63"/>
    <n v="0"/>
    <n v="17"/>
    <n v="0"/>
    <n v="17"/>
    <n v="0"/>
    <n v="100"/>
    <n v="0"/>
    <s v="Consolidation"/>
    <s v="CO2e and Base Measure"/>
    <n v="100"/>
    <n v="100"/>
    <n v="6.63"/>
    <m/>
    <m/>
    <m/>
    <m/>
    <m/>
    <n v="8.6189999999999998"/>
    <m/>
    <n v="8.6189999999999998"/>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11-01T00:00:00"/>
    <s v="FY21"/>
    <s v="t"/>
    <n v="0"/>
    <n v="5.85"/>
    <n v="0"/>
    <n v="5.85"/>
    <n v="0"/>
    <n v="16"/>
    <n v="0"/>
    <n v="16"/>
    <n v="0"/>
    <n v="100"/>
    <n v="0"/>
    <s v="Consolidation"/>
    <s v="CO2e and Base Measure"/>
    <n v="100"/>
    <n v="100"/>
    <n v="5.85"/>
    <m/>
    <m/>
    <m/>
    <m/>
    <m/>
    <n v="7.6050000000000004"/>
    <m/>
    <n v="7.6050000000000004"/>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12-01T00:00:00"/>
    <s v="FY21"/>
    <s v="t"/>
    <n v="0"/>
    <n v="0"/>
    <n v="0.2175"/>
    <n v="0.2175"/>
    <n v="0"/>
    <n v="0"/>
    <n v="1"/>
    <n v="1"/>
    <n v="0"/>
    <n v="0"/>
    <n v="100"/>
    <s v="Consolidation"/>
    <s v="CO2e and Base Measure"/>
    <n v="100"/>
    <n v="100"/>
    <n v="0.22"/>
    <m/>
    <m/>
    <m/>
    <m/>
    <m/>
    <n v="0.2828"/>
    <m/>
    <n v="0.2828"/>
    <m/>
    <m/>
    <m/>
    <m/>
    <m/>
    <s v="AUD"/>
    <s v="13565241Waste - General [t] - Scope 3"/>
    <n v="13565241"/>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07-01T00:00:00"/>
    <s v="FY21"/>
    <s v="t"/>
    <n v="0.13500000000000001"/>
    <n v="0"/>
    <n v="0"/>
    <n v="0.13500000000000001"/>
    <n v="2"/>
    <n v="0"/>
    <n v="0"/>
    <n v="2"/>
    <n v="100"/>
    <n v="0"/>
    <n v="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08-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09-01T00:00:00"/>
    <s v="FY21"/>
    <s v="t"/>
    <n v="0"/>
    <n v="0"/>
    <n v="0.13500000000000001"/>
    <n v="0.13500000000000001"/>
    <n v="0"/>
    <n v="0"/>
    <n v="30"/>
    <n v="30"/>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10-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11-01T00:00:00"/>
    <s v="FY21"/>
    <s v="t"/>
    <n v="0"/>
    <n v="0"/>
    <n v="0.13500000000000001"/>
    <n v="0.13500000000000001"/>
    <n v="0"/>
    <n v="0"/>
    <n v="30"/>
    <n v="30"/>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12-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1-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2-01T00:00:00"/>
    <s v="FY21"/>
    <s v="t"/>
    <n v="0"/>
    <n v="0"/>
    <n v="0.126"/>
    <n v="0.126"/>
    <n v="0"/>
    <n v="0"/>
    <n v="28"/>
    <n v="28"/>
    <n v="0"/>
    <n v="0"/>
    <n v="100"/>
    <s v="Consolidation"/>
    <s v="CO2e and Base Measure"/>
    <n v="100"/>
    <n v="100"/>
    <n v="0.13"/>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3-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4-01T00:00:00"/>
    <s v="FY21"/>
    <s v="t"/>
    <n v="0"/>
    <n v="0"/>
    <n v="0.13500000000000001"/>
    <n v="0.13500000000000001"/>
    <n v="0"/>
    <n v="0"/>
    <n v="30"/>
    <n v="30"/>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5-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0-12-01T00:00:00"/>
    <s v="FY21"/>
    <s v="t"/>
    <n v="2.68"/>
    <n v="0.54"/>
    <n v="0"/>
    <n v="3.22"/>
    <n v="13"/>
    <n v="2"/>
    <n v="0"/>
    <n v="15"/>
    <n v="83.22"/>
    <n v="16.77"/>
    <n v="0"/>
    <s v="Consolidation"/>
    <s v="CO2e and Base Measure"/>
    <n v="100"/>
    <n v="100"/>
    <n v="3.22"/>
    <m/>
    <m/>
    <m/>
    <m/>
    <m/>
    <n v="4.1859999999999999"/>
    <m/>
    <n v="4.1859999999999999"/>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1-01T00:00:00"/>
    <s v="FY21"/>
    <s v="t"/>
    <n v="1.651"/>
    <n v="0"/>
    <n v="0"/>
    <n v="1.651"/>
    <n v="17"/>
    <n v="0"/>
    <n v="0"/>
    <n v="17"/>
    <n v="100"/>
    <n v="0"/>
    <n v="0"/>
    <s v="Consolidation"/>
    <s v="CO2e and Base Measure"/>
    <n v="100"/>
    <n v="100"/>
    <n v="1.65"/>
    <m/>
    <m/>
    <m/>
    <m/>
    <m/>
    <n v="2.1463000000000001"/>
    <m/>
    <n v="2.1463000000000001"/>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2-01T00:00:00"/>
    <s v="FY21"/>
    <s v="t"/>
    <n v="2.1259999999999999"/>
    <n v="0"/>
    <n v="0"/>
    <n v="2.1259999999999999"/>
    <n v="16"/>
    <n v="0"/>
    <n v="0"/>
    <n v="16"/>
    <n v="100"/>
    <n v="0"/>
    <n v="0"/>
    <s v="Consolidation"/>
    <s v="CO2e and Base Measure"/>
    <n v="100"/>
    <n v="100"/>
    <n v="2.13"/>
    <m/>
    <m/>
    <m/>
    <m/>
    <m/>
    <n v="2.7637999999999998"/>
    <m/>
    <n v="2.7637999999999998"/>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3-01T00:00:00"/>
    <s v="FY21"/>
    <s v="t"/>
    <n v="1.5529999999999999"/>
    <n v="0.81"/>
    <n v="0"/>
    <n v="2.363"/>
    <n v="16"/>
    <n v="3"/>
    <n v="0"/>
    <n v="19"/>
    <n v="65.72"/>
    <n v="34.270000000000003"/>
    <n v="0"/>
    <s v="Consolidation"/>
    <s v="CO2e and Base Measure"/>
    <n v="100"/>
    <n v="100"/>
    <n v="2.36"/>
    <m/>
    <m/>
    <m/>
    <m/>
    <m/>
    <n v="3.0718999999999999"/>
    <m/>
    <n v="3.0718999999999999"/>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4-01T00:00:00"/>
    <s v="FY21"/>
    <s v="t"/>
    <n v="0"/>
    <n v="0"/>
    <n v="2.34"/>
    <n v="2.34"/>
    <n v="0"/>
    <n v="0"/>
    <n v="30"/>
    <n v="30"/>
    <n v="0"/>
    <n v="0"/>
    <n v="100"/>
    <s v="Consolidation"/>
    <s v="CO2e and Base Measure"/>
    <n v="100"/>
    <n v="100"/>
    <n v="2.34"/>
    <m/>
    <m/>
    <m/>
    <m/>
    <m/>
    <n v="3.0419999999999998"/>
    <m/>
    <n v="3.0419999999999998"/>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5-01T00:00:00"/>
    <s v="FY21"/>
    <s v="t"/>
    <n v="0"/>
    <n v="0"/>
    <n v="2.4180000000000001"/>
    <n v="2.4180000000000001"/>
    <n v="0"/>
    <n v="0"/>
    <n v="31"/>
    <n v="31"/>
    <n v="0"/>
    <n v="0"/>
    <n v="100"/>
    <s v="Consolidation"/>
    <s v="CO2e and Base Measure"/>
    <n v="100"/>
    <n v="100"/>
    <n v="2.42"/>
    <m/>
    <m/>
    <m/>
    <m/>
    <m/>
    <n v="3.1434000000000002"/>
    <m/>
    <n v="3.1434000000000002"/>
    <m/>
    <m/>
    <m/>
    <m/>
    <m/>
    <s v="AUD"/>
    <s v="13634309Waste - General [t] - Scope 3"/>
    <n v="13634309"/>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0-12-01T00:00:00"/>
    <s v="FY21"/>
    <s v="t"/>
    <n v="0.04"/>
    <n v="0"/>
    <n v="0"/>
    <n v="0.04"/>
    <n v="2"/>
    <n v="0"/>
    <n v="0"/>
    <n v="2"/>
    <n v="100"/>
    <n v="0"/>
    <n v="0"/>
    <s v="Consolidation"/>
    <s v="CO2e and Base Measure"/>
    <n v="100"/>
    <n v="100"/>
    <n v="0.04"/>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1-01T00:00:00"/>
    <s v="FY21"/>
    <s v="t"/>
    <n v="0.04"/>
    <n v="0"/>
    <n v="0"/>
    <n v="0.04"/>
    <n v="2"/>
    <n v="0"/>
    <n v="0"/>
    <n v="2"/>
    <n v="100"/>
    <n v="0"/>
    <n v="0"/>
    <s v="Consolidation"/>
    <s v="CO2e and Base Measure"/>
    <n v="100"/>
    <n v="100"/>
    <n v="0.04"/>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2-01T00:00:00"/>
    <s v="FY21"/>
    <s v="t"/>
    <n v="9.6000000000000002E-2"/>
    <n v="0"/>
    <n v="0"/>
    <n v="9.6000000000000002E-2"/>
    <n v="3"/>
    <n v="0"/>
    <n v="0"/>
    <n v="3"/>
    <n v="100"/>
    <n v="0"/>
    <n v="0"/>
    <s v="Consolidation"/>
    <s v="CO2e and Base Measure"/>
    <n v="100"/>
    <n v="100"/>
    <n v="0.1"/>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3-01T00:00:00"/>
    <s v="FY21"/>
    <s v="t"/>
    <n v="1.0569999999999999"/>
    <n v="2.75E-2"/>
    <n v="0"/>
    <n v="1.0845"/>
    <n v="5"/>
    <n v="1"/>
    <n v="0"/>
    <n v="6"/>
    <n v="97.46"/>
    <n v="2.5299999999999998"/>
    <n v="0"/>
    <s v="Consolidation"/>
    <s v="CO2e and Base Measure"/>
    <n v="100"/>
    <n v="100"/>
    <n v="1.08"/>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4-01T00:00:00"/>
    <s v="FY21"/>
    <s v="t"/>
    <n v="0"/>
    <n v="0"/>
    <n v="0.315"/>
    <n v="0.315"/>
    <n v="0"/>
    <n v="0"/>
    <n v="30"/>
    <n v="30"/>
    <n v="0"/>
    <n v="0"/>
    <n v="100"/>
    <s v="Consolidation"/>
    <s v="CO2e and Base Measure"/>
    <n v="100"/>
    <n v="100"/>
    <n v="0.32"/>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5-01T00:00:00"/>
    <s v="FY21"/>
    <s v="t"/>
    <n v="0"/>
    <n v="0"/>
    <n v="0.32550000000000001"/>
    <n v="0.32550000000000001"/>
    <n v="0"/>
    <n v="0"/>
    <n v="31"/>
    <n v="31"/>
    <n v="0"/>
    <n v="0"/>
    <n v="100"/>
    <s v="Consolidation"/>
    <s v="CO2e and Base Measure"/>
    <n v="100"/>
    <n v="100"/>
    <n v="0.33"/>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3"/>
    <s v="Account"/>
    <s v="CLEANAWAY Commingle - Diversion"/>
    <m/>
    <s v="26579_Diversion_Commingle"/>
    <s v="Commingle"/>
    <s v="Cleanaway"/>
    <m/>
    <d v="2021-03-09T00:00:00"/>
    <m/>
    <d v="2021-03-01T00:00:00"/>
    <s v="FY21"/>
    <s v="t"/>
    <n v="0.02"/>
    <n v="0"/>
    <n v="0"/>
    <n v="0.02"/>
    <n v="1"/>
    <n v="0"/>
    <n v="0"/>
    <n v="1"/>
    <n v="100"/>
    <n v="0"/>
    <n v="0"/>
    <s v="Consolidation"/>
    <s v="CO2e and Base Measure"/>
    <n v="100"/>
    <n v="100"/>
    <n v="0.02"/>
    <m/>
    <m/>
    <m/>
    <m/>
    <m/>
    <m/>
    <n v="0"/>
    <m/>
    <m/>
    <m/>
    <m/>
    <m/>
    <m/>
    <s v="AUD"/>
    <s v="13641222Waste Recycled - Commingled [t]"/>
    <n v="13641222"/>
  </r>
  <r>
    <d v="2019-07-01T00:00:00"/>
    <d v="2021-06-30T00:00:00"/>
    <s v="Telstra"/>
    <s v="NETWORK"/>
    <s v="Network - InfraCo"/>
    <s v="VIC"/>
    <s v="Australia"/>
    <s v="Windsor"/>
    <s v="WINDSOR EXCHANGE 160 PEEL ST"/>
    <n v="423030777800"/>
    <s v="Recycled Waste"/>
    <x v="0"/>
    <x v="3"/>
    <s v="Account"/>
    <s v="CLEANAWAY Commingle - Diversion"/>
    <m/>
    <s v="26579_Diversion_Commingle"/>
    <s v="Commingle"/>
    <s v="Cleanaway"/>
    <m/>
    <d v="2021-03-09T00:00:00"/>
    <m/>
    <d v="2021-04-01T00:00:00"/>
    <s v="FY21"/>
    <s v="t"/>
    <n v="0"/>
    <n v="0"/>
    <n v="2.1000000000000001E-2"/>
    <n v="2.1000000000000001E-2"/>
    <n v="0"/>
    <n v="0"/>
    <n v="30"/>
    <n v="30"/>
    <n v="0"/>
    <n v="0"/>
    <n v="100"/>
    <s v="Consolidation"/>
    <s v="CO2e and Base Measure"/>
    <n v="100"/>
    <n v="100"/>
    <n v="0.02"/>
    <m/>
    <m/>
    <m/>
    <m/>
    <m/>
    <m/>
    <n v="0"/>
    <m/>
    <m/>
    <m/>
    <m/>
    <m/>
    <m/>
    <s v="AUD"/>
    <s v="13641222Waste Recycled - Commingled [t]"/>
    <n v="13641222"/>
  </r>
  <r>
    <d v="2019-07-01T00:00:00"/>
    <d v="2021-06-30T00:00:00"/>
    <s v="Telstra"/>
    <s v="NETWORK"/>
    <s v="Network - InfraCo"/>
    <s v="VIC"/>
    <s v="Australia"/>
    <s v="Windsor"/>
    <s v="WINDSOR EXCHANGE 160 PEEL ST"/>
    <n v="423030777800"/>
    <s v="Recycled Waste"/>
    <x v="0"/>
    <x v="3"/>
    <s v="Account"/>
    <s v="CLEANAWAY Commingle - Diversion"/>
    <m/>
    <s v="26579_Diversion_Commingle"/>
    <s v="Commingle"/>
    <s v="Cleanaway"/>
    <m/>
    <d v="2021-03-09T00:00:00"/>
    <m/>
    <d v="2021-05-01T00:00:00"/>
    <s v="FY21"/>
    <s v="t"/>
    <n v="0"/>
    <n v="0"/>
    <n v="2.1700000000000001E-2"/>
    <n v="2.1700000000000001E-2"/>
    <n v="0"/>
    <n v="0"/>
    <n v="31"/>
    <n v="31"/>
    <n v="0"/>
    <n v="0"/>
    <n v="100"/>
    <s v="Consolidation"/>
    <s v="CO2e and Base Measure"/>
    <n v="100"/>
    <n v="100"/>
    <n v="0.02"/>
    <m/>
    <m/>
    <m/>
    <m/>
    <m/>
    <m/>
    <n v="0"/>
    <m/>
    <m/>
    <m/>
    <m/>
    <m/>
    <m/>
    <s v="AUD"/>
    <s v="13641222Waste Recycled - Commingled [t]"/>
    <n v="13641222"/>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07-01T00:00:00"/>
    <s v="FY21"/>
    <s v="t"/>
    <n v="0"/>
    <n v="0.97499999999999998"/>
    <n v="0"/>
    <n v="0.97499999999999998"/>
    <n v="0"/>
    <n v="5"/>
    <n v="0"/>
    <n v="5"/>
    <n v="0"/>
    <n v="100"/>
    <n v="0"/>
    <s v="Consolidation"/>
    <s v="CO2e and Base Measure"/>
    <n v="100"/>
    <n v="100"/>
    <n v="0.98"/>
    <m/>
    <m/>
    <m/>
    <m/>
    <m/>
    <n v="1.2675000000000001"/>
    <m/>
    <n v="1.2675000000000001"/>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08-01T00:00:00"/>
    <s v="FY21"/>
    <s v="t"/>
    <n v="0"/>
    <n v="0.78"/>
    <n v="0"/>
    <n v="0.78"/>
    <n v="0"/>
    <n v="4"/>
    <n v="0"/>
    <n v="4"/>
    <n v="0"/>
    <n v="100"/>
    <n v="0"/>
    <s v="Consolidation"/>
    <s v="CO2e and Base Measure"/>
    <n v="100"/>
    <n v="100"/>
    <n v="0.78"/>
    <m/>
    <m/>
    <m/>
    <m/>
    <m/>
    <n v="1.014"/>
    <m/>
    <n v="1.014"/>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09-01T00:00:00"/>
    <s v="FY21"/>
    <s v="t"/>
    <n v="0"/>
    <n v="0.78"/>
    <n v="0"/>
    <n v="0.78"/>
    <n v="0"/>
    <n v="4"/>
    <n v="0"/>
    <n v="4"/>
    <n v="0"/>
    <n v="100"/>
    <n v="0"/>
    <s v="Consolidation"/>
    <s v="CO2e and Base Measure"/>
    <n v="100"/>
    <n v="100"/>
    <n v="0.78"/>
    <m/>
    <m/>
    <m/>
    <m/>
    <m/>
    <n v="1.014"/>
    <m/>
    <n v="1.014"/>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10-01T00:00:00"/>
    <s v="FY21"/>
    <s v="t"/>
    <n v="0.59"/>
    <n v="0.78"/>
    <n v="0"/>
    <n v="1.37"/>
    <n v="1"/>
    <n v="4"/>
    <n v="0"/>
    <n v="5"/>
    <n v="43.06"/>
    <n v="56.93"/>
    <n v="0"/>
    <s v="Consolidation"/>
    <s v="CO2e and Base Measure"/>
    <n v="100"/>
    <n v="100"/>
    <n v="1.37"/>
    <m/>
    <m/>
    <m/>
    <m/>
    <m/>
    <n v="1.7809999999999999"/>
    <m/>
    <n v="1.7809999999999999"/>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11-01T00:00:00"/>
    <s v="FY21"/>
    <s v="t"/>
    <n v="0"/>
    <n v="0.78"/>
    <n v="0"/>
    <n v="0.78"/>
    <n v="0"/>
    <n v="4"/>
    <n v="0"/>
    <n v="4"/>
    <n v="0"/>
    <n v="100"/>
    <n v="0"/>
    <s v="Consolidation"/>
    <s v="CO2e and Base Measure"/>
    <n v="100"/>
    <n v="100"/>
    <n v="0.78"/>
    <m/>
    <m/>
    <m/>
    <m/>
    <m/>
    <n v="1.014"/>
    <m/>
    <n v="1.014"/>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1-01-01T00:00:00"/>
    <s v="FY21"/>
    <s v="t"/>
    <n v="0"/>
    <n v="0"/>
    <n v="2.6599999999999999E-2"/>
    <n v="2.6599999999999999E-2"/>
    <n v="0"/>
    <n v="0"/>
    <n v="1"/>
    <n v="1"/>
    <n v="0"/>
    <n v="0"/>
    <n v="100"/>
    <s v="Consolidation"/>
    <s v="CO2e and Base Measure"/>
    <n v="100"/>
    <n v="100"/>
    <n v="0.03"/>
    <m/>
    <m/>
    <m/>
    <m/>
    <m/>
    <n v="3.4599999999999999E-2"/>
    <m/>
    <n v="3.4599999999999999E-2"/>
    <m/>
    <m/>
    <m/>
    <m/>
    <m/>
    <s v="AUD"/>
    <s v="13564503Waste - General [t] - Scope 3"/>
    <n v="13564503"/>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0-12-01T00:00:00"/>
    <s v="FY21"/>
    <s v="t"/>
    <n v="0.55000000000000004"/>
    <n v="0"/>
    <n v="0"/>
    <n v="0.55000000000000004"/>
    <n v="3"/>
    <n v="0"/>
    <n v="0"/>
    <n v="3"/>
    <n v="100"/>
    <n v="0"/>
    <n v="0"/>
    <s v="Consolidation"/>
    <s v="CO2e and Base Measure"/>
    <n v="100"/>
    <n v="100"/>
    <n v="0.55000000000000004"/>
    <m/>
    <m/>
    <m/>
    <m/>
    <m/>
    <n v="0.71499999999999997"/>
    <m/>
    <n v="0.71499999999999997"/>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1-01T00:00:00"/>
    <s v="FY21"/>
    <s v="t"/>
    <n v="0.315"/>
    <n v="0.27"/>
    <n v="0"/>
    <n v="0.58499999999999996"/>
    <n v="2"/>
    <n v="2"/>
    <n v="0"/>
    <n v="4"/>
    <n v="53.84"/>
    <n v="46.15"/>
    <n v="0"/>
    <s v="Consolidation"/>
    <s v="CO2e and Base Measure"/>
    <n v="100"/>
    <n v="100"/>
    <n v="0.59"/>
    <m/>
    <m/>
    <m/>
    <m/>
    <m/>
    <n v="0.76049999999999995"/>
    <m/>
    <n v="0.76049999999999995"/>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2-01T00:00:00"/>
    <s v="FY21"/>
    <s v="t"/>
    <n v="0.60499999999999998"/>
    <n v="0.13500000000000001"/>
    <n v="0"/>
    <n v="0.74"/>
    <n v="3"/>
    <n v="1"/>
    <n v="0"/>
    <n v="4"/>
    <n v="81.75"/>
    <n v="18.239999999999998"/>
    <n v="0"/>
    <s v="Consolidation"/>
    <s v="CO2e and Base Measure"/>
    <n v="100"/>
    <n v="100"/>
    <n v="0.74"/>
    <m/>
    <m/>
    <m/>
    <m/>
    <m/>
    <n v="0.96199999999999997"/>
    <m/>
    <n v="0.96199999999999997"/>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3-01T00:00:00"/>
    <s v="FY21"/>
    <s v="t"/>
    <n v="1.175"/>
    <n v="0"/>
    <n v="0"/>
    <n v="1.175"/>
    <n v="5"/>
    <n v="0"/>
    <n v="0"/>
    <n v="5"/>
    <n v="100"/>
    <n v="0"/>
    <n v="0"/>
    <s v="Consolidation"/>
    <s v="CO2e and Base Measure"/>
    <n v="100"/>
    <n v="100"/>
    <n v="1.18"/>
    <m/>
    <m/>
    <m/>
    <m/>
    <m/>
    <n v="1.5275000000000001"/>
    <m/>
    <n v="1.5275000000000001"/>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4-01T00:00:00"/>
    <s v="FY21"/>
    <s v="t"/>
    <n v="0"/>
    <n v="0"/>
    <n v="0.76200000000000001"/>
    <n v="0.76200000000000001"/>
    <n v="0"/>
    <n v="0"/>
    <n v="30"/>
    <n v="30"/>
    <n v="0"/>
    <n v="0"/>
    <n v="100"/>
    <s v="Consolidation"/>
    <s v="CO2e and Base Measure"/>
    <n v="100"/>
    <n v="100"/>
    <n v="0.76"/>
    <m/>
    <m/>
    <m/>
    <m/>
    <m/>
    <n v="0.99060000000000004"/>
    <m/>
    <n v="0.99060000000000004"/>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5-01T00:00:00"/>
    <s v="FY21"/>
    <s v="t"/>
    <n v="0"/>
    <n v="0"/>
    <n v="0.78739999999999999"/>
    <n v="0.78739999999999999"/>
    <n v="0"/>
    <n v="0"/>
    <n v="31"/>
    <n v="31"/>
    <n v="0"/>
    <n v="0"/>
    <n v="100"/>
    <s v="Consolidation"/>
    <s v="CO2e and Base Measure"/>
    <n v="100"/>
    <n v="100"/>
    <n v="0.79"/>
    <m/>
    <m/>
    <m/>
    <m/>
    <m/>
    <n v="1.0236000000000001"/>
    <m/>
    <n v="1.0236000000000001"/>
    <m/>
    <m/>
    <m/>
    <m/>
    <m/>
    <s v="AUD"/>
    <s v="13634311Waste - General [t] - Scope 3"/>
    <n v="13634311"/>
  </r>
  <r>
    <d v="2019-07-01T00:00:00"/>
    <d v="2021-06-30T00:00:00"/>
    <s v="Telstra"/>
    <s v="NETWORK"/>
    <s v="Network - InfraCo"/>
    <s v="QLD"/>
    <s v="Australia"/>
    <s v="Queensland"/>
    <s v="WINTON EXCHANGE1"/>
    <n v="423030223200"/>
    <s v="Recycled Waste"/>
    <x v="0"/>
    <x v="1"/>
    <s v="Account"/>
    <s v="Remondis Batteries - Mixed Recycled"/>
    <m/>
    <s v="423030223200_RBATTERY."/>
    <s v="BATTERIES - MIXED RECYCLED"/>
    <s v="Remondis"/>
    <m/>
    <d v="2020-04-15T00:00:00"/>
    <d v="2020-12-01T00:00:00"/>
    <d v="2020-11-01T00:00:00"/>
    <s v="FY21"/>
    <s v="t"/>
    <n v="0.55100000000000005"/>
    <n v="0"/>
    <n v="0"/>
    <n v="0.55100000000000005"/>
    <n v="1"/>
    <n v="0"/>
    <n v="0"/>
    <n v="1"/>
    <n v="100"/>
    <n v="0"/>
    <n v="0"/>
    <s v="Consolidation"/>
    <s v="CO2e and Base Measure"/>
    <n v="100"/>
    <n v="100"/>
    <n v="0.55000000000000004"/>
    <m/>
    <m/>
    <m/>
    <m/>
    <m/>
    <m/>
    <m/>
    <m/>
    <m/>
    <m/>
    <m/>
    <m/>
    <m/>
    <s v="AUD"/>
    <s v="13612607Waste Recycled - E-waste [t]"/>
    <n v="13612607"/>
  </r>
  <r>
    <d v="2019-07-01T00:00:00"/>
    <d v="2021-06-30T00:00:00"/>
    <s v="Telstra"/>
    <s v="NETWORK"/>
    <s v="Network - InfraCo"/>
    <s v="QLD"/>
    <s v="Australia"/>
    <s v="Queensland"/>
    <s v="WINTON EXCHANGE1"/>
    <n v="423030223200"/>
    <s v="Recycled Waste"/>
    <x v="0"/>
    <x v="1"/>
    <s v="Account"/>
    <s v="Remondis Batteries - Mixed Recycled"/>
    <m/>
    <s v="423030223200_RBATTERY."/>
    <s v="BATTERIES - MIXED RECYCLED"/>
    <s v="Remondis"/>
    <m/>
    <d v="2020-04-15T00:00:00"/>
    <d v="2020-12-01T00:00:00"/>
    <d v="2020-12-01T00:00:00"/>
    <s v="FY21"/>
    <s v="t"/>
    <n v="0"/>
    <n v="0"/>
    <n v="1.9E-2"/>
    <n v="1.9E-2"/>
    <n v="0"/>
    <n v="0"/>
    <n v="1"/>
    <n v="1"/>
    <n v="0"/>
    <n v="0"/>
    <n v="100"/>
    <s v="Consolidation"/>
    <s v="CO2e and Base Measure"/>
    <n v="100"/>
    <n v="100"/>
    <n v="0.02"/>
    <m/>
    <m/>
    <m/>
    <m/>
    <m/>
    <m/>
    <m/>
    <m/>
    <m/>
    <m/>
    <m/>
    <m/>
    <m/>
    <s v="AUD"/>
    <s v="13612607Waste Recycled - E-waste [t]"/>
    <n v="13612607"/>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504Waste - General [t] - Scope 3"/>
    <n v="1356450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0-12-01T00:00:00"/>
    <s v="FY21"/>
    <s v="t"/>
    <n v="0.222"/>
    <n v="0"/>
    <n v="0"/>
    <n v="0.222"/>
    <n v="1"/>
    <n v="0"/>
    <n v="0"/>
    <n v="1"/>
    <n v="100"/>
    <n v="0"/>
    <n v="0"/>
    <s v="Consolidation"/>
    <s v="CO2e and Base Measure"/>
    <n v="100"/>
    <n v="100"/>
    <n v="0.22"/>
    <m/>
    <m/>
    <m/>
    <m/>
    <m/>
    <n v="0.28860000000000002"/>
    <m/>
    <n v="0.28860000000000002"/>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1-01T00:00:00"/>
    <s v="FY21"/>
    <s v="t"/>
    <n v="0.22600000000000001"/>
    <n v="0"/>
    <n v="0"/>
    <n v="0.22600000000000001"/>
    <n v="1"/>
    <n v="0"/>
    <n v="0"/>
    <n v="1"/>
    <n v="100"/>
    <n v="0"/>
    <n v="0"/>
    <s v="Consolidation"/>
    <s v="CO2e and Base Measure"/>
    <n v="100"/>
    <n v="100"/>
    <n v="0.23"/>
    <m/>
    <m/>
    <m/>
    <m/>
    <m/>
    <n v="0.29380000000000001"/>
    <m/>
    <n v="0.29380000000000001"/>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3-01T00:00:00"/>
    <s v="FY21"/>
    <s v="t"/>
    <n v="0.17299999999999999"/>
    <n v="0"/>
    <n v="0"/>
    <n v="0.17299999999999999"/>
    <n v="1"/>
    <n v="0"/>
    <n v="0"/>
    <n v="1"/>
    <n v="100"/>
    <n v="0"/>
    <n v="0"/>
    <s v="Consolidation"/>
    <s v="CO2e and Base Measure"/>
    <n v="100"/>
    <n v="100"/>
    <n v="0.17"/>
    <m/>
    <m/>
    <m/>
    <m/>
    <m/>
    <n v="0.22489999999999999"/>
    <m/>
    <n v="0.22489999999999999"/>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4-01T00:00:00"/>
    <s v="FY21"/>
    <s v="t"/>
    <n v="0"/>
    <n v="0"/>
    <n v="0.189"/>
    <n v="0.189"/>
    <n v="0"/>
    <n v="0"/>
    <n v="30"/>
    <n v="30"/>
    <n v="0"/>
    <n v="0"/>
    <n v="100"/>
    <s v="Consolidation"/>
    <s v="CO2e and Base Measure"/>
    <n v="100"/>
    <n v="100"/>
    <n v="0.19"/>
    <m/>
    <m/>
    <m/>
    <m/>
    <m/>
    <n v="0.2457"/>
    <m/>
    <n v="0.2457"/>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5-01T00:00:00"/>
    <s v="FY21"/>
    <s v="t"/>
    <n v="0"/>
    <n v="0"/>
    <n v="0.1953"/>
    <n v="0.1953"/>
    <n v="0"/>
    <n v="0"/>
    <n v="31"/>
    <n v="31"/>
    <n v="0"/>
    <n v="0"/>
    <n v="100"/>
    <s v="Consolidation"/>
    <s v="CO2e and Base Measure"/>
    <n v="100"/>
    <n v="100"/>
    <n v="0.2"/>
    <m/>
    <m/>
    <m/>
    <m/>
    <m/>
    <n v="0.25390000000000001"/>
    <m/>
    <n v="0.25390000000000001"/>
    <m/>
    <m/>
    <m/>
    <m/>
    <m/>
    <s v="AUD"/>
    <s v="13634314Waste - General [t] - Scope 3"/>
    <n v="13634314"/>
  </r>
  <r>
    <d v="2019-07-01T00:00:00"/>
    <d v="2021-06-30T00:00:00"/>
    <s v="Telstra"/>
    <s v="NETWORK"/>
    <s v="Network - InfraCo"/>
    <s v="NSW"/>
    <s v="Australia"/>
    <s v="Wollongong"/>
    <s v="WOLLONGONG EXCHANGE"/>
    <n v="423030311200"/>
    <s v="Recycled Waste"/>
    <x v="0"/>
    <x v="0"/>
    <s v="Account"/>
    <s v="Remondis Cardboard - Loose - Recycled"/>
    <m/>
    <s v="423030311200_RCARDBOAR"/>
    <s v="CARDBOARD - LOOSE - RECYCLED"/>
    <s v="Remondis"/>
    <m/>
    <m/>
    <d v="2020-12-01T00:00:00"/>
    <d v="2020-07-01T00:00:00"/>
    <s v="FY21"/>
    <s v="t"/>
    <n v="4.4999999999999998E-2"/>
    <n v="0"/>
    <n v="0"/>
    <n v="4.4999999999999998E-2"/>
    <n v="2"/>
    <n v="0"/>
    <n v="0"/>
    <n v="2"/>
    <n v="100"/>
    <n v="0"/>
    <n v="0"/>
    <s v="Consolidation"/>
    <s v="CO2e and Base Measure"/>
    <n v="100"/>
    <n v="100"/>
    <n v="0.05"/>
    <m/>
    <m/>
    <m/>
    <m/>
    <m/>
    <m/>
    <n v="0"/>
    <m/>
    <m/>
    <m/>
    <m/>
    <m/>
    <m/>
    <s v="AUD"/>
    <s v="13564509Waste Recycled - Cardboard [t]"/>
    <n v="13564509"/>
  </r>
  <r>
    <d v="2019-07-01T00:00:00"/>
    <d v="2021-06-30T00:00:00"/>
    <s v="Telstra"/>
    <s v="NETWORK"/>
    <s v="Network - InfraCo"/>
    <s v="NSW"/>
    <s v="Australia"/>
    <s v="Wollongong"/>
    <s v="WOLLONGONG EXCHANGE"/>
    <n v="423030311200"/>
    <s v="Recycled Waste"/>
    <x v="0"/>
    <x v="0"/>
    <s v="Account"/>
    <s v="Remondis Cardboard - Loose - Recycled"/>
    <m/>
    <s v="423030311200_RCARDBOAR"/>
    <s v="CARDBOARD - LOOSE - RECYCLED"/>
    <s v="Remondis"/>
    <m/>
    <m/>
    <d v="2020-12-01T00:00:00"/>
    <d v="2020-10-01T00:00:00"/>
    <s v="FY21"/>
    <s v="t"/>
    <n v="2.5000000000000001E-2"/>
    <n v="3.15E-2"/>
    <n v="0"/>
    <n v="5.6500000000000002E-2"/>
    <n v="1"/>
    <n v="1"/>
    <n v="0"/>
    <n v="2"/>
    <n v="44.24"/>
    <n v="55.75"/>
    <n v="0"/>
    <s v="Consolidation"/>
    <s v="CO2e and Base Measure"/>
    <n v="100"/>
    <n v="100"/>
    <n v="0.06"/>
    <m/>
    <m/>
    <m/>
    <m/>
    <m/>
    <m/>
    <n v="0"/>
    <m/>
    <m/>
    <m/>
    <m/>
    <m/>
    <m/>
    <s v="AUD"/>
    <s v="13564509Waste Recycled - Cardboard [t]"/>
    <n v="13564509"/>
  </r>
  <r>
    <d v="2019-07-01T00:00:00"/>
    <d v="2021-06-30T00:00:00"/>
    <s v="Telstra"/>
    <s v="NETWORK"/>
    <s v="Network - InfraCo"/>
    <s v="NSW"/>
    <s v="Australia"/>
    <s v="Wollongong"/>
    <s v="WOLLONGONG EXCHANGE"/>
    <n v="423030311200"/>
    <s v="Recycled Waste"/>
    <x v="0"/>
    <x v="0"/>
    <s v="Account"/>
    <s v="Remondis Cardboard - Loose - Recycled"/>
    <m/>
    <s v="423030311200_RCARDBOAR"/>
    <s v="CARDBOARD - LOOSE - RECYCLED"/>
    <s v="Remondis"/>
    <m/>
    <m/>
    <d v="2020-12-01T00:00:00"/>
    <d v="2020-11-01T00:00:00"/>
    <s v="FY21"/>
    <s v="t"/>
    <n v="0.05"/>
    <n v="0"/>
    <n v="0"/>
    <n v="0.05"/>
    <n v="1"/>
    <n v="0"/>
    <n v="0"/>
    <n v="1"/>
    <n v="100"/>
    <n v="0"/>
    <n v="0"/>
    <s v="Consolidation"/>
    <s v="CO2e and Base Measure"/>
    <n v="100"/>
    <n v="100"/>
    <n v="0.05"/>
    <m/>
    <m/>
    <m/>
    <m/>
    <m/>
    <m/>
    <n v="0"/>
    <m/>
    <m/>
    <m/>
    <m/>
    <m/>
    <m/>
    <s v="AUD"/>
    <s v="13564509Waste Recycled - Cardboard [t]"/>
    <n v="13564509"/>
  </r>
  <r>
    <d v="2019-07-01T00:00:00"/>
    <d v="2021-06-30T00:00:00"/>
    <s v="Telstra"/>
    <s v="NETWORK"/>
    <s v="Network - InfraCo"/>
    <s v="NSW"/>
    <s v="Australia"/>
    <s v="Wollongong"/>
    <s v="WOLLONGONG EXCHANGE"/>
    <n v="423030311200"/>
    <s v="Recycled Waste"/>
    <x v="0"/>
    <x v="0"/>
    <s v="Account"/>
    <s v="Remondis Cardboard - Loose - Recycled"/>
    <m/>
    <s v="423030311200_RCARDBOAR"/>
    <s v="CARDBOARD - LOOSE - RECYCLED"/>
    <s v="Remondis"/>
    <m/>
    <m/>
    <d v="2020-12-01T00:00:00"/>
    <d v="2020-12-01T00:00:00"/>
    <s v="FY21"/>
    <s v="t"/>
    <n v="0"/>
    <n v="0"/>
    <n v="1E-3"/>
    <n v="1E-3"/>
    <n v="0"/>
    <n v="0"/>
    <n v="1"/>
    <n v="1"/>
    <n v="0"/>
    <n v="0"/>
    <n v="100"/>
    <s v="Consolidation"/>
    <s v="CO2e and Base Measure"/>
    <n v="100"/>
    <n v="100"/>
    <n v="0"/>
    <m/>
    <m/>
    <m/>
    <m/>
    <m/>
    <m/>
    <n v="0"/>
    <m/>
    <m/>
    <m/>
    <m/>
    <m/>
    <m/>
    <s v="AUD"/>
    <s v="13564509Waste Recycled - Cardboard [t]"/>
    <n v="13564509"/>
  </r>
  <r>
    <d v="2019-07-01T00:00:00"/>
    <d v="2021-06-30T00:00:00"/>
    <s v="Telstra"/>
    <s v="NETWORK"/>
    <s v="Network - InfraCo"/>
    <s v="NSW"/>
    <s v="Australia"/>
    <s v="Wollongong"/>
    <s v="WOLLONGONG EXCHANGE"/>
    <n v="423030311200"/>
    <s v="Waste"/>
    <x v="1"/>
    <x v="2"/>
    <s v="Account"/>
    <s v="Remondis General Waste"/>
    <m/>
    <s v="423030311200_WGENERALW"/>
    <s v="GENERAL WASTE"/>
    <s v="Remondis"/>
    <m/>
    <m/>
    <d v="2020-12-01T00:00:00"/>
    <d v="2020-07-01T00:00:00"/>
    <s v="FY21"/>
    <s v="t"/>
    <n v="0.43"/>
    <n v="0"/>
    <n v="0"/>
    <n v="0.43"/>
    <n v="1"/>
    <n v="0"/>
    <n v="0"/>
    <n v="1"/>
    <n v="100"/>
    <n v="0"/>
    <n v="0"/>
    <s v="Consolidation"/>
    <s v="CO2e and Base Measure"/>
    <n v="100"/>
    <n v="100"/>
    <n v="0.43"/>
    <m/>
    <m/>
    <m/>
    <m/>
    <m/>
    <n v="0.55900000000000005"/>
    <m/>
    <n v="0.55900000000000005"/>
    <m/>
    <m/>
    <m/>
    <m/>
    <m/>
    <s v="AUD"/>
    <s v="13564510Waste - General [t] - Scope 3"/>
    <n v="13564510"/>
  </r>
  <r>
    <d v="2019-07-01T00:00:00"/>
    <d v="2021-06-30T00:00:00"/>
    <s v="Telstra"/>
    <s v="NETWORK"/>
    <s v="Network - InfraCo"/>
    <s v="NSW"/>
    <s v="Australia"/>
    <s v="Wollongong"/>
    <s v="WOLLONGONG EXCHANGE"/>
    <n v="423030311200"/>
    <s v="Waste"/>
    <x v="1"/>
    <x v="2"/>
    <s v="Account"/>
    <s v="Remondis General Waste"/>
    <m/>
    <s v="423030311200_WGENERALW"/>
    <s v="GENERAL WASTE"/>
    <s v="Remondis"/>
    <m/>
    <m/>
    <d v="2020-12-01T00:00:00"/>
    <d v="2020-08-01T00:00:00"/>
    <s v="FY21"/>
    <s v="t"/>
    <n v="0.22"/>
    <n v="0"/>
    <n v="0"/>
    <n v="0.22"/>
    <n v="1"/>
    <n v="0"/>
    <n v="0"/>
    <n v="1"/>
    <n v="100"/>
    <n v="0"/>
    <n v="0"/>
    <s v="Consolidation"/>
    <s v="CO2e and Base Measure"/>
    <n v="100"/>
    <n v="100"/>
    <n v="0.22"/>
    <m/>
    <m/>
    <m/>
    <m/>
    <m/>
    <n v="0.28599999999999998"/>
    <m/>
    <n v="0.28599999999999998"/>
    <m/>
    <m/>
    <m/>
    <m/>
    <m/>
    <s v="AUD"/>
    <s v="13564510Waste - General [t] - Scope 3"/>
    <n v="13564510"/>
  </r>
  <r>
    <d v="2019-07-01T00:00:00"/>
    <d v="2021-06-30T00:00:00"/>
    <s v="Telstra"/>
    <s v="NETWORK"/>
    <s v="Network - InfraCo"/>
    <s v="NSW"/>
    <s v="Australia"/>
    <s v="Wollongong"/>
    <s v="WOLLONGONG EXCHANGE"/>
    <n v="423030311200"/>
    <s v="Waste"/>
    <x v="1"/>
    <x v="2"/>
    <s v="Account"/>
    <s v="Remondis General Waste"/>
    <m/>
    <s v="423030311200_WGENERALW"/>
    <s v="GENERAL WASTE"/>
    <s v="Remondis"/>
    <m/>
    <m/>
    <d v="2020-12-01T00:00:00"/>
    <d v="2020-11-01T00:00:00"/>
    <s v="FY21"/>
    <s v="t"/>
    <n v="0.41"/>
    <n v="0"/>
    <n v="0"/>
    <n v="0.41"/>
    <n v="2"/>
    <n v="0"/>
    <n v="0"/>
    <n v="2"/>
    <n v="100"/>
    <n v="0"/>
    <n v="0"/>
    <s v="Consolidation"/>
    <s v="CO2e and Base Measure"/>
    <n v="100"/>
    <n v="100"/>
    <n v="0.41"/>
    <m/>
    <m/>
    <m/>
    <m/>
    <m/>
    <n v="0.53300000000000003"/>
    <m/>
    <n v="0.53300000000000003"/>
    <m/>
    <m/>
    <m/>
    <m/>
    <m/>
    <s v="AUD"/>
    <s v="13564510Waste - General [t] - Scope 3"/>
    <n v="13564510"/>
  </r>
  <r>
    <d v="2019-07-01T00:00:00"/>
    <d v="2021-06-30T00:00:00"/>
    <s v="Telstra"/>
    <s v="NETWORK"/>
    <s v="Network - InfraCo"/>
    <s v="NSW"/>
    <s v="Australia"/>
    <s v="Wollongong"/>
    <s v="WOLLONGONG EXCHANGE"/>
    <n v="423030311200"/>
    <s v="Waste"/>
    <x v="1"/>
    <x v="2"/>
    <s v="Account"/>
    <s v="Remondis General Waste"/>
    <m/>
    <s v="4230303112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510Waste - General [t] - Scope 3"/>
    <n v="13564510"/>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0-12-01T00:00:00"/>
    <s v="FY21"/>
    <s v="t"/>
    <n v="0.40100000000000002"/>
    <n v="0"/>
    <n v="0"/>
    <n v="0.40100000000000002"/>
    <n v="3"/>
    <n v="0"/>
    <n v="0"/>
    <n v="3"/>
    <n v="100"/>
    <n v="0"/>
    <n v="0"/>
    <s v="Consolidation"/>
    <s v="CO2e and Base Measure"/>
    <n v="100"/>
    <n v="100"/>
    <n v="0.4"/>
    <m/>
    <m/>
    <m/>
    <m/>
    <m/>
    <n v="0.52129999999999999"/>
    <m/>
    <n v="0.52129999999999999"/>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1-01T00:00:00"/>
    <s v="FY21"/>
    <s v="t"/>
    <n v="0.57599999999999996"/>
    <n v="0"/>
    <n v="0"/>
    <n v="0.57599999999999996"/>
    <n v="4"/>
    <n v="0"/>
    <n v="0"/>
    <n v="4"/>
    <n v="100"/>
    <n v="0"/>
    <n v="0"/>
    <s v="Consolidation"/>
    <s v="CO2e and Base Measure"/>
    <n v="100"/>
    <n v="100"/>
    <n v="0.57999999999999996"/>
    <m/>
    <m/>
    <m/>
    <m/>
    <m/>
    <n v="0.74880000000000002"/>
    <m/>
    <n v="0.74880000000000002"/>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2-01T00:00:00"/>
    <s v="FY21"/>
    <s v="t"/>
    <n v="0.42299999999999999"/>
    <n v="0"/>
    <n v="0"/>
    <n v="0.42299999999999999"/>
    <n v="4"/>
    <n v="0"/>
    <n v="0"/>
    <n v="4"/>
    <n v="100"/>
    <n v="0"/>
    <n v="0"/>
    <s v="Consolidation"/>
    <s v="CO2e and Base Measure"/>
    <n v="100"/>
    <n v="100"/>
    <n v="0.42"/>
    <m/>
    <m/>
    <m/>
    <m/>
    <m/>
    <n v="0.54990000000000006"/>
    <m/>
    <n v="0.54990000000000006"/>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3-01T00:00:00"/>
    <s v="FY21"/>
    <s v="t"/>
    <n v="0.40600000000000003"/>
    <n v="0"/>
    <n v="0"/>
    <n v="0.40600000000000003"/>
    <n v="5"/>
    <n v="0"/>
    <n v="0"/>
    <n v="5"/>
    <n v="100"/>
    <n v="0"/>
    <n v="0"/>
    <s v="Consolidation"/>
    <s v="CO2e and Base Measure"/>
    <n v="100"/>
    <n v="100"/>
    <n v="0.41"/>
    <m/>
    <m/>
    <m/>
    <m/>
    <m/>
    <n v="0.52780000000000005"/>
    <m/>
    <n v="0.52780000000000005"/>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4-01T00:00:00"/>
    <s v="FY21"/>
    <s v="t"/>
    <n v="0"/>
    <n v="0"/>
    <n v="0.45300000000000001"/>
    <n v="0.45300000000000001"/>
    <n v="0"/>
    <n v="0"/>
    <n v="30"/>
    <n v="30"/>
    <n v="0"/>
    <n v="0"/>
    <n v="100"/>
    <s v="Consolidation"/>
    <s v="CO2e and Base Measure"/>
    <n v="100"/>
    <n v="100"/>
    <n v="0.45"/>
    <m/>
    <m/>
    <m/>
    <m/>
    <m/>
    <n v="0.58889999999999998"/>
    <m/>
    <n v="0.58889999999999998"/>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5-01T00:00:00"/>
    <s v="FY21"/>
    <s v="t"/>
    <n v="0"/>
    <n v="0"/>
    <n v="0.46810000000000002"/>
    <n v="0.46810000000000002"/>
    <n v="0"/>
    <n v="0"/>
    <n v="31"/>
    <n v="31"/>
    <n v="0"/>
    <n v="0"/>
    <n v="100"/>
    <s v="Consolidation"/>
    <s v="CO2e and Base Measure"/>
    <n v="100"/>
    <n v="100"/>
    <n v="0.47"/>
    <m/>
    <m/>
    <m/>
    <m/>
    <m/>
    <n v="0.60850000000000004"/>
    <m/>
    <n v="0.60850000000000004"/>
    <m/>
    <m/>
    <m/>
    <m/>
    <m/>
    <s v="AUD"/>
    <s v="13634315Waste - General [t] - Scope 3"/>
    <n v="13634315"/>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0-12-01T00:00:00"/>
    <s v="FY21"/>
    <s v="t"/>
    <n v="0"/>
    <n v="0.22500000000000001"/>
    <n v="0"/>
    <n v="0.22500000000000001"/>
    <n v="0"/>
    <n v="3"/>
    <n v="0"/>
    <n v="3"/>
    <n v="0"/>
    <n v="100"/>
    <n v="0"/>
    <s v="Consolidation"/>
    <s v="CO2e and Base Measure"/>
    <n v="100"/>
    <n v="100"/>
    <n v="0.23"/>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1-01T00:00:00"/>
    <s v="FY21"/>
    <s v="t"/>
    <n v="1.9E-2"/>
    <n v="0"/>
    <n v="0"/>
    <n v="1.9E-2"/>
    <n v="1"/>
    <n v="0"/>
    <n v="0"/>
    <n v="1"/>
    <n v="100"/>
    <n v="0"/>
    <n v="0"/>
    <s v="Consolidation"/>
    <s v="CO2e and Base Measure"/>
    <n v="100"/>
    <n v="100"/>
    <n v="0.02"/>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2-01T00:00:00"/>
    <s v="FY21"/>
    <s v="t"/>
    <n v="0.03"/>
    <n v="0.15"/>
    <n v="0"/>
    <n v="0.18"/>
    <n v="1"/>
    <n v="2"/>
    <n v="0"/>
    <n v="3"/>
    <n v="16.66"/>
    <n v="83.33"/>
    <n v="0"/>
    <s v="Consolidation"/>
    <s v="CO2e and Base Measure"/>
    <n v="100"/>
    <n v="100"/>
    <n v="0.18"/>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3-01T00:00:00"/>
    <s v="FY21"/>
    <s v="t"/>
    <n v="0.03"/>
    <n v="0"/>
    <n v="0"/>
    <n v="0.03"/>
    <n v="1"/>
    <n v="0"/>
    <n v="0"/>
    <n v="1"/>
    <n v="100"/>
    <n v="0"/>
    <n v="0"/>
    <s v="Consolidation"/>
    <s v="CO2e and Base Measure"/>
    <n v="100"/>
    <n v="100"/>
    <n v="0.03"/>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4-01T00:00:00"/>
    <s v="FY21"/>
    <s v="t"/>
    <n v="0"/>
    <n v="0"/>
    <n v="0.114"/>
    <n v="0.114"/>
    <n v="0"/>
    <n v="0"/>
    <n v="30"/>
    <n v="30"/>
    <n v="0"/>
    <n v="0"/>
    <n v="100"/>
    <s v="Consolidation"/>
    <s v="CO2e and Base Measure"/>
    <n v="100"/>
    <n v="100"/>
    <n v="0.11"/>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5-01T00:00:00"/>
    <s v="FY21"/>
    <s v="t"/>
    <n v="0"/>
    <n v="0"/>
    <n v="0.1178"/>
    <n v="0.1178"/>
    <n v="0"/>
    <n v="0"/>
    <n v="31"/>
    <n v="31"/>
    <n v="0"/>
    <n v="0"/>
    <n v="100"/>
    <s v="Consolidation"/>
    <s v="CO2e and Base Measure"/>
    <n v="100"/>
    <n v="100"/>
    <n v="0.12"/>
    <m/>
    <m/>
    <m/>
    <m/>
    <m/>
    <m/>
    <m/>
    <m/>
    <m/>
    <m/>
    <m/>
    <m/>
    <m/>
    <s v="AUD"/>
    <s v="13634316Waste Recycled - Paper and Cardboard [t]"/>
    <n v="13634316"/>
  </r>
  <r>
    <d v="2019-07-01T00:00:00"/>
    <d v="2021-06-30T00:00:00"/>
    <s v="Telstra"/>
    <s v="NETWORK"/>
    <s v="Network - InfraCo"/>
    <s v="VIC"/>
    <s v="Australia"/>
    <s v="North Wonthaggi"/>
    <s v="WONTHAGGI EXCHANGE"/>
    <n v="423030667900"/>
    <s v="Waste"/>
    <x v="1"/>
    <x v="4"/>
    <s v="Account"/>
    <s v="Remondis Asbestos"/>
    <m/>
    <s v="423030667900_WASBESTOS"/>
    <s v="ASBESTOS"/>
    <s v="Remondis"/>
    <m/>
    <m/>
    <d v="2021-01-01T00:00:00"/>
    <d v="2020-12-01T00:00:00"/>
    <s v="FY21"/>
    <s v="t"/>
    <n v="0"/>
    <n v="1.5"/>
    <n v="0"/>
    <n v="1.5"/>
    <n v="0"/>
    <n v="1"/>
    <n v="0"/>
    <n v="1"/>
    <n v="0"/>
    <n v="100"/>
    <n v="0"/>
    <s v="Consolidation"/>
    <s v="CO2e and Base Measure"/>
    <n v="100"/>
    <n v="100"/>
    <n v="1.5"/>
    <m/>
    <m/>
    <m/>
    <m/>
    <m/>
    <n v="1.8"/>
    <m/>
    <n v="1.8"/>
    <m/>
    <m/>
    <m/>
    <m/>
    <m/>
    <s v="AUD"/>
    <s v="13565082Waste - Construction and Demolition [t]"/>
    <n v="13565082"/>
  </r>
  <r>
    <d v="2019-07-01T00:00:00"/>
    <d v="2021-06-30T00:00:00"/>
    <s v="Telstra"/>
    <s v="NETWORK"/>
    <s v="Network - InfraCo"/>
    <s v="VIC"/>
    <s v="Australia"/>
    <s v="North Wonthaggi"/>
    <s v="WONTHAGGI EXCHANGE"/>
    <n v="423030667900"/>
    <s v="Waste"/>
    <x v="1"/>
    <x v="4"/>
    <s v="Account"/>
    <s v="Remondis Asbestos"/>
    <m/>
    <s v="423030667900_WASBESTOS"/>
    <s v="ASBESTOS"/>
    <s v="Remondis"/>
    <m/>
    <m/>
    <d v="2021-01-01T00:00:00"/>
    <d v="2021-01-01T00:00:00"/>
    <s v="FY21"/>
    <s v="t"/>
    <n v="0"/>
    <n v="0"/>
    <n v="0.05"/>
    <n v="0.05"/>
    <n v="0"/>
    <n v="0"/>
    <n v="1"/>
    <n v="1"/>
    <n v="0"/>
    <n v="0"/>
    <n v="100"/>
    <s v="Consolidation"/>
    <s v="CO2e and Base Measure"/>
    <n v="100"/>
    <n v="100"/>
    <n v="0.05"/>
    <m/>
    <m/>
    <m/>
    <m/>
    <m/>
    <n v="0.06"/>
    <m/>
    <n v="0.06"/>
    <m/>
    <m/>
    <m/>
    <m/>
    <m/>
    <s v="AUD"/>
    <s v="13565082Waste - Construction and Demolition [t]"/>
    <n v="13565082"/>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07-01T00:00:00"/>
    <s v="FY21"/>
    <s v="t"/>
    <n v="0"/>
    <n v="0.78"/>
    <n v="0"/>
    <n v="0.78"/>
    <n v="0"/>
    <n v="4"/>
    <n v="0"/>
    <n v="4"/>
    <n v="0"/>
    <n v="100"/>
    <n v="0"/>
    <s v="Consolidation"/>
    <s v="CO2e and Base Measure"/>
    <n v="100"/>
    <n v="100"/>
    <n v="0.78"/>
    <m/>
    <m/>
    <m/>
    <m/>
    <m/>
    <n v="1.014"/>
    <m/>
    <n v="1.014"/>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09-01T00:00:00"/>
    <s v="FY21"/>
    <s v="t"/>
    <n v="0"/>
    <n v="0.78"/>
    <n v="0"/>
    <n v="0.78"/>
    <n v="0"/>
    <n v="4"/>
    <n v="0"/>
    <n v="4"/>
    <n v="0"/>
    <n v="100"/>
    <n v="0"/>
    <s v="Consolidation"/>
    <s v="CO2e and Base Measure"/>
    <n v="100"/>
    <n v="100"/>
    <n v="0.78"/>
    <m/>
    <m/>
    <m/>
    <m/>
    <m/>
    <n v="1.014"/>
    <m/>
    <n v="1.014"/>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10-01T00:00:00"/>
    <s v="FY21"/>
    <s v="t"/>
    <n v="0"/>
    <n v="0.78"/>
    <n v="0"/>
    <n v="0.78"/>
    <n v="0"/>
    <n v="4"/>
    <n v="0"/>
    <n v="4"/>
    <n v="0"/>
    <n v="100"/>
    <n v="0"/>
    <s v="Consolidation"/>
    <s v="CO2e and Base Measure"/>
    <n v="100"/>
    <n v="100"/>
    <n v="0.78"/>
    <m/>
    <m/>
    <m/>
    <m/>
    <m/>
    <n v="1.014"/>
    <m/>
    <n v="1.014"/>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11-01T00:00:00"/>
    <s v="FY21"/>
    <s v="t"/>
    <n v="0"/>
    <n v="0.78"/>
    <n v="0"/>
    <n v="0.78"/>
    <n v="0"/>
    <n v="4"/>
    <n v="0"/>
    <n v="4"/>
    <n v="0"/>
    <n v="100"/>
    <n v="0"/>
    <s v="Consolidation"/>
    <s v="CO2e and Base Measure"/>
    <n v="100"/>
    <n v="100"/>
    <n v="0.78"/>
    <m/>
    <m/>
    <m/>
    <m/>
    <m/>
    <n v="1.014"/>
    <m/>
    <n v="1.014"/>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5084Waste - General [t] - Scope 3"/>
    <n v="13565084"/>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0-12-01T00:00:00"/>
    <s v="FY21"/>
    <s v="t"/>
    <n v="0"/>
    <n v="1.8"/>
    <n v="0"/>
    <n v="1.8"/>
    <n v="0"/>
    <n v="1"/>
    <n v="0"/>
    <n v="1"/>
    <n v="0"/>
    <n v="100"/>
    <n v="0"/>
    <s v="Consolidation"/>
    <s v="CO2e and Base Measure"/>
    <n v="100"/>
    <n v="100"/>
    <n v="1.8"/>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1-01T00:00:00"/>
    <s v="FY21"/>
    <s v="t"/>
    <n v="0"/>
    <n v="0"/>
    <n v="1.86"/>
    <n v="1.86"/>
    <n v="0"/>
    <n v="0"/>
    <n v="31"/>
    <n v="31"/>
    <n v="0"/>
    <n v="0"/>
    <n v="100"/>
    <s v="Consolidation"/>
    <s v="CO2e and Base Measure"/>
    <n v="100"/>
    <n v="100"/>
    <n v="1.86"/>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2-01T00:00:00"/>
    <s v="FY21"/>
    <s v="t"/>
    <n v="0"/>
    <n v="0"/>
    <n v="1.68"/>
    <n v="1.68"/>
    <n v="0"/>
    <n v="0"/>
    <n v="28"/>
    <n v="28"/>
    <n v="0"/>
    <n v="0"/>
    <n v="100"/>
    <s v="Consolidation"/>
    <s v="CO2e and Base Measure"/>
    <n v="100"/>
    <n v="100"/>
    <n v="1.68"/>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3-01T00:00:00"/>
    <s v="FY21"/>
    <s v="t"/>
    <n v="0"/>
    <n v="0"/>
    <n v="1.86"/>
    <n v="1.86"/>
    <n v="0"/>
    <n v="0"/>
    <n v="31"/>
    <n v="31"/>
    <n v="0"/>
    <n v="0"/>
    <n v="100"/>
    <s v="Consolidation"/>
    <s v="CO2e and Base Measure"/>
    <n v="100"/>
    <n v="100"/>
    <n v="1.86"/>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4-01T00:00:00"/>
    <s v="FY21"/>
    <s v="t"/>
    <n v="0"/>
    <n v="0"/>
    <n v="1.8"/>
    <n v="1.8"/>
    <n v="0"/>
    <n v="0"/>
    <n v="30"/>
    <n v="30"/>
    <n v="0"/>
    <n v="0"/>
    <n v="100"/>
    <s v="Consolidation"/>
    <s v="CO2e and Base Measure"/>
    <n v="100"/>
    <n v="100"/>
    <n v="1.8"/>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5-01T00:00:00"/>
    <s v="FY21"/>
    <s v="t"/>
    <n v="0"/>
    <n v="0"/>
    <n v="1.86"/>
    <n v="1.86"/>
    <n v="0"/>
    <n v="0"/>
    <n v="31"/>
    <n v="31"/>
    <n v="0"/>
    <n v="0"/>
    <n v="100"/>
    <s v="Consolidation"/>
    <s v="CO2e and Base Measure"/>
    <n v="100"/>
    <n v="100"/>
    <n v="1.86"/>
    <m/>
    <m/>
    <m/>
    <m/>
    <m/>
    <m/>
    <m/>
    <m/>
    <m/>
    <m/>
    <m/>
    <m/>
    <m/>
    <s v="AUD"/>
    <s v="13565085Waste Recycled - Construction and Demolition [t]"/>
    <n v="13565085"/>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2Hazardous Waste [t]"/>
    <n v="13633422"/>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0-12-01T00:00:00"/>
    <s v="FY21"/>
    <s v="t"/>
    <n v="0.17100000000000001"/>
    <n v="0"/>
    <n v="0"/>
    <n v="0.17100000000000001"/>
    <n v="1"/>
    <n v="0"/>
    <n v="0"/>
    <n v="1"/>
    <n v="100"/>
    <n v="0"/>
    <n v="0"/>
    <s v="Consolidation"/>
    <s v="CO2e and Base Measure"/>
    <n v="100"/>
    <n v="100"/>
    <n v="0.17"/>
    <m/>
    <m/>
    <m/>
    <m/>
    <m/>
    <n v="0.2223"/>
    <m/>
    <n v="0.2223"/>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1-01T00:00:00"/>
    <s v="FY21"/>
    <s v="t"/>
    <n v="0.38600000000000001"/>
    <n v="0"/>
    <n v="0"/>
    <n v="0.38600000000000001"/>
    <n v="2"/>
    <n v="0"/>
    <n v="0"/>
    <n v="2"/>
    <n v="100"/>
    <n v="0"/>
    <n v="0"/>
    <s v="Consolidation"/>
    <s v="CO2e and Base Measure"/>
    <n v="100"/>
    <n v="100"/>
    <n v="0.39"/>
    <m/>
    <m/>
    <m/>
    <m/>
    <m/>
    <n v="0.50180000000000002"/>
    <m/>
    <n v="0.50180000000000002"/>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2-01T00:00:00"/>
    <s v="FY21"/>
    <s v="t"/>
    <n v="0.36799999999999999"/>
    <n v="0"/>
    <n v="0"/>
    <n v="0.36799999999999999"/>
    <n v="2"/>
    <n v="0"/>
    <n v="0"/>
    <n v="2"/>
    <n v="100"/>
    <n v="0"/>
    <n v="0"/>
    <s v="Consolidation"/>
    <s v="CO2e and Base Measure"/>
    <n v="100"/>
    <n v="100"/>
    <n v="0.37"/>
    <m/>
    <m/>
    <m/>
    <m/>
    <m/>
    <n v="0.47839999999999999"/>
    <m/>
    <n v="0.47839999999999999"/>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3-01T00:00:00"/>
    <s v="FY21"/>
    <s v="t"/>
    <n v="0.315"/>
    <n v="0"/>
    <n v="0"/>
    <n v="0.315"/>
    <n v="1"/>
    <n v="0"/>
    <n v="0"/>
    <n v="1"/>
    <n v="100"/>
    <n v="0"/>
    <n v="0"/>
    <s v="Consolidation"/>
    <s v="CO2e and Base Measure"/>
    <n v="100"/>
    <n v="100"/>
    <n v="0.32"/>
    <m/>
    <m/>
    <m/>
    <m/>
    <m/>
    <n v="0.40949999999999998"/>
    <m/>
    <n v="0.40949999999999998"/>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4-01T00:00:00"/>
    <s v="FY21"/>
    <s v="t"/>
    <n v="0"/>
    <n v="0"/>
    <n v="0.309"/>
    <n v="0.309"/>
    <n v="0"/>
    <n v="0"/>
    <n v="30"/>
    <n v="30"/>
    <n v="0"/>
    <n v="0"/>
    <n v="100"/>
    <s v="Consolidation"/>
    <s v="CO2e and Base Measure"/>
    <n v="100"/>
    <n v="100"/>
    <n v="0.31"/>
    <m/>
    <m/>
    <m/>
    <m/>
    <m/>
    <n v="0.4017"/>
    <m/>
    <n v="0.4017"/>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5-01T00:00:00"/>
    <s v="FY21"/>
    <s v="t"/>
    <n v="0"/>
    <n v="0"/>
    <n v="0.31929999999999997"/>
    <n v="0.31929999999999997"/>
    <n v="0"/>
    <n v="0"/>
    <n v="31"/>
    <n v="31"/>
    <n v="0"/>
    <n v="0"/>
    <n v="100"/>
    <s v="Consolidation"/>
    <s v="CO2e and Base Measure"/>
    <n v="100"/>
    <n v="100"/>
    <n v="0.32"/>
    <m/>
    <m/>
    <m/>
    <m/>
    <m/>
    <n v="0.41510000000000002"/>
    <m/>
    <n v="0.41510000000000002"/>
    <m/>
    <m/>
    <m/>
    <m/>
    <m/>
    <s v="AUD"/>
    <s v="13634317Waste - General [t] - Scope 3"/>
    <n v="13634317"/>
  </r>
  <r>
    <d v="2019-07-01T00:00:00"/>
    <d v="2021-06-30T00:00:00"/>
    <s v="Telstra"/>
    <s v="NETWORK"/>
    <s v="Network - InfraCo"/>
    <s v="VIC"/>
    <s v="Australia"/>
    <s v="North Wonthaggi"/>
    <s v="WONTHAGGI EXCHANGE"/>
    <n v="423030667900"/>
    <s v="Recycled Waste"/>
    <x v="0"/>
    <x v="0"/>
    <s v="Account"/>
    <s v="CLEANAWAY Cardboard"/>
    <m/>
    <s v="25932_Diversion_Cardboard"/>
    <s v="Cardboard"/>
    <s v="Cleanaway"/>
    <m/>
    <d v="2021-03-09T00:00:00"/>
    <m/>
    <d v="2021-03-01T00:00:00"/>
    <s v="FY21"/>
    <s v="t"/>
    <n v="6.9000000000000006E-2"/>
    <n v="0"/>
    <n v="0"/>
    <n v="6.9000000000000006E-2"/>
    <n v="1"/>
    <n v="0"/>
    <n v="0"/>
    <n v="1"/>
    <n v="100"/>
    <n v="0"/>
    <n v="0"/>
    <s v="Consolidation"/>
    <s v="CO2e and Base Measure"/>
    <n v="100"/>
    <n v="100"/>
    <n v="7.0000000000000007E-2"/>
    <m/>
    <m/>
    <m/>
    <m/>
    <m/>
    <m/>
    <m/>
    <m/>
    <m/>
    <m/>
    <m/>
    <m/>
    <m/>
    <s v="AUD"/>
    <s v="13641211Waste Recycled - Paper and Cardboard [t]"/>
    <n v="13641211"/>
  </r>
  <r>
    <d v="2019-07-01T00:00:00"/>
    <d v="2021-06-30T00:00:00"/>
    <s v="Telstra"/>
    <s v="NETWORK"/>
    <s v="Network - InfraCo"/>
    <s v="VIC"/>
    <s v="Australia"/>
    <s v="North Wonthaggi"/>
    <s v="WONTHAGGI EXCHANGE"/>
    <n v="423030667900"/>
    <s v="Recycled Waste"/>
    <x v="0"/>
    <x v="0"/>
    <s v="Account"/>
    <s v="CLEANAWAY Cardboard"/>
    <m/>
    <s v="25932_Diversion_Cardboard"/>
    <s v="Cardboard"/>
    <s v="Cleanaway"/>
    <m/>
    <d v="2021-03-09T00:00:00"/>
    <m/>
    <d v="2021-04-01T00:00:00"/>
    <s v="FY21"/>
    <s v="t"/>
    <n v="0"/>
    <n v="0"/>
    <n v="6.9000000000000006E-2"/>
    <n v="6.9000000000000006E-2"/>
    <n v="0"/>
    <n v="0"/>
    <n v="30"/>
    <n v="30"/>
    <n v="0"/>
    <n v="0"/>
    <n v="100"/>
    <s v="Consolidation"/>
    <s v="CO2e and Base Measure"/>
    <n v="100"/>
    <n v="100"/>
    <n v="7.0000000000000007E-2"/>
    <m/>
    <m/>
    <m/>
    <m/>
    <m/>
    <m/>
    <m/>
    <m/>
    <m/>
    <m/>
    <m/>
    <m/>
    <m/>
    <s v="AUD"/>
    <s v="13641211Waste Recycled - Paper and Cardboard [t]"/>
    <n v="13641211"/>
  </r>
  <r>
    <d v="2019-07-01T00:00:00"/>
    <d v="2021-06-30T00:00:00"/>
    <s v="Telstra"/>
    <s v="NETWORK"/>
    <s v="Network - InfraCo"/>
    <s v="VIC"/>
    <s v="Australia"/>
    <s v="North Wonthaggi"/>
    <s v="WONTHAGGI EXCHANGE"/>
    <n v="423030667900"/>
    <s v="Recycled Waste"/>
    <x v="0"/>
    <x v="0"/>
    <s v="Account"/>
    <s v="CLEANAWAY Cardboard"/>
    <m/>
    <s v="25932_Diversion_Cardboard"/>
    <s v="Cardboard"/>
    <s v="Cleanaway"/>
    <m/>
    <d v="2021-03-09T00:00:00"/>
    <m/>
    <d v="2021-05-01T00:00:00"/>
    <s v="FY21"/>
    <s v="t"/>
    <n v="0"/>
    <n v="0"/>
    <n v="7.1300000000000002E-2"/>
    <n v="7.1300000000000002E-2"/>
    <n v="0"/>
    <n v="0"/>
    <n v="31"/>
    <n v="31"/>
    <n v="0"/>
    <n v="0"/>
    <n v="100"/>
    <s v="Consolidation"/>
    <s v="CO2e and Base Measure"/>
    <n v="100"/>
    <n v="100"/>
    <n v="7.0000000000000007E-2"/>
    <m/>
    <m/>
    <m/>
    <m/>
    <m/>
    <m/>
    <m/>
    <m/>
    <m/>
    <m/>
    <m/>
    <m/>
    <m/>
    <s v="AUD"/>
    <s v="13641211Waste Recycled - Paper and Cardboard [t]"/>
    <n v="13641211"/>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07-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08-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09-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10-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11-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1-01-01T00:00:00"/>
    <s v="FY21"/>
    <s v="t"/>
    <n v="0"/>
    <n v="3.15E-2"/>
    <n v="0"/>
    <n v="3.15E-2"/>
    <n v="0"/>
    <n v="1"/>
    <n v="0"/>
    <n v="1"/>
    <n v="0"/>
    <n v="100"/>
    <n v="0"/>
    <s v="Consolidation"/>
    <s v="CO2e and Base Measure"/>
    <n v="100"/>
    <n v="100"/>
    <n v="0.03"/>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1-02-01T00:00:00"/>
    <s v="FY21"/>
    <s v="t"/>
    <n v="0"/>
    <n v="0"/>
    <n v="1.6999999999999999E-3"/>
    <n v="1.6999999999999999E-3"/>
    <n v="0"/>
    <n v="0"/>
    <n v="1"/>
    <n v="1"/>
    <n v="0"/>
    <n v="0"/>
    <n v="100"/>
    <s v="Consolidation"/>
    <s v="CO2e and Base Measure"/>
    <n v="100"/>
    <n v="100"/>
    <n v="0"/>
    <m/>
    <m/>
    <m/>
    <m/>
    <m/>
    <m/>
    <n v="0"/>
    <m/>
    <m/>
    <m/>
    <m/>
    <m/>
    <m/>
    <s v="AUD"/>
    <s v="13564296Waste Recycled - Cardboard [t]"/>
    <n v="13564296"/>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07-01T00:00:00"/>
    <s v="FY21"/>
    <s v="t"/>
    <n v="0"/>
    <n v="0.19500000000000001"/>
    <n v="0"/>
    <n v="0.19500000000000001"/>
    <n v="0"/>
    <n v="2"/>
    <n v="0"/>
    <n v="2"/>
    <n v="0"/>
    <n v="100"/>
    <n v="0"/>
    <s v="Consolidation"/>
    <s v="CO2e and Base Measure"/>
    <n v="100"/>
    <n v="100"/>
    <n v="0.2"/>
    <m/>
    <m/>
    <m/>
    <m/>
    <m/>
    <n v="0.2535"/>
    <m/>
    <n v="0.2535"/>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08-01T00:00:00"/>
    <s v="FY21"/>
    <s v="t"/>
    <n v="0"/>
    <n v="0.19500000000000001"/>
    <n v="0"/>
    <n v="0.19500000000000001"/>
    <n v="0"/>
    <n v="2"/>
    <n v="0"/>
    <n v="2"/>
    <n v="0"/>
    <n v="100"/>
    <n v="0"/>
    <s v="Consolidation"/>
    <s v="CO2e and Base Measure"/>
    <n v="100"/>
    <n v="100"/>
    <n v="0.2"/>
    <m/>
    <m/>
    <m/>
    <m/>
    <m/>
    <n v="0.2535"/>
    <m/>
    <n v="0.2535"/>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10-01T00:00:00"/>
    <s v="FY21"/>
    <s v="t"/>
    <n v="0"/>
    <n v="0.19500000000000001"/>
    <n v="0"/>
    <n v="0.19500000000000001"/>
    <n v="0"/>
    <n v="2"/>
    <n v="0"/>
    <n v="2"/>
    <n v="0"/>
    <n v="100"/>
    <n v="0"/>
    <s v="Consolidation"/>
    <s v="CO2e and Base Measure"/>
    <n v="100"/>
    <n v="100"/>
    <n v="0.2"/>
    <m/>
    <m/>
    <m/>
    <m/>
    <m/>
    <n v="0.2535"/>
    <m/>
    <n v="0.2535"/>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11-01T00:00:00"/>
    <s v="FY21"/>
    <s v="t"/>
    <n v="0"/>
    <n v="0.19500000000000001"/>
    <n v="0"/>
    <n v="0.19500000000000001"/>
    <n v="0"/>
    <n v="2"/>
    <n v="0"/>
    <n v="2"/>
    <n v="0"/>
    <n v="100"/>
    <n v="0"/>
    <s v="Consolidation"/>
    <s v="CO2e and Base Measure"/>
    <n v="100"/>
    <n v="100"/>
    <n v="0.2"/>
    <m/>
    <m/>
    <m/>
    <m/>
    <m/>
    <n v="0.2535"/>
    <m/>
    <n v="0.2535"/>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1-01-01T00:00:00"/>
    <s v="FY21"/>
    <s v="t"/>
    <n v="0"/>
    <n v="9.7500000000000003E-2"/>
    <n v="0"/>
    <n v="9.7500000000000003E-2"/>
    <n v="0"/>
    <n v="1"/>
    <n v="0"/>
    <n v="1"/>
    <n v="0"/>
    <n v="100"/>
    <n v="0"/>
    <s v="Consolidation"/>
    <s v="CO2e and Base Measure"/>
    <n v="100"/>
    <n v="100"/>
    <n v="0.1"/>
    <m/>
    <m/>
    <m/>
    <m/>
    <m/>
    <n v="0.1268"/>
    <m/>
    <n v="0.1268"/>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1-02-01T00:00:00"/>
    <s v="FY21"/>
    <s v="t"/>
    <n v="0"/>
    <n v="0"/>
    <n v="5.5999999999999999E-3"/>
    <n v="5.5999999999999999E-3"/>
    <n v="0"/>
    <n v="0"/>
    <n v="1"/>
    <n v="1"/>
    <n v="0"/>
    <n v="0"/>
    <n v="100"/>
    <s v="Consolidation"/>
    <s v="CO2e and Base Measure"/>
    <n v="100"/>
    <n v="100"/>
    <n v="0.01"/>
    <m/>
    <m/>
    <m/>
    <m/>
    <m/>
    <n v="7.3000000000000001E-3"/>
    <m/>
    <n v="7.3000000000000001E-3"/>
    <m/>
    <m/>
    <m/>
    <m/>
    <m/>
    <s v="AUD"/>
    <s v="13564297Waste - General [t] - Scope 3"/>
    <n v="13564297"/>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3-01T00:00:00"/>
    <s v="FY21"/>
    <s v="t"/>
    <n v="4.9000000000000002E-2"/>
    <n v="0"/>
    <n v="0"/>
    <n v="4.9000000000000002E-2"/>
    <n v="1"/>
    <n v="0"/>
    <n v="0"/>
    <n v="1"/>
    <n v="100"/>
    <n v="0"/>
    <n v="0"/>
    <s v="Consolidation"/>
    <s v="CO2e and Base Measure"/>
    <n v="100"/>
    <n v="100"/>
    <n v="0.05"/>
    <m/>
    <m/>
    <m/>
    <m/>
    <m/>
    <n v="6.3700000000000007E-2"/>
    <m/>
    <n v="6.3700000000000007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4-01T00:00:00"/>
    <s v="FY21"/>
    <s v="t"/>
    <n v="0"/>
    <n v="0"/>
    <n v="6.3E-2"/>
    <n v="6.3E-2"/>
    <n v="0"/>
    <n v="0"/>
    <n v="30"/>
    <n v="30"/>
    <n v="0"/>
    <n v="0"/>
    <n v="100"/>
    <s v="Consolidation"/>
    <s v="CO2e and Base Measure"/>
    <n v="100"/>
    <n v="100"/>
    <n v="0.06"/>
    <m/>
    <m/>
    <m/>
    <m/>
    <m/>
    <n v="8.1900000000000001E-2"/>
    <m/>
    <n v="8.1900000000000001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5-01T00:00:00"/>
    <s v="FY21"/>
    <s v="t"/>
    <n v="0"/>
    <n v="0"/>
    <n v="6.5100000000000005E-2"/>
    <n v="6.5100000000000005E-2"/>
    <n v="0"/>
    <n v="0"/>
    <n v="31"/>
    <n v="31"/>
    <n v="0"/>
    <n v="0"/>
    <n v="100"/>
    <s v="Consolidation"/>
    <s v="CO2e and Base Measure"/>
    <n v="100"/>
    <n v="100"/>
    <n v="7.0000000000000007E-2"/>
    <m/>
    <m/>
    <m/>
    <m/>
    <m/>
    <n v="8.4599999999999995E-2"/>
    <m/>
    <n v="8.4599999999999995E-2"/>
    <m/>
    <m/>
    <m/>
    <m/>
    <m/>
    <s v="AUD"/>
    <s v="13634318Waste - General [t] - Scope 3"/>
    <n v="13634318"/>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0-12-01T00:00:00"/>
    <s v="FY21"/>
    <s v="t"/>
    <n v="0"/>
    <n v="3.7499999999999999E-2"/>
    <n v="0"/>
    <n v="3.7499999999999999E-2"/>
    <n v="0"/>
    <n v="1"/>
    <n v="0"/>
    <n v="1"/>
    <n v="0"/>
    <n v="100"/>
    <n v="0"/>
    <s v="Consolidation"/>
    <s v="CO2e and Base Measure"/>
    <n v="100"/>
    <n v="100"/>
    <n v="0.04"/>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1-01T00:00:00"/>
    <s v="FY21"/>
    <s v="t"/>
    <n v="0"/>
    <n v="3.7499999999999999E-2"/>
    <n v="0"/>
    <n v="3.7499999999999999E-2"/>
    <n v="0"/>
    <n v="1"/>
    <n v="0"/>
    <n v="1"/>
    <n v="0"/>
    <n v="100"/>
    <n v="0"/>
    <s v="Consolidation"/>
    <s v="CO2e and Base Measure"/>
    <n v="100"/>
    <n v="100"/>
    <n v="0.04"/>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2-01T00:00:00"/>
    <s v="FY21"/>
    <s v="t"/>
    <n v="0"/>
    <n v="3.7499999999999999E-2"/>
    <n v="0"/>
    <n v="3.7499999999999999E-2"/>
    <n v="0"/>
    <n v="1"/>
    <n v="0"/>
    <n v="1"/>
    <n v="0"/>
    <n v="100"/>
    <n v="0"/>
    <s v="Consolidation"/>
    <s v="CO2e and Base Measure"/>
    <n v="100"/>
    <n v="100"/>
    <n v="0.04"/>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3-01T00:00:00"/>
    <s v="FY21"/>
    <s v="t"/>
    <n v="4.9000000000000002E-2"/>
    <n v="0"/>
    <n v="0"/>
    <n v="4.9000000000000002E-2"/>
    <n v="1"/>
    <n v="0"/>
    <n v="0"/>
    <n v="1"/>
    <n v="100"/>
    <n v="0"/>
    <n v="0"/>
    <s v="Consolidation"/>
    <s v="CO2e and Base Measure"/>
    <n v="100"/>
    <n v="100"/>
    <n v="0.05"/>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4-01T00:00:00"/>
    <s v="FY21"/>
    <s v="t"/>
    <n v="0"/>
    <n v="0"/>
    <n v="3.9E-2"/>
    <n v="3.9E-2"/>
    <n v="0"/>
    <n v="0"/>
    <n v="30"/>
    <n v="30"/>
    <n v="0"/>
    <n v="0"/>
    <n v="100"/>
    <s v="Consolidation"/>
    <s v="CO2e and Base Measure"/>
    <n v="100"/>
    <n v="100"/>
    <n v="0.04"/>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5-01T00:00:00"/>
    <s v="FY21"/>
    <s v="t"/>
    <n v="0"/>
    <n v="0"/>
    <n v="4.0300000000000002E-2"/>
    <n v="4.0300000000000002E-2"/>
    <n v="0"/>
    <n v="0"/>
    <n v="31"/>
    <n v="31"/>
    <n v="0"/>
    <n v="0"/>
    <n v="100"/>
    <s v="Consolidation"/>
    <s v="CO2e and Base Measure"/>
    <n v="100"/>
    <n v="100"/>
    <n v="0.04"/>
    <m/>
    <m/>
    <m/>
    <m/>
    <m/>
    <m/>
    <m/>
    <m/>
    <m/>
    <m/>
    <m/>
    <m/>
    <m/>
    <s v="AUD"/>
    <s v="13634319Waste Recycled - Paper and Cardboard [t]"/>
    <n v="13634319"/>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09-01T00:00:00"/>
    <s v="FY21"/>
    <s v="t"/>
    <n v="0"/>
    <n v="6.3E-2"/>
    <n v="0"/>
    <n v="6.3E-2"/>
    <n v="0"/>
    <n v="1"/>
    <n v="0"/>
    <n v="1"/>
    <n v="0"/>
    <n v="100"/>
    <n v="0"/>
    <s v="Consolidation"/>
    <s v="CO2e and Base Measure"/>
    <n v="100"/>
    <n v="100"/>
    <n v="0.06"/>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12-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1-01-01T00:00:00"/>
    <s v="FY21"/>
    <s v="t"/>
    <n v="0"/>
    <n v="0"/>
    <n v="3.8E-3"/>
    <n v="3.8E-3"/>
    <n v="0"/>
    <n v="0"/>
    <n v="1"/>
    <n v="1"/>
    <n v="0"/>
    <n v="0"/>
    <n v="100"/>
    <s v="Consolidation"/>
    <s v="CO2e and Base Measure"/>
    <n v="100"/>
    <n v="100"/>
    <n v="0"/>
    <m/>
    <m/>
    <m/>
    <m/>
    <m/>
    <m/>
    <n v="0"/>
    <m/>
    <m/>
    <m/>
    <m/>
    <m/>
    <m/>
    <s v="AUD"/>
    <s v="13564990Waste Recycled - Cardboard [t]"/>
    <n v="13564990"/>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1-01-01T00:00:00"/>
    <s v="FY21"/>
    <s v="t"/>
    <n v="0"/>
    <n v="0"/>
    <n v="5.3E-3"/>
    <n v="5.3E-3"/>
    <n v="0"/>
    <n v="0"/>
    <n v="1"/>
    <n v="1"/>
    <n v="0"/>
    <n v="0"/>
    <n v="100"/>
    <s v="Consolidation"/>
    <s v="CO2e and Base Measure"/>
    <n v="100"/>
    <n v="100"/>
    <n v="0.01"/>
    <m/>
    <m/>
    <m/>
    <m/>
    <m/>
    <n v="6.8999999999999999E-3"/>
    <m/>
    <n v="6.8999999999999999E-3"/>
    <m/>
    <m/>
    <m/>
    <m/>
    <m/>
    <s v="AUD"/>
    <s v="13564991Waste - General [t] - Scope 3"/>
    <n v="13564991"/>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0-12-01T00:00:00"/>
    <s v="FY21"/>
    <s v="t"/>
    <n v="0"/>
    <n v="4.5600000000000002E-2"/>
    <n v="0"/>
    <n v="4.5600000000000002E-2"/>
    <n v="0"/>
    <n v="1"/>
    <n v="0"/>
    <n v="1"/>
    <n v="0"/>
    <n v="100"/>
    <n v="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1-01T00:00:00"/>
    <s v="FY21"/>
    <s v="t"/>
    <n v="0"/>
    <n v="0"/>
    <n v="4.65E-2"/>
    <n v="4.65E-2"/>
    <n v="0"/>
    <n v="0"/>
    <n v="31"/>
    <n v="31"/>
    <n v="0"/>
    <n v="0"/>
    <n v="10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2-01T00:00:00"/>
    <s v="FY21"/>
    <s v="t"/>
    <n v="0"/>
    <n v="0"/>
    <n v="4.2000000000000003E-2"/>
    <n v="4.2000000000000003E-2"/>
    <n v="0"/>
    <n v="0"/>
    <n v="28"/>
    <n v="28"/>
    <n v="0"/>
    <n v="0"/>
    <n v="100"/>
    <s v="Consolidation"/>
    <s v="CO2e and Base Measure"/>
    <n v="100"/>
    <n v="100"/>
    <n v="0.04"/>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3-01T00:00:00"/>
    <s v="FY21"/>
    <s v="t"/>
    <n v="0"/>
    <n v="0"/>
    <n v="4.65E-2"/>
    <n v="4.65E-2"/>
    <n v="0"/>
    <n v="0"/>
    <n v="31"/>
    <n v="31"/>
    <n v="0"/>
    <n v="0"/>
    <n v="10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4-01T00:00:00"/>
    <s v="FY21"/>
    <s v="t"/>
    <n v="0"/>
    <n v="0"/>
    <n v="4.4999999999999998E-2"/>
    <n v="4.4999999999999998E-2"/>
    <n v="0"/>
    <n v="0"/>
    <n v="30"/>
    <n v="30"/>
    <n v="0"/>
    <n v="0"/>
    <n v="10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5-01T00:00:00"/>
    <s v="FY21"/>
    <s v="t"/>
    <n v="0"/>
    <n v="0"/>
    <n v="4.65E-2"/>
    <n v="4.65E-2"/>
    <n v="0"/>
    <n v="0"/>
    <n v="31"/>
    <n v="31"/>
    <n v="0"/>
    <n v="0"/>
    <n v="10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Waste"/>
    <x v="1"/>
    <x v="2"/>
    <s v="Account"/>
    <s v="CLEANAWAY General"/>
    <m/>
    <s v="12373_Landfill_General"/>
    <s v="General"/>
    <s v="Cleanaway"/>
    <m/>
    <d v="2021-03-22T00:00:00"/>
    <m/>
    <d v="2021-03-01T00:00:00"/>
    <s v="FY21"/>
    <s v="t"/>
    <n v="0"/>
    <n v="4.9500000000000002E-2"/>
    <n v="0"/>
    <n v="4.9500000000000002E-2"/>
    <n v="0"/>
    <n v="1"/>
    <n v="0"/>
    <n v="1"/>
    <n v="0"/>
    <n v="100"/>
    <n v="0"/>
    <s v="Consolidation"/>
    <s v="CO2e and Base Measure"/>
    <n v="100"/>
    <n v="100"/>
    <n v="0.05"/>
    <m/>
    <m/>
    <m/>
    <m/>
    <m/>
    <n v="6.4399999999999999E-2"/>
    <m/>
    <n v="6.4399999999999999E-2"/>
    <m/>
    <m/>
    <m/>
    <m/>
    <m/>
    <s v="AUD"/>
    <s v="13641204Waste - General [t] - Scope 3"/>
    <n v="13641204"/>
  </r>
  <r>
    <d v="2019-07-01T00:00:00"/>
    <d v="2021-06-30T00:00:00"/>
    <s v="Telstra"/>
    <s v="NETWORK"/>
    <s v="Network - InfraCo"/>
    <s v="SA"/>
    <s v="Australia"/>
    <s v="Woodville"/>
    <s v="WOODVILLE EXCHANGE"/>
    <n v="423030620800"/>
    <s v="Waste"/>
    <x v="1"/>
    <x v="2"/>
    <s v="Account"/>
    <s v="CLEANAWAY General"/>
    <m/>
    <s v="12373_Landfill_General"/>
    <s v="General"/>
    <s v="Cleanaway"/>
    <m/>
    <d v="2021-03-22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41204Waste - General [t] - Scope 3"/>
    <n v="13641204"/>
  </r>
  <r>
    <d v="2019-07-01T00:00:00"/>
    <d v="2021-06-30T00:00:00"/>
    <s v="Telstra"/>
    <s v="NETWORK"/>
    <s v="Network - InfraCo"/>
    <s v="SA"/>
    <s v="Australia"/>
    <s v="Woodville"/>
    <s v="WOODVILLE EXCHANGE"/>
    <n v="423030620800"/>
    <s v="Waste"/>
    <x v="1"/>
    <x v="2"/>
    <s v="Account"/>
    <s v="CLEANAWAY General"/>
    <m/>
    <s v="12373_Landfill_General"/>
    <s v="General"/>
    <s v="Cleanaway"/>
    <m/>
    <d v="2021-03-22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41204Waste - General [t] - Scope 3"/>
    <n v="13641204"/>
  </r>
  <r>
    <d v="2019-07-01T00:00:00"/>
    <d v="2021-06-30T00:00:00"/>
    <s v="Telstra"/>
    <s v="NETWORK"/>
    <s v="Network - InfraCo"/>
    <s v="SA"/>
    <s v="Australia"/>
    <s v="Woodville"/>
    <s v="WOODVILLE EXCHANGE"/>
    <n v="423030620800"/>
    <s v="Recycled Waste"/>
    <x v="0"/>
    <x v="0"/>
    <s v="Account"/>
    <s v="CLEANAWAY Cardboard"/>
    <m/>
    <s v="12373_Diversion_Cardboard"/>
    <s v="Cardboard"/>
    <s v="Cleanaway"/>
    <m/>
    <d v="2021-03-22T00:00:00"/>
    <m/>
    <d v="2021-03-01T00:00:00"/>
    <s v="FY21"/>
    <s v="t"/>
    <n v="0"/>
    <n v="2.75E-2"/>
    <n v="0"/>
    <n v="2.75E-2"/>
    <n v="0"/>
    <n v="2"/>
    <n v="0"/>
    <n v="2"/>
    <n v="0"/>
    <n v="100"/>
    <n v="0"/>
    <s v="Consolidation"/>
    <s v="CO2e and Base Measure"/>
    <n v="100"/>
    <n v="100"/>
    <n v="0.03"/>
    <m/>
    <m/>
    <m/>
    <m/>
    <m/>
    <m/>
    <m/>
    <m/>
    <m/>
    <m/>
    <m/>
    <m/>
    <m/>
    <s v="AUD"/>
    <s v="13641205Waste Recycled - Paper and Cardboard [t]"/>
    <n v="13641205"/>
  </r>
  <r>
    <d v="2019-07-01T00:00:00"/>
    <d v="2021-06-30T00:00:00"/>
    <s v="Telstra"/>
    <s v="NETWORK"/>
    <s v="Network - InfraCo"/>
    <s v="SA"/>
    <s v="Australia"/>
    <s v="Woodville"/>
    <s v="WOODVILLE EXCHANGE"/>
    <n v="423030620800"/>
    <s v="Recycled Waste"/>
    <x v="0"/>
    <x v="0"/>
    <s v="Account"/>
    <s v="CLEANAWAY Cardboard"/>
    <m/>
    <s v="12373_Diversion_Cardboard"/>
    <s v="Cardboard"/>
    <s v="Cleanaway"/>
    <m/>
    <d v="2021-03-22T00:00:00"/>
    <m/>
    <d v="2021-04-01T00:00:00"/>
    <s v="FY21"/>
    <s v="t"/>
    <n v="0"/>
    <n v="0"/>
    <n v="2.7E-2"/>
    <n v="2.7E-2"/>
    <n v="0"/>
    <n v="0"/>
    <n v="30"/>
    <n v="30"/>
    <n v="0"/>
    <n v="0"/>
    <n v="100"/>
    <s v="Consolidation"/>
    <s v="CO2e and Base Measure"/>
    <n v="100"/>
    <n v="100"/>
    <n v="0.03"/>
    <m/>
    <m/>
    <m/>
    <m/>
    <m/>
    <m/>
    <m/>
    <m/>
    <m/>
    <m/>
    <m/>
    <m/>
    <m/>
    <s v="AUD"/>
    <s v="13641205Waste Recycled - Paper and Cardboard [t]"/>
    <n v="13641205"/>
  </r>
  <r>
    <d v="2019-07-01T00:00:00"/>
    <d v="2021-06-30T00:00:00"/>
    <s v="Telstra"/>
    <s v="NETWORK"/>
    <s v="Network - InfraCo"/>
    <s v="SA"/>
    <s v="Australia"/>
    <s v="Woodville"/>
    <s v="WOODVILLE EXCHANGE"/>
    <n v="423030620800"/>
    <s v="Recycled Waste"/>
    <x v="0"/>
    <x v="0"/>
    <s v="Account"/>
    <s v="CLEANAWAY Cardboard"/>
    <m/>
    <s v="12373_Diversion_Cardboard"/>
    <s v="Cardboard"/>
    <s v="Cleanaway"/>
    <m/>
    <d v="2021-03-22T00:00:00"/>
    <m/>
    <d v="2021-05-01T00:00:00"/>
    <s v="FY21"/>
    <s v="t"/>
    <n v="0"/>
    <n v="0"/>
    <n v="2.7900000000000001E-2"/>
    <n v="2.7900000000000001E-2"/>
    <n v="0"/>
    <n v="0"/>
    <n v="31"/>
    <n v="31"/>
    <n v="0"/>
    <n v="0"/>
    <n v="100"/>
    <s v="Consolidation"/>
    <s v="CO2e and Base Measure"/>
    <n v="100"/>
    <n v="100"/>
    <n v="0.03"/>
    <m/>
    <m/>
    <m/>
    <m/>
    <m/>
    <m/>
    <m/>
    <m/>
    <m/>
    <m/>
    <m/>
    <m/>
    <m/>
    <s v="AUD"/>
    <s v="13641205Waste Recycled - Paper and Cardboard [t]"/>
    <n v="13641205"/>
  </r>
  <r>
    <d v="2019-07-01T00:00:00"/>
    <d v="2021-06-30T00:00:00"/>
    <s v="Telstra"/>
    <s v="NETWORK"/>
    <s v="Network - InfraCo"/>
    <s v="NSW"/>
    <s v="Australia"/>
    <s v="Woolgoolga"/>
    <s v="WOOLGOOLGA EXCHANGE"/>
    <n v="423030357100"/>
    <s v="Waste"/>
    <x v="1"/>
    <x v="2"/>
    <s v="Account"/>
    <s v="Remondis General Waste"/>
    <m/>
    <s v="4230303571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703Waste - General [t] - Scope 3"/>
    <n v="13564703"/>
  </r>
  <r>
    <d v="2019-07-01T00:00:00"/>
    <d v="2021-06-30T00:00:00"/>
    <s v="Telstra"/>
    <s v="NETWORK"/>
    <s v="Network - InfraCo"/>
    <s v="NSW"/>
    <s v="Australia"/>
    <s v="Woolgoolga"/>
    <s v="WOOLGOOLGA EXCHANGE"/>
    <n v="423030357100"/>
    <s v="Waste"/>
    <x v="1"/>
    <x v="2"/>
    <s v="Account"/>
    <s v="Remondis General Waste"/>
    <m/>
    <s v="423030357100_WGENERALW"/>
    <s v="GENERAL WASTE"/>
    <s v="Remondis"/>
    <m/>
    <m/>
    <d v="2021-01-01T00:00:00"/>
    <d v="2020-12-01T00:00:00"/>
    <s v="FY21"/>
    <s v="t"/>
    <n v="0"/>
    <n v="0.21060000000000001"/>
    <n v="0"/>
    <n v="0.21060000000000001"/>
    <n v="0"/>
    <n v="2"/>
    <n v="0"/>
    <n v="2"/>
    <n v="0"/>
    <n v="100"/>
    <n v="0"/>
    <s v="Consolidation"/>
    <s v="CO2e and Base Measure"/>
    <n v="100"/>
    <n v="100"/>
    <n v="0.21"/>
    <m/>
    <m/>
    <m/>
    <m/>
    <m/>
    <n v="0.27379999999999999"/>
    <m/>
    <n v="0.27379999999999999"/>
    <m/>
    <m/>
    <m/>
    <m/>
    <m/>
    <s v="AUD"/>
    <s v="13564703Waste - General [t] - Scope 3"/>
    <n v="13564703"/>
  </r>
  <r>
    <d v="2019-07-01T00:00:00"/>
    <d v="2021-06-30T00:00:00"/>
    <s v="Telstra"/>
    <s v="NETWORK"/>
    <s v="Network - InfraCo"/>
    <s v="NSW"/>
    <s v="Australia"/>
    <s v="Woolgoolga"/>
    <s v="WOOLGOOLGA EXCHANGE"/>
    <n v="423030357100"/>
    <s v="Waste"/>
    <x v="1"/>
    <x v="2"/>
    <s v="Account"/>
    <s v="Remondis General Waste"/>
    <m/>
    <s v="423030357100_WGENERALW"/>
    <s v="GENERAL WASTE"/>
    <s v="Remondis"/>
    <m/>
    <m/>
    <d v="2021-01-01T00:00:00"/>
    <d v="2021-01-01T00:00:00"/>
    <s v="FY21"/>
    <s v="t"/>
    <n v="0"/>
    <n v="0"/>
    <n v="2.8E-3"/>
    <n v="2.8E-3"/>
    <n v="0"/>
    <n v="0"/>
    <n v="1"/>
    <n v="1"/>
    <n v="0"/>
    <n v="0"/>
    <n v="100"/>
    <s v="Consolidation"/>
    <s v="CO2e and Base Measure"/>
    <n v="100"/>
    <n v="100"/>
    <n v="0"/>
    <m/>
    <m/>
    <m/>
    <m/>
    <m/>
    <n v="3.5999999999999999E-3"/>
    <m/>
    <n v="3.5999999999999999E-3"/>
    <m/>
    <m/>
    <m/>
    <m/>
    <m/>
    <s v="AUD"/>
    <s v="13564703Waste - General [t] - Scope 3"/>
    <n v="13564703"/>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0-12-01T00:00:00"/>
    <s v="FY21"/>
    <s v="t"/>
    <n v="0.20200000000000001"/>
    <n v="0.13500000000000001"/>
    <n v="0"/>
    <n v="0.33700000000000002"/>
    <n v="3"/>
    <n v="1"/>
    <n v="0"/>
    <n v="4"/>
    <n v="59.94"/>
    <n v="40.049999999999997"/>
    <n v="0"/>
    <s v="Consolidation"/>
    <s v="CO2e and Base Measure"/>
    <n v="100"/>
    <n v="100"/>
    <n v="0.34"/>
    <m/>
    <m/>
    <m/>
    <m/>
    <m/>
    <n v="0.43809999999999999"/>
    <m/>
    <n v="0.43809999999999999"/>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1-01T00:00:00"/>
    <s v="FY21"/>
    <s v="t"/>
    <n v="0.38300000000000001"/>
    <n v="0.27"/>
    <n v="0"/>
    <n v="0.65300000000000002"/>
    <n v="3"/>
    <n v="2"/>
    <n v="0"/>
    <n v="5"/>
    <n v="58.65"/>
    <n v="41.34"/>
    <n v="0"/>
    <s v="Consolidation"/>
    <s v="CO2e and Base Measure"/>
    <n v="100"/>
    <n v="100"/>
    <n v="0.65"/>
    <m/>
    <m/>
    <m/>
    <m/>
    <m/>
    <n v="0.84889999999999999"/>
    <m/>
    <n v="0.84889999999999999"/>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2-01T00:00:00"/>
    <s v="FY21"/>
    <s v="t"/>
    <n v="0.13400000000000001"/>
    <n v="0"/>
    <n v="0"/>
    <n v="0.13400000000000001"/>
    <n v="3"/>
    <n v="0"/>
    <n v="0"/>
    <n v="3"/>
    <n v="100"/>
    <n v="0"/>
    <n v="0"/>
    <s v="Consolidation"/>
    <s v="CO2e and Base Measure"/>
    <n v="100"/>
    <n v="100"/>
    <n v="0.13"/>
    <m/>
    <m/>
    <m/>
    <m/>
    <m/>
    <n v="0.17419999999999999"/>
    <m/>
    <n v="0.17419999999999999"/>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3-01T00:00:00"/>
    <s v="FY21"/>
    <s v="t"/>
    <n v="8.6999999999999994E-2"/>
    <n v="0"/>
    <n v="0"/>
    <n v="8.6999999999999994E-2"/>
    <n v="1"/>
    <n v="0"/>
    <n v="0"/>
    <n v="1"/>
    <n v="100"/>
    <n v="0"/>
    <n v="0"/>
    <s v="Consolidation"/>
    <s v="CO2e and Base Measure"/>
    <n v="100"/>
    <n v="100"/>
    <n v="0.09"/>
    <m/>
    <m/>
    <m/>
    <m/>
    <m/>
    <n v="0.11310000000000001"/>
    <m/>
    <n v="0.11310000000000001"/>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4-01T00:00:00"/>
    <s v="FY21"/>
    <s v="t"/>
    <n v="0"/>
    <n v="0"/>
    <n v="0.30299999999999999"/>
    <n v="0.30299999999999999"/>
    <n v="0"/>
    <n v="0"/>
    <n v="30"/>
    <n v="30"/>
    <n v="0"/>
    <n v="0"/>
    <n v="100"/>
    <s v="Consolidation"/>
    <s v="CO2e and Base Measure"/>
    <n v="100"/>
    <n v="100"/>
    <n v="0.3"/>
    <m/>
    <m/>
    <m/>
    <m/>
    <m/>
    <n v="0.39389999999999997"/>
    <m/>
    <n v="0.39389999999999997"/>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5-01T00:00:00"/>
    <s v="FY21"/>
    <s v="t"/>
    <n v="0"/>
    <n v="0"/>
    <n v="0.31309999999999999"/>
    <n v="0.31309999999999999"/>
    <n v="0"/>
    <n v="0"/>
    <n v="31"/>
    <n v="31"/>
    <n v="0"/>
    <n v="0"/>
    <n v="100"/>
    <s v="Consolidation"/>
    <s v="CO2e and Base Measure"/>
    <n v="100"/>
    <n v="100"/>
    <n v="0.31"/>
    <m/>
    <m/>
    <m/>
    <m/>
    <m/>
    <n v="0.40699999999999997"/>
    <m/>
    <n v="0.40699999999999997"/>
    <m/>
    <m/>
    <m/>
    <m/>
    <m/>
    <s v="AUD"/>
    <s v="13634320Waste - General [t] - Scope 3"/>
    <n v="13634320"/>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07-01T00:00:00"/>
    <s v="FY21"/>
    <s v="t"/>
    <n v="0.14099999999999999"/>
    <n v="0"/>
    <n v="0"/>
    <n v="0.14099999999999999"/>
    <n v="4"/>
    <n v="0"/>
    <n v="0"/>
    <n v="4"/>
    <n v="100"/>
    <n v="0"/>
    <n v="0"/>
    <s v="Consolidation"/>
    <s v="CO2e and Base Measure"/>
    <n v="100"/>
    <n v="100"/>
    <n v="0.14000000000000001"/>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08-01T00:00:00"/>
    <s v="FY21"/>
    <s v="t"/>
    <n v="8.5000000000000006E-2"/>
    <n v="4.6600000000000003E-2"/>
    <n v="0"/>
    <n v="0.13159999999999999"/>
    <n v="2"/>
    <n v="2"/>
    <n v="0"/>
    <n v="4"/>
    <n v="64.58"/>
    <n v="35.409999999999997"/>
    <n v="0"/>
    <s v="Consolidation"/>
    <s v="CO2e and Base Measure"/>
    <n v="100"/>
    <n v="100"/>
    <n v="0.13"/>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09-01T00:00:00"/>
    <s v="FY21"/>
    <s v="t"/>
    <n v="0.06"/>
    <n v="0"/>
    <n v="0"/>
    <n v="0.06"/>
    <n v="2"/>
    <n v="0"/>
    <n v="0"/>
    <n v="2"/>
    <n v="100"/>
    <n v="0"/>
    <n v="0"/>
    <s v="Consolidation"/>
    <s v="CO2e and Base Measure"/>
    <n v="100"/>
    <n v="100"/>
    <n v="0.06"/>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10-01T00:00:00"/>
    <s v="FY21"/>
    <s v="t"/>
    <n v="0.16500000000000001"/>
    <n v="4.6600000000000003E-2"/>
    <n v="0"/>
    <n v="0.21160000000000001"/>
    <n v="3"/>
    <n v="1"/>
    <n v="0"/>
    <n v="4"/>
    <n v="77.97"/>
    <n v="22.02"/>
    <n v="0"/>
    <s v="Consolidation"/>
    <s v="CO2e and Base Measure"/>
    <n v="100"/>
    <n v="100"/>
    <n v="0.21"/>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11-01T00:00:00"/>
    <s v="FY21"/>
    <s v="t"/>
    <n v="0.08"/>
    <n v="0"/>
    <n v="0"/>
    <n v="0.08"/>
    <n v="4"/>
    <n v="0"/>
    <n v="0"/>
    <n v="4"/>
    <n v="100"/>
    <n v="0"/>
    <n v="0"/>
    <s v="Consolidation"/>
    <s v="CO2e and Base Measure"/>
    <n v="100"/>
    <n v="100"/>
    <n v="0.08"/>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12-01T00:00:00"/>
    <s v="FY21"/>
    <s v="t"/>
    <n v="0"/>
    <n v="0"/>
    <n v="4.1000000000000003E-3"/>
    <n v="4.1000000000000003E-3"/>
    <n v="0"/>
    <n v="0"/>
    <n v="1"/>
    <n v="1"/>
    <n v="0"/>
    <n v="0"/>
    <n v="100"/>
    <s v="Consolidation"/>
    <s v="CO2e and Base Measure"/>
    <n v="100"/>
    <n v="100"/>
    <n v="0"/>
    <m/>
    <m/>
    <m/>
    <m/>
    <m/>
    <m/>
    <n v="0"/>
    <m/>
    <m/>
    <m/>
    <m/>
    <m/>
    <m/>
    <s v="AUD"/>
    <s v="13564329Waste Recycled - Cardboard [t]"/>
    <n v="13564329"/>
  </r>
  <r>
    <d v="2019-07-01T00:00:00"/>
    <d v="2021-06-30T00:00:00"/>
    <s v="Telstra"/>
    <s v="NETWORK"/>
    <s v="Network - InfraCo"/>
    <s v="QLD"/>
    <s v="Australia"/>
    <s v="Woolloongabba"/>
    <s v="WOOLLOONGABBA EXCHANGE"/>
    <n v="423030275600"/>
    <s v="Recycled Waste"/>
    <x v="0"/>
    <x v="1"/>
    <s v="Account"/>
    <s v="Remondis Electrical Comp. (E-Waste)"/>
    <m/>
    <s v="423030275600_RELECTRIC"/>
    <s v="ELECTRICAL COMP. E-WASTE"/>
    <s v="Remondis"/>
    <m/>
    <m/>
    <d v="2020-10-01T00:00:00"/>
    <d v="2020-09-01T00:00:00"/>
    <s v="FY21"/>
    <s v="t"/>
    <n v="0.34"/>
    <n v="0"/>
    <n v="0"/>
    <n v="0.34"/>
    <n v="1"/>
    <n v="0"/>
    <n v="0"/>
    <n v="1"/>
    <n v="100"/>
    <n v="0"/>
    <n v="0"/>
    <s v="Consolidation"/>
    <s v="CO2e and Base Measure"/>
    <n v="100"/>
    <n v="100"/>
    <n v="0.34"/>
    <m/>
    <m/>
    <m/>
    <m/>
    <m/>
    <m/>
    <m/>
    <m/>
    <m/>
    <m/>
    <m/>
    <m/>
    <m/>
    <s v="AUD"/>
    <s v="13564330Waste Recycled - E-waste [t]"/>
    <n v="13564330"/>
  </r>
  <r>
    <d v="2019-07-01T00:00:00"/>
    <d v="2021-06-30T00:00:00"/>
    <s v="Telstra"/>
    <s v="NETWORK"/>
    <s v="Network - InfraCo"/>
    <s v="QLD"/>
    <s v="Australia"/>
    <s v="Woolloongabba"/>
    <s v="WOOLLOONGABBA EXCHANGE"/>
    <n v="423030275600"/>
    <s v="Recycled Waste"/>
    <x v="0"/>
    <x v="1"/>
    <s v="Account"/>
    <s v="Remondis Electrical Comp. (E-Waste)"/>
    <m/>
    <s v="423030275600_RELECTRIC"/>
    <s v="ELECTRICAL COMP. E-WASTE"/>
    <s v="Remondis"/>
    <m/>
    <m/>
    <d v="2020-10-01T00:00:00"/>
    <d v="2020-10-01T00:00:00"/>
    <s v="FY21"/>
    <s v="t"/>
    <n v="0"/>
    <n v="0"/>
    <n v="4.5999999999999999E-3"/>
    <n v="4.5999999999999999E-3"/>
    <n v="0"/>
    <n v="0"/>
    <n v="1"/>
    <n v="1"/>
    <n v="0"/>
    <n v="0"/>
    <n v="100"/>
    <s v="Consolidation"/>
    <s v="CO2e and Base Measure"/>
    <n v="100"/>
    <n v="100"/>
    <n v="0"/>
    <m/>
    <m/>
    <m/>
    <m/>
    <m/>
    <m/>
    <m/>
    <m/>
    <m/>
    <m/>
    <m/>
    <m/>
    <m/>
    <s v="AUD"/>
    <s v="13564330Waste Recycled - E-waste [t]"/>
    <n v="13564330"/>
  </r>
  <r>
    <d v="2019-07-01T00:00:00"/>
    <d v="2021-06-30T00:00:00"/>
    <s v="Telstra"/>
    <s v="NETWORK"/>
    <s v="Network - InfraCo"/>
    <s v="QLD"/>
    <s v="Australia"/>
    <s v="Woolloongabba"/>
    <s v="WOOLLOONGABBA EXCHANGE"/>
    <n v="423030275600"/>
    <s v="Recycled Waste"/>
    <x v="0"/>
    <x v="1"/>
    <s v="Account"/>
    <s v="Remondis Fluoro Tubes - Recycled"/>
    <m/>
    <s v="423030275600_RFLUORO"/>
    <s v="FLUORO TUBES - RECYCLED"/>
    <s v="Remondis"/>
    <m/>
    <m/>
    <d v="2020-08-01T00:00:00"/>
    <d v="2020-07-01T00:00:00"/>
    <s v="FY21"/>
    <s v="t"/>
    <n v="0"/>
    <n v="0.06"/>
    <n v="0"/>
    <n v="0.06"/>
    <n v="0"/>
    <n v="1"/>
    <n v="0"/>
    <n v="1"/>
    <n v="0"/>
    <n v="100"/>
    <n v="0"/>
    <s v="Consolidation"/>
    <s v="CO2e and Base Measure"/>
    <n v="100"/>
    <n v="100"/>
    <n v="0.06"/>
    <m/>
    <m/>
    <m/>
    <m/>
    <m/>
    <m/>
    <m/>
    <m/>
    <m/>
    <m/>
    <m/>
    <m/>
    <m/>
    <s v="AUD"/>
    <s v="13564331Waste Recycled - E-waste [t]"/>
    <n v="13564331"/>
  </r>
  <r>
    <d v="2019-07-01T00:00:00"/>
    <d v="2021-06-30T00:00:00"/>
    <s v="Telstra"/>
    <s v="NETWORK"/>
    <s v="Network - InfraCo"/>
    <s v="QLD"/>
    <s v="Australia"/>
    <s v="Woolloongabba"/>
    <s v="WOOLLOONGABBA EXCHANGE"/>
    <n v="423030275600"/>
    <s v="Recycled Waste"/>
    <x v="0"/>
    <x v="1"/>
    <s v="Account"/>
    <s v="Remondis Fluoro Tubes - Recycled"/>
    <m/>
    <s v="423030275600_RFLUORO"/>
    <s v="FLUORO TUBES - RECYCLED"/>
    <s v="Remondis"/>
    <m/>
    <m/>
    <d v="2020-08-01T00:00:00"/>
    <d v="2020-08-01T00:00:00"/>
    <s v="FY21"/>
    <s v="t"/>
    <n v="0"/>
    <n v="0"/>
    <n v="2E-3"/>
    <n v="2E-3"/>
    <n v="0"/>
    <n v="0"/>
    <n v="1"/>
    <n v="1"/>
    <n v="0"/>
    <n v="0"/>
    <n v="100"/>
    <s v="Consolidation"/>
    <s v="CO2e and Base Measure"/>
    <n v="100"/>
    <n v="100"/>
    <n v="0"/>
    <m/>
    <m/>
    <m/>
    <m/>
    <m/>
    <m/>
    <m/>
    <m/>
    <m/>
    <m/>
    <m/>
    <m/>
    <m/>
    <s v="AUD"/>
    <s v="13564331Waste Recycled - E-waste [t]"/>
    <n v="13564331"/>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07-01T00:00:00"/>
    <s v="FY21"/>
    <s v="t"/>
    <n v="0.42399999999999999"/>
    <n v="0"/>
    <n v="0"/>
    <n v="0.42399999999999999"/>
    <n v="10"/>
    <n v="0"/>
    <n v="0"/>
    <n v="10"/>
    <n v="100"/>
    <n v="0"/>
    <n v="0"/>
    <s v="Consolidation"/>
    <s v="CO2e and Base Measure"/>
    <n v="100"/>
    <n v="100"/>
    <n v="0.42"/>
    <m/>
    <m/>
    <m/>
    <m/>
    <m/>
    <n v="0.55120000000000002"/>
    <m/>
    <n v="0.55120000000000002"/>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08-01T00:00:00"/>
    <s v="FY21"/>
    <s v="t"/>
    <n v="8.6999999999999994E-2"/>
    <n v="0"/>
    <n v="0"/>
    <n v="8.6999999999999994E-2"/>
    <n v="8"/>
    <n v="0"/>
    <n v="0"/>
    <n v="8"/>
    <n v="100"/>
    <n v="0"/>
    <n v="0"/>
    <s v="Consolidation"/>
    <s v="CO2e and Base Measure"/>
    <n v="100"/>
    <n v="100"/>
    <n v="0.09"/>
    <m/>
    <m/>
    <m/>
    <m/>
    <m/>
    <n v="0.11310000000000001"/>
    <m/>
    <n v="0.11310000000000001"/>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09-01T00:00:00"/>
    <s v="FY21"/>
    <s v="t"/>
    <n v="0.47699999999999998"/>
    <n v="0"/>
    <n v="0"/>
    <n v="0.47699999999999998"/>
    <n v="8"/>
    <n v="0"/>
    <n v="0"/>
    <n v="8"/>
    <n v="100"/>
    <n v="0"/>
    <n v="0"/>
    <s v="Consolidation"/>
    <s v="CO2e and Base Measure"/>
    <n v="100"/>
    <n v="100"/>
    <n v="0.48"/>
    <m/>
    <m/>
    <m/>
    <m/>
    <m/>
    <n v="0.62009999999999998"/>
    <m/>
    <n v="0.62009999999999998"/>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10-01T00:00:00"/>
    <s v="FY21"/>
    <s v="t"/>
    <n v="0.33500000000000002"/>
    <n v="0"/>
    <n v="0"/>
    <n v="0.33500000000000002"/>
    <n v="8"/>
    <n v="0"/>
    <n v="0"/>
    <n v="8"/>
    <n v="100"/>
    <n v="0"/>
    <n v="0"/>
    <s v="Consolidation"/>
    <s v="CO2e and Base Measure"/>
    <n v="100"/>
    <n v="100"/>
    <n v="0.34"/>
    <m/>
    <m/>
    <m/>
    <m/>
    <m/>
    <n v="0.4355"/>
    <m/>
    <n v="0.4355"/>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11-01T00:00:00"/>
    <s v="FY21"/>
    <s v="t"/>
    <n v="0.54400000000000004"/>
    <n v="4.6800000000000001E-2"/>
    <n v="0"/>
    <n v="0.59079999999999999"/>
    <n v="6"/>
    <n v="3"/>
    <n v="0"/>
    <n v="9"/>
    <n v="92.07"/>
    <n v="7.92"/>
    <n v="0"/>
    <s v="Consolidation"/>
    <s v="CO2e and Base Measure"/>
    <n v="100"/>
    <n v="100"/>
    <n v="0.59"/>
    <m/>
    <m/>
    <m/>
    <m/>
    <m/>
    <n v="0.76800000000000002"/>
    <m/>
    <n v="0.76800000000000002"/>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12-01T00:00:00"/>
    <s v="FY21"/>
    <s v="t"/>
    <n v="0"/>
    <n v="0"/>
    <n v="1.1599999999999999E-2"/>
    <n v="1.1599999999999999E-2"/>
    <n v="0"/>
    <n v="0"/>
    <n v="1"/>
    <n v="1"/>
    <n v="0"/>
    <n v="0"/>
    <n v="100"/>
    <s v="Consolidation"/>
    <s v="CO2e and Base Measure"/>
    <n v="100"/>
    <n v="100"/>
    <n v="0.01"/>
    <m/>
    <m/>
    <m/>
    <m/>
    <m/>
    <n v="1.5100000000000001E-2"/>
    <m/>
    <n v="1.5100000000000001E-2"/>
    <m/>
    <m/>
    <m/>
    <m/>
    <m/>
    <s v="AUD"/>
    <s v="13564332Waste - General [t] - Scope 3"/>
    <n v="13564332"/>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0-11-01T00:00:00"/>
    <s v="FY21"/>
    <s v="t"/>
    <n v="0.108"/>
    <n v="0"/>
    <n v="0"/>
    <n v="0.108"/>
    <n v="1"/>
    <n v="0"/>
    <n v="0"/>
    <n v="1"/>
    <n v="100"/>
    <n v="0"/>
    <n v="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0-12-01T00:00:00"/>
    <s v="FY21"/>
    <s v="t"/>
    <n v="0"/>
    <n v="0"/>
    <n v="0.1147"/>
    <n v="0.1147"/>
    <n v="0"/>
    <n v="0"/>
    <n v="31"/>
    <n v="31"/>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1-01T00:00:00"/>
    <s v="FY21"/>
    <s v="t"/>
    <n v="0"/>
    <n v="0"/>
    <n v="0.1147"/>
    <n v="0.1147"/>
    <n v="0"/>
    <n v="0"/>
    <n v="31"/>
    <n v="31"/>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2-01T00:00:00"/>
    <s v="FY21"/>
    <s v="t"/>
    <n v="0"/>
    <n v="0"/>
    <n v="0.1036"/>
    <n v="0.1036"/>
    <n v="0"/>
    <n v="0"/>
    <n v="28"/>
    <n v="28"/>
    <n v="0"/>
    <n v="0"/>
    <n v="100"/>
    <s v="Consolidation"/>
    <s v="CO2e and Base Measure"/>
    <n v="100"/>
    <n v="100"/>
    <n v="0.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3-01T00:00:00"/>
    <s v="FY21"/>
    <s v="t"/>
    <n v="0"/>
    <n v="0"/>
    <n v="0.1147"/>
    <n v="0.1147"/>
    <n v="0"/>
    <n v="0"/>
    <n v="31"/>
    <n v="31"/>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4-01T00:00:00"/>
    <s v="FY21"/>
    <s v="t"/>
    <n v="0"/>
    <n v="0"/>
    <n v="0.111"/>
    <n v="0.111"/>
    <n v="0"/>
    <n v="0"/>
    <n v="30"/>
    <n v="30"/>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5-01T00:00:00"/>
    <s v="FY21"/>
    <s v="t"/>
    <n v="0"/>
    <n v="0"/>
    <n v="0.1147"/>
    <n v="0.1147"/>
    <n v="0"/>
    <n v="0"/>
    <n v="31"/>
    <n v="31"/>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0-12-01T00:00:00"/>
    <s v="FY21"/>
    <s v="t"/>
    <n v="0.14499999999999999"/>
    <n v="0.18360000000000001"/>
    <n v="0"/>
    <n v="0.3286"/>
    <n v="1"/>
    <n v="8"/>
    <n v="0"/>
    <n v="9"/>
    <n v="44.12"/>
    <n v="55.87"/>
    <n v="0"/>
    <s v="Consolidation"/>
    <s v="CO2e and Base Measure"/>
    <n v="100"/>
    <n v="100"/>
    <n v="0.33"/>
    <m/>
    <m/>
    <m/>
    <m/>
    <m/>
    <n v="0.42720000000000002"/>
    <m/>
    <n v="0.42720000000000002"/>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1-01T00:00:00"/>
    <s v="FY21"/>
    <s v="t"/>
    <n v="0.23"/>
    <n v="0.1512"/>
    <n v="0"/>
    <n v="0.38119999999999998"/>
    <n v="1"/>
    <n v="11"/>
    <n v="0"/>
    <n v="12"/>
    <n v="60.33"/>
    <n v="39.659999999999997"/>
    <n v="0"/>
    <s v="Consolidation"/>
    <s v="CO2e and Base Measure"/>
    <n v="100"/>
    <n v="100"/>
    <n v="0.38"/>
    <m/>
    <m/>
    <m/>
    <m/>
    <m/>
    <n v="0.49559999999999998"/>
    <m/>
    <n v="0.49559999999999998"/>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2-01T00:00:00"/>
    <s v="FY21"/>
    <s v="t"/>
    <n v="4.9000000000000002E-2"/>
    <n v="0.108"/>
    <n v="0"/>
    <n v="0.157"/>
    <n v="1"/>
    <n v="5"/>
    <n v="0"/>
    <n v="6"/>
    <n v="31.21"/>
    <n v="68.78"/>
    <n v="0"/>
    <s v="Consolidation"/>
    <s v="CO2e and Base Measure"/>
    <n v="100"/>
    <n v="100"/>
    <n v="0.16"/>
    <m/>
    <m/>
    <m/>
    <m/>
    <m/>
    <n v="0.2041"/>
    <m/>
    <n v="0.2041"/>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3-01T00:00:00"/>
    <s v="FY21"/>
    <s v="t"/>
    <n v="9.8000000000000004E-2"/>
    <n v="0.24840000000000001"/>
    <n v="0"/>
    <n v="0.34639999999999999"/>
    <n v="1"/>
    <n v="6"/>
    <n v="0"/>
    <n v="7"/>
    <n v="28.29"/>
    <n v="71.7"/>
    <n v="0"/>
    <s v="Consolidation"/>
    <s v="CO2e and Base Measure"/>
    <n v="100"/>
    <n v="100"/>
    <n v="0.35"/>
    <m/>
    <m/>
    <m/>
    <m/>
    <m/>
    <n v="0.45029999999999998"/>
    <m/>
    <n v="0.45029999999999998"/>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4-01T00:00:00"/>
    <s v="FY21"/>
    <s v="t"/>
    <n v="0"/>
    <n v="0"/>
    <n v="0.30299999999999999"/>
    <n v="0.30299999999999999"/>
    <n v="0"/>
    <n v="0"/>
    <n v="30"/>
    <n v="30"/>
    <n v="0"/>
    <n v="0"/>
    <n v="100"/>
    <s v="Consolidation"/>
    <s v="CO2e and Base Measure"/>
    <n v="100"/>
    <n v="100"/>
    <n v="0.3"/>
    <m/>
    <m/>
    <m/>
    <m/>
    <m/>
    <n v="0.39389999999999997"/>
    <m/>
    <n v="0.39389999999999997"/>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5-01T00:00:00"/>
    <s v="FY21"/>
    <s v="t"/>
    <n v="0"/>
    <n v="0"/>
    <n v="0.31309999999999999"/>
    <n v="0.31309999999999999"/>
    <n v="0"/>
    <n v="0"/>
    <n v="31"/>
    <n v="31"/>
    <n v="0"/>
    <n v="0"/>
    <n v="100"/>
    <s v="Consolidation"/>
    <s v="CO2e and Base Measure"/>
    <n v="100"/>
    <n v="100"/>
    <n v="0.31"/>
    <m/>
    <m/>
    <m/>
    <m/>
    <m/>
    <n v="0.40699999999999997"/>
    <m/>
    <n v="0.40699999999999997"/>
    <m/>
    <m/>
    <m/>
    <m/>
    <m/>
    <s v="AUD"/>
    <s v="13634321Waste - General [t] - Scope 3"/>
    <n v="13634321"/>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1-01T00:00:00"/>
    <s v="FY21"/>
    <s v="t"/>
    <n v="0"/>
    <n v="0.16500000000000001"/>
    <n v="0"/>
    <n v="0.16500000000000001"/>
    <n v="0"/>
    <n v="4"/>
    <n v="0"/>
    <n v="4"/>
    <n v="0"/>
    <n v="100"/>
    <n v="0"/>
    <s v="Consolidation"/>
    <s v="CO2e and Base Measure"/>
    <n v="100"/>
    <n v="100"/>
    <n v="0.17"/>
    <m/>
    <m/>
    <m/>
    <m/>
    <m/>
    <m/>
    <m/>
    <m/>
    <m/>
    <m/>
    <m/>
    <m/>
    <m/>
    <s v="AUD"/>
    <s v="13634483Waste Recycled - Paper and Cardboard [t]"/>
    <n v="13634483"/>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2-01T00:00:00"/>
    <s v="FY21"/>
    <s v="t"/>
    <n v="0"/>
    <n v="0.1925"/>
    <n v="0"/>
    <n v="0.1925"/>
    <n v="0"/>
    <n v="4"/>
    <n v="0"/>
    <n v="4"/>
    <n v="0"/>
    <n v="100"/>
    <n v="0"/>
    <s v="Consolidation"/>
    <s v="CO2e and Base Measure"/>
    <n v="100"/>
    <n v="100"/>
    <n v="0.19"/>
    <m/>
    <m/>
    <m/>
    <m/>
    <m/>
    <m/>
    <m/>
    <m/>
    <m/>
    <m/>
    <m/>
    <m/>
    <m/>
    <s v="AUD"/>
    <s v="13634483Waste Recycled - Paper and Cardboard [t]"/>
    <n v="13634483"/>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3-01T00:00:00"/>
    <s v="FY21"/>
    <s v="t"/>
    <n v="0"/>
    <n v="0.16500000000000001"/>
    <n v="0"/>
    <n v="0.16500000000000001"/>
    <n v="0"/>
    <n v="3"/>
    <n v="0"/>
    <n v="3"/>
    <n v="0"/>
    <n v="100"/>
    <n v="0"/>
    <s v="Consolidation"/>
    <s v="CO2e and Base Measure"/>
    <n v="100"/>
    <n v="100"/>
    <n v="0.17"/>
    <m/>
    <m/>
    <m/>
    <m/>
    <m/>
    <m/>
    <m/>
    <m/>
    <m/>
    <m/>
    <m/>
    <m/>
    <m/>
    <s v="AUD"/>
    <s v="13634483Waste Recycled - Paper and Cardboard [t]"/>
    <n v="13634483"/>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4-01T00:00:00"/>
    <s v="FY21"/>
    <s v="t"/>
    <n v="0"/>
    <n v="0"/>
    <n v="0.17699999999999999"/>
    <n v="0.17699999999999999"/>
    <n v="0"/>
    <n v="0"/>
    <n v="30"/>
    <n v="30"/>
    <n v="0"/>
    <n v="0"/>
    <n v="100"/>
    <s v="Consolidation"/>
    <s v="CO2e and Base Measure"/>
    <n v="100"/>
    <n v="100"/>
    <n v="0.18"/>
    <m/>
    <m/>
    <m/>
    <m/>
    <m/>
    <m/>
    <m/>
    <m/>
    <m/>
    <m/>
    <m/>
    <m/>
    <m/>
    <s v="AUD"/>
    <s v="13634483Waste Recycled - Paper and Cardboard [t]"/>
    <n v="13634483"/>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5-01T00:00:00"/>
    <s v="FY21"/>
    <s v="t"/>
    <n v="0"/>
    <n v="0"/>
    <n v="0.18290000000000001"/>
    <n v="0.18290000000000001"/>
    <n v="0"/>
    <n v="0"/>
    <n v="31"/>
    <n v="31"/>
    <n v="0"/>
    <n v="0"/>
    <n v="100"/>
    <s v="Consolidation"/>
    <s v="CO2e and Base Measure"/>
    <n v="100"/>
    <n v="100"/>
    <n v="0.18"/>
    <m/>
    <m/>
    <m/>
    <m/>
    <m/>
    <m/>
    <m/>
    <m/>
    <m/>
    <m/>
    <m/>
    <m/>
    <m/>
    <s v="AUD"/>
    <s v="13634483Waste Recycled - Paper and Cardboard [t]"/>
    <n v="13634483"/>
  </r>
  <r>
    <d v="2019-07-01T00:00:00"/>
    <d v="2021-06-30T00:00:00"/>
    <s v="Telstra"/>
    <s v="NETWORK"/>
    <s v="Network - InfraCo"/>
    <s v="QLD"/>
    <s v="Australia"/>
    <s v="Yatala"/>
    <s v="WOONGOOLBA RSS"/>
    <n v="423030226000"/>
    <s v="Waste"/>
    <x v="1"/>
    <x v="2"/>
    <s v="Account"/>
    <s v="Remondis General Waste"/>
    <m/>
    <s v="4230302260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299Waste - General [t] - Scope 3"/>
    <n v="13564299"/>
  </r>
  <r>
    <d v="2019-07-01T00:00:00"/>
    <d v="2021-06-30T00:00:00"/>
    <s v="Telstra"/>
    <s v="NETWORK"/>
    <s v="Network - InfraCo"/>
    <s v="QLD"/>
    <s v="Australia"/>
    <s v="Yatala"/>
    <s v="WOONGOOLBA RSS"/>
    <n v="423030226000"/>
    <s v="Waste"/>
    <x v="1"/>
    <x v="2"/>
    <s v="Account"/>
    <s v="Remondis General Waste"/>
    <m/>
    <s v="4230302260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4299Waste - General [t] - Scope 3"/>
    <n v="13564299"/>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07-01T00:00:00"/>
    <s v="FY21"/>
    <s v="t"/>
    <n v="7.0000000000000007E-2"/>
    <n v="0"/>
    <n v="0"/>
    <n v="7.0000000000000007E-2"/>
    <n v="1"/>
    <n v="0"/>
    <n v="0"/>
    <n v="1"/>
    <n v="100"/>
    <n v="0"/>
    <n v="0"/>
    <s v="Consolidation"/>
    <s v="CO2e and Base Measure"/>
    <n v="100"/>
    <n v="100"/>
    <n v="7.0000000000000007E-2"/>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09-01T00:00:00"/>
    <s v="FY21"/>
    <s v="t"/>
    <n v="7.0000000000000007E-2"/>
    <n v="0"/>
    <n v="0"/>
    <n v="7.0000000000000007E-2"/>
    <n v="1"/>
    <n v="0"/>
    <n v="0"/>
    <n v="1"/>
    <n v="100"/>
    <n v="0"/>
    <n v="0"/>
    <s v="Consolidation"/>
    <s v="CO2e and Base Measure"/>
    <n v="100"/>
    <n v="100"/>
    <n v="7.0000000000000007E-2"/>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10-01T00:00:00"/>
    <s v="FY21"/>
    <s v="t"/>
    <n v="0.06"/>
    <n v="0"/>
    <n v="0"/>
    <n v="0.06"/>
    <n v="2"/>
    <n v="0"/>
    <n v="0"/>
    <n v="2"/>
    <n v="100"/>
    <n v="0"/>
    <n v="0"/>
    <s v="Consolidation"/>
    <s v="CO2e and Base Measure"/>
    <n v="100"/>
    <n v="100"/>
    <n v="0.06"/>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11-01T00:00:00"/>
    <s v="FY21"/>
    <s v="t"/>
    <n v="0.1"/>
    <n v="0"/>
    <n v="0"/>
    <n v="0.1"/>
    <n v="2"/>
    <n v="0"/>
    <n v="0"/>
    <n v="2"/>
    <n v="100"/>
    <n v="0"/>
    <n v="0"/>
    <s v="Consolidation"/>
    <s v="CO2e and Base Measure"/>
    <n v="100"/>
    <n v="100"/>
    <n v="0.1"/>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12-01T00:00:00"/>
    <s v="FY21"/>
    <s v="t"/>
    <n v="0"/>
    <n v="6.3E-2"/>
    <n v="0"/>
    <n v="6.3E-2"/>
    <n v="0"/>
    <n v="2"/>
    <n v="0"/>
    <n v="2"/>
    <n v="0"/>
    <n v="100"/>
    <n v="0"/>
    <s v="Consolidation"/>
    <s v="CO2e and Base Measure"/>
    <n v="100"/>
    <n v="100"/>
    <n v="0.06"/>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1-01-01T00:00:00"/>
    <s v="FY21"/>
    <s v="t"/>
    <n v="0"/>
    <n v="0"/>
    <n v="1.9E-3"/>
    <n v="1.9E-3"/>
    <n v="0"/>
    <n v="0"/>
    <n v="1"/>
    <n v="1"/>
    <n v="0"/>
    <n v="0"/>
    <n v="100"/>
    <s v="Consolidation"/>
    <s v="CO2e and Base Measure"/>
    <n v="100"/>
    <n v="100"/>
    <n v="0"/>
    <m/>
    <m/>
    <m/>
    <m/>
    <m/>
    <m/>
    <n v="0"/>
    <m/>
    <m/>
    <m/>
    <m/>
    <m/>
    <m/>
    <s v="AUD"/>
    <s v="13564705Waste Recycled - Cardboard [t]"/>
    <n v="13564705"/>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07-01T00:00:00"/>
    <s v="FY21"/>
    <s v="t"/>
    <n v="0.185"/>
    <n v="0"/>
    <n v="0"/>
    <n v="0.185"/>
    <n v="2"/>
    <n v="0"/>
    <n v="0"/>
    <n v="2"/>
    <n v="100"/>
    <n v="0"/>
    <n v="0"/>
    <s v="Consolidation"/>
    <s v="CO2e and Base Measure"/>
    <n v="100"/>
    <n v="100"/>
    <n v="0.19"/>
    <m/>
    <m/>
    <m/>
    <m/>
    <m/>
    <n v="0.24049999999999999"/>
    <m/>
    <n v="0.24049999999999999"/>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08-01T00:00:00"/>
    <s v="FY21"/>
    <s v="t"/>
    <n v="0.33500000000000002"/>
    <n v="0"/>
    <n v="0"/>
    <n v="0.33500000000000002"/>
    <n v="2"/>
    <n v="0"/>
    <n v="0"/>
    <n v="2"/>
    <n v="100"/>
    <n v="0"/>
    <n v="0"/>
    <s v="Consolidation"/>
    <s v="CO2e and Base Measure"/>
    <n v="100"/>
    <n v="100"/>
    <n v="0.34"/>
    <m/>
    <m/>
    <m/>
    <m/>
    <m/>
    <n v="0.4355"/>
    <m/>
    <n v="0.4355"/>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09-01T00:00:00"/>
    <s v="FY21"/>
    <s v="t"/>
    <n v="0.14499999999999999"/>
    <n v="0"/>
    <n v="0"/>
    <n v="0.14499999999999999"/>
    <n v="3"/>
    <n v="0"/>
    <n v="0"/>
    <n v="3"/>
    <n v="100"/>
    <n v="0"/>
    <n v="0"/>
    <s v="Consolidation"/>
    <s v="CO2e and Base Measure"/>
    <n v="100"/>
    <n v="100"/>
    <n v="0.15"/>
    <m/>
    <m/>
    <m/>
    <m/>
    <m/>
    <n v="0.1885"/>
    <m/>
    <n v="0.1885"/>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10-01T00:00:00"/>
    <s v="FY21"/>
    <s v="t"/>
    <n v="0.54"/>
    <n v="0"/>
    <n v="0"/>
    <n v="0.54"/>
    <n v="2"/>
    <n v="0"/>
    <n v="0"/>
    <n v="2"/>
    <n v="100"/>
    <n v="0"/>
    <n v="0"/>
    <s v="Consolidation"/>
    <s v="CO2e and Base Measure"/>
    <n v="100"/>
    <n v="100"/>
    <n v="0.54"/>
    <m/>
    <m/>
    <m/>
    <m/>
    <m/>
    <n v="0.70199999999999996"/>
    <m/>
    <n v="0.70199999999999996"/>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11-01T00:00:00"/>
    <s v="FY21"/>
    <s v="t"/>
    <n v="0.40500000000000003"/>
    <n v="0"/>
    <n v="0"/>
    <n v="0.40500000000000003"/>
    <n v="2"/>
    <n v="0"/>
    <n v="0"/>
    <n v="2"/>
    <n v="100"/>
    <n v="0"/>
    <n v="0"/>
    <s v="Consolidation"/>
    <s v="CO2e and Base Measure"/>
    <n v="100"/>
    <n v="100"/>
    <n v="0.41"/>
    <m/>
    <m/>
    <m/>
    <m/>
    <m/>
    <n v="0.52649999999999997"/>
    <m/>
    <n v="0.52649999999999997"/>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706Waste - General [t] - Scope 3"/>
    <n v="13564706"/>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322Waste - General [t] - Scope 3"/>
    <n v="13634322"/>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1-02-01T00:00:00"/>
    <s v="FY21"/>
    <s v="t"/>
    <n v="0.41"/>
    <n v="0"/>
    <n v="0"/>
    <n v="0.41"/>
    <n v="1"/>
    <n v="0"/>
    <n v="0"/>
    <n v="1"/>
    <n v="100"/>
    <n v="0"/>
    <n v="0"/>
    <s v="Consolidation"/>
    <s v="CO2e and Base Measure"/>
    <n v="100"/>
    <n v="100"/>
    <n v="0.41"/>
    <m/>
    <m/>
    <m/>
    <m/>
    <m/>
    <n v="0.53300000000000003"/>
    <m/>
    <n v="0.53300000000000003"/>
    <m/>
    <m/>
    <m/>
    <m/>
    <m/>
    <s v="AUD"/>
    <s v="13634322Waste - General [t] - Scope 3"/>
    <n v="13634322"/>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1-03-01T00:00:00"/>
    <s v="FY21"/>
    <s v="t"/>
    <n v="0.4"/>
    <n v="6.7500000000000004E-2"/>
    <n v="0"/>
    <n v="0.46750000000000003"/>
    <n v="3"/>
    <n v="1"/>
    <n v="0"/>
    <n v="4"/>
    <n v="85.56"/>
    <n v="14.43"/>
    <n v="0"/>
    <s v="Consolidation"/>
    <s v="CO2e and Base Measure"/>
    <n v="100"/>
    <n v="100"/>
    <n v="0.47"/>
    <m/>
    <m/>
    <m/>
    <m/>
    <m/>
    <n v="0.60780000000000001"/>
    <m/>
    <n v="0.60780000000000001"/>
    <m/>
    <m/>
    <m/>
    <m/>
    <m/>
    <s v="AUD"/>
    <s v="13634322Waste - General [t] - Scope 3"/>
    <n v="13634322"/>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1-04-01T00:00:00"/>
    <s v="FY21"/>
    <s v="t"/>
    <n v="0"/>
    <n v="0"/>
    <n v="0.23699999999999999"/>
    <n v="0.23699999999999999"/>
    <n v="0"/>
    <n v="0"/>
    <n v="30"/>
    <n v="30"/>
    <n v="0"/>
    <n v="0"/>
    <n v="100"/>
    <s v="Consolidation"/>
    <s v="CO2e and Base Measure"/>
    <n v="100"/>
    <n v="100"/>
    <n v="0.24"/>
    <m/>
    <m/>
    <m/>
    <m/>
    <m/>
    <n v="0.30809999999999998"/>
    <m/>
    <n v="0.30809999999999998"/>
    <m/>
    <m/>
    <m/>
    <m/>
    <m/>
    <s v="AUD"/>
    <s v="13634322Waste - General [t] - Scope 3"/>
    <n v="13634322"/>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1-05-01T00:00:00"/>
    <s v="FY21"/>
    <s v="t"/>
    <n v="0"/>
    <n v="0"/>
    <n v="0.24490000000000001"/>
    <n v="0.24490000000000001"/>
    <n v="0"/>
    <n v="0"/>
    <n v="31"/>
    <n v="31"/>
    <n v="0"/>
    <n v="0"/>
    <n v="100"/>
    <s v="Consolidation"/>
    <s v="CO2e and Base Measure"/>
    <n v="100"/>
    <n v="100"/>
    <n v="0.24"/>
    <m/>
    <m/>
    <m/>
    <m/>
    <m/>
    <n v="0.31840000000000002"/>
    <m/>
    <n v="0.31840000000000002"/>
    <m/>
    <m/>
    <m/>
    <m/>
    <m/>
    <s v="AUD"/>
    <s v="13634322Waste - General [t] - Scope 3"/>
    <n v="13634322"/>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1-01T00:00:00"/>
    <s v="FY21"/>
    <s v="t"/>
    <n v="0.114"/>
    <n v="0"/>
    <n v="0"/>
    <n v="0.114"/>
    <n v="1"/>
    <n v="0"/>
    <n v="0"/>
    <n v="1"/>
    <n v="100"/>
    <n v="0"/>
    <n v="0"/>
    <s v="Consolidation"/>
    <s v="CO2e and Base Measure"/>
    <n v="100"/>
    <n v="100"/>
    <n v="0.11"/>
    <m/>
    <m/>
    <m/>
    <m/>
    <m/>
    <m/>
    <m/>
    <m/>
    <m/>
    <m/>
    <m/>
    <m/>
    <m/>
    <s v="AUD"/>
    <s v="13634484Waste Recycled - Paper and Cardboard [t]"/>
    <n v="13634484"/>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2-01T00:00:00"/>
    <s v="FY21"/>
    <s v="t"/>
    <n v="2.1000000000000001E-2"/>
    <n v="3.7499999999999999E-2"/>
    <n v="0"/>
    <n v="5.8500000000000003E-2"/>
    <n v="1"/>
    <n v="1"/>
    <n v="0"/>
    <n v="2"/>
    <n v="35.89"/>
    <n v="64.099999999999994"/>
    <n v="0"/>
    <s v="Consolidation"/>
    <s v="CO2e and Base Measure"/>
    <n v="100"/>
    <n v="100"/>
    <n v="0.06"/>
    <m/>
    <m/>
    <m/>
    <m/>
    <m/>
    <m/>
    <m/>
    <m/>
    <m/>
    <m/>
    <m/>
    <m/>
    <m/>
    <s v="AUD"/>
    <s v="13634484Waste Recycled - Paper and Cardboard [t]"/>
    <n v="13634484"/>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3-01T00:00:00"/>
    <s v="FY21"/>
    <s v="t"/>
    <n v="0"/>
    <n v="3.7499999999999999E-2"/>
    <n v="0"/>
    <n v="3.7499999999999999E-2"/>
    <n v="0"/>
    <n v="1"/>
    <n v="0"/>
    <n v="1"/>
    <n v="0"/>
    <n v="100"/>
    <n v="0"/>
    <s v="Consolidation"/>
    <s v="CO2e and Base Measure"/>
    <n v="100"/>
    <n v="100"/>
    <n v="0.04"/>
    <m/>
    <m/>
    <m/>
    <m/>
    <m/>
    <m/>
    <m/>
    <m/>
    <m/>
    <m/>
    <m/>
    <m/>
    <m/>
    <s v="AUD"/>
    <s v="13634484Waste Recycled - Paper and Cardboard [t]"/>
    <n v="13634484"/>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4-01T00:00:00"/>
    <s v="FY21"/>
    <s v="t"/>
    <n v="0"/>
    <n v="0"/>
    <n v="7.1999999999999995E-2"/>
    <n v="7.1999999999999995E-2"/>
    <n v="0"/>
    <n v="0"/>
    <n v="30"/>
    <n v="30"/>
    <n v="0"/>
    <n v="0"/>
    <n v="100"/>
    <s v="Consolidation"/>
    <s v="CO2e and Base Measure"/>
    <n v="100"/>
    <n v="100"/>
    <n v="7.0000000000000007E-2"/>
    <m/>
    <m/>
    <m/>
    <m/>
    <m/>
    <m/>
    <m/>
    <m/>
    <m/>
    <m/>
    <m/>
    <m/>
    <m/>
    <s v="AUD"/>
    <s v="13634484Waste Recycled - Paper and Cardboard [t]"/>
    <n v="13634484"/>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5-01T00:00:00"/>
    <s v="FY21"/>
    <s v="t"/>
    <n v="0"/>
    <n v="0"/>
    <n v="7.4399999999999994E-2"/>
    <n v="7.4399999999999994E-2"/>
    <n v="0"/>
    <n v="0"/>
    <n v="31"/>
    <n v="31"/>
    <n v="0"/>
    <n v="0"/>
    <n v="100"/>
    <s v="Consolidation"/>
    <s v="CO2e and Base Measure"/>
    <n v="100"/>
    <n v="100"/>
    <n v="7.0000000000000007E-2"/>
    <m/>
    <m/>
    <m/>
    <m/>
    <m/>
    <m/>
    <m/>
    <m/>
    <m/>
    <m/>
    <m/>
    <m/>
    <m/>
    <s v="AUD"/>
    <s v="13634484Waste Recycled - Paper and Cardboard [t]"/>
    <n v="13634484"/>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1-01-01T00:00:00"/>
    <s v="FY21"/>
    <s v="t"/>
    <n v="0"/>
    <n v="0"/>
    <n v="3.0000000000000001E-3"/>
    <n v="3.0000000000000001E-3"/>
    <n v="0"/>
    <n v="0"/>
    <n v="1"/>
    <n v="1"/>
    <n v="0"/>
    <n v="0"/>
    <n v="100"/>
    <s v="Consolidation"/>
    <s v="CO2e and Base Measure"/>
    <n v="100"/>
    <n v="100"/>
    <n v="0"/>
    <m/>
    <m/>
    <m/>
    <m/>
    <m/>
    <m/>
    <n v="0"/>
    <m/>
    <m/>
    <m/>
    <m/>
    <m/>
    <m/>
    <s v="AUD"/>
    <s v="13564301Waste Recycled - Cardboard [t]"/>
    <n v="13564301"/>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07-01T00:00:00"/>
    <s v="FY21"/>
    <s v="t"/>
    <n v="0.215"/>
    <n v="0"/>
    <n v="0"/>
    <n v="0.215"/>
    <n v="2"/>
    <n v="0"/>
    <n v="0"/>
    <n v="2"/>
    <n v="100"/>
    <n v="0"/>
    <n v="0"/>
    <s v="Consolidation"/>
    <s v="CO2e and Base Measure"/>
    <n v="100"/>
    <n v="100"/>
    <n v="0.22"/>
    <m/>
    <m/>
    <m/>
    <m/>
    <m/>
    <n v="0.27950000000000003"/>
    <m/>
    <n v="0.27950000000000003"/>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08-01T00:00:00"/>
    <s v="FY21"/>
    <s v="t"/>
    <n v="0.375"/>
    <n v="0"/>
    <n v="0"/>
    <n v="0.375"/>
    <n v="2"/>
    <n v="0"/>
    <n v="0"/>
    <n v="2"/>
    <n v="100"/>
    <n v="0"/>
    <n v="0"/>
    <s v="Consolidation"/>
    <s v="CO2e and Base Measure"/>
    <n v="100"/>
    <n v="100"/>
    <n v="0.38"/>
    <m/>
    <m/>
    <m/>
    <m/>
    <m/>
    <n v="0.48749999999999999"/>
    <m/>
    <n v="0.48749999999999999"/>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09-01T00:00:00"/>
    <s v="FY21"/>
    <s v="t"/>
    <n v="0.42499999999999999"/>
    <n v="0"/>
    <n v="0"/>
    <n v="0.42499999999999999"/>
    <n v="3"/>
    <n v="0"/>
    <n v="0"/>
    <n v="3"/>
    <n v="100"/>
    <n v="0"/>
    <n v="0"/>
    <s v="Consolidation"/>
    <s v="CO2e and Base Measure"/>
    <n v="100"/>
    <n v="100"/>
    <n v="0.43"/>
    <m/>
    <m/>
    <m/>
    <m/>
    <m/>
    <n v="0.55249999999999999"/>
    <m/>
    <n v="0.55249999999999999"/>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10-01T00:00:00"/>
    <s v="FY21"/>
    <s v="t"/>
    <n v="0.30499999999999999"/>
    <n v="0"/>
    <n v="0"/>
    <n v="0.30499999999999999"/>
    <n v="2"/>
    <n v="0"/>
    <n v="0"/>
    <n v="2"/>
    <n v="100"/>
    <n v="0"/>
    <n v="0"/>
    <s v="Consolidation"/>
    <s v="CO2e and Base Measure"/>
    <n v="100"/>
    <n v="100"/>
    <n v="0.31"/>
    <m/>
    <m/>
    <m/>
    <m/>
    <m/>
    <n v="0.39650000000000002"/>
    <m/>
    <n v="0.39650000000000002"/>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11-01T00:00:00"/>
    <s v="FY21"/>
    <s v="t"/>
    <n v="0.22500000000000001"/>
    <n v="0"/>
    <n v="0"/>
    <n v="0.22500000000000001"/>
    <n v="2"/>
    <n v="0"/>
    <n v="0"/>
    <n v="2"/>
    <n v="100"/>
    <n v="0"/>
    <n v="0"/>
    <s v="Consolidation"/>
    <s v="CO2e and Base Measure"/>
    <n v="100"/>
    <n v="100"/>
    <n v="0.23"/>
    <m/>
    <m/>
    <m/>
    <m/>
    <m/>
    <n v="0.29249999999999998"/>
    <m/>
    <n v="0.29249999999999998"/>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1-01-01T00:00:00"/>
    <s v="FY21"/>
    <s v="t"/>
    <n v="0"/>
    <n v="0"/>
    <n v="8.6999999999999994E-3"/>
    <n v="8.6999999999999994E-3"/>
    <n v="0"/>
    <n v="0"/>
    <n v="1"/>
    <n v="1"/>
    <n v="0"/>
    <n v="0"/>
    <n v="100"/>
    <s v="Consolidation"/>
    <s v="CO2e and Base Measure"/>
    <n v="100"/>
    <n v="100"/>
    <n v="0.01"/>
    <m/>
    <m/>
    <m/>
    <m/>
    <m/>
    <n v="1.1299999999999999E-2"/>
    <m/>
    <n v="1.1299999999999999E-2"/>
    <m/>
    <m/>
    <m/>
    <m/>
    <m/>
    <s v="AUD"/>
    <s v="13564302Waste - General [t] - Scope 3"/>
    <n v="13564302"/>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1-01T00:00:00"/>
    <s v="FY21"/>
    <s v="t"/>
    <n v="0.09"/>
    <n v="6.7500000000000004E-2"/>
    <n v="0"/>
    <n v="0.1575"/>
    <n v="1"/>
    <n v="1"/>
    <n v="0"/>
    <n v="2"/>
    <n v="57.14"/>
    <n v="42.85"/>
    <n v="0"/>
    <s v="Consolidation"/>
    <s v="CO2e and Base Measure"/>
    <n v="100"/>
    <n v="100"/>
    <n v="0.16"/>
    <m/>
    <m/>
    <m/>
    <m/>
    <m/>
    <n v="0.20480000000000001"/>
    <m/>
    <n v="0.20480000000000001"/>
    <m/>
    <m/>
    <m/>
    <m/>
    <m/>
    <s v="AUD"/>
    <s v="13634485Waste - General [t] - Scope 3"/>
    <n v="13634485"/>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2-01T00:00:00"/>
    <s v="FY21"/>
    <s v="t"/>
    <n v="0.12"/>
    <n v="0"/>
    <n v="0"/>
    <n v="0.12"/>
    <n v="2"/>
    <n v="0"/>
    <n v="0"/>
    <n v="2"/>
    <n v="100"/>
    <n v="0"/>
    <n v="0"/>
    <s v="Consolidation"/>
    <s v="CO2e and Base Measure"/>
    <n v="100"/>
    <n v="100"/>
    <n v="0.12"/>
    <m/>
    <m/>
    <m/>
    <m/>
    <m/>
    <n v="0.156"/>
    <m/>
    <n v="0.156"/>
    <m/>
    <m/>
    <m/>
    <m/>
    <m/>
    <s v="AUD"/>
    <s v="13634485Waste - General [t] - Scope 3"/>
    <n v="13634485"/>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3-01T00:00:00"/>
    <s v="FY21"/>
    <s v="t"/>
    <n v="0.19"/>
    <n v="0"/>
    <n v="0"/>
    <n v="0.19"/>
    <n v="2"/>
    <n v="0"/>
    <n v="0"/>
    <n v="2"/>
    <n v="100"/>
    <n v="0"/>
    <n v="0"/>
    <s v="Consolidation"/>
    <s v="CO2e and Base Measure"/>
    <n v="100"/>
    <n v="100"/>
    <n v="0.19"/>
    <m/>
    <m/>
    <m/>
    <m/>
    <m/>
    <n v="0.247"/>
    <m/>
    <n v="0.247"/>
    <m/>
    <m/>
    <m/>
    <m/>
    <m/>
    <s v="AUD"/>
    <s v="13634485Waste - General [t] - Scope 3"/>
    <n v="13634485"/>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4-01T00:00:00"/>
    <s v="FY21"/>
    <s v="t"/>
    <n v="0"/>
    <n v="0"/>
    <n v="0.159"/>
    <n v="0.159"/>
    <n v="0"/>
    <n v="0"/>
    <n v="30"/>
    <n v="30"/>
    <n v="0"/>
    <n v="0"/>
    <n v="100"/>
    <s v="Consolidation"/>
    <s v="CO2e and Base Measure"/>
    <n v="100"/>
    <n v="100"/>
    <n v="0.16"/>
    <m/>
    <m/>
    <m/>
    <m/>
    <m/>
    <n v="0.20669999999999999"/>
    <m/>
    <n v="0.20669999999999999"/>
    <m/>
    <m/>
    <m/>
    <m/>
    <m/>
    <s v="AUD"/>
    <s v="13634485Waste - General [t] - Scope 3"/>
    <n v="13634485"/>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5-01T00:00:00"/>
    <s v="FY21"/>
    <s v="t"/>
    <n v="0"/>
    <n v="0"/>
    <n v="0.1643"/>
    <n v="0.1643"/>
    <n v="0"/>
    <n v="0"/>
    <n v="31"/>
    <n v="31"/>
    <n v="0"/>
    <n v="0"/>
    <n v="100"/>
    <s v="Consolidation"/>
    <s v="CO2e and Base Measure"/>
    <n v="100"/>
    <n v="100"/>
    <n v="0.16"/>
    <m/>
    <m/>
    <m/>
    <m/>
    <m/>
    <n v="0.21360000000000001"/>
    <m/>
    <n v="0.21360000000000001"/>
    <m/>
    <m/>
    <m/>
    <m/>
    <m/>
    <s v="AUD"/>
    <s v="13634485Waste - General [t] - Scope 3"/>
    <n v="13634485"/>
  </r>
  <r>
    <d v="2019-07-01T00:00:00"/>
    <d v="2021-06-30T00:00:00"/>
    <s v="Telstra"/>
    <s v="NETWORK"/>
    <s v="Network - InfraCo"/>
    <s v="NSW"/>
    <s v="Australia"/>
    <s v="Jilliby"/>
    <s v="WYONG EXCHANGE"/>
    <n v="423030598500"/>
    <s v="Waste"/>
    <x v="1"/>
    <x v="2"/>
    <s v="Account"/>
    <s v="Remondis General Waste"/>
    <m/>
    <s v="423030598500_WGENERALW"/>
    <s v="GENERAL WASTE"/>
    <s v="Remondis"/>
    <m/>
    <d v="2020-09-21T00:00:00"/>
    <d v="2020-12-01T00:00:00"/>
    <d v="2020-09-01T00:00:00"/>
    <s v="FY21"/>
    <s v="t"/>
    <n v="2.38"/>
    <n v="0"/>
    <n v="0"/>
    <n v="2.38"/>
    <n v="1"/>
    <n v="0"/>
    <n v="0"/>
    <n v="1"/>
    <n v="100"/>
    <n v="0"/>
    <n v="0"/>
    <s v="Consolidation"/>
    <s v="CO2e and Base Measure"/>
    <n v="100"/>
    <n v="100"/>
    <n v="2.38"/>
    <m/>
    <m/>
    <m/>
    <m/>
    <m/>
    <n v="3.0939999999999999"/>
    <m/>
    <n v="3.0939999999999999"/>
    <m/>
    <m/>
    <m/>
    <m/>
    <m/>
    <s v="AUD"/>
    <s v="13629325Waste - General [t] - Scope 3"/>
    <n v="13629325"/>
  </r>
  <r>
    <d v="2019-07-01T00:00:00"/>
    <d v="2021-06-30T00:00:00"/>
    <s v="Telstra"/>
    <s v="NETWORK"/>
    <s v="Network - InfraCo"/>
    <s v="NSW"/>
    <s v="Australia"/>
    <s v="Jilliby"/>
    <s v="WYONG EXCHANGE"/>
    <n v="423030598500"/>
    <s v="Waste"/>
    <x v="1"/>
    <x v="2"/>
    <s v="Account"/>
    <s v="Remondis General Waste"/>
    <m/>
    <s v="423030598500_WGENERALW"/>
    <s v="GENERAL WASTE"/>
    <s v="Remondis"/>
    <m/>
    <d v="2020-09-21T00:00:00"/>
    <d v="2020-12-01T00:00:00"/>
    <d v="2020-11-01T00:00:00"/>
    <s v="FY21"/>
    <s v="t"/>
    <n v="8.2200000000000006"/>
    <n v="0"/>
    <n v="0"/>
    <n v="8.2200000000000006"/>
    <n v="1"/>
    <n v="0"/>
    <n v="0"/>
    <n v="1"/>
    <n v="100"/>
    <n v="0"/>
    <n v="0"/>
    <s v="Consolidation"/>
    <s v="CO2e and Base Measure"/>
    <n v="100"/>
    <n v="100"/>
    <n v="8.2200000000000006"/>
    <m/>
    <m/>
    <m/>
    <m/>
    <m/>
    <n v="10.686"/>
    <m/>
    <n v="10.686"/>
    <m/>
    <m/>
    <m/>
    <m/>
    <m/>
    <s v="AUD"/>
    <s v="13629325Waste - General [t] - Scope 3"/>
    <n v="13629325"/>
  </r>
  <r>
    <d v="2019-07-01T00:00:00"/>
    <d v="2021-06-30T00:00:00"/>
    <s v="Telstra"/>
    <s v="NETWORK"/>
    <s v="Network - InfraCo"/>
    <s v="NSW"/>
    <s v="Australia"/>
    <s v="Jilliby"/>
    <s v="WYONG EXCHANGE"/>
    <n v="423030598500"/>
    <s v="Waste"/>
    <x v="1"/>
    <x v="2"/>
    <s v="Account"/>
    <s v="Remondis General Waste"/>
    <m/>
    <s v="423030598500_WGENERALW"/>
    <s v="GENERAL WASTE"/>
    <s v="Remondis"/>
    <m/>
    <d v="2020-09-21T00:00:00"/>
    <d v="2020-12-01T00:00:00"/>
    <d v="2020-12-01T00:00:00"/>
    <s v="FY21"/>
    <s v="t"/>
    <n v="0"/>
    <n v="0"/>
    <n v="0.1178"/>
    <n v="0.1178"/>
    <n v="0"/>
    <n v="0"/>
    <n v="1"/>
    <n v="1"/>
    <n v="0"/>
    <n v="0"/>
    <n v="100"/>
    <s v="Consolidation"/>
    <s v="CO2e and Base Measure"/>
    <n v="100"/>
    <n v="100"/>
    <n v="0.12"/>
    <m/>
    <m/>
    <m/>
    <m/>
    <m/>
    <n v="0.15310000000000001"/>
    <m/>
    <n v="0.15310000000000001"/>
    <m/>
    <m/>
    <m/>
    <m/>
    <m/>
    <s v="AUD"/>
    <s v="13629325Waste - General [t] - Scope 3"/>
    <n v="13629325"/>
  </r>
  <r>
    <d v="2019-07-01T00:00:00"/>
    <d v="2021-06-30T00:00:00"/>
    <s v="Telstra"/>
    <s v="NON-NETWORK"/>
    <s v="NON-NETWORK"/>
    <s v="NSW"/>
    <s v="Australia"/>
    <s v="Kanwal"/>
    <s v="WYONG NORTH TOC"/>
    <n v="423030358200"/>
    <s v="Recycled Waste"/>
    <x v="0"/>
    <x v="0"/>
    <s v="Account"/>
    <s v="Remondis Cardboard - Loose - Recycled"/>
    <m/>
    <s v="423030358200_RCARDBOAR"/>
    <s v="CARDBOARD - LOOSE - RECYCLED"/>
    <s v="Remondis"/>
    <m/>
    <m/>
    <d v="2020-07-01T00:00:00"/>
    <d v="2020-07-01T00:00:00"/>
    <s v="FY21"/>
    <s v="t"/>
    <n v="0"/>
    <n v="0"/>
    <n v="1.6000000000000001E-3"/>
    <n v="1.6000000000000001E-3"/>
    <n v="0"/>
    <n v="0"/>
    <n v="1"/>
    <n v="1"/>
    <n v="0"/>
    <n v="0"/>
    <n v="100"/>
    <s v="Consolidation"/>
    <s v="CO2e and Base Measure"/>
    <n v="100"/>
    <n v="100"/>
    <n v="0"/>
    <m/>
    <m/>
    <m/>
    <m/>
    <m/>
    <m/>
    <n v="0"/>
    <m/>
    <m/>
    <m/>
    <m/>
    <m/>
    <m/>
    <s v="AUD"/>
    <s v="13564712Waste Recycled - Cardboard [t]"/>
    <n v="13564712"/>
  </r>
  <r>
    <d v="2019-07-01T00:00:00"/>
    <d v="2021-06-30T00:00:00"/>
    <s v="Telstra"/>
    <s v="NON-NETWORK"/>
    <s v="NON-NETWORK"/>
    <s v="NSW"/>
    <s v="Australia"/>
    <s v="Kanwal"/>
    <s v="WYONG NORTH TOC"/>
    <n v="423030358200"/>
    <s v="Waste"/>
    <x v="1"/>
    <x v="2"/>
    <s v="Account"/>
    <s v="Remondis General Waste"/>
    <m/>
    <s v="423030358200_WGENERALW"/>
    <s v="GENERAL WASTE"/>
    <s v="Remondis"/>
    <m/>
    <m/>
    <d v="2020-07-01T00:00:00"/>
    <d v="2020-07-01T00:00:00"/>
    <s v="FY21"/>
    <s v="t"/>
    <n v="0"/>
    <n v="0"/>
    <n v="4.2200000000000001E-2"/>
    <n v="4.2200000000000001E-2"/>
    <n v="0"/>
    <n v="0"/>
    <n v="1"/>
    <n v="1"/>
    <n v="0"/>
    <n v="0"/>
    <n v="100"/>
    <s v="Consolidation"/>
    <s v="CO2e and Base Measure"/>
    <n v="100"/>
    <n v="100"/>
    <n v="0.04"/>
    <m/>
    <m/>
    <m/>
    <m/>
    <m/>
    <n v="5.4899999999999997E-2"/>
    <m/>
    <n v="5.4899999999999997E-2"/>
    <m/>
    <m/>
    <m/>
    <m/>
    <m/>
    <s v="AUD"/>
    <s v="13564714Waste - General [t] - Scope 3"/>
    <n v="13564714"/>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07-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08-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09-01T00:00:00"/>
    <s v="FY21"/>
    <s v="t"/>
    <n v="0"/>
    <n v="0"/>
    <n v="5.7000000000000002E-2"/>
    <n v="5.7000000000000002E-2"/>
    <n v="0"/>
    <n v="0"/>
    <n v="30"/>
    <n v="30"/>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10-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11-01T00:00:00"/>
    <s v="FY21"/>
    <s v="t"/>
    <n v="0"/>
    <n v="0"/>
    <n v="5.7000000000000002E-2"/>
    <n v="5.7000000000000002E-2"/>
    <n v="0"/>
    <n v="0"/>
    <n v="30"/>
    <n v="30"/>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12-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1-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2-01T00:00:00"/>
    <s v="FY21"/>
    <s v="t"/>
    <n v="0"/>
    <n v="0"/>
    <n v="5.3199999999999997E-2"/>
    <n v="5.3199999999999997E-2"/>
    <n v="0"/>
    <n v="0"/>
    <n v="28"/>
    <n v="28"/>
    <n v="0"/>
    <n v="0"/>
    <n v="100"/>
    <s v="Consolidation"/>
    <s v="CO2e and Base Measure"/>
    <n v="100"/>
    <n v="100"/>
    <n v="0.05"/>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3-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4-01T00:00:00"/>
    <s v="FY21"/>
    <s v="t"/>
    <n v="0"/>
    <n v="0"/>
    <n v="5.7000000000000002E-2"/>
    <n v="5.7000000000000002E-2"/>
    <n v="0"/>
    <n v="0"/>
    <n v="30"/>
    <n v="30"/>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5-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ETWORK"/>
    <s v="Network - InfraCo"/>
    <s v="VIC"/>
    <s v="Australia"/>
    <s v="Healesville"/>
    <s v="YARRA JUNCTION EXCHANGE"/>
    <n v="423030704600"/>
    <s v="Waste"/>
    <x v="1"/>
    <x v="2"/>
    <s v="Account"/>
    <s v="Remondis General Waste"/>
    <m/>
    <s v="423030704600_WGENERALW"/>
    <s v="GENERAL WASTE"/>
    <s v="Remondis"/>
    <m/>
    <m/>
    <d v="2020-10-01T00:00:00"/>
    <d v="2020-07-01T00:00:00"/>
    <s v="FY21"/>
    <s v="t"/>
    <n v="0.14000000000000001"/>
    <n v="0"/>
    <n v="0"/>
    <n v="0.14000000000000001"/>
    <n v="1"/>
    <n v="0"/>
    <n v="0"/>
    <n v="1"/>
    <n v="100"/>
    <n v="0"/>
    <n v="0"/>
    <s v="Consolidation"/>
    <s v="CO2e and Base Measure"/>
    <n v="100"/>
    <n v="100"/>
    <n v="0.14000000000000001"/>
    <m/>
    <m/>
    <m/>
    <m/>
    <m/>
    <n v="0.182"/>
    <m/>
    <n v="0.182"/>
    <m/>
    <m/>
    <m/>
    <m/>
    <m/>
    <s v="AUD"/>
    <s v="13565116Waste - General [t] - Scope 3"/>
    <n v="13565116"/>
  </r>
  <r>
    <d v="2019-07-01T00:00:00"/>
    <d v="2021-06-30T00:00:00"/>
    <s v="Telstra"/>
    <s v="NETWORK"/>
    <s v="Network - InfraCo"/>
    <s v="VIC"/>
    <s v="Australia"/>
    <s v="Healesville"/>
    <s v="YARRA JUNCTION EXCHANGE"/>
    <n v="423030704600"/>
    <s v="Waste"/>
    <x v="1"/>
    <x v="2"/>
    <s v="Account"/>
    <s v="Remondis General Waste"/>
    <m/>
    <s v="423030704600_WGENERALW"/>
    <s v="GENERAL WASTE"/>
    <s v="Remondis"/>
    <m/>
    <m/>
    <d v="2020-10-01T00:00:00"/>
    <d v="2020-09-01T00:00:00"/>
    <s v="FY21"/>
    <s v="t"/>
    <n v="0.26"/>
    <n v="0"/>
    <n v="0"/>
    <n v="0.26"/>
    <n v="1"/>
    <n v="0"/>
    <n v="0"/>
    <n v="1"/>
    <n v="100"/>
    <n v="0"/>
    <n v="0"/>
    <s v="Consolidation"/>
    <s v="CO2e and Base Measure"/>
    <n v="100"/>
    <n v="100"/>
    <n v="0.26"/>
    <m/>
    <m/>
    <m/>
    <m/>
    <m/>
    <n v="0.33800000000000002"/>
    <m/>
    <n v="0.33800000000000002"/>
    <m/>
    <m/>
    <m/>
    <m/>
    <m/>
    <s v="AUD"/>
    <s v="13565116Waste - General [t] - Scope 3"/>
    <n v="13565116"/>
  </r>
  <r>
    <d v="2019-07-01T00:00:00"/>
    <d v="2021-06-30T00:00:00"/>
    <s v="Telstra"/>
    <s v="NETWORK"/>
    <s v="Network - InfraCo"/>
    <s v="VIC"/>
    <s v="Australia"/>
    <s v="Healesville"/>
    <s v="YARRA JUNCTION EXCHANGE"/>
    <n v="423030704600"/>
    <s v="Waste"/>
    <x v="1"/>
    <x v="2"/>
    <s v="Account"/>
    <s v="Remondis General Waste"/>
    <m/>
    <s v="423030704600_WGENERALW"/>
    <s v="GENERAL WASTE"/>
    <s v="Remondis"/>
    <m/>
    <m/>
    <d v="2020-10-01T00:00:00"/>
    <d v="2020-10-01T00:00:00"/>
    <s v="FY21"/>
    <s v="t"/>
    <n v="0"/>
    <n v="0"/>
    <n v="5.4999999999999997E-3"/>
    <n v="5.4999999999999997E-3"/>
    <n v="0"/>
    <n v="0"/>
    <n v="1"/>
    <n v="1"/>
    <n v="0"/>
    <n v="0"/>
    <n v="100"/>
    <s v="Consolidation"/>
    <s v="CO2e and Base Measure"/>
    <n v="100"/>
    <n v="100"/>
    <n v="0.01"/>
    <m/>
    <m/>
    <m/>
    <m/>
    <m/>
    <n v="7.1999999999999998E-3"/>
    <m/>
    <n v="7.1999999999999998E-3"/>
    <m/>
    <m/>
    <m/>
    <m/>
    <m/>
    <s v="AUD"/>
    <s v="13565116Waste - General [t] - Scope 3"/>
    <n v="13565116"/>
  </r>
  <r>
    <d v="2019-07-01T00:00:00"/>
    <d v="2021-06-30T00:00:00"/>
    <s v="Telstra"/>
    <s v="NETWORK"/>
    <s v="Network - InfraCo"/>
    <s v="VIC"/>
    <s v="Australia"/>
    <s v="Foster"/>
    <s v="YARRAM EXCHANGE"/>
    <n v="423030710600"/>
    <s v="Waste"/>
    <x v="1"/>
    <x v="2"/>
    <s v="Account"/>
    <s v="Remondis General Waste"/>
    <m/>
    <s v="4230307106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123Waste - General [t] - Scope 3"/>
    <n v="13565123"/>
  </r>
  <r>
    <d v="2019-07-01T00:00:00"/>
    <d v="2021-06-30T00:00:00"/>
    <s v="Telstra"/>
    <s v="NETWORK"/>
    <s v="Network - InfraCo"/>
    <s v="VIC"/>
    <s v="Australia"/>
    <s v="Foster"/>
    <s v="YARRAM EXCHANGE"/>
    <n v="423030710600"/>
    <s v="Waste"/>
    <x v="1"/>
    <x v="2"/>
    <s v="Account"/>
    <s v="Remondis General Waste"/>
    <m/>
    <s v="423030710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123Waste - General [t] - Scope 3"/>
    <n v="13565123"/>
  </r>
  <r>
    <d v="2019-07-01T00:00:00"/>
    <d v="2021-06-30T00:00:00"/>
    <s v="Telstra"/>
    <s v="NETWORK"/>
    <s v="Network - InfraCo"/>
    <s v="VIC"/>
    <s v="Australia"/>
    <s v="Foster"/>
    <s v="YARRAM EXCHANGE"/>
    <n v="423030710600"/>
    <s v="Waste"/>
    <x v="1"/>
    <x v="2"/>
    <s v="Account"/>
    <s v="Remondis General Waste"/>
    <m/>
    <s v="423030710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123Waste - General [t] - Scope 3"/>
    <n v="13565123"/>
  </r>
  <r>
    <d v="2019-07-01T00:00:00"/>
    <d v="2021-06-30T00:00:00"/>
    <s v="Telstra"/>
    <s v="NETWORK"/>
    <s v="Network - InfraCo"/>
    <s v="VIC"/>
    <s v="Australia"/>
    <s v="Foster"/>
    <s v="YARRAM EXCHANGE"/>
    <n v="423030710600"/>
    <s v="Waste"/>
    <x v="1"/>
    <x v="2"/>
    <s v="Account"/>
    <s v="Remondis General Waste"/>
    <m/>
    <s v="423030710600_WGENERALW"/>
    <s v="GENERAL WASTE"/>
    <s v="Remondis"/>
    <m/>
    <m/>
    <d v="2021-01-01T00:00:00"/>
    <d v="2021-01-01T00:00:00"/>
    <s v="FY21"/>
    <s v="t"/>
    <n v="0"/>
    <n v="0"/>
    <n v="4.5999999999999999E-3"/>
    <n v="4.5999999999999999E-3"/>
    <n v="0"/>
    <n v="0"/>
    <n v="1"/>
    <n v="1"/>
    <n v="0"/>
    <n v="0"/>
    <n v="100"/>
    <s v="Consolidation"/>
    <s v="CO2e and Base Measure"/>
    <n v="100"/>
    <n v="100"/>
    <n v="0"/>
    <m/>
    <m/>
    <m/>
    <m/>
    <m/>
    <n v="6.0000000000000001E-3"/>
    <m/>
    <n v="6.0000000000000001E-3"/>
    <m/>
    <m/>
    <m/>
    <m/>
    <m/>
    <s v="AUD"/>
    <s v="13565123Waste - General [t] - Scope 3"/>
    <n v="13565123"/>
  </r>
  <r>
    <d v="2019-07-01T00:00:00"/>
    <d v="2021-06-30T00:00:00"/>
    <s v="Telstra"/>
    <s v="NETWORK"/>
    <s v="Network - InfraCo"/>
    <s v="VIC"/>
    <s v="Australia"/>
    <s v="Altona North"/>
    <s v="YARRAVILLE EXCHANGE"/>
    <n v="423030567600"/>
    <s v="Waste"/>
    <x v="1"/>
    <x v="2"/>
    <s v="Account"/>
    <s v="Remondis General Waste"/>
    <m/>
    <s v="423030567600_WGENERALW"/>
    <s v="GENERAL WASTE"/>
    <s v="Remondis"/>
    <m/>
    <m/>
    <d v="2021-01-01T00:00:00"/>
    <d v="2020-07-01T00:00:00"/>
    <s v="FY21"/>
    <s v="t"/>
    <n v="0.16"/>
    <n v="0"/>
    <n v="0"/>
    <n v="0.16"/>
    <n v="1"/>
    <n v="0"/>
    <n v="0"/>
    <n v="1"/>
    <n v="100"/>
    <n v="0"/>
    <n v="0"/>
    <s v="Consolidation"/>
    <s v="CO2e and Base Measure"/>
    <n v="100"/>
    <n v="100"/>
    <n v="0.16"/>
    <m/>
    <m/>
    <m/>
    <m/>
    <m/>
    <n v="0.20799999999999999"/>
    <m/>
    <n v="0.20799999999999999"/>
    <m/>
    <m/>
    <m/>
    <m/>
    <m/>
    <s v="AUD"/>
    <s v="13564858Waste - General [t] - Scope 3"/>
    <n v="13564858"/>
  </r>
  <r>
    <d v="2019-07-01T00:00:00"/>
    <d v="2021-06-30T00:00:00"/>
    <s v="Telstra"/>
    <s v="NETWORK"/>
    <s v="Network - InfraCo"/>
    <s v="VIC"/>
    <s v="Australia"/>
    <s v="Altona North"/>
    <s v="YARRAVILLE EXCHANGE"/>
    <n v="423030567600"/>
    <s v="Waste"/>
    <x v="1"/>
    <x v="2"/>
    <s v="Account"/>
    <s v="Remondis General Waste"/>
    <m/>
    <s v="423030567600_WGENERALW"/>
    <s v="GENERAL WASTE"/>
    <s v="Remondis"/>
    <m/>
    <m/>
    <d v="2021-01-01T00:00:00"/>
    <d v="2020-10-01T00:00:00"/>
    <s v="FY21"/>
    <s v="t"/>
    <n v="0.12"/>
    <n v="0"/>
    <n v="0"/>
    <n v="0.12"/>
    <n v="1"/>
    <n v="0"/>
    <n v="0"/>
    <n v="1"/>
    <n v="100"/>
    <n v="0"/>
    <n v="0"/>
    <s v="Consolidation"/>
    <s v="CO2e and Base Measure"/>
    <n v="100"/>
    <n v="100"/>
    <n v="0.12"/>
    <m/>
    <m/>
    <m/>
    <m/>
    <m/>
    <n v="0.156"/>
    <m/>
    <n v="0.156"/>
    <m/>
    <m/>
    <m/>
    <m/>
    <m/>
    <s v="AUD"/>
    <s v="13564858Waste - General [t] - Scope 3"/>
    <n v="13564858"/>
  </r>
  <r>
    <d v="2019-07-01T00:00:00"/>
    <d v="2021-06-30T00:00:00"/>
    <s v="Telstra"/>
    <s v="NETWORK"/>
    <s v="Network - InfraCo"/>
    <s v="VIC"/>
    <s v="Australia"/>
    <s v="Altona North"/>
    <s v="YARRAVILLE EXCHANGE"/>
    <n v="423030567600"/>
    <s v="Waste"/>
    <x v="1"/>
    <x v="2"/>
    <s v="Account"/>
    <s v="Remondis General Waste"/>
    <m/>
    <s v="423030567600_WGENERALW"/>
    <s v="GENERAL WASTE"/>
    <s v="Remondis"/>
    <m/>
    <m/>
    <d v="2021-01-01T00:00:00"/>
    <d v="2020-12-01T00:00:00"/>
    <s v="FY21"/>
    <s v="t"/>
    <n v="0.12"/>
    <n v="0"/>
    <n v="0"/>
    <n v="0.12"/>
    <n v="1"/>
    <n v="0"/>
    <n v="0"/>
    <n v="1"/>
    <n v="100"/>
    <n v="0"/>
    <n v="0"/>
    <s v="Consolidation"/>
    <s v="CO2e and Base Measure"/>
    <n v="100"/>
    <n v="100"/>
    <n v="0.12"/>
    <m/>
    <m/>
    <m/>
    <m/>
    <m/>
    <n v="0.156"/>
    <m/>
    <n v="0.156"/>
    <m/>
    <m/>
    <m/>
    <m/>
    <m/>
    <s v="AUD"/>
    <s v="13564858Waste - General [t] - Scope 3"/>
    <n v="13564858"/>
  </r>
  <r>
    <d v="2019-07-01T00:00:00"/>
    <d v="2021-06-30T00:00:00"/>
    <s v="Telstra"/>
    <s v="NETWORK"/>
    <s v="Network - InfraCo"/>
    <s v="VIC"/>
    <s v="Australia"/>
    <s v="Altona North"/>
    <s v="YARRAVILLE EXCHANGE"/>
    <n v="423030567600"/>
    <s v="Waste"/>
    <x v="1"/>
    <x v="2"/>
    <s v="Account"/>
    <s v="Remondis General Waste"/>
    <m/>
    <s v="423030567600_WGENERALW"/>
    <s v="GENERAL WASTE"/>
    <s v="Remondis"/>
    <m/>
    <m/>
    <d v="2021-01-01T00:00:00"/>
    <d v="2021-01-01T00:00:00"/>
    <s v="FY21"/>
    <s v="t"/>
    <n v="0"/>
    <n v="0"/>
    <n v="3.0000000000000001E-3"/>
    <n v="3.0000000000000001E-3"/>
    <n v="0"/>
    <n v="0"/>
    <n v="1"/>
    <n v="1"/>
    <n v="0"/>
    <n v="0"/>
    <n v="100"/>
    <s v="Consolidation"/>
    <s v="CO2e and Base Measure"/>
    <n v="100"/>
    <n v="100"/>
    <n v="0"/>
    <m/>
    <m/>
    <m/>
    <m/>
    <m/>
    <n v="3.8999999999999998E-3"/>
    <m/>
    <n v="3.8999999999999998E-3"/>
    <m/>
    <m/>
    <m/>
    <m/>
    <m/>
    <s v="AUD"/>
    <s v="13564858Waste - General [t] - Scope 3"/>
    <n v="13564858"/>
  </r>
  <r>
    <d v="2019-07-01T00:00:00"/>
    <d v="2021-06-30T00:00:00"/>
    <s v="Telstra"/>
    <s v="NETWORK"/>
    <s v="Network - InfraCo"/>
    <s v="VIC"/>
    <s v="Australia"/>
    <s v="Yarrawonga"/>
    <s v="YARRAWONGA EXCHANGE"/>
    <n v="423030710800"/>
    <s v="Waste"/>
    <x v="1"/>
    <x v="4"/>
    <s v="Account"/>
    <s v="Remondis Asbestos"/>
    <m/>
    <s v="4230307108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5125Waste - Construction and Demolition [t]"/>
    <n v="13565125"/>
  </r>
  <r>
    <d v="2019-07-01T00:00:00"/>
    <d v="2021-06-30T00:00:00"/>
    <s v="Telstra"/>
    <s v="NETWORK"/>
    <s v="Network - InfraCo"/>
    <s v="VIC"/>
    <s v="Australia"/>
    <s v="Yarrawonga"/>
    <s v="YARRAWONGA EXCHANGE"/>
    <n v="423030710800"/>
    <s v="Waste"/>
    <x v="1"/>
    <x v="4"/>
    <s v="Account"/>
    <s v="Remondis Asbestos"/>
    <m/>
    <s v="4230307108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5125Waste - Construction and Demolition [t]"/>
    <n v="13565125"/>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11-01T00:00:00"/>
    <s v="FY21"/>
    <s v="t"/>
    <n v="0"/>
    <n v="0.58499999999999996"/>
    <n v="0"/>
    <n v="0.58499999999999996"/>
    <n v="0"/>
    <n v="3"/>
    <n v="0"/>
    <n v="3"/>
    <n v="0"/>
    <n v="100"/>
    <n v="0"/>
    <s v="Consolidation"/>
    <s v="CO2e and Base Measure"/>
    <n v="100"/>
    <n v="100"/>
    <n v="0.59"/>
    <m/>
    <m/>
    <m/>
    <m/>
    <m/>
    <n v="0.76049999999999995"/>
    <m/>
    <n v="0.76049999999999995"/>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1-01-01T00:00:00"/>
    <s v="FY21"/>
    <s v="t"/>
    <n v="0"/>
    <n v="0"/>
    <n v="1.37E-2"/>
    <n v="1.37E-2"/>
    <n v="0"/>
    <n v="0"/>
    <n v="1"/>
    <n v="1"/>
    <n v="0"/>
    <n v="0"/>
    <n v="100"/>
    <s v="Consolidation"/>
    <s v="CO2e and Base Measure"/>
    <n v="100"/>
    <n v="100"/>
    <n v="0.01"/>
    <m/>
    <m/>
    <m/>
    <m/>
    <m/>
    <n v="1.78E-2"/>
    <m/>
    <n v="1.78E-2"/>
    <m/>
    <m/>
    <m/>
    <m/>
    <m/>
    <s v="AUD"/>
    <s v="13565126Waste - General [t] - Scope 3"/>
    <n v="13565126"/>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0-12-01T00:00:00"/>
    <s v="FY21"/>
    <s v="t"/>
    <n v="0.159"/>
    <n v="0"/>
    <n v="0"/>
    <n v="0.159"/>
    <n v="1"/>
    <n v="0"/>
    <n v="0"/>
    <n v="1"/>
    <n v="100"/>
    <n v="0"/>
    <n v="0"/>
    <s v="Consolidation"/>
    <s v="CO2e and Base Measure"/>
    <n v="100"/>
    <n v="100"/>
    <n v="0.16"/>
    <m/>
    <m/>
    <m/>
    <m/>
    <m/>
    <n v="0.20669999999999999"/>
    <m/>
    <n v="0.20669999999999999"/>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1-01T00:00:00"/>
    <s v="FY21"/>
    <s v="t"/>
    <n v="0.11600000000000001"/>
    <n v="0"/>
    <n v="0"/>
    <n v="0.11600000000000001"/>
    <n v="1"/>
    <n v="0"/>
    <n v="0"/>
    <n v="1"/>
    <n v="100"/>
    <n v="0"/>
    <n v="0"/>
    <s v="Consolidation"/>
    <s v="CO2e and Base Measure"/>
    <n v="100"/>
    <n v="100"/>
    <n v="0.12"/>
    <m/>
    <m/>
    <m/>
    <m/>
    <m/>
    <n v="0.15079999999999999"/>
    <m/>
    <n v="0.15079999999999999"/>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2-01T00:00:00"/>
    <s v="FY21"/>
    <s v="t"/>
    <n v="0.182"/>
    <n v="0"/>
    <n v="0"/>
    <n v="0.182"/>
    <n v="1"/>
    <n v="0"/>
    <n v="0"/>
    <n v="1"/>
    <n v="100"/>
    <n v="0"/>
    <n v="0"/>
    <s v="Consolidation"/>
    <s v="CO2e and Base Measure"/>
    <n v="100"/>
    <n v="100"/>
    <n v="0.18"/>
    <m/>
    <m/>
    <m/>
    <m/>
    <m/>
    <n v="0.2366"/>
    <m/>
    <n v="0.2366"/>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3-01T00:00:00"/>
    <s v="FY21"/>
    <s v="t"/>
    <n v="0.14199999999999999"/>
    <n v="0"/>
    <n v="0"/>
    <n v="0.14199999999999999"/>
    <n v="1"/>
    <n v="0"/>
    <n v="0"/>
    <n v="1"/>
    <n v="100"/>
    <n v="0"/>
    <n v="0"/>
    <s v="Consolidation"/>
    <s v="CO2e and Base Measure"/>
    <n v="100"/>
    <n v="100"/>
    <n v="0.14000000000000001"/>
    <m/>
    <m/>
    <m/>
    <m/>
    <m/>
    <n v="0.18459999999999999"/>
    <m/>
    <n v="0.18459999999999999"/>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4-01T00:00:00"/>
    <s v="FY21"/>
    <s v="t"/>
    <n v="0"/>
    <n v="0"/>
    <n v="0.15"/>
    <n v="0.15"/>
    <n v="0"/>
    <n v="0"/>
    <n v="30"/>
    <n v="30"/>
    <n v="0"/>
    <n v="0"/>
    <n v="100"/>
    <s v="Consolidation"/>
    <s v="CO2e and Base Measure"/>
    <n v="100"/>
    <n v="100"/>
    <n v="0.15"/>
    <m/>
    <m/>
    <m/>
    <m/>
    <m/>
    <n v="0.19500000000000001"/>
    <m/>
    <n v="0.19500000000000001"/>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5-01T00:00:00"/>
    <s v="FY21"/>
    <s v="t"/>
    <n v="0"/>
    <n v="0"/>
    <n v="0.155"/>
    <n v="0.155"/>
    <n v="0"/>
    <n v="0"/>
    <n v="31"/>
    <n v="31"/>
    <n v="0"/>
    <n v="0"/>
    <n v="100"/>
    <s v="Consolidation"/>
    <s v="CO2e and Base Measure"/>
    <n v="100"/>
    <n v="100"/>
    <n v="0.16"/>
    <m/>
    <m/>
    <m/>
    <m/>
    <m/>
    <n v="0.20150000000000001"/>
    <m/>
    <n v="0.20150000000000001"/>
    <m/>
    <m/>
    <m/>
    <m/>
    <m/>
    <s v="AUD"/>
    <s v="13634324Waste - General [t] - Scope 3"/>
    <n v="13634324"/>
  </r>
  <r>
    <d v="2019-07-01T00:00:00"/>
    <d v="2021-06-30T00:00:00"/>
    <s v="Telstra"/>
    <s v="NETWORK"/>
    <s v="Network - InfraCo"/>
    <s v="NSW"/>
    <s v="Australia"/>
    <s v="Murrumbateman"/>
    <s v="YASS TE"/>
    <n v="423030362600"/>
    <s v="Waste"/>
    <x v="1"/>
    <x v="2"/>
    <s v="Account"/>
    <s v="Remondis General Waste"/>
    <m/>
    <s v="423030362600_WGENERALW"/>
    <s v="GENERAL WASTE"/>
    <s v="Remondis"/>
    <m/>
    <m/>
    <d v="2021-01-01T00:00:00"/>
    <d v="2020-12-01T00:00:00"/>
    <s v="FY21"/>
    <s v="t"/>
    <n v="0"/>
    <n v="0.13"/>
    <n v="0"/>
    <n v="0.13"/>
    <n v="0"/>
    <n v="1"/>
    <n v="0"/>
    <n v="1"/>
    <n v="0"/>
    <n v="100"/>
    <n v="0"/>
    <s v="Consolidation"/>
    <s v="CO2e and Base Measure"/>
    <n v="100"/>
    <n v="100"/>
    <n v="0.13"/>
    <m/>
    <m/>
    <m/>
    <m/>
    <m/>
    <n v="0.16900000000000001"/>
    <m/>
    <n v="0.16900000000000001"/>
    <m/>
    <m/>
    <m/>
    <m/>
    <m/>
    <s v="AUD"/>
    <s v="13564728Waste - General [t] - Scope 3"/>
    <n v="13564728"/>
  </r>
  <r>
    <d v="2019-07-01T00:00:00"/>
    <d v="2021-06-30T00:00:00"/>
    <s v="Telstra"/>
    <s v="NETWORK"/>
    <s v="Network - InfraCo"/>
    <s v="NSW"/>
    <s v="Australia"/>
    <s v="Murrumbateman"/>
    <s v="YASS TE"/>
    <n v="423030362600"/>
    <s v="Waste"/>
    <x v="1"/>
    <x v="2"/>
    <s v="Account"/>
    <s v="Remondis General Waste"/>
    <m/>
    <s v="423030362600_WGENERALW"/>
    <s v="GENERAL WASTE"/>
    <s v="Remondis"/>
    <m/>
    <m/>
    <d v="2021-01-01T00:00:00"/>
    <d v="2021-01-01T00:00:00"/>
    <s v="FY21"/>
    <s v="t"/>
    <n v="0"/>
    <n v="0"/>
    <n v="4.3E-3"/>
    <n v="4.3E-3"/>
    <n v="0"/>
    <n v="0"/>
    <n v="1"/>
    <n v="1"/>
    <n v="0"/>
    <n v="0"/>
    <n v="100"/>
    <s v="Consolidation"/>
    <s v="CO2e and Base Measure"/>
    <n v="100"/>
    <n v="100"/>
    <n v="0"/>
    <m/>
    <m/>
    <m/>
    <m/>
    <m/>
    <n v="5.5999999999999999E-3"/>
    <m/>
    <n v="5.5999999999999999E-3"/>
    <m/>
    <m/>
    <m/>
    <m/>
    <m/>
    <s v="AUD"/>
    <s v="13564728Waste - General [t] - Scope 3"/>
    <n v="13564728"/>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0-11-01T00:00:00"/>
    <s v="FY21"/>
    <s v="t"/>
    <n v="0"/>
    <n v="2.1600000000000001E-2"/>
    <n v="0"/>
    <n v="2.1600000000000001E-2"/>
    <n v="0"/>
    <n v="1"/>
    <n v="0"/>
    <n v="1"/>
    <n v="0"/>
    <n v="100"/>
    <n v="0"/>
    <s v="Consolidation"/>
    <s v="CO2e and Base Measure"/>
    <n v="100"/>
    <n v="100"/>
    <n v="0.02"/>
    <m/>
    <m/>
    <m/>
    <m/>
    <m/>
    <n v="2.81E-2"/>
    <m/>
    <n v="2.81E-2"/>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0-12-01T00:00:00"/>
    <s v="FY21"/>
    <s v="t"/>
    <n v="0"/>
    <n v="8.6400000000000005E-2"/>
    <n v="0"/>
    <n v="8.6400000000000005E-2"/>
    <n v="0"/>
    <n v="4"/>
    <n v="0"/>
    <n v="4"/>
    <n v="0"/>
    <n v="100"/>
    <n v="0"/>
    <s v="Consolidation"/>
    <s v="CO2e and Base Measure"/>
    <n v="100"/>
    <n v="100"/>
    <n v="0.09"/>
    <m/>
    <m/>
    <m/>
    <m/>
    <m/>
    <n v="0.1123"/>
    <m/>
    <n v="0.1123"/>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1-01T00:00:00"/>
    <s v="FY21"/>
    <s v="t"/>
    <n v="0"/>
    <n v="8.6400000000000005E-2"/>
    <n v="0"/>
    <n v="8.6400000000000005E-2"/>
    <n v="0"/>
    <n v="4"/>
    <n v="0"/>
    <n v="4"/>
    <n v="0"/>
    <n v="100"/>
    <n v="0"/>
    <s v="Consolidation"/>
    <s v="CO2e and Base Measure"/>
    <n v="100"/>
    <n v="100"/>
    <n v="0.09"/>
    <m/>
    <m/>
    <m/>
    <m/>
    <m/>
    <n v="0.1123"/>
    <m/>
    <n v="0.1123"/>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2-01T00:00:00"/>
    <s v="FY21"/>
    <s v="t"/>
    <n v="0"/>
    <n v="8.6400000000000005E-2"/>
    <n v="0"/>
    <n v="8.6400000000000005E-2"/>
    <n v="0"/>
    <n v="4"/>
    <n v="0"/>
    <n v="4"/>
    <n v="0"/>
    <n v="100"/>
    <n v="0"/>
    <s v="Consolidation"/>
    <s v="CO2e and Base Measure"/>
    <n v="100"/>
    <n v="100"/>
    <n v="0.09"/>
    <m/>
    <m/>
    <m/>
    <m/>
    <m/>
    <n v="0.1123"/>
    <m/>
    <n v="0.1123"/>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3-01T00:00:00"/>
    <s v="FY21"/>
    <s v="t"/>
    <n v="0"/>
    <n v="0.108"/>
    <n v="0"/>
    <n v="0.108"/>
    <n v="0"/>
    <n v="5"/>
    <n v="0"/>
    <n v="5"/>
    <n v="0"/>
    <n v="100"/>
    <n v="0"/>
    <s v="Consolidation"/>
    <s v="CO2e and Base Measure"/>
    <n v="100"/>
    <n v="100"/>
    <n v="0.11"/>
    <m/>
    <m/>
    <m/>
    <m/>
    <m/>
    <n v="0.1404"/>
    <m/>
    <n v="0.1404"/>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4-01T00:00:00"/>
    <s v="FY21"/>
    <s v="t"/>
    <n v="0"/>
    <n v="0"/>
    <n v="7.8E-2"/>
    <n v="7.8E-2"/>
    <n v="0"/>
    <n v="0"/>
    <n v="30"/>
    <n v="30"/>
    <n v="0"/>
    <n v="0"/>
    <n v="100"/>
    <s v="Consolidation"/>
    <s v="CO2e and Base Measure"/>
    <n v="100"/>
    <n v="100"/>
    <n v="0.08"/>
    <m/>
    <m/>
    <m/>
    <m/>
    <m/>
    <n v="0.1014"/>
    <m/>
    <n v="0.1014"/>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5-01T00:00:00"/>
    <s v="FY21"/>
    <s v="t"/>
    <n v="0"/>
    <n v="0"/>
    <n v="8.0600000000000005E-2"/>
    <n v="8.0600000000000005E-2"/>
    <n v="0"/>
    <n v="0"/>
    <n v="31"/>
    <n v="31"/>
    <n v="0"/>
    <n v="0"/>
    <n v="100"/>
    <s v="Consolidation"/>
    <s v="CO2e and Base Measure"/>
    <n v="100"/>
    <n v="100"/>
    <n v="0.08"/>
    <m/>
    <m/>
    <m/>
    <m/>
    <m/>
    <n v="0.1048"/>
    <m/>
    <n v="0.1048"/>
    <m/>
    <m/>
    <m/>
    <m/>
    <m/>
    <s v="AUD"/>
    <s v="13633992Waste - General [t] - Scope 3"/>
    <n v="13633992"/>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4298Waste - General [t] - Scope 3"/>
    <n v="13564298"/>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0-12-01T00:00:00"/>
    <s v="FY21"/>
    <s v="t"/>
    <n v="0.20699999999999999"/>
    <n v="0"/>
    <n v="0"/>
    <n v="0.20699999999999999"/>
    <n v="2"/>
    <n v="0"/>
    <n v="0"/>
    <n v="2"/>
    <n v="100"/>
    <n v="0"/>
    <n v="0"/>
    <s v="Consolidation"/>
    <s v="CO2e and Base Measure"/>
    <n v="100"/>
    <n v="100"/>
    <n v="0.21"/>
    <m/>
    <m/>
    <m/>
    <m/>
    <m/>
    <n v="0.26910000000000001"/>
    <m/>
    <n v="0.26910000000000001"/>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1-01T00:00:00"/>
    <s v="FY21"/>
    <s v="t"/>
    <n v="0.10100000000000001"/>
    <n v="0"/>
    <n v="0"/>
    <n v="0.10100000000000001"/>
    <n v="2"/>
    <n v="0"/>
    <n v="0"/>
    <n v="2"/>
    <n v="100"/>
    <n v="0"/>
    <n v="0"/>
    <s v="Consolidation"/>
    <s v="CO2e and Base Measure"/>
    <n v="100"/>
    <n v="100"/>
    <n v="0.1"/>
    <m/>
    <m/>
    <m/>
    <m/>
    <m/>
    <n v="0.1313"/>
    <m/>
    <n v="0.1313"/>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2-01T00:00:00"/>
    <s v="FY21"/>
    <s v="t"/>
    <n v="3.5000000000000003E-2"/>
    <n v="0.13500000000000001"/>
    <n v="0"/>
    <n v="0.17"/>
    <n v="1"/>
    <n v="1"/>
    <n v="0"/>
    <n v="2"/>
    <n v="20.58"/>
    <n v="79.41"/>
    <n v="0"/>
    <s v="Consolidation"/>
    <s v="CO2e and Base Measure"/>
    <n v="100"/>
    <n v="100"/>
    <n v="0.17"/>
    <m/>
    <m/>
    <m/>
    <m/>
    <m/>
    <n v="0.221"/>
    <m/>
    <n v="0.221"/>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3-01T00:00:00"/>
    <s v="FY21"/>
    <s v="t"/>
    <n v="0.26200000000000001"/>
    <n v="0.13500000000000001"/>
    <n v="0"/>
    <n v="0.39700000000000002"/>
    <n v="1"/>
    <n v="1"/>
    <n v="0"/>
    <n v="2"/>
    <n v="65.989999999999995"/>
    <n v="34"/>
    <n v="0"/>
    <s v="Consolidation"/>
    <s v="CO2e and Base Measure"/>
    <n v="100"/>
    <n v="100"/>
    <n v="0.4"/>
    <m/>
    <m/>
    <m/>
    <m/>
    <m/>
    <n v="0.5161"/>
    <m/>
    <n v="0.5161"/>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4-01T00:00:00"/>
    <s v="FY21"/>
    <s v="t"/>
    <n v="0"/>
    <n v="0"/>
    <n v="0.219"/>
    <n v="0.219"/>
    <n v="0"/>
    <n v="0"/>
    <n v="30"/>
    <n v="30"/>
    <n v="0"/>
    <n v="0"/>
    <n v="100"/>
    <s v="Consolidation"/>
    <s v="CO2e and Base Measure"/>
    <n v="100"/>
    <n v="100"/>
    <n v="0.22"/>
    <m/>
    <m/>
    <m/>
    <m/>
    <m/>
    <n v="0.28470000000000001"/>
    <m/>
    <n v="0.28470000000000001"/>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5-01T00:00:00"/>
    <s v="FY21"/>
    <s v="t"/>
    <n v="0"/>
    <n v="0"/>
    <n v="0.2263"/>
    <n v="0.2263"/>
    <n v="0"/>
    <n v="0"/>
    <n v="31"/>
    <n v="31"/>
    <n v="0"/>
    <n v="0"/>
    <n v="100"/>
    <s v="Consolidation"/>
    <s v="CO2e and Base Measure"/>
    <n v="100"/>
    <n v="100"/>
    <n v="0.23"/>
    <m/>
    <m/>
    <m/>
    <m/>
    <m/>
    <n v="0.29420000000000002"/>
    <m/>
    <n v="0.29420000000000002"/>
    <m/>
    <m/>
    <m/>
    <m/>
    <m/>
    <s v="AUD"/>
    <s v="13634325Waste - General [t] - Scope 3"/>
    <n v="13634325"/>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07-01T00:00:00"/>
    <s v="FY21"/>
    <s v="t"/>
    <n v="0.05"/>
    <n v="0"/>
    <n v="0"/>
    <n v="0.05"/>
    <n v="2"/>
    <n v="0"/>
    <n v="0"/>
    <n v="2"/>
    <n v="100"/>
    <n v="0"/>
    <n v="0"/>
    <s v="Consolidation"/>
    <s v="CO2e and Base Measure"/>
    <n v="100"/>
    <n v="100"/>
    <n v="0.05"/>
    <m/>
    <m/>
    <m/>
    <m/>
    <m/>
    <n v="6.5000000000000002E-2"/>
    <m/>
    <n v="6.5000000000000002E-2"/>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08-01T00:00:00"/>
    <s v="FY21"/>
    <s v="t"/>
    <n v="0.06"/>
    <n v="0"/>
    <n v="0"/>
    <n v="0.06"/>
    <n v="2"/>
    <n v="0"/>
    <n v="0"/>
    <n v="2"/>
    <n v="100"/>
    <n v="0"/>
    <n v="0"/>
    <s v="Consolidation"/>
    <s v="CO2e and Base Measure"/>
    <n v="100"/>
    <n v="100"/>
    <n v="0.06"/>
    <m/>
    <m/>
    <m/>
    <m/>
    <m/>
    <n v="7.8E-2"/>
    <m/>
    <n v="7.8E-2"/>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09-01T00:00:00"/>
    <s v="FY21"/>
    <s v="t"/>
    <n v="0.49"/>
    <n v="0"/>
    <n v="0"/>
    <n v="0.49"/>
    <n v="2"/>
    <n v="0"/>
    <n v="0"/>
    <n v="2"/>
    <n v="100"/>
    <n v="0"/>
    <n v="0"/>
    <s v="Consolidation"/>
    <s v="CO2e and Base Measure"/>
    <n v="100"/>
    <n v="100"/>
    <n v="0.49"/>
    <m/>
    <m/>
    <m/>
    <m/>
    <m/>
    <n v="0.63700000000000001"/>
    <m/>
    <n v="0.63700000000000001"/>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10-01T00:00:00"/>
    <s v="FY21"/>
    <s v="t"/>
    <n v="0.13"/>
    <n v="0"/>
    <n v="0"/>
    <n v="0.13"/>
    <n v="3"/>
    <n v="0"/>
    <n v="0"/>
    <n v="3"/>
    <n v="100"/>
    <n v="0"/>
    <n v="0"/>
    <s v="Consolidation"/>
    <s v="CO2e and Base Measure"/>
    <n v="100"/>
    <n v="100"/>
    <n v="0.13"/>
    <m/>
    <m/>
    <m/>
    <m/>
    <m/>
    <n v="0.16900000000000001"/>
    <m/>
    <n v="0.16900000000000001"/>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11-01T00:00:00"/>
    <s v="FY21"/>
    <s v="t"/>
    <n v="7.0000000000000007E-2"/>
    <n v="0"/>
    <n v="0"/>
    <n v="7.0000000000000007E-2"/>
    <n v="2"/>
    <n v="0"/>
    <n v="0"/>
    <n v="2"/>
    <n v="100"/>
    <n v="0"/>
    <n v="0"/>
    <s v="Consolidation"/>
    <s v="CO2e and Base Measure"/>
    <n v="100"/>
    <n v="100"/>
    <n v="7.0000000000000007E-2"/>
    <m/>
    <m/>
    <m/>
    <m/>
    <m/>
    <n v="9.0999999999999998E-2"/>
    <m/>
    <n v="9.0999999999999998E-2"/>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1-01-01T00:00:00"/>
    <s v="FY21"/>
    <s v="t"/>
    <n v="0"/>
    <n v="0"/>
    <n v="5.0000000000000001E-3"/>
    <n v="5.0000000000000001E-3"/>
    <n v="0"/>
    <n v="0"/>
    <n v="1"/>
    <n v="1"/>
    <n v="0"/>
    <n v="0"/>
    <n v="100"/>
    <s v="Consolidation"/>
    <s v="CO2e and Base Measure"/>
    <n v="100"/>
    <n v="100"/>
    <n v="0.01"/>
    <m/>
    <m/>
    <m/>
    <m/>
    <m/>
    <n v="6.4999999999999997E-3"/>
    <m/>
    <n v="6.4999999999999997E-3"/>
    <m/>
    <m/>
    <m/>
    <m/>
    <m/>
    <s v="AUD"/>
    <s v="13564300Waste - General [t] - Scope 3"/>
    <n v="13564300"/>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0-12-01T00:00:00"/>
    <s v="FY21"/>
    <s v="t"/>
    <n v="7.2999999999999995E-2"/>
    <n v="0"/>
    <n v="0"/>
    <n v="7.2999999999999995E-2"/>
    <n v="2"/>
    <n v="0"/>
    <n v="0"/>
    <n v="2"/>
    <n v="100"/>
    <n v="0"/>
    <n v="0"/>
    <s v="Consolidation"/>
    <s v="CO2e and Base Measure"/>
    <n v="100"/>
    <n v="100"/>
    <n v="7.0000000000000007E-2"/>
    <m/>
    <m/>
    <m/>
    <m/>
    <m/>
    <n v="9.4899999999999998E-2"/>
    <m/>
    <n v="9.4899999999999998E-2"/>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1-01T00:00:00"/>
    <s v="FY21"/>
    <s v="t"/>
    <n v="7.0000000000000007E-2"/>
    <n v="0.13500000000000001"/>
    <n v="0"/>
    <n v="0.20499999999999999"/>
    <n v="1"/>
    <n v="1"/>
    <n v="0"/>
    <n v="2"/>
    <n v="34.14"/>
    <n v="65.849999999999994"/>
    <n v="0"/>
    <s v="Consolidation"/>
    <s v="CO2e and Base Measure"/>
    <n v="100"/>
    <n v="100"/>
    <n v="0.21"/>
    <m/>
    <m/>
    <m/>
    <m/>
    <m/>
    <n v="0.26650000000000001"/>
    <m/>
    <n v="0.26650000000000001"/>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2-01T00:00:00"/>
    <s v="FY21"/>
    <s v="t"/>
    <n v="0.12"/>
    <n v="0"/>
    <n v="0"/>
    <n v="0.12"/>
    <n v="2"/>
    <n v="0"/>
    <n v="0"/>
    <n v="2"/>
    <n v="100"/>
    <n v="0"/>
    <n v="0"/>
    <s v="Consolidation"/>
    <s v="CO2e and Base Measure"/>
    <n v="100"/>
    <n v="100"/>
    <n v="0.12"/>
    <m/>
    <m/>
    <m/>
    <m/>
    <m/>
    <n v="0.156"/>
    <m/>
    <n v="0.156"/>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3-01T00:00:00"/>
    <s v="FY21"/>
    <s v="t"/>
    <n v="0.188"/>
    <n v="0"/>
    <n v="0"/>
    <n v="0.188"/>
    <n v="2"/>
    <n v="0"/>
    <n v="0"/>
    <n v="2"/>
    <n v="100"/>
    <n v="0"/>
    <n v="0"/>
    <s v="Consolidation"/>
    <s v="CO2e and Base Measure"/>
    <n v="100"/>
    <n v="100"/>
    <n v="0.19"/>
    <m/>
    <m/>
    <m/>
    <m/>
    <m/>
    <n v="0.24440000000000001"/>
    <m/>
    <n v="0.24440000000000001"/>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4-01T00:00:00"/>
    <s v="FY21"/>
    <s v="t"/>
    <n v="0"/>
    <n v="0"/>
    <n v="0.14699999999999999"/>
    <n v="0.14699999999999999"/>
    <n v="0"/>
    <n v="0"/>
    <n v="30"/>
    <n v="30"/>
    <n v="0"/>
    <n v="0"/>
    <n v="100"/>
    <s v="Consolidation"/>
    <s v="CO2e and Base Measure"/>
    <n v="100"/>
    <n v="100"/>
    <n v="0.15"/>
    <m/>
    <m/>
    <m/>
    <m/>
    <m/>
    <n v="0.19109999999999999"/>
    <m/>
    <n v="0.19109999999999999"/>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5-01T00:00:00"/>
    <s v="FY21"/>
    <s v="t"/>
    <n v="0"/>
    <n v="0"/>
    <n v="0.15190000000000001"/>
    <n v="0.15190000000000001"/>
    <n v="0"/>
    <n v="0"/>
    <n v="31"/>
    <n v="31"/>
    <n v="0"/>
    <n v="0"/>
    <n v="100"/>
    <s v="Consolidation"/>
    <s v="CO2e and Base Measure"/>
    <n v="100"/>
    <n v="100"/>
    <n v="0.15"/>
    <m/>
    <m/>
    <m/>
    <m/>
    <m/>
    <n v="0.19750000000000001"/>
    <m/>
    <n v="0.19750000000000001"/>
    <m/>
    <m/>
    <m/>
    <m/>
    <m/>
    <s v="AUD"/>
    <s v="13634326Waste - General [t] - Scope 3"/>
    <n v="13634326"/>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732Waste - General [t] - Scope 3"/>
    <n v="13564732"/>
  </r>
  <r>
    <d v="2019-07-01T00:00:00"/>
    <d v="2021-06-30T00:00:00"/>
    <s v="Telstra"/>
    <s v="NETWORK"/>
    <s v="Network - InfraCo"/>
    <s v="NSW"/>
    <s v="Australia"/>
    <s v="Young"/>
    <s v="YOUNG EXCHANGE"/>
    <n v="423030364100"/>
    <s v="Recycled Waste"/>
    <x v="0"/>
    <x v="0"/>
    <s v="Account"/>
    <s v="Remondis Cardboard - Loose - Recycled"/>
    <m/>
    <s v="423030364100_RCARDBOAR"/>
    <s v="CARDBOARD - LOOSE - RECYCLED"/>
    <s v="Remondis"/>
    <m/>
    <m/>
    <d v="2020-08-01T00:00:00"/>
    <d v="2020-07-01T00:00:00"/>
    <s v="FY21"/>
    <s v="t"/>
    <n v="0"/>
    <n v="2.3300000000000001E-2"/>
    <n v="0"/>
    <n v="2.3300000000000001E-2"/>
    <n v="0"/>
    <n v="1"/>
    <n v="0"/>
    <n v="1"/>
    <n v="0"/>
    <n v="100"/>
    <n v="0"/>
    <s v="Consolidation"/>
    <s v="CO2e and Base Measure"/>
    <n v="100"/>
    <n v="100"/>
    <n v="0.02"/>
    <m/>
    <m/>
    <m/>
    <m/>
    <m/>
    <m/>
    <n v="0"/>
    <m/>
    <m/>
    <m/>
    <m/>
    <m/>
    <m/>
    <s v="AUD"/>
    <s v="13566099Waste Recycled - Cardboard [t]"/>
    <n v="13566099"/>
  </r>
  <r>
    <d v="2019-07-01T00:00:00"/>
    <d v="2021-06-30T00:00:00"/>
    <s v="Telstra"/>
    <s v="NETWORK"/>
    <s v="Network - InfraCo"/>
    <s v="NSW"/>
    <s v="Australia"/>
    <s v="Young"/>
    <s v="YOUNG EXCHANGE"/>
    <n v="423030364100"/>
    <s v="Recycled Waste"/>
    <x v="0"/>
    <x v="0"/>
    <s v="Account"/>
    <s v="Remondis Cardboard - Loose - Recycled"/>
    <m/>
    <s v="423030364100_RCARDBOAR"/>
    <s v="CARDBOARD - LOOSE - RECYCLED"/>
    <s v="Remondis"/>
    <m/>
    <m/>
    <d v="2020-08-01T00:00:00"/>
    <d v="2020-08-01T00:00:00"/>
    <s v="FY21"/>
    <s v="t"/>
    <n v="0"/>
    <n v="0"/>
    <n v="8.0000000000000004E-4"/>
    <n v="8.0000000000000004E-4"/>
    <n v="0"/>
    <n v="0"/>
    <n v="1"/>
    <n v="1"/>
    <n v="0"/>
    <n v="0"/>
    <n v="100"/>
    <s v="Consolidation"/>
    <s v="CO2e and Base Measure"/>
    <n v="100"/>
    <n v="100"/>
    <n v="0"/>
    <m/>
    <m/>
    <m/>
    <m/>
    <m/>
    <m/>
    <n v="0"/>
    <m/>
    <m/>
    <m/>
    <m/>
    <m/>
    <m/>
    <s v="AUD"/>
    <s v="13566099Waste Recycled - Cardboard [t]"/>
    <n v="13566099"/>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86Waste - General [t] - Scope 3"/>
    <n v="13634486"/>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86Waste - General [t] - Scope 3"/>
    <n v="13634486"/>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3-01T00:00:00"/>
    <s v="FY21"/>
    <s v="t"/>
    <n v="0"/>
    <n v="0"/>
    <n v="0.1457"/>
    <n v="0.1457"/>
    <n v="0"/>
    <n v="0"/>
    <n v="31"/>
    <n v="31"/>
    <n v="0"/>
    <n v="0"/>
    <n v="100"/>
    <s v="Consolidation"/>
    <s v="CO2e and Base Measure"/>
    <n v="100"/>
    <n v="100"/>
    <n v="0.15"/>
    <m/>
    <m/>
    <m/>
    <m/>
    <m/>
    <n v="0.18940000000000001"/>
    <m/>
    <n v="0.18940000000000001"/>
    <m/>
    <m/>
    <m/>
    <m/>
    <m/>
    <s v="AUD"/>
    <s v="13634486Waste - General [t] - Scope 3"/>
    <n v="13634486"/>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4-01T00:00:00"/>
    <s v="FY21"/>
    <s v="t"/>
    <n v="0"/>
    <n v="0"/>
    <n v="0.14099999999999999"/>
    <n v="0.14099999999999999"/>
    <n v="0"/>
    <n v="0"/>
    <n v="30"/>
    <n v="30"/>
    <n v="0"/>
    <n v="0"/>
    <n v="100"/>
    <s v="Consolidation"/>
    <s v="CO2e and Base Measure"/>
    <n v="100"/>
    <n v="100"/>
    <n v="0.14000000000000001"/>
    <m/>
    <m/>
    <m/>
    <m/>
    <m/>
    <n v="0.18329999999999999"/>
    <m/>
    <n v="0.18329999999999999"/>
    <m/>
    <m/>
    <m/>
    <m/>
    <m/>
    <s v="AUD"/>
    <s v="13634486Waste - General [t] - Scope 3"/>
    <n v="13634486"/>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5-01T00:00:00"/>
    <s v="FY21"/>
    <s v="t"/>
    <n v="0"/>
    <n v="0"/>
    <n v="0.1457"/>
    <n v="0.1457"/>
    <n v="0"/>
    <n v="0"/>
    <n v="31"/>
    <n v="31"/>
    <n v="0"/>
    <n v="0"/>
    <n v="100"/>
    <s v="Consolidation"/>
    <s v="CO2e and Base Measure"/>
    <n v="100"/>
    <n v="100"/>
    <n v="0.15"/>
    <m/>
    <m/>
    <m/>
    <m/>
    <m/>
    <n v="0.18940000000000001"/>
    <m/>
    <n v="0.18940000000000001"/>
    <m/>
    <m/>
    <m/>
    <m/>
    <m/>
    <s v="AUD"/>
    <s v="13634486Waste - General [t] - Scope 3"/>
    <n v="13634486"/>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1-01T00:00:00"/>
    <s v="FY21"/>
    <s v="t"/>
    <n v="0"/>
    <n v="0.12540000000000001"/>
    <n v="0"/>
    <n v="0.12540000000000001"/>
    <n v="0"/>
    <n v="1"/>
    <n v="0"/>
    <n v="1"/>
    <n v="0"/>
    <n v="100"/>
    <n v="0"/>
    <s v="Consolidation"/>
    <s v="CO2e and Base Measure"/>
    <n v="100"/>
    <n v="100"/>
    <n v="0.13"/>
    <m/>
    <m/>
    <m/>
    <m/>
    <m/>
    <m/>
    <m/>
    <m/>
    <m/>
    <m/>
    <m/>
    <m/>
    <m/>
    <s v="AUD"/>
    <s v="13634603Waste Recycled - E-waste [t]"/>
    <n v="13634603"/>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2-01T00:00:00"/>
    <s v="FY21"/>
    <s v="t"/>
    <n v="0"/>
    <n v="0"/>
    <n v="0.1176"/>
    <n v="0.1176"/>
    <n v="0"/>
    <n v="0"/>
    <n v="28"/>
    <n v="28"/>
    <n v="0"/>
    <n v="0"/>
    <n v="100"/>
    <s v="Consolidation"/>
    <s v="CO2e and Base Measure"/>
    <n v="100"/>
    <n v="100"/>
    <n v="0.12"/>
    <m/>
    <m/>
    <m/>
    <m/>
    <m/>
    <m/>
    <m/>
    <m/>
    <m/>
    <m/>
    <m/>
    <m/>
    <m/>
    <s v="AUD"/>
    <s v="13634603Waste Recycled - E-waste [t]"/>
    <n v="13634603"/>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3-01T00:00:00"/>
    <s v="FY21"/>
    <s v="t"/>
    <n v="0"/>
    <n v="0"/>
    <n v="0.13020000000000001"/>
    <n v="0.13020000000000001"/>
    <n v="0"/>
    <n v="0"/>
    <n v="31"/>
    <n v="31"/>
    <n v="0"/>
    <n v="0"/>
    <n v="100"/>
    <s v="Consolidation"/>
    <s v="CO2e and Base Measure"/>
    <n v="100"/>
    <n v="100"/>
    <n v="0.13"/>
    <m/>
    <m/>
    <m/>
    <m/>
    <m/>
    <m/>
    <m/>
    <m/>
    <m/>
    <m/>
    <m/>
    <m/>
    <m/>
    <s v="AUD"/>
    <s v="13634603Waste Recycled - E-waste [t]"/>
    <n v="13634603"/>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4-01T00:00:00"/>
    <s v="FY21"/>
    <s v="t"/>
    <n v="0"/>
    <n v="0"/>
    <n v="0.126"/>
    <n v="0.126"/>
    <n v="0"/>
    <n v="0"/>
    <n v="30"/>
    <n v="30"/>
    <n v="0"/>
    <n v="0"/>
    <n v="100"/>
    <s v="Consolidation"/>
    <s v="CO2e and Base Measure"/>
    <n v="100"/>
    <n v="100"/>
    <n v="0.13"/>
    <m/>
    <m/>
    <m/>
    <m/>
    <m/>
    <m/>
    <m/>
    <m/>
    <m/>
    <m/>
    <m/>
    <m/>
    <m/>
    <s v="AUD"/>
    <s v="13634603Waste Recycled - E-waste [t]"/>
    <n v="13634603"/>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5-01T00:00:00"/>
    <s v="FY21"/>
    <s v="t"/>
    <n v="0"/>
    <n v="0"/>
    <n v="0.13020000000000001"/>
    <n v="0.13020000000000001"/>
    <n v="0"/>
    <n v="0"/>
    <n v="31"/>
    <n v="31"/>
    <n v="0"/>
    <n v="0"/>
    <n v="100"/>
    <s v="Consolidation"/>
    <s v="CO2e and Base Measure"/>
    <n v="100"/>
    <n v="100"/>
    <n v="0.13"/>
    <m/>
    <m/>
    <m/>
    <m/>
    <m/>
    <m/>
    <m/>
    <m/>
    <m/>
    <m/>
    <m/>
    <m/>
    <m/>
    <s v="AUD"/>
    <s v="13634603Waste Recycled - E-waste [t]"/>
    <n v="13634603"/>
  </r>
  <r>
    <d v="2019-07-01T00:00:00"/>
    <d v="2021-06-30T00:00:00"/>
    <s v="Telstra"/>
    <s v="NON-NETWORK"/>
    <s v="NON-NETWORK"/>
    <s v="QLD"/>
    <s v="Australia"/>
    <s v="Kingaroy"/>
    <s v="YOUNGMAN ST KINGAROY"/>
    <n v="423030104100"/>
    <s v="Waste"/>
    <x v="1"/>
    <x v="2"/>
    <s v="Account"/>
    <s v="Remondis General Waste"/>
    <m/>
    <s v="423030104104_WGENERALW"/>
    <s v="GENERAL WASTE"/>
    <s v="Remondis"/>
    <m/>
    <d v="2020-08-27T00:00:00"/>
    <d v="2020-10-01T00:00:00"/>
    <d v="2020-08-01T00:00:00"/>
    <s v="FY21"/>
    <s v="t"/>
    <n v="2.2200000000000002"/>
    <n v="0"/>
    <n v="0"/>
    <n v="2.2200000000000002"/>
    <n v="1"/>
    <n v="0"/>
    <n v="0"/>
    <n v="1"/>
    <n v="100"/>
    <n v="0"/>
    <n v="0"/>
    <s v="Consolidation"/>
    <s v="CO2e and Base Measure"/>
    <n v="100"/>
    <n v="100"/>
    <n v="2.2200000000000002"/>
    <m/>
    <m/>
    <m/>
    <m/>
    <m/>
    <n v="2.8860000000000001"/>
    <m/>
    <n v="2.8860000000000001"/>
    <m/>
    <m/>
    <m/>
    <m/>
    <m/>
    <s v="AUD"/>
    <s v="13625668Waste - General [t] - Scope 3"/>
    <n v="13625668"/>
  </r>
  <r>
    <d v="2019-07-01T00:00:00"/>
    <d v="2021-06-30T00:00:00"/>
    <s v="Telstra"/>
    <s v="NON-NETWORK"/>
    <s v="NON-NETWORK"/>
    <s v="QLD"/>
    <s v="Australia"/>
    <s v="Kingaroy"/>
    <s v="YOUNGMAN ST KINGAROY"/>
    <n v="423030104100"/>
    <s v="Waste"/>
    <x v="1"/>
    <x v="2"/>
    <s v="Account"/>
    <s v="Remondis General Waste"/>
    <m/>
    <s v="423030104104_WGENERALW"/>
    <s v="GENERAL WASTE"/>
    <s v="Remondis"/>
    <m/>
    <d v="2020-08-27T00:00:00"/>
    <d v="2020-10-01T00:00:00"/>
    <d v="2020-09-01T00:00:00"/>
    <s v="FY21"/>
    <s v="t"/>
    <n v="1.98"/>
    <n v="2.4"/>
    <n v="0"/>
    <n v="4.38"/>
    <n v="1"/>
    <n v="1"/>
    <n v="0"/>
    <n v="2"/>
    <n v="45.2"/>
    <n v="54.79"/>
    <n v="0"/>
    <s v="Consolidation"/>
    <s v="CO2e and Base Measure"/>
    <n v="100"/>
    <n v="100"/>
    <n v="4.38"/>
    <m/>
    <m/>
    <m/>
    <m/>
    <m/>
    <n v="5.694"/>
    <m/>
    <n v="5.694"/>
    <m/>
    <m/>
    <m/>
    <m/>
    <m/>
    <s v="AUD"/>
    <s v="13625668Waste - General [t] - Scope 3"/>
    <n v="13625668"/>
  </r>
  <r>
    <d v="2019-07-01T00:00:00"/>
    <d v="2021-06-30T00:00:00"/>
    <s v="Telstra"/>
    <s v="NON-NETWORK"/>
    <s v="NON-NETWORK"/>
    <s v="QLD"/>
    <s v="Australia"/>
    <s v="Kingaroy"/>
    <s v="YOUNGMAN ST KINGAROY"/>
    <n v="423030104100"/>
    <s v="Waste"/>
    <x v="1"/>
    <x v="2"/>
    <s v="Account"/>
    <s v="Remondis General Waste"/>
    <m/>
    <s v="423030104104_WGENERALW"/>
    <s v="GENERAL WASTE"/>
    <s v="Remondis"/>
    <m/>
    <d v="2020-08-27T00:00:00"/>
    <d v="2020-10-01T00:00:00"/>
    <d v="2020-10-01T00:00:00"/>
    <s v="FY21"/>
    <s v="t"/>
    <n v="0"/>
    <n v="0"/>
    <n v="0.11"/>
    <n v="0.11"/>
    <n v="0"/>
    <n v="0"/>
    <n v="1"/>
    <n v="1"/>
    <n v="0"/>
    <n v="0"/>
    <n v="100"/>
    <s v="Consolidation"/>
    <s v="CO2e and Base Measure"/>
    <n v="100"/>
    <n v="100"/>
    <n v="0.11"/>
    <m/>
    <m/>
    <m/>
    <m/>
    <m/>
    <n v="0.14299999999999999"/>
    <m/>
    <n v="0.14299999999999999"/>
    <m/>
    <m/>
    <m/>
    <m/>
    <m/>
    <s v="AUD"/>
    <s v="13625668Waste - General [t] - Scope 3"/>
    <n v="13625668"/>
  </r>
  <r>
    <d v="2019-07-01T00:00:00"/>
    <d v="2021-06-30T00:00:00"/>
    <s v="Telstra"/>
    <s v="NON-NETWORK"/>
    <s v="NON-NETWORK"/>
    <s v="TAS"/>
    <s v="Australia"/>
    <s v="Newstead"/>
    <s v="YOUNGTOWN 252-254 HOBART RD"/>
    <n v="423030936500"/>
    <s v="Waste"/>
    <x v="1"/>
    <x v="4"/>
    <s v="Account"/>
    <s v="Remondis Asbestos"/>
    <m/>
    <s v="423030936500_WASBESTOS"/>
    <s v="ASBESTOS"/>
    <s v="Remondis"/>
    <m/>
    <m/>
    <d v="2020-12-01T00:00:00"/>
    <d v="2020-11-01T00:00:00"/>
    <s v="FY21"/>
    <s v="t"/>
    <n v="0"/>
    <n v="1"/>
    <n v="0"/>
    <n v="1"/>
    <n v="0"/>
    <n v="1"/>
    <n v="0"/>
    <n v="1"/>
    <n v="0"/>
    <n v="100"/>
    <n v="0"/>
    <s v="Consolidation"/>
    <s v="CO2e and Base Measure"/>
    <n v="100"/>
    <n v="100"/>
    <n v="1"/>
    <m/>
    <m/>
    <m/>
    <m/>
    <m/>
    <n v="1.2"/>
    <m/>
    <n v="1.2"/>
    <m/>
    <m/>
    <m/>
    <m/>
    <m/>
    <s v="AUD"/>
    <s v="13565494Waste - Construction and Demolition [t]"/>
    <n v="13565494"/>
  </r>
  <r>
    <d v="2019-07-01T00:00:00"/>
    <d v="2021-06-30T00:00:00"/>
    <s v="Telstra"/>
    <s v="NON-NETWORK"/>
    <s v="NON-NETWORK"/>
    <s v="TAS"/>
    <s v="Australia"/>
    <s v="Newstead"/>
    <s v="YOUNGTOWN 252-254 HOBART RD"/>
    <n v="423030936500"/>
    <s v="Waste"/>
    <x v="1"/>
    <x v="4"/>
    <s v="Account"/>
    <s v="Remondis Asbestos"/>
    <m/>
    <s v="423030936500_WASBESTOS"/>
    <s v="ASBESTOS"/>
    <s v="Remondis"/>
    <m/>
    <m/>
    <d v="2020-12-01T00:00:00"/>
    <d v="2020-12-01T00:00:00"/>
    <s v="FY21"/>
    <s v="t"/>
    <n v="0"/>
    <n v="0"/>
    <n v="1.2200000000000001E-2"/>
    <n v="1.2200000000000001E-2"/>
    <n v="0"/>
    <n v="0"/>
    <n v="1"/>
    <n v="1"/>
    <n v="0"/>
    <n v="0"/>
    <n v="100"/>
    <s v="Consolidation"/>
    <s v="CO2e and Base Measure"/>
    <n v="100"/>
    <n v="100"/>
    <n v="0.01"/>
    <m/>
    <m/>
    <m/>
    <m/>
    <m/>
    <n v="1.46E-2"/>
    <m/>
    <n v="1.46E-2"/>
    <m/>
    <m/>
    <m/>
    <m/>
    <m/>
    <s v="AUD"/>
    <s v="13565494Waste - Construction and Demolition [t]"/>
    <n v="13565494"/>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07-01T00:00:00"/>
    <s v="FY21"/>
    <s v="t"/>
    <n v="0"/>
    <n v="0.28349999999999997"/>
    <n v="0"/>
    <n v="0.28349999999999997"/>
    <n v="0"/>
    <n v="3"/>
    <n v="0"/>
    <n v="3"/>
    <n v="0"/>
    <n v="100"/>
    <n v="0"/>
    <s v="Consolidation"/>
    <s v="CO2e and Base Measure"/>
    <n v="100"/>
    <n v="100"/>
    <n v="0.28000000000000003"/>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08-01T00:00:00"/>
    <s v="FY21"/>
    <s v="t"/>
    <n v="0"/>
    <n v="0.189"/>
    <n v="0"/>
    <n v="0.189"/>
    <n v="0"/>
    <n v="2"/>
    <n v="0"/>
    <n v="2"/>
    <n v="0"/>
    <n v="100"/>
    <n v="0"/>
    <s v="Consolidation"/>
    <s v="CO2e and Base Measure"/>
    <n v="100"/>
    <n v="100"/>
    <n v="0.19"/>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09-01T00:00:00"/>
    <s v="FY21"/>
    <s v="t"/>
    <n v="0"/>
    <n v="0.189"/>
    <n v="0"/>
    <n v="0.189"/>
    <n v="0"/>
    <n v="2"/>
    <n v="0"/>
    <n v="2"/>
    <n v="0"/>
    <n v="100"/>
    <n v="0"/>
    <s v="Consolidation"/>
    <s v="CO2e and Base Measure"/>
    <n v="100"/>
    <n v="100"/>
    <n v="0.19"/>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10-01T00:00:00"/>
    <s v="FY21"/>
    <s v="t"/>
    <n v="0"/>
    <n v="0.189"/>
    <n v="0"/>
    <n v="0.189"/>
    <n v="0"/>
    <n v="2"/>
    <n v="0"/>
    <n v="2"/>
    <n v="0"/>
    <n v="100"/>
    <n v="0"/>
    <s v="Consolidation"/>
    <s v="CO2e and Base Measure"/>
    <n v="100"/>
    <n v="100"/>
    <n v="0.19"/>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11-01T00:00:00"/>
    <s v="FY21"/>
    <s v="t"/>
    <n v="0"/>
    <n v="0.28349999999999997"/>
    <n v="0"/>
    <n v="0.28349999999999997"/>
    <n v="0"/>
    <n v="3"/>
    <n v="0"/>
    <n v="3"/>
    <n v="0"/>
    <n v="100"/>
    <n v="0"/>
    <s v="Consolidation"/>
    <s v="CO2e and Base Measure"/>
    <n v="100"/>
    <n v="100"/>
    <n v="0.28000000000000003"/>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12-01T00:00:00"/>
    <s v="FY21"/>
    <s v="t"/>
    <n v="0"/>
    <n v="0"/>
    <n v="7.3000000000000001E-3"/>
    <n v="7.3000000000000001E-3"/>
    <n v="0"/>
    <n v="0"/>
    <n v="1"/>
    <n v="1"/>
    <n v="0"/>
    <n v="0"/>
    <n v="100"/>
    <s v="Consolidation"/>
    <s v="CO2e and Base Measure"/>
    <n v="100"/>
    <n v="100"/>
    <n v="0.01"/>
    <m/>
    <m/>
    <m/>
    <m/>
    <m/>
    <m/>
    <n v="0"/>
    <m/>
    <m/>
    <m/>
    <m/>
    <m/>
    <m/>
    <s v="AUD"/>
    <s v="13565495Waste Recycled - Cardboard [t]"/>
    <n v="13565495"/>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07-01T00:00:00"/>
    <s v="FY21"/>
    <s v="t"/>
    <n v="0"/>
    <n v="2.4E-2"/>
    <n v="0"/>
    <n v="2.4E-2"/>
    <n v="0"/>
    <n v="1"/>
    <n v="0"/>
    <n v="1"/>
    <n v="0"/>
    <n v="100"/>
    <n v="0"/>
    <s v="Consolidation"/>
    <s v="CO2e and Base Measure"/>
    <n v="100"/>
    <n v="100"/>
    <n v="0.02"/>
    <m/>
    <m/>
    <m/>
    <m/>
    <m/>
    <m/>
    <n v="0"/>
    <m/>
    <m/>
    <m/>
    <m/>
    <m/>
    <m/>
    <s v="AUD"/>
    <s v="13565496Waste Recycled - Commingled [t]"/>
    <n v="13565496"/>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08-01T00:00:00"/>
    <s v="FY21"/>
    <s v="t"/>
    <n v="0"/>
    <n v="2.4E-2"/>
    <n v="0"/>
    <n v="2.4E-2"/>
    <n v="0"/>
    <n v="1"/>
    <n v="0"/>
    <n v="1"/>
    <n v="0"/>
    <n v="100"/>
    <n v="0"/>
    <s v="Consolidation"/>
    <s v="CO2e and Base Measure"/>
    <n v="100"/>
    <n v="100"/>
    <n v="0.02"/>
    <m/>
    <m/>
    <m/>
    <m/>
    <m/>
    <m/>
    <n v="0"/>
    <m/>
    <m/>
    <m/>
    <m/>
    <m/>
    <m/>
    <s v="AUD"/>
    <s v="13565496Waste Recycled - Commingled [t]"/>
    <n v="13565496"/>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10-01T00:00:00"/>
    <s v="FY21"/>
    <s v="t"/>
    <n v="0"/>
    <n v="2.4E-2"/>
    <n v="0"/>
    <n v="2.4E-2"/>
    <n v="0"/>
    <n v="1"/>
    <n v="0"/>
    <n v="1"/>
    <n v="0"/>
    <n v="100"/>
    <n v="0"/>
    <s v="Consolidation"/>
    <s v="CO2e and Base Measure"/>
    <n v="100"/>
    <n v="100"/>
    <n v="0.02"/>
    <m/>
    <m/>
    <m/>
    <m/>
    <m/>
    <m/>
    <n v="0"/>
    <m/>
    <m/>
    <m/>
    <m/>
    <m/>
    <m/>
    <s v="AUD"/>
    <s v="13565496Waste Recycled - Commingled [t]"/>
    <n v="13565496"/>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11-01T00:00:00"/>
    <s v="FY21"/>
    <s v="t"/>
    <n v="0"/>
    <n v="2.4E-2"/>
    <n v="0"/>
    <n v="2.4E-2"/>
    <n v="0"/>
    <n v="1"/>
    <n v="0"/>
    <n v="1"/>
    <n v="0"/>
    <n v="100"/>
    <n v="0"/>
    <s v="Consolidation"/>
    <s v="CO2e and Base Measure"/>
    <n v="100"/>
    <n v="100"/>
    <n v="0.02"/>
    <m/>
    <m/>
    <m/>
    <m/>
    <m/>
    <m/>
    <n v="0"/>
    <m/>
    <m/>
    <m/>
    <m/>
    <m/>
    <m/>
    <s v="AUD"/>
    <s v="13565496Waste Recycled - Commingled [t]"/>
    <n v="13565496"/>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12-01T00:00:00"/>
    <s v="FY21"/>
    <s v="t"/>
    <n v="0"/>
    <n v="0"/>
    <n v="6.9999999999999999E-4"/>
    <n v="6.9999999999999999E-4"/>
    <n v="0"/>
    <n v="0"/>
    <n v="1"/>
    <n v="1"/>
    <n v="0"/>
    <n v="0"/>
    <n v="100"/>
    <s v="Consolidation"/>
    <s v="CO2e and Base Measure"/>
    <n v="100"/>
    <n v="100"/>
    <n v="0"/>
    <m/>
    <m/>
    <m/>
    <m/>
    <m/>
    <m/>
    <n v="0"/>
    <m/>
    <m/>
    <m/>
    <m/>
    <m/>
    <m/>
    <s v="AUD"/>
    <s v="13565496Waste Recycled - Commingled [t]"/>
    <n v="13565496"/>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07-01T00:00:00"/>
    <s v="FY21"/>
    <s v="t"/>
    <n v="0"/>
    <n v="1.56"/>
    <n v="0"/>
    <n v="1.56"/>
    <n v="0"/>
    <n v="4"/>
    <n v="0"/>
    <n v="4"/>
    <n v="0"/>
    <n v="100"/>
    <n v="0"/>
    <s v="Consolidation"/>
    <s v="CO2e and Base Measure"/>
    <n v="100"/>
    <n v="100"/>
    <n v="1.56"/>
    <m/>
    <m/>
    <m/>
    <m/>
    <m/>
    <n v="2.028"/>
    <m/>
    <n v="2.028"/>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08-01T00:00:00"/>
    <s v="FY21"/>
    <s v="t"/>
    <n v="0"/>
    <n v="1.95"/>
    <n v="0"/>
    <n v="1.95"/>
    <n v="0"/>
    <n v="5"/>
    <n v="0"/>
    <n v="5"/>
    <n v="0"/>
    <n v="100"/>
    <n v="0"/>
    <s v="Consolidation"/>
    <s v="CO2e and Base Measure"/>
    <n v="100"/>
    <n v="100"/>
    <n v="1.95"/>
    <m/>
    <m/>
    <m/>
    <m/>
    <m/>
    <n v="2.5350000000000001"/>
    <m/>
    <n v="2.5350000000000001"/>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09-01T00:00:00"/>
    <s v="FY21"/>
    <s v="t"/>
    <n v="0"/>
    <n v="1.365"/>
    <n v="0"/>
    <n v="1.365"/>
    <n v="0"/>
    <n v="4"/>
    <n v="0"/>
    <n v="4"/>
    <n v="0"/>
    <n v="100"/>
    <n v="0"/>
    <s v="Consolidation"/>
    <s v="CO2e and Base Measure"/>
    <n v="100"/>
    <n v="100"/>
    <n v="1.37"/>
    <m/>
    <m/>
    <m/>
    <m/>
    <m/>
    <n v="1.7745"/>
    <m/>
    <n v="1.7745"/>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10-01T00:00:00"/>
    <s v="FY21"/>
    <s v="t"/>
    <n v="0"/>
    <n v="1.56"/>
    <n v="0"/>
    <n v="1.56"/>
    <n v="0"/>
    <n v="4"/>
    <n v="0"/>
    <n v="4"/>
    <n v="0"/>
    <n v="100"/>
    <n v="0"/>
    <s v="Consolidation"/>
    <s v="CO2e and Base Measure"/>
    <n v="100"/>
    <n v="100"/>
    <n v="1.56"/>
    <m/>
    <m/>
    <m/>
    <m/>
    <m/>
    <n v="2.028"/>
    <m/>
    <n v="2.028"/>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11-01T00:00:00"/>
    <s v="FY21"/>
    <s v="t"/>
    <n v="0"/>
    <n v="1.56"/>
    <n v="0"/>
    <n v="1.56"/>
    <n v="0"/>
    <n v="4"/>
    <n v="0"/>
    <n v="4"/>
    <n v="0"/>
    <n v="100"/>
    <n v="0"/>
    <s v="Consolidation"/>
    <s v="CO2e and Base Measure"/>
    <n v="100"/>
    <n v="100"/>
    <n v="1.56"/>
    <m/>
    <m/>
    <m/>
    <m/>
    <m/>
    <n v="2.028"/>
    <m/>
    <n v="2.028"/>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12-01T00:00:00"/>
    <s v="FY21"/>
    <s v="t"/>
    <n v="1.06"/>
    <n v="0"/>
    <n v="0"/>
    <n v="1.06"/>
    <n v="1"/>
    <n v="0"/>
    <n v="0"/>
    <n v="1"/>
    <n v="100"/>
    <n v="0"/>
    <n v="0"/>
    <s v="Consolidation"/>
    <s v="CO2e and Base Measure"/>
    <n v="100"/>
    <n v="100"/>
    <n v="1.06"/>
    <m/>
    <m/>
    <m/>
    <m/>
    <m/>
    <n v="1.3779999999999999"/>
    <m/>
    <n v="1.3779999999999999"/>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1-01-01T00:00:00"/>
    <s v="FY21"/>
    <s v="t"/>
    <n v="0"/>
    <n v="0"/>
    <n v="4.8899999999999999E-2"/>
    <n v="4.8899999999999999E-2"/>
    <n v="0"/>
    <n v="0"/>
    <n v="1"/>
    <n v="1"/>
    <n v="0"/>
    <n v="0"/>
    <n v="100"/>
    <s v="Consolidation"/>
    <s v="CO2e and Base Measure"/>
    <n v="100"/>
    <n v="100"/>
    <n v="0.05"/>
    <m/>
    <m/>
    <m/>
    <m/>
    <m/>
    <n v="6.3600000000000004E-2"/>
    <m/>
    <n v="6.3600000000000004E-2"/>
    <m/>
    <m/>
    <m/>
    <m/>
    <m/>
    <s v="AUD"/>
    <s v="13565497Waste - General [t] - Scope 3"/>
    <n v="13565497"/>
  </r>
  <r>
    <d v="2019-07-01T00:00:00"/>
    <d v="2021-06-30T00:00:00"/>
    <s v="Telstra"/>
    <s v="NON-NETWORK"/>
    <s v="NON-NETWORK"/>
    <s v="TAS"/>
    <s v="Australia"/>
    <s v="Newstead"/>
    <s v="YOUNGTOWN 252-254 HOBART RD"/>
    <n v="423030936500"/>
    <s v="Recycled Waste"/>
    <x v="0"/>
    <x v="5"/>
    <s v="Account"/>
    <s v="Remondis Metal - Mixed All"/>
    <m/>
    <s v="423030936500_RMETMIXED"/>
    <s v="METAL - MIXED ALL"/>
    <s v="Remondis"/>
    <m/>
    <m/>
    <d v="2020-07-01T00:00:00"/>
    <d v="2020-07-01T00:00:00"/>
    <s v="FY21"/>
    <s v="t"/>
    <n v="0"/>
    <n v="0"/>
    <n v="2.8400000000000002E-2"/>
    <n v="2.8400000000000002E-2"/>
    <n v="0"/>
    <n v="0"/>
    <n v="1"/>
    <n v="1"/>
    <n v="0"/>
    <n v="0"/>
    <n v="100"/>
    <s v="Consolidation"/>
    <s v="CO2e and Base Measure"/>
    <n v="100"/>
    <n v="100"/>
    <n v="0.03"/>
    <m/>
    <m/>
    <m/>
    <m/>
    <m/>
    <m/>
    <m/>
    <m/>
    <m/>
    <m/>
    <m/>
    <m/>
    <m/>
    <s v="AUD"/>
    <s v="13565498Waste Recycled - Construction and Demolition [t]"/>
    <n v="135654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0-12-01T00:00:00"/>
    <s v="FY21"/>
    <s v="t"/>
    <n v="0.59599999999999997"/>
    <n v="0"/>
    <n v="0"/>
    <n v="0.59599999999999997"/>
    <n v="3"/>
    <n v="0"/>
    <n v="0"/>
    <n v="3"/>
    <n v="100"/>
    <n v="0"/>
    <n v="0"/>
    <s v="Consolidation"/>
    <s v="CO2e and Base Measure"/>
    <n v="100"/>
    <n v="100"/>
    <n v="0.6"/>
    <m/>
    <m/>
    <m/>
    <m/>
    <m/>
    <n v="0.77480000000000004"/>
    <m/>
    <n v="0.77480000000000004"/>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1-01T00:00:00"/>
    <s v="FY21"/>
    <s v="t"/>
    <n v="0.90600000000000003"/>
    <n v="0"/>
    <n v="0"/>
    <n v="0.90600000000000003"/>
    <n v="5"/>
    <n v="0"/>
    <n v="0"/>
    <n v="5"/>
    <n v="100"/>
    <n v="0"/>
    <n v="0"/>
    <s v="Consolidation"/>
    <s v="CO2e and Base Measure"/>
    <n v="100"/>
    <n v="100"/>
    <n v="0.91"/>
    <m/>
    <m/>
    <m/>
    <m/>
    <m/>
    <n v="1.1778"/>
    <m/>
    <n v="1.1778"/>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2-01T00:00:00"/>
    <s v="FY21"/>
    <s v="t"/>
    <n v="0.46500000000000002"/>
    <n v="0.27"/>
    <n v="0"/>
    <n v="0.73499999999999999"/>
    <n v="3"/>
    <n v="1"/>
    <n v="0"/>
    <n v="4"/>
    <n v="63.26"/>
    <n v="36.729999999999997"/>
    <n v="0"/>
    <s v="Consolidation"/>
    <s v="CO2e and Base Measure"/>
    <n v="100"/>
    <n v="100"/>
    <n v="0.74"/>
    <m/>
    <m/>
    <m/>
    <m/>
    <m/>
    <n v="0.95550000000000002"/>
    <m/>
    <n v="0.95550000000000002"/>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3-01T00:00:00"/>
    <s v="FY21"/>
    <s v="t"/>
    <n v="0.76500000000000001"/>
    <n v="0"/>
    <n v="0"/>
    <n v="0.76500000000000001"/>
    <n v="4"/>
    <n v="0"/>
    <n v="0"/>
    <n v="4"/>
    <n v="100"/>
    <n v="0"/>
    <n v="0"/>
    <s v="Consolidation"/>
    <s v="CO2e and Base Measure"/>
    <n v="100"/>
    <n v="100"/>
    <n v="0.77"/>
    <m/>
    <m/>
    <m/>
    <m/>
    <m/>
    <n v="0.99450000000000005"/>
    <m/>
    <n v="0.99450000000000005"/>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4-01T00:00:00"/>
    <s v="FY21"/>
    <s v="t"/>
    <n v="0"/>
    <n v="0"/>
    <n v="0.75"/>
    <n v="0.75"/>
    <n v="0"/>
    <n v="0"/>
    <n v="30"/>
    <n v="30"/>
    <n v="0"/>
    <n v="0"/>
    <n v="100"/>
    <s v="Consolidation"/>
    <s v="CO2e and Base Measure"/>
    <n v="100"/>
    <n v="100"/>
    <n v="0.75"/>
    <m/>
    <m/>
    <m/>
    <m/>
    <m/>
    <n v="0.97499999999999998"/>
    <m/>
    <n v="0.97499999999999998"/>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5-01T00:00:00"/>
    <s v="FY21"/>
    <s v="t"/>
    <n v="0"/>
    <n v="0"/>
    <n v="0.77500000000000002"/>
    <n v="0.77500000000000002"/>
    <n v="0"/>
    <n v="0"/>
    <n v="31"/>
    <n v="31"/>
    <n v="0"/>
    <n v="0"/>
    <n v="100"/>
    <s v="Consolidation"/>
    <s v="CO2e and Base Measure"/>
    <n v="100"/>
    <n v="100"/>
    <n v="0.78"/>
    <m/>
    <m/>
    <m/>
    <m/>
    <m/>
    <n v="1.0075000000000001"/>
    <m/>
    <n v="1.0075000000000001"/>
    <m/>
    <m/>
    <m/>
    <m/>
    <m/>
    <s v="AUD"/>
    <s v="13634398Waste - General [t] - Scope 3"/>
    <n v="13634398"/>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0-12-01T00:00:00"/>
    <s v="FY21"/>
    <s v="t"/>
    <n v="0.28299999999999997"/>
    <n v="0"/>
    <n v="0"/>
    <n v="0.28299999999999997"/>
    <n v="5"/>
    <n v="0"/>
    <n v="0"/>
    <n v="5"/>
    <n v="100"/>
    <n v="0"/>
    <n v="0"/>
    <s v="Consolidation"/>
    <s v="CO2e and Base Measure"/>
    <n v="100"/>
    <n v="100"/>
    <n v="0.28000000000000003"/>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1-01T00:00:00"/>
    <s v="FY21"/>
    <s v="t"/>
    <n v="0.11"/>
    <n v="0.1125"/>
    <n v="0"/>
    <n v="0.2225"/>
    <n v="3"/>
    <n v="1"/>
    <n v="0"/>
    <n v="4"/>
    <n v="49.43"/>
    <n v="50.56"/>
    <n v="0"/>
    <s v="Consolidation"/>
    <s v="CO2e and Base Measure"/>
    <n v="100"/>
    <n v="100"/>
    <n v="0.22"/>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2-01T00:00:00"/>
    <s v="FY21"/>
    <s v="t"/>
    <n v="0.24"/>
    <n v="0"/>
    <n v="0"/>
    <n v="0.24"/>
    <n v="4"/>
    <n v="0"/>
    <n v="0"/>
    <n v="4"/>
    <n v="100"/>
    <n v="0"/>
    <n v="0"/>
    <s v="Consolidation"/>
    <s v="CO2e and Base Measure"/>
    <n v="100"/>
    <n v="100"/>
    <n v="0.24"/>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3-01T00:00:00"/>
    <s v="FY21"/>
    <s v="t"/>
    <n v="0.223"/>
    <n v="0"/>
    <n v="0"/>
    <n v="0.223"/>
    <n v="5"/>
    <n v="0"/>
    <n v="0"/>
    <n v="5"/>
    <n v="100"/>
    <n v="0"/>
    <n v="0"/>
    <s v="Consolidation"/>
    <s v="CO2e and Base Measure"/>
    <n v="100"/>
    <n v="100"/>
    <n v="0.22"/>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4-01T00:00:00"/>
    <s v="FY21"/>
    <s v="t"/>
    <n v="0"/>
    <n v="0"/>
    <n v="0.24299999999999999"/>
    <n v="0.24299999999999999"/>
    <n v="0"/>
    <n v="0"/>
    <n v="30"/>
    <n v="30"/>
    <n v="0"/>
    <n v="0"/>
    <n v="100"/>
    <s v="Consolidation"/>
    <s v="CO2e and Base Measure"/>
    <n v="100"/>
    <n v="100"/>
    <n v="0.24"/>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5-01T00:00:00"/>
    <s v="FY21"/>
    <s v="t"/>
    <n v="0"/>
    <n v="0"/>
    <n v="0.25109999999999999"/>
    <n v="0.25109999999999999"/>
    <n v="0"/>
    <n v="0"/>
    <n v="31"/>
    <n v="31"/>
    <n v="0"/>
    <n v="0"/>
    <n v="100"/>
    <s v="Consolidation"/>
    <s v="CO2e and Base Measure"/>
    <n v="100"/>
    <n v="100"/>
    <n v="0.25"/>
    <m/>
    <m/>
    <m/>
    <m/>
    <m/>
    <m/>
    <m/>
    <m/>
    <m/>
    <m/>
    <m/>
    <m/>
    <m/>
    <s v="AUD"/>
    <s v="13634399Waste Recycled - Paper and Cardboard [t]"/>
    <n v="1363439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
  <r>
    <s v="(blank)"/>
    <s v="(blank)"/>
    <s v="(blank)"/>
    <s v="(blank)"/>
    <s v="(blank)"/>
    <s v="(blank)"/>
    <n v="0"/>
    <n v="0"/>
    <n v="0"/>
    <n v="0"/>
    <n v="0"/>
    <n v="0"/>
    <n v="0"/>
    <x v="0"/>
    <x v="0"/>
  </r>
  <r>
    <s v="Cable landing station"/>
    <s v="Energy Commodities"/>
    <s v="Electricity"/>
    <s v="Energy Commodity"/>
    <s v="kWh"/>
    <s v="BBB"/>
    <n v="12095703.230562257"/>
    <n v="43544.531630024125"/>
    <n v="0"/>
    <n v="0"/>
    <n v="6217693.646215409"/>
    <n v="0"/>
    <n v="6217693.646215409"/>
    <x v="1"/>
    <x v="1"/>
  </r>
  <r>
    <s v="Cable landing station"/>
    <s v="Other Stationary"/>
    <s v="Diesel Oil"/>
    <s v="Non-transport"/>
    <s v="L"/>
    <s v="BBB"/>
    <n v="15563.443617427743"/>
    <n v="600.7489236327109"/>
    <n v="0"/>
    <n v="0"/>
    <n v="44335.270564094069"/>
    <n v="0"/>
    <n v="44335.270564094069"/>
    <x v="1"/>
    <x v="0"/>
  </r>
  <r>
    <s v="Cable landing station"/>
    <s v="Other Stationary"/>
    <s v="Natural gas distributed in pipeline"/>
    <s v="Non-transport"/>
    <s v="MJ"/>
    <s v="BBB"/>
    <n v="193283.85133931137"/>
    <n v="193.28385133931135"/>
    <n v="0"/>
    <n v="0"/>
    <n v="11533.24740941671"/>
    <n v="0"/>
    <n v="11533.24740941671"/>
    <x v="1"/>
    <x v="0"/>
  </r>
  <r>
    <s v="Colocation"/>
    <s v="Energy Commodities"/>
    <s v="Electricity"/>
    <s v="Energy Commodity"/>
    <s v="kWh"/>
    <s v="BBB"/>
    <n v="107088873.38031349"/>
    <n v="385519.94416912855"/>
    <n v="0"/>
    <n v="10856216.780695796"/>
    <n v="28432025.066822872"/>
    <n v="10856216.780695796"/>
    <n v="39288241.847518668"/>
    <x v="2"/>
    <x v="1"/>
  </r>
  <r>
    <s v="Colocation"/>
    <s v="Other Stationary"/>
    <s v="Diesel Oil"/>
    <s v="Non-transport"/>
    <s v="L"/>
    <s v="BBB"/>
    <n v="137790.38813528279"/>
    <n v="5318.7089820219162"/>
    <n v="104694.43988037863"/>
    <n v="0"/>
    <n v="286555.58543752739"/>
    <n v="104694.43988037863"/>
    <n v="391250.02531790605"/>
    <x v="2"/>
    <x v="0"/>
  </r>
  <r>
    <s v="Colocation"/>
    <s v="Other Stationary"/>
    <s v="Natural gas distributed in pipeline"/>
    <s v="Non-transport"/>
    <s v="MJ"/>
    <s v="BBB"/>
    <n v="1711231.6239898934"/>
    <n v="1711.2316239898933"/>
    <n v="24725.735403464623"/>
    <n v="0"/>
    <n v="77052.900060337372"/>
    <n v="24725.735403464623"/>
    <n v="101778.635463802"/>
    <x v="2"/>
    <x v="0"/>
  </r>
  <r>
    <s v="Data Centre"/>
    <s v="Energy Commodities"/>
    <s v="Electricity"/>
    <s v="Energy Commodity"/>
    <s v="kWh"/>
    <s v="BBB"/>
    <n v="188090285.22164094"/>
    <n v="677125.02679790743"/>
    <n v="0"/>
    <n v="30348941.615664311"/>
    <n v="60973664.539981157"/>
    <n v="30348941.615664311"/>
    <n v="91322606.15564546"/>
    <x v="3"/>
    <x v="1"/>
  </r>
  <r>
    <s v="Data Centre"/>
    <s v="Other Stationary"/>
    <s v="Diesel Oil"/>
    <s v="Non-transport"/>
    <s v="L"/>
    <s v="BBB"/>
    <n v="185016.680778571"/>
    <n v="7141.6438780528406"/>
    <n v="234611.65184250913"/>
    <n v="0"/>
    <n v="242742.65313378212"/>
    <n v="234611.65184250913"/>
    <n v="477354.30497629126"/>
    <x v="3"/>
    <x v="0"/>
  </r>
  <r>
    <s v="Data Centre"/>
    <s v="Other Stationary"/>
    <s v="Natural gas distributed in pipeline"/>
    <s v="Non-transport"/>
    <s v="MJ"/>
    <s v="BBB"/>
    <n v="3005597.4451564336"/>
    <n v="3005.5974451564334"/>
    <n v="55408.344823809821"/>
    <n v="0"/>
    <n v="111007.09901618111"/>
    <n v="55408.344823809821"/>
    <n v="166415.44383999094"/>
    <x v="3"/>
    <x v="0"/>
  </r>
  <r>
    <s v="Office"/>
    <s v="Energy Commodities"/>
    <s v="Electricity"/>
    <s v="Energy Commodity"/>
    <s v="kWh"/>
    <s v="BBB"/>
    <n v="14319615.835764131"/>
    <n v="51550.617008750865"/>
    <n v="0"/>
    <n v="2091946.5045782062"/>
    <n v="5305166.8602369819"/>
    <n v="2091946.5045782062"/>
    <n v="7397113.3648151886"/>
    <x v="2"/>
    <x v="1"/>
  </r>
  <r>
    <s v="Office"/>
    <s v="Other Stationary"/>
    <s v="Diesel Oil"/>
    <s v="Non-transport"/>
    <s v="L"/>
    <s v="BBB"/>
    <n v="53393.888473823616"/>
    <n v="2061.0040950895918"/>
    <n v="13751.419744697478"/>
    <n v="0"/>
    <n v="137791.59632028712"/>
    <n v="13751.419744697478"/>
    <n v="151543.01606498461"/>
    <x v="2"/>
    <x v="0"/>
  </r>
  <r>
    <s v="Office"/>
    <s v="Other Stationary"/>
    <s v="Natural gas distributed in pipeline"/>
    <s v="Non-transport"/>
    <s v="MJ"/>
    <s v="BBB"/>
    <n v="228820.96606360161"/>
    <n v="228.82096606360162"/>
    <n v="3247.6793076868335"/>
    <n v="0"/>
    <n v="10260.628703363041"/>
    <n v="3247.6793076868335"/>
    <n v="13508.308011049874"/>
    <x v="2"/>
    <x v="0"/>
  </r>
  <r>
    <s v="Warehouse"/>
    <s v="Energy Commodities"/>
    <s v="Electricity"/>
    <s v="Energy Commodity"/>
    <s v="kWh"/>
    <s v="BBB"/>
    <n v="21938690"/>
    <n v="78979.284"/>
    <n v="1"/>
    <n v="8961954.8650000002"/>
    <n v="181852.5470783714"/>
    <n v="8961955.8650000002"/>
    <n v="9143808.4120783713"/>
    <x v="4"/>
    <x v="1"/>
  </r>
  <r>
    <s v="Warehouse"/>
    <s v="Other Stationary"/>
    <s v="Diesel Oil"/>
    <s v="Non-transport"/>
    <s v="L"/>
    <s v="BBB"/>
    <n v="28228.335165540786"/>
    <n v="1089.6137373898744"/>
    <n v="76490.884364769183"/>
    <n v="1"/>
    <n v="3922.6094546035474"/>
    <n v="76491.884364769183"/>
    <n v="80414.493819372728"/>
    <x v="4"/>
    <x v="0"/>
  </r>
  <r>
    <s v="Warehouse"/>
    <s v="Other Stationary"/>
    <s v="Natural gas distributed in pipeline"/>
    <s v="Non-transport"/>
    <s v="MJ"/>
    <s v="BBB"/>
    <n v="350570.31540134159"/>
    <n v="350.57031540134159"/>
    <n v="18064.888352631133"/>
    <n v="1"/>
    <n v="2853.642367366921"/>
    <n v="18065.888352631133"/>
    <n v="20919.530719998053"/>
    <x v="4"/>
    <x v="0"/>
  </r>
  <r>
    <s v="Percentage Estimates"/>
    <s v="Electricity"/>
    <s v="Diesel Oil"/>
    <s v="Non-transport (Genset)"/>
    <s v="KL"/>
    <s v="N/A"/>
    <n v="6.2278100999999984"/>
    <n v="240.39346985999995"/>
    <n v="16875.621584171997"/>
    <n v="0"/>
    <n v="865.41649149599982"/>
    <n v="16875.621584171997"/>
    <n v="17741.038075667995"/>
    <x v="2"/>
    <x v="0"/>
  </r>
  <r>
    <s v="Percentage Estimates"/>
    <s v="Energy Commodities"/>
    <s v="Electricity"/>
    <s v="Energy Commodity"/>
    <s v="kWh"/>
    <s v="N/A"/>
    <n v="1249087.2310545254"/>
    <n v="4496.7140317962921"/>
    <n v="0"/>
    <n v="1114487.6136836854"/>
    <n v="124884.06467133613"/>
    <n v="1114487.6136836854"/>
    <n v="1239371.6783550216"/>
    <x v="2"/>
    <x v="1"/>
  </r>
  <r>
    <s v="Percentage Estimates"/>
    <s v="Other Stationary"/>
    <s v="Natural gas distributed in pipeline"/>
    <s v="Non-transport"/>
    <s v="GJ"/>
    <s v="N/A"/>
    <n v="639.7719201509625"/>
    <n v="639.7719201509625"/>
    <n v="32967.4470453791"/>
    <n v="0"/>
    <n v="2495.1104885887535"/>
    <n v="32967.4470453791"/>
    <n v="35462.557533967854"/>
    <x v="2"/>
    <x v="0"/>
  </r>
  <r>
    <s v="Percentage Estimates"/>
    <s v="Transport"/>
    <s v="Diesel Oil"/>
    <s v="Transport - Post 2004 vehicles"/>
    <s v="KL"/>
    <s v="N/A"/>
    <n v="192.98402989999997"/>
    <n v="7449.1835541399987"/>
    <n v="524497.01404699741"/>
    <n v="0"/>
    <n v="26817.060794903995"/>
    <n v="524497.01404699741"/>
    <n v="551314.07484190143"/>
    <x v="5"/>
    <x v="0"/>
  </r>
  <r>
    <s v="Percentage Estimates"/>
    <s v="Transport"/>
    <s v="Gasoline"/>
    <s v="Transport - Post 2004 vehicles"/>
    <s v="KL"/>
    <s v="N/A"/>
    <n v="48.718119999999992"/>
    <n v="1666.1597040000001"/>
    <n v="112665.71918448001"/>
    <n v="0"/>
    <n v="5998.1749344000009"/>
    <n v="112665.71918448001"/>
    <n v="118663.89411888001"/>
    <x v="5"/>
    <x v="0"/>
  </r>
  <r>
    <s v="Data Centres (ACT)"/>
    <s v="Energy Commodities"/>
    <s v="Electricity"/>
    <s v="Energy Commodity"/>
    <s v="kWh"/>
    <s v="N/A"/>
    <n v="2011702.3574999999"/>
    <n v="7242.128487"/>
    <n v="0"/>
    <n v="1629478.9095749999"/>
    <n v="181053.21217499999"/>
    <n v="1629478.9095749999"/>
    <n v="1810532.1217499999"/>
    <x v="3"/>
    <x v="1"/>
  </r>
  <r>
    <s v="Data Centres (NSW)"/>
    <s v="Electricity"/>
    <s v="Diesel Oil"/>
    <s v="Non-transport (Genset)"/>
    <s v="KL"/>
    <s v="BBB"/>
    <n v="0"/>
    <n v="0"/>
    <n v="0"/>
    <n v="0"/>
    <n v="0"/>
    <n v="0"/>
    <n v="0"/>
    <x v="3"/>
    <x v="0"/>
  </r>
  <r>
    <s v="Data Centres (NSW)"/>
    <s v="Energy Commodities"/>
    <s v="Electricity"/>
    <s v="Energy Commodity"/>
    <s v="kWh"/>
    <s v="N/A"/>
    <n v="27473994.162800003"/>
    <n v="98906.378986080003"/>
    <n v="0"/>
    <n v="22253935.271868005"/>
    <n v="2472659.4746520002"/>
    <n v="22253935.271868005"/>
    <n v="24726594.746520005"/>
    <x v="3"/>
    <x v="1"/>
  </r>
  <r>
    <s v="Data Centres (NT)"/>
    <s v="Energy Commodities"/>
    <s v="Electricity"/>
    <s v="Energy Commodity"/>
    <s v="kWh"/>
    <s v="N/A"/>
    <n v="0"/>
    <n v="0"/>
    <n v="0"/>
    <n v="0"/>
    <n v="0"/>
    <n v="0"/>
    <n v="0"/>
    <x v="3"/>
    <x v="1"/>
  </r>
  <r>
    <s v="Data Centres (QLD)"/>
    <s v="Energy Commodities"/>
    <s v="Electricity"/>
    <s v="Energy Commodity"/>
    <s v="kWh"/>
    <s v="N/A"/>
    <n v="0"/>
    <n v="0"/>
    <n v="0"/>
    <n v="0"/>
    <n v="0"/>
    <n v="0"/>
    <n v="0"/>
    <x v="3"/>
    <x v="1"/>
  </r>
  <r>
    <s v="Data Centres (SA)"/>
    <s v="Energy Commodities"/>
    <s v="Electricity"/>
    <s v="Energy Commodity"/>
    <s v="kWh"/>
    <s v="N/A"/>
    <n v="0"/>
    <n v="0"/>
    <n v="0"/>
    <n v="0"/>
    <n v="0"/>
    <n v="0"/>
    <n v="0"/>
    <x v="3"/>
    <x v="1"/>
  </r>
  <r>
    <s v="Data Centres (TAS)"/>
    <s v="Energy Commodities"/>
    <s v="Electricity"/>
    <s v="Energy Commodity"/>
    <s v="kWh"/>
    <s v="N/A"/>
    <n v="0"/>
    <n v="0"/>
    <n v="0"/>
    <n v="0"/>
    <n v="0"/>
    <n v="0"/>
    <n v="0"/>
    <x v="3"/>
    <x v="1"/>
  </r>
  <r>
    <s v="Data Centres (VIC)"/>
    <s v="Electricity"/>
    <s v="Diesel Oil"/>
    <s v="Non-transport (Genset)"/>
    <s v="KL"/>
    <s v="BBB"/>
    <n v="28.414000000000001"/>
    <n v="1096.7804000000001"/>
    <n v="76993.984080000009"/>
    <n v="0"/>
    <n v="3948.4094400000004"/>
    <n v="76993.984080000009"/>
    <n v="80942.393520000012"/>
    <x v="3"/>
    <x v="0"/>
  </r>
  <r>
    <s v="Data Centres (VIC)"/>
    <s v="Energy Commodities"/>
    <s v="Electricity"/>
    <s v="Energy Commodity"/>
    <s v="kWh"/>
    <s v="N/A"/>
    <n v="41352143.156999998"/>
    <n v="148867.71536519998"/>
    <n v="0"/>
    <n v="40525100.293859996"/>
    <n v="4548735.7472700002"/>
    <n v="40525100.293859996"/>
    <n v="45073836.041129999"/>
    <x v="3"/>
    <x v="1"/>
  </r>
  <r>
    <s v="Data Centres (VIC)"/>
    <s v="Other Stationary"/>
    <s v="Natural gas distributed in pipeline"/>
    <s v="Non-transport"/>
    <s v="MJ"/>
    <s v="A"/>
    <n v="706570.09830000007"/>
    <n v="706.57009830000004"/>
    <n v="36409.557165399005"/>
    <n v="0"/>
    <n v="2755.6233833700003"/>
    <n v="36409.557165399005"/>
    <n v="39165.180548769007"/>
    <x v="3"/>
    <x v="0"/>
  </r>
  <r>
    <s v="Data Centres (VIC)"/>
    <s v="Other Stationary"/>
    <s v="Natural gas distributed in pipeline"/>
    <s v="Non-transport"/>
    <m/>
    <s v="BBB"/>
    <n v="150712.5276"/>
    <n v="150.71252760000002"/>
    <n v="7766.2165472280012"/>
    <n v="0"/>
    <n v="587.77885764000007"/>
    <n v="7766.2165472280012"/>
    <n v="8353.9954048680011"/>
    <x v="3"/>
    <x v="0"/>
  </r>
  <r>
    <s v="Data Centres (WA)"/>
    <s v="Energy Commodities"/>
    <s v="Electricity"/>
    <s v="Energy Commodity"/>
    <s v="kWh"/>
    <s v="N/A"/>
    <n v="0"/>
    <n v="0"/>
    <n v="0"/>
    <n v="0"/>
    <n v="0"/>
    <n v="0"/>
    <n v="0"/>
    <x v="3"/>
    <x v="1"/>
  </r>
  <r>
    <s v="Residences (ACT)"/>
    <s v="Energy Commodities"/>
    <s v="Electricity"/>
    <s v="Energy Commodity"/>
    <s v="kWh"/>
    <s v="N/A"/>
    <n v="48.941000000000003"/>
    <n v="0.1761876"/>
    <n v="0"/>
    <n v="39.642210000000006"/>
    <n v="4.4046900000000004"/>
    <n v="39.642210000000006"/>
    <n v="44.046900000000008"/>
    <x v="2"/>
    <x v="1"/>
  </r>
  <r>
    <s v="Residences (ACT)"/>
    <s v="Other Stationary"/>
    <s v="Natural gas distributed in pipeline"/>
    <s v="Non-transport"/>
    <s v="MJ"/>
    <s v="A"/>
    <n v="0"/>
    <n v="0"/>
    <n v="0"/>
    <n v="0"/>
    <n v="0"/>
    <n v="0"/>
    <n v="0"/>
    <x v="2"/>
    <x v="0"/>
  </r>
  <r>
    <s v="Residences (ACT)"/>
    <s v="Other Stationary"/>
    <s v="Natural gas distributed in pipeline"/>
    <s v="Non-transport"/>
    <m/>
    <s v="BBB"/>
    <n v="0"/>
    <n v="0"/>
    <n v="0"/>
    <n v="0"/>
    <n v="0"/>
    <n v="0"/>
    <n v="0"/>
    <x v="2"/>
    <x v="0"/>
  </r>
  <r>
    <s v="Residences (NSW)"/>
    <s v="Energy Commodities"/>
    <s v="Electricity"/>
    <s v="Energy Commodity"/>
    <s v="kWh"/>
    <s v="N/A"/>
    <n v="0"/>
    <n v="0"/>
    <n v="0"/>
    <n v="0"/>
    <n v="0"/>
    <n v="0"/>
    <n v="0"/>
    <x v="2"/>
    <x v="1"/>
  </r>
  <r>
    <s v="Residences (NT)"/>
    <s v="Energy Commodities"/>
    <s v="Electricity"/>
    <s v="Energy Commodity"/>
    <s v="kWh"/>
    <s v="N/A"/>
    <n v="0"/>
    <n v="0"/>
    <n v="0"/>
    <n v="0"/>
    <n v="0"/>
    <n v="0"/>
    <n v="0"/>
    <x v="2"/>
    <x v="1"/>
  </r>
  <r>
    <s v="Residences (QLD)"/>
    <s v="Energy Commodities"/>
    <s v="Electricity"/>
    <s v="Energy Commodity"/>
    <s v="kWh"/>
    <s v="N/A"/>
    <n v="43090.295699999995"/>
    <n v="155.12506451999997"/>
    <n v="0"/>
    <n v="34903.139516999996"/>
    <n v="5170.8354839999993"/>
    <n v="34903.139516999996"/>
    <n v="40073.975000999999"/>
    <x v="2"/>
    <x v="1"/>
  </r>
  <r>
    <s v="Residences (SA)"/>
    <s v="Energy Commodities"/>
    <s v="Electricity"/>
    <s v="Energy Commodity"/>
    <s v="kWh"/>
    <s v="N/A"/>
    <n v="0"/>
    <n v="0"/>
    <n v="0"/>
    <n v="0"/>
    <n v="0"/>
    <n v="0"/>
    <n v="0"/>
    <x v="2"/>
    <x v="1"/>
  </r>
  <r>
    <s v="Residences (TAS)"/>
    <s v="Energy Commodities"/>
    <s v="Electricity"/>
    <s v="Energy Commodity"/>
    <s v="kWh"/>
    <s v="N/A"/>
    <n v="0"/>
    <n v="0"/>
    <n v="0"/>
    <n v="0"/>
    <n v="0"/>
    <n v="0"/>
    <n v="0"/>
    <x v="2"/>
    <x v="1"/>
  </r>
  <r>
    <s v="Residences (VIC)"/>
    <s v="Energy Commodities"/>
    <s v="Electricity"/>
    <s v="Energy Commodity"/>
    <s v="kWh"/>
    <s v="N/A"/>
    <n v="0"/>
    <n v="0"/>
    <n v="0"/>
    <n v="0"/>
    <n v="0"/>
    <n v="0"/>
    <n v="0"/>
    <x v="2"/>
    <x v="1"/>
  </r>
  <r>
    <s v="Residences (WA)"/>
    <s v="Energy Commodities"/>
    <s v="Electricity"/>
    <s v="Energy Commodity"/>
    <s v="kWh"/>
    <s v="N/A"/>
    <n v="28456.728200000001"/>
    <n v="102.44422152"/>
    <n v="0"/>
    <n v="19350.575176000002"/>
    <n v="569.13456400000007"/>
    <n v="19350.575176000002"/>
    <n v="19919.709740000002"/>
    <x v="2"/>
    <x v="1"/>
  </r>
  <r>
    <s v="SLDC"/>
    <s v="Electricity"/>
    <s v="Diesel Oil"/>
    <s v="Non-transport (Genset)"/>
    <s v="KL"/>
    <s v="BBB"/>
    <n v="56.253999999999998"/>
    <n v="2171.4043999999999"/>
    <n v="152432.58888"/>
    <n v="0"/>
    <n v="7817.05584"/>
    <n v="152432.58888"/>
    <n v="160249.64471999998"/>
    <x v="3"/>
    <x v="0"/>
  </r>
  <r>
    <s v="SLDC"/>
    <s v="Energy Commodities"/>
    <s v="Electricity"/>
    <s v="Energy Commodity"/>
    <s v="kWh"/>
    <s v="N/A"/>
    <n v="40063690.008000001"/>
    <n v="144229.2840288"/>
    <n v="0"/>
    <n v="32451588.906480003"/>
    <n v="3605732.10072"/>
    <n v="32451588.906480003"/>
    <n v="36057321.007200003"/>
    <x v="3"/>
    <x v="1"/>
  </r>
  <r>
    <s v="Telecommunication and Ancillary Facilities (ACT)"/>
    <s v="Electricity"/>
    <s v="Diesel Oil"/>
    <s v="Non-transport (Genset)"/>
    <s v="KL"/>
    <s v="BBB"/>
    <n v="9.9307329871008392"/>
    <n v="383.32629330209238"/>
    <n v="26909.505789806884"/>
    <n v="0"/>
    <n v="1379.9746558875327"/>
    <n v="26909.505789806884"/>
    <n v="28289.480445694418"/>
    <x v="4"/>
    <x v="0"/>
  </r>
  <r>
    <s v="Telecommunication and Ancillary Facilities (ACT)"/>
    <s v="Electricity"/>
    <s v="Gasoline"/>
    <s v="Non-transport (Genset)"/>
    <s v="KL"/>
    <s v="BBB"/>
    <n v="0"/>
    <n v="0"/>
    <n v="0"/>
    <n v="0"/>
    <n v="0"/>
    <n v="0"/>
    <n v="0"/>
    <x v="4"/>
    <x v="0"/>
  </r>
  <r>
    <s v="Telecommunication and Ancillary Facilities (ACT)"/>
    <s v="Electricity"/>
    <s v="Liquified petroleum gas"/>
    <s v="Non-transport (Genset)"/>
    <s v="KL"/>
    <s v="BBB"/>
    <n v="0"/>
    <n v="0"/>
    <n v="0"/>
    <n v="0"/>
    <n v="0"/>
    <n v="0"/>
    <n v="0"/>
    <x v="4"/>
    <x v="0"/>
  </r>
  <r>
    <s v="Telecommunication and Ancillary Facilities (ACT)"/>
    <s v="Energy Commodities"/>
    <s v="Electricity"/>
    <s v="Energy Commodity"/>
    <s v="kWh"/>
    <s v="N/A"/>
    <n v="33084385.025721099"/>
    <n v="119103.78609259595"/>
    <n v="0"/>
    <n v="26798351.870834094"/>
    <n v="2977594.652314899"/>
    <n v="26798351.870834094"/>
    <n v="29775946.523148991"/>
    <x v="4"/>
    <x v="1"/>
  </r>
  <r>
    <s v="Telecommunication and Ancillary Facilities (ACT)"/>
    <s v="Energy Commodities"/>
    <s v="Solar energy for electricity generation"/>
    <s v="Energy Commodity"/>
    <s v="kWh"/>
    <s v="BBB"/>
    <n v="55930.706000000006"/>
    <n v="201.35054160000001"/>
    <n v="0"/>
    <n v="0"/>
    <n v="0"/>
    <n v="0"/>
    <n v="0"/>
    <x v="4"/>
    <x v="1"/>
  </r>
  <r>
    <s v="Telecommunication and Ancillary Facilities (ACT)"/>
    <s v="Other Stationary"/>
    <s v="Diesel Oil"/>
    <s v="Non-transport"/>
    <s v="KL"/>
    <s v="BBB"/>
    <n v="22.742790400000001"/>
    <n v="877.8717094399999"/>
    <n v="61112.719922687989"/>
    <n v="0"/>
    <n v="3160.3381539839997"/>
    <n v="61112.719922687989"/>
    <n v="64273.058076671987"/>
    <x v="4"/>
    <x v="0"/>
  </r>
  <r>
    <s v="Telecommunication and Ancillary Facilities (ACT)"/>
    <s v="Other Stationary"/>
    <s v="Gasoline"/>
    <s v="Non-transport"/>
    <s v="KL"/>
    <s v="BBB"/>
    <n v="0.47476020000000002"/>
    <n v="16.236798840000002"/>
    <n v="1100.8549613520004"/>
    <n v="0"/>
    <n v="58.452475824000011"/>
    <n v="1100.8549613520004"/>
    <n v="1159.3074371760003"/>
    <x v="4"/>
    <x v="0"/>
  </r>
  <r>
    <s v="Telecommunication and Ancillary Facilities (ACT)"/>
    <s v="Other Stationary"/>
    <s v="Liquified petroleum gas"/>
    <s v="Non-transport"/>
    <s v="KL"/>
    <s v="BBB"/>
    <n v="0"/>
    <n v="0"/>
    <n v="0"/>
    <n v="0"/>
    <n v="0"/>
    <n v="0"/>
    <n v="0"/>
    <x v="4"/>
    <x v="0"/>
  </r>
  <r>
    <s v="Telecommunication and Ancillary Facilities (ACT)"/>
    <s v="Transport"/>
    <s v="Diesel Oil"/>
    <s v="Transport - Post 2004 vehicles"/>
    <s v="KL"/>
    <s v="A"/>
    <n v="145.77691000000002"/>
    <n v="5626.9887260000005"/>
    <n v="396196.27619766007"/>
    <n v="0"/>
    <n v="20257.159413600002"/>
    <n v="396196.27619766007"/>
    <n v="416453.43561126007"/>
    <x v="5"/>
    <x v="0"/>
  </r>
  <r>
    <s v="Telecommunication and Ancillary Facilities (ACT)"/>
    <s v="Transport"/>
    <s v="Diesel Oil"/>
    <s v="Transport - Post 2004 vehicles"/>
    <m/>
    <s v="BBB"/>
    <n v="0"/>
    <n v="0"/>
    <n v="0"/>
    <n v="0"/>
    <n v="0"/>
    <n v="0"/>
    <n v="0"/>
    <x v="5"/>
    <x v="0"/>
  </r>
  <r>
    <s v="Telecommunication and Ancillary Facilities (ACT)"/>
    <s v="Transport"/>
    <s v="Ethanol"/>
    <s v="Transport - Post 2004 vehicles"/>
    <s v="KL"/>
    <s v="A"/>
    <n v="0.34324199999999994"/>
    <n v="8.0318627999999972"/>
    <n v="3.2127451199999992"/>
    <n v="0"/>
    <n v="0"/>
    <n v="3.2127451199999992"/>
    <n v="3.2127451199999992"/>
    <x v="5"/>
    <x v="0"/>
  </r>
  <r>
    <s v="Telecommunication and Ancillary Facilities (ACT)"/>
    <s v="Transport"/>
    <s v="Gasoline"/>
    <s v="Transport - Post 2004 vehicles"/>
    <s v="KL"/>
    <s v="A"/>
    <n v="10.671328000000001"/>
    <n v="364.95941760000005"/>
    <n v="24678.555818112007"/>
    <n v="0"/>
    <n v="1313.8539033600002"/>
    <n v="24678.555818112007"/>
    <n v="25992.409721472006"/>
    <x v="5"/>
    <x v="0"/>
  </r>
  <r>
    <s v="Telecommunication and Ancillary Facilities (ACT)"/>
    <s v="Transport"/>
    <s v="Gasoline"/>
    <s v="Transport - Post 2004 vehicles"/>
    <m/>
    <s v="BBB"/>
    <n v="1.209829"/>
    <n v="41.376151800000002"/>
    <n v="2797.8553847160006"/>
    <n v="0"/>
    <n v="148.95414648000002"/>
    <n v="2797.8553847160006"/>
    <n v="2946.8095311960005"/>
    <x v="5"/>
    <x v="0"/>
  </r>
  <r>
    <s v="Telecommunication and Ancillary Facilities (NSW)"/>
    <s v="Electricity"/>
    <s v="Diesel Oil"/>
    <s v="Non-transport (Genset)"/>
    <s v="KL"/>
    <s v="BBB"/>
    <n v="451.15084051097512"/>
    <n v="17414.422443723641"/>
    <n v="1222492.4555493996"/>
    <n v="0"/>
    <n v="62691.92079740511"/>
    <n v="1222492.4555493996"/>
    <n v="1285184.3763468047"/>
    <x v="4"/>
    <x v="0"/>
  </r>
  <r>
    <s v="Telecommunication and Ancillary Facilities (NSW)"/>
    <s v="Electricity"/>
    <s v="Gasoline"/>
    <s v="Non-transport (Genset)"/>
    <s v="KL"/>
    <s v="BBB"/>
    <n v="0"/>
    <n v="0"/>
    <n v="0"/>
    <n v="0"/>
    <n v="0"/>
    <n v="0"/>
    <n v="0"/>
    <x v="4"/>
    <x v="0"/>
  </r>
  <r>
    <s v="Telecommunication and Ancillary Facilities (NSW)"/>
    <s v="Electricity"/>
    <s v="Liquified petroleum gas"/>
    <s v="Non-transport (Genset)"/>
    <s v="KL"/>
    <s v="BBB"/>
    <n v="0"/>
    <n v="0"/>
    <n v="0"/>
    <n v="0"/>
    <n v="0"/>
    <n v="0"/>
    <n v="0"/>
    <x v="4"/>
    <x v="0"/>
  </r>
  <r>
    <s v="Telecommunication and Ancillary Facilities (NSW)"/>
    <s v="Energy Commodities"/>
    <s v="Electricity"/>
    <s v="Energy Commodity"/>
    <s v="kWh"/>
    <s v="N/A"/>
    <n v="388244888.6882742"/>
    <n v="1397681.5992777871"/>
    <n v="0"/>
    <n v="314478359.83750212"/>
    <n v="34992362.650434673"/>
    <n v="314478359.83750212"/>
    <n v="349470722.48793679"/>
    <x v="4"/>
    <x v="1"/>
  </r>
  <r>
    <s v="Telecommunication and Ancillary Facilities (NSW)"/>
    <s v="Energy Commodities"/>
    <s v="Solar energy for electricity generation"/>
    <s v="Energy Commodity"/>
    <s v="kWh"/>
    <s v="BBB"/>
    <n v="1014981.8930000027"/>
    <n v="3653.9348148000095"/>
    <n v="0"/>
    <n v="0"/>
    <n v="0"/>
    <n v="0"/>
    <n v="0"/>
    <x v="4"/>
    <x v="1"/>
  </r>
  <r>
    <s v="Telecommunication and Ancillary Facilities (NSW)"/>
    <s v="Other Stationary"/>
    <s v="Diesel Oil"/>
    <s v="Non-transport"/>
    <s v="KL"/>
    <s v="A"/>
    <n v="3.38618"/>
    <n v="130.706548"/>
    <n v="9097.1757407999994"/>
    <n v="0"/>
    <n v="470.54357279999999"/>
    <n v="9097.1757407999994"/>
    <n v="9567.7193135999987"/>
    <x v="4"/>
    <x v="0"/>
  </r>
  <r>
    <s v="Telecommunication and Ancillary Facilities (NSW)"/>
    <s v="Other Stationary"/>
    <s v="Diesel Oil"/>
    <s v="Non-transport"/>
    <m/>
    <s v="BBB"/>
    <n v="592.22479559999999"/>
    <n v="22859.87711016"/>
    <n v="1591590.659933232"/>
    <n v="0"/>
    <n v="82295.557596576007"/>
    <n v="1591590.659933232"/>
    <n v="1673886.2175298079"/>
    <x v="4"/>
    <x v="0"/>
  </r>
  <r>
    <s v="Telecommunication and Ancillary Facilities (NSW)"/>
    <s v="Other Stationary"/>
    <s v="Ethanol"/>
    <s v="Non-transport"/>
    <s v="KL"/>
    <s v="A"/>
    <n v="4.7020000000000013E-2"/>
    <n v="1.1002680000000002"/>
    <n v="76.578652800000015"/>
    <n v="0"/>
    <n v="0"/>
    <n v="76.578652800000015"/>
    <n v="76.578652800000015"/>
    <x v="4"/>
    <x v="0"/>
  </r>
  <r>
    <s v="Telecommunication and Ancillary Facilities (NSW)"/>
    <s v="Other Stationary"/>
    <s v="Ethanol"/>
    <s v="Non-transport"/>
    <m/>
    <s v="BBB"/>
    <n v="1.2749999999999999"/>
    <n v="29.834999999999997"/>
    <n v="2076.5159999999996"/>
    <n v="0"/>
    <n v="0"/>
    <n v="2076.5159999999996"/>
    <n v="2076.5159999999996"/>
    <x v="4"/>
    <x v="0"/>
  </r>
  <r>
    <s v="Telecommunication and Ancillary Facilities (NSW)"/>
    <s v="Other Stationary"/>
    <s v="Gasoline"/>
    <s v="Non-transport"/>
    <s v="KL"/>
    <s v="BBB"/>
    <n v="22.707838859582399"/>
    <n v="776.60808899771814"/>
    <n v="52789.521994045288"/>
    <n v="0"/>
    <n v="2795.7891203917852"/>
    <n v="52789.521994045288"/>
    <n v="55585.311114437071"/>
    <x v="4"/>
    <x v="0"/>
  </r>
  <r>
    <s v="Telecommunication and Ancillary Facilities (NSW)"/>
    <s v="Other Stationary"/>
    <s v="Liquified petroleum gas"/>
    <s v="Non-transport"/>
    <s v="KL"/>
    <s v="BBB"/>
    <n v="0"/>
    <n v="0"/>
    <n v="0"/>
    <n v="0"/>
    <n v="0"/>
    <n v="0"/>
    <n v="0"/>
    <x v="4"/>
    <x v="0"/>
  </r>
  <r>
    <s v="Telecommunication and Ancillary Facilities (NSW)"/>
    <s v="Other Stationary"/>
    <s v="Natural gas distributed in pipeline"/>
    <s v="Non-transport"/>
    <s v="MJ"/>
    <s v="A"/>
    <n v="6097.7156000000004"/>
    <n v="6.0977156000000008"/>
    <n v="314.21528486800003"/>
    <n v="0"/>
    <n v="78.050759680000013"/>
    <n v="314.21528486800003"/>
    <n v="392.26604454800002"/>
    <x v="4"/>
    <x v="0"/>
  </r>
  <r>
    <s v="Telecommunication and Ancillary Facilities (NSW)"/>
    <s v="Other Stationary"/>
    <s v="Natural gas distributed in pipeline"/>
    <s v="Non-transport"/>
    <m/>
    <s v="BBB"/>
    <n v="1669.8690000000001"/>
    <n v="1.6698690000000003"/>
    <n v="86.048349570000013"/>
    <n v="0"/>
    <n v="21.374323200000006"/>
    <n v="86.048349570000013"/>
    <n v="107.42267277000002"/>
    <x v="4"/>
    <x v="0"/>
  </r>
  <r>
    <s v="Telecommunication and Ancillary Facilities (NSW)"/>
    <s v="Transport"/>
    <s v="Diesel Oil"/>
    <s v="Transport"/>
    <s v="KL"/>
    <s v="A"/>
    <n v="0.75054999999999994"/>
    <n v="28.971229999999998"/>
    <n v="2039.5745920000002"/>
    <n v="0"/>
    <n v="104.29642799999999"/>
    <n v="2039.5745920000002"/>
    <n v="2143.87102"/>
    <x v="5"/>
    <x v="0"/>
  </r>
  <r>
    <s v="Telecommunication and Ancillary Facilities (NSW)"/>
    <s v="Transport"/>
    <s v="Diesel Oil"/>
    <s v="Transport - Post 2004 vehicles"/>
    <s v="KL"/>
    <s v="A"/>
    <n v="2643.4545899999998"/>
    <n v="102037.34717399999"/>
    <n v="7184449.6145213405"/>
    <n v="0"/>
    <n v="367334.44982639997"/>
    <n v="7184449.6145213405"/>
    <n v="7551784.0643477403"/>
    <x v="5"/>
    <x v="0"/>
  </r>
  <r>
    <s v="Telecommunication and Ancillary Facilities (NSW)"/>
    <s v="Transport"/>
    <s v="Diesel Oil"/>
    <s v="Transport - Post 2004 vehicles"/>
    <m/>
    <s v="BBB"/>
    <n v="9.1600000000000015E-2"/>
    <n v="3.5357600000000007"/>
    <n v="249.30643760000007"/>
    <n v="0"/>
    <n v="12.728736000000003"/>
    <n v="249.30643760000007"/>
    <n v="262.03517360000006"/>
    <x v="5"/>
    <x v="0"/>
  </r>
  <r>
    <s v="Telecommunication and Ancillary Facilities (NSW)"/>
    <s v="Transport"/>
    <s v="Ethanol"/>
    <s v="Transport - Post 2004 vehicles"/>
    <s v="KL"/>
    <s v="A"/>
    <n v="13.911406000000003"/>
    <n v="325.52690040000005"/>
    <n v="130.21076016000004"/>
    <n v="0"/>
    <n v="0"/>
    <n v="130.21076016000004"/>
    <n v="130.21076016000004"/>
    <x v="5"/>
    <x v="0"/>
  </r>
  <r>
    <s v="Telecommunication and Ancillary Facilities (NSW)"/>
    <s v="Transport"/>
    <s v="Gasoline"/>
    <s v="Transport - Post 2004 vehicles"/>
    <s v="KL"/>
    <s v="A"/>
    <n v="237.36921399999997"/>
    <n v="8118.0271187999997"/>
    <n v="548940.99377325596"/>
    <n v="0"/>
    <n v="29224.897627679999"/>
    <n v="548940.99377325596"/>
    <n v="578165.89140093594"/>
    <x v="5"/>
    <x v="0"/>
  </r>
  <r>
    <s v="Telecommunication and Ancillary Facilities (NSW)"/>
    <s v="Transport"/>
    <s v="Gasoline"/>
    <s v="Transport - Post 2004 vehicles"/>
    <m/>
    <s v="BBB"/>
    <n v="3.523282"/>
    <n v="120.49624440000001"/>
    <n v="8147.9560463280013"/>
    <n v="0"/>
    <n v="433.78647984000003"/>
    <n v="8147.9560463280013"/>
    <n v="8581.7425261680019"/>
    <x v="5"/>
    <x v="0"/>
  </r>
  <r>
    <s v="Telecommunication and Ancillary Facilities (NSW)"/>
    <s v="Transport"/>
    <s v="Liquified petroleum gas"/>
    <s v="Transport - Post 2004 vehicles"/>
    <s v="KL"/>
    <s v="A"/>
    <n v="0.87494140000000009"/>
    <n v="22.923464680000002"/>
    <n v="1398.3313454800002"/>
    <n v="0"/>
    <n v="82.524472848000016"/>
    <n v="1398.3313454800002"/>
    <n v="1480.8558183280002"/>
    <x v="5"/>
    <x v="0"/>
  </r>
  <r>
    <s v="Telecommunication and Ancillary Facilities (NT)"/>
    <s v="Electricity"/>
    <s v="Diesel Oil"/>
    <s v="Non-transport (Genset)"/>
    <s v="KL"/>
    <s v="BBB"/>
    <n v="16.273727671357694"/>
    <n v="628.16588811440704"/>
    <n v="44097.245345631374"/>
    <n v="0"/>
    <n v="2261.3971972118652"/>
    <n v="44097.245345631374"/>
    <n v="46358.642542843241"/>
    <x v="4"/>
    <x v="0"/>
  </r>
  <r>
    <s v="Telecommunication and Ancillary Facilities (NT)"/>
    <s v="Electricity"/>
    <s v="Gasoline"/>
    <s v="Non-transport (Genset)"/>
    <s v="KL"/>
    <s v="BBB"/>
    <n v="0"/>
    <n v="0"/>
    <n v="0"/>
    <n v="0"/>
    <n v="0"/>
    <n v="0"/>
    <n v="0"/>
    <x v="4"/>
    <x v="0"/>
  </r>
  <r>
    <s v="Telecommunication and Ancillary Facilities (NT)"/>
    <s v="Electricity"/>
    <s v="Liquified petroleum gas"/>
    <s v="Non-transport (Genset)"/>
    <s v="KL"/>
    <s v="BBB"/>
    <n v="0"/>
    <n v="0"/>
    <n v="0"/>
    <n v="0"/>
    <n v="0"/>
    <n v="0"/>
    <n v="0"/>
    <x v="4"/>
    <x v="0"/>
  </r>
  <r>
    <s v="Telecommunication and Ancillary Facilities (NT)"/>
    <s v="Energy Commodities"/>
    <s v="Electricity"/>
    <s v="Energy Commodity"/>
    <s v="kWh"/>
    <s v="N/A"/>
    <n v="16938139.665774472"/>
    <n v="60977.302796788092"/>
    <n v="0"/>
    <n v="10501646.592780173"/>
    <n v="1185669.7766042131"/>
    <n v="10501646.592780173"/>
    <n v="11687316.369384386"/>
    <x v="4"/>
    <x v="1"/>
  </r>
  <r>
    <s v="Telecommunication and Ancillary Facilities (NT)"/>
    <s v="Energy Commodities"/>
    <s v="Solar energy for electricity generation"/>
    <s v="Energy Commodity"/>
    <s v="kWh"/>
    <s v="BBB"/>
    <n v="1491084.953999998"/>
    <n v="5367.9058343999932"/>
    <n v="0"/>
    <n v="0"/>
    <n v="0"/>
    <n v="0"/>
    <n v="0"/>
    <x v="4"/>
    <x v="1"/>
  </r>
  <r>
    <s v="Telecommunication and Ancillary Facilities (NT)"/>
    <s v="Other Stationary"/>
    <s v="Diesel Oil"/>
    <s v="Non-transport"/>
    <s v="KL"/>
    <s v="A"/>
    <n v="6.4907999999999992"/>
    <n v="250.54487999999998"/>
    <n v="17437.923647999996"/>
    <n v="0"/>
    <n v="901.96156799999994"/>
    <n v="17437.923647999996"/>
    <n v="18339.885215999995"/>
    <x v="4"/>
    <x v="0"/>
  </r>
  <r>
    <s v="Telecommunication and Ancillary Facilities (NT)"/>
    <s v="Other Stationary"/>
    <s v="Diesel Oil"/>
    <s v="Non-transport"/>
    <m/>
    <s v="BBB"/>
    <n v="2.4678002000000001"/>
    <n v="95.257087720000001"/>
    <n v="6657.6343579439999"/>
    <n v="0"/>
    <n v="342.925515792"/>
    <n v="6657.6343579439999"/>
    <n v="7000.5598737359996"/>
    <x v="4"/>
    <x v="0"/>
  </r>
  <r>
    <s v="Telecommunication and Ancillary Facilities (NT)"/>
    <s v="Other Stationary"/>
    <s v="Gasoline"/>
    <s v="Non-transport"/>
    <s v="KL"/>
    <s v="BBB"/>
    <n v="1.4279165"/>
    <n v="48.834744300000004"/>
    <n v="3310.9956635400008"/>
    <n v="0"/>
    <n v="175.80507948000002"/>
    <n v="3310.9956635400008"/>
    <n v="3486.8007430200009"/>
    <x v="4"/>
    <x v="0"/>
  </r>
  <r>
    <s v="Telecommunication and Ancillary Facilities (NT)"/>
    <s v="Other Stationary"/>
    <s v="Liquified petroleum gas"/>
    <s v="Non-transport"/>
    <s v="KL"/>
    <s v="BBB"/>
    <n v="0"/>
    <n v="0"/>
    <n v="0"/>
    <n v="0"/>
    <n v="0"/>
    <n v="0"/>
    <n v="0"/>
    <x v="4"/>
    <x v="0"/>
  </r>
  <r>
    <s v="Telecommunication and Ancillary Facilities (NT)"/>
    <s v="Transport"/>
    <s v="Diesel Oil"/>
    <s v="Transport - Post 2004 vehicles"/>
    <s v="KL"/>
    <s v="A"/>
    <n v="228.71070299999997"/>
    <n v="8828.2331357999992"/>
    <n v="621595.89509167802"/>
    <n v="0"/>
    <n v="31781.639288879996"/>
    <n v="621595.89509167802"/>
    <n v="653377.53438055806"/>
    <x v="5"/>
    <x v="0"/>
  </r>
  <r>
    <s v="Telecommunication and Ancillary Facilities (NT)"/>
    <s v="Transport"/>
    <s v="Diesel Oil"/>
    <s v="Transport - Post 2004 vehicles"/>
    <m/>
    <s v="BBB"/>
    <n v="0.45657799999999993"/>
    <n v="17.623910799999997"/>
    <n v="1242.6619505079998"/>
    <n v="0"/>
    <n v="63.446078879999995"/>
    <n v="1242.6619505079998"/>
    <n v="1306.1080293879997"/>
    <x v="5"/>
    <x v="0"/>
  </r>
  <r>
    <s v="Telecommunication and Ancillary Facilities (NT)"/>
    <s v="Transport"/>
    <s v="Gasoline"/>
    <s v="Transport - Post 2004 vehicles"/>
    <s v="KL"/>
    <s v="A"/>
    <n v="6.8618399999999999"/>
    <n v="234.67492800000002"/>
    <n v="15868.718631360003"/>
    <n v="0"/>
    <n v="844.82974080000008"/>
    <n v="15868.718631360003"/>
    <n v="16713.548372160003"/>
    <x v="5"/>
    <x v="0"/>
  </r>
  <r>
    <s v="Telecommunication and Ancillary Facilities (NT)"/>
    <s v="Transport"/>
    <s v="Gasoline"/>
    <s v="Transport - Post 2004 vehicles"/>
    <m/>
    <s v="BBB"/>
    <n v="1.0454600000000001"/>
    <n v="35.754732000000004"/>
    <n v="2417.7349778400003"/>
    <n v="0"/>
    <n v="128.71703520000003"/>
    <n v="2417.7349778400003"/>
    <n v="2546.4520130400001"/>
    <x v="5"/>
    <x v="0"/>
  </r>
  <r>
    <s v="Telecommunication and Ancillary Facilities (QLD)"/>
    <s v="Electricity"/>
    <s v="Diesel Oil"/>
    <s v="Non-transport (Genset)"/>
    <s v="KL"/>
    <s v="BBB"/>
    <n v="123.66688665848372"/>
    <n v="4773.5418250174716"/>
    <n v="335102.63611622649"/>
    <n v="0"/>
    <n v="17184.750570062897"/>
    <n v="335102.63611622649"/>
    <n v="352287.38668628939"/>
    <x v="4"/>
    <x v="0"/>
  </r>
  <r>
    <s v="Telecommunication and Ancillary Facilities (QLD)"/>
    <s v="Electricity"/>
    <s v="Gasoline"/>
    <s v="Non-transport (Genset)"/>
    <s v="KL"/>
    <s v="BBB"/>
    <n v="0"/>
    <n v="0"/>
    <n v="0"/>
    <n v="0"/>
    <n v="0"/>
    <n v="0"/>
    <n v="0"/>
    <x v="4"/>
    <x v="0"/>
  </r>
  <r>
    <s v="Telecommunication and Ancillary Facilities (QLD)"/>
    <s v="Electricity"/>
    <s v="Liquified petroleum gas"/>
    <s v="Non-transport (Genset)"/>
    <s v="KL"/>
    <s v="BBB"/>
    <n v="0"/>
    <n v="0"/>
    <n v="0"/>
    <n v="0"/>
    <n v="0"/>
    <n v="0"/>
    <n v="0"/>
    <x v="4"/>
    <x v="0"/>
  </r>
  <r>
    <s v="Telecommunication and Ancillary Facilities (QLD)"/>
    <s v="Energy Commodities"/>
    <s v="Electricity"/>
    <s v="Energy Commodity"/>
    <s v="kWh"/>
    <s v="N/A"/>
    <n v="243122782.49992952"/>
    <n v="875242.01699974609"/>
    <n v="0"/>
    <n v="196929453.82494289"/>
    <n v="29272720.40951154"/>
    <n v="196929453.82494289"/>
    <n v="226202174.23445442"/>
    <x v="4"/>
    <x v="1"/>
  </r>
  <r>
    <s v="Telecommunication and Ancillary Facilities (QLD)"/>
    <s v="Energy Commodities"/>
    <s v="Solar energy for electricity generation"/>
    <s v="Energy Commodity"/>
    <s v="kWh"/>
    <s v="BBB"/>
    <n v="2851749.3266666858"/>
    <n v="10266.297576000068"/>
    <n v="0"/>
    <n v="0"/>
    <n v="0"/>
    <n v="0"/>
    <n v="0"/>
    <x v="4"/>
    <x v="1"/>
  </r>
  <r>
    <s v="Telecommunication and Ancillary Facilities (QLD)"/>
    <s v="Other Stationary"/>
    <s v="Diesel Oil"/>
    <s v="Non-transport"/>
    <s v="KL"/>
    <s v="A"/>
    <n v="65.845309999999998"/>
    <n v="2541.6289660000002"/>
    <n v="176897.37603360001"/>
    <n v="0"/>
    <n v="9149.8642776000015"/>
    <n v="176897.37603360001"/>
    <n v="186047.2403112"/>
    <x v="4"/>
    <x v="0"/>
  </r>
  <r>
    <s v="Telecommunication and Ancillary Facilities (QLD)"/>
    <s v="Other Stationary"/>
    <s v="Diesel Oil"/>
    <s v="Non-transport"/>
    <m/>
    <s v="BBB"/>
    <n v="120.5669098"/>
    <n v="4653.8827182800005"/>
    <n v="324360.90554325597"/>
    <n v="0"/>
    <n v="16753.977785808001"/>
    <n v="324360.90554325597"/>
    <n v="341114.88332906394"/>
    <x v="4"/>
    <x v="0"/>
  </r>
  <r>
    <s v="Telecommunication and Ancillary Facilities (QLD)"/>
    <s v="Other Stationary"/>
    <s v="Ethanol"/>
    <s v="Non-transport"/>
    <s v="KL"/>
    <s v="BBB"/>
    <n v="0"/>
    <n v="0"/>
    <n v="0"/>
    <n v="0"/>
    <n v="0"/>
    <n v="0"/>
    <n v="0"/>
    <x v="4"/>
    <x v="0"/>
  </r>
  <r>
    <s v="Telecommunication and Ancillary Facilities (QLD)"/>
    <s v="Other Stationary"/>
    <s v="Gasoline"/>
    <s v="Non-transport"/>
    <s v="KL"/>
    <s v="A"/>
    <n v="2.1030200000000003"/>
    <n v="71.92328400000001"/>
    <n v="5005.8605664000006"/>
    <n v="0"/>
    <n v="258.92382240000006"/>
    <n v="5005.8605664000006"/>
    <n v="5264.7843888000007"/>
    <x v="4"/>
    <x v="0"/>
  </r>
  <r>
    <s v="Telecommunication and Ancillary Facilities (QLD)"/>
    <s v="Other Stationary"/>
    <s v="Gasoline"/>
    <s v="Non-transport"/>
    <m/>
    <s v="BBB"/>
    <n v="32.789371720474897"/>
    <n v="1121.3965128402415"/>
    <n v="76065.464970568384"/>
    <n v="0"/>
    <n v="4037.0274462248699"/>
    <n v="76065.464970568384"/>
    <n v="80102.492416793248"/>
    <x v="4"/>
    <x v="0"/>
  </r>
  <r>
    <s v="Telecommunication and Ancillary Facilities (QLD)"/>
    <s v="Other Stationary"/>
    <s v="Liquified petroleum gas"/>
    <s v="Non-transport"/>
    <s v="KL"/>
    <s v="BBB"/>
    <n v="0"/>
    <n v="0"/>
    <n v="0"/>
    <n v="0"/>
    <n v="0"/>
    <n v="0"/>
    <n v="0"/>
    <x v="4"/>
    <x v="0"/>
  </r>
  <r>
    <s v="Telecommunication and Ancillary Facilities (QLD)"/>
    <s v="Transport"/>
    <s v="Diesel Oil"/>
    <s v="Transport"/>
    <s v="KL"/>
    <s v="A"/>
    <n v="0.36635590000000001"/>
    <n v="14.141337740000001"/>
    <n v="995.55017689600015"/>
    <n v="0"/>
    <n v="50.908815864000005"/>
    <n v="995.55017689600015"/>
    <n v="1046.4589927600002"/>
    <x v="5"/>
    <x v="0"/>
  </r>
  <r>
    <s v="Telecommunication and Ancillary Facilities (QLD)"/>
    <s v="Transport"/>
    <s v="Diesel Oil"/>
    <s v="Transport - Post 2004 vehicles"/>
    <s v="KL"/>
    <s v="A"/>
    <n v="1782.0954999999999"/>
    <n v="68788.886299999998"/>
    <n v="4843425.484383001"/>
    <n v="0"/>
    <n v="247639.99067999999"/>
    <n v="4843425.484383001"/>
    <n v="5091065.4750630008"/>
    <x v="5"/>
    <x v="0"/>
  </r>
  <r>
    <s v="Telecommunication and Ancillary Facilities (QLD)"/>
    <s v="Transport"/>
    <s v="Diesel Oil"/>
    <s v="Transport - Post 2004 vehicles"/>
    <m/>
    <s v="BBB"/>
    <n v="0.34904000000000002"/>
    <n v="13.472944000000002"/>
    <n v="949.97728144000018"/>
    <n v="0"/>
    <n v="48.502598400000011"/>
    <n v="949.97728144000018"/>
    <n v="998.47987984000019"/>
    <x v="5"/>
    <x v="0"/>
  </r>
  <r>
    <s v="Telecommunication and Ancillary Facilities (QLD)"/>
    <s v="Transport"/>
    <s v="Ethanol"/>
    <s v="Transport - Post 2004 vehicles"/>
    <s v="KL"/>
    <s v="A"/>
    <n v="1.856193"/>
    <n v="43.434916199999996"/>
    <n v="17.37396648"/>
    <n v="0"/>
    <n v="0"/>
    <n v="17.37396648"/>
    <n v="17.37396648"/>
    <x v="5"/>
    <x v="0"/>
  </r>
  <r>
    <s v="Telecommunication and Ancillary Facilities (QLD)"/>
    <s v="Transport"/>
    <s v="Gasoline"/>
    <s v="Transport - Post 2004 vehicles"/>
    <s v="KL"/>
    <s v="A"/>
    <n v="99.741937000000007"/>
    <n v="3411.1742454000005"/>
    <n v="230663.60247394803"/>
    <n v="0"/>
    <n v="12280.227283440003"/>
    <n v="230663.60247394803"/>
    <n v="242943.82975738804"/>
    <x v="5"/>
    <x v="0"/>
  </r>
  <r>
    <s v="Telecommunication and Ancillary Facilities (QLD)"/>
    <s v="Transport"/>
    <s v="Gasoline"/>
    <s v="Transport - Post 2004 vehicles"/>
    <m/>
    <s v="BBB"/>
    <n v="8.4273975181472274"/>
    <n v="288.2169951206352"/>
    <n v="19489.233210057355"/>
    <n v="0"/>
    <n v="1037.5811824342868"/>
    <n v="19489.233210057355"/>
    <n v="20526.81439249164"/>
    <x v="5"/>
    <x v="0"/>
  </r>
  <r>
    <s v="Telecommunication and Ancillary Facilities (QLD)"/>
    <s v="Transport"/>
    <s v="Liquified petroleum gas"/>
    <s v="Transport - Post 2004 vehicles"/>
    <s v="KL"/>
    <s v="A"/>
    <n v="0"/>
    <n v="0"/>
    <n v="0"/>
    <n v="0"/>
    <n v="0"/>
    <n v="0"/>
    <n v="0"/>
    <x v="5"/>
    <x v="0"/>
  </r>
  <r>
    <s v="Telecommunication and Ancillary Facilities (SA)"/>
    <s v="Electricity"/>
    <s v="Diesel Oil"/>
    <s v="Non-transport (Genset)"/>
    <s v="KL"/>
    <s v="BBB"/>
    <n v="37.967194291182167"/>
    <n v="1465.5336996396318"/>
    <n v="102880.46571470215"/>
    <n v="0"/>
    <n v="5275.9213187026744"/>
    <n v="102880.46571470215"/>
    <n v="108156.38703340483"/>
    <x v="4"/>
    <x v="0"/>
  </r>
  <r>
    <s v="Telecommunication and Ancillary Facilities (SA)"/>
    <s v="Electricity"/>
    <s v="Gasoline"/>
    <s v="Non-transport (Genset)"/>
    <s v="KL"/>
    <s v="BBB"/>
    <n v="0"/>
    <n v="0"/>
    <n v="0"/>
    <n v="0"/>
    <n v="0"/>
    <n v="0"/>
    <n v="0"/>
    <x v="4"/>
    <x v="0"/>
  </r>
  <r>
    <s v="Telecommunication and Ancillary Facilities (SA)"/>
    <s v="Electricity"/>
    <s v="Liquified petroleum gas"/>
    <s v="Non-transport (Genset)"/>
    <s v="KL"/>
    <s v="BBB"/>
    <n v="0"/>
    <n v="0"/>
    <n v="0"/>
    <n v="0"/>
    <n v="0"/>
    <n v="0"/>
    <n v="0"/>
    <x v="4"/>
    <x v="0"/>
  </r>
  <r>
    <s v="Telecommunication and Ancillary Facilities (SA)"/>
    <s v="Energy Commodities"/>
    <s v="Electricity"/>
    <s v="Energy Commodity"/>
    <s v="kWh"/>
    <s v="N/A"/>
    <n v="86790304.752420142"/>
    <n v="312445.09710871248"/>
    <n v="0"/>
    <n v="37319831.043540657"/>
    <n v="7818212.4509990923"/>
    <n v="37319831.043540657"/>
    <n v="45138043.494539753"/>
    <x v="4"/>
    <x v="1"/>
  </r>
  <r>
    <s v="Telecommunication and Ancillary Facilities (SA)"/>
    <s v="Energy Commodities"/>
    <s v="Solar energy for electricity generation"/>
    <s v="Energy Commodity"/>
    <s v="kWh"/>
    <s v="BBB"/>
    <n v="667433.51999999851"/>
    <n v="2402.7606719999944"/>
    <n v="0"/>
    <n v="0"/>
    <n v="0"/>
    <n v="0"/>
    <n v="0"/>
    <x v="4"/>
    <x v="1"/>
  </r>
  <r>
    <s v="Telecommunication and Ancillary Facilities (SA)"/>
    <s v="Other Stationary"/>
    <s v="Diesel Oil"/>
    <s v="Non-transport"/>
    <s v="KL"/>
    <s v="A"/>
    <n v="2.8001900000000002"/>
    <n v="108.08733400000001"/>
    <n v="7522.8784464"/>
    <n v="0"/>
    <n v="389.11440240000007"/>
    <n v="7522.8784464"/>
    <n v="7911.9928488000005"/>
    <x v="4"/>
    <x v="0"/>
  </r>
  <r>
    <s v="Telecommunication and Ancillary Facilities (SA)"/>
    <s v="Other Stationary"/>
    <s v="Diesel Oil"/>
    <s v="Non-transport"/>
    <m/>
    <s v="BBB"/>
    <n v="22.2844297"/>
    <n v="860.17898642"/>
    <n v="60099.905286684007"/>
    <n v="0"/>
    <n v="3096.6443511120005"/>
    <n v="60099.905286684007"/>
    <n v="63196.549637796008"/>
    <x v="4"/>
    <x v="0"/>
  </r>
  <r>
    <s v="Telecommunication and Ancillary Facilities (SA)"/>
    <s v="Other Stationary"/>
    <s v="Gasoline"/>
    <s v="Non-transport"/>
    <s v="KL"/>
    <s v="BBB"/>
    <n v="12.8079298"/>
    <n v="438.03119916000009"/>
    <n v="29719.076343048011"/>
    <n v="0"/>
    <n v="1576.9123169760003"/>
    <n v="29719.076343048011"/>
    <n v="31295.98866002401"/>
    <x v="4"/>
    <x v="0"/>
  </r>
  <r>
    <s v="Telecommunication and Ancillary Facilities (SA)"/>
    <s v="Other Stationary"/>
    <s v="Liquified petroleum gas"/>
    <s v="Non-transport"/>
    <s v="KL"/>
    <s v="BBB"/>
    <n v="0"/>
    <n v="0"/>
    <n v="0"/>
    <n v="0"/>
    <n v="0"/>
    <n v="0"/>
    <n v="0"/>
    <x v="4"/>
    <x v="0"/>
  </r>
  <r>
    <s v="Telecommunication and Ancillary Facilities (SA)"/>
    <s v="Other Stationary"/>
    <s v="Natural gas distributed in pipeline"/>
    <s v="Non-transport"/>
    <s v="MJ"/>
    <s v="A"/>
    <n v="0"/>
    <n v="0"/>
    <n v="0"/>
    <n v="0"/>
    <n v="0"/>
    <n v="0"/>
    <n v="0"/>
    <x v="4"/>
    <x v="0"/>
  </r>
  <r>
    <s v="Telecommunication and Ancillary Facilities (SA)"/>
    <s v="Other Stationary"/>
    <s v="Natural gas distributed in pipeline"/>
    <s v="Non-transport"/>
    <m/>
    <s v="BBB"/>
    <n v="0"/>
    <n v="0"/>
    <n v="0"/>
    <n v="0"/>
    <n v="0"/>
    <n v="0"/>
    <n v="0"/>
    <x v="4"/>
    <x v="0"/>
  </r>
  <r>
    <s v="Telecommunication and Ancillary Facilities (SA)"/>
    <s v="Transport"/>
    <s v="Diesel Oil"/>
    <s v="Transport"/>
    <s v="KL"/>
    <s v="A"/>
    <n v="1.8733007000000002"/>
    <n v="72.309407020000009"/>
    <n v="5090.5822542080014"/>
    <n v="0"/>
    <n v="260.31386527200004"/>
    <n v="5090.5822542080014"/>
    <n v="5350.8961194800013"/>
    <x v="5"/>
    <x v="0"/>
  </r>
  <r>
    <s v="Telecommunication and Ancillary Facilities (SA)"/>
    <s v="Transport"/>
    <s v="Diesel Oil"/>
    <s v="Transport - Post 2004 vehicles"/>
    <s v="KL"/>
    <s v="A"/>
    <n v="628.02482000000009"/>
    <n v="24241.758052000005"/>
    <n v="1706862.1844413206"/>
    <n v="0"/>
    <n v="87270.328987200017"/>
    <n v="1706862.1844413206"/>
    <n v="1794132.5134285206"/>
    <x v="5"/>
    <x v="0"/>
  </r>
  <r>
    <s v="Telecommunication and Ancillary Facilities (SA)"/>
    <s v="Transport"/>
    <s v="Diesel Oil"/>
    <s v="Transport - Post 2004 vehicles"/>
    <m/>
    <s v="BBB"/>
    <n v="0.314222"/>
    <n v="12.1289692"/>
    <n v="855.21361829200009"/>
    <n v="0"/>
    <n v="43.664289119999999"/>
    <n v="855.21361829200009"/>
    <n v="898.87790741200013"/>
    <x v="5"/>
    <x v="0"/>
  </r>
  <r>
    <s v="Telecommunication and Ancillary Facilities (SA)"/>
    <s v="Transport"/>
    <s v="Ethanol"/>
    <s v="Transport - Post 2004 vehicles"/>
    <s v="KL"/>
    <s v="A"/>
    <n v="0"/>
    <n v="0"/>
    <n v="0"/>
    <n v="0"/>
    <n v="0"/>
    <n v="0"/>
    <n v="0"/>
    <x v="5"/>
    <x v="0"/>
  </r>
  <r>
    <s v="Telecommunication and Ancillary Facilities (SA)"/>
    <s v="Transport"/>
    <s v="Gasoline"/>
    <s v="Transport - Post 2004 vehicles"/>
    <s v="KL"/>
    <s v="A"/>
    <n v="49.040910000000004"/>
    <n v="1677.1991220000002"/>
    <n v="113412.20462964002"/>
    <n v="0"/>
    <n v="6037.916839200001"/>
    <n v="113412.20462964002"/>
    <n v="119450.12146884002"/>
    <x v="5"/>
    <x v="0"/>
  </r>
  <r>
    <s v="Telecommunication and Ancillary Facilities (SA)"/>
    <s v="Transport"/>
    <s v="Gasoline"/>
    <s v="Transport - Post 2004 vehicles"/>
    <m/>
    <s v="BBB"/>
    <n v="1.8659700000000004"/>
    <n v="63.816174000000018"/>
    <n v="4315.2496858800014"/>
    <n v="0"/>
    <n v="229.73822640000006"/>
    <n v="4315.2496858800014"/>
    <n v="4544.9879122800012"/>
    <x v="5"/>
    <x v="0"/>
  </r>
  <r>
    <s v="Telecommunication and Ancillary Facilities (SA)"/>
    <s v="Transport"/>
    <s v="Liquified petroleum gas"/>
    <s v="Transport - Post 2004 vehicles"/>
    <s v="KL"/>
    <s v="A"/>
    <n v="0"/>
    <n v="0"/>
    <n v="0"/>
    <n v="0"/>
    <n v="0"/>
    <n v="0"/>
    <n v="0"/>
    <x v="5"/>
    <x v="0"/>
  </r>
  <r>
    <s v="Telecommunication and Ancillary Facilities (TAS)"/>
    <s v="Electricity"/>
    <s v="Diesel Oil"/>
    <s v="Non-transport (Genset)"/>
    <s v="KL"/>
    <s v="BBB"/>
    <n v="20.250371753101401"/>
    <n v="781.66434966971406"/>
    <n v="54872.837346813933"/>
    <n v="0"/>
    <n v="2813.9916588109709"/>
    <n v="54872.837346813933"/>
    <n v="57686.829005624902"/>
    <x v="4"/>
    <x v="0"/>
  </r>
  <r>
    <s v="Telecommunication and Ancillary Facilities (TAS)"/>
    <s v="Electricity"/>
    <s v="Gasoline"/>
    <s v="Non-transport (Genset)"/>
    <s v="KL"/>
    <s v="BBB"/>
    <n v="0"/>
    <n v="0"/>
    <n v="0"/>
    <n v="0"/>
    <n v="0"/>
    <n v="0"/>
    <n v="0"/>
    <x v="4"/>
    <x v="0"/>
  </r>
  <r>
    <s v="Telecommunication and Ancillary Facilities (TAS)"/>
    <s v="Electricity"/>
    <s v="Liquified petroleum gas"/>
    <s v="Non-transport (Genset)"/>
    <s v="KL"/>
    <s v="BBB"/>
    <n v="0"/>
    <n v="0"/>
    <n v="0"/>
    <n v="0"/>
    <n v="0"/>
    <n v="0"/>
    <n v="0"/>
    <x v="4"/>
    <x v="0"/>
  </r>
  <r>
    <s v="Telecommunication and Ancillary Facilities (TAS)"/>
    <s v="Energy Commodities"/>
    <s v="Electricity"/>
    <s v="Energy Commodity"/>
    <s v="kWh"/>
    <s v="N/A"/>
    <n v="23325996.513430715"/>
    <n v="83973.587448350576"/>
    <n v="0"/>
    <n v="3965419.4072832218"/>
    <n v="466519.93026861432"/>
    <n v="3965419.4072832218"/>
    <n v="4431939.3375518359"/>
    <x v="4"/>
    <x v="1"/>
  </r>
  <r>
    <s v="Telecommunication and Ancillary Facilities (TAS)"/>
    <s v="Energy Commodities"/>
    <s v="Solar energy for electricity generation"/>
    <s v="Energy Commodity"/>
    <s v="kWh"/>
    <s v="BBB"/>
    <n v="17561.69999999999"/>
    <n v="63.222119999999961"/>
    <n v="0"/>
    <n v="0"/>
    <n v="0"/>
    <n v="0"/>
    <n v="0"/>
    <x v="4"/>
    <x v="1"/>
  </r>
  <r>
    <s v="Telecommunication and Ancillary Facilities (TAS)"/>
    <s v="Other Stationary"/>
    <s v="Diesel Oil"/>
    <s v="Non-transport"/>
    <s v="KL"/>
    <s v="A"/>
    <n v="2.6652499999999999"/>
    <n v="102.87864999999999"/>
    <n v="7160.3540399999993"/>
    <n v="0"/>
    <n v="370.36313999999999"/>
    <n v="7160.3540399999993"/>
    <n v="7530.7171799999996"/>
    <x v="4"/>
    <x v="0"/>
  </r>
  <r>
    <s v="Telecommunication and Ancillary Facilities (TAS)"/>
    <s v="Other Stationary"/>
    <s v="Diesel Oil"/>
    <s v="Non-transport"/>
    <m/>
    <s v="BBB"/>
    <n v="18.874532500000001"/>
    <n v="728.55695450000007"/>
    <n v="50711.583045899999"/>
    <n v="0"/>
    <n v="2622.8050362000004"/>
    <n v="50711.583045899999"/>
    <n v="53334.388082099998"/>
    <x v="4"/>
    <x v="0"/>
  </r>
  <r>
    <s v="Telecommunication and Ancillary Facilities (TAS)"/>
    <s v="Other Stationary"/>
    <s v="Gasoline"/>
    <s v="Non-transport"/>
    <s v="KL"/>
    <s v="A"/>
    <n v="5.8773400000000003E-2"/>
    <n v="2.0100502800000002"/>
    <n v="139.899499488"/>
    <n v="0"/>
    <n v="7.2361810080000009"/>
    <n v="139.899499488"/>
    <n v="147.13568049599999"/>
    <x v="4"/>
    <x v="0"/>
  </r>
  <r>
    <s v="Telecommunication and Ancillary Facilities (TAS)"/>
    <s v="Other Stationary"/>
    <s v="Gasoline"/>
    <s v="Non-transport"/>
    <m/>
    <s v="BBB"/>
    <n v="2.3264080169597152"/>
    <n v="79.563154180022281"/>
    <n v="5420.6679734055106"/>
    <n v="0"/>
    <n v="286.42735504808019"/>
    <n v="5420.6679734055106"/>
    <n v="5707.0953284535908"/>
    <x v="4"/>
    <x v="0"/>
  </r>
  <r>
    <s v="Telecommunication and Ancillary Facilities (TAS)"/>
    <s v="Other Stationary"/>
    <s v="Liquified petroleum gas"/>
    <s v="Non-transport"/>
    <s v="KL"/>
    <s v="BBB"/>
    <n v="0"/>
    <n v="0"/>
    <n v="0"/>
    <n v="0"/>
    <n v="0"/>
    <n v="0"/>
    <n v="0"/>
    <x v="4"/>
    <x v="0"/>
  </r>
  <r>
    <s v="Telecommunication and Ancillary Facilities (TAS)"/>
    <s v="Transport"/>
    <s v="Diesel Oil"/>
    <s v="Transport"/>
    <s v="KL"/>
    <s v="A"/>
    <n v="6.7170000000000007E-2"/>
    <n v="2.5927620000000005"/>
    <n v="182.53044480000005"/>
    <n v="0"/>
    <n v="9.333943200000002"/>
    <n v="182.53044480000005"/>
    <n v="191.86438800000005"/>
    <x v="5"/>
    <x v="0"/>
  </r>
  <r>
    <s v="Telecommunication and Ancillary Facilities (TAS)"/>
    <s v="Transport"/>
    <s v="Diesel Oil"/>
    <s v="Transport - Post 2004 vehicles"/>
    <s v="KL"/>
    <s v="A"/>
    <n v="320.18827000000005"/>
    <n v="12359.267222000002"/>
    <n v="870216.00510102033"/>
    <n v="0"/>
    <n v="44493.361999200009"/>
    <n v="870216.00510102033"/>
    <n v="914709.36710022029"/>
    <x v="5"/>
    <x v="0"/>
  </r>
  <r>
    <s v="Telecommunication and Ancillary Facilities (TAS)"/>
    <s v="Transport"/>
    <s v="Diesel Oil"/>
    <s v="Transport - Post 2004 vehicles"/>
    <m/>
    <s v="BBB"/>
    <n v="0.55135999999999996"/>
    <n v="21.282495999999998"/>
    <n v="1500.6287929600001"/>
    <n v="0"/>
    <n v="76.616985599999992"/>
    <n v="1500.6287929600001"/>
    <n v="1577.24577856"/>
    <x v="5"/>
    <x v="0"/>
  </r>
  <r>
    <s v="Telecommunication and Ancillary Facilities (TAS)"/>
    <s v="Transport"/>
    <s v="Ethanol"/>
    <s v="Transport - Post 2004 vehicles"/>
    <s v="KL"/>
    <s v="A"/>
    <n v="0"/>
    <n v="0"/>
    <n v="0"/>
    <n v="0"/>
    <n v="0"/>
    <n v="0"/>
    <n v="0"/>
    <x v="5"/>
    <x v="0"/>
  </r>
  <r>
    <s v="Telecommunication and Ancillary Facilities (TAS)"/>
    <s v="Transport"/>
    <s v="Gasoline"/>
    <s v="Transport - Post 2004 vehicles"/>
    <s v="KL"/>
    <s v="A"/>
    <n v="22.046290000000003"/>
    <n v="753.9831180000001"/>
    <n v="50984.338439160012"/>
    <n v="0"/>
    <n v="2714.3392248000005"/>
    <n v="50984.338439160012"/>
    <n v="53698.677663960014"/>
    <x v="5"/>
    <x v="0"/>
  </r>
  <r>
    <s v="Telecommunication and Ancillary Facilities (TAS)"/>
    <s v="Transport"/>
    <s v="Gasoline"/>
    <s v="Transport - Post 2004 vehicles"/>
    <m/>
    <s v="BBB"/>
    <n v="3.6508249999999993"/>
    <n v="124.85821499999999"/>
    <n v="8442.9124983000002"/>
    <n v="0"/>
    <n v="449.48957399999995"/>
    <n v="8442.9124983000002"/>
    <n v="8892.4020722999994"/>
    <x v="5"/>
    <x v="0"/>
  </r>
  <r>
    <s v="Telecommunication and Ancillary Facilities (VIC)"/>
    <s v="Electricity"/>
    <s v="Diesel Oil"/>
    <s v="Non-transport (Genset)"/>
    <s v="KL"/>
    <s v="BBB"/>
    <n v="253.1294340335063"/>
    <n v="9770.7961536933435"/>
    <n v="685909.88998927269"/>
    <n v="0"/>
    <n v="35174.86615329604"/>
    <n v="685909.88998927269"/>
    <n v="721084.75614256877"/>
    <x v="4"/>
    <x v="0"/>
  </r>
  <r>
    <s v="Telecommunication and Ancillary Facilities (VIC)"/>
    <s v="Electricity"/>
    <s v="Gasoline"/>
    <s v="Non-transport (Genset)"/>
    <s v="KL"/>
    <s v="BBB"/>
    <n v="0"/>
    <n v="0"/>
    <n v="0"/>
    <n v="0"/>
    <n v="0"/>
    <n v="0"/>
    <n v="0"/>
    <x v="4"/>
    <x v="0"/>
  </r>
  <r>
    <s v="Telecommunication and Ancillary Facilities (VIC)"/>
    <s v="Electricity"/>
    <s v="Liquified petroleum gas"/>
    <s v="Non-transport (Genset)"/>
    <s v="KL"/>
    <s v="BBB"/>
    <n v="0"/>
    <n v="0"/>
    <n v="0"/>
    <n v="0"/>
    <n v="0"/>
    <n v="0"/>
    <n v="0"/>
    <x v="4"/>
    <x v="0"/>
  </r>
  <r>
    <s v="Telecommunication and Ancillary Facilities (VIC)"/>
    <s v="Energy Commodities"/>
    <s v="Electricity"/>
    <s v="Energy Commodity"/>
    <s v="kWh"/>
    <s v="BBB"/>
    <n v="0"/>
    <n v="0"/>
    <n v="0"/>
    <n v="0"/>
    <n v="0"/>
    <n v="0"/>
    <n v="0"/>
    <x v="4"/>
    <x v="1"/>
  </r>
  <r>
    <s v="Telecommunication and Ancillary Facilities (VIC)"/>
    <s v="Energy Commodities"/>
    <s v="Electricity"/>
    <s v="Energy Commodity"/>
    <m/>
    <s v="N/A"/>
    <n v="283693742.53981239"/>
    <n v="1021297.4731433245"/>
    <n v="0"/>
    <n v="278019867.68901616"/>
    <n v="31219038.119029578"/>
    <n v="278019867.68901616"/>
    <n v="309238905.80804574"/>
    <x v="4"/>
    <x v="1"/>
  </r>
  <r>
    <s v="Telecommunication and Ancillary Facilities (VIC)"/>
    <s v="Energy Commodities"/>
    <s v="Solar energy for electricity generation"/>
    <s v="Energy Commodity"/>
    <s v="kWh"/>
    <s v="BBB"/>
    <n v="980290.9625599999"/>
    <n v="3529.0474652159996"/>
    <n v="0"/>
    <n v="0"/>
    <n v="0"/>
    <n v="0"/>
    <n v="0"/>
    <x v="4"/>
    <x v="1"/>
  </r>
  <r>
    <s v="Telecommunication and Ancillary Facilities (VIC)"/>
    <s v="Other Stationary"/>
    <s v="Diesel Oil"/>
    <s v="Non-transport"/>
    <s v="KL"/>
    <s v="A"/>
    <n v="0"/>
    <n v="0"/>
    <n v="0"/>
    <n v="0"/>
    <n v="0"/>
    <n v="0"/>
    <n v="0"/>
    <x v="4"/>
    <x v="0"/>
  </r>
  <r>
    <s v="Telecommunication and Ancillary Facilities (VIC)"/>
    <s v="Other Stationary"/>
    <s v="Diesel Oil"/>
    <s v="Non-transport"/>
    <m/>
    <s v="BBB"/>
    <n v="256.56938980000001"/>
    <n v="9903.5784462800002"/>
    <n v="690069.65352885588"/>
    <n v="0"/>
    <n v="35652.882406607998"/>
    <n v="690069.65352885588"/>
    <n v="725722.53593546385"/>
    <x v="4"/>
    <x v="0"/>
  </r>
  <r>
    <s v="Telecommunication and Ancillary Facilities (VIC)"/>
    <s v="Other Stationary"/>
    <s v="Ethanol"/>
    <s v="Non-transport"/>
    <s v="KL"/>
    <s v="BBB"/>
    <n v="0"/>
    <n v="0"/>
    <n v="0"/>
    <n v="0"/>
    <n v="0"/>
    <n v="0"/>
    <n v="0"/>
    <x v="4"/>
    <x v="0"/>
  </r>
  <r>
    <s v="Telecommunication and Ancillary Facilities (VIC)"/>
    <s v="Other Stationary"/>
    <s v="Gasoline"/>
    <s v="Non-transport"/>
    <s v="KL"/>
    <s v="A"/>
    <n v="0.100231"/>
    <n v="3.4279002000000003"/>
    <n v="238.58185392000001"/>
    <n v="0"/>
    <n v="12.340440720000002"/>
    <n v="238.58185392000001"/>
    <n v="250.92229464000002"/>
    <x v="4"/>
    <x v="0"/>
  </r>
  <r>
    <s v="Telecommunication and Ancillary Facilities (VIC)"/>
    <s v="Other Stationary"/>
    <s v="Gasoline"/>
    <s v="Non-transport"/>
    <m/>
    <s v="BBB"/>
    <n v="45.20119044664078"/>
    <n v="1545.8807132751149"/>
    <n v="105019.7701200528"/>
    <n v="0"/>
    <n v="5565.1705677904138"/>
    <n v="105019.7701200528"/>
    <n v="110584.94068784321"/>
    <x v="4"/>
    <x v="0"/>
  </r>
  <r>
    <s v="Telecommunication and Ancillary Facilities (VIC)"/>
    <s v="Other Stationary"/>
    <s v="Liquified petroleum gas"/>
    <s v="Non-transport"/>
    <s v="KL"/>
    <s v="BBB"/>
    <n v="0"/>
    <n v="0"/>
    <n v="0"/>
    <n v="0"/>
    <n v="0"/>
    <n v="0"/>
    <n v="0"/>
    <x v="4"/>
    <x v="0"/>
  </r>
  <r>
    <s v="Telecommunication and Ancillary Facilities (VIC)"/>
    <s v="Other Stationary"/>
    <s v="Natural gas distributed in pipeline"/>
    <s v="Non-transport"/>
    <s v="MJ"/>
    <s v="A"/>
    <n v="3409196.9224999994"/>
    <n v="3409.1969224999993"/>
    <n v="175675.91741642496"/>
    <n v="0"/>
    <n v="13295.867997749998"/>
    <n v="175675.91741642496"/>
    <n v="188971.78541417496"/>
    <x v="4"/>
    <x v="0"/>
  </r>
  <r>
    <s v="Telecommunication and Ancillary Facilities (VIC)"/>
    <s v="Other Stationary"/>
    <s v="Natural gas distributed in pipeline"/>
    <s v="Non-transport"/>
    <m/>
    <s v="BBB"/>
    <n v="1332450.0844000003"/>
    <n v="1332.4500844000004"/>
    <n v="68661.15284913202"/>
    <n v="0"/>
    <n v="5196.5553291600017"/>
    <n v="68661.15284913202"/>
    <n v="73857.708178292029"/>
    <x v="4"/>
    <x v="0"/>
  </r>
  <r>
    <s v="Telecommunication and Ancillary Facilities (VIC)"/>
    <s v="Transport"/>
    <s v="Diesel Oil"/>
    <s v="Transport"/>
    <s v="KL"/>
    <s v="A"/>
    <n v="3.2911149999999996"/>
    <n v="127.03703899999999"/>
    <n v="8943.407545600001"/>
    <n v="0"/>
    <n v="457.3333404"/>
    <n v="8943.407545600001"/>
    <n v="9400.7408860000014"/>
    <x v="5"/>
    <x v="0"/>
  </r>
  <r>
    <s v="Telecommunication and Ancillary Facilities (VIC)"/>
    <s v="Transport"/>
    <s v="Diesel Oil"/>
    <s v="Transport - Post 2004 vehicles"/>
    <s v="KL"/>
    <s v="A"/>
    <n v="1660.22154"/>
    <n v="64084.551444000004"/>
    <n v="4512193.2671720413"/>
    <n v="0"/>
    <n v="230704.38519840001"/>
    <n v="4512193.2671720413"/>
    <n v="4742897.6523704417"/>
    <x v="5"/>
    <x v="0"/>
  </r>
  <r>
    <s v="Telecommunication and Ancillary Facilities (VIC)"/>
    <s v="Transport"/>
    <s v="Diesel Oil"/>
    <s v="Transport - Post 2004 vehicles"/>
    <m/>
    <s v="BBB"/>
    <n v="0.23023999999999997"/>
    <n v="8.8872640000000001"/>
    <n v="626.64098464000006"/>
    <n v="0"/>
    <n v="31.994150400000002"/>
    <n v="626.64098464000006"/>
    <n v="658.63513504000002"/>
    <x v="5"/>
    <x v="0"/>
  </r>
  <r>
    <s v="Telecommunication and Ancillary Facilities (VIC)"/>
    <s v="Transport"/>
    <s v="Ethanol"/>
    <s v="Transport - Post 2004 vehicles"/>
    <s v="KL"/>
    <s v="A"/>
    <n v="7.4894000000000002E-2"/>
    <n v="1.7525195999999998"/>
    <n v="0.70100783999999994"/>
    <n v="0"/>
    <n v="0"/>
    <n v="0.70100783999999994"/>
    <n v="0.70100783999999994"/>
    <x v="5"/>
    <x v="0"/>
  </r>
  <r>
    <s v="Telecommunication and Ancillary Facilities (VIC)"/>
    <s v="Transport"/>
    <s v="Gasoline"/>
    <s v="Transport"/>
    <s v="KL"/>
    <s v="A"/>
    <n v="0.245786"/>
    <n v="8.4058812000000014"/>
    <n v="585.04933152000001"/>
    <n v="0"/>
    <n v="30.261172320000007"/>
    <n v="585.04933152000001"/>
    <n v="615.31050384000002"/>
    <x v="5"/>
    <x v="0"/>
  </r>
  <r>
    <s v="Telecommunication and Ancillary Facilities (VIC)"/>
    <s v="Transport"/>
    <s v="Gasoline"/>
    <s v="Transport - Post 2004 vehicles"/>
    <s v="KL"/>
    <s v="A"/>
    <n v="214.70667599999999"/>
    <n v="7342.9683192000002"/>
    <n v="496531.51774430403"/>
    <n v="0"/>
    <n v="26434.685949120001"/>
    <n v="496531.51774430403"/>
    <n v="522966.203693424"/>
    <x v="5"/>
    <x v="0"/>
  </r>
  <r>
    <s v="Telecommunication and Ancillary Facilities (VIC)"/>
    <s v="Transport"/>
    <s v="Gasoline"/>
    <s v="Transport - Post 2004 vehicles"/>
    <m/>
    <s v="BBB"/>
    <n v="9.5476029999999987"/>
    <n v="326.52802259999999"/>
    <n v="22079.824888211999"/>
    <n v="0"/>
    <n v="1175.50088136"/>
    <n v="22079.824888211999"/>
    <n v="23255.325769571999"/>
    <x v="5"/>
    <x v="0"/>
  </r>
  <r>
    <s v="Telecommunication and Ancillary Facilities (VIC)"/>
    <s v="Transport"/>
    <s v="Liquified petroleum gas"/>
    <s v="Transport - Post 2004 vehicles"/>
    <s v="KL"/>
    <s v="A"/>
    <n v="0"/>
    <n v="0"/>
    <n v="0"/>
    <n v="0"/>
    <n v="0"/>
    <n v="0"/>
    <n v="0"/>
    <x v="5"/>
    <x v="0"/>
  </r>
  <r>
    <s v="Telecommunication and Ancillary Facilities (WA)"/>
    <s v="Electricity"/>
    <s v="Diesel Oil"/>
    <s v="Non-transport (Genset)"/>
    <s v="KL"/>
    <s v="BBB"/>
    <n v="176.37835832619746"/>
    <n v="6808.2046313912224"/>
    <n v="477935.96512366383"/>
    <n v="0"/>
    <n v="24509.536673008402"/>
    <n v="477935.96512366383"/>
    <n v="502445.50179667224"/>
    <x v="4"/>
    <x v="0"/>
  </r>
  <r>
    <s v="Telecommunication and Ancillary Facilities (WA)"/>
    <s v="Electricity"/>
    <s v="Gasoline"/>
    <s v="Non-transport (Genset)"/>
    <s v="KL"/>
    <s v="BBB"/>
    <n v="0"/>
    <n v="0"/>
    <n v="0"/>
    <n v="0"/>
    <n v="0"/>
    <n v="0"/>
    <n v="0"/>
    <x v="4"/>
    <x v="0"/>
  </r>
  <r>
    <s v="Telecommunication and Ancillary Facilities (WA)"/>
    <s v="Electricity"/>
    <s v="Liquified petroleum gas"/>
    <s v="Non-transport (Genset)"/>
    <s v="KL"/>
    <s v="BBB"/>
    <n v="0"/>
    <n v="0"/>
    <n v="0"/>
    <n v="0"/>
    <n v="0"/>
    <n v="0"/>
    <n v="0"/>
    <x v="4"/>
    <x v="0"/>
  </r>
  <r>
    <s v="Telecommunication and Ancillary Facilities (WA)"/>
    <s v="Energy Commodities"/>
    <s v="Electricity"/>
    <s v="Energy Commodity"/>
    <s v="kWh"/>
    <s v="N/A"/>
    <n v="128191261.62305762"/>
    <n v="461488.54184300744"/>
    <n v="0"/>
    <n v="87170057.903679192"/>
    <n v="2563825.2324611521"/>
    <n v="87170057.903679192"/>
    <n v="89733883.136140347"/>
    <x v="4"/>
    <x v="1"/>
  </r>
  <r>
    <s v="Telecommunication and Ancillary Facilities (WA)"/>
    <s v="Energy Commodities"/>
    <s v="Solar energy for electricity generation"/>
    <s v="Energy Commodity"/>
    <s v="kWh"/>
    <s v="BBB"/>
    <n v="3338585.8770000166"/>
    <n v="12018.90915720006"/>
    <n v="0"/>
    <n v="0"/>
    <n v="0"/>
    <n v="0"/>
    <n v="0"/>
    <x v="4"/>
    <x v="1"/>
  </r>
  <r>
    <s v="Telecommunication and Ancillary Facilities (WA)"/>
    <s v="Other Stationary"/>
    <s v="Diesel Oil"/>
    <s v="Non-transport"/>
    <s v="KL"/>
    <s v="A"/>
    <n v="13.261990000000001"/>
    <n v="511.91281400000003"/>
    <n v="35629.131854400002"/>
    <n v="0"/>
    <n v="1842.8861304000002"/>
    <n v="35629.131854400002"/>
    <n v="37472.017984800004"/>
    <x v="4"/>
    <x v="0"/>
  </r>
  <r>
    <s v="Telecommunication and Ancillary Facilities (WA)"/>
    <s v="Other Stationary"/>
    <s v="Diesel Oil"/>
    <s v="Non-transport"/>
    <m/>
    <s v="BBB"/>
    <n v="85.844300500000003"/>
    <n v="3313.5899993000003"/>
    <n v="231006.82975085999"/>
    <n v="0"/>
    <n v="11928.92399748"/>
    <n v="231006.82975085999"/>
    <n v="242935.75374834001"/>
    <x v="4"/>
    <x v="0"/>
  </r>
  <r>
    <s v="Telecommunication and Ancillary Facilities (WA)"/>
    <s v="Other Stationary"/>
    <s v="Gasoline"/>
    <s v="Non-transport"/>
    <s v="KL"/>
    <s v="BBB"/>
    <n v="32.544944394960652"/>
    <n v="1113.0370983076543"/>
    <n v="75482.814185258976"/>
    <n v="0"/>
    <n v="4006.9335539075564"/>
    <n v="75482.814185258976"/>
    <n v="79489.747739166531"/>
    <x v="4"/>
    <x v="0"/>
  </r>
  <r>
    <s v="Telecommunication and Ancillary Facilities (WA)"/>
    <s v="Other Stationary"/>
    <s v="Liquified petroleum gas"/>
    <s v="Non-transport"/>
    <s v="KL"/>
    <s v="BBB"/>
    <n v="0"/>
    <n v="0"/>
    <n v="0"/>
    <n v="0"/>
    <n v="0"/>
    <n v="0"/>
    <n v="0"/>
    <x v="4"/>
    <x v="0"/>
  </r>
  <r>
    <s v="Telecommunication and Ancillary Facilities (WA)"/>
    <s v="Transport"/>
    <s v="Diesel Oil"/>
    <s v="Transport"/>
    <s v="KL"/>
    <s v="A"/>
    <n v="0"/>
    <n v="0"/>
    <n v="0"/>
    <n v="0"/>
    <n v="0"/>
    <n v="0"/>
    <n v="0"/>
    <x v="5"/>
    <x v="0"/>
  </r>
  <r>
    <s v="Telecommunication and Ancillary Facilities (WA)"/>
    <s v="Transport"/>
    <s v="Diesel Oil"/>
    <s v="Transport - Post 2004 vehicles"/>
    <s v="KL"/>
    <s v="A"/>
    <n v="930.21676000000002"/>
    <n v="35906.366936000006"/>
    <n v="2528167.2959637609"/>
    <n v="0"/>
    <n v="129262.92096960002"/>
    <n v="2528167.2959637609"/>
    <n v="2657430.2169333608"/>
    <x v="5"/>
    <x v="0"/>
  </r>
  <r>
    <s v="Telecommunication and Ancillary Facilities (WA)"/>
    <s v="Transport"/>
    <s v="Diesel Oil"/>
    <s v="Transport - Post 2004 vehicles"/>
    <m/>
    <s v="BBB"/>
    <n v="0.11432"/>
    <n v="4.4127520000000002"/>
    <n v="311.14314352000002"/>
    <n v="0"/>
    <n v="15.885907200000002"/>
    <n v="311.14314352000002"/>
    <n v="327.02905072000004"/>
    <x v="5"/>
    <x v="0"/>
  </r>
  <r>
    <s v="Telecommunication and Ancillary Facilities (WA)"/>
    <s v="Transport"/>
    <s v="Gasoline"/>
    <s v="Transport - Post 2004 vehicles"/>
    <s v="KL"/>
    <s v="A"/>
    <n v="50.174939999999999"/>
    <n v="1715.9829480000001"/>
    <n v="116034.76694376001"/>
    <n v="0"/>
    <n v="6177.5386128"/>
    <n v="116034.76694376001"/>
    <n v="122212.30555656001"/>
    <x v="5"/>
    <x v="0"/>
  </r>
  <r>
    <s v="Telecommunication and Ancillary Facilities (WA)"/>
    <s v="Transport"/>
    <s v="Gasoline"/>
    <s v="Transport - Post 2004 vehicles"/>
    <m/>
    <s v="BBB"/>
    <n v="2.0584378000000001"/>
    <n v="70.398572760000008"/>
    <n v="4760.3514900312011"/>
    <n v="0"/>
    <n v="253.43486193600003"/>
    <n v="4760.3514900312011"/>
    <n v="5013.786351967201"/>
    <x v="5"/>
    <x v="0"/>
  </r>
  <r>
    <s v="Telstra Office Accommodation (ACT)"/>
    <s v="Electricity"/>
    <s v="Diesel Oil"/>
    <s v="Non-transport (Genset)"/>
    <s v="KL"/>
    <s v="BBB"/>
    <n v="0.46300010000000003"/>
    <n v="17.87180386"/>
    <n v="1254.6006309720001"/>
    <n v="0"/>
    <n v="64.338493896000003"/>
    <n v="1254.6006309720001"/>
    <n v="1318.9391248680001"/>
    <x v="2"/>
    <x v="0"/>
  </r>
  <r>
    <s v="Telstra Office Accommodation (ACT)"/>
    <s v="Electricity"/>
    <s v="Liquified petroleum gas"/>
    <s v="Non-transport (Genset)"/>
    <s v="KL"/>
    <s v="BBB"/>
    <n v="0"/>
    <n v="0"/>
    <n v="0"/>
    <n v="0"/>
    <n v="0"/>
    <n v="0"/>
    <n v="0"/>
    <x v="2"/>
    <x v="0"/>
  </r>
  <r>
    <s v="Telstra Office Accommodation (ACT)"/>
    <s v="Energy Commodities"/>
    <s v="Electricity"/>
    <s v="Energy Commodity"/>
    <s v="kWh"/>
    <s v="N/A"/>
    <n v="2208961.8330999999"/>
    <n v="7952.2625991599998"/>
    <n v="0"/>
    <n v="1789259.0848110002"/>
    <n v="198806.56497899999"/>
    <n v="1789259.0848110002"/>
    <n v="1988065.6497900002"/>
    <x v="2"/>
    <x v="1"/>
  </r>
  <r>
    <s v="Telstra Office Accommodation (NSW)"/>
    <s v="Electricity"/>
    <s v="Diesel Oil"/>
    <s v="Non-transport (Genset)"/>
    <s v="KL"/>
    <s v="BBB"/>
    <n v="0.43199969999999999"/>
    <n v="16.675188420000001"/>
    <n v="1170.5982270840002"/>
    <n v="0"/>
    <n v="60.030678312000006"/>
    <n v="1170.5982270840002"/>
    <n v="1230.6289053960002"/>
    <x v="2"/>
    <x v="0"/>
  </r>
  <r>
    <s v="Telstra Office Accommodation (NSW)"/>
    <s v="Electricity"/>
    <s v="Liquified petroleum gas"/>
    <s v="Non-transport (Genset)"/>
    <s v="KL"/>
    <s v="BBB"/>
    <n v="0"/>
    <n v="0"/>
    <n v="0"/>
    <n v="0"/>
    <n v="0"/>
    <n v="0"/>
    <n v="0"/>
    <x v="2"/>
    <x v="0"/>
  </r>
  <r>
    <s v="Telstra Office Accommodation (NSW)"/>
    <s v="Energy Commodities"/>
    <s v="Electricity"/>
    <s v="Energy Commodity"/>
    <s v="kWh"/>
    <s v="N/A"/>
    <n v="4655224.6900000004"/>
    <n v="16758.808884000002"/>
    <n v="0"/>
    <n v="3770731.9989000005"/>
    <n v="418970.22210000001"/>
    <n v="3770731.9989000005"/>
    <n v="4189702.2210000004"/>
    <x v="2"/>
    <x v="1"/>
  </r>
  <r>
    <s v="Telstra Office Accommodation (NT)"/>
    <s v="Electricity"/>
    <s v="Diesel Oil"/>
    <s v="Non-transport (Genset)"/>
    <s v="KL"/>
    <s v="BBB"/>
    <n v="0"/>
    <n v="0"/>
    <n v="0"/>
    <n v="0"/>
    <n v="0"/>
    <n v="0"/>
    <n v="0"/>
    <x v="2"/>
    <x v="0"/>
  </r>
  <r>
    <s v="Telstra Office Accommodation (NT)"/>
    <s v="Electricity"/>
    <s v="Liquified petroleum gas"/>
    <s v="Non-transport (Genset)"/>
    <s v="KL"/>
    <s v="BBB"/>
    <n v="0"/>
    <n v="0"/>
    <n v="0"/>
    <n v="0"/>
    <n v="0"/>
    <n v="0"/>
    <n v="0"/>
    <x v="2"/>
    <x v="0"/>
  </r>
  <r>
    <s v="Telstra Office Accommodation (NT)"/>
    <s v="Energy Commodities"/>
    <s v="Electricity"/>
    <s v="Energy Commodity"/>
    <s v="kWh"/>
    <s v="N/A"/>
    <n v="109896.26500000001"/>
    <n v="395.62655400000006"/>
    <n v="0"/>
    <n v="68135.684300000008"/>
    <n v="7692.7385500000019"/>
    <n v="68135.684300000008"/>
    <n v="75828.422850000003"/>
    <x v="2"/>
    <x v="1"/>
  </r>
  <r>
    <s v="Telstra Office Accommodation (QLD)"/>
    <s v="Electricity"/>
    <s v="Diesel Oil"/>
    <s v="Non-transport (Genset)"/>
    <s v="KL"/>
    <s v="BBB"/>
    <n v="0.68999960000000005"/>
    <n v="26.633984560000002"/>
    <n v="1869.7057161120001"/>
    <n v="0"/>
    <n v="95.882344416000009"/>
    <n v="1869.7057161120001"/>
    <n v="1965.5880605280001"/>
    <x v="2"/>
    <x v="0"/>
  </r>
  <r>
    <s v="Telstra Office Accommodation (QLD)"/>
    <s v="Electricity"/>
    <s v="Liquified petroleum gas"/>
    <s v="Non-transport (Genset)"/>
    <s v="KL"/>
    <s v="BBB"/>
    <n v="0"/>
    <n v="0"/>
    <n v="0"/>
    <n v="0"/>
    <n v="0"/>
    <n v="0"/>
    <n v="0"/>
    <x v="2"/>
    <x v="0"/>
  </r>
  <r>
    <s v="Telstra Office Accommodation (QLD)"/>
    <s v="Energy Commodities"/>
    <s v="Electricity"/>
    <s v="Energy Commodity"/>
    <s v="kWh"/>
    <s v="N/A"/>
    <n v="3091087.2818000005"/>
    <n v="11127.914214480001"/>
    <n v="0"/>
    <n v="2503780.6982580004"/>
    <n v="370930.47381600004"/>
    <n v="2503780.6982580004"/>
    <n v="2874711.1720740004"/>
    <x v="2"/>
    <x v="1"/>
  </r>
  <r>
    <s v="Telstra Office Accommodation (SA)"/>
    <s v="Electricity"/>
    <s v="Diesel Oil"/>
    <s v="Non-transport (Genset)"/>
    <s v="KL"/>
    <s v="BBB"/>
    <n v="8.6999799999999988E-2"/>
    <n v="3.3581922799999995"/>
    <n v="235.74509805599996"/>
    <n v="0"/>
    <n v="12.089492207999998"/>
    <n v="235.74509805599996"/>
    <n v="247.83459026399996"/>
    <x v="2"/>
    <x v="0"/>
  </r>
  <r>
    <s v="Telstra Office Accommodation (SA)"/>
    <s v="Electricity"/>
    <s v="Liquified petroleum gas"/>
    <s v="Non-transport (Genset)"/>
    <s v="KL"/>
    <s v="BBB"/>
    <n v="0"/>
    <n v="0"/>
    <n v="0"/>
    <n v="0"/>
    <n v="0"/>
    <n v="0"/>
    <n v="0"/>
    <x v="2"/>
    <x v="0"/>
  </r>
  <r>
    <s v="Telstra Office Accommodation (SA)"/>
    <s v="Energy Commodities"/>
    <s v="Electricity"/>
    <s v="Energy Commodity"/>
    <s v="kWh"/>
    <s v="N/A"/>
    <n v="958428.99939999986"/>
    <n v="3450.3443978399996"/>
    <n v="0"/>
    <n v="412124.46974199993"/>
    <n v="86258.609945999982"/>
    <n v="412124.46974199993"/>
    <n v="498383.07968799991"/>
    <x v="2"/>
    <x v="1"/>
  </r>
  <r>
    <s v="Telstra Office Accommodation (TAS)"/>
    <s v="Electricity"/>
    <s v="Diesel Oil"/>
    <s v="Non-transport (Genset)"/>
    <s v="KL"/>
    <s v="BBB"/>
    <n v="0"/>
    <n v="0"/>
    <n v="0"/>
    <n v="0"/>
    <n v="0"/>
    <n v="0"/>
    <n v="0"/>
    <x v="2"/>
    <x v="0"/>
  </r>
  <r>
    <s v="Telstra Office Accommodation (TAS)"/>
    <s v="Electricity"/>
    <s v="Liquified petroleum gas"/>
    <s v="Non-transport (Genset)"/>
    <s v="KL"/>
    <s v="BBB"/>
    <n v="0"/>
    <n v="0"/>
    <n v="0"/>
    <n v="0"/>
    <n v="0"/>
    <n v="0"/>
    <n v="0"/>
    <x v="2"/>
    <x v="0"/>
  </r>
  <r>
    <s v="Telstra Office Accommodation (TAS)"/>
    <s v="Energy Commodities"/>
    <s v="Electricity"/>
    <s v="Energy Commodity"/>
    <s v="kWh"/>
    <s v="N/A"/>
    <n v="590027.58399999992"/>
    <n v="2124.0993023999995"/>
    <n v="0"/>
    <n v="100304.68927999999"/>
    <n v="11800.551679999999"/>
    <n v="100304.68927999999"/>
    <n v="112105.24096"/>
    <x v="2"/>
    <x v="1"/>
  </r>
  <r>
    <s v="Telstra Office Accommodation (VIC)"/>
    <s v="Electricity"/>
    <s v="Diesel Oil"/>
    <s v="Non-transport (Genset)"/>
    <s v="KL"/>
    <s v="BBB"/>
    <n v="0.1899999"/>
    <n v="7.33399614"/>
    <n v="514.84652902800008"/>
    <n v="0"/>
    <n v="26.402386104000001"/>
    <n v="514.84652902800008"/>
    <n v="541.24891513200009"/>
    <x v="2"/>
    <x v="0"/>
  </r>
  <r>
    <s v="Telstra Office Accommodation (VIC)"/>
    <s v="Electricity"/>
    <s v="Liquified petroleum gas"/>
    <s v="Non-transport (Genset)"/>
    <s v="KL"/>
    <s v="BBB"/>
    <n v="0"/>
    <n v="0"/>
    <n v="0"/>
    <n v="0"/>
    <n v="0"/>
    <n v="0"/>
    <n v="0"/>
    <x v="2"/>
    <x v="0"/>
  </r>
  <r>
    <s v="Telstra Office Accommodation (VIC)"/>
    <s v="Energy Commodities"/>
    <s v="Electricity"/>
    <s v="Energy Commodity"/>
    <s v="kWh"/>
    <s v="N/A"/>
    <n v="12923450.24"/>
    <n v="46524.420864"/>
    <n v="0"/>
    <n v="12664981.235199999"/>
    <n v="1421579.5264000001"/>
    <n v="12664981.235199999"/>
    <n v="14086560.761599999"/>
    <x v="2"/>
    <x v="1"/>
  </r>
  <r>
    <s v="Telstra Office Accommodation (VIC)"/>
    <s v="Other Stationary"/>
    <s v="Natural gas distributed in pipeline"/>
    <s v="Non-transport"/>
    <s v="MJ"/>
    <s v="A"/>
    <n v="6373531.4940999998"/>
    <n v="6373.5314940999997"/>
    <n v="328428.07789097301"/>
    <n v="0"/>
    <n v="24856.77282699"/>
    <n v="328428.07789097301"/>
    <n v="353284.85071796301"/>
    <x v="2"/>
    <x v="0"/>
  </r>
  <r>
    <s v="Telstra Office Accommodation (VIC)"/>
    <s v="Other Stationary"/>
    <s v="Natural gas distributed in pipeline"/>
    <s v="Non-transport"/>
    <m/>
    <s v="BBB"/>
    <n v="1587941.2077999997"/>
    <n v="1587.9412077999998"/>
    <n v="81826.610437933996"/>
    <n v="0"/>
    <n v="6192.9707104199988"/>
    <n v="81826.610437933996"/>
    <n v="88019.581148353987"/>
    <x v="2"/>
    <x v="0"/>
  </r>
  <r>
    <s v="Telstra Office Accommodation (WA)"/>
    <s v="Electricity"/>
    <s v="Diesel Oil"/>
    <s v="Non-transport (Genset)"/>
    <s v="KL"/>
    <s v="BBB"/>
    <n v="0"/>
    <n v="0"/>
    <n v="0"/>
    <n v="0"/>
    <n v="0"/>
    <n v="0"/>
    <n v="0"/>
    <x v="2"/>
    <x v="0"/>
  </r>
  <r>
    <s v="Telstra Office Accommodation (WA)"/>
    <s v="Electricity"/>
    <s v="Liquified petroleum gas"/>
    <s v="Non-transport (Genset)"/>
    <s v="KL"/>
    <s v="BBB"/>
    <n v="0"/>
    <n v="0"/>
    <n v="0"/>
    <n v="0"/>
    <n v="0"/>
    <n v="0"/>
    <n v="0"/>
    <x v="2"/>
    <x v="0"/>
  </r>
  <r>
    <s v="Telstra Office Accommodation (WA)"/>
    <s v="Energy Commodities"/>
    <s v="Electricity"/>
    <s v="Energy Commodity"/>
    <s v="kWh"/>
    <s v="N/A"/>
    <n v="331097.65870000003"/>
    <n v="1191.9515713200001"/>
    <n v="0"/>
    <n v="225146.40791600003"/>
    <n v="6621.9531740000011"/>
    <n v="225146.40791600003"/>
    <n v="231768.36109000002"/>
    <x v="2"/>
    <x v="1"/>
  </r>
  <r>
    <s v="T-Shops (ACT)"/>
    <s v="Energy Commodities"/>
    <s v="Electricity"/>
    <s v="Energy Commodity"/>
    <s v="kWh"/>
    <s v="N/A"/>
    <n v="55711.078600000001"/>
    <n v="200.55988296000001"/>
    <n v="0"/>
    <n v="45125.973666000005"/>
    <n v="5013.9970739999999"/>
    <n v="45125.973666000005"/>
    <n v="50139.970740000004"/>
    <x v="2"/>
    <x v="1"/>
  </r>
  <r>
    <s v="T-Shops (NSW)"/>
    <s v="Energy Commodities"/>
    <s v="Electricity"/>
    <s v="Energy Commodity"/>
    <s v="kWh"/>
    <s v="N/A"/>
    <n v="1730964.8966817702"/>
    <n v="6231.473628054373"/>
    <n v="0"/>
    <n v="1402081.5663122339"/>
    <n v="155786.84070135932"/>
    <n v="1402081.5663122339"/>
    <n v="1557868.4070135932"/>
    <x v="2"/>
    <x v="1"/>
  </r>
  <r>
    <s v="T-Shops (NT)"/>
    <s v="Energy Commodities"/>
    <s v="Electricity"/>
    <s v="Energy Commodity"/>
    <s v="kWh"/>
    <s v="N/A"/>
    <n v="21296.261000000002"/>
    <n v="76.666539600000007"/>
    <n v="0"/>
    <n v="13203.681820000002"/>
    <n v="1490.7382700000003"/>
    <n v="13203.681820000002"/>
    <n v="14694.420090000001"/>
    <x v="2"/>
    <x v="1"/>
  </r>
  <r>
    <s v="T-Shops (QLD)"/>
    <s v="Energy Commodities"/>
    <s v="Electricity"/>
    <s v="Energy Commodity"/>
    <s v="kWh"/>
    <s v="N/A"/>
    <n v="560219.57620000001"/>
    <n v="2016.7904743199999"/>
    <n v="0"/>
    <n v="453777.85672200006"/>
    <n v="67226.349143999993"/>
    <n v="453777.85672200006"/>
    <n v="521004.20586600003"/>
    <x v="2"/>
    <x v="1"/>
  </r>
  <r>
    <s v="T-Shops (SA)"/>
    <s v="Energy Commodities"/>
    <s v="Electricity"/>
    <s v="Energy Commodity"/>
    <s v="kWh"/>
    <s v="N/A"/>
    <n v="194619.56630000001"/>
    <n v="700.63043868"/>
    <n v="0"/>
    <n v="83686.413509000005"/>
    <n v="17515.760966999998"/>
    <n v="83686.413509000005"/>
    <n v="101202.174476"/>
    <x v="2"/>
    <x v="1"/>
  </r>
  <r>
    <s v="T-Shops (TAS)"/>
    <s v="Energy Commodities"/>
    <s v="Electricity"/>
    <s v="Energy Commodity"/>
    <s v="kWh"/>
    <s v="N/A"/>
    <n v="84161.480299999996"/>
    <n v="302.98132907999997"/>
    <n v="0"/>
    <n v="14307.451650999999"/>
    <n v="1683.2296059999999"/>
    <n v="14307.451650999999"/>
    <n v="15990.681257"/>
    <x v="2"/>
    <x v="1"/>
  </r>
  <r>
    <s v="T-Shops (VIC)"/>
    <s v="Energy Commodities"/>
    <s v="Electricity"/>
    <s v="Energy Commodity"/>
    <s v="kWh"/>
    <s v="N/A"/>
    <n v="1425253.9988000002"/>
    <n v="5130.9143956800008"/>
    <n v="0"/>
    <n v="1396748.9188240001"/>
    <n v="156777.93986800002"/>
    <n v="1396748.9188240001"/>
    <n v="1553526.8586920002"/>
    <x v="2"/>
    <x v="1"/>
  </r>
  <r>
    <s v="T-Shops (WA)"/>
    <s v="Energy Commodities"/>
    <s v="Electricity"/>
    <s v="Energy Commodity"/>
    <s v="kWh"/>
    <s v="N/A"/>
    <n v="249285.09072245943"/>
    <n v="897.42632660085394"/>
    <n v="0"/>
    <n v="169513.86169127241"/>
    <n v="4985.7018144491885"/>
    <n v="169513.86169127241"/>
    <n v="174499.5635057216"/>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270C801-4508-4A67-B9BD-EAEBE9625D44}" name="PivotTable11" cacheId="1" applyNumberFormats="0" applyBorderFormats="0" applyFontFormats="0" applyPatternFormats="0" applyAlignmentFormats="0" applyWidthHeightFormats="1" dataCaption="Values" tag="76cd8d9a-0e72-4d4b-99d8-3d3838ecd02e" updatedVersion="6" minRefreshableVersion="3" useAutoFormatting="1" subtotalHiddenItems="1" itemPrintTitles="1" createdVersion="6" indent="0" compact="0" compactData="0" multipleFieldFilters="0">
  <location ref="A3:J24" firstHeaderRow="0" firstDataRow="1" firstDataCol="5"/>
  <pivotFields count="10">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s="1" x="0"/>
        <item s="1" x="1"/>
        <item s="1" x="2"/>
        <item s="1" x="3"/>
        <item s="1" x="4"/>
      </items>
      <extLst>
        <ext xmlns:x14="http://schemas.microsoft.com/office/spreadsheetml/2009/9/main" uri="{2946ED86-A175-432a-8AC1-64E0C546D7DE}">
          <x14:pivotField fillDownLabels="1"/>
        </ext>
      </extLst>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dataField="1" compact="0" outline="0" subtotalTop="0" showAll="0" defaultSubtotal="0"/>
    <pivotField axis="axisRow" compact="0" allDrilled="1" outline="0" subtotalTop="0" showAll="0" dataSourceSort="1" defaultSubtotal="0" defaultAttributeDrillState="1">
      <items count="5">
        <item x="0"/>
        <item x="1"/>
        <item x="2"/>
        <item x="3"/>
        <item x="4"/>
      </items>
    </pivotField>
  </pivotFields>
  <rowFields count="5">
    <field x="7"/>
    <field x="0"/>
    <field x="1"/>
    <field x="2"/>
    <field x="9"/>
  </rowFields>
  <rowItems count="21">
    <i>
      <x/>
      <x v="2"/>
      <x v="1"/>
      <x v="2"/>
      <x v="3"/>
    </i>
    <i r="2">
      <x v="3"/>
      <x v="2"/>
      <x v="3"/>
    </i>
    <i r="2">
      <x v="4"/>
      <x v="2"/>
      <x v="3"/>
    </i>
    <i r="1">
      <x/>
      <x/>
      <x/>
      <x/>
    </i>
    <i r="2">
      <x v="5"/>
      <x/>
      <x/>
    </i>
    <i r="1">
      <x v="1"/>
      <x v="1"/>
      <x v="1"/>
      <x v="3"/>
    </i>
    <i r="2">
      <x v="6"/>
      <x v="1"/>
      <x v="3"/>
    </i>
    <i r="2">
      <x v="3"/>
      <x v="1"/>
      <x v="3"/>
    </i>
    <i r="2">
      <x v="4"/>
      <x v="1"/>
      <x v="3"/>
    </i>
    <i r="2">
      <x v="2"/>
      <x v="1"/>
      <x v="4"/>
    </i>
    <i r="4">
      <x v="2"/>
    </i>
    <i r="1">
      <x v="3"/>
      <x v="1"/>
      <x v="3"/>
      <x v="3"/>
    </i>
    <i r="3">
      <x v="4"/>
      <x v="3"/>
    </i>
    <i r="2">
      <x v="6"/>
      <x v="4"/>
      <x v="3"/>
    </i>
    <i r="2">
      <x v="3"/>
      <x v="3"/>
      <x v="3"/>
    </i>
    <i r="3">
      <x v="4"/>
      <x v="3"/>
    </i>
    <i r="2">
      <x v="4"/>
      <x v="4"/>
      <x v="3"/>
    </i>
    <i>
      <x v="1"/>
      <x/>
      <x/>
      <x/>
      <x/>
    </i>
    <i r="1">
      <x v="1"/>
      <x v="1"/>
      <x v="1"/>
      <x v="1"/>
    </i>
    <i r="2">
      <x v="2"/>
      <x v="1"/>
      <x v="2"/>
    </i>
    <i t="grand">
      <x/>
    </i>
  </rowItems>
  <colFields count="1">
    <field x="-2"/>
  </colFields>
  <colItems count="5">
    <i>
      <x/>
    </i>
    <i i="1">
      <x v="1"/>
    </i>
    <i i="2">
      <x v="2"/>
    </i>
    <i i="3">
      <x v="3"/>
    </i>
    <i i="4">
      <x v="4"/>
    </i>
  </colItems>
  <dataFields count="5">
    <dataField name="Sum of Consumption Quantity" fld="3" baseField="0" baseItem="0"/>
    <dataField name="Sum of Total GJ" fld="4" baseField="0" baseItem="0"/>
    <dataField name="Sum of Scope 1 kg CO2-e" fld="5" baseField="0" baseItem="0"/>
    <dataField name="Sum of Scope 2 kg CO2-e" fld="6" baseField="0" baseItem="0"/>
    <dataField name="Sum of Scope 3 kg CO2-e" fld="8" baseField="0" baseItem="0"/>
  </dataFields>
  <formats count="3">
    <format dxfId="588">
      <pivotArea grandRow="1" outline="0" collapsedLevelsAreSubtotals="1" fieldPosition="0"/>
    </format>
    <format dxfId="587">
      <pivotArea outline="0" collapsedLevelsAreSubtotals="1" fieldPosition="0"/>
    </format>
    <format dxfId="586">
      <pivotArea outline="0" fieldPosition="0">
        <references count="6">
          <reference field="4294967294" count="1" selected="0">
            <x v="0"/>
          </reference>
          <reference field="0" count="1" selected="0">
            <x v="1"/>
          </reference>
          <reference field="1" count="4" selected="0">
            <x v="1"/>
            <x v="3"/>
            <x v="4"/>
            <x v="6"/>
          </reference>
          <reference field="2" count="1" selected="0">
            <x v="1"/>
          </reference>
          <reference field="7" count="0" selected="0"/>
          <reference field="9" count="1" selected="0">
            <x v="3"/>
          </reference>
        </references>
      </pivotArea>
    </format>
  </formats>
  <pivotHierarchies count="5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116"/>
    <rowHierarchyUsage hierarchyUsage="112"/>
    <rowHierarchyUsage hierarchyUsage="113"/>
    <rowHierarchyUsage hierarchyUsage="114"/>
    <rowHierarchyUsage hierarchyUsage="12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ntityFY20 1]"/>
        <x15:activeTabTopLevelEntity name="[ReformFY20_]"/>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80982A-F648-4C75-A2A4-789BF31099DB}" name="PivotTable11" cacheId="2" applyNumberFormats="0" applyBorderFormats="0" applyFontFormats="0" applyPatternFormats="0" applyAlignmentFormats="0" applyWidthHeightFormats="1" dataCaption="Values" tag="075da290-d573-473c-a34c-e50ccecb0230" updatedVersion="6" minRefreshableVersion="3" useAutoFormatting="1" subtotalHiddenItems="1" itemPrintTitles="1" createdVersion="6" indent="0" compact="0" compactData="0" multipleFieldFilters="0">
  <location ref="A3:L35" firstHeaderRow="0" firstDataRow="1" firstDataCol="7"/>
  <pivotFields count="12">
    <pivotField axis="axisRow"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s="1" x="0"/>
        <item s="1" x="1"/>
        <item s="1" x="2"/>
        <item s="1" x="3"/>
        <item s="1" x="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x="0"/>
        <item x="1"/>
        <item x="2"/>
        <item x="3"/>
        <item x="4"/>
      </items>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axis="axisRow" compact="0" allDrilled="1" outline="0" subtotalTop="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x="0"/>
        <item x="1"/>
        <item x="2"/>
        <item x="3"/>
        <item x="4"/>
      </items>
    </pivotField>
    <pivotField dataField="1" compact="0" outline="0" subtotalTop="0" showAll="0" defaultSubtotal="0"/>
  </pivotFields>
  <rowFields count="7">
    <field x="9"/>
    <field x="0"/>
    <field x="1"/>
    <field x="2"/>
    <field x="3"/>
    <field x="4"/>
    <field x="10"/>
  </rowFields>
  <rowItems count="32">
    <i>
      <x/>
      <x/>
      <x/>
      <x/>
      <x/>
      <x/>
      <x/>
    </i>
    <i r="2">
      <x v="1"/>
      <x v="1"/>
      <x v="1"/>
      <x v="1"/>
      <x/>
    </i>
    <i r="3">
      <x v="2"/>
      <x v="1"/>
      <x v="2"/>
      <x/>
    </i>
    <i>
      <x v="1"/>
      <x v="1"/>
      <x v="2"/>
      <x v="1"/>
      <x v="2"/>
      <x v="3"/>
      <x v="1"/>
    </i>
    <i r="2">
      <x/>
      <x/>
      <x/>
      <x/>
      <x v="1"/>
    </i>
    <i r="2">
      <x v="1"/>
      <x v="2"/>
      <x v="1"/>
      <x v="4"/>
      <x v="1"/>
    </i>
    <i r="2">
      <x v="3"/>
      <x v="1"/>
      <x v="3"/>
      <x v="3"/>
      <x v="1"/>
    </i>
    <i r="3">
      <x v="3"/>
      <x v="3"/>
      <x v="3"/>
      <x v="1"/>
    </i>
    <i r="1">
      <x v="2"/>
      <x v="2"/>
      <x v="1"/>
      <x v="2"/>
      <x v="3"/>
      <x v="2"/>
    </i>
    <i r="6">
      <x v="3"/>
    </i>
    <i r="6">
      <x v="4"/>
    </i>
    <i r="3">
      <x v="3"/>
      <x v="2"/>
      <x v="3"/>
      <x v="4"/>
    </i>
    <i r="3">
      <x v="4"/>
      <x v="2"/>
      <x v="3"/>
      <x v="3"/>
    </i>
    <i r="6">
      <x v="4"/>
    </i>
    <i r="2">
      <x/>
      <x/>
      <x/>
      <x/>
      <x v="2"/>
    </i>
    <i r="6">
      <x v="3"/>
    </i>
    <i r="6">
      <x v="4"/>
    </i>
    <i r="3">
      <x v="5"/>
      <x/>
      <x/>
      <x v="4"/>
    </i>
    <i r="2">
      <x v="1"/>
      <x v="1"/>
      <x v="1"/>
      <x v="3"/>
      <x v="4"/>
    </i>
    <i r="3">
      <x v="6"/>
      <x v="1"/>
      <x v="3"/>
      <x v="4"/>
    </i>
    <i r="3">
      <x v="3"/>
      <x v="1"/>
      <x v="3"/>
      <x v="4"/>
    </i>
    <i r="3">
      <x v="4"/>
      <x v="1"/>
      <x v="3"/>
      <x v="4"/>
    </i>
    <i r="3">
      <x v="2"/>
      <x v="1"/>
      <x v="2"/>
      <x v="2"/>
    </i>
    <i r="6">
      <x v="3"/>
    </i>
    <i r="6">
      <x v="4"/>
    </i>
    <i r="2">
      <x v="3"/>
      <x v="1"/>
      <x v="4"/>
      <x v="3"/>
      <x v="4"/>
    </i>
    <i r="4">
      <x v="3"/>
      <x v="3"/>
      <x v="4"/>
    </i>
    <i r="3">
      <x v="6"/>
      <x v="3"/>
      <x v="3"/>
      <x v="4"/>
    </i>
    <i r="3">
      <x v="3"/>
      <x v="4"/>
      <x v="3"/>
      <x v="4"/>
    </i>
    <i r="4">
      <x v="3"/>
      <x v="3"/>
      <x v="4"/>
    </i>
    <i r="3">
      <x v="4"/>
      <x v="3"/>
      <x v="3"/>
      <x v="4"/>
    </i>
    <i t="grand">
      <x/>
    </i>
  </rowItems>
  <colFields count="1">
    <field x="-2"/>
  </colFields>
  <colItems count="5">
    <i>
      <x/>
    </i>
    <i i="1">
      <x v="1"/>
    </i>
    <i i="2">
      <x v="2"/>
    </i>
    <i i="3">
      <x v="3"/>
    </i>
    <i i="4">
      <x v="4"/>
    </i>
  </colItems>
  <dataFields count="5">
    <dataField name="Sum of Consumption Quantity" fld="5" baseField="0" baseItem="0" numFmtId="165"/>
    <dataField name="Sum of Total GJ" fld="6" baseField="0" baseItem="0" numFmtId="165"/>
    <dataField name="Sum of Scope 1 kg CO2-e" fld="7" baseField="0" baseItem="0" numFmtId="165"/>
    <dataField name="Sum of Scope 2 kg CO2-e" fld="8" baseField="0" baseItem="0" numFmtId="165"/>
    <dataField name="Sum of Scope 3 kg CO2-e" fld="11" baseField="0" baseItem="0"/>
  </dataFields>
  <formats count="4">
    <format dxfId="585">
      <pivotArea field="0" grandRow="1" outline="0" axis="axisRow" fieldPosition="1">
        <references count="1">
          <reference field="4294967294" count="1" selected="0">
            <x v="0"/>
          </reference>
        </references>
      </pivotArea>
    </format>
    <format dxfId="584">
      <pivotArea grandRow="1" outline="0" collapsedLevelsAreSubtotals="1" fieldPosition="0"/>
    </format>
    <format dxfId="583">
      <pivotArea outline="0" fieldPosition="0">
        <references count="1">
          <reference field="4294967294" count="4" selected="0">
            <x v="0"/>
            <x v="1"/>
            <x v="2"/>
            <x v="3"/>
          </reference>
        </references>
      </pivotArea>
    </format>
    <format dxfId="582">
      <pivotArea dataOnly="0" labelOnly="1" outline="0" fieldPosition="0">
        <references count="1">
          <reference field="4294967294" count="4">
            <x v="0"/>
            <x v="1"/>
            <x v="2"/>
            <x v="3"/>
          </reference>
        </references>
      </pivotArea>
    </format>
  </formats>
  <pivotHierarchies count="5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116"/>
    <rowHierarchyUsage hierarchyUsage="117"/>
    <rowHierarchyUsage hierarchyUsage="112"/>
    <rowHierarchyUsage hierarchyUsage="113"/>
    <rowHierarchyUsage hierarchyUsage="114"/>
    <rowHierarchyUsage hierarchyUsage="122"/>
    <rowHierarchyUsage hierarchyUsage="1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ntityFY20 1]"/>
        <x15:activeTabTopLevelEntity name="[ReformFY20_]"/>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BF2C822-211B-4FA1-B93D-52337C845224}" name="PivotTable11" cacheId="3" applyNumberFormats="0" applyBorderFormats="0" applyFontFormats="0" applyPatternFormats="0" applyAlignmentFormats="0" applyWidthHeightFormats="1" dataCaption="Values" tag="733be2d5-2c83-40e7-b5ca-95a2af646a4f" updatedVersion="6" minRefreshableVersion="3" useAutoFormatting="1" subtotalHiddenItems="1" itemPrintTitles="1" createdVersion="6" indent="0" compact="0" compactData="0" multipleFieldFilters="0">
  <location ref="A3:L217" firstHeaderRow="0" firstDataRow="1" firstDataCol="7"/>
  <pivotFields count="12">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x="0"/>
        <item x="1"/>
        <item x="2"/>
        <item x="3"/>
        <item x="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8">
        <item x="0"/>
        <item x="1"/>
        <item x="2"/>
        <item x="3"/>
        <item x="4"/>
        <item x="5"/>
        <item x="6"/>
        <item x="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
        <item x="0"/>
        <item x="1"/>
        <item x="2"/>
        <item x="3"/>
        <item x="4"/>
        <item x="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4">
        <item x="0"/>
        <item x="1"/>
        <item x="2"/>
        <item x="3"/>
      </items>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s>
  <rowFields count="7">
    <field x="0"/>
    <field x="1"/>
    <field x="2"/>
    <field x="3"/>
    <field x="4"/>
    <field x="5"/>
    <field x="6"/>
  </rowFields>
  <rowItems count="214">
    <i>
      <x/>
      <x/>
      <x/>
      <x/>
      <x/>
      <x/>
      <x/>
    </i>
    <i>
      <x v="1"/>
      <x v="1"/>
      <x v="1"/>
      <x v="1"/>
      <x v="1"/>
      <x v="1"/>
      <x v="1"/>
    </i>
    <i r="2">
      <x v="2"/>
      <x v="2"/>
      <x v="2"/>
      <x v="2"/>
      <x v="1"/>
    </i>
    <i r="3">
      <x v="3"/>
      <x v="2"/>
      <x v="3"/>
      <x v="1"/>
    </i>
    <i r="1">
      <x v="2"/>
      <x v="1"/>
      <x v="1"/>
      <x v="1"/>
      <x v="1"/>
      <x v="1"/>
    </i>
    <i r="2">
      <x v="2"/>
      <x v="2"/>
      <x v="2"/>
      <x v="2"/>
      <x v="1"/>
    </i>
    <i r="3">
      <x v="3"/>
      <x v="2"/>
      <x v="3"/>
      <x v="1"/>
    </i>
    <i r="1">
      <x v="3"/>
      <x v="1"/>
      <x v="1"/>
      <x v="1"/>
      <x v="1"/>
      <x v="1"/>
    </i>
    <i r="2">
      <x v="2"/>
      <x v="2"/>
      <x v="2"/>
      <x v="2"/>
      <x v="1"/>
    </i>
    <i r="3">
      <x v="3"/>
      <x v="2"/>
      <x v="3"/>
      <x v="1"/>
    </i>
    <i r="1">
      <x v="4"/>
      <x v="1"/>
      <x v="1"/>
      <x v="1"/>
      <x v="1"/>
      <x v="1"/>
    </i>
    <i r="2">
      <x v="2"/>
      <x v="2"/>
      <x v="2"/>
      <x v="2"/>
      <x v="1"/>
    </i>
    <i r="3">
      <x v="3"/>
      <x v="2"/>
      <x v="3"/>
      <x v="1"/>
    </i>
    <i r="1">
      <x v="5"/>
      <x v="1"/>
      <x v="1"/>
      <x v="1"/>
      <x v="1"/>
      <x v="1"/>
    </i>
    <i r="2">
      <x v="2"/>
      <x v="2"/>
      <x v="2"/>
      <x v="2"/>
      <x v="1"/>
    </i>
    <i r="3">
      <x v="3"/>
      <x v="2"/>
      <x v="3"/>
      <x v="1"/>
    </i>
    <i>
      <x v="2"/>
      <x v="6"/>
      <x v="3"/>
      <x v="2"/>
      <x v="3"/>
      <x v="4"/>
      <x v="2"/>
    </i>
    <i r="2">
      <x v="1"/>
      <x v="1"/>
      <x v="1"/>
      <x v="1"/>
      <x v="2"/>
    </i>
    <i r="2">
      <x v="2"/>
      <x v="3"/>
      <x v="2"/>
      <x v="5"/>
      <x v="2"/>
    </i>
    <i r="2">
      <x v="4"/>
      <x v="2"/>
      <x v="4"/>
      <x v="4"/>
      <x v="2"/>
    </i>
    <i r="3">
      <x v="4"/>
      <x v="4"/>
      <x v="4"/>
      <x v="2"/>
    </i>
    <i>
      <x v="3"/>
      <x v="7"/>
      <x v="1"/>
      <x v="1"/>
      <x v="1"/>
      <x v="1"/>
      <x v="2"/>
    </i>
    <i r="1">
      <x v="8"/>
      <x v="3"/>
      <x v="2"/>
      <x v="3"/>
      <x v="4"/>
      <x v="1"/>
    </i>
    <i r="2">
      <x v="1"/>
      <x v="1"/>
      <x v="1"/>
      <x v="1"/>
      <x v="2"/>
    </i>
    <i r="1">
      <x v="9"/>
      <x v="1"/>
      <x v="1"/>
      <x v="1"/>
      <x v="1"/>
      <x v="2"/>
    </i>
    <i r="1">
      <x v="10"/>
      <x v="1"/>
      <x v="1"/>
      <x v="1"/>
      <x v="1"/>
      <x v="2"/>
    </i>
    <i r="1">
      <x v="11"/>
      <x v="1"/>
      <x v="1"/>
      <x v="1"/>
      <x v="1"/>
      <x v="2"/>
    </i>
    <i r="1">
      <x v="12"/>
      <x v="1"/>
      <x v="1"/>
      <x v="1"/>
      <x v="1"/>
      <x v="2"/>
    </i>
    <i r="1">
      <x v="13"/>
      <x v="3"/>
      <x v="2"/>
      <x v="3"/>
      <x v="4"/>
      <x v="1"/>
    </i>
    <i r="2">
      <x v="1"/>
      <x v="1"/>
      <x v="1"/>
      <x v="1"/>
      <x v="2"/>
    </i>
    <i r="2">
      <x v="2"/>
      <x v="3"/>
      <x v="2"/>
      <x v="3"/>
      <x v="3"/>
    </i>
    <i r="6">
      <x v="1"/>
    </i>
    <i r="1">
      <x v="14"/>
      <x v="1"/>
      <x v="1"/>
      <x v="1"/>
      <x v="1"/>
      <x v="2"/>
    </i>
    <i r="1">
      <x v="15"/>
      <x v="1"/>
      <x v="1"/>
      <x v="1"/>
      <x v="1"/>
      <x v="2"/>
    </i>
    <i r="2">
      <x v="2"/>
      <x v="3"/>
      <x v="2"/>
      <x v="3"/>
      <x v="3"/>
    </i>
    <i r="6">
      <x v="1"/>
    </i>
    <i r="1">
      <x v="16"/>
      <x v="1"/>
      <x v="1"/>
      <x v="1"/>
      <x v="1"/>
      <x v="2"/>
    </i>
    <i r="1">
      <x v="17"/>
      <x v="1"/>
      <x v="1"/>
      <x v="1"/>
      <x v="1"/>
      <x v="2"/>
    </i>
    <i r="1">
      <x v="18"/>
      <x v="1"/>
      <x v="1"/>
      <x v="1"/>
      <x v="1"/>
      <x v="2"/>
    </i>
    <i r="1">
      <x v="19"/>
      <x v="1"/>
      <x v="1"/>
      <x v="1"/>
      <x v="1"/>
      <x v="2"/>
    </i>
    <i r="1">
      <x v="20"/>
      <x v="1"/>
      <x v="1"/>
      <x v="1"/>
      <x v="1"/>
      <x v="2"/>
    </i>
    <i r="1">
      <x v="21"/>
      <x v="1"/>
      <x v="1"/>
      <x v="1"/>
      <x v="1"/>
      <x v="2"/>
    </i>
    <i r="1">
      <x v="22"/>
      <x v="1"/>
      <x v="1"/>
      <x v="1"/>
      <x v="1"/>
      <x v="2"/>
    </i>
    <i r="1">
      <x v="23"/>
      <x v="3"/>
      <x v="2"/>
      <x v="3"/>
      <x v="4"/>
      <x v="1"/>
    </i>
    <i r="2">
      <x v="1"/>
      <x v="1"/>
      <x v="1"/>
      <x v="1"/>
      <x v="2"/>
    </i>
    <i r="1">
      <x v="24"/>
      <x v="3"/>
      <x v="2"/>
      <x v="3"/>
      <x v="4"/>
      <x v="1"/>
    </i>
    <i r="3">
      <x v="4"/>
      <x v="3"/>
      <x v="4"/>
      <x v="1"/>
    </i>
    <i r="3">
      <x v="5"/>
      <x v="3"/>
      <x v="4"/>
      <x v="1"/>
    </i>
    <i r="2">
      <x v="1"/>
      <x v="1"/>
      <x v="1"/>
      <x v="1"/>
      <x v="2"/>
    </i>
    <i r="3">
      <x v="6"/>
      <x v="1"/>
      <x v="1"/>
      <x v="1"/>
    </i>
    <i r="2">
      <x v="2"/>
      <x v="2"/>
      <x v="2"/>
      <x v="4"/>
      <x v="1"/>
    </i>
    <i r="3">
      <x v="4"/>
      <x v="2"/>
      <x v="4"/>
      <x v="1"/>
    </i>
    <i r="3">
      <x v="5"/>
      <x v="2"/>
      <x v="4"/>
      <x v="1"/>
    </i>
    <i r="2">
      <x v="4"/>
      <x v="2"/>
      <x v="4"/>
      <x v="4"/>
      <x v="3"/>
    </i>
    <i r="6">
      <x v="1"/>
    </i>
    <i r="3">
      <x v="7"/>
      <x v="4"/>
      <x v="4"/>
      <x v="3"/>
    </i>
    <i r="3">
      <x v="4"/>
      <x v="4"/>
      <x v="4"/>
      <x v="3"/>
    </i>
    <i r="6">
      <x v="1"/>
    </i>
    <i r="1">
      <x v="25"/>
      <x v="3"/>
      <x v="2"/>
      <x v="3"/>
      <x v="4"/>
      <x v="1"/>
    </i>
    <i r="3">
      <x v="4"/>
      <x v="3"/>
      <x v="4"/>
      <x v="1"/>
    </i>
    <i r="3">
      <x v="5"/>
      <x v="3"/>
      <x v="4"/>
      <x v="1"/>
    </i>
    <i r="2">
      <x v="1"/>
      <x v="1"/>
      <x v="1"/>
      <x v="1"/>
      <x v="2"/>
    </i>
    <i r="3">
      <x v="6"/>
      <x v="1"/>
      <x v="1"/>
      <x v="1"/>
    </i>
    <i r="2">
      <x v="2"/>
      <x v="2"/>
      <x v="2"/>
      <x v="4"/>
      <x v="3"/>
    </i>
    <i r="6">
      <x v="1"/>
    </i>
    <i r="3">
      <x v="7"/>
      <x v="2"/>
      <x v="4"/>
      <x v="3"/>
    </i>
    <i r="6">
      <x v="1"/>
    </i>
    <i r="3">
      <x v="4"/>
      <x v="2"/>
      <x v="4"/>
      <x v="1"/>
    </i>
    <i r="3">
      <x v="5"/>
      <x v="2"/>
      <x v="4"/>
      <x v="1"/>
    </i>
    <i r="3">
      <x v="3"/>
      <x v="2"/>
      <x v="3"/>
      <x v="3"/>
    </i>
    <i r="6">
      <x v="1"/>
    </i>
    <i r="2">
      <x v="4"/>
      <x v="2"/>
      <x v="5"/>
      <x v="4"/>
      <x v="3"/>
    </i>
    <i r="4">
      <x v="4"/>
      <x v="4"/>
      <x v="3"/>
    </i>
    <i r="6">
      <x v="1"/>
    </i>
    <i r="3">
      <x v="7"/>
      <x v="4"/>
      <x v="4"/>
      <x v="3"/>
    </i>
    <i r="3">
      <x v="4"/>
      <x v="4"/>
      <x v="4"/>
      <x v="3"/>
    </i>
    <i r="6">
      <x v="1"/>
    </i>
    <i r="3">
      <x v="5"/>
      <x v="4"/>
      <x v="4"/>
      <x v="3"/>
    </i>
    <i r="1">
      <x v="26"/>
      <x v="3"/>
      <x v="2"/>
      <x v="3"/>
      <x v="4"/>
      <x v="1"/>
    </i>
    <i r="3">
      <x v="4"/>
      <x v="3"/>
      <x v="4"/>
      <x v="1"/>
    </i>
    <i r="3">
      <x v="5"/>
      <x v="3"/>
      <x v="4"/>
      <x v="1"/>
    </i>
    <i r="2">
      <x v="1"/>
      <x v="1"/>
      <x v="1"/>
      <x v="1"/>
      <x v="2"/>
    </i>
    <i r="3">
      <x v="6"/>
      <x v="1"/>
      <x v="1"/>
      <x v="1"/>
    </i>
    <i r="2">
      <x v="2"/>
      <x v="2"/>
      <x v="2"/>
      <x v="4"/>
      <x v="3"/>
    </i>
    <i r="6">
      <x v="1"/>
    </i>
    <i r="3">
      <x v="4"/>
      <x v="2"/>
      <x v="4"/>
      <x v="1"/>
    </i>
    <i r="3">
      <x v="5"/>
      <x v="2"/>
      <x v="4"/>
      <x v="1"/>
    </i>
    <i r="2">
      <x v="4"/>
      <x v="2"/>
      <x v="4"/>
      <x v="4"/>
      <x v="3"/>
    </i>
    <i r="6">
      <x v="1"/>
    </i>
    <i r="3">
      <x v="4"/>
      <x v="4"/>
      <x v="4"/>
      <x v="3"/>
    </i>
    <i r="6">
      <x v="1"/>
    </i>
    <i r="1">
      <x v="27"/>
      <x v="3"/>
      <x v="2"/>
      <x v="3"/>
      <x v="4"/>
      <x v="1"/>
    </i>
    <i r="3">
      <x v="4"/>
      <x v="3"/>
      <x v="4"/>
      <x v="1"/>
    </i>
    <i r="3">
      <x v="5"/>
      <x v="3"/>
      <x v="4"/>
      <x v="1"/>
    </i>
    <i r="2">
      <x v="1"/>
      <x v="1"/>
      <x v="1"/>
      <x v="1"/>
      <x v="2"/>
    </i>
    <i r="3">
      <x v="6"/>
      <x v="1"/>
      <x v="1"/>
      <x v="1"/>
    </i>
    <i r="2">
      <x v="2"/>
      <x v="2"/>
      <x v="2"/>
      <x v="4"/>
      <x v="3"/>
    </i>
    <i r="6">
      <x v="1"/>
    </i>
    <i r="3">
      <x v="7"/>
      <x v="2"/>
      <x v="4"/>
      <x v="1"/>
    </i>
    <i r="3">
      <x v="4"/>
      <x v="2"/>
      <x v="4"/>
      <x v="3"/>
    </i>
    <i r="6">
      <x v="1"/>
    </i>
    <i r="3">
      <x v="5"/>
      <x v="2"/>
      <x v="4"/>
      <x v="1"/>
    </i>
    <i r="2">
      <x v="4"/>
      <x v="2"/>
      <x v="5"/>
      <x v="4"/>
      <x v="3"/>
    </i>
    <i r="4">
      <x v="4"/>
      <x v="4"/>
      <x v="3"/>
    </i>
    <i r="6">
      <x v="1"/>
    </i>
    <i r="3">
      <x v="7"/>
      <x v="4"/>
      <x v="4"/>
      <x v="3"/>
    </i>
    <i r="3">
      <x v="4"/>
      <x v="4"/>
      <x v="4"/>
      <x v="3"/>
    </i>
    <i r="6">
      <x v="1"/>
    </i>
    <i r="3">
      <x v="5"/>
      <x v="4"/>
      <x v="4"/>
      <x v="3"/>
    </i>
    <i r="1">
      <x v="28"/>
      <x v="3"/>
      <x v="2"/>
      <x v="3"/>
      <x v="4"/>
      <x v="1"/>
    </i>
    <i r="3">
      <x v="4"/>
      <x v="3"/>
      <x v="4"/>
      <x v="1"/>
    </i>
    <i r="3">
      <x v="5"/>
      <x v="3"/>
      <x v="4"/>
      <x v="1"/>
    </i>
    <i r="2">
      <x v="1"/>
      <x v="1"/>
      <x v="1"/>
      <x v="1"/>
      <x v="2"/>
    </i>
    <i r="3">
      <x v="6"/>
      <x v="1"/>
      <x v="1"/>
      <x v="1"/>
    </i>
    <i r="2">
      <x v="2"/>
      <x v="2"/>
      <x v="2"/>
      <x v="4"/>
      <x v="3"/>
    </i>
    <i r="6">
      <x v="1"/>
    </i>
    <i r="3">
      <x v="4"/>
      <x v="2"/>
      <x v="4"/>
      <x v="1"/>
    </i>
    <i r="3">
      <x v="5"/>
      <x v="2"/>
      <x v="4"/>
      <x v="1"/>
    </i>
    <i r="3">
      <x v="3"/>
      <x v="2"/>
      <x v="3"/>
      <x v="3"/>
    </i>
    <i r="6">
      <x v="1"/>
    </i>
    <i r="2">
      <x v="4"/>
      <x v="2"/>
      <x v="5"/>
      <x v="4"/>
      <x v="3"/>
    </i>
    <i r="4">
      <x v="4"/>
      <x v="4"/>
      <x v="3"/>
    </i>
    <i r="6">
      <x v="1"/>
    </i>
    <i r="3">
      <x v="7"/>
      <x v="4"/>
      <x v="4"/>
      <x v="3"/>
    </i>
    <i r="3">
      <x v="4"/>
      <x v="4"/>
      <x v="4"/>
      <x v="3"/>
    </i>
    <i r="6">
      <x v="1"/>
    </i>
    <i r="3">
      <x v="5"/>
      <x v="4"/>
      <x v="4"/>
      <x v="3"/>
    </i>
    <i r="1">
      <x v="29"/>
      <x v="3"/>
      <x v="2"/>
      <x v="3"/>
      <x v="4"/>
      <x v="1"/>
    </i>
    <i r="3">
      <x v="4"/>
      <x v="3"/>
      <x v="4"/>
      <x v="1"/>
    </i>
    <i r="3">
      <x v="5"/>
      <x v="3"/>
      <x v="4"/>
      <x v="1"/>
    </i>
    <i r="2">
      <x v="1"/>
      <x v="1"/>
      <x v="1"/>
      <x v="1"/>
      <x v="2"/>
    </i>
    <i r="3">
      <x v="6"/>
      <x v="1"/>
      <x v="1"/>
      <x v="1"/>
    </i>
    <i r="2">
      <x v="2"/>
      <x v="2"/>
      <x v="2"/>
      <x v="4"/>
      <x v="3"/>
    </i>
    <i r="6">
      <x v="1"/>
    </i>
    <i r="3">
      <x v="4"/>
      <x v="2"/>
      <x v="4"/>
      <x v="3"/>
    </i>
    <i r="6">
      <x v="1"/>
    </i>
    <i r="3">
      <x v="5"/>
      <x v="2"/>
      <x v="4"/>
      <x v="1"/>
    </i>
    <i r="2">
      <x v="4"/>
      <x v="2"/>
      <x v="5"/>
      <x v="4"/>
      <x v="3"/>
    </i>
    <i r="4">
      <x v="4"/>
      <x v="4"/>
      <x v="3"/>
    </i>
    <i r="6">
      <x v="1"/>
    </i>
    <i r="3">
      <x v="7"/>
      <x v="4"/>
      <x v="4"/>
      <x v="3"/>
    </i>
    <i r="3">
      <x v="4"/>
      <x v="4"/>
      <x v="4"/>
      <x v="3"/>
    </i>
    <i r="6">
      <x v="1"/>
    </i>
    <i r="1">
      <x v="30"/>
      <x v="3"/>
      <x v="2"/>
      <x v="3"/>
      <x v="4"/>
      <x v="1"/>
    </i>
    <i r="3">
      <x v="4"/>
      <x v="3"/>
      <x v="4"/>
      <x v="1"/>
    </i>
    <i r="3">
      <x v="5"/>
      <x v="3"/>
      <x v="4"/>
      <x v="1"/>
    </i>
    <i r="2">
      <x v="1"/>
      <x v="1"/>
      <x v="1"/>
      <x v="1"/>
      <x v="1"/>
    </i>
    <i r="6">
      <x v="2"/>
    </i>
    <i r="3">
      <x v="6"/>
      <x v="1"/>
      <x v="1"/>
      <x v="1"/>
    </i>
    <i r="2">
      <x v="2"/>
      <x v="2"/>
      <x v="2"/>
      <x v="4"/>
      <x v="3"/>
    </i>
    <i r="6">
      <x v="1"/>
    </i>
    <i r="3">
      <x v="7"/>
      <x v="2"/>
      <x v="4"/>
      <x v="1"/>
    </i>
    <i r="3">
      <x v="4"/>
      <x v="2"/>
      <x v="4"/>
      <x v="3"/>
    </i>
    <i r="6">
      <x v="1"/>
    </i>
    <i r="3">
      <x v="5"/>
      <x v="2"/>
      <x v="4"/>
      <x v="1"/>
    </i>
    <i r="3">
      <x v="3"/>
      <x v="2"/>
      <x v="3"/>
      <x v="3"/>
    </i>
    <i r="6">
      <x v="1"/>
    </i>
    <i r="2">
      <x v="4"/>
      <x v="2"/>
      <x v="5"/>
      <x v="4"/>
      <x v="3"/>
    </i>
    <i r="4">
      <x v="4"/>
      <x v="4"/>
      <x v="3"/>
    </i>
    <i r="6">
      <x v="1"/>
    </i>
    <i r="3">
      <x v="7"/>
      <x v="4"/>
      <x v="4"/>
      <x v="3"/>
    </i>
    <i r="3">
      <x v="4"/>
      <x v="5"/>
      <x v="4"/>
      <x v="3"/>
    </i>
    <i r="4">
      <x v="4"/>
      <x v="4"/>
      <x v="3"/>
    </i>
    <i r="6">
      <x v="1"/>
    </i>
    <i r="3">
      <x v="5"/>
      <x v="4"/>
      <x v="4"/>
      <x v="3"/>
    </i>
    <i r="1">
      <x v="31"/>
      <x v="3"/>
      <x v="2"/>
      <x v="3"/>
      <x v="4"/>
      <x v="1"/>
    </i>
    <i r="3">
      <x v="4"/>
      <x v="3"/>
      <x v="4"/>
      <x v="1"/>
    </i>
    <i r="3">
      <x v="5"/>
      <x v="3"/>
      <x v="4"/>
      <x v="1"/>
    </i>
    <i r="2">
      <x v="1"/>
      <x v="1"/>
      <x v="1"/>
      <x v="1"/>
      <x v="2"/>
    </i>
    <i r="3">
      <x v="6"/>
      <x v="1"/>
      <x v="1"/>
      <x v="1"/>
    </i>
    <i r="2">
      <x v="2"/>
      <x v="2"/>
      <x v="2"/>
      <x v="4"/>
      <x v="3"/>
    </i>
    <i r="6">
      <x v="1"/>
    </i>
    <i r="3">
      <x v="4"/>
      <x v="2"/>
      <x v="4"/>
      <x v="1"/>
    </i>
    <i r="3">
      <x v="5"/>
      <x v="2"/>
      <x v="4"/>
      <x v="1"/>
    </i>
    <i r="2">
      <x v="4"/>
      <x v="2"/>
      <x v="5"/>
      <x v="4"/>
      <x v="3"/>
    </i>
    <i r="4">
      <x v="4"/>
      <x v="4"/>
      <x v="3"/>
    </i>
    <i r="6">
      <x v="1"/>
    </i>
    <i r="3">
      <x v="4"/>
      <x v="4"/>
      <x v="4"/>
      <x v="3"/>
    </i>
    <i r="6">
      <x v="1"/>
    </i>
    <i r="1">
      <x v="32"/>
      <x v="3"/>
      <x v="2"/>
      <x v="3"/>
      <x v="4"/>
      <x v="1"/>
    </i>
    <i r="3">
      <x v="5"/>
      <x v="3"/>
      <x v="4"/>
      <x v="1"/>
    </i>
    <i r="2">
      <x v="1"/>
      <x v="1"/>
      <x v="1"/>
      <x v="1"/>
      <x v="2"/>
    </i>
    <i r="1">
      <x v="33"/>
      <x v="3"/>
      <x v="2"/>
      <x v="3"/>
      <x v="4"/>
      <x v="1"/>
    </i>
    <i r="3">
      <x v="5"/>
      <x v="3"/>
      <x v="4"/>
      <x v="1"/>
    </i>
    <i r="2">
      <x v="1"/>
      <x v="1"/>
      <x v="1"/>
      <x v="1"/>
      <x v="2"/>
    </i>
    <i r="1">
      <x v="34"/>
      <x v="3"/>
      <x v="2"/>
      <x v="3"/>
      <x v="4"/>
      <x v="1"/>
    </i>
    <i r="3">
      <x v="5"/>
      <x v="3"/>
      <x v="4"/>
      <x v="1"/>
    </i>
    <i r="2">
      <x v="1"/>
      <x v="1"/>
      <x v="1"/>
      <x v="1"/>
      <x v="2"/>
    </i>
    <i r="1">
      <x v="35"/>
      <x v="3"/>
      <x v="2"/>
      <x v="3"/>
      <x v="4"/>
      <x v="1"/>
    </i>
    <i r="3">
      <x v="5"/>
      <x v="3"/>
      <x v="4"/>
      <x v="1"/>
    </i>
    <i r="2">
      <x v="1"/>
      <x v="1"/>
      <x v="1"/>
      <x v="1"/>
      <x v="2"/>
    </i>
    <i r="1">
      <x v="36"/>
      <x v="3"/>
      <x v="2"/>
      <x v="3"/>
      <x v="4"/>
      <x v="1"/>
    </i>
    <i r="3">
      <x v="5"/>
      <x v="3"/>
      <x v="4"/>
      <x v="1"/>
    </i>
    <i r="2">
      <x v="1"/>
      <x v="1"/>
      <x v="1"/>
      <x v="1"/>
      <x v="2"/>
    </i>
    <i r="1">
      <x v="37"/>
      <x v="3"/>
      <x v="2"/>
      <x v="3"/>
      <x v="4"/>
      <x v="1"/>
    </i>
    <i r="3">
      <x v="5"/>
      <x v="3"/>
      <x v="4"/>
      <x v="1"/>
    </i>
    <i r="2">
      <x v="1"/>
      <x v="1"/>
      <x v="1"/>
      <x v="1"/>
      <x v="2"/>
    </i>
    <i r="1">
      <x v="38"/>
      <x v="3"/>
      <x v="2"/>
      <x v="3"/>
      <x v="4"/>
      <x v="1"/>
    </i>
    <i r="3">
      <x v="5"/>
      <x v="3"/>
      <x v="4"/>
      <x v="1"/>
    </i>
    <i r="2">
      <x v="1"/>
      <x v="1"/>
      <x v="1"/>
      <x v="1"/>
      <x v="2"/>
    </i>
    <i r="2">
      <x v="2"/>
      <x v="3"/>
      <x v="2"/>
      <x v="3"/>
      <x v="3"/>
    </i>
    <i r="6">
      <x v="1"/>
    </i>
    <i r="1">
      <x v="39"/>
      <x v="3"/>
      <x v="2"/>
      <x v="3"/>
      <x v="4"/>
      <x v="1"/>
    </i>
    <i r="3">
      <x v="5"/>
      <x v="3"/>
      <x v="4"/>
      <x v="1"/>
    </i>
    <i r="2">
      <x v="1"/>
      <x v="1"/>
      <x v="1"/>
      <x v="1"/>
      <x v="2"/>
    </i>
    <i r="1">
      <x v="40"/>
      <x v="1"/>
      <x v="1"/>
      <x v="1"/>
      <x v="1"/>
      <x v="2"/>
    </i>
    <i r="1">
      <x v="41"/>
      <x v="1"/>
      <x v="1"/>
      <x v="1"/>
      <x v="1"/>
      <x v="2"/>
    </i>
    <i r="1">
      <x v="42"/>
      <x v="1"/>
      <x v="1"/>
      <x v="1"/>
      <x v="1"/>
      <x v="2"/>
    </i>
    <i r="1">
      <x v="43"/>
      <x v="1"/>
      <x v="1"/>
      <x v="1"/>
      <x v="1"/>
      <x v="2"/>
    </i>
    <i r="1">
      <x v="44"/>
      <x v="1"/>
      <x v="1"/>
      <x v="1"/>
      <x v="1"/>
      <x v="2"/>
    </i>
    <i r="1">
      <x v="45"/>
      <x v="1"/>
      <x v="1"/>
      <x v="1"/>
      <x v="1"/>
      <x v="2"/>
    </i>
    <i r="1">
      <x v="46"/>
      <x v="1"/>
      <x v="1"/>
      <x v="1"/>
      <x v="1"/>
      <x v="2"/>
    </i>
    <i r="1">
      <x v="47"/>
      <x v="1"/>
      <x v="1"/>
      <x v="1"/>
      <x v="1"/>
      <x v="2"/>
    </i>
    <i t="grand">
      <x/>
    </i>
  </rowItems>
  <colFields count="1">
    <field x="-2"/>
  </colFields>
  <colItems count="5">
    <i>
      <x/>
    </i>
    <i i="1">
      <x v="1"/>
    </i>
    <i i="2">
      <x v="2"/>
    </i>
    <i i="3">
      <x v="3"/>
    </i>
    <i i="4">
      <x v="4"/>
    </i>
  </colItems>
  <dataFields count="5">
    <dataField name="Sum of Consumption Quantity" fld="7" baseField="0" baseItem="0"/>
    <dataField name="Sum of Total GJ" fld="8" baseField="0" baseItem="0"/>
    <dataField name="Sum of Scope 1 kg CO2-e" fld="9" baseField="0" baseItem="0"/>
    <dataField name="Sum of Scope 2 kg CO2-e" fld="10" baseField="0" baseItem="0"/>
    <dataField name="Sum of Scope 3 kg CO2-e" fld="11" baseField="0" baseItem="0"/>
  </dataFields>
  <formats count="4">
    <format dxfId="581">
      <pivotArea field="0" grandRow="1" outline="0" axis="axisRow" fieldPosition="0">
        <references count="1">
          <reference field="4294967294" count="1" selected="0">
            <x v="0"/>
          </reference>
        </references>
      </pivotArea>
    </format>
    <format dxfId="580">
      <pivotArea grandRow="1" outline="0" collapsedLevelsAreSubtotals="1" fieldPosition="0"/>
    </format>
    <format dxfId="579">
      <pivotArea outline="0" collapsedLevelsAreSubtotals="1" fieldPosition="0"/>
    </format>
    <format dxfId="578">
      <pivotArea dataOnly="0" labelOnly="1" outline="0" fieldPosition="0">
        <references count="1">
          <reference field="4294967294" count="4">
            <x v="0"/>
            <x v="1"/>
            <x v="2"/>
            <x v="3"/>
          </reference>
        </references>
      </pivotArea>
    </format>
  </formats>
  <pivotHierarchies count="5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117"/>
    <rowHierarchyUsage hierarchyUsage="118"/>
    <rowHierarchyUsage hierarchyUsage="112"/>
    <rowHierarchyUsage hierarchyUsage="113"/>
    <rowHierarchyUsage hierarchyUsage="114"/>
    <rowHierarchyUsage hierarchyUsage="122"/>
    <rowHierarchyUsage hierarchyUsage="1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ntityFY20 1]"/>
        <x15:activeTabTopLevelEntity name="[ReformFY20_]"/>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491B7CB-A8A1-454D-AA3B-921C8930AAA0}" name="PivotTable16" cacheId="6"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T3:V15" firstHeaderRow="2" firstDataRow="2" firstDataCol="2"/>
  <pivotFields count="1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Row" compact="0" outline="0" showAll="0" defaultSubtotal="0">
      <items count="6">
        <item x="3"/>
        <item x="4"/>
        <item x="2"/>
        <item x="5"/>
        <item x="1"/>
        <item x="0"/>
      </items>
      <extLst>
        <ext xmlns:x14="http://schemas.microsoft.com/office/spreadsheetml/2009/9/main" uri="{2946ED86-A175-432a-8AC1-64E0C546D7DE}">
          <x14:pivotField fillDownLabels="1"/>
        </ext>
      </extLst>
    </pivotField>
    <pivotField axis="axisRow" compact="0" outline="0" showAll="0" defaultSubtotal="0">
      <items count="3">
        <item x="1"/>
        <item x="0"/>
        <item m="1" x="2"/>
      </items>
    </pivotField>
  </pivotFields>
  <rowFields count="2">
    <field x="13"/>
    <field x="14"/>
  </rowFields>
  <rowItems count="11">
    <i>
      <x/>
      <x/>
    </i>
    <i r="1">
      <x v="1"/>
    </i>
    <i>
      <x v="1"/>
      <x/>
    </i>
    <i r="1">
      <x v="1"/>
    </i>
    <i>
      <x v="2"/>
      <x/>
    </i>
    <i r="1">
      <x v="1"/>
    </i>
    <i>
      <x v="3"/>
      <x v="1"/>
    </i>
    <i>
      <x v="4"/>
      <x/>
    </i>
    <i r="1">
      <x v="1"/>
    </i>
    <i>
      <x v="5"/>
      <x v="1"/>
    </i>
    <i t="grand">
      <x/>
    </i>
  </rowItems>
  <colItems count="1">
    <i/>
  </colItems>
  <dataFields count="1">
    <dataField name="Sum of S1+2" fld="11" baseField="0" baseItem="0"/>
  </dataFields>
  <formats count="2">
    <format dxfId="577">
      <pivotArea outline="0" collapsedLevelsAreSubtotals="1" fieldPosition="0"/>
    </format>
    <format dxfId="57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A41CCBB-A290-4C11-85EA-B4149D68DD2F}" name="PivotTable17" cacheId="4"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location ref="A1:I312" firstHeaderRow="0" firstDataRow="1" firstDataCol="3"/>
  <pivotFields count="9">
    <pivotField axis="axisRow" compact="0" outline="0" showAll="0" defaultSubtotal="0">
      <items count="311">
        <item x="43"/>
        <item x="42"/>
        <item x="76"/>
        <item x="77"/>
        <item x="78"/>
        <item x="79"/>
        <item x="80"/>
        <item x="81"/>
        <item x="82"/>
        <item x="83"/>
        <item x="84"/>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97"/>
        <item x="98"/>
        <item x="99"/>
        <item x="100"/>
        <item x="101"/>
        <item x="102"/>
        <item x="103"/>
        <item x="104"/>
        <item x="32"/>
        <item x="33"/>
        <item x="34"/>
        <item x="35"/>
        <item x="36"/>
        <item x="37"/>
        <item x="38"/>
        <item x="39"/>
        <item x="24"/>
        <item x="25"/>
        <item x="26"/>
        <item x="27"/>
        <item x="28"/>
        <item x="29"/>
        <item x="30"/>
        <item x="31"/>
        <item x="8"/>
        <item x="9"/>
        <item x="10"/>
        <item x="11"/>
        <item x="12"/>
        <item x="13"/>
        <item x="14"/>
        <item x="15"/>
        <item x="16"/>
        <item x="17"/>
        <item x="18"/>
        <item x="19"/>
        <item x="20"/>
        <item x="21"/>
        <item x="22"/>
        <item x="23"/>
        <item x="40"/>
        <item x="0"/>
        <item x="1"/>
        <item x="3"/>
        <item x="4"/>
        <item x="5"/>
        <item x="6"/>
        <item x="7"/>
        <item x="88"/>
        <item x="94"/>
        <item x="89"/>
        <item x="95"/>
        <item x="90"/>
        <item x="96"/>
        <item x="154"/>
        <item x="165"/>
        <item x="173"/>
        <item x="155"/>
        <item x="162"/>
        <item x="166"/>
        <item x="174"/>
        <item x="156"/>
        <item x="167"/>
        <item x="175"/>
        <item x="157"/>
        <item x="163"/>
        <item x="168"/>
        <item x="176"/>
        <item x="158"/>
        <item x="169"/>
        <item x="177"/>
        <item x="159"/>
        <item x="170"/>
        <item x="178"/>
        <item x="160"/>
        <item x="171"/>
        <item x="179"/>
        <item x="161"/>
        <item x="172"/>
        <item x="180"/>
        <item x="85"/>
        <item x="86"/>
        <item x="87"/>
        <item x="91"/>
        <item x="92"/>
        <item x="93"/>
        <item m="1" x="310"/>
        <item x="282"/>
        <item x="283"/>
        <item x="284"/>
        <item x="41"/>
        <item x="164"/>
        <item x="285"/>
        <item x="286"/>
        <item x="287"/>
        <item x="288"/>
        <item x="289"/>
        <item x="290"/>
        <item sd="0" x="292"/>
        <item x="293"/>
        <item x="294"/>
        <item x="295"/>
        <item x="297"/>
        <item x="298"/>
        <item x="299"/>
        <item x="300"/>
        <item x="302"/>
        <item x="303"/>
        <item x="304"/>
        <item x="305"/>
        <item x="306"/>
        <item x="307"/>
        <item x="308"/>
        <item x="309"/>
        <item x="2"/>
        <item x="291"/>
        <item x="296"/>
        <item x="301"/>
      </items>
    </pivotField>
    <pivotField axis="axisRow" compact="0" outline="0" showAll="0" defaultSubtotal="0">
      <items count="7">
        <item x="4"/>
        <item x="0"/>
        <item x="2"/>
        <item x="1"/>
        <item x="3"/>
        <item x="5"/>
        <item x="6"/>
      </items>
    </pivotField>
    <pivotField axis="axisRow" compact="0" outline="0" showAll="0" defaultSubtotal="0">
      <items count="5">
        <item x="4"/>
        <item x="3"/>
        <item x="0"/>
        <item x="2"/>
        <item x="1"/>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2"/>
  </rowFields>
  <rowItems count="311">
    <i>
      <x/>
      <x v="2"/>
      <x v="3"/>
    </i>
    <i>
      <x v="1"/>
      <x v="3"/>
      <x v="4"/>
    </i>
    <i>
      <x v="2"/>
      <x/>
      <x v="1"/>
    </i>
    <i>
      <x v="3"/>
      <x/>
      <x v="1"/>
    </i>
    <i>
      <x v="4"/>
      <x/>
      <x v="1"/>
    </i>
    <i>
      <x v="5"/>
      <x/>
      <x v="1"/>
    </i>
    <i>
      <x v="6"/>
      <x/>
      <x v="1"/>
    </i>
    <i>
      <x v="7"/>
      <x/>
      <x v="1"/>
    </i>
    <i>
      <x v="8"/>
      <x/>
      <x v="1"/>
    </i>
    <i>
      <x v="9"/>
      <x/>
      <x v="1"/>
    </i>
    <i>
      <x v="10"/>
      <x/>
      <x v="1"/>
    </i>
    <i>
      <x v="11"/>
      <x v="1"/>
      <x v="2"/>
    </i>
    <i>
      <x v="12"/>
      <x v="1"/>
      <x v="2"/>
    </i>
    <i>
      <x v="13"/>
      <x v="1"/>
      <x v="2"/>
    </i>
    <i>
      <x v="14"/>
      <x v="1"/>
      <x v="2"/>
    </i>
    <i>
      <x v="15"/>
      <x v="1"/>
      <x v="2"/>
    </i>
    <i>
      <x v="16"/>
      <x v="1"/>
      <x v="2"/>
    </i>
    <i>
      <x v="17"/>
      <x v="1"/>
      <x v="2"/>
    </i>
    <i>
      <x v="18"/>
      <x v="1"/>
      <x v="2"/>
    </i>
    <i>
      <x v="19"/>
      <x v="1"/>
      <x v="2"/>
    </i>
    <i>
      <x v="20"/>
      <x v="1"/>
      <x v="2"/>
    </i>
    <i>
      <x v="21"/>
      <x v="1"/>
      <x v="2"/>
    </i>
    <i>
      <x v="22"/>
      <x v="1"/>
      <x v="2"/>
    </i>
    <i>
      <x v="23"/>
      <x v="1"/>
      <x v="2"/>
    </i>
    <i>
      <x v="24"/>
      <x v="1"/>
      <x v="2"/>
    </i>
    <i>
      <x v="25"/>
      <x v="1"/>
      <x v="2"/>
    </i>
    <i>
      <x v="26"/>
      <x v="1"/>
      <x v="2"/>
    </i>
    <i>
      <x v="27"/>
      <x v="1"/>
      <x v="2"/>
    </i>
    <i>
      <x v="28"/>
      <x v="1"/>
      <x v="2"/>
    </i>
    <i>
      <x v="29"/>
      <x v="1"/>
      <x v="2"/>
    </i>
    <i>
      <x v="30"/>
      <x v="1"/>
      <x v="2"/>
    </i>
    <i>
      <x v="31"/>
      <x v="1"/>
      <x v="2"/>
    </i>
    <i>
      <x v="32"/>
      <x v="1"/>
      <x v="2"/>
    </i>
    <i>
      <x v="33"/>
      <x v="1"/>
      <x v="2"/>
    </i>
    <i>
      <x v="34"/>
      <x v="1"/>
      <x v="2"/>
    </i>
    <i>
      <x v="35"/>
      <x v="1"/>
      <x v="2"/>
    </i>
    <i>
      <x v="36"/>
      <x v="1"/>
      <x v="2"/>
    </i>
    <i>
      <x v="37"/>
      <x v="1"/>
      <x v="2"/>
    </i>
    <i>
      <x v="38"/>
      <x v="1"/>
      <x v="2"/>
    </i>
    <i>
      <x v="39"/>
      <x v="1"/>
      <x v="2"/>
    </i>
    <i>
      <x v="40"/>
      <x v="1"/>
      <x v="2"/>
    </i>
    <i>
      <x v="41"/>
      <x v="4"/>
      <x v="1"/>
    </i>
    <i>
      <x v="42"/>
      <x/>
      <x v="1"/>
    </i>
    <i>
      <x v="43"/>
      <x/>
      <x v="1"/>
    </i>
    <i>
      <x v="44"/>
      <x/>
      <x v="1"/>
    </i>
    <i>
      <x v="45"/>
      <x/>
      <x v="1"/>
    </i>
    <i>
      <x v="46"/>
      <x/>
      <x v="1"/>
    </i>
    <i>
      <x v="47"/>
      <x/>
      <x v="1"/>
    </i>
    <i>
      <x v="48"/>
      <x/>
      <x v="1"/>
    </i>
    <i>
      <x v="49"/>
      <x/>
      <x v="1"/>
    </i>
    <i>
      <x v="50"/>
      <x/>
      <x v="1"/>
    </i>
    <i>
      <x v="51"/>
      <x/>
      <x v="1"/>
    </i>
    <i>
      <x v="52"/>
      <x/>
      <x v="1"/>
    </i>
    <i>
      <x v="53"/>
      <x/>
      <x v="1"/>
    </i>
    <i>
      <x v="54"/>
      <x/>
      <x v="1"/>
    </i>
    <i>
      <x v="55"/>
      <x/>
      <x v="1"/>
    </i>
    <i>
      <x v="56"/>
      <x/>
      <x v="1"/>
    </i>
    <i>
      <x v="57"/>
      <x/>
      <x v="1"/>
    </i>
    <i>
      <x v="58"/>
      <x/>
      <x v="1"/>
    </i>
    <i>
      <x v="59"/>
      <x/>
      <x/>
    </i>
    <i>
      <x v="60"/>
      <x/>
      <x/>
    </i>
    <i>
      <x v="61"/>
      <x/>
      <x/>
    </i>
    <i>
      <x v="62"/>
      <x/>
      <x/>
    </i>
    <i>
      <x v="63"/>
      <x/>
      <x/>
    </i>
    <i>
      <x v="64"/>
      <x/>
      <x/>
    </i>
    <i>
      <x v="65"/>
      <x/>
      <x/>
    </i>
    <i>
      <x v="66"/>
      <x/>
      <x/>
    </i>
    <i>
      <x v="67"/>
      <x/>
      <x/>
    </i>
    <i>
      <x v="68"/>
      <x/>
      <x/>
    </i>
    <i>
      <x v="69"/>
      <x/>
      <x/>
    </i>
    <i>
      <x v="70"/>
      <x/>
      <x/>
    </i>
    <i>
      <x v="71"/>
      <x/>
      <x/>
    </i>
    <i>
      <x v="72"/>
      <x/>
      <x/>
    </i>
    <i>
      <x v="73"/>
      <x/>
      <x/>
    </i>
    <i>
      <x v="74"/>
      <x/>
      <x/>
    </i>
    <i>
      <x v="75"/>
      <x/>
      <x/>
    </i>
    <i>
      <x v="76"/>
      <x/>
      <x/>
    </i>
    <i>
      <x v="77"/>
      <x/>
      <x/>
    </i>
    <i>
      <x v="78"/>
      <x/>
      <x/>
    </i>
    <i>
      <x v="79"/>
      <x/>
      <x/>
    </i>
    <i>
      <x v="80"/>
      <x/>
      <x/>
    </i>
    <i>
      <x v="81"/>
      <x/>
      <x/>
    </i>
    <i>
      <x v="82"/>
      <x/>
      <x/>
    </i>
    <i>
      <x v="83"/>
      <x/>
      <x/>
    </i>
    <i>
      <x v="84"/>
      <x/>
      <x/>
    </i>
    <i>
      <x v="85"/>
      <x/>
      <x/>
    </i>
    <i>
      <x v="86"/>
      <x/>
      <x/>
    </i>
    <i>
      <x v="87"/>
      <x/>
      <x/>
    </i>
    <i>
      <x v="88"/>
      <x/>
      <x/>
    </i>
    <i>
      <x v="89"/>
      <x/>
      <x/>
    </i>
    <i>
      <x v="90"/>
      <x/>
      <x/>
    </i>
    <i>
      <x v="91"/>
      <x/>
      <x/>
    </i>
    <i>
      <x v="92"/>
      <x/>
      <x v="1"/>
    </i>
    <i>
      <x v="93"/>
      <x/>
      <x v="1"/>
    </i>
    <i>
      <x v="94"/>
      <x/>
      <x v="1"/>
    </i>
    <i>
      <x v="95"/>
      <x/>
      <x/>
    </i>
    <i>
      <x v="96"/>
      <x/>
      <x/>
    </i>
    <i>
      <x v="97"/>
      <x/>
      <x/>
    </i>
    <i>
      <x v="98"/>
      <x/>
      <x/>
    </i>
    <i>
      <x v="99"/>
      <x/>
      <x/>
    </i>
    <i>
      <x v="100"/>
      <x/>
      <x/>
    </i>
    <i>
      <x v="101"/>
      <x/>
      <x/>
    </i>
    <i>
      <x v="102"/>
      <x/>
      <x/>
    </i>
    <i>
      <x v="103"/>
      <x/>
      <x/>
    </i>
    <i>
      <x v="104"/>
      <x/>
      <x/>
    </i>
    <i>
      <x v="105"/>
      <x/>
      <x/>
    </i>
    <i>
      <x v="106"/>
      <x/>
      <x/>
    </i>
    <i>
      <x v="107"/>
      <x/>
      <x v="1"/>
    </i>
    <i>
      <x v="108"/>
      <x/>
      <x v="1"/>
    </i>
    <i>
      <x v="109"/>
      <x/>
      <x v="1"/>
    </i>
    <i>
      <x v="110"/>
      <x/>
      <x v="1"/>
    </i>
    <i>
      <x v="111"/>
      <x/>
      <x v="1"/>
    </i>
    <i>
      <x v="112"/>
      <x/>
      <x v="1"/>
    </i>
    <i>
      <x v="113"/>
      <x/>
      <x v="1"/>
    </i>
    <i>
      <x v="114"/>
      <x/>
      <x v="1"/>
    </i>
    <i>
      <x v="115"/>
      <x/>
      <x v="1"/>
    </i>
    <i>
      <x v="116"/>
      <x/>
      <x v="1"/>
    </i>
    <i>
      <x v="117"/>
      <x/>
      <x v="1"/>
    </i>
    <i>
      <x v="118"/>
      <x/>
      <x v="1"/>
    </i>
    <i>
      <x v="119"/>
      <x/>
      <x v="1"/>
    </i>
    <i>
      <x v="120"/>
      <x/>
      <x v="1"/>
    </i>
    <i>
      <x v="121"/>
      <x/>
      <x v="1"/>
    </i>
    <i>
      <x v="122"/>
      <x/>
      <x v="1"/>
    </i>
    <i>
      <x v="123"/>
      <x/>
      <x v="1"/>
    </i>
    <i>
      <x v="124"/>
      <x/>
      <x v="1"/>
    </i>
    <i>
      <x v="125"/>
      <x/>
      <x v="1"/>
    </i>
    <i>
      <x v="126"/>
      <x/>
      <x v="1"/>
    </i>
    <i>
      <x v="127"/>
      <x/>
      <x v="1"/>
    </i>
    <i>
      <x v="128"/>
      <x/>
      <x v="1"/>
    </i>
    <i>
      <x v="129"/>
      <x/>
      <x v="1"/>
    </i>
    <i>
      <x v="130"/>
      <x/>
      <x v="1"/>
    </i>
    <i>
      <x v="131"/>
      <x/>
      <x v="1"/>
    </i>
    <i>
      <x v="132"/>
      <x/>
      <x v="1"/>
    </i>
    <i>
      <x v="133"/>
      <x/>
      <x v="1"/>
    </i>
    <i>
      <x v="134"/>
      <x/>
      <x v="1"/>
    </i>
    <i>
      <x v="135"/>
      <x/>
      <x v="1"/>
    </i>
    <i>
      <x v="136"/>
      <x/>
      <x v="1"/>
    </i>
    <i>
      <x v="137"/>
      <x/>
      <x v="1"/>
    </i>
    <i>
      <x v="138"/>
      <x/>
      <x v="1"/>
    </i>
    <i>
      <x v="139"/>
      <x/>
      <x v="1"/>
    </i>
    <i>
      <x v="140"/>
      <x/>
      <x v="1"/>
    </i>
    <i>
      <x v="141"/>
      <x/>
      <x v="1"/>
    </i>
    <i>
      <x v="142"/>
      <x/>
      <x v="1"/>
    </i>
    <i>
      <x v="143"/>
      <x/>
      <x v="1"/>
    </i>
    <i>
      <x v="144"/>
      <x/>
      <x v="1"/>
    </i>
    <i>
      <x v="145"/>
      <x/>
      <x v="1"/>
    </i>
    <i>
      <x v="146"/>
      <x/>
      <x v="1"/>
    </i>
    <i>
      <x v="147"/>
      <x/>
      <x v="1"/>
    </i>
    <i>
      <x v="148"/>
      <x/>
      <x v="1"/>
    </i>
    <i>
      <x v="149"/>
      <x/>
      <x v="1"/>
    </i>
    <i>
      <x v="150"/>
      <x/>
      <x v="1"/>
    </i>
    <i>
      <x v="151"/>
      <x/>
      <x v="1"/>
    </i>
    <i>
      <x v="152"/>
      <x/>
      <x v="1"/>
    </i>
    <i>
      <x v="153"/>
      <x/>
      <x v="1"/>
    </i>
    <i>
      <x v="154"/>
      <x/>
      <x v="1"/>
    </i>
    <i>
      <x v="155"/>
      <x/>
      <x v="1"/>
    </i>
    <i>
      <x v="156"/>
      <x/>
      <x v="1"/>
    </i>
    <i>
      <x v="157"/>
      <x/>
      <x v="1"/>
    </i>
    <i>
      <x v="158"/>
      <x/>
      <x v="1"/>
    </i>
    <i>
      <x v="159"/>
      <x/>
      <x v="1"/>
    </i>
    <i>
      <x v="160"/>
      <x/>
      <x v="1"/>
    </i>
    <i>
      <x v="161"/>
      <x/>
      <x v="1"/>
    </i>
    <i>
      <x v="162"/>
      <x/>
      <x v="1"/>
    </i>
    <i>
      <x v="163"/>
      <x/>
      <x v="1"/>
    </i>
    <i>
      <x v="164"/>
      <x/>
      <x v="1"/>
    </i>
    <i>
      <x v="165"/>
      <x/>
      <x v="1"/>
    </i>
    <i>
      <x v="166"/>
      <x/>
      <x v="1"/>
    </i>
    <i>
      <x v="167"/>
      <x/>
      <x v="1"/>
    </i>
    <i>
      <x v="168"/>
      <x/>
      <x v="1"/>
    </i>
    <i>
      <x v="169"/>
      <x/>
      <x v="1"/>
    </i>
    <i>
      <x v="170"/>
      <x/>
      <x v="1"/>
    </i>
    <i>
      <x v="171"/>
      <x/>
      <x v="1"/>
    </i>
    <i>
      <x v="172"/>
      <x/>
      <x v="1"/>
    </i>
    <i>
      <x v="173"/>
      <x/>
      <x v="1"/>
    </i>
    <i>
      <x v="174"/>
      <x/>
      <x v="1"/>
    </i>
    <i>
      <x v="175"/>
      <x/>
      <x v="1"/>
    </i>
    <i>
      <x v="176"/>
      <x/>
      <x v="1"/>
    </i>
    <i>
      <x v="177"/>
      <x/>
      <x v="1"/>
    </i>
    <i>
      <x v="178"/>
      <x/>
      <x v="1"/>
    </i>
    <i>
      <x v="179"/>
      <x/>
      <x v="1"/>
    </i>
    <i>
      <x v="180"/>
      <x/>
      <x v="1"/>
    </i>
    <i>
      <x v="181"/>
      <x/>
      <x v="1"/>
    </i>
    <i>
      <x v="182"/>
      <x/>
      <x v="1"/>
    </i>
    <i>
      <x v="183"/>
      <x/>
      <x v="1"/>
    </i>
    <i>
      <x v="184"/>
      <x/>
      <x v="1"/>
    </i>
    <i>
      <x v="185"/>
      <x/>
      <x v="1"/>
    </i>
    <i>
      <x v="186"/>
      <x/>
      <x v="1"/>
    </i>
    <i>
      <x v="187"/>
      <x/>
      <x v="1"/>
    </i>
    <i>
      <x v="188"/>
      <x/>
      <x v="1"/>
    </i>
    <i>
      <x v="189"/>
      <x/>
      <x v="1"/>
    </i>
    <i>
      <x v="190"/>
      <x/>
      <x v="1"/>
    </i>
    <i>
      <x v="191"/>
      <x/>
      <x v="1"/>
    </i>
    <i>
      <x v="192"/>
      <x/>
      <x v="1"/>
    </i>
    <i>
      <x v="193"/>
      <x v="1"/>
      <x v="1"/>
    </i>
    <i>
      <x v="194"/>
      <x v="1"/>
      <x v="1"/>
    </i>
    <i>
      <x v="195"/>
      <x v="1"/>
      <x v="1"/>
    </i>
    <i>
      <x v="196"/>
      <x v="1"/>
      <x v="1"/>
    </i>
    <i>
      <x v="197"/>
      <x v="1"/>
      <x v="1"/>
    </i>
    <i>
      <x v="198"/>
      <x v="1"/>
      <x v="1"/>
    </i>
    <i>
      <x v="199"/>
      <x v="1"/>
      <x v="1"/>
    </i>
    <i>
      <x v="200"/>
      <x v="1"/>
      <x v="1"/>
    </i>
    <i>
      <x v="201"/>
      <x v="1"/>
      <x v="2"/>
    </i>
    <i>
      <x v="202"/>
      <x v="1"/>
      <x v="2"/>
    </i>
    <i>
      <x v="203"/>
      <x v="1"/>
      <x v="2"/>
    </i>
    <i>
      <x v="204"/>
      <x v="1"/>
      <x v="2"/>
    </i>
    <i>
      <x v="205"/>
      <x v="1"/>
      <x v="2"/>
    </i>
    <i>
      <x v="206"/>
      <x v="1"/>
      <x v="2"/>
    </i>
    <i>
      <x v="207"/>
      <x v="1"/>
      <x v="2"/>
    </i>
    <i>
      <x v="208"/>
      <x v="1"/>
      <x v="2"/>
    </i>
    <i>
      <x v="209"/>
      <x v="1"/>
      <x v="2"/>
    </i>
    <i>
      <x v="210"/>
      <x v="1"/>
      <x v="2"/>
    </i>
    <i>
      <x v="211"/>
      <x v="1"/>
      <x v="2"/>
    </i>
    <i>
      <x v="212"/>
      <x v="1"/>
      <x v="2"/>
    </i>
    <i>
      <x v="213"/>
      <x v="1"/>
      <x v="2"/>
    </i>
    <i>
      <x v="214"/>
      <x v="1"/>
      <x v="2"/>
    </i>
    <i>
      <x v="215"/>
      <x v="1"/>
      <x v="2"/>
    </i>
    <i>
      <x v="216"/>
      <x v="1"/>
      <x v="2"/>
    </i>
    <i>
      <x v="217"/>
      <x v="1"/>
      <x v="2"/>
    </i>
    <i>
      <x v="218"/>
      <x v="1"/>
      <x v="2"/>
    </i>
    <i>
      <x v="219"/>
      <x v="1"/>
      <x v="2"/>
    </i>
    <i>
      <x v="220"/>
      <x v="1"/>
      <x v="2"/>
    </i>
    <i>
      <x v="221"/>
      <x v="1"/>
      <x v="2"/>
    </i>
    <i>
      <x v="222"/>
      <x v="1"/>
      <x v="2"/>
    </i>
    <i>
      <x v="223"/>
      <x v="1"/>
      <x v="2"/>
    </i>
    <i>
      <x v="224"/>
      <x v="1"/>
      <x v="2"/>
    </i>
    <i>
      <x v="225"/>
      <x v="1"/>
      <x v="2"/>
    </i>
    <i>
      <x v="226"/>
      <x v="1"/>
      <x v="2"/>
    </i>
    <i>
      <x v="227"/>
      <x v="1"/>
      <x v="2"/>
    </i>
    <i>
      <x v="228"/>
      <x v="1"/>
      <x v="2"/>
    </i>
    <i>
      <x v="229"/>
      <x v="1"/>
      <x v="2"/>
    </i>
    <i>
      <x v="230"/>
      <x v="1"/>
      <x v="2"/>
    </i>
    <i>
      <x v="231"/>
      <x v="1"/>
      <x v="2"/>
    </i>
    <i>
      <x v="232"/>
      <x v="1"/>
      <x v="2"/>
    </i>
    <i>
      <x v="233"/>
      <x v="1"/>
      <x v="2"/>
    </i>
    <i>
      <x v="234"/>
      <x v="1"/>
      <x v="2"/>
    </i>
    <i>
      <x v="235"/>
      <x v="1"/>
      <x v="2"/>
    </i>
    <i>
      <x v="236"/>
      <x v="1"/>
      <x v="2"/>
    </i>
    <i>
      <x v="237"/>
      <x v="1"/>
      <x v="2"/>
    </i>
    <i>
      <x v="238"/>
      <x v="1"/>
      <x v="2"/>
    </i>
    <i>
      <x v="239"/>
      <x v="1"/>
      <x v="2"/>
    </i>
    <i>
      <x v="240"/>
      <x v="1"/>
      <x v="2"/>
    </i>
    <i>
      <x v="241"/>
      <x v="5"/>
      <x/>
    </i>
    <i>
      <x v="242"/>
      <x v="5"/>
      <x v="1"/>
    </i>
    <i>
      <x v="243"/>
      <x v="5"/>
      <x/>
    </i>
    <i>
      <x v="244"/>
      <x v="5"/>
      <x v="1"/>
    </i>
    <i>
      <x v="245"/>
      <x v="5"/>
      <x/>
    </i>
    <i>
      <x v="246"/>
      <x v="5"/>
      <x v="1"/>
    </i>
    <i>
      <x v="247"/>
      <x/>
      <x v="1"/>
    </i>
    <i>
      <x v="248"/>
      <x/>
      <x v="1"/>
    </i>
    <i>
      <x v="249"/>
      <x/>
      <x v="1"/>
    </i>
    <i>
      <x v="250"/>
      <x/>
      <x v="1"/>
    </i>
    <i>
      <x v="251"/>
      <x/>
      <x v="1"/>
    </i>
    <i>
      <x v="252"/>
      <x/>
      <x v="1"/>
    </i>
    <i>
      <x v="253"/>
      <x/>
      <x v="1"/>
    </i>
    <i>
      <x v="254"/>
      <x/>
      <x v="1"/>
    </i>
    <i>
      <x v="255"/>
      <x/>
      <x v="1"/>
    </i>
    <i>
      <x v="256"/>
      <x/>
      <x v="1"/>
    </i>
    <i>
      <x v="257"/>
      <x/>
      <x v="1"/>
    </i>
    <i>
      <x v="258"/>
      <x/>
      <x v="1"/>
    </i>
    <i>
      <x v="259"/>
      <x/>
      <x v="1"/>
    </i>
    <i>
      <x v="260"/>
      <x/>
      <x v="1"/>
    </i>
    <i>
      <x v="261"/>
      <x/>
      <x v="1"/>
    </i>
    <i>
      <x v="262"/>
      <x/>
      <x v="1"/>
    </i>
    <i>
      <x v="263"/>
      <x/>
      <x v="1"/>
    </i>
    <i>
      <x v="264"/>
      <x/>
      <x v="1"/>
    </i>
    <i>
      <x v="265"/>
      <x/>
      <x v="1"/>
    </i>
    <i>
      <x v="266"/>
      <x/>
      <x v="1"/>
    </i>
    <i>
      <x v="267"/>
      <x/>
      <x v="1"/>
    </i>
    <i>
      <x v="268"/>
      <x/>
      <x v="1"/>
    </i>
    <i>
      <x v="269"/>
      <x/>
      <x v="1"/>
    </i>
    <i>
      <x v="270"/>
      <x/>
      <x v="1"/>
    </i>
    <i>
      <x v="271"/>
      <x/>
      <x v="1"/>
    </i>
    <i>
      <x v="272"/>
      <x/>
      <x v="1"/>
    </i>
    <i>
      <x v="273"/>
      <x v="5"/>
      <x/>
    </i>
    <i>
      <x v="274"/>
      <x v="5"/>
      <x/>
    </i>
    <i>
      <x v="275"/>
      <x v="5"/>
      <x/>
    </i>
    <i>
      <x v="276"/>
      <x v="5"/>
      <x v="1"/>
    </i>
    <i>
      <x v="277"/>
      <x v="5"/>
      <x v="1"/>
    </i>
    <i>
      <x v="278"/>
      <x v="5"/>
      <x v="1"/>
    </i>
    <i>
      <x v="280"/>
      <x/>
      <x v="1"/>
    </i>
    <i>
      <x v="281"/>
      <x/>
      <x v="1"/>
    </i>
    <i>
      <x v="282"/>
      <x/>
      <x v="1"/>
    </i>
    <i>
      <x v="283"/>
      <x v="1"/>
      <x v="2"/>
    </i>
    <i>
      <x v="284"/>
      <x/>
      <x v="1"/>
    </i>
    <i>
      <x v="285"/>
      <x/>
      <x v="1"/>
    </i>
    <i>
      <x v="286"/>
      <x/>
      <x v="1"/>
    </i>
    <i>
      <x v="287"/>
      <x v="1"/>
      <x v="1"/>
    </i>
    <i>
      <x v="288"/>
      <x v="1"/>
      <x v="1"/>
    </i>
    <i>
      <x v="289"/>
      <x v="1"/>
      <x v="1"/>
    </i>
    <i>
      <x v="290"/>
      <x v="1"/>
      <x v="1"/>
    </i>
    <i>
      <x v="291"/>
    </i>
    <i>
      <x v="292"/>
      <x v="5"/>
      <x v="1"/>
    </i>
    <i>
      <x v="293"/>
      <x v="5"/>
      <x v="1"/>
    </i>
    <i>
      <x v="294"/>
      <x v="5"/>
      <x v="1"/>
    </i>
    <i>
      <x v="295"/>
      <x v="6"/>
      <x v="1"/>
    </i>
    <i>
      <x v="296"/>
      <x v="6"/>
      <x v="1"/>
    </i>
    <i>
      <x v="297"/>
      <x v="6"/>
      <x v="1"/>
    </i>
    <i>
      <x v="298"/>
      <x v="6"/>
      <x v="1"/>
    </i>
    <i>
      <x v="299"/>
      <x v="1"/>
      <x v="2"/>
    </i>
    <i>
      <x v="300"/>
      <x v="1"/>
      <x v="2"/>
    </i>
    <i>
      <x v="301"/>
      <x v="1"/>
      <x v="2"/>
    </i>
    <i>
      <x v="302"/>
      <x v="1"/>
      <x v="2"/>
    </i>
    <i>
      <x v="303"/>
      <x v="1"/>
      <x v="2"/>
    </i>
    <i>
      <x v="304"/>
      <x v="1"/>
      <x v="2"/>
    </i>
    <i>
      <x v="305"/>
      <x v="1"/>
      <x v="2"/>
    </i>
    <i>
      <x v="306"/>
      <x v="1"/>
      <x v="2"/>
    </i>
    <i>
      <x v="307"/>
      <x v="1"/>
      <x v="2"/>
    </i>
    <i>
      <x v="308"/>
      <x v="1"/>
      <x v="1"/>
    </i>
    <i>
      <x v="309"/>
      <x v="5"/>
      <x v="1"/>
    </i>
    <i>
      <x v="310"/>
      <x v="6"/>
      <x v="1"/>
    </i>
    <i t="grand">
      <x/>
    </i>
  </rowItems>
  <colFields count="1">
    <field x="-2"/>
  </colFields>
  <colItems count="6">
    <i>
      <x/>
    </i>
    <i i="1">
      <x v="1"/>
    </i>
    <i i="2">
      <x v="2"/>
    </i>
    <i i="3">
      <x v="3"/>
    </i>
    <i i="4">
      <x v="4"/>
    </i>
    <i i="5">
      <x v="5"/>
    </i>
  </colItems>
  <dataFields count="6">
    <dataField name="Sum of Sum of Consumption Quantity" fld="3" baseField="0" baseItem="0" numFmtId="43"/>
    <dataField name="Sum of Sum of Total GJ" fld="4" baseField="0" baseItem="0"/>
    <dataField name="Sum of Sum of Scope 1 kg CO2-e" fld="5" baseField="0" baseItem="0"/>
    <dataField name="Sum of Sum of Scope 2 kg CO2-e" fld="6" baseField="0" baseItem="0"/>
    <dataField name="Sum of Sum of Scope 3 kg CO2-e" fld="7" baseField="0" baseItem="0"/>
    <dataField name="Sum of Sum of Total Emissions" fld="8" baseField="0" baseItem="0"/>
  </dataFields>
  <formats count="4">
    <format dxfId="574">
      <pivotArea field="0" grandRow="1" outline="0" axis="axisRow" fieldPosition="0">
        <references count="1">
          <reference field="4294967294" count="1" selected="0">
            <x v="0"/>
          </reference>
        </references>
      </pivotArea>
    </format>
    <format dxfId="573">
      <pivotArea grandRow="1" outline="0" collapsedLevelsAreSubtotals="1" fieldPosition="0"/>
    </format>
    <format dxfId="572">
      <pivotArea outline="0" fieldPosition="0">
        <references count="1">
          <reference field="4294967294" count="1" selected="0">
            <x v="0"/>
          </reference>
        </references>
      </pivotArea>
    </format>
    <format dxfId="571">
      <pivotArea dataOnly="0" labelOnly="1" outline="0" fieldPosition="0">
        <references count="1">
          <reference field="4294967294" count="1">
            <x v="0"/>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1482919-B5D6-4799-B809-A9C3F7AD4532}" name="PivotTable13"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B16" firstHeaderRow="1" firstDataRow="1" firstDataCol="1"/>
  <pivotFields count="57">
    <pivotField numFmtId="15" showAll="0"/>
    <pivotField numFmtId="15" showAll="0"/>
    <pivotField showAll="0"/>
    <pivotField showAll="0"/>
    <pivotField showAll="0"/>
    <pivotField showAll="0"/>
    <pivotField showAll="0"/>
    <pivotField showAll="0"/>
    <pivotField showAll="0"/>
    <pivotField showAll="0"/>
    <pivotField showAll="0"/>
    <pivotField axis="axisRow" showAll="0">
      <items count="4">
        <item x="2"/>
        <item x="1"/>
        <item x="0"/>
        <item t="default"/>
      </items>
    </pivotField>
    <pivotField axis="axisRow" showAll="0">
      <items count="11">
        <item x="4"/>
        <item x="1"/>
        <item x="8"/>
        <item x="9"/>
        <item x="0"/>
        <item x="2"/>
        <item x="7"/>
        <item x="3"/>
        <item x="6"/>
        <item x="5"/>
        <item t="default"/>
      </items>
    </pivotField>
    <pivotField showAll="0"/>
    <pivotField showAll="0"/>
    <pivotField showAll="0"/>
    <pivotField showAll="0"/>
    <pivotField showAll="0"/>
    <pivotField showAll="0"/>
    <pivotField showAll="0"/>
    <pivotField showAll="0"/>
    <pivotField showAll="0"/>
    <pivotField numFmtId="17"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1"/>
    <field x="12"/>
  </rowFields>
  <rowItems count="14">
    <i>
      <x/>
    </i>
    <i r="1">
      <x v="2"/>
    </i>
    <i>
      <x v="1"/>
    </i>
    <i r="1">
      <x/>
    </i>
    <i r="1">
      <x v="5"/>
    </i>
    <i r="1">
      <x v="6"/>
    </i>
    <i>
      <x v="2"/>
    </i>
    <i r="1">
      <x v="1"/>
    </i>
    <i r="1">
      <x v="3"/>
    </i>
    <i r="1">
      <x v="4"/>
    </i>
    <i r="1">
      <x v="7"/>
    </i>
    <i r="1">
      <x v="8"/>
    </i>
    <i r="1">
      <x v="9"/>
    </i>
    <i t="grand">
      <x/>
    </i>
  </rowItems>
  <colItems count="1">
    <i/>
  </colItems>
  <dataFields count="1">
    <dataField name="Sum of Total Data"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3FB2ECD-8A0B-467B-988F-685CE2B897C7}"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0:B37" firstHeaderRow="1" firstDataRow="1" firstDataCol="1"/>
  <pivotFields count="33">
    <pivotField showAll="0"/>
    <pivotField axis="axisRow" showAll="0">
      <items count="4">
        <item x="2"/>
        <item x="0"/>
        <item x="1"/>
        <item t="default"/>
      </items>
    </pivotField>
    <pivotField axis="axisRow" showAll="0">
      <items count="14">
        <item x="4"/>
        <item x="9"/>
        <item x="2"/>
        <item x="8"/>
        <item x="5"/>
        <item x="12"/>
        <item x="3"/>
        <item x="0"/>
        <item x="6"/>
        <item x="10"/>
        <item x="7"/>
        <item x="11"/>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s>
  <rowFields count="2">
    <field x="1"/>
    <field x="2"/>
  </rowFields>
  <rowItems count="17">
    <i>
      <x/>
    </i>
    <i r="1">
      <x v="3"/>
    </i>
    <i>
      <x v="1"/>
    </i>
    <i r="1">
      <x/>
    </i>
    <i r="1">
      <x v="1"/>
    </i>
    <i r="1">
      <x v="7"/>
    </i>
    <i r="1">
      <x v="8"/>
    </i>
    <i r="1">
      <x v="9"/>
    </i>
    <i>
      <x v="2"/>
    </i>
    <i r="1">
      <x v="2"/>
    </i>
    <i r="1">
      <x v="4"/>
    </i>
    <i r="1">
      <x v="5"/>
    </i>
    <i r="1">
      <x v="6"/>
    </i>
    <i r="1">
      <x v="10"/>
    </i>
    <i r="1">
      <x v="11"/>
    </i>
    <i r="1">
      <x v="12"/>
    </i>
    <i t="grand">
      <x/>
    </i>
  </rowItems>
  <colItems count="1">
    <i/>
  </colItems>
  <dataFields count="1">
    <dataField name="Sum of Total FY20" fld="32" baseField="0" baseItem="0" numFmtId="174"/>
  </dataFields>
  <formats count="24">
    <format dxfId="75">
      <pivotArea outline="0" collapsedLevelsAreSubtotals="1" fieldPosition="0"/>
    </format>
    <format dxfId="74">
      <pivotArea dataOnly="0" labelOnly="1" outline="0" axis="axisValues" fieldPosition="0"/>
    </format>
    <format dxfId="73">
      <pivotArea type="all" dataOnly="0" outline="0" fieldPosition="0"/>
    </format>
    <format dxfId="72">
      <pivotArea outline="0" collapsedLevelsAreSubtotals="1" fieldPosition="0"/>
    </format>
    <format dxfId="71">
      <pivotArea field="1" type="button" dataOnly="0" labelOnly="1" outline="0" axis="axisRow" fieldPosition="0"/>
    </format>
    <format dxfId="70">
      <pivotArea dataOnly="0" labelOnly="1" fieldPosition="0">
        <references count="1">
          <reference field="1" count="0"/>
        </references>
      </pivotArea>
    </format>
    <format dxfId="69">
      <pivotArea dataOnly="0" labelOnly="1" grandRow="1" outline="0" fieldPosition="0"/>
    </format>
    <format dxfId="68">
      <pivotArea dataOnly="0" labelOnly="1" fieldPosition="0">
        <references count="2">
          <reference field="1" count="1" selected="0">
            <x v="0"/>
          </reference>
          <reference field="2" count="1">
            <x v="3"/>
          </reference>
        </references>
      </pivotArea>
    </format>
    <format dxfId="67">
      <pivotArea dataOnly="0" labelOnly="1" fieldPosition="0">
        <references count="2">
          <reference field="1" count="1" selected="0">
            <x v="1"/>
          </reference>
          <reference field="2" count="5">
            <x v="0"/>
            <x v="1"/>
            <x v="7"/>
            <x v="8"/>
            <x v="9"/>
          </reference>
        </references>
      </pivotArea>
    </format>
    <format dxfId="66">
      <pivotArea dataOnly="0" labelOnly="1" fieldPosition="0">
        <references count="2">
          <reference field="1" count="1" selected="0">
            <x v="2"/>
          </reference>
          <reference field="2" count="7">
            <x v="2"/>
            <x v="4"/>
            <x v="5"/>
            <x v="6"/>
            <x v="10"/>
            <x v="11"/>
            <x v="12"/>
          </reference>
        </references>
      </pivotArea>
    </format>
    <format dxfId="65">
      <pivotArea dataOnly="0" labelOnly="1" outline="0" axis="axisValues" fieldPosition="0"/>
    </format>
    <format dxfId="64">
      <pivotArea type="all" dataOnly="0" outline="0" fieldPosition="0"/>
    </format>
    <format dxfId="63">
      <pivotArea outline="0" collapsedLevelsAreSubtotals="1" fieldPosition="0"/>
    </format>
    <format dxfId="62">
      <pivotArea field="1" type="button" dataOnly="0" labelOnly="1" outline="0" axis="axisRow" fieldPosition="0"/>
    </format>
    <format dxfId="61">
      <pivotArea dataOnly="0" labelOnly="1" fieldPosition="0">
        <references count="1">
          <reference field="1" count="0"/>
        </references>
      </pivotArea>
    </format>
    <format dxfId="60">
      <pivotArea dataOnly="0" labelOnly="1" grandRow="1" outline="0" fieldPosition="0"/>
    </format>
    <format dxfId="59">
      <pivotArea dataOnly="0" labelOnly="1" fieldPosition="0">
        <references count="2">
          <reference field="1" count="1" selected="0">
            <x v="0"/>
          </reference>
          <reference field="2" count="1">
            <x v="3"/>
          </reference>
        </references>
      </pivotArea>
    </format>
    <format dxfId="58">
      <pivotArea dataOnly="0" labelOnly="1" fieldPosition="0">
        <references count="2">
          <reference field="1" count="1" selected="0">
            <x v="1"/>
          </reference>
          <reference field="2" count="5">
            <x v="0"/>
            <x v="1"/>
            <x v="7"/>
            <x v="8"/>
            <x v="9"/>
          </reference>
        </references>
      </pivotArea>
    </format>
    <format dxfId="57">
      <pivotArea dataOnly="0" labelOnly="1" fieldPosition="0">
        <references count="2">
          <reference field="1" count="1" selected="0">
            <x v="2"/>
          </reference>
          <reference field="2" count="7">
            <x v="2"/>
            <x v="4"/>
            <x v="5"/>
            <x v="6"/>
            <x v="10"/>
            <x v="11"/>
            <x v="12"/>
          </reference>
        </references>
      </pivotArea>
    </format>
    <format dxfId="56">
      <pivotArea dataOnly="0" labelOnly="1" outline="0" axis="axisValues" fieldPosition="0"/>
    </format>
    <format dxfId="55">
      <pivotArea collapsedLevelsAreSubtotals="1" fieldPosition="0">
        <references count="1">
          <reference field="1" count="1">
            <x v="0"/>
          </reference>
        </references>
      </pivotArea>
    </format>
    <format dxfId="54">
      <pivotArea collapsedLevelsAreSubtotals="1" fieldPosition="0">
        <references count="1">
          <reference field="1" count="1">
            <x v="1"/>
          </reference>
        </references>
      </pivotArea>
    </format>
    <format dxfId="53">
      <pivotArea collapsedLevelsAreSubtotals="1" fieldPosition="0">
        <references count="1">
          <reference field="1" count="1">
            <x v="2"/>
          </reference>
        </references>
      </pivotArea>
    </format>
    <format dxfId="52">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5E4BD21D-8051-44A5-89DA-B65E40DDFE7B}" name="ReformFY21" displayName="ReformFY21" ref="J1:T312" totalsRowCount="1">
  <autoFilter ref="J1:T311" xr:uid="{00000000-0009-0000-0100-000013000000}"/>
  <tableColumns count="11">
    <tableColumn id="1" xr3:uid="{BCCC6777-EEFC-4F3A-95DF-2DE77BBB0745}" name="Reporting Alias">
      <calculatedColumnFormula>A2</calculatedColumnFormula>
    </tableColumn>
    <tableColumn id="2" xr3:uid="{CF9F555A-05C9-4060-9D24-02F431C32EE8}" name="UoM">
      <calculatedColumnFormula>B2</calculatedColumnFormula>
    </tableColumn>
    <tableColumn id="3" xr3:uid="{565C9804-7DC5-4C77-9BAB-19B4D44C324C}" name="Primary Criterion">
      <calculatedColumnFormula>C2</calculatedColumnFormula>
    </tableColumn>
    <tableColumn id="4" xr3:uid="{BE484FD7-C9EC-4AB3-B24A-DFFEE58412D1}" name="Consumption Quantity" totalsRowFunction="custom" dataDxfId="570" totalsRowDxfId="569" dataCellStyle="Comma">
      <calculatedColumnFormula>D2</calculatedColumnFormula>
      <totalsRowFormula>SUBTOTAL(9,ReformFY21[Consumption Quantity])</totalsRowFormula>
    </tableColumn>
    <tableColumn id="5" xr3:uid="{5925B7E9-82A2-4085-B560-0E6D4A88DBA7}" name="Total GJ" totalsRowFunction="custom" dataDxfId="568" totalsRowDxfId="567" dataCellStyle="Comma">
      <calculatedColumnFormula>E2</calculatedColumnFormula>
      <totalsRowFormula>SUBTOTAL(9,ReformFY21[Total GJ])</totalsRowFormula>
    </tableColumn>
    <tableColumn id="6" xr3:uid="{E077872D-9266-4E81-BCED-6A8262196BA0}" name="Scope 1 kg CO2-e" totalsRowFunction="custom" dataDxfId="566" totalsRowDxfId="565" dataCellStyle="Comma">
      <calculatedColumnFormula>F2</calculatedColumnFormula>
      <totalsRowFormula>SUBTOTAL(9,ReformFY21[Scope 1 kg CO2-e])</totalsRowFormula>
    </tableColumn>
    <tableColumn id="7" xr3:uid="{57682E57-2E7F-4F7A-A115-39E60DD376D1}" name="Scope 2 kg CO2-e" totalsRowFunction="custom" dataDxfId="564" totalsRowDxfId="563" dataCellStyle="Comma">
      <calculatedColumnFormula>G2</calculatedColumnFormula>
      <totalsRowFormula>SUBTOTAL(9,ReformFY21[Scope 2 kg CO2-e])</totalsRowFormula>
    </tableColumn>
    <tableColumn id="8" xr3:uid="{6255209E-383F-4308-BBBB-C8611C2D32BA}" name="Scope 3 kg CO2-e" totalsRowFunction="custom" dataDxfId="562" totalsRowDxfId="561" dataCellStyle="Comma">
      <calculatedColumnFormula>H2</calculatedColumnFormula>
      <totalsRowFormula>SUBTOTAL(9,ReformFY21[Scope 3 kg CO2-e])</totalsRowFormula>
    </tableColumn>
    <tableColumn id="9" xr3:uid="{A4B7B6A4-79D0-4C5E-91D9-032A4C8568F1}" name="Total Emissions" totalsRowFunction="custom" dataDxfId="560" totalsRowDxfId="559" dataCellStyle="Comma">
      <calculatedColumnFormula>I2</calculatedColumnFormula>
      <totalsRowFormula>SUBTOTAL(9,ReformFY21[Total Emissions])</totalsRowFormula>
    </tableColumn>
    <tableColumn id="10" xr3:uid="{E77EFD9C-4FE2-453E-9D0E-2FFBF97B2262}" name="Category" dataDxfId="558" totalsRowDxfId="557" dataCellStyle="Comma">
      <calculatedColumnFormula>VLOOKUP(J2,'GHG Factors FY20'!A:B,2,FALSE)</calculatedColumnFormula>
    </tableColumn>
    <tableColumn id="11" xr3:uid="{0F919DE5-9584-46A6-970C-9BCAED6EBE52}" name="Column1" dataDxfId="556" totalsRowDxfId="555" dataCellStyle="Comma">
      <calculatedColumnFormula>VLOOKUP(ReformFY21[[#This Row],[Reporting Alias]],'Entities FY21'!B:B,1,FALSE)</calculatedColumnFormula>
    </tableColumn>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B7B67D0-D833-4B4D-A698-6F7A5E30192C}" name="Table214" displayName="Table214" ref="A50:J92" totalsRowShown="0" headerRowDxfId="456" dataDxfId="454" headerRowBorderDxfId="455" tableBorderDxfId="453" dataCellStyle="Comma">
  <autoFilter ref="A50:J92" xr:uid="{B9022A68-5C7A-4731-B5E7-94713E4AAF2B}"/>
  <tableColumns count="10">
    <tableColumn id="1" xr3:uid="{97FC507F-859D-4584-933B-E60CF26BFA7A}" name="Reporting Alias" dataDxfId="452" dataCellStyle="Neutral"/>
    <tableColumn id="2" xr3:uid="{C86A289D-2EF1-4743-9537-D05783A7460E}" name="Consumption Quantity" dataDxfId="451" dataCellStyle="Comma"/>
    <tableColumn id="3" xr3:uid="{159EC75F-83AA-42D3-ACD9-CFCF98448403}" name="UoM" dataDxfId="450" dataCellStyle="Comma"/>
    <tableColumn id="4" xr3:uid="{F69566A4-97D6-495A-8958-88C99BD1AD0A}" name="Primary Criterion" dataDxfId="449" dataCellStyle="Comma"/>
    <tableColumn id="5" xr3:uid="{B91047A7-907E-4317-8EBA-D3286A7AB1BA}" name="Sum of Consumption Quantity" dataDxfId="448" dataCellStyle="Comma">
      <calculatedColumnFormula>B51</calculatedColumnFormula>
    </tableColumn>
    <tableColumn id="6" xr3:uid="{898FC576-F15B-4EDC-BAB7-DE4DD806DB9E}" name="Sum of Total GJ" dataDxfId="447" dataCellStyle="Comma">
      <calculatedColumnFormula>VLOOKUP(A51,'GHG Factors FY20'!A:L,8,FALSE)*E51</calculatedColumnFormula>
    </tableColumn>
    <tableColumn id="7" xr3:uid="{3A7EE3D4-D705-4667-8FCD-D18CC35390FE}" name="Sum of Scope 1 kg CO2-e" dataDxfId="446" dataCellStyle="Comma">
      <calculatedColumnFormula>VLOOKUP(A51,'GHG Factors FY20'!A:L,10,FALSE)*E51</calculatedColumnFormula>
    </tableColumn>
    <tableColumn id="8" xr3:uid="{8A24B367-B347-4024-B370-A4BC11AEAD1D}" name="Sum of Scope 2 kg CO2-e" dataDxfId="445" dataCellStyle="Comma">
      <calculatedColumnFormula>VLOOKUP(A51,'GHG Factors FY20'!A:L,11,FALSE)*E51</calculatedColumnFormula>
    </tableColumn>
    <tableColumn id="9" xr3:uid="{565807C8-5D6F-447C-BD4F-C9F52B853C50}" name="Sum of Scope 3 kg CO2-e" dataDxfId="444" dataCellStyle="Comma">
      <calculatedColumnFormula>VLOOKUP(A51,'GHG Factors FY20'!A:L,12,FALSE)*E51</calculatedColumnFormula>
    </tableColumn>
    <tableColumn id="10" xr3:uid="{B6FA0F5B-C109-4495-B6AC-F315863F9B4C}" name="Sum of Total Emissions" dataDxfId="443" dataCellStyle="Comma">
      <calculatedColumnFormula>SUM(G51,H51,I51)</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3E59406-D7ED-4A30-9CB3-1631C9931C3B}" name="GasFY20" displayName="GasFY20" ref="A2:K16" totalsRowShown="0" headerRowDxfId="442" headerRowBorderDxfId="441" tableBorderDxfId="440">
  <autoFilter ref="A2:K16" xr:uid="{F1D4B529-A402-45D0-9A94-D24FF854F45C}"/>
  <tableColumns count="11">
    <tableColumn id="1" xr3:uid="{39BF5F49-FA1D-4C54-A06F-92AC698A7137}" name="Reporting Alias"/>
    <tableColumn id="2" xr3:uid="{65E2472A-645D-4A52-A206-0C2D1FB14EAF}" name="State"/>
    <tableColumn id="3" xr3:uid="{18161099-32D5-4051-B916-AF687CEF1AAE}" name="Consumption Quanity" dataDxfId="439" dataCellStyle="Comma"/>
    <tableColumn id="4" xr3:uid="{B476E284-8D42-4C70-9D6C-07323FDBBD03}" name="UoM" dataDxfId="438"/>
    <tableColumn id="5" xr3:uid="{C266DE21-B265-47B8-AFE5-BF4FBA95EEDF}" name="Primary Criterion" dataDxfId="437"/>
    <tableColumn id="6" xr3:uid="{07A94536-F694-4720-B308-03348A84CAEA}" name="Sum of Consumption Quantity" dataDxfId="436" dataCellStyle="Comma"/>
    <tableColumn id="7" xr3:uid="{E3A8530C-A541-4730-BF3D-09DB3CABC056}" name="Sum of Total GJ" dataDxfId="435" dataCellStyle="Comma">
      <calculatedColumnFormula>VLOOKUP(A3,'GHG Factors FY20'!A:L,6,FALSE)*C3</calculatedColumnFormula>
    </tableColumn>
    <tableColumn id="8" xr3:uid="{49CD16BE-53A6-4494-9D5A-10FF91E77D2A}" name="Sum of Scope 1 kg CO2-e" dataDxfId="434">
      <calculatedColumnFormula>VLOOKUP(A3,'GHG Factors FY20'!A:L,10,FALSE)*G3</calculatedColumnFormula>
    </tableColumn>
    <tableColumn id="9" xr3:uid="{5306360C-CDDD-4D75-8C4C-45FAC0CC385C}" name="Sum of Scope 2 kg CO2-e" dataDxfId="433">
      <calculatedColumnFormula>VLOOKUP(A3,'GHG Factors FY20'!A:L,11,FALSE)*C3</calculatedColumnFormula>
    </tableColumn>
    <tableColumn id="10" xr3:uid="{A3DEBE42-DDDF-480D-A977-104AC1DB5E6C}" name="Sum of Scope 3 kg CO2-e" dataDxfId="432">
      <calculatedColumnFormula>VLOOKUP(A3,'GHG Factors FY20'!A:L,12,FALSE)*G3</calculatedColumnFormula>
    </tableColumn>
    <tableColumn id="11" xr3:uid="{6B718752-FE4D-42DA-AB3A-4A59FAE18A15}" name="Sum of Total Emissions" dataDxfId="431" dataCellStyle="Comma">
      <calculatedColumnFormula>SUM(H3,I3,J3)</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EAF44E8-A37E-4C07-8458-5703FCD84039}" name="GasFY2015" displayName="GasFY2015" ref="A33:K45" totalsRowShown="0" headerRowDxfId="430" headerRowBorderDxfId="429" tableBorderDxfId="428">
  <autoFilter ref="A33:K45" xr:uid="{0A5A9FFA-7892-4D76-8B91-986DEA681DB9}"/>
  <tableColumns count="11">
    <tableColumn id="1" xr3:uid="{B3813C19-007E-41B5-B398-A7983F927946}" name="Reporting Alias"/>
    <tableColumn id="2" xr3:uid="{F7CB930D-6ECC-4BC9-A7F9-8658198F9D01}" name="State"/>
    <tableColumn id="3" xr3:uid="{62C50AE4-D611-4888-9F8B-1CCB4B9AE25A}" name="Consumption Quanity" dataDxfId="427" dataCellStyle="Comma"/>
    <tableColumn id="4" xr3:uid="{65F30A46-536B-4C90-8520-0FFFA9A858F3}" name="UoM" dataDxfId="426"/>
    <tableColumn id="5" xr3:uid="{61B35856-13B0-4A8E-B20E-DBD0FA0D892B}" name="Primary Criterion" dataDxfId="425"/>
    <tableColumn id="6" xr3:uid="{06C0A645-2C8C-47BA-9FB8-033F0C23ECE6}" name="Sum of Consumption Quantity" dataDxfId="424" dataCellStyle="Comma">
      <calculatedColumnFormula>C34</calculatedColumnFormula>
    </tableColumn>
    <tableColumn id="7" xr3:uid="{E0B432D2-E4E1-49B9-887B-527B52DAF2E6}" name="Sum of Total GJ" dataDxfId="423" dataCellStyle="Comma">
      <calculatedColumnFormula>VLOOKUP(A34,'GHG Factors FY20'!A:L,6,FALSE)*C34</calculatedColumnFormula>
    </tableColumn>
    <tableColumn id="8" xr3:uid="{633528E3-F80B-41F0-BF79-8943A4EBB399}" name="Sum of Scope 1 kg CO2-e" dataDxfId="422">
      <calculatedColumnFormula>VLOOKUP(A34,'GHG Factors FY20'!A:L,10,FALSE)*G34</calculatedColumnFormula>
    </tableColumn>
    <tableColumn id="9" xr3:uid="{9632BA48-E529-45FF-B938-40B4D5088A00}" name="Sum of Scope 2 kg CO2-e" dataDxfId="421">
      <calculatedColumnFormula>VLOOKUP(A34,'GHG Factors FY20'!A:L,11,FALSE)*C34</calculatedColumnFormula>
    </tableColumn>
    <tableColumn id="10" xr3:uid="{2113C327-C8ED-42FF-8A78-FFBF4E5AF16F}" name="Sum of Scope 3 kg CO2-e" dataDxfId="420">
      <calculatedColumnFormula>VLOOKUP(A34,'GHG Factors FY20'!A:L,12,FALSE)*G34</calculatedColumnFormula>
    </tableColumn>
    <tableColumn id="11" xr3:uid="{1D5DF010-FB50-4CB9-B00E-786E80404F00}" name="Sum of Total Emissions" dataDxfId="419" dataCellStyle="Comma">
      <calculatedColumnFormula>SUM(H34,I34,J34)</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B3B0252-E03F-4982-9DDB-E9BDEF73D01C}" name="Solar3116" displayName="Solar3116" ref="A16:R25" totalsRowCount="1" headerRowDxfId="418" dataDxfId="417" totalsRowDxfId="416">
  <autoFilter ref="A16:R24" xr:uid="{1A447DFC-BF9B-496A-9301-22B55C20C928}"/>
  <tableColumns count="18">
    <tableColumn id="1" xr3:uid="{8F5FF0FA-7828-45B6-937A-0EF775ED0B53}" name="Source Name" dataDxfId="415" totalsRowDxfId="414"/>
    <tableColumn id="2" xr3:uid="{A3508ECA-4180-48D6-A93F-0FBC0010221D}" name="Reporting Alias" dataDxfId="413" totalsRowDxfId="412"/>
    <tableColumn id="3" xr3:uid="{2667E9E3-74BF-4960-BD22-8EB2F01F5F20}" name="Activity Type" dataDxfId="411" totalsRowDxfId="410"/>
    <tableColumn id="4" xr3:uid="{C29D9716-FEBA-4833-8DA2-640229392DFD}" name="Activity Type Context" dataDxfId="409" totalsRowDxfId="408"/>
    <tableColumn id="5" xr3:uid="{99F57BD4-1B0E-43ED-9D39-7421C5A16BEE}" name="Entity" dataDxfId="407" totalsRowDxfId="406"/>
    <tableColumn id="6" xr3:uid="{C8FB9850-9225-47CD-84C3-0235DCF4D933}" name="State" dataDxfId="405" totalsRowDxfId="404"/>
    <tableColumn id="7" xr3:uid="{EC8A5FF8-74ED-4E87-BB8A-AE9A341AFCFF}" name="Production/Consumption Quantity" dataDxfId="403" totalsRowDxfId="402" dataCellStyle="Comma"/>
    <tableColumn id="8" xr3:uid="{605443C2-669A-460D-97EA-92B943EA9138}" name="Production Unit" dataDxfId="401" totalsRowDxfId="400"/>
    <tableColumn id="9" xr3:uid="{25C4859F-F20F-4BBF-B47E-6B8F0888B4D9}" name="Energy Conversion factor (GJ/kWh)" dataDxfId="399" totalsRowDxfId="398"/>
    <tableColumn id="10" xr3:uid="{227DA939-170B-4B17-B2AD-67912160C384}" name="Production/Consumption GJ" dataDxfId="397" totalsRowDxfId="396" dataCellStyle="Comma">
      <calculatedColumnFormula>G17*I17</calculatedColumnFormula>
    </tableColumn>
    <tableColumn id="13" xr3:uid="{A339FDB2-D80C-4C72-BF04-D0944C8921A1}" name="UoM" dataDxfId="395" totalsRowDxfId="394"/>
    <tableColumn id="14" xr3:uid="{1151E1D5-F906-4C0C-883A-A14E642AA01E}" name="Primary Criterion" dataDxfId="393" totalsRowDxfId="392"/>
    <tableColumn id="15" xr3:uid="{13E85E3D-49A1-4536-8C3E-83435214E236}" name="Sum of Consumption Quantity" dataDxfId="391" totalsRowDxfId="390">
      <calculatedColumnFormula>Solar3116[[#This Row],[Production/Consumption Quantity]]</calculatedColumnFormula>
    </tableColumn>
    <tableColumn id="16" xr3:uid="{F0CC8E04-0CBA-42D6-8910-BE548BEF2631}" name="Sum of Total GJ" dataDxfId="389" totalsRowDxfId="388">
      <calculatedColumnFormula>Solar3116[[#This Row],[Production/Consumption GJ]]</calculatedColumnFormula>
    </tableColumn>
    <tableColumn id="17" xr3:uid="{72DAB149-9A55-4F5A-BD0D-E294E45BC78A}" name="Sum of Scope 1 kg CO2-e" dataDxfId="387" totalsRowDxfId="386">
      <calculatedColumnFormula>VLOOKUP(B17,'GHG Factors FY20'!A:L,10,FALSE)*M17</calculatedColumnFormula>
    </tableColumn>
    <tableColumn id="18" xr3:uid="{C82DFEB6-3593-4551-87CE-DE036A8153B6}" name="Sum of Scope 2 kg CO2-e" dataDxfId="385" totalsRowDxfId="384">
      <calculatedColumnFormula>VLOOKUP(B17,'GHG Factors FY20'!A:L,11,FALSE)*M17</calculatedColumnFormula>
    </tableColumn>
    <tableColumn id="19" xr3:uid="{2C14BAA7-E5EB-478D-82AE-DAA596E317A0}" name="Sum of Scope 3 kg CO2-e" dataDxfId="383" totalsRowDxfId="382">
      <calculatedColumnFormula>VLOOKUP(B17,'GHG Factors FY20'!A:L,12,FALSE)*M17</calculatedColumnFormula>
    </tableColumn>
    <tableColumn id="20" xr3:uid="{7644B35B-D10D-4D3C-B79E-FF1FB418EF3E}" name="Sum of Total Emissions" dataDxfId="381" totalsRowDxfId="380">
      <calculatedColumnFormula>SUM(O17,P17,Q17)</calculatedColumnFormula>
    </tableColumn>
  </tableColumns>
  <tableStyleInfo name="TableStyleQueryResult"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DCC430A-12FE-463C-9DB2-8FD3F9A43FD9}" name="Solar31" displayName="Solar31" ref="A2:R11" totalsRowCount="1" headerRowDxfId="379" dataDxfId="378" totalsRowDxfId="377">
  <autoFilter ref="A2:R10" xr:uid="{DE7D402A-6F55-4664-97E7-70EF1E96EA18}"/>
  <tableColumns count="18">
    <tableColumn id="1" xr3:uid="{D25B42D1-1EC7-472E-8877-39414F37B5F9}" name="Source Name" dataDxfId="376" totalsRowDxfId="375"/>
    <tableColumn id="2" xr3:uid="{1AF7D817-D9A3-480E-A261-46AA1F0F7027}" name="Reporting Alias" dataDxfId="374" totalsRowDxfId="373"/>
    <tableColumn id="3" xr3:uid="{9C979627-B410-49F9-8263-1E5DA7B0DF60}" name="Activity Type" dataDxfId="372" totalsRowDxfId="371"/>
    <tableColumn id="4" xr3:uid="{639A2432-C43B-4172-BD3C-F2DA113AD328}" name="Activity Type Context" dataDxfId="370" totalsRowDxfId="369"/>
    <tableColumn id="5" xr3:uid="{D5DDB289-3BE3-41A5-A3CC-99FE8B629E78}" name="Entity" dataDxfId="368" totalsRowDxfId="367"/>
    <tableColumn id="6" xr3:uid="{A5940350-E7B2-4580-8A6C-6B5FEE77B344}" name="State" dataDxfId="366" totalsRowDxfId="365"/>
    <tableColumn id="7" xr3:uid="{D575F01D-3774-4B67-A2DC-20223636441D}" name="Production/Consumption Quantity" dataDxfId="364" totalsRowDxfId="363" dataCellStyle="Comma"/>
    <tableColumn id="8" xr3:uid="{D8325407-B0F7-40F7-B4A5-8B938EFA1D3A}" name="Production Unit" dataDxfId="362" totalsRowDxfId="361"/>
    <tableColumn id="9" xr3:uid="{D9EFFC5A-5DC4-4B14-8ACF-EA1C33FCD9D4}" name="Energy Conversion factor (GJ/kWh)" dataDxfId="360" totalsRowDxfId="359"/>
    <tableColumn id="10" xr3:uid="{7DABD943-0AF9-4773-9B36-A2FE9BF0B82D}" name="Production/Consumption GJ" dataDxfId="358" totalsRowDxfId="357" dataCellStyle="Comma"/>
    <tableColumn id="13" xr3:uid="{D39641C2-17D0-43C4-A222-5EA8A2E85A43}" name="UoM" dataDxfId="356" totalsRowDxfId="355"/>
    <tableColumn id="14" xr3:uid="{6146E644-1CEE-4493-B8ED-7F050DFB09C4}" name="Primary Criterion" dataDxfId="354" totalsRowDxfId="353"/>
    <tableColumn id="15" xr3:uid="{78096B9E-DAAC-4231-9904-900464E8BDF9}" name="Sum of Consumption Quantity" dataDxfId="352" totalsRowDxfId="351">
      <calculatedColumnFormula>Solar31[[#This Row],[Production/Consumption Quantity]]</calculatedColumnFormula>
    </tableColumn>
    <tableColumn id="16" xr3:uid="{8615C76A-7BEF-4DCA-AA9F-D1C348E05719}" name="Sum of Total GJ" dataDxfId="350" totalsRowDxfId="349">
      <calculatedColumnFormula>Solar31[[#This Row],[Production/Consumption GJ]]</calculatedColumnFormula>
    </tableColumn>
    <tableColumn id="17" xr3:uid="{AF883576-8D92-4AD4-BC5B-0D1E72154337}" name="Sum of Scope 1 kg CO2-e" dataDxfId="348" totalsRowDxfId="347">
      <calculatedColumnFormula>VLOOKUP(B3,'GHG Factors FY20'!A:L,10,FALSE)*M3</calculatedColumnFormula>
    </tableColumn>
    <tableColumn id="18" xr3:uid="{BAF42B31-E2C9-430D-82DD-C12AF05596C8}" name="Sum of Scope 2 kg CO2-e" dataDxfId="346" totalsRowDxfId="345">
      <calculatedColumnFormula>VLOOKUP(B3,'GHG Factors FY20'!A:L,11,FALSE)*M3</calculatedColumnFormula>
    </tableColumn>
    <tableColumn id="19" xr3:uid="{EC7FAED2-CA0E-49C0-A449-A6B5A5EA44CA}" name="Sum of Scope 3 kg CO2-e" dataDxfId="344" totalsRowDxfId="343">
      <calculatedColumnFormula>VLOOKUP(B3,'GHG Factors FY20'!A:L,12,FALSE)*M3</calculatedColumnFormula>
    </tableColumn>
    <tableColumn id="20" xr3:uid="{72DB6A59-C8D7-4843-99A5-519C5D71EC6D}" name="Sum of Total Emissions" dataDxfId="342" totalsRowDxfId="341">
      <calculatedColumnFormula>SUM(O3,P3,Q3)</calculatedColumnFormula>
    </tableColumn>
  </tableColumns>
  <tableStyleInfo name="TableStyleQueryResult"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05561E0-D807-4434-ABC6-D4EC3D7940F2}" name="DC_Genset2839" displayName="DC_Genset2839" ref="A2:N5" totalsRowShown="0" headerRowDxfId="340" dataDxfId="339">
  <autoFilter ref="A2:N5" xr:uid="{DB01B41D-0938-4B18-A2B7-E91532B8F101}"/>
  <tableColumns count="14">
    <tableColumn id="1" xr3:uid="{947F0524-D5A4-46B1-8891-261F61C738C8}" name="Reporting Alias" dataDxfId="338"/>
    <tableColumn id="2" xr3:uid="{944AD081-A9A3-4B58-BAF6-66A6D21481E4}" name="Fuel" dataDxfId="337"/>
    <tableColumn id="3" xr3:uid="{E4756302-1F4C-4E44-B9C2-6BB62B12D408}" name="State" dataDxfId="336"/>
    <tableColumn id="4" xr3:uid="{1900E1F1-2073-456C-97A3-E127E240C5BC}" name="Consumption Quantity (L)" dataDxfId="335"/>
    <tableColumn id="5" xr3:uid="{23517C7C-D367-4BB3-B549-7F043A8DB52C}" name="Consumption  Units" dataDxfId="334"/>
    <tableColumn id="6" xr3:uid="{8E0054CD-4ADE-4A3F-97A4-2159C311D0F4}" name="Consumption Quantity " dataDxfId="333" dataCellStyle="Comma"/>
    <tableColumn id="7" xr3:uid="{AC732429-0F30-4B67-8443-A702F510EEBD}" name="UoM" dataDxfId="332"/>
    <tableColumn id="8" xr3:uid="{286AA386-39EC-4026-B707-73C747E15E21}" name="Primary Criterion" dataDxfId="331"/>
    <tableColumn id="9" xr3:uid="{284F3687-0BCE-484B-9D9E-C9DBE7F75AFA}" name="Sum of Consumption Quantity" dataDxfId="330">
      <calculatedColumnFormula>F3</calculatedColumnFormula>
    </tableColumn>
    <tableColumn id="10" xr3:uid="{8C37E9C0-6103-48CC-BCCE-15E9A844D3DF}" name="Sum of Total GJ" dataDxfId="329">
      <calculatedColumnFormula>VLOOKUP(E3,'GHG Factors FY20'!E:P,8,FALSE)*I3</calculatedColumnFormula>
    </tableColumn>
    <tableColumn id="11" xr3:uid="{EEB1E5F2-3B0C-487F-A7B9-8AA9829EC5B2}" name="Sum of Scope 1 kg CO2-e" dataDxfId="328">
      <calculatedColumnFormula>VLOOKUP(E3,'GHG Factors FY20'!E:P,10,FALSE)*I3</calculatedColumnFormula>
    </tableColumn>
    <tableColumn id="12" xr3:uid="{F332F857-B925-41EB-BA58-0812D45E47AE}" name="Sum of Scope 2 kg CO2-e" dataDxfId="327">
      <calculatedColumnFormula>VLOOKUP(E3,'GHG Factors FY20'!E:P,11,FALSE)*I3</calculatedColumnFormula>
    </tableColumn>
    <tableColumn id="13" xr3:uid="{6898D7B2-1BD1-40C3-B8F2-A7A6F64AC2A7}" name="Sum of Scope 3 kg CO2-e" dataDxfId="326">
      <calculatedColumnFormula>VLOOKUP(E3,'GHG Factors FY20'!E:P,12,FALSE)*I3</calculatedColumnFormula>
    </tableColumn>
    <tableColumn id="14" xr3:uid="{B9D2E306-EA38-42ED-874F-BB35A75074A7}" name="Sum of Total Emissions" dataDxfId="325">
      <calculatedColumnFormula>SUM(K3,L3,M3)</calculatedColumnFormula>
    </tableColumn>
  </tableColumns>
  <tableStyleInfo name="TableStyleQueryResult"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5B3DE86-EAA3-4372-853A-34FE0F4E1AC0}" name="DC_Genset283917" displayName="DC_Genset283917" ref="A11:N14" totalsRowShown="0" headerRowDxfId="324" dataDxfId="323">
  <autoFilter ref="A11:N14" xr:uid="{A2048CD1-9B30-42D1-90C0-446C2035D8EE}"/>
  <tableColumns count="14">
    <tableColumn id="1" xr3:uid="{83585C1B-053A-408A-BDC0-61A44A95DAFB}" name="Reporting Alias" dataDxfId="322"/>
    <tableColumn id="2" xr3:uid="{4A8A717A-6A3E-4FC3-9A5B-A217C51847A7}" name="Fuel" dataDxfId="321"/>
    <tableColumn id="3" xr3:uid="{DD264078-9377-4EBB-B6E6-3585E2C7D118}" name="State" dataDxfId="320"/>
    <tableColumn id="4" xr3:uid="{EF7A2E73-CEAB-4333-B97F-F80209071717}" name="Consumption Quantity (L)" dataDxfId="319"/>
    <tableColumn id="5" xr3:uid="{1C321323-2736-4313-B2EF-641061AE70B4}" name="Consumption  Units" dataDxfId="318"/>
    <tableColumn id="6" xr3:uid="{863E8F62-728D-4017-82A2-B57452135449}" name="Consumption Quantity " dataDxfId="317" dataCellStyle="Comma">
      <calculatedColumnFormula>DC_Genset283917[[#This Row],[Consumption Quantity (L)]]/1000</calculatedColumnFormula>
    </tableColumn>
    <tableColumn id="7" xr3:uid="{96E8C618-39DE-443C-ACC0-21E9B551CC86}" name="UoM" dataDxfId="316"/>
    <tableColumn id="8" xr3:uid="{F7154E87-6427-4079-9B86-6D90A366469C}" name="Primary Criterion" dataDxfId="315"/>
    <tableColumn id="9" xr3:uid="{FB97B97F-7926-441B-8018-855998FD1BDC}" name="Sum of Consumption Quantity" dataDxfId="314">
      <calculatedColumnFormula>F12</calculatedColumnFormula>
    </tableColumn>
    <tableColumn id="10" xr3:uid="{404596AE-FA03-4EE4-900B-7988DEB6B246}" name="Sum of Total GJ" dataDxfId="313">
      <calculatedColumnFormula>VLOOKUP(A12,'GHG Factors FY20'!A:L,8,FALSE)*F12</calculatedColumnFormula>
    </tableColumn>
    <tableColumn id="11" xr3:uid="{832BCBC5-8F6A-4B3A-91EC-6BAFD7BC279B}" name="Sum of Scope 1 kg CO2-e" dataDxfId="312">
      <calculatedColumnFormula>VLOOKUP(A12,'GHG Factors FY20'!A:L,10,FALSE)*J12</calculatedColumnFormula>
    </tableColumn>
    <tableColumn id="12" xr3:uid="{DAC160CA-1EA2-490D-B02B-95ED436D7DEC}" name="Sum of Scope 2 kg CO2-e" dataDxfId="311">
      <calculatedColumnFormula>VLOOKUP(A12,'GHG Factors FY20'!A:L,11,FALSE)*J12</calculatedColumnFormula>
    </tableColumn>
    <tableColumn id="13" xr3:uid="{3D0D6C7E-6980-425C-93E5-FB58A7FE3B93}" name="Sum of Scope 3 kg CO2-e" dataDxfId="310">
      <calculatedColumnFormula>VLOOKUP(A12,'GHG Factors FY20'!A:L,12,FALSE)*J12</calculatedColumnFormula>
    </tableColumn>
    <tableColumn id="14" xr3:uid="{A2D968BB-9557-465C-8757-07B58241E784}" name="Sum of Total Emissions" dataDxfId="309">
      <calculatedColumnFormula>SUM(K12,L12,M12)</calculatedColumnFormula>
    </tableColumn>
  </tableColumns>
  <tableStyleInfo name="TableStyleQueryResult"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0FABF69-9440-4203-ACC3-CF50A0BBA1D1}" name="NET_Genset_Grounds29" displayName="NET_Genset_Grounds29" ref="A2:G51" totalsRowCount="1" headerRowDxfId="308" dataDxfId="307">
  <autoFilter ref="A2:G50" xr:uid="{42B058EF-BB7C-4CC9-AAF8-8388C6315779}"/>
  <tableColumns count="7">
    <tableColumn id="1" xr3:uid="{45FEAAE8-D1D2-4082-AE29-4F69C9F9C514}" name="Reporting Alias" dataDxfId="306" totalsRowDxfId="305"/>
    <tableColumn id="2" xr3:uid="{030DBAD5-038B-4A6B-9A30-D3892D775252}" name="Emission source" dataDxfId="304" totalsRowDxfId="303"/>
    <tableColumn id="3" xr3:uid="{191A484E-A912-46B0-B49E-9E52CB6204EB}" name="Entity" dataDxfId="302" totalsRowDxfId="301"/>
    <tableColumn id="4" xr3:uid="{B5BDDE09-446A-4124-8959-BACBF7BD12EA}" name="Fuel" dataDxfId="300" totalsRowDxfId="299"/>
    <tableColumn id="5" xr3:uid="{01F7CE3B-F786-4183-A7D3-FE2F0544A799}" name="State" dataDxfId="298" totalsRowDxfId="297"/>
    <tableColumn id="6" xr3:uid="{093B6451-9F88-4992-AC5B-287BA8961377}" name="Production Quantity" totalsRowFunction="custom" dataDxfId="296" totalsRowDxfId="295" dataCellStyle="Comma">
      <totalsRowFormula>SUM(NET_Genset_Grounds29[Production Quantity])</totalsRowFormula>
    </tableColumn>
    <tableColumn id="7" xr3:uid="{06DC0DDF-9FE2-417B-A754-4CE3A8C683EE}" name="Production  Units" dataDxfId="294" totalsRowDxfId="293"/>
  </tableColumns>
  <tableStyleInfo name="TableStyleQueryResult"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FED6F6-BD69-4F3B-9539-B795E1A0FB46}" name="NET_Genset_Grounds2918" displayName="NET_Genset_Grounds2918" ref="A57:G106" totalsRowCount="1" headerRowDxfId="292" dataDxfId="291">
  <autoFilter ref="A57:G105" xr:uid="{C5D1D60F-6625-4717-B4F5-FED1088DFAE6}"/>
  <tableColumns count="7">
    <tableColumn id="1" xr3:uid="{182781EC-02EA-4B19-9625-469C8FAAFDFC}" name="Reporting Alias" dataDxfId="290" totalsRowDxfId="289"/>
    <tableColumn id="2" xr3:uid="{79ADEA7A-4CD7-4FC1-A5EC-E77D5406D5ED}" name="Emission source" dataDxfId="288" totalsRowDxfId="287"/>
    <tableColumn id="3" xr3:uid="{5C1670AE-9F64-4FE0-9B73-B79CDE414A92}" name="Entity" dataDxfId="286" totalsRowDxfId="285"/>
    <tableColumn id="4" xr3:uid="{A4092056-A6E9-4E89-B730-78EAC579B477}" name="Fuel" dataDxfId="284" totalsRowDxfId="283"/>
    <tableColumn id="5" xr3:uid="{1C83023F-CC73-47A5-8544-CCA0DE2BC6D2}" name="State" dataDxfId="282" totalsRowDxfId="281"/>
    <tableColumn id="6" xr3:uid="{7E292C6A-53B9-4EB0-A1D3-DC5B30FB567A}" name="Production Quantity" totalsRowFunction="custom" dataDxfId="280" totalsRowDxfId="279" dataCellStyle="Comma" totalsRowCellStyle="Comma">
      <totalsRowFormula>SUM(NET_Genset_Grounds2918[Production Quantity])</totalsRowFormula>
    </tableColumn>
    <tableColumn id="7" xr3:uid="{4B180B93-0542-45F4-9054-9254E5C7879F}" name="Production  Units" dataDxfId="278" totalsRowDxfId="277"/>
  </tableColumns>
  <tableStyleInfo name="TableStyleQueryResult"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4457B7B-4941-48BC-952F-41C0A0B7D482}" name="NON_Genset30" displayName="NON_Genset30" ref="A2:R18" totalsRowShown="0" headerRowDxfId="276" dataDxfId="275">
  <autoFilter ref="A2:R18" xr:uid="{6D61BCBE-46FA-4521-9BD3-78D7992B28C5}"/>
  <sortState xmlns:xlrd2="http://schemas.microsoft.com/office/spreadsheetml/2017/richdata2" ref="A4:R18">
    <sortCondition ref="A4"/>
  </sortState>
  <tableColumns count="18">
    <tableColumn id="1" xr3:uid="{8282CC4F-1BF1-4E9E-8C45-8CC2C57C86CB}" name="Reporting Alias" dataDxfId="274" totalsRowDxfId="273"/>
    <tableColumn id="2" xr3:uid="{4909BE07-B78A-461B-8AAC-663E148C68CD}" name="Source Name" dataDxfId="272" totalsRowDxfId="271"/>
    <tableColumn id="3" xr3:uid="{194BACC9-0655-453F-B12B-72CEC0BF083F}" name="Activity Type" dataDxfId="270" totalsRowDxfId="269"/>
    <tableColumn id="4" xr3:uid="{4E724423-671F-444F-AA44-BDE53E380FFF}" name="Activity Type Context" dataDxfId="268" totalsRowDxfId="267"/>
    <tableColumn id="5" xr3:uid="{D1461265-AD83-412A-938B-92388B02A453}" name="Entity" dataDxfId="266" totalsRowDxfId="265"/>
    <tableColumn id="6" xr3:uid="{8357CC59-8C4E-4B2C-871E-8D2E9CE3789A}" name="Fuel" dataDxfId="264" totalsRowDxfId="263"/>
    <tableColumn id="7" xr3:uid="{AD10F5D5-350A-4E86-AB5F-208656F0CF25}" name="State" dataDxfId="262" totalsRowDxfId="261"/>
    <tableColumn id="8" xr3:uid="{268A0A7B-DD5A-4FAC-B400-1C8348833E10}" name="Consumption Quantity (L)" dataDxfId="260" totalsRowDxfId="259" dataCellStyle="Comma"/>
    <tableColumn id="9" xr3:uid="{0E2263AA-E532-49D3-A1FB-912882404030}" name="Production  Units" dataDxfId="258" totalsRowDxfId="257"/>
    <tableColumn id="10" xr3:uid="{88A0A237-9ACD-4726-B7BC-39E70CC57DB0}" name="Consumption Quantity" dataDxfId="256" totalsRowDxfId="255"/>
    <tableColumn id="11" xr3:uid="{A40D8879-F471-441F-851F-8EF23D0D3925}" name="UoM" dataDxfId="254" totalsRowDxfId="253"/>
    <tableColumn id="12" xr3:uid="{88EB3050-9694-44E6-9FDA-A1098DA9FB3C}" name="Primary Criterion" dataDxfId="252" totalsRowDxfId="251"/>
    <tableColumn id="13" xr3:uid="{4ED384A1-5B7B-4EA9-8E30-A8B1EA74534C}" name="Sum of Consumption Quantity" dataDxfId="250" totalsRowDxfId="249">
      <calculatedColumnFormula>J3</calculatedColumnFormula>
    </tableColumn>
    <tableColumn id="14" xr3:uid="{97ABBAB7-0964-4F43-804C-CF9CD828EB86}" name="Sum of Total GJ" dataDxfId="248" totalsRowDxfId="247">
      <calculatedColumnFormula>VLOOKUP(A3,'GHG Factors FY20'!A:L,8,FALSE)*M3</calculatedColumnFormula>
    </tableColumn>
    <tableColumn id="15" xr3:uid="{3E2DA5C7-DD48-4D70-938A-A1FAB9A427E0}" name="Sum of Scope 1 kg CO2-e" dataDxfId="246" totalsRowDxfId="245">
      <calculatedColumnFormula>VLOOKUP(A3,'GHG Factors FY20'!A:L,10,FALSE)*N3</calculatedColumnFormula>
    </tableColumn>
    <tableColumn id="16" xr3:uid="{3490AD61-881A-4C89-91AC-1BAF49C0C575}" name="Sum of Scope 2 kg CO2-e" dataDxfId="244" totalsRowDxfId="243">
      <calculatedColumnFormula>VLOOKUP(A3,'GHG Factors FY20'!A:L,11,FALSE)*N3</calculatedColumnFormula>
    </tableColumn>
    <tableColumn id="17" xr3:uid="{0B77F449-862D-4451-9BB6-3A2A397D1D07}" name="Sum of Scope 3 kg CO2-e" dataDxfId="242" totalsRowDxfId="241">
      <calculatedColumnFormula>VLOOKUP(A3,'GHG Factors FY20'!A:L,12,FALSE)*N3</calculatedColumnFormula>
    </tableColumn>
    <tableColumn id="18" xr3:uid="{4E7A3F10-06D6-4F84-B2A2-7595D2BA8429}" name="Sum of Total Emissions" dataDxfId="240" totalsRowDxfId="239">
      <calculatedColumnFormula>SUM(O3,P3,Q3)</calculatedColumnFormula>
    </tableColumn>
  </tableColumns>
  <tableStyleInfo name="TableStyleQueryResul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8B11BC6-A0DE-4783-855D-F695D67748AD}" name="NBN_RemovalFY20" displayName="NBN_RemovalFY20" ref="A2:J10" insertRowShift="1" totalsRowShown="0" headerRowDxfId="554" dataDxfId="553" headerRowCellStyle="Comma" dataCellStyle="Comma">
  <autoFilter ref="A2:J10" xr:uid="{D2E866F3-386C-4A7D-A015-92B434B158A3}"/>
  <tableColumns count="10">
    <tableColumn id="1" xr3:uid="{B6B28F57-5646-46D3-8EEE-787F52281C99}" name="Reporting Alias" dataDxfId="552" dataCellStyle="Comma"/>
    <tableColumn id="2" xr3:uid="{F3BA636C-6D2A-453B-AFF2-05FA14AE7D60}" name="Consumption Quantity" dataDxfId="551" dataCellStyle="Comma"/>
    <tableColumn id="3" xr3:uid="{A0366ADB-D7F1-4EA7-A0C4-C1E2B608F725}" name="UoM" dataDxfId="550" dataCellStyle="Comma"/>
    <tableColumn id="4" xr3:uid="{3700EF92-1940-4331-95F8-565918264BCF}" name="Primary Criterion" dataDxfId="549" dataCellStyle="Comma"/>
    <tableColumn id="5" xr3:uid="{9C03B72F-E4A7-45FD-BD37-25C5A54F206E}" name="Sum of Consumption Quantity" dataDxfId="548" dataCellStyle="Comma"/>
    <tableColumn id="6" xr3:uid="{9ABAF1F3-CC6E-428A-B5A2-B4A407FB297D}" name="Sum of Total GJ" dataDxfId="547" dataCellStyle="Comma">
      <calculatedColumnFormula>VLOOKUP(A3,'GHG Factors FY21'!A:L,8,FALSE)*B3</calculatedColumnFormula>
    </tableColumn>
    <tableColumn id="7" xr3:uid="{29C610F4-1D7A-4DF6-987B-1B97DE7E4A87}" name="Sum of Scope 1 kg CO2-e" dataDxfId="546" dataCellStyle="Comma">
      <calculatedColumnFormula>VLOOKUP(A3,'GHG Factors FY20'!A:L,10,FALSE)*F3</calculatedColumnFormula>
    </tableColumn>
    <tableColumn id="8" xr3:uid="{A23AD737-CF9F-4138-96DF-C9C17CB31E63}" name="Sum of Scope 2 kg CO2-e" dataDxfId="545" dataCellStyle="Comma">
      <calculatedColumnFormula>VLOOKUP(A3,'GHG Factors FY20'!A:L,11,FALSE)*F3</calculatedColumnFormula>
    </tableColumn>
    <tableColumn id="9" xr3:uid="{4FCD3EC0-EB52-4AFF-ADA8-014335816284}" name="Sum of Scope 3 kg CO2-e" dataDxfId="544" dataCellStyle="Comma">
      <calculatedColumnFormula>VLOOKUP(A3,'GHG Factors FY20'!A:L,12,FALSE)*F3</calculatedColumnFormula>
    </tableColumn>
    <tableColumn id="10" xr3:uid="{6859F4A7-48C1-4B42-BE87-A7225F48624C}" name="Sum of Total Emissions" dataDxfId="543" dataCellStyle="Comma">
      <calculatedColumnFormula>SUM(G3,H3,I3)</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3AEA9CC-F1EF-4356-AA32-C250C0415A52}" name="NON_Genset3020" displayName="NON_Genset3020" ref="A24:R40" totalsRowShown="0" headerRowDxfId="238" dataDxfId="237">
  <autoFilter ref="A24:R40" xr:uid="{2E68ACFE-581B-4A1D-B4D6-C7DDCC3481E1}"/>
  <sortState xmlns:xlrd2="http://schemas.microsoft.com/office/spreadsheetml/2017/richdata2" ref="A25:R39">
    <sortCondition ref="A4"/>
  </sortState>
  <tableColumns count="18">
    <tableColumn id="1" xr3:uid="{59511816-1C19-4C2D-AA0F-844F6C00AB1E}" name="Reporting Alias" dataDxfId="236" totalsRowDxfId="235"/>
    <tableColumn id="2" xr3:uid="{9335F451-C6EB-4EF7-AE4E-A6BBDFD66061}" name="Source Name" dataDxfId="234" totalsRowDxfId="233"/>
    <tableColumn id="3" xr3:uid="{5CEF4D80-786E-4312-ACE2-75E43ED3085D}" name="Activity Type" dataDxfId="232" totalsRowDxfId="231"/>
    <tableColumn id="4" xr3:uid="{DF02F719-E69D-4A36-84B5-02087A123308}" name="Activity Type Context" dataDxfId="230" totalsRowDxfId="229"/>
    <tableColumn id="5" xr3:uid="{157A7F0C-89AA-4616-95B4-A314C1DD162A}" name="Entity" dataDxfId="228" totalsRowDxfId="227"/>
    <tableColumn id="6" xr3:uid="{3FA9910A-03B5-4E21-819D-22B8900D5AA6}" name="Fuel" dataDxfId="226" totalsRowDxfId="225"/>
    <tableColumn id="7" xr3:uid="{46103AEB-ED4E-4C90-9F8F-D411AA68B85E}" name="State" dataDxfId="224" totalsRowDxfId="223"/>
    <tableColumn id="8" xr3:uid="{B0A34D43-4B39-4577-8A06-362FCE2ACBCF}" name="Consumption Quantity (L)" dataDxfId="222" totalsRowDxfId="221" dataCellStyle="Comma"/>
    <tableColumn id="9" xr3:uid="{8D7F12CF-9F24-4C03-8642-667595DB511B}" name="Production  Units" dataDxfId="220" totalsRowDxfId="219"/>
    <tableColumn id="10" xr3:uid="{46AB8F2C-DCA6-4B42-99C1-1D87C004218E}" name="Consumption Quantity" dataDxfId="218" totalsRowDxfId="217">
      <calculatedColumnFormula>NON_Genset3020[[#This Row],[Consumption Quantity (L)]]/1000</calculatedColumnFormula>
    </tableColumn>
    <tableColumn id="11" xr3:uid="{BC569B03-6EA2-4222-B0DA-02F77AA54270}" name="UoM" dataDxfId="216" totalsRowDxfId="215"/>
    <tableColumn id="12" xr3:uid="{F3A062D3-C6B3-4E3F-9228-353A53B3E7AA}" name="Primary Criterion" dataDxfId="214" totalsRowDxfId="213"/>
    <tableColumn id="13" xr3:uid="{7727CB0C-D25A-4381-9EC9-4AD72559C976}" name="Sum of Consumption Quantity" dataDxfId="212" totalsRowDxfId="211">
      <calculatedColumnFormula>J25</calculatedColumnFormula>
    </tableColumn>
    <tableColumn id="14" xr3:uid="{21889A9F-4DE3-4505-8EC9-F9E18D3F139C}" name="Sum of Total GJ" dataDxfId="210" totalsRowDxfId="209">
      <calculatedColumnFormula>VLOOKUP(A25,'GHG Factors FY20'!A:L,8,FALSE)*M25</calculatedColumnFormula>
    </tableColumn>
    <tableColumn id="15" xr3:uid="{744D031D-0613-4E1D-BC45-8064B223BF60}" name="Sum of Scope 1 kg CO2-e" dataDxfId="208" totalsRowDxfId="207">
      <calculatedColumnFormula>VLOOKUP(A25,'GHG Factors FY20'!A:L,10,FALSE)*N25</calculatedColumnFormula>
    </tableColumn>
    <tableColumn id="16" xr3:uid="{91DF0CE6-7ABA-4D77-AA70-3F226016951A}" name="Sum of Scope 2 kg CO2-e" dataDxfId="206" totalsRowDxfId="205">
      <calculatedColumnFormula>VLOOKUP(A25,'GHG Factors FY20'!A:L,11,FALSE)*N25</calculatedColumnFormula>
    </tableColumn>
    <tableColumn id="17" xr3:uid="{54E4B593-3A56-4318-BDD6-9D1CCFB3D08C}" name="Sum of Scope 3 kg CO2-e" dataDxfId="204" totalsRowDxfId="203">
      <calculatedColumnFormula>VLOOKUP(A25,'GHG Factors FY20'!A:L,12,FALSE)*N25</calculatedColumnFormula>
    </tableColumn>
    <tableColumn id="18" xr3:uid="{CC2C004C-3DC0-42E0-BA65-36E498CFF9B2}" name="Sum of Total Emissions" dataDxfId="202" totalsRowDxfId="201">
      <calculatedColumnFormula>SUM(O25,P25,Q25)</calculatedColumnFormula>
    </tableColumn>
  </tableColumns>
  <tableStyleInfo name="TableStyleQueryResult"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FDAAE5-4C85-416D-B960-3831EFBE0E7A}" name="Table1" displayName="Table1" ref="A3:Q30" totalsRowShown="0" headerRowDxfId="200" dataDxfId="198" headerRowBorderDxfId="199" tableBorderDxfId="197">
  <autoFilter ref="A3:Q30" xr:uid="{FB548A20-A235-4C0A-B1D8-0BA6D646268D}"/>
  <tableColumns count="17">
    <tableColumn id="1" xr3:uid="{F8A61D8A-029D-4A0B-BF6F-539BA8D96CCE}" name="Reporting Alias"/>
    <tableColumn id="2" xr3:uid="{EB0A890C-3860-44A2-9C19-9F44675EBDDC}" name="Source Name" dataDxfId="196"/>
    <tableColumn id="3" xr3:uid="{9D9E92E7-94F0-47E1-9B33-777DFD036C73}" name="Activity Type" dataDxfId="195"/>
    <tableColumn id="4" xr3:uid="{C025B0C3-F92C-4FA4-A802-055CBCBAE9ED}" name="Activity Type Context" dataDxfId="194"/>
    <tableColumn id="5" xr3:uid="{973A117D-1B5E-4F67-BDB5-BABE3AB90260}" name="Entity" dataDxfId="193"/>
    <tableColumn id="6" xr3:uid="{CCCC4536-AE88-4068-B6BF-55A0059EE61B}" name="Fuel" dataDxfId="192"/>
    <tableColumn id="7" xr3:uid="{6BA4AA60-8ACA-408A-85FD-5E6E0963B41D}" name="State" dataDxfId="191"/>
    <tableColumn id="8" xr3:uid="{B8448FD0-A80C-4D5A-A4E7-B18C8635ABAE}" name="Consumption Quantity (L)" dataDxfId="190" dataCellStyle="Comma"/>
    <tableColumn id="9" xr3:uid="{F0CBE317-6001-47F3-BF15-E905156D811B}" name="Consumption  Units" dataDxfId="189" dataCellStyle="Comma"/>
    <tableColumn id="10" xr3:uid="{970470C8-4556-4013-9CF3-C08E47260E5B}" name="UoM" dataDxfId="188"/>
    <tableColumn id="11" xr3:uid="{B2075798-EC95-4911-9358-FE2698D2104B}" name="Primary Criterion" dataDxfId="187"/>
    <tableColumn id="12" xr3:uid="{ED61D11F-C985-4F27-8C3E-46C11057DFE2}" name="Sum of Consumption Quantity" dataDxfId="186">
      <calculatedColumnFormula>H4/1000</calculatedColumnFormula>
    </tableColumn>
    <tableColumn id="13" xr3:uid="{679F04A7-7774-45F1-AEAD-B0E98753E111}" name="Sum of Total GJ" dataDxfId="185">
      <calculatedColumnFormula>VLOOKUP(A4,'GHG Factors FY20'!A:L,8,FALSE)*L4</calculatedColumnFormula>
    </tableColumn>
    <tableColumn id="14" xr3:uid="{00EDA8D3-898B-4D30-9621-E79417A6FEA5}" name="Sum of Scope 1 kg CO2-e" dataDxfId="184" dataCellStyle="Comma">
      <calculatedColumnFormula>VLOOKUP(A4,'GHG Factors FY20'!A:L,10,FALSE)*M4</calculatedColumnFormula>
    </tableColumn>
    <tableColumn id="15" xr3:uid="{B7D144D5-464C-48CC-B7A9-34A6C4CB0DB6}" name="Sum of Scope 2 kg CO2-e" dataDxfId="183" dataCellStyle="Comma">
      <calculatedColumnFormula>VLOOKUP(A4,'GHG Factors FY20'!A:L,11,FALSE)*M4</calculatedColumnFormula>
    </tableColumn>
    <tableColumn id="16" xr3:uid="{D358D4B2-F754-4E4B-8D12-16A41E2200E7}" name="Sum of Scope 3 kg CO2-e" dataDxfId="182" dataCellStyle="Comma">
      <calculatedColumnFormula>VLOOKUP(A4,'GHG Factors FY20'!A:L,12,FALSE)*M4</calculatedColumnFormula>
    </tableColumn>
    <tableColumn id="17" xr3:uid="{2828200E-3626-4C65-BDBE-45AE915F2C05}" name="Sum of Total Emissions" dataDxfId="181">
      <calculatedColumnFormula>SUM(N4,O4,P4)</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FF0322A-A655-41A6-AE2E-3CAD3DFACDF7}" name="Table121" displayName="Table121" ref="A37:Q63" totalsRowShown="0" headerRowDxfId="180" dataDxfId="178" headerRowBorderDxfId="179" tableBorderDxfId="177">
  <autoFilter ref="A37:Q63" xr:uid="{9907CA22-1109-4731-A8B8-5F0BCFDE7B18}"/>
  <tableColumns count="17">
    <tableColumn id="1" xr3:uid="{92CD52E7-C974-4955-9529-2FB7B01ED8C2}" name="Reporting Alias"/>
    <tableColumn id="2" xr3:uid="{D9E371E3-B517-431F-B2DE-D80DB6F8BEBB}" name="Source Name" dataDxfId="176"/>
    <tableColumn id="3" xr3:uid="{33A23E03-37D1-4E9D-8452-346BCB085335}" name="Activity Type" dataDxfId="175"/>
    <tableColumn id="4" xr3:uid="{8DB1019B-719C-466D-AFEC-50CBD1953617}" name="Activity Type Context" dataDxfId="174"/>
    <tableColumn id="5" xr3:uid="{3512B7D2-6BEC-4423-9FCE-53D3084F82A6}" name="Entity" dataDxfId="173"/>
    <tableColumn id="6" xr3:uid="{237A7AE7-B272-4B6A-AE10-B3E852B38A56}" name="Fuel" dataDxfId="172"/>
    <tableColumn id="7" xr3:uid="{CA844FA6-131D-416F-A3A8-65576E45E8BA}" name="State" dataDxfId="171"/>
    <tableColumn id="8" xr3:uid="{792F7870-763D-4E64-BC89-09A71021B486}" name="Consumption Quantity (L)" dataDxfId="170" dataCellStyle="Comma"/>
    <tableColumn id="9" xr3:uid="{6BE6ED7C-9BBF-43E4-AF2B-E7A77A99A7AA}" name="Consumption  Units" dataDxfId="169" dataCellStyle="Comma"/>
    <tableColumn id="10" xr3:uid="{2433384C-1A59-4562-BF9C-033FF5297289}" name="UoM" dataDxfId="168"/>
    <tableColumn id="11" xr3:uid="{344E36DC-D484-4E93-9BE8-58D328661D4E}" name="Primary Criterion" dataDxfId="167"/>
    <tableColumn id="12" xr3:uid="{43A2C995-5D67-43E6-B0E0-06E92764ADC7}" name="Sum of Consumption Quantity" dataDxfId="166">
      <calculatedColumnFormula>H38/1000</calculatedColumnFormula>
    </tableColumn>
    <tableColumn id="13" xr3:uid="{FC0EAD07-0286-4190-82A9-0A18212333D6}" name="Sum of Total GJ" dataDxfId="165">
      <calculatedColumnFormula>VLOOKUP(A38,'GHG Factors FY20'!A:L,8,FALSE)*L38</calculatedColumnFormula>
    </tableColumn>
    <tableColumn id="14" xr3:uid="{4C948050-5B8B-45A3-ADD8-F5A880D8AD8E}" name="Sum of Scope 1 kg CO2-e" dataDxfId="164" dataCellStyle="Comma">
      <calculatedColumnFormula>VLOOKUP(A38,'GHG Factors FY20'!A:L,10,FALSE)*M38</calculatedColumnFormula>
    </tableColumn>
    <tableColumn id="15" xr3:uid="{53AC8B67-D51B-4D85-8240-0937E69B8E48}" name="Sum of Scope 2 kg CO2-e" dataDxfId="163" dataCellStyle="Comma">
      <calculatedColumnFormula>VLOOKUP(A38,'GHG Factors FY20'!A:L,11,FALSE)*M38</calculatedColumnFormula>
    </tableColumn>
    <tableColumn id="16" xr3:uid="{AD432B8F-B2EF-4B26-81F3-1D1080316EE9}" name="Sum of Scope 3 kg CO2-e" dataDxfId="162" dataCellStyle="Comma">
      <calculatedColumnFormula>VLOOKUP(A38,'GHG Factors FY20'!A:L,12,FALSE)*M38</calculatedColumnFormula>
    </tableColumn>
    <tableColumn id="17" xr3:uid="{B5F14338-19A2-4345-A009-F15A844FF81E}" name="Sum of Total Emissions" dataDxfId="161">
      <calculatedColumnFormula>SUM(N38,O38,P38)</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578072D-0EE7-4857-9456-6EBEC40C6E90}" name="Grounds_Fuels33" displayName="Grounds_Fuels33" ref="A2:Q23" totalsRowCount="1" headerRowDxfId="160" dataDxfId="159">
  <autoFilter ref="A2:Q22" xr:uid="{941068DB-A760-49FA-B0CC-075D2C70D487}"/>
  <sortState xmlns:xlrd2="http://schemas.microsoft.com/office/spreadsheetml/2017/richdata2" ref="A3:Q17">
    <sortCondition ref="F5"/>
  </sortState>
  <tableColumns count="17">
    <tableColumn id="1" xr3:uid="{B4EBF4D0-748D-4A37-BE3C-0EDCF152036C}" name="Reporting Alias" dataDxfId="158" totalsRowDxfId="157"/>
    <tableColumn id="2" xr3:uid="{7A4BDECE-9787-4BB9-AF21-979F8F781762}" name="Source Name" dataDxfId="156" totalsRowDxfId="155"/>
    <tableColumn id="3" xr3:uid="{98774318-833F-4B83-A364-17D3B945FD91}" name="Activity Type" dataDxfId="154" totalsRowDxfId="153"/>
    <tableColumn id="4" xr3:uid="{8347225B-5A03-4EEE-9B6C-13DA9216C6A4}" name="Activity Type Context" dataDxfId="152" totalsRowDxfId="151"/>
    <tableColumn id="5" xr3:uid="{CB7A5244-D40E-405E-8B8A-19F34A45556F}" name="Entity" dataDxfId="150" totalsRowDxfId="149"/>
    <tableColumn id="6" xr3:uid="{83893D3C-88A6-40C9-90C6-BC0B52C60E49}" name="Fuel" dataDxfId="148" totalsRowDxfId="147"/>
    <tableColumn id="7" xr3:uid="{0C4B9504-EA17-4413-82BE-E2B91E4C402D}" name="State" dataDxfId="146" totalsRowDxfId="145"/>
    <tableColumn id="8" xr3:uid="{3C9578C5-5DA0-46B4-A751-BD6FABA87B8D}" name="Consumption Quantity (L)" dataDxfId="144" totalsRowDxfId="143" dataCellStyle="Comma"/>
    <tableColumn id="9" xr3:uid="{4A9BDD02-9DC6-4CFC-BACB-0677C0FF849E}" name="Consumption  Units" dataDxfId="142" totalsRowDxfId="141"/>
    <tableColumn id="10" xr3:uid="{F7491F02-14A3-450B-B72D-6234075E0142}" name="UoM" dataDxfId="140" totalsRowDxfId="139"/>
    <tableColumn id="11" xr3:uid="{3CC1C5F8-964C-405B-8237-CB9E8AC9C748}" name="Primary Criterion" dataDxfId="138" totalsRowDxfId="137"/>
    <tableColumn id="12" xr3:uid="{08D3D122-DBCE-499D-B043-A755BFC326FB}" name="Sum of Consumption Quantity" dataDxfId="136" totalsRowDxfId="135" dataCellStyle="Comma">
      <calculatedColumnFormula>H3/1000</calculatedColumnFormula>
    </tableColumn>
    <tableColumn id="13" xr3:uid="{0814F2D0-110B-4193-81E5-83B2B0D5F303}" name="Sum of Total GJ" dataDxfId="134" totalsRowDxfId="133">
      <calculatedColumnFormula>VLOOKUP(A3,'GHG Factors FY20'!A:L,8,FALSE)*L3</calculatedColumnFormula>
    </tableColumn>
    <tableColumn id="14" xr3:uid="{AC9BF1EA-C904-415F-A3EC-52FCF49F6C7F}" name="Sum of Scope 1 kg CO2-e" dataDxfId="132" totalsRowDxfId="131">
      <calculatedColumnFormula>VLOOKUP(A3,'GHG Factors FY20'!A:L,10,FALSE)*M3</calculatedColumnFormula>
    </tableColumn>
    <tableColumn id="15" xr3:uid="{93E3C2C8-29D8-450E-98B2-7E33AFD19BF6}" name="Sum of Scope 2 kg CO2-e" dataDxfId="130" totalsRowDxfId="129">
      <calculatedColumnFormula>VLOOKUP(A3,'GHG Factors FY20'!A:L,11,FALSE)*M3</calculatedColumnFormula>
    </tableColumn>
    <tableColumn id="16" xr3:uid="{4F4FE57C-3525-49C1-BB44-BEBEEB2D9686}" name="Sum of Scope 3 kg CO2-e" dataDxfId="128" totalsRowDxfId="127">
      <calculatedColumnFormula>VLOOKUP(A3,'GHG Factors FY20'!A:L,12,FALSE)*M3</calculatedColumnFormula>
    </tableColumn>
    <tableColumn id="17" xr3:uid="{CA442694-0566-402B-A0A6-B4DF7041C3FE}" name="Sum of Total Emissions" dataDxfId="126" totalsRowDxfId="125">
      <calculatedColumnFormula>SUM(N3,O3,P3)</calculatedColumnFormula>
    </tableColumn>
  </tableColumns>
  <tableStyleInfo name="TableStyleQueryResult"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9C8F014-43B5-43F4-AB99-9BB893503984}" name="Grounds_Fuels3322" displayName="Grounds_Fuels3322" ref="A30:Q49" totalsRowCount="1" headerRowDxfId="124" dataDxfId="123">
  <autoFilter ref="A30:Q48" xr:uid="{F10BCC06-34EB-4AFF-930A-9F5DD581F178}"/>
  <sortState xmlns:xlrd2="http://schemas.microsoft.com/office/spreadsheetml/2017/richdata2" ref="A31:Q45">
    <sortCondition ref="F5"/>
  </sortState>
  <tableColumns count="17">
    <tableColumn id="1" xr3:uid="{D34A6551-2BE7-4FFF-800D-496E30EE0623}" name="Reporting Alias" dataDxfId="122" totalsRowDxfId="121"/>
    <tableColumn id="2" xr3:uid="{CBD966AE-8A93-416D-A522-7EA9A57E300C}" name="Source Name" dataDxfId="120" totalsRowDxfId="119"/>
    <tableColumn id="3" xr3:uid="{8E9D3880-93F2-4687-9C58-34119B4C71F9}" name="Activity Type" dataDxfId="118" totalsRowDxfId="117"/>
    <tableColumn id="4" xr3:uid="{C53B422B-2240-45EA-9D04-A03D758C6F2F}" name="Activity Type Context" dataDxfId="116" totalsRowDxfId="115"/>
    <tableColumn id="5" xr3:uid="{2F046821-36D0-4E44-8866-456BCDD79ED4}" name="Entity" dataDxfId="114" totalsRowDxfId="113"/>
    <tableColumn id="6" xr3:uid="{A32188C7-A197-4A60-9C99-D91763AC303C}" name="Fuel" dataDxfId="112" totalsRowDxfId="111"/>
    <tableColumn id="7" xr3:uid="{C39D192C-AF7A-4B35-83A8-0497CA6BA52F}" name="State" dataDxfId="110" totalsRowDxfId="109"/>
    <tableColumn id="8" xr3:uid="{9E82356E-1513-4FA8-BB21-67E65B501C6F}" name="Consumption Quantity (L)" dataDxfId="108" totalsRowDxfId="107" dataCellStyle="Comma" totalsRowCellStyle="Comma"/>
    <tableColumn id="9" xr3:uid="{5DB53EC4-A967-474A-B6F3-5F837C22A172}" name="Consumption  Units" dataDxfId="106" totalsRowDxfId="105"/>
    <tableColumn id="10" xr3:uid="{1AAE66DA-D1D0-45C0-81F5-F13E5E564792}" name="UoM" dataDxfId="104" totalsRowDxfId="103"/>
    <tableColumn id="11" xr3:uid="{9C0D598A-B659-45D9-AD91-679D18D2CE67}" name="Primary Criterion" dataDxfId="102" totalsRowDxfId="101"/>
    <tableColumn id="12" xr3:uid="{2F67CAEC-D3E9-4471-BF9F-EA05D2FD2467}" name="Sum of Consumption Quantity" dataDxfId="100" totalsRowDxfId="99" dataCellStyle="Comma">
      <calculatedColumnFormula>H31/1000</calculatedColumnFormula>
    </tableColumn>
    <tableColumn id="13" xr3:uid="{38041E19-E1AE-45B0-A42F-B2C2E2BA447D}" name="Sum of Total GJ" dataDxfId="98" totalsRowDxfId="97">
      <calculatedColumnFormula>VLOOKUP(A31,'GHG Factors FY20'!A:L,8,FALSE)*L31</calculatedColumnFormula>
    </tableColumn>
    <tableColumn id="14" xr3:uid="{5172529B-0F38-44FD-BC82-F088479ABC4D}" name="Sum of Scope 1 kg CO2-e" dataDxfId="96" totalsRowDxfId="95">
      <calculatedColumnFormula>VLOOKUP(A31,'GHG Factors FY20'!A:L,10,FALSE)*M31</calculatedColumnFormula>
    </tableColumn>
    <tableColumn id="15" xr3:uid="{E2A9CC68-FCD5-4062-BD21-196CF9813533}" name="Sum of Scope 2 kg CO2-e" dataDxfId="94" totalsRowDxfId="93">
      <calculatedColumnFormula>VLOOKUP(A31,'GHG Factors FY20'!A:L,11,FALSE)*M31</calculatedColumnFormula>
    </tableColumn>
    <tableColumn id="16" xr3:uid="{E4FCB86A-A094-40C8-B17E-883D4D9D2781}" name="Sum of Scope 3 kg CO2-e" dataDxfId="92" totalsRowDxfId="91">
      <calculatedColumnFormula>VLOOKUP(A31,'GHG Factors FY20'!A:L,12,FALSE)*M31</calculatedColumnFormula>
    </tableColumn>
    <tableColumn id="17" xr3:uid="{70BBEBDC-F910-4DF8-91A4-1436EF1DD5B2}" name="Sum of Total Emissions" dataDxfId="90" totalsRowDxfId="89">
      <calculatedColumnFormula>SUM(N31,O31,P31)</calculatedColumnFormula>
    </tableColumn>
  </tableColumns>
  <tableStyleInfo name="TableStyleQueryResult"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D684C6D5-3F51-4284-8A4F-136D6F1A1B4E}" name="Pitwater3240" displayName="Pitwater3240" ref="A2:C11" totalsRowCount="1" headerRowDxfId="88" dataDxfId="87">
  <autoFilter ref="A2:C10" xr:uid="{5EF25A78-AE03-4E2F-8937-1EF81E3A976A}"/>
  <tableColumns count="3">
    <tableColumn id="1" xr3:uid="{BD4D9F6B-5C9F-4E45-8ECD-D904BF6ECC6B}" name="Reporting alias" dataDxfId="86" totalsRowDxfId="85"/>
    <tableColumn id="2" xr3:uid="{AC932A23-1C41-4477-9C84-12FD5BA9B16D}" name="State" dataDxfId="84" totalsRowDxfId="83"/>
    <tableColumn id="3" xr3:uid="{56D6C8A2-ABB1-497A-A9FA-FAD28A57A678}" name="L" totalsRowFunction="custom" dataDxfId="82" totalsRowDxfId="81" dataCellStyle="Comma">
      <totalsRowFormula>SUM(C3:C9)</totalsRowFormula>
    </tableColumn>
  </tableColumns>
  <tableStyleInfo name="TableStyleQueryResult"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341C23-F198-483F-97F2-515E22A5A8E4}" name="Pitwater324023" displayName="Pitwater324023" ref="A16:C24" totalsRowShown="0" headerRowDxfId="80" dataDxfId="79">
  <autoFilter ref="A16:C24" xr:uid="{2CA618BF-D432-4C8C-B846-F827671E5B33}"/>
  <tableColumns count="3">
    <tableColumn id="1" xr3:uid="{279DB91F-6ADA-4F7D-AE64-51710B376FD4}" name="Reporting alias" dataDxfId="78"/>
    <tableColumn id="2" xr3:uid="{76E52AB1-07FD-484A-B320-838EF5BCBEDC}" name="State" dataDxfId="77"/>
    <tableColumn id="3" xr3:uid="{28ED7FCC-9190-4897-98D1-B2AEF92663D0}" name="L" dataDxfId="76" dataCellStyle="Comma"/>
  </tableColumns>
  <tableStyleInfo name="TableStyleQueryResult"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947EDC-735C-4E9D-B90E-9897F39679F8}" name="EntityFY21" displayName="EntityFY21" ref="B1:O467" totalsRowShown="0" headerRowDxfId="51" dataDxfId="50">
  <autoFilter ref="B1:O467" xr:uid="{146C6DC7-0CC6-430B-85A3-13D1F262B033}"/>
  <tableColumns count="14">
    <tableColumn id="1" xr3:uid="{2EBAE601-2C04-4E4D-A4BD-06837F2F5FE1}" name="Reporting Alias" dataDxfId="49"/>
    <tableColumn id="2" xr3:uid="{71FDDFCE-A3DD-4A7E-B219-A7F20D858301}" name="Emission Source" dataDxfId="48"/>
    <tableColumn id="3" xr3:uid="{4380DD2B-F567-4AF6-8FCC-C4D28378EB33}" name="Source Name" dataDxfId="47"/>
    <tableColumn id="4" xr3:uid="{0DD7B836-1A7B-4C21-A635-5942230D950F}" name="Activity Type" dataDxfId="46"/>
    <tableColumn id="5" xr3:uid="{702578AE-7137-4636-89B1-16C846A19EBE}" name="Activity Type Context" dataDxfId="45"/>
    <tableColumn id="6" xr3:uid="{F35D3CB9-95E0-435F-AE56-87CACC02B16D}" name="Entity" dataDxfId="44"/>
    <tableColumn id="7" xr3:uid="{B93F259E-0B27-4FA3-BC87-4CC13B20A90C}" name="Level 1" dataDxfId="43"/>
    <tableColumn id="8" xr3:uid="{3D261079-6B31-487A-94F2-8E2C63453D2B}" name="Level 2" dataDxfId="42"/>
    <tableColumn id="9" xr3:uid="{453ED2AD-8ED1-41AA-A9F1-6AA15B048C11}" name="Level 3" dataDxfId="41"/>
    <tableColumn id="10" xr3:uid="{0F6BA5A9-42A7-4D0D-A402-629908ECE879}" name="Level 3 Entity type" dataDxfId="40"/>
    <tableColumn id="11" xr3:uid="{ACBCCDC3-8A70-422B-8197-5A1DD7793039}" name="Level 4" dataDxfId="39"/>
    <tableColumn id="12" xr3:uid="{16D706E6-CDAB-4D1E-A880-325B250039B2}" name="State" dataDxfId="38"/>
    <tableColumn id="13" xr3:uid="{B5A51D5B-076C-4A5F-A0D6-ADBB64B8B2EE}" name="UoM" dataDxfId="37"/>
    <tableColumn id="14" xr3:uid="{64F3D230-D175-4C70-AF69-1A53E3EDBA62}" name="Primary Criterion" dataDxfId="36"/>
  </tableColumns>
  <tableStyleInfo name="TableStyleMedium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B72F39-BB24-4F21-83CC-84E08849C2F4}" name="GHGFY207" displayName="GHGFY207" ref="A4:P398" totalsRowShown="0" headerRowDxfId="35" dataDxfId="34">
  <autoFilter ref="A4:P398" xr:uid="{36816E54-716E-4A22-A1E8-AB6541749845}">
    <filterColumn colId="0">
      <filters>
        <filter val="NBN Co Removal ACT"/>
        <filter val="NBN Co Removal NSW"/>
        <filter val="NBN Co Removal NT"/>
        <filter val="NBN Co Removal QLD"/>
        <filter val="NBN Co Removal SA"/>
        <filter val="NBN Co Removal TAS"/>
        <filter val="NBN Co Removal VIC"/>
        <filter val="NBN Co Removal WA"/>
      </filters>
    </filterColumn>
  </autoFilter>
  <tableColumns count="16">
    <tableColumn id="1" xr3:uid="{085844C0-3C37-49C4-9EE2-D4C1CA7CADE7}" name="Reporting Alias" dataDxfId="33"/>
    <tableColumn id="2" xr3:uid="{4336355F-7351-4AF0-AAC2-37BC70D80189}" name="Energy Category" dataDxfId="32"/>
    <tableColumn id="3" xr3:uid="{FDB956A1-8327-45D0-944E-95F70BF50227}" name="Purpose" dataDxfId="31"/>
    <tableColumn id="4" xr3:uid="{AEABDEC6-1426-42B6-8EFB-DAE5F73DEDB4}" name="State" dataDxfId="30"/>
    <tableColumn id="5" xr3:uid="{9CF64B50-ACBB-45F1-8FDC-EC8EED340A06}" name="Default Unit" dataDxfId="29"/>
    <tableColumn id="6" xr3:uid="{5202B23F-3041-4996-9870-55B0519488DC}" name="Unit Conversion Factor" dataDxfId="28"/>
    <tableColumn id="7" xr3:uid="{0336F865-B6F6-41D9-A094-353109F9D966}" name="Unit" dataDxfId="27"/>
    <tableColumn id="8" xr3:uid="{D2CC6527-62CE-4E45-9FCE-E49A99641706}" name="Energy content factor" dataDxfId="26"/>
    <tableColumn id="9" xr3:uid="{168A2C67-AF8F-473B-9F7A-1F0BF975C597}" name="EC Unit" dataDxfId="25"/>
    <tableColumn id="10" xr3:uid="{FF97DAFE-9F19-4086-A508-1B4B027792AE}" name="Scope 1 Emission factor" dataDxfId="24"/>
    <tableColumn id="11" xr3:uid="{A9CDFC40-BE3F-4D23-8CEA-EEAFF624B029}" name="Scope 2 Emission factor" dataDxfId="23"/>
    <tableColumn id="12" xr3:uid="{DF007FCF-0F69-4C74-821A-2636FA61DBBB}" name="Scope 3 Emission factor" dataDxfId="22"/>
    <tableColumn id="13" xr3:uid="{D5753A50-B7BB-4015-BF9E-B8A4DA71048B}" name="EF Unit" dataDxfId="21"/>
    <tableColumn id="14" xr3:uid="{60CD663B-9E15-40C0-8DCB-BCF8AEECDDDC}" name="Data Source (scope 1)" dataDxfId="20"/>
    <tableColumn id="15" xr3:uid="{FCABE3C1-CF1B-4266-B2CA-F3FAD5DBDC9D}" name="Data Source (scope 2)" dataDxfId="19"/>
    <tableColumn id="16" xr3:uid="{F51D8BAB-6FEE-4C24-BD44-3D28A0A6CCC0}" name="Data Source (scope 3)" dataDxfId="18"/>
  </tableColumns>
  <tableStyleInfo name="TableStyleMedium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D0228C20-5D93-405D-8347-06C84E92D4F3}" name="GHGFY20" displayName="GHGFY20" ref="A4:P391" totalsRowShown="0" headerRowDxfId="17" dataDxfId="16">
  <autoFilter ref="A4:P391" xr:uid="{36816E54-716E-4A22-A1E8-AB6541749845}"/>
  <tableColumns count="16">
    <tableColumn id="1" xr3:uid="{46AC479A-D36C-4C2B-87AA-88A01D0F1760}" name="Reporting Alias" dataDxfId="15"/>
    <tableColumn id="2" xr3:uid="{3067BF75-044D-4EDC-BFF5-F5AD2325D138}" name="Energy Category" dataDxfId="14"/>
    <tableColumn id="3" xr3:uid="{334855A0-AB0B-4188-8FD6-92BC50AACEA8}" name="Purpose" dataDxfId="13"/>
    <tableColumn id="4" xr3:uid="{31D22570-20FF-4C62-8462-67536A4182E9}" name="State" dataDxfId="12"/>
    <tableColumn id="5" xr3:uid="{9B808263-4740-4B9A-AB7D-085C2A0D27C2}" name="Default Unit" dataDxfId="11"/>
    <tableColumn id="6" xr3:uid="{6C4B0BB9-049D-4433-8838-3FE9635B2A04}" name="Unit Conversion Factor" dataDxfId="10"/>
    <tableColumn id="7" xr3:uid="{67B3923F-8BE7-4737-88F6-E5E8C71FDD41}" name="Unit" dataDxfId="9"/>
    <tableColumn id="8" xr3:uid="{24D0915C-975E-432C-BA42-EB0E2BFD63A4}" name="Energy content factor" dataDxfId="8"/>
    <tableColumn id="9" xr3:uid="{02B54349-90E4-4AA7-9DB8-3286EB55FFC7}" name="EC Unit" dataDxfId="7"/>
    <tableColumn id="10" xr3:uid="{445E9C55-4F6E-4548-956E-9259B74BB8FF}" name="Scope 1 Emission factor" dataDxfId="6"/>
    <tableColumn id="11" xr3:uid="{0A2F506C-281E-4ED3-B974-43FA399C4CBB}" name="Scope 2 Emission factor" dataDxfId="5"/>
    <tableColumn id="12" xr3:uid="{D492AAA3-674B-42B5-880F-256B3DC84FDD}" name="Scope 3 Emission factor" dataDxfId="4"/>
    <tableColumn id="13" xr3:uid="{E2BDF444-0183-4C48-8691-F909EBD2B01A}" name="EF Unit" dataDxfId="3"/>
    <tableColumn id="14" xr3:uid="{23F47B89-C7DB-41CD-A86B-0D0FEF038449}" name="Data Source (scope 1)" dataDxfId="2"/>
    <tableColumn id="15" xr3:uid="{B54A5AE1-C917-4132-8F65-4F84A81419EC}" name="Data Source (scope 2)" dataDxfId="1"/>
    <tableColumn id="16" xr3:uid="{17D0E262-6068-410C-949C-AFF394C349DD}" name="Data Source (scope 3)" dataDxfId="0"/>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D56D6FB-7D56-4B6F-8F9B-5FDCCAB28FF8}" name="NBN_RemovalFY204" displayName="NBN_RemovalFY204" ref="A18:J26" insertRowShift="1" totalsRowShown="0" headerRowDxfId="542" dataDxfId="541" headerRowCellStyle="Comma" dataCellStyle="Comma">
  <autoFilter ref="A18:J26" xr:uid="{0FE1387D-668D-4344-8E75-9BEBAC497D16}"/>
  <tableColumns count="10">
    <tableColumn id="1" xr3:uid="{B33F99FD-CCD5-428B-BEB8-E60B41BB740A}" name="Reporting Alias" dataDxfId="540" dataCellStyle="Comma"/>
    <tableColumn id="2" xr3:uid="{F737403A-9FA5-494A-A504-63FB17EEDE8E}" name="Consumption Quantity" dataDxfId="539" dataCellStyle="Comma"/>
    <tableColumn id="3" xr3:uid="{CED0D09D-7D69-4A52-92C4-A211D574E893}" name="UoM" dataDxfId="538" dataCellStyle="Comma"/>
    <tableColumn id="4" xr3:uid="{6385FD16-7A08-4580-925C-83070B119D44}" name="Primary Criterion" dataDxfId="537" dataCellStyle="Comma"/>
    <tableColumn id="5" xr3:uid="{2CD5DF3C-8331-4F0A-B4C9-EBCEA9F07028}" name="Sum of Consumption Quantity" dataDxfId="536" dataCellStyle="Comma">
      <calculatedColumnFormula>NBN_RemovalFY204[[#This Row],[Consumption Quantity]]</calculatedColumnFormula>
    </tableColumn>
    <tableColumn id="6" xr3:uid="{120D3EEA-AE12-4FC3-9051-4678DBD15676}" name="Sum of Total GJ" dataDxfId="535" dataCellStyle="Comma">
      <calculatedColumnFormula>VLOOKUP(A19,'GHG Factors FY20'!A:L,8,FALSE)*B19</calculatedColumnFormula>
    </tableColumn>
    <tableColumn id="7" xr3:uid="{04963E6B-5B3E-4C89-BD6C-37657692A6C6}" name="Sum of Scope 1 kg CO2-e" dataDxfId="534" dataCellStyle="Comma">
      <calculatedColumnFormula>VLOOKUP(A19,'GHG Factors FY20'!A:L,10,FALSE)*E19</calculatedColumnFormula>
    </tableColumn>
    <tableColumn id="8" xr3:uid="{5E6ECB18-5852-40D0-90B5-66CA0939FB0E}" name="Sum of Scope 2 kg CO2-e" dataDxfId="533" dataCellStyle="Comma">
      <calculatedColumnFormula>VLOOKUP(A19,'GHG Factors FY20'!A:L,11,FALSE)*E19</calculatedColumnFormula>
    </tableColumn>
    <tableColumn id="9" xr3:uid="{84564C8E-B3F5-46EA-A65B-1754FA0BDC9D}" name="Sum of Scope 3 kg CO2-e" dataDxfId="532" dataCellStyle="Comma">
      <calculatedColumnFormula>VLOOKUP(A19,'GHG Factors FY20'!A:L,12,FALSE)*E19</calculatedColumnFormula>
    </tableColumn>
    <tableColumn id="10" xr3:uid="{DEF20D91-D3BE-460F-B2F1-48E2D0D2DE4C}" name="Sum of Total Emissions" dataDxfId="531" dataCellStyle="Comma">
      <calculatedColumnFormula>SUM(G19,H19,I19)</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23D181-610C-410B-917B-DB44D0C7675D}" name="NBN_RemovalFY2011" displayName="NBN_RemovalFY2011" ref="A35:J43" insertRowShift="1" totalsRowShown="0" headerRowDxfId="530" dataDxfId="529" headerRowCellStyle="Comma" dataCellStyle="Comma">
  <autoFilter ref="A35:J43" xr:uid="{463E7B49-CB18-4706-B6C7-CF224D8DC151}"/>
  <tableColumns count="10">
    <tableColumn id="1" xr3:uid="{0AA3820D-DC46-4380-948C-43F292F47D1B}" name="Reporting Alias" dataDxfId="528" dataCellStyle="Comma"/>
    <tableColumn id="2" xr3:uid="{E5483EE2-C391-4A7B-9351-BF0C04991706}" name="Consumption Quantity" dataDxfId="527" dataCellStyle="Comma"/>
    <tableColumn id="3" xr3:uid="{583C896F-32E7-48ED-9220-8F6F7E091E95}" name="UoM" dataDxfId="526" dataCellStyle="Comma"/>
    <tableColumn id="4" xr3:uid="{12F4E24F-268B-41D3-9574-E778FA45C2E1}" name="Primary Criterion" dataDxfId="525" dataCellStyle="Comma"/>
    <tableColumn id="5" xr3:uid="{20243C74-4F39-49E8-9EED-CE6535AF7CFE}" name="Sum of Consumption Quantity" dataDxfId="524" dataCellStyle="Comma"/>
    <tableColumn id="6" xr3:uid="{354EF634-CA6B-4F70-B52A-95527FD1D59A}" name="Sum of Total GJ" dataDxfId="523" dataCellStyle="Comma">
      <calculatedColumnFormula>VLOOKUP(A36,'GHG Factors FY20'!A:L,8,FALSE)*B36</calculatedColumnFormula>
    </tableColumn>
    <tableColumn id="7" xr3:uid="{DA5865EB-EC29-4FD0-8FDC-EECC6D4A4D76}" name="Sum of Scope 1 kg CO2-e" dataDxfId="522" dataCellStyle="Comma">
      <calculatedColumnFormula>VLOOKUP(A36,'GHG Factors FY20'!A:L,10,FALSE)*E36</calculatedColumnFormula>
    </tableColumn>
    <tableColumn id="8" xr3:uid="{F4D64E63-FA06-41DF-B707-E25F2F530127}" name="Sum of Scope 2 kg CO2-e" dataDxfId="521" dataCellStyle="Comma">
      <calculatedColumnFormula>VLOOKUP(A36,'GHG Factors FY20'!A:L,11,FALSE)*E36</calculatedColumnFormula>
    </tableColumn>
    <tableColumn id="9" xr3:uid="{895D02BA-EE79-4FFA-813B-EF9827F47828}" name="Sum of Scope 3 kg CO2-e" dataDxfId="520" dataCellStyle="Comma">
      <calculatedColumnFormula>VLOOKUP(A36,'GHG Factors FY20'!A:L,12,FALSE)*E36</calculatedColumnFormula>
    </tableColumn>
    <tableColumn id="10" xr3:uid="{CE183E1D-5B3A-4AB9-9242-DE5AAA2380B2}" name="Sum of Total Emissions" dataDxfId="519" dataCellStyle="Comma">
      <calculatedColumnFormula>SUM(G36,H36,I36)</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F131D41-7333-4CCA-92DF-89802F550864}" name="BCA_RemovalFY20" displayName="BCA_RemovalFY20" ref="A2:J10" totalsRowShown="0" headerRowDxfId="518" dataDxfId="517">
  <autoFilter ref="A2:J10" xr:uid="{42FA14B8-62F1-446A-AE12-4A27C18D9BF3}"/>
  <tableColumns count="10">
    <tableColumn id="1" xr3:uid="{BB4373AC-9491-468E-87D2-FE827608DD1C}" name="Reporting Alias" dataDxfId="516"/>
    <tableColumn id="2" xr3:uid="{50CE3472-4D6D-4986-9376-D00D22187287}" name="Consumption Quantity" dataDxfId="515"/>
    <tableColumn id="3" xr3:uid="{BD7755DD-2E79-4953-AB5D-E55D17D6DADF}" name="UoM" dataDxfId="514"/>
    <tableColumn id="4" xr3:uid="{F3A2572B-131C-4759-B1FD-346FB40BBF9F}" name="Primary Criterion" dataDxfId="513"/>
    <tableColumn id="5" xr3:uid="{E1D162FE-1EA6-40CE-BCF0-FAA0C4C7EAFE}" name="Sum of Consumption Quantity" dataDxfId="512">
      <calculatedColumnFormula>BCA_RemovalFY20[[#This Row],[Consumption Quantity]]</calculatedColumnFormula>
    </tableColumn>
    <tableColumn id="6" xr3:uid="{A38DD2C2-C313-4A92-BBAB-C0BD32ABC7F8}" name="Sum of Total GJ" dataDxfId="511">
      <calculatedColumnFormula>VLOOKUP(A3,'GHG Factors FY20'!A:L,8,FALSE)*E3</calculatedColumnFormula>
    </tableColumn>
    <tableColumn id="7" xr3:uid="{EB854240-2FB8-4F10-8E40-256737C3DF15}" name="Sum of Scope 1 kg CO2-e" dataDxfId="510">
      <calculatedColumnFormula>VLOOKUP(A3,'GHG Factors FY20'!A:L,10,FALSE)*E3</calculatedColumnFormula>
    </tableColumn>
    <tableColumn id="8" xr3:uid="{407D10CA-1A10-47ED-AE6B-2CBAEF26ED9B}" name="Sum of Scope 2 kg CO2-e" dataDxfId="509">
      <calculatedColumnFormula>VLOOKUP(A3,'GHG Factors FY20'!A:L,11,FALSE)*E3</calculatedColumnFormula>
    </tableColumn>
    <tableColumn id="9" xr3:uid="{A4EAEC12-95B6-4E70-BD0C-10FF89003578}" name="Sum of Scope 3 kg CO2-e" dataDxfId="508">
      <calculatedColumnFormula>VLOOKUP(A3,'GHG Factors FY20'!A:L,12,FALSE)*E3</calculatedColumnFormula>
    </tableColumn>
    <tableColumn id="10" xr3:uid="{15469FCF-FA6C-4848-9291-6CE00DD8A741}" name="Sum of Total Emissions" dataDxfId="507">
      <calculatedColumnFormula>SUM(G3,H3,I3)</calculatedColumnFormula>
    </tableColumn>
  </tableColumns>
  <tableStyleInfo name="TableStyleQueryResul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C2311B2-1722-4553-8D8C-EFBE04B23A3B}" name="BCA_RemovalFY2012" displayName="BCA_RemovalFY2012" ref="A17:J25" totalsRowShown="0" headerRowDxfId="506" dataDxfId="505">
  <autoFilter ref="A17:J25" xr:uid="{16D73D35-A5AB-4D3D-B936-D5C5256A408E}"/>
  <tableColumns count="10">
    <tableColumn id="1" xr3:uid="{5B8B6170-5AE5-4644-9C37-D0597EA5D11B}" name="Reporting Alias" dataDxfId="504"/>
    <tableColumn id="2" xr3:uid="{02D45954-5FC2-4276-9FC1-8145C6FE2C57}" name="Consumption Quantity" dataDxfId="503"/>
    <tableColumn id="3" xr3:uid="{C0D1CC87-6F30-4A5F-895F-3B55D9CDDB6B}" name="UoM" dataDxfId="502"/>
    <tableColumn id="4" xr3:uid="{55ED7F8F-271F-417F-BCDC-44C31F960990}" name="Primary Criterion" dataDxfId="501"/>
    <tableColumn id="5" xr3:uid="{526594EC-A76C-4D3B-A6A3-A9B430FE3EA7}" name="Sum of Consumption Quantity" dataDxfId="500">
      <calculatedColumnFormula>B18</calculatedColumnFormula>
    </tableColumn>
    <tableColumn id="6" xr3:uid="{07E10AFD-F673-48A5-8298-490CF95D310B}" name="Sum of Total GJ" dataDxfId="499">
      <calculatedColumnFormula>VLOOKUP(A18,'GHG Factors FY20'!A:L,8,FALSE)*E18</calculatedColumnFormula>
    </tableColumn>
    <tableColumn id="7" xr3:uid="{22E75EAF-0BD0-44FF-9567-3D237C5A4B84}" name="Sum of Scope 1 kg CO2-e" dataDxfId="498">
      <calculatedColumnFormula>VLOOKUP(A18,'GHG Factors FY20'!A:L,10,FALSE)*E18</calculatedColumnFormula>
    </tableColumn>
    <tableColumn id="8" xr3:uid="{E1A36625-A4E4-4F38-BED6-5E4E45B070DD}" name="Sum of Scope 2 kg CO2-e" dataDxfId="497">
      <calculatedColumnFormula>VLOOKUP(A18,'GHG Factors FY20'!A:L,11,FALSE)*E18</calculatedColumnFormula>
    </tableColumn>
    <tableColumn id="9" xr3:uid="{3477BBDE-6780-495D-B9A7-91FBE10B7519}" name="Sum of Scope 3 kg CO2-e" dataDxfId="496">
      <calculatedColumnFormula>VLOOKUP(A18,'GHG Factors FY20'!A:L,12,FALSE)*E18</calculatedColumnFormula>
    </tableColumn>
    <tableColumn id="10" xr3:uid="{DB7A642A-860D-42A7-961A-71B49B5032D8}" name="Sum of Total Emissions" dataDxfId="495">
      <calculatedColumnFormula>SUM(G18,H18,I18)</calculatedColumnFormula>
    </tableColumn>
  </tableColumns>
  <tableStyleInfo name="TableStyleQueryResul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5E8C4F2-3A4C-4904-982B-483D6C410FCF}" name="TelstraBCAFY20" displayName="TelstraBCAFY20" ref="A2:J10" totalsRowShown="0" headerRowDxfId="494" dataDxfId="493">
  <autoFilter ref="A2:J10" xr:uid="{9610FEA6-08FC-4EE7-B1CB-545E099AB46F}"/>
  <tableColumns count="10">
    <tableColumn id="1" xr3:uid="{0BC4CCD6-A3F7-49BF-86A5-D4057C4A269B}" name="Reporting Alias" dataDxfId="492"/>
    <tableColumn id="2" xr3:uid="{D75B55F6-1212-4462-A171-9C73639BE628}" name="Consumption Quantity" dataDxfId="491"/>
    <tableColumn id="3" xr3:uid="{4A16F849-8378-43EC-AFF6-BA5E3D58FB78}" name="UoM" dataDxfId="490"/>
    <tableColumn id="4" xr3:uid="{E16B3FB3-E317-413B-A59E-8E82EA88B056}" name="Primary Criterion" dataDxfId="489"/>
    <tableColumn id="5" xr3:uid="{8D490339-ADB8-4EC4-ABC9-535AB430F21D}" name="Sum of Consumption Quantity" dataDxfId="488">
      <calculatedColumnFormula>B3</calculatedColumnFormula>
    </tableColumn>
    <tableColumn id="6" xr3:uid="{5131E905-764C-4E6D-A3F7-3B3A812715B1}" name="Sum of Total GJ" dataDxfId="487"/>
    <tableColumn id="7" xr3:uid="{D23B7FD4-5F0B-4C7B-9F7B-AD295FC984FC}" name="Sum of Scope 1 kg CO2-e" dataDxfId="486"/>
    <tableColumn id="8" xr3:uid="{CF5F170A-483E-4557-BED1-30DB7D989B54}" name="Sum of Scope 2 kg CO2-e" dataDxfId="485"/>
    <tableColumn id="9" xr3:uid="{6115E1F8-7CE8-4B73-9BB7-EBF31D8AA2DB}" name="Sum of Scope 3 kg CO2-e" dataDxfId="484"/>
    <tableColumn id="10" xr3:uid="{8E6AD705-275C-45FE-9C94-9F7E1416F892}" name="Sum of Total Emissions" dataDxfId="483">
      <calculatedColumnFormula>SUM(G3,H3,I3)</calculatedColumnFormula>
    </tableColumn>
  </tableColumns>
  <tableStyleInfo name="TableStyleQueryResul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EEE517-4277-42CA-AF3B-5D2C4D568CB5}" name="TelstraBCAFY2013" displayName="TelstraBCAFY2013" ref="A19:J27" totalsRowShown="0" headerRowDxfId="482" dataDxfId="481">
  <autoFilter ref="A19:J27" xr:uid="{048A946A-5563-4892-BEB8-1C4E0F2ECBE9}"/>
  <tableColumns count="10">
    <tableColumn id="1" xr3:uid="{762BCA01-F4DE-41CA-B8DD-16586B6DB875}" name="Reporting Alias" dataDxfId="480"/>
    <tableColumn id="2" xr3:uid="{8E4A5F82-B76F-48FC-B19E-62DA05254EA0}" name="Consumption Quantity" dataDxfId="479"/>
    <tableColumn id="3" xr3:uid="{ECA3A85B-0E5E-42FC-A3D2-E9135187A174}" name="UoM" dataDxfId="478"/>
    <tableColumn id="4" xr3:uid="{15B161B6-8500-48ED-9B5B-7C16221DBEDB}" name="Primary Criterion" dataDxfId="477"/>
    <tableColumn id="5" xr3:uid="{E33A3AC7-908E-4AB1-891A-E04A9A1C309D}" name="Sum of Consumption Quantity" dataDxfId="476">
      <calculatedColumnFormula>B20</calculatedColumnFormula>
    </tableColumn>
    <tableColumn id="6" xr3:uid="{995937DC-0386-4DD8-929E-9B72E7B93156}" name="Sum of Total GJ" dataDxfId="475"/>
    <tableColumn id="7" xr3:uid="{89757B42-DCF7-4E7B-916D-4739B838AE4F}" name="Sum of Scope 1 kg CO2-e" dataDxfId="474"/>
    <tableColumn id="8" xr3:uid="{D920F1A6-A96B-4A38-BE57-B3734C423DF6}" name="Sum of Scope 2 kg CO2-e" dataDxfId="473"/>
    <tableColumn id="9" xr3:uid="{FB31B694-5BAA-4028-B886-127682D8F293}" name="Sum of Scope 3 kg CO2-e" dataDxfId="472"/>
    <tableColumn id="10" xr3:uid="{EB7A7D80-81E8-4BF8-B013-37B8D48741B6}" name="Sum of Total Emissions" dataDxfId="471">
      <calculatedColumnFormula>SUM(G20,H20,I20)</calculatedColumnFormula>
    </tableColumn>
  </tableColumns>
  <tableStyleInfo name="TableStyleQueryResul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1BB4A2-7486-4A17-BCB1-DBEE5AB4172E}" name="Table2" displayName="Table2" ref="A2:J44" totalsRowShown="0" headerRowDxfId="470" dataDxfId="468" headerRowBorderDxfId="469" tableBorderDxfId="467" dataCellStyle="Comma">
  <autoFilter ref="A2:J44" xr:uid="{6E195B16-D04F-48C7-8FEE-AD9A4DACC975}"/>
  <tableColumns count="10">
    <tableColumn id="1" xr3:uid="{8B8406AA-AD28-4BC3-B784-D4E0D61DD1C9}" name="Reporting Alias" dataDxfId="466" dataCellStyle="Neutral"/>
    <tableColumn id="2" xr3:uid="{BDB4C1CB-C531-48D7-BB48-3E79488A6D15}" name="Consumption Quantity" dataDxfId="465" dataCellStyle="Comma"/>
    <tableColumn id="3" xr3:uid="{0532B4B0-EB88-48C9-89EF-F86802A96AD5}" name="UoM" dataDxfId="464" dataCellStyle="Comma"/>
    <tableColumn id="4" xr3:uid="{4B476285-DBEE-4CD3-9952-857B927E1F34}" name="Primary Criterion" dataDxfId="463" dataCellStyle="Comma"/>
    <tableColumn id="5" xr3:uid="{5C884BAE-BA7F-438C-8A5B-5E7AF22A320C}" name="Sum of Consumption Quantity" dataDxfId="462" dataCellStyle="Comma">
      <calculatedColumnFormula>B3</calculatedColumnFormula>
    </tableColumn>
    <tableColumn id="6" xr3:uid="{2214BF39-0228-44CA-873C-52EC73C8AEA0}" name="Sum of Total GJ" dataDxfId="461" dataCellStyle="Comma">
      <calculatedColumnFormula>VLOOKUP(A3,'GHG Factors FY20'!A:L,8,FALSE)*E3</calculatedColumnFormula>
    </tableColumn>
    <tableColumn id="7" xr3:uid="{F650704D-2AD1-42D7-9494-3588A66DD116}" name="Sum of Scope 1 kg CO2-e" dataDxfId="460" dataCellStyle="Comma">
      <calculatedColumnFormula>VLOOKUP(A3,'GHG Factors FY20'!A:L,10,FALSE)*E3</calculatedColumnFormula>
    </tableColumn>
    <tableColumn id="8" xr3:uid="{22F48F66-4A80-4A0B-83AF-2A8C234B71C6}" name="Sum of Scope 2 kg CO2-e" dataDxfId="459" dataCellStyle="Comma">
      <calculatedColumnFormula>VLOOKUP(A3,'GHG Factors FY20'!A:L,11,FALSE)*E3</calculatedColumnFormula>
    </tableColumn>
    <tableColumn id="9" xr3:uid="{2163C415-DC43-4342-83FA-0FD0C4DC0535}" name="Sum of Scope 3 kg CO2-e" dataDxfId="458" dataCellStyle="Comma">
      <calculatedColumnFormula>VLOOKUP(A3,'GHG Factors FY20'!A:L,12,FALSE)*E3</calculatedColumnFormula>
    </tableColumn>
    <tableColumn id="10" xr3:uid="{3BA2B2A2-2A4E-4C3C-842F-A0E63852C875}" name="Sum of Total Emissions" dataDxfId="457" dataCellStyle="Comma">
      <calculatedColumnFormula>SUM(G3,H3,I3)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lstra_Powerpoint_Turquoise">
  <a:themeElements>
    <a:clrScheme name="TelstraColours_Turquoise">
      <a:dk1>
        <a:srgbClr val="5B5B5B"/>
      </a:dk1>
      <a:lt1>
        <a:sysClr val="window" lastClr="FFFFFF"/>
      </a:lt1>
      <a:dk2>
        <a:srgbClr val="000000"/>
      </a:dk2>
      <a:lt2>
        <a:srgbClr val="005D61"/>
      </a:lt2>
      <a:accent1>
        <a:srgbClr val="00B1B2"/>
      </a:accent1>
      <a:accent2>
        <a:srgbClr val="00B1EB"/>
      </a:accent2>
      <a:accent3>
        <a:srgbClr val="9A8EC4"/>
      </a:accent3>
      <a:accent4>
        <a:srgbClr val="E8308A"/>
      </a:accent4>
      <a:accent5>
        <a:srgbClr val="EF7D00"/>
      </a:accent5>
      <a:accent6>
        <a:srgbClr val="A2C73B"/>
      </a:accent6>
      <a:hlink>
        <a:srgbClr val="77787B"/>
      </a:hlink>
      <a:folHlink>
        <a:srgbClr val="AFB1B4"/>
      </a:folHlink>
    </a:clrScheme>
    <a:fontScheme name="Telstra 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4.bin"/><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1.bin"/><Relationship Id="rId4" Type="http://schemas.openxmlformats.org/officeDocument/2006/relationships/table" Target="../tables/table4.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2.vml"/><Relationship Id="rId1" Type="http://schemas.openxmlformats.org/officeDocument/2006/relationships/printerSettings" Target="../printerSettings/printerSettings46.bin"/><Relationship Id="rId4" Type="http://schemas.openxmlformats.org/officeDocument/2006/relationships/comments" Target="../comments2.xml"/></Relationships>
</file>

<file path=xl/worksheets/_rels/sheet4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hyperlink" Target="https://exchange.telstra.com.au/sustainability/data-downloads/" TargetMode="External"/><Relationship Id="rId7" Type="http://schemas.openxmlformats.org/officeDocument/2006/relationships/drawing" Target="../drawings/drawing2.xml"/><Relationship Id="rId2" Type="http://schemas.openxmlformats.org/officeDocument/2006/relationships/hyperlink" Target="https://exchange.telstra.com.au/sustainability/data-downloads/" TargetMode="External"/><Relationship Id="rId1" Type="http://schemas.openxmlformats.org/officeDocument/2006/relationships/hyperlink" Target="https://exchange.telstra.com.au/sustainability/" TargetMode="External"/><Relationship Id="rId6" Type="http://schemas.openxmlformats.org/officeDocument/2006/relationships/printerSettings" Target="../printerSettings/printerSettings5.bin"/><Relationship Id="rId5" Type="http://schemas.openxmlformats.org/officeDocument/2006/relationships/hyperlink" Target="https://exchange.telstra.com.au/sustainability/data-downloads/" TargetMode="External"/><Relationship Id="rId4" Type="http://schemas.openxmlformats.org/officeDocument/2006/relationships/hyperlink" Target="https://exchange.telstra.com.au/sustainability/data-download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exchange.telstra.com.au/sustainability/data-download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9C401-5A15-405D-8D7C-7370251450DF}">
  <sheetPr codeName="Sheet6"/>
  <dimension ref="A1:Q99"/>
  <sheetViews>
    <sheetView topLeftCell="A73" workbookViewId="0">
      <selection activeCell="A56" sqref="A56"/>
    </sheetView>
  </sheetViews>
  <sheetFormatPr defaultColWidth="8.8984375" defaultRowHeight="13.8"/>
  <cols>
    <col min="1" max="6" width="12" customWidth="1"/>
    <col min="7" max="7" width="18.59765625" customWidth="1"/>
    <col min="8" max="11" width="13.3984375" customWidth="1"/>
    <col min="13" max="13" width="24.3984375" customWidth="1"/>
    <col min="14" max="15" width="14.09765625" customWidth="1"/>
  </cols>
  <sheetData>
    <row r="1" spans="1:7">
      <c r="A1" t="s">
        <v>0</v>
      </c>
      <c r="B1" t="s">
        <v>1</v>
      </c>
    </row>
    <row r="2" spans="1:7" ht="14.4">
      <c r="A2" s="112" t="s">
        <v>2</v>
      </c>
      <c r="B2" s="111" t="s">
        <v>3</v>
      </c>
    </row>
    <row r="4" spans="1:7" ht="27.6">
      <c r="A4" s="102" t="s">
        <v>4</v>
      </c>
      <c r="B4" s="101" t="s">
        <v>5</v>
      </c>
      <c r="C4" s="101" t="s">
        <v>6</v>
      </c>
      <c r="D4" s="101" t="s">
        <v>7</v>
      </c>
      <c r="E4" s="101" t="s">
        <v>8</v>
      </c>
      <c r="F4" s="102" t="s">
        <v>9</v>
      </c>
      <c r="G4" s="102" t="s">
        <v>10</v>
      </c>
    </row>
    <row r="5" spans="1:7">
      <c r="A5" s="104" t="s">
        <v>11</v>
      </c>
      <c r="B5" s="103">
        <v>0</v>
      </c>
      <c r="C5" s="103">
        <v>0</v>
      </c>
      <c r="D5" s="103">
        <v>33947.432571232828</v>
      </c>
      <c r="E5" s="106">
        <v>33947.432571232828</v>
      </c>
      <c r="F5" s="109">
        <v>0.17965729814460812</v>
      </c>
      <c r="G5" s="108">
        <v>2</v>
      </c>
    </row>
    <row r="6" spans="1:7">
      <c r="A6" s="104" t="s">
        <v>12</v>
      </c>
      <c r="B6" s="103">
        <v>0</v>
      </c>
      <c r="C6" s="103">
        <v>0</v>
      </c>
      <c r="D6" s="103">
        <v>0</v>
      </c>
      <c r="E6" s="106">
        <v>0</v>
      </c>
      <c r="F6" s="109">
        <v>0</v>
      </c>
      <c r="G6" s="108">
        <v>20</v>
      </c>
    </row>
    <row r="7" spans="1:7">
      <c r="A7" s="104" t="s">
        <v>13</v>
      </c>
      <c r="B7" s="103">
        <v>0</v>
      </c>
      <c r="C7" s="103">
        <v>0</v>
      </c>
      <c r="D7" s="103">
        <v>43.242880853589696</v>
      </c>
      <c r="E7" s="106">
        <v>43.242880853589696</v>
      </c>
      <c r="F7" s="109">
        <v>2.2885085998310584E-4</v>
      </c>
      <c r="G7" s="108">
        <v>16</v>
      </c>
    </row>
    <row r="8" spans="1:7">
      <c r="A8" s="104" t="s">
        <v>14</v>
      </c>
      <c r="B8" s="103">
        <v>0</v>
      </c>
      <c r="C8" s="103">
        <v>0</v>
      </c>
      <c r="D8" s="103">
        <v>3.5378791280318866</v>
      </c>
      <c r="E8" s="106">
        <v>3.5378791280318866</v>
      </c>
      <c r="F8" s="109">
        <v>1.8723236402950408E-5</v>
      </c>
      <c r="G8" s="108">
        <v>18</v>
      </c>
    </row>
    <row r="9" spans="1:7">
      <c r="A9" s="104" t="s">
        <v>15</v>
      </c>
      <c r="B9" s="103">
        <v>144.27646245488805</v>
      </c>
      <c r="C9" s="103">
        <v>24757.095430463865</v>
      </c>
      <c r="D9" s="103">
        <v>13435.806582942059</v>
      </c>
      <c r="E9" s="106">
        <v>38337.178475860812</v>
      </c>
      <c r="F9" s="109">
        <v>0.20288880135510798</v>
      </c>
      <c r="G9" s="108">
        <v>1</v>
      </c>
    </row>
    <row r="10" spans="1:7">
      <c r="A10" s="104" t="s">
        <v>16</v>
      </c>
      <c r="B10" s="103">
        <v>0</v>
      </c>
      <c r="C10" s="103">
        <v>0</v>
      </c>
      <c r="D10" s="103">
        <v>15463.454964307219</v>
      </c>
      <c r="E10" s="106">
        <v>15463.454964307219</v>
      </c>
      <c r="F10" s="109">
        <v>8.1836013166499466E-2</v>
      </c>
      <c r="G10" s="108">
        <v>5</v>
      </c>
    </row>
    <row r="11" spans="1:7">
      <c r="A11" s="104" t="s">
        <v>17</v>
      </c>
      <c r="B11" s="103">
        <v>0</v>
      </c>
      <c r="C11" s="103">
        <v>0</v>
      </c>
      <c r="D11" s="103">
        <v>4496.4827321301873</v>
      </c>
      <c r="E11" s="106">
        <v>4496.4827321301873</v>
      </c>
      <c r="F11" s="109">
        <v>2.3796378035756072E-2</v>
      </c>
      <c r="G11" s="108">
        <v>10</v>
      </c>
    </row>
    <row r="12" spans="1:7">
      <c r="A12" s="104" t="s">
        <v>18</v>
      </c>
      <c r="B12" s="103">
        <v>0</v>
      </c>
      <c r="C12" s="103">
        <v>0</v>
      </c>
      <c r="D12" s="103">
        <v>10476.866163447588</v>
      </c>
      <c r="E12" s="106">
        <v>10476.866163447588</v>
      </c>
      <c r="F12" s="109">
        <v>5.5445885752864896E-2</v>
      </c>
      <c r="G12" s="108">
        <v>8</v>
      </c>
    </row>
    <row r="13" spans="1:7">
      <c r="A13" s="104" t="s">
        <v>19</v>
      </c>
      <c r="B13" s="103">
        <v>0</v>
      </c>
      <c r="C13" s="103">
        <v>0</v>
      </c>
      <c r="D13" s="103">
        <v>172.32510746503931</v>
      </c>
      <c r="E13" s="106">
        <v>172.32510746503931</v>
      </c>
      <c r="F13" s="109">
        <v>9.1198246420211933E-4</v>
      </c>
      <c r="G13" s="108">
        <v>13</v>
      </c>
    </row>
    <row r="14" spans="1:7">
      <c r="A14" s="104" t="s">
        <v>20</v>
      </c>
      <c r="B14" s="103">
        <v>0</v>
      </c>
      <c r="C14" s="103">
        <v>0</v>
      </c>
      <c r="D14" s="103">
        <v>37.25914111005919</v>
      </c>
      <c r="E14" s="106">
        <v>37.25914111005919</v>
      </c>
      <c r="F14" s="109">
        <v>1.9718358992174104E-4</v>
      </c>
      <c r="G14" s="108">
        <v>17</v>
      </c>
    </row>
    <row r="15" spans="1:7">
      <c r="A15" s="104" t="s">
        <v>21</v>
      </c>
      <c r="B15" s="103">
        <v>0</v>
      </c>
      <c r="C15" s="103">
        <v>0</v>
      </c>
      <c r="D15" s="103">
        <v>73.40671592028103</v>
      </c>
      <c r="E15" s="106">
        <v>73.40671592028103</v>
      </c>
      <c r="F15" s="109">
        <v>3.8848452589849405E-4</v>
      </c>
      <c r="G15" s="108">
        <v>14</v>
      </c>
    </row>
    <row r="16" spans="1:7">
      <c r="A16" s="104" t="s">
        <v>22</v>
      </c>
      <c r="B16" s="103">
        <v>9.8586756626176548</v>
      </c>
      <c r="C16" s="103">
        <v>1161.3276792553197</v>
      </c>
      <c r="D16" s="103">
        <v>50.307425485952017</v>
      </c>
      <c r="E16" s="106">
        <v>1221.4937804038893</v>
      </c>
      <c r="F16" s="109">
        <v>6.4644144097591918E-3</v>
      </c>
      <c r="G16" s="108">
        <v>11</v>
      </c>
    </row>
    <row r="17" spans="1:8">
      <c r="A17" s="104" t="s">
        <v>23</v>
      </c>
      <c r="B17" s="103">
        <v>100.58581602195525</v>
      </c>
      <c r="C17" s="103">
        <v>9777.5603071422265</v>
      </c>
      <c r="D17" s="103">
        <v>9290.577107212901</v>
      </c>
      <c r="E17" s="106">
        <v>19168.723230377083</v>
      </c>
      <c r="F17" s="109">
        <v>0.10144510979512543</v>
      </c>
      <c r="G17" s="108">
        <v>4</v>
      </c>
    </row>
    <row r="18" spans="1:8">
      <c r="A18" s="104" t="s">
        <v>24</v>
      </c>
      <c r="B18" s="103">
        <v>0</v>
      </c>
      <c r="C18" s="103">
        <v>0</v>
      </c>
      <c r="D18" s="103">
        <v>0</v>
      </c>
      <c r="E18" s="106">
        <v>0</v>
      </c>
      <c r="F18" s="109">
        <v>0</v>
      </c>
      <c r="G18" s="108">
        <v>20</v>
      </c>
    </row>
    <row r="19" spans="1:8">
      <c r="A19" s="104" t="s">
        <v>25</v>
      </c>
      <c r="B19" s="103">
        <v>0</v>
      </c>
      <c r="C19" s="103">
        <v>0</v>
      </c>
      <c r="D19" s="103">
        <v>8366.1397318548497</v>
      </c>
      <c r="E19" s="106">
        <v>8366.1397318548497</v>
      </c>
      <c r="F19" s="109">
        <v>4.4275456088510752E-2</v>
      </c>
      <c r="G19" s="108">
        <v>9</v>
      </c>
    </row>
    <row r="20" spans="1:8">
      <c r="A20" s="104" t="s">
        <v>26</v>
      </c>
      <c r="B20" s="103">
        <v>0</v>
      </c>
      <c r="C20" s="103">
        <v>0</v>
      </c>
      <c r="D20" s="103">
        <v>0.30768317596617273</v>
      </c>
      <c r="E20" s="106">
        <v>0.30768317596617273</v>
      </c>
      <c r="F20" s="109">
        <v>1.6283272074447536E-6</v>
      </c>
      <c r="G20" s="108">
        <v>19</v>
      </c>
    </row>
    <row r="21" spans="1:8">
      <c r="A21" s="104" t="s">
        <v>27</v>
      </c>
      <c r="B21" s="103">
        <v>78.58284387490545</v>
      </c>
      <c r="C21" s="103">
        <v>10095.08528238154</v>
      </c>
      <c r="D21" s="103">
        <v>1943.1911407498521</v>
      </c>
      <c r="E21" s="106">
        <v>12116.859267006297</v>
      </c>
      <c r="F21" s="109">
        <v>6.4125090854543904E-2</v>
      </c>
      <c r="G21" s="108">
        <v>7</v>
      </c>
    </row>
    <row r="22" spans="1:8">
      <c r="A22" s="104" t="s">
        <v>28</v>
      </c>
      <c r="B22" s="103">
        <v>0</v>
      </c>
      <c r="C22" s="103">
        <v>0</v>
      </c>
      <c r="D22" s="103">
        <v>50.51952567895183</v>
      </c>
      <c r="E22" s="106">
        <v>50.51952567895183</v>
      </c>
      <c r="F22" s="109">
        <v>2.673604688066702E-4</v>
      </c>
      <c r="G22" s="108">
        <v>15</v>
      </c>
    </row>
    <row r="23" spans="1:8">
      <c r="A23" s="104" t="s">
        <v>29</v>
      </c>
      <c r="B23" s="103">
        <v>0</v>
      </c>
      <c r="C23" s="103">
        <v>0</v>
      </c>
      <c r="D23" s="103">
        <v>382.38084894104452</v>
      </c>
      <c r="E23" s="106">
        <v>382.38084894104452</v>
      </c>
      <c r="F23" s="109">
        <v>2.0236437627157732E-3</v>
      </c>
      <c r="G23" s="108">
        <v>12</v>
      </c>
    </row>
    <row r="24" spans="1:8">
      <c r="A24" s="104" t="s">
        <v>30</v>
      </c>
      <c r="B24" s="103">
        <v>119.02144291237504</v>
      </c>
      <c r="C24" s="103">
        <v>11882.323875591808</v>
      </c>
      <c r="D24" s="103">
        <v>1681.8169519587861</v>
      </c>
      <c r="E24" s="106">
        <v>13683.16227046297</v>
      </c>
      <c r="F24" s="109">
        <v>7.2414311698751968E-2</v>
      </c>
      <c r="G24" s="108">
        <v>6</v>
      </c>
    </row>
    <row r="25" spans="1:8">
      <c r="A25" s="104" t="s">
        <v>31</v>
      </c>
      <c r="B25" s="103">
        <v>0</v>
      </c>
      <c r="C25" s="103">
        <v>0</v>
      </c>
      <c r="D25" s="103">
        <v>30915.828971234499</v>
      </c>
      <c r="E25" s="106">
        <v>30915.828971234499</v>
      </c>
      <c r="F25" s="109">
        <v>0.16361338346333396</v>
      </c>
      <c r="G25" s="108">
        <v>3</v>
      </c>
    </row>
    <row r="26" spans="1:8">
      <c r="A26" s="104" t="s">
        <v>32</v>
      </c>
      <c r="B26" s="103">
        <v>0</v>
      </c>
      <c r="C26" s="103">
        <v>0</v>
      </c>
      <c r="D26" s="103">
        <v>0</v>
      </c>
      <c r="E26" s="106">
        <v>0</v>
      </c>
      <c r="F26" s="109">
        <v>0</v>
      </c>
      <c r="G26" s="108">
        <v>20</v>
      </c>
    </row>
    <row r="27" spans="1:8">
      <c r="A27" s="102" t="s">
        <v>33</v>
      </c>
      <c r="B27" s="105">
        <v>452.32524092674146</v>
      </c>
      <c r="C27" s="105">
        <v>57673.392574834761</v>
      </c>
      <c r="D27" s="105">
        <v>130830.88412482968</v>
      </c>
      <c r="E27" s="107">
        <v>188956.60194059118</v>
      </c>
      <c r="F27" s="102"/>
      <c r="G27" s="102"/>
    </row>
    <row r="30" spans="1:8" ht="27.6">
      <c r="A30" s="102" t="s">
        <v>4</v>
      </c>
      <c r="B30" s="101" t="s">
        <v>5</v>
      </c>
      <c r="C30" s="101" t="s">
        <v>5</v>
      </c>
      <c r="D30" s="101" t="s">
        <v>6</v>
      </c>
      <c r="E30" s="101" t="s">
        <v>7</v>
      </c>
      <c r="F30" s="101" t="s">
        <v>7</v>
      </c>
      <c r="G30" s="101" t="s">
        <v>7</v>
      </c>
      <c r="H30" s="101" t="s">
        <v>8</v>
      </c>
    </row>
    <row r="31" spans="1:8">
      <c r="A31" s="102"/>
      <c r="B31" s="110" t="s">
        <v>34</v>
      </c>
      <c r="C31" s="110" t="s">
        <v>35</v>
      </c>
      <c r="D31" s="110" t="s">
        <v>36</v>
      </c>
      <c r="E31" s="110" t="s">
        <v>36</v>
      </c>
      <c r="F31" s="110" t="s">
        <v>34</v>
      </c>
      <c r="G31" s="110" t="s">
        <v>35</v>
      </c>
      <c r="H31" s="102"/>
    </row>
    <row r="32" spans="1:8">
      <c r="A32" s="104" t="s">
        <v>11</v>
      </c>
      <c r="B32" s="103">
        <v>0</v>
      </c>
      <c r="C32" s="103">
        <v>0</v>
      </c>
      <c r="D32" s="103">
        <v>0</v>
      </c>
      <c r="E32" s="103">
        <v>33705.970876185442</v>
      </c>
      <c r="F32" s="103">
        <v>49.700137217882897</v>
      </c>
      <c r="G32" s="103">
        <v>191.7615578295042</v>
      </c>
      <c r="H32" s="106">
        <v>33947.432571232828</v>
      </c>
    </row>
    <row r="33" spans="1:8">
      <c r="A33" s="104" t="s">
        <v>12</v>
      </c>
      <c r="B33" s="103">
        <v>0</v>
      </c>
      <c r="C33" s="103">
        <v>0</v>
      </c>
      <c r="D33" s="103">
        <v>0</v>
      </c>
      <c r="E33" s="103">
        <v>0</v>
      </c>
      <c r="F33" s="103">
        <v>0</v>
      </c>
      <c r="G33" s="103">
        <v>0</v>
      </c>
      <c r="H33" s="106">
        <v>0</v>
      </c>
    </row>
    <row r="34" spans="1:8">
      <c r="A34" s="104" t="s">
        <v>13</v>
      </c>
      <c r="B34" s="103">
        <v>0</v>
      </c>
      <c r="C34" s="103">
        <v>0</v>
      </c>
      <c r="D34" s="103">
        <v>0</v>
      </c>
      <c r="E34" s="103">
        <v>42.840485231636173</v>
      </c>
      <c r="F34" s="103">
        <v>8.2825218397645853E-2</v>
      </c>
      <c r="G34" s="103">
        <v>0.31957040355588068</v>
      </c>
      <c r="H34" s="106">
        <v>43.242880853589696</v>
      </c>
    </row>
    <row r="35" spans="1:8">
      <c r="A35" s="104" t="s">
        <v>14</v>
      </c>
      <c r="B35" s="103">
        <v>0</v>
      </c>
      <c r="C35" s="103">
        <v>0</v>
      </c>
      <c r="D35" s="103">
        <v>0</v>
      </c>
      <c r="E35" s="103">
        <v>3.5048910104729085</v>
      </c>
      <c r="F35" s="103">
        <v>6.7899546920645489E-3</v>
      </c>
      <c r="G35" s="103">
        <v>2.619816286691358E-2</v>
      </c>
      <c r="H35" s="106">
        <v>3.5378791280318866</v>
      </c>
    </row>
    <row r="36" spans="1:8">
      <c r="A36" s="104" t="s">
        <v>15</v>
      </c>
      <c r="B36" s="103">
        <v>27.548157756466864</v>
      </c>
      <c r="C36" s="103">
        <v>116.72830469842118</v>
      </c>
      <c r="D36" s="103">
        <v>24757.095430463865</v>
      </c>
      <c r="E36" s="103">
        <v>13349.030944462951</v>
      </c>
      <c r="F36" s="103">
        <v>20.009369405951581</v>
      </c>
      <c r="G36" s="103">
        <v>66.766269073155968</v>
      </c>
      <c r="H36" s="106">
        <v>38337.178475860819</v>
      </c>
    </row>
    <row r="37" spans="1:8">
      <c r="A37" s="104" t="s">
        <v>16</v>
      </c>
      <c r="B37" s="103">
        <v>0</v>
      </c>
      <c r="C37" s="103">
        <v>0</v>
      </c>
      <c r="D37" s="103">
        <v>0</v>
      </c>
      <c r="E37" s="103">
        <v>15391.04664991491</v>
      </c>
      <c r="F37" s="103">
        <v>14.90382629968337</v>
      </c>
      <c r="G37" s="103">
        <v>57.504488092625863</v>
      </c>
      <c r="H37" s="106">
        <v>15463.454964307219</v>
      </c>
    </row>
    <row r="38" spans="1:8">
      <c r="A38" s="104" t="s">
        <v>17</v>
      </c>
      <c r="B38" s="103">
        <v>0</v>
      </c>
      <c r="C38" s="103">
        <v>0</v>
      </c>
      <c r="D38" s="103">
        <v>0</v>
      </c>
      <c r="E38" s="103">
        <v>4470.1727996802683</v>
      </c>
      <c r="F38" s="103">
        <v>5.4153817345545239</v>
      </c>
      <c r="G38" s="103">
        <v>20.894550715364282</v>
      </c>
      <c r="H38" s="106">
        <v>4496.4827321301864</v>
      </c>
    </row>
    <row r="39" spans="1:8">
      <c r="A39" s="104" t="s">
        <v>18</v>
      </c>
      <c r="B39" s="103">
        <v>0</v>
      </c>
      <c r="C39" s="103">
        <v>0</v>
      </c>
      <c r="D39" s="103">
        <v>0</v>
      </c>
      <c r="E39" s="103">
        <v>10383.331523846979</v>
      </c>
      <c r="F39" s="103">
        <v>19.252264512858904</v>
      </c>
      <c r="G39" s="103">
        <v>74.28237508775166</v>
      </c>
      <c r="H39" s="106">
        <v>10476.86616344759</v>
      </c>
    </row>
    <row r="40" spans="1:8">
      <c r="A40" s="104" t="s">
        <v>19</v>
      </c>
      <c r="B40" s="103">
        <v>0</v>
      </c>
      <c r="C40" s="103">
        <v>0</v>
      </c>
      <c r="D40" s="103">
        <v>0</v>
      </c>
      <c r="E40" s="103">
        <v>171.18212462385435</v>
      </c>
      <c r="F40" s="103">
        <v>0.23526052044581219</v>
      </c>
      <c r="G40" s="103">
        <v>0.90772232073910986</v>
      </c>
      <c r="H40" s="106">
        <v>172.32510746503928</v>
      </c>
    </row>
    <row r="41" spans="1:8">
      <c r="A41" s="104" t="s">
        <v>20</v>
      </c>
      <c r="B41" s="103">
        <v>0</v>
      </c>
      <c r="C41" s="103">
        <v>0</v>
      </c>
      <c r="D41" s="103">
        <v>0</v>
      </c>
      <c r="E41" s="103">
        <v>36.903101339577425</v>
      </c>
      <c r="F41" s="103">
        <v>7.328377879768587E-2</v>
      </c>
      <c r="G41" s="103">
        <v>0.282755991684074</v>
      </c>
      <c r="H41" s="106">
        <v>37.25914111005919</v>
      </c>
    </row>
    <row r="42" spans="1:8">
      <c r="A42" s="104" t="s">
        <v>21</v>
      </c>
      <c r="B42" s="103">
        <v>0</v>
      </c>
      <c r="C42" s="103">
        <v>0</v>
      </c>
      <c r="D42" s="103">
        <v>0</v>
      </c>
      <c r="E42" s="103">
        <v>70.673030953107471</v>
      </c>
      <c r="F42" s="103">
        <v>0.56267524317811735</v>
      </c>
      <c r="G42" s="103">
        <v>2.1710097239954287</v>
      </c>
      <c r="H42" s="106">
        <v>73.406715920281016</v>
      </c>
    </row>
    <row r="43" spans="1:8">
      <c r="A43" s="104" t="s">
        <v>22</v>
      </c>
      <c r="B43" s="103">
        <v>1.882416215386145</v>
      </c>
      <c r="C43" s="103">
        <v>7.9762594472315103</v>
      </c>
      <c r="D43" s="103">
        <v>1161.3276792553197</v>
      </c>
      <c r="E43" s="103">
        <v>49.607894960315825</v>
      </c>
      <c r="F43" s="103">
        <v>0.29078271054674387</v>
      </c>
      <c r="G43" s="103">
        <v>0.40874781508944397</v>
      </c>
      <c r="H43" s="106">
        <v>1221.4937804038893</v>
      </c>
    </row>
    <row r="44" spans="1:8">
      <c r="A44" s="104" t="s">
        <v>23</v>
      </c>
      <c r="B44" s="103">
        <v>19.205862693661402</v>
      </c>
      <c r="C44" s="103">
        <v>81.379953328293851</v>
      </c>
      <c r="D44" s="103">
        <v>9777.5603071422265</v>
      </c>
      <c r="E44" s="103">
        <v>9192.4498053643401</v>
      </c>
      <c r="F44" s="103">
        <v>21.695321335630766</v>
      </c>
      <c r="G44" s="103">
        <v>76.431980512930409</v>
      </c>
      <c r="H44" s="106">
        <v>19168.723230377083</v>
      </c>
    </row>
    <row r="45" spans="1:8">
      <c r="A45" s="104" t="s">
        <v>24</v>
      </c>
      <c r="B45" s="103">
        <v>0</v>
      </c>
      <c r="C45" s="103">
        <v>0</v>
      </c>
      <c r="D45" s="103">
        <v>0</v>
      </c>
      <c r="E45" s="103">
        <v>0</v>
      </c>
      <c r="F45" s="103">
        <v>0</v>
      </c>
      <c r="G45" s="103">
        <v>0</v>
      </c>
      <c r="H45" s="106">
        <v>0</v>
      </c>
    </row>
    <row r="46" spans="1:8">
      <c r="A46" s="104" t="s">
        <v>25</v>
      </c>
      <c r="B46" s="103">
        <v>0</v>
      </c>
      <c r="C46" s="103">
        <v>0</v>
      </c>
      <c r="D46" s="103">
        <v>0</v>
      </c>
      <c r="E46" s="103">
        <v>8295.0233405524214</v>
      </c>
      <c r="F46" s="103">
        <v>14.637909360644896</v>
      </c>
      <c r="G46" s="103">
        <v>56.478481941783201</v>
      </c>
      <c r="H46" s="106">
        <v>8366.1397318548497</v>
      </c>
    </row>
    <row r="47" spans="1:8">
      <c r="A47" s="104" t="s">
        <v>26</v>
      </c>
      <c r="B47" s="103">
        <v>0</v>
      </c>
      <c r="C47" s="103">
        <v>0</v>
      </c>
      <c r="D47" s="103">
        <v>0</v>
      </c>
      <c r="E47" s="103">
        <v>0.27059849478875941</v>
      </c>
      <c r="F47" s="103">
        <v>7.6331516799679902E-3</v>
      </c>
      <c r="G47" s="103">
        <v>2.9451529497445332E-2</v>
      </c>
      <c r="H47" s="106">
        <v>0.30768317596617273</v>
      </c>
    </row>
    <row r="48" spans="1:8">
      <c r="A48" s="104" t="s">
        <v>27</v>
      </c>
      <c r="B48" s="103">
        <v>15.004613664509469</v>
      </c>
      <c r="C48" s="103">
        <v>63.578230210395979</v>
      </c>
      <c r="D48" s="103">
        <v>10095.08528238154</v>
      </c>
      <c r="E48" s="103">
        <v>1925.3416375931206</v>
      </c>
      <c r="F48" s="103">
        <v>4.8440868872458847</v>
      </c>
      <c r="G48" s="103">
        <v>13.00541626948554</v>
      </c>
      <c r="H48" s="106">
        <v>12116.859267006297</v>
      </c>
    </row>
    <row r="49" spans="1:8">
      <c r="A49" s="104" t="s">
        <v>28</v>
      </c>
      <c r="B49" s="103">
        <v>0</v>
      </c>
      <c r="C49" s="103">
        <v>0</v>
      </c>
      <c r="D49" s="103">
        <v>0</v>
      </c>
      <c r="E49" s="103">
        <v>50.12890755750346</v>
      </c>
      <c r="F49" s="103">
        <v>8.0401051736034929E-2</v>
      </c>
      <c r="G49" s="103">
        <v>0.31021706971233548</v>
      </c>
      <c r="H49" s="106">
        <v>50.51952567895183</v>
      </c>
    </row>
    <row r="50" spans="1:8">
      <c r="A50" s="104" t="s">
        <v>29</v>
      </c>
      <c r="B50" s="103">
        <v>0</v>
      </c>
      <c r="C50" s="103">
        <v>0</v>
      </c>
      <c r="D50" s="103">
        <v>0</v>
      </c>
      <c r="E50" s="103">
        <v>379.86629410469055</v>
      </c>
      <c r="F50" s="103">
        <v>0.51757161890277836</v>
      </c>
      <c r="G50" s="103">
        <v>1.9969832174512265</v>
      </c>
      <c r="H50" s="106">
        <v>382.38084894104452</v>
      </c>
    </row>
    <row r="51" spans="1:8">
      <c r="A51" s="104" t="s">
        <v>30</v>
      </c>
      <c r="B51" s="103">
        <v>38.279400410510156</v>
      </c>
      <c r="C51" s="103">
        <v>80.742042501864873</v>
      </c>
      <c r="D51" s="103">
        <v>11882.323875591808</v>
      </c>
      <c r="E51" s="103">
        <v>1660.9050335566455</v>
      </c>
      <c r="F51" s="103">
        <v>8.148684094916975</v>
      </c>
      <c r="G51" s="103">
        <v>12.763234307223794</v>
      </c>
      <c r="H51" s="106">
        <v>13683.16227046297</v>
      </c>
    </row>
    <row r="52" spans="1:8">
      <c r="A52" s="104" t="s">
        <v>31</v>
      </c>
      <c r="B52" s="103">
        <v>0</v>
      </c>
      <c r="C52" s="103">
        <v>0</v>
      </c>
      <c r="D52" s="103">
        <v>0</v>
      </c>
      <c r="E52" s="103">
        <v>30501.502674268351</v>
      </c>
      <c r="F52" s="103">
        <v>85.280913016674248</v>
      </c>
      <c r="G52" s="103">
        <v>329.04538394947542</v>
      </c>
      <c r="H52" s="106">
        <v>30915.828971234503</v>
      </c>
    </row>
    <row r="53" spans="1:8">
      <c r="A53" s="104" t="s">
        <v>32</v>
      </c>
      <c r="B53" s="103">
        <v>0</v>
      </c>
      <c r="C53" s="103">
        <v>0</v>
      </c>
      <c r="D53" s="103">
        <v>0</v>
      </c>
      <c r="E53" s="103">
        <v>0</v>
      </c>
      <c r="F53" s="103">
        <v>0</v>
      </c>
      <c r="G53" s="103">
        <v>0</v>
      </c>
      <c r="H53" s="106">
        <v>0</v>
      </c>
    </row>
    <row r="54" spans="1:8">
      <c r="A54" s="102" t="s">
        <v>33</v>
      </c>
      <c r="B54" s="105">
        <v>101.92045074053404</v>
      </c>
      <c r="C54" s="105">
        <v>350.40479018620744</v>
      </c>
      <c r="D54" s="105">
        <v>57673.392574834761</v>
      </c>
      <c r="E54" s="105">
        <v>129679.75261370138</v>
      </c>
      <c r="F54" s="105">
        <v>245.74511711442091</v>
      </c>
      <c r="G54" s="105">
        <v>905.38639401389207</v>
      </c>
      <c r="H54" s="105">
        <v>188956.60194059118</v>
      </c>
    </row>
    <row r="56" spans="1:8" ht="27.6">
      <c r="A56" s="102" t="s">
        <v>37</v>
      </c>
      <c r="B56" s="101" t="s">
        <v>5</v>
      </c>
      <c r="C56" s="101" t="s">
        <v>6</v>
      </c>
      <c r="D56" s="101" t="s">
        <v>7</v>
      </c>
      <c r="E56" s="101" t="s">
        <v>8</v>
      </c>
      <c r="F56" s="102" t="s">
        <v>9</v>
      </c>
      <c r="G56" s="102" t="s">
        <v>10</v>
      </c>
    </row>
    <row r="57" spans="1:8">
      <c r="A57" s="104" t="s">
        <v>38</v>
      </c>
      <c r="B57" s="103">
        <v>0</v>
      </c>
      <c r="C57" s="103">
        <v>0</v>
      </c>
      <c r="D57" s="103">
        <v>520.82034433327954</v>
      </c>
      <c r="E57" s="106">
        <v>520.82034433327954</v>
      </c>
      <c r="F57" s="109">
        <v>2.7562960964816019E-3</v>
      </c>
      <c r="G57" s="108">
        <v>4</v>
      </c>
    </row>
    <row r="58" spans="1:8">
      <c r="A58" s="104" t="s">
        <v>39</v>
      </c>
      <c r="B58" s="103">
        <v>237.79220674036856</v>
      </c>
      <c r="C58" s="103">
        <v>21852.32306882296</v>
      </c>
      <c r="D58" s="103">
        <v>38519.994629268927</v>
      </c>
      <c r="E58" s="106">
        <v>60610.10990483225</v>
      </c>
      <c r="F58" s="109">
        <v>0.32076206537566931</v>
      </c>
      <c r="G58" s="108">
        <v>2</v>
      </c>
    </row>
    <row r="59" spans="1:8">
      <c r="A59" s="104" t="s">
        <v>40</v>
      </c>
      <c r="B59" s="103">
        <v>214.45607504022632</v>
      </c>
      <c r="C59" s="103">
        <v>35812.003908395011</v>
      </c>
      <c r="D59" s="103">
        <v>59795.566207130316</v>
      </c>
      <c r="E59" s="106">
        <v>95822.02619056555</v>
      </c>
      <c r="F59" s="109">
        <v>0.50711129014001011</v>
      </c>
      <c r="G59" s="108">
        <v>1</v>
      </c>
    </row>
    <row r="60" spans="1:8">
      <c r="A60" s="104" t="s">
        <v>41</v>
      </c>
      <c r="B60" s="103">
        <v>7.6959146146538704E-2</v>
      </c>
      <c r="C60" s="103">
        <v>9.0655976167999999</v>
      </c>
      <c r="D60" s="103">
        <v>31994.502944097185</v>
      </c>
      <c r="E60" s="106">
        <v>32003.64550086013</v>
      </c>
      <c r="F60" s="109">
        <v>0.16937034838783888</v>
      </c>
      <c r="G60" s="108">
        <v>3</v>
      </c>
    </row>
    <row r="61" spans="1:8">
      <c r="A61" s="102" t="s">
        <v>33</v>
      </c>
      <c r="B61" s="105">
        <v>452.3252409267414</v>
      </c>
      <c r="C61" s="105">
        <v>57673.392574834768</v>
      </c>
      <c r="D61" s="105">
        <v>130830.88412482971</v>
      </c>
      <c r="E61" s="107">
        <v>188956.60194059124</v>
      </c>
      <c r="F61" s="102"/>
      <c r="G61" s="102"/>
    </row>
    <row r="64" spans="1:8" ht="27.6">
      <c r="A64" s="102" t="s">
        <v>37</v>
      </c>
      <c r="B64" s="101" t="s">
        <v>5</v>
      </c>
      <c r="C64" s="101" t="s">
        <v>5</v>
      </c>
      <c r="D64" s="101" t="s">
        <v>6</v>
      </c>
      <c r="E64" s="101" t="s">
        <v>7</v>
      </c>
      <c r="F64" s="101" t="s">
        <v>7</v>
      </c>
      <c r="G64" s="101" t="s">
        <v>7</v>
      </c>
      <c r="H64" s="101" t="s">
        <v>8</v>
      </c>
    </row>
    <row r="65" spans="1:17">
      <c r="A65" s="102"/>
      <c r="B65" s="101" t="s">
        <v>34</v>
      </c>
      <c r="C65" s="101" t="s">
        <v>35</v>
      </c>
      <c r="D65" s="101" t="s">
        <v>36</v>
      </c>
      <c r="E65" s="101" t="s">
        <v>36</v>
      </c>
      <c r="F65" s="101" t="s">
        <v>34</v>
      </c>
      <c r="G65" s="101" t="s">
        <v>35</v>
      </c>
      <c r="H65" s="102"/>
    </row>
    <row r="66" spans="1:17">
      <c r="A66" s="104" t="s">
        <v>38</v>
      </c>
      <c r="B66" s="103">
        <v>0</v>
      </c>
      <c r="C66" s="103">
        <v>0</v>
      </c>
      <c r="D66" s="103">
        <v>0</v>
      </c>
      <c r="E66" s="103">
        <v>516.39310971934617</v>
      </c>
      <c r="F66" s="103">
        <v>0.91125910370614394</v>
      </c>
      <c r="G66" s="103">
        <v>3.5159755102272046</v>
      </c>
      <c r="H66" s="106">
        <v>520.82034433327954</v>
      </c>
    </row>
    <row r="67" spans="1:17">
      <c r="A67" s="104" t="s">
        <v>39</v>
      </c>
      <c r="B67" s="103">
        <v>45.404060461978126</v>
      </c>
      <c r="C67" s="103">
        <v>192.38814627839042</v>
      </c>
      <c r="D67" s="103">
        <v>21852.32306882296</v>
      </c>
      <c r="E67" s="103">
        <v>38071.376971337573</v>
      </c>
      <c r="F67" s="103">
        <v>95.879899526781259</v>
      </c>
      <c r="G67" s="103">
        <v>352.73775840457313</v>
      </c>
      <c r="H67" s="106">
        <v>60610.109904832258</v>
      </c>
    </row>
    <row r="68" spans="1:17">
      <c r="A68" s="104" t="s">
        <v>40</v>
      </c>
      <c r="B68" s="103">
        <v>56.501695693848362</v>
      </c>
      <c r="C68" s="103">
        <v>157.95437934637798</v>
      </c>
      <c r="D68" s="103">
        <v>35812.003908395011</v>
      </c>
      <c r="E68" s="103">
        <v>59328.365354690024</v>
      </c>
      <c r="F68" s="103">
        <v>101.42952212358183</v>
      </c>
      <c r="G68" s="103">
        <v>365.77133031670689</v>
      </c>
      <c r="H68" s="106">
        <v>95822.02619056555</v>
      </c>
    </row>
    <row r="69" spans="1:17">
      <c r="A69" s="104" t="s">
        <v>41</v>
      </c>
      <c r="B69" s="103">
        <v>1.4694584707541867E-2</v>
      </c>
      <c r="C69" s="103">
        <v>6.2264561438996835E-2</v>
      </c>
      <c r="D69" s="103">
        <v>9.0655976167999999</v>
      </c>
      <c r="E69" s="103">
        <v>31763.617177954446</v>
      </c>
      <c r="F69" s="103">
        <v>47.524436360351629</v>
      </c>
      <c r="G69" s="103">
        <v>183.36132978238487</v>
      </c>
      <c r="H69" s="106">
        <v>32003.645500860126</v>
      </c>
    </row>
    <row r="70" spans="1:17">
      <c r="A70" s="102" t="s">
        <v>33</v>
      </c>
      <c r="B70" s="105">
        <v>101.92045074053402</v>
      </c>
      <c r="C70" s="105">
        <v>350.40479018620744</v>
      </c>
      <c r="D70" s="105">
        <v>57673.392574834768</v>
      </c>
      <c r="E70" s="105">
        <v>129679.75261370139</v>
      </c>
      <c r="F70" s="105">
        <v>245.74511711442085</v>
      </c>
      <c r="G70" s="105">
        <v>905.38639401389219</v>
      </c>
      <c r="H70" s="105">
        <v>188956.60194059121</v>
      </c>
    </row>
    <row r="75" spans="1:17" s="56" customFormat="1" ht="55.2">
      <c r="A75" s="101" t="s">
        <v>42</v>
      </c>
      <c r="B75" s="101" t="s">
        <v>43</v>
      </c>
      <c r="C75" s="101" t="s">
        <v>44</v>
      </c>
      <c r="D75" s="101" t="s">
        <v>45</v>
      </c>
      <c r="E75" s="101" t="s">
        <v>46</v>
      </c>
      <c r="G75" s="101" t="s">
        <v>42</v>
      </c>
      <c r="H75" s="101" t="s">
        <v>47</v>
      </c>
      <c r="I75" s="101" t="s">
        <v>48</v>
      </c>
      <c r="J75" s="101" t="s">
        <v>45</v>
      </c>
      <c r="K75" s="101" t="s">
        <v>49</v>
      </c>
      <c r="M75" s="101" t="s">
        <v>42</v>
      </c>
      <c r="N75" s="101" t="s">
        <v>50</v>
      </c>
      <c r="O75" s="101" t="s">
        <v>51</v>
      </c>
      <c r="P75" s="101" t="s">
        <v>45</v>
      </c>
      <c r="Q75" s="101" t="s">
        <v>49</v>
      </c>
    </row>
    <row r="76" spans="1:17">
      <c r="A76" s="104" t="s">
        <v>52</v>
      </c>
      <c r="B76" s="103">
        <v>10911399.362801474</v>
      </c>
      <c r="C76" s="103">
        <v>0</v>
      </c>
      <c r="D76" s="104">
        <v>3.5999999999999999E-3</v>
      </c>
      <c r="E76" s="103">
        <f t="shared" ref="E76:E99" si="0">B76*D76</f>
        <v>39281.037706085306</v>
      </c>
      <c r="G76" s="104" t="s">
        <v>52</v>
      </c>
      <c r="H76" s="103">
        <v>174359.21270081805</v>
      </c>
      <c r="I76" s="103">
        <v>0</v>
      </c>
      <c r="J76" s="104">
        <f t="shared" ref="J76:J99" si="1">1/1000</f>
        <v>1E-3</v>
      </c>
      <c r="K76" s="103">
        <f t="shared" ref="K76:K99" si="2">J76*H76</f>
        <v>174.35921270081806</v>
      </c>
      <c r="M76" s="104" t="s">
        <v>52</v>
      </c>
      <c r="N76" s="103">
        <v>14039.609399568893</v>
      </c>
      <c r="O76" s="103">
        <v>0</v>
      </c>
      <c r="P76" s="104">
        <v>38.6</v>
      </c>
      <c r="Q76" s="103">
        <f>N76/1000*P76</f>
        <v>541.92892282335936</v>
      </c>
    </row>
    <row r="77" spans="1:17">
      <c r="A77" s="104" t="s">
        <v>11</v>
      </c>
      <c r="B77" s="103">
        <v>52281636.227990448</v>
      </c>
      <c r="C77" s="103">
        <v>0</v>
      </c>
      <c r="D77" s="104">
        <v>3.5999999999999999E-3</v>
      </c>
      <c r="E77" s="103">
        <f t="shared" si="0"/>
        <v>188213.89042076562</v>
      </c>
      <c r="G77" s="104" t="s">
        <v>11</v>
      </c>
      <c r="H77" s="103">
        <v>835436.83338179369</v>
      </c>
      <c r="I77" s="103">
        <v>0</v>
      </c>
      <c r="J77" s="104">
        <f t="shared" si="1"/>
        <v>1E-3</v>
      </c>
      <c r="K77" s="103">
        <f t="shared" si="2"/>
        <v>835.43683338179369</v>
      </c>
      <c r="M77" s="104" t="s">
        <v>11</v>
      </c>
      <c r="N77" s="103">
        <v>67270.358915987876</v>
      </c>
      <c r="O77" s="103">
        <v>0</v>
      </c>
      <c r="P77" s="104">
        <v>38.6</v>
      </c>
      <c r="Q77" s="103">
        <f t="shared" ref="Q77:Q98" si="3">N77/1000*P77</f>
        <v>2596.6358541571317</v>
      </c>
    </row>
    <row r="78" spans="1:17">
      <c r="A78" s="104" t="s">
        <v>12</v>
      </c>
      <c r="B78" s="103">
        <v>0</v>
      </c>
      <c r="C78" s="103">
        <v>0</v>
      </c>
      <c r="D78" s="104">
        <v>3.5999999999999999E-3</v>
      </c>
      <c r="E78" s="103">
        <f t="shared" si="0"/>
        <v>0</v>
      </c>
      <c r="G78" s="104" t="s">
        <v>12</v>
      </c>
      <c r="H78" s="103">
        <v>0</v>
      </c>
      <c r="I78" s="103">
        <v>0</v>
      </c>
      <c r="J78" s="104">
        <f t="shared" si="1"/>
        <v>1E-3</v>
      </c>
      <c r="K78" s="103">
        <f t="shared" si="2"/>
        <v>0</v>
      </c>
      <c r="M78" s="104" t="s">
        <v>12</v>
      </c>
      <c r="N78" s="103">
        <v>0</v>
      </c>
      <c r="O78" s="103">
        <v>0</v>
      </c>
      <c r="P78" s="104">
        <v>38.6</v>
      </c>
      <c r="Q78" s="103">
        <f t="shared" si="3"/>
        <v>0</v>
      </c>
    </row>
    <row r="79" spans="1:17">
      <c r="A79" s="104" t="s">
        <v>13</v>
      </c>
      <c r="B79" s="103">
        <v>87127.283367167329</v>
      </c>
      <c r="C79" s="103">
        <v>0</v>
      </c>
      <c r="D79" s="104">
        <v>3.5999999999999999E-3</v>
      </c>
      <c r="E79" s="103">
        <f t="shared" si="0"/>
        <v>313.6582201218024</v>
      </c>
      <c r="G79" s="104" t="s">
        <v>13</v>
      </c>
      <c r="H79" s="103">
        <v>1392.2544696191942</v>
      </c>
      <c r="I79" s="103">
        <v>0</v>
      </c>
      <c r="J79" s="104">
        <f t="shared" si="1"/>
        <v>1E-3</v>
      </c>
      <c r="K79" s="103">
        <f t="shared" si="2"/>
        <v>1.3922544696191943</v>
      </c>
      <c r="M79" s="104" t="s">
        <v>13</v>
      </c>
      <c r="N79" s="103">
        <v>112.10597154850387</v>
      </c>
      <c r="O79" s="103">
        <v>0</v>
      </c>
      <c r="P79" s="104">
        <v>38.6</v>
      </c>
      <c r="Q79" s="103">
        <f t="shared" si="3"/>
        <v>4.3272905017722501</v>
      </c>
    </row>
    <row r="80" spans="1:17">
      <c r="A80" s="104" t="s">
        <v>14</v>
      </c>
      <c r="B80" s="103">
        <v>7142.6350325512713</v>
      </c>
      <c r="C80" s="103">
        <v>0</v>
      </c>
      <c r="D80" s="104">
        <v>3.5999999999999999E-3</v>
      </c>
      <c r="E80" s="103">
        <f t="shared" si="0"/>
        <v>25.713486117184576</v>
      </c>
      <c r="G80" s="104" t="s">
        <v>14</v>
      </c>
      <c r="H80" s="103">
        <v>114.13606811337281</v>
      </c>
      <c r="I80" s="103">
        <v>0</v>
      </c>
      <c r="J80" s="104">
        <f t="shared" si="1"/>
        <v>1E-3</v>
      </c>
      <c r="K80" s="103">
        <f t="shared" si="2"/>
        <v>0.11413606811337282</v>
      </c>
      <c r="M80" s="104" t="s">
        <v>14</v>
      </c>
      <c r="N80" s="103">
        <v>9.1903707862224504</v>
      </c>
      <c r="O80" s="103">
        <v>0</v>
      </c>
      <c r="P80" s="104">
        <v>38.6</v>
      </c>
      <c r="Q80" s="103">
        <f t="shared" si="3"/>
        <v>0.3547483123481866</v>
      </c>
    </row>
    <row r="81" spans="1:17">
      <c r="A81" s="104" t="s">
        <v>15</v>
      </c>
      <c r="B81" s="103">
        <v>50027735.82109338</v>
      </c>
      <c r="C81" s="103">
        <v>24757095.430463865</v>
      </c>
      <c r="D81" s="104">
        <v>3.5999999999999999E-3</v>
      </c>
      <c r="E81" s="103">
        <f t="shared" si="0"/>
        <v>180099.84895593618</v>
      </c>
      <c r="G81" s="104" t="s">
        <v>15</v>
      </c>
      <c r="H81" s="103">
        <v>799420.52718807256</v>
      </c>
      <c r="I81" s="103">
        <v>27548.157756466862</v>
      </c>
      <c r="J81" s="104">
        <f t="shared" si="1"/>
        <v>1E-3</v>
      </c>
      <c r="K81" s="103">
        <f t="shared" si="2"/>
        <v>799.42052718807258</v>
      </c>
      <c r="M81" s="104" t="s">
        <v>15</v>
      </c>
      <c r="N81" s="103">
        <v>64370.283473213509</v>
      </c>
      <c r="O81" s="103">
        <v>116728.30469842099</v>
      </c>
      <c r="P81" s="104">
        <v>38.6</v>
      </c>
      <c r="Q81" s="103">
        <f t="shared" si="3"/>
        <v>2484.6929420660413</v>
      </c>
    </row>
    <row r="82" spans="1:17">
      <c r="A82" s="104" t="s">
        <v>16</v>
      </c>
      <c r="B82" s="103">
        <v>15677953.193353273</v>
      </c>
      <c r="C82" s="103">
        <v>0</v>
      </c>
      <c r="D82" s="104">
        <v>3.5999999999999999E-3</v>
      </c>
      <c r="E82" s="103">
        <f t="shared" si="0"/>
        <v>56440.631496071779</v>
      </c>
      <c r="G82" s="104" t="s">
        <v>16</v>
      </c>
      <c r="H82" s="103">
        <v>250526.58093265039</v>
      </c>
      <c r="I82" s="103">
        <v>0</v>
      </c>
      <c r="J82" s="104">
        <f t="shared" si="1"/>
        <v>1E-3</v>
      </c>
      <c r="K82" s="103">
        <f t="shared" si="2"/>
        <v>250.5265809326504</v>
      </c>
      <c r="M82" s="104" t="s">
        <v>16</v>
      </c>
      <c r="N82" s="103">
        <v>20172.69570113971</v>
      </c>
      <c r="O82" s="103">
        <v>0</v>
      </c>
      <c r="P82" s="104">
        <v>38.6</v>
      </c>
      <c r="Q82" s="103">
        <f t="shared" si="3"/>
        <v>778.66605406399276</v>
      </c>
    </row>
    <row r="83" spans="1:17">
      <c r="A83" s="104" t="s">
        <v>17</v>
      </c>
      <c r="B83" s="103">
        <v>5696664.7122215722</v>
      </c>
      <c r="C83" s="103">
        <v>0</v>
      </c>
      <c r="D83" s="104">
        <v>3.5999999999999999E-3</v>
      </c>
      <c r="E83" s="103">
        <f t="shared" si="0"/>
        <v>20507.992963997658</v>
      </c>
      <c r="G83" s="104" t="s">
        <v>17</v>
      </c>
      <c r="H83" s="103">
        <v>91030.118247680686</v>
      </c>
      <c r="I83" s="103">
        <v>0</v>
      </c>
      <c r="J83" s="104">
        <f t="shared" si="1"/>
        <v>1E-3</v>
      </c>
      <c r="K83" s="103">
        <f t="shared" si="2"/>
        <v>91.03011824768069</v>
      </c>
      <c r="M83" s="104" t="s">
        <v>17</v>
      </c>
      <c r="N83" s="103">
        <v>7329.8524580227677</v>
      </c>
      <c r="O83" s="103">
        <v>0</v>
      </c>
      <c r="P83" s="104">
        <v>38.6</v>
      </c>
      <c r="Q83" s="103">
        <f t="shared" si="3"/>
        <v>282.93230487967884</v>
      </c>
    </row>
    <row r="84" spans="1:17">
      <c r="A84" s="104" t="s">
        <v>18</v>
      </c>
      <c r="B84" s="103">
        <v>20252255.751603235</v>
      </c>
      <c r="C84" s="103">
        <v>0</v>
      </c>
      <c r="D84" s="104">
        <v>3.5999999999999999E-3</v>
      </c>
      <c r="E84" s="103">
        <f t="shared" si="0"/>
        <v>72908.120705771638</v>
      </c>
      <c r="G84" s="104" t="s">
        <v>18</v>
      </c>
      <c r="H84" s="103">
        <v>323621.86103309621</v>
      </c>
      <c r="I84" s="103">
        <v>0</v>
      </c>
      <c r="J84" s="104">
        <f t="shared" si="1"/>
        <v>1E-3</v>
      </c>
      <c r="K84" s="103">
        <f t="shared" si="2"/>
        <v>323.6218610330962</v>
      </c>
      <c r="M84" s="104" t="s">
        <v>18</v>
      </c>
      <c r="N84" s="103">
        <v>26058.413843967308</v>
      </c>
      <c r="O84" s="103">
        <v>0</v>
      </c>
      <c r="P84" s="104">
        <v>38.6</v>
      </c>
      <c r="Q84" s="103">
        <f t="shared" si="3"/>
        <v>1005.8547743771381</v>
      </c>
    </row>
    <row r="85" spans="1:17">
      <c r="A85" s="104" t="s">
        <v>19</v>
      </c>
      <c r="B85" s="103">
        <v>247480.30161031423</v>
      </c>
      <c r="C85" s="103">
        <v>0</v>
      </c>
      <c r="D85" s="104">
        <v>3.5999999999999999E-3</v>
      </c>
      <c r="E85" s="103">
        <f t="shared" si="0"/>
        <v>890.92908579713117</v>
      </c>
      <c r="G85" s="104" t="s">
        <v>19</v>
      </c>
      <c r="H85" s="103">
        <v>3954.6229693362284</v>
      </c>
      <c r="I85" s="103">
        <v>0</v>
      </c>
      <c r="J85" s="104">
        <f t="shared" si="1"/>
        <v>1E-3</v>
      </c>
      <c r="K85" s="103">
        <f t="shared" si="2"/>
        <v>3.9546229693362283</v>
      </c>
      <c r="M85" s="104" t="s">
        <v>19</v>
      </c>
      <c r="N85" s="103">
        <v>318.43090452187772</v>
      </c>
      <c r="O85" s="103">
        <v>0</v>
      </c>
      <c r="P85" s="104">
        <v>38.6</v>
      </c>
      <c r="Q85" s="103">
        <f t="shared" si="3"/>
        <v>12.291432914544481</v>
      </c>
    </row>
    <row r="86" spans="1:17">
      <c r="A86" s="104" t="s">
        <v>20</v>
      </c>
      <c r="B86" s="103">
        <v>77090.247210314235</v>
      </c>
      <c r="C86" s="103">
        <v>0</v>
      </c>
      <c r="D86" s="104">
        <v>3.5999999999999999E-3</v>
      </c>
      <c r="E86" s="103">
        <f t="shared" si="0"/>
        <v>277.52488995713122</v>
      </c>
      <c r="G86" s="104" t="s">
        <v>20</v>
      </c>
      <c r="H86" s="103">
        <v>1231.8671843618401</v>
      </c>
      <c r="I86" s="103">
        <v>0</v>
      </c>
      <c r="J86" s="104">
        <f t="shared" si="1"/>
        <v>1E-3</v>
      </c>
      <c r="K86" s="103">
        <f t="shared" si="2"/>
        <v>1.2318671843618401</v>
      </c>
      <c r="M86" s="104" t="s">
        <v>20</v>
      </c>
      <c r="N86" s="103">
        <v>99.191398221459252</v>
      </c>
      <c r="O86" s="103">
        <v>0</v>
      </c>
      <c r="P86" s="104">
        <v>38.6</v>
      </c>
      <c r="Q86" s="103">
        <f t="shared" si="3"/>
        <v>3.8287879713483273</v>
      </c>
    </row>
    <row r="87" spans="1:17">
      <c r="A87" s="104" t="s">
        <v>21</v>
      </c>
      <c r="B87" s="103">
        <v>591901.43176806928</v>
      </c>
      <c r="C87" s="103">
        <v>0</v>
      </c>
      <c r="D87" s="104">
        <v>3.5999999999999999E-3</v>
      </c>
      <c r="E87" s="103">
        <f t="shared" si="0"/>
        <v>2130.8451543650494</v>
      </c>
      <c r="G87" s="104" t="s">
        <v>21</v>
      </c>
      <c r="H87" s="103">
        <v>9458.3164091127474</v>
      </c>
      <c r="I87" s="103">
        <v>0</v>
      </c>
      <c r="J87" s="104">
        <f t="shared" si="1"/>
        <v>1E-3</v>
      </c>
      <c r="K87" s="103">
        <f t="shared" si="2"/>
        <v>9.4583164091127472</v>
      </c>
      <c r="M87" s="104" t="s">
        <v>21</v>
      </c>
      <c r="N87" s="103">
        <v>761.59478988547323</v>
      </c>
      <c r="O87" s="103">
        <v>0</v>
      </c>
      <c r="P87" s="104">
        <v>38.6</v>
      </c>
      <c r="Q87" s="103">
        <f t="shared" si="3"/>
        <v>29.397558889579269</v>
      </c>
    </row>
    <row r="88" spans="1:17">
      <c r="A88" s="104" t="s">
        <v>22</v>
      </c>
      <c r="B88" s="103">
        <v>2286078.1087703141</v>
      </c>
      <c r="C88" s="103">
        <v>1161327.6792553198</v>
      </c>
      <c r="D88" s="104">
        <v>3.5999999999999999E-3</v>
      </c>
      <c r="E88" s="103">
        <f t="shared" si="0"/>
        <v>8229.8811915731312</v>
      </c>
      <c r="G88" s="104" t="s">
        <v>22</v>
      </c>
      <c r="H88" s="103">
        <v>36530.491274716573</v>
      </c>
      <c r="I88" s="103">
        <v>1882.416215386145</v>
      </c>
      <c r="J88" s="104">
        <f t="shared" si="1"/>
        <v>1E-3</v>
      </c>
      <c r="K88" s="103">
        <f t="shared" si="2"/>
        <v>36.530491274716574</v>
      </c>
      <c r="M88" s="104" t="s">
        <v>22</v>
      </c>
      <c r="N88" s="103">
        <v>2941.47823178932</v>
      </c>
      <c r="O88" s="103">
        <v>7976.2594472315104</v>
      </c>
      <c r="P88" s="104">
        <v>38.6</v>
      </c>
      <c r="Q88" s="103">
        <f t="shared" si="3"/>
        <v>113.54105974706776</v>
      </c>
    </row>
    <row r="89" spans="1:17">
      <c r="A89" s="104" t="s">
        <v>23</v>
      </c>
      <c r="B89" s="103">
        <v>48472381.687435314</v>
      </c>
      <c r="C89" s="103">
        <v>9777560.307142226</v>
      </c>
      <c r="D89" s="104">
        <v>3.5999999999999999E-3</v>
      </c>
      <c r="E89" s="103">
        <f t="shared" si="0"/>
        <v>174500.57407476712</v>
      </c>
      <c r="G89" s="104" t="s">
        <v>23</v>
      </c>
      <c r="H89" s="103">
        <v>774566.67359894374</v>
      </c>
      <c r="I89" s="103">
        <v>19205.862693661402</v>
      </c>
      <c r="J89" s="104">
        <f t="shared" si="1"/>
        <v>1E-3</v>
      </c>
      <c r="K89" s="103">
        <f t="shared" si="2"/>
        <v>774.56667359894379</v>
      </c>
      <c r="M89" s="104" t="s">
        <v>23</v>
      </c>
      <c r="N89" s="103">
        <v>62369.021876189756</v>
      </c>
      <c r="O89" s="103">
        <v>81379.95332829385</v>
      </c>
      <c r="P89" s="104">
        <v>38.6</v>
      </c>
      <c r="Q89" s="103">
        <f t="shared" si="3"/>
        <v>2407.4442444209249</v>
      </c>
    </row>
    <row r="90" spans="1:17">
      <c r="A90" s="104" t="s">
        <v>24</v>
      </c>
      <c r="B90" s="103">
        <v>0</v>
      </c>
      <c r="C90" s="103">
        <v>0</v>
      </c>
      <c r="D90" s="104">
        <v>3.5999999999999999E-3</v>
      </c>
      <c r="E90" s="103">
        <f t="shared" si="0"/>
        <v>0</v>
      </c>
      <c r="G90" s="104" t="s">
        <v>24</v>
      </c>
      <c r="H90" s="103">
        <v>0</v>
      </c>
      <c r="I90" s="103">
        <v>0</v>
      </c>
      <c r="J90" s="104">
        <f t="shared" si="1"/>
        <v>1E-3</v>
      </c>
      <c r="K90" s="103">
        <f t="shared" si="2"/>
        <v>0</v>
      </c>
      <c r="M90" s="104" t="s">
        <v>24</v>
      </c>
      <c r="N90" s="103">
        <v>0</v>
      </c>
      <c r="O90" s="103">
        <v>0</v>
      </c>
      <c r="P90" s="104">
        <v>38.6</v>
      </c>
      <c r="Q90" s="103">
        <f t="shared" si="3"/>
        <v>0</v>
      </c>
    </row>
    <row r="91" spans="1:17">
      <c r="A91" s="104" t="s">
        <v>25</v>
      </c>
      <c r="B91" s="103">
        <v>15398224.133195505</v>
      </c>
      <c r="C91" s="103">
        <v>0</v>
      </c>
      <c r="D91" s="104">
        <v>3.5999999999999999E-3</v>
      </c>
      <c r="E91" s="103">
        <f t="shared" si="0"/>
        <v>55433.606879503815</v>
      </c>
      <c r="G91" s="104" t="s">
        <v>25</v>
      </c>
      <c r="H91" s="103">
        <v>246056.63742889382</v>
      </c>
      <c r="I91" s="103">
        <v>0</v>
      </c>
      <c r="J91" s="104">
        <f t="shared" si="1"/>
        <v>1E-3</v>
      </c>
      <c r="K91" s="103">
        <f t="shared" si="2"/>
        <v>246.05663742889382</v>
      </c>
      <c r="M91" s="104" t="s">
        <v>25</v>
      </c>
      <c r="N91" s="103">
        <v>19812.770579554272</v>
      </c>
      <c r="O91" s="103">
        <v>0</v>
      </c>
      <c r="P91" s="104">
        <v>38.6</v>
      </c>
      <c r="Q91" s="103">
        <f t="shared" si="3"/>
        <v>764.7729443707949</v>
      </c>
    </row>
    <row r="92" spans="1:17">
      <c r="A92" s="104" t="s">
        <v>26</v>
      </c>
      <c r="B92" s="103">
        <v>8029.6289254824751</v>
      </c>
      <c r="C92" s="103">
        <v>0</v>
      </c>
      <c r="D92" s="104">
        <v>3.5999999999999999E-3</v>
      </c>
      <c r="E92" s="103">
        <f t="shared" si="0"/>
        <v>28.90666413173691</v>
      </c>
      <c r="G92" s="104" t="s">
        <v>26</v>
      </c>
      <c r="H92" s="103">
        <v>128.30982820588318</v>
      </c>
      <c r="I92" s="103">
        <v>0</v>
      </c>
      <c r="J92" s="104">
        <f t="shared" si="1"/>
        <v>1E-3</v>
      </c>
      <c r="K92" s="103">
        <f t="shared" si="2"/>
        <v>0.12830982820588319</v>
      </c>
      <c r="M92" s="104" t="s">
        <v>26</v>
      </c>
      <c r="N92" s="103">
        <v>10.331658661635696</v>
      </c>
      <c r="O92" s="103">
        <v>0</v>
      </c>
      <c r="P92" s="104">
        <v>38.6</v>
      </c>
      <c r="Q92" s="103">
        <f t="shared" si="3"/>
        <v>0.39880202433913792</v>
      </c>
    </row>
    <row r="93" spans="1:17">
      <c r="A93" s="104" t="s">
        <v>27</v>
      </c>
      <c r="B93" s="103">
        <v>20879671.565007225</v>
      </c>
      <c r="C93" s="103">
        <v>10095085.28238154</v>
      </c>
      <c r="D93" s="104">
        <v>3.5999999999999999E-3</v>
      </c>
      <c r="E93" s="103">
        <f t="shared" si="0"/>
        <v>75166.817634026011</v>
      </c>
      <c r="G93" s="104" t="s">
        <v>27</v>
      </c>
      <c r="H93" s="103">
        <v>333647.6811523845</v>
      </c>
      <c r="I93" s="103">
        <v>15004.613664509468</v>
      </c>
      <c r="J93" s="104">
        <f t="shared" si="1"/>
        <v>1E-3</v>
      </c>
      <c r="K93" s="103">
        <f t="shared" si="2"/>
        <v>333.64768115238451</v>
      </c>
      <c r="M93" s="104" t="s">
        <v>27</v>
      </c>
      <c r="N93" s="103">
        <v>26865.704701759099</v>
      </c>
      <c r="O93" s="103">
        <v>63578.230210395981</v>
      </c>
      <c r="P93" s="104">
        <v>38.6</v>
      </c>
      <c r="Q93" s="103">
        <f t="shared" si="3"/>
        <v>1037.0162014879013</v>
      </c>
    </row>
    <row r="94" spans="1:17">
      <c r="A94" s="104" t="s">
        <v>28</v>
      </c>
      <c r="B94" s="103">
        <v>84577.201885445349</v>
      </c>
      <c r="C94" s="103">
        <v>0</v>
      </c>
      <c r="D94" s="104">
        <v>3.5999999999999999E-3</v>
      </c>
      <c r="E94" s="103">
        <f t="shared" si="0"/>
        <v>304.47792678760322</v>
      </c>
      <c r="G94" s="104" t="s">
        <v>28</v>
      </c>
      <c r="H94" s="103">
        <v>1351.5053241895264</v>
      </c>
      <c r="I94" s="103">
        <v>0</v>
      </c>
      <c r="J94" s="104">
        <f t="shared" si="1"/>
        <v>1E-3</v>
      </c>
      <c r="K94" s="103">
        <f t="shared" si="2"/>
        <v>1.3515053241895265</v>
      </c>
      <c r="M94" s="104" t="s">
        <v>28</v>
      </c>
      <c r="N94" s="103">
        <v>108.82480230979878</v>
      </c>
      <c r="O94" s="103">
        <v>0</v>
      </c>
      <c r="P94" s="104">
        <v>38.6</v>
      </c>
      <c r="Q94" s="103">
        <f t="shared" si="3"/>
        <v>4.2006373691582333</v>
      </c>
    </row>
    <row r="95" spans="1:17">
      <c r="A95" s="104" t="s">
        <v>29</v>
      </c>
      <c r="B95" s="103">
        <v>544455.05819792242</v>
      </c>
      <c r="C95" s="103">
        <v>0</v>
      </c>
      <c r="D95" s="104">
        <v>3.5999999999999999E-3</v>
      </c>
      <c r="E95" s="103">
        <f t="shared" si="0"/>
        <v>1960.0382095125208</v>
      </c>
      <c r="G95" s="104" t="s">
        <v>29</v>
      </c>
      <c r="H95" s="103">
        <v>8700.1448798584352</v>
      </c>
      <c r="I95" s="103">
        <v>0</v>
      </c>
      <c r="J95" s="104">
        <f t="shared" si="1"/>
        <v>1E-3</v>
      </c>
      <c r="K95" s="103">
        <f t="shared" si="2"/>
        <v>8.7001448798584349</v>
      </c>
      <c r="M95" s="104" t="s">
        <v>29</v>
      </c>
      <c r="N95" s="103">
        <v>700.54592436398752</v>
      </c>
      <c r="O95" s="103">
        <v>0</v>
      </c>
      <c r="P95" s="104">
        <v>38.6</v>
      </c>
      <c r="Q95" s="103">
        <f t="shared" si="3"/>
        <v>27.041072680449922</v>
      </c>
    </row>
    <row r="96" spans="1:17">
      <c r="A96" s="104" t="s">
        <v>30</v>
      </c>
      <c r="B96" s="103">
        <v>48839628.233496055</v>
      </c>
      <c r="C96" s="103">
        <v>11882323.875591809</v>
      </c>
      <c r="D96" s="104">
        <v>3.5999999999999999E-3</v>
      </c>
      <c r="E96" s="103">
        <f t="shared" si="0"/>
        <v>175822.66164058581</v>
      </c>
      <c r="G96" s="104" t="s">
        <v>30</v>
      </c>
      <c r="H96" s="103">
        <v>780435.10683185619</v>
      </c>
      <c r="I96" s="103">
        <v>38279.400410510156</v>
      </c>
      <c r="J96" s="104">
        <f t="shared" si="1"/>
        <v>1E-3</v>
      </c>
      <c r="K96" s="103">
        <f t="shared" si="2"/>
        <v>780.43510683185616</v>
      </c>
      <c r="M96" s="104" t="s">
        <v>30</v>
      </c>
      <c r="N96" s="103">
        <v>32801.848309340341</v>
      </c>
      <c r="O96" s="103">
        <v>80742.042501864868</v>
      </c>
      <c r="P96" s="104">
        <v>38.6</v>
      </c>
      <c r="Q96" s="103">
        <f t="shared" si="3"/>
        <v>1266.1513447405373</v>
      </c>
    </row>
    <row r="97" spans="1:17">
      <c r="A97" s="104" t="s">
        <v>31</v>
      </c>
      <c r="B97" s="103">
        <v>89710530.415283725</v>
      </c>
      <c r="C97" s="103">
        <v>0</v>
      </c>
      <c r="D97" s="104">
        <v>3.5999999999999999E-3</v>
      </c>
      <c r="E97" s="103">
        <f t="shared" si="0"/>
        <v>322957.90949502139</v>
      </c>
      <c r="G97" s="104" t="s">
        <v>31</v>
      </c>
      <c r="H97" s="103">
        <v>1433533.5857568376</v>
      </c>
      <c r="I97" s="103">
        <v>0</v>
      </c>
      <c r="J97" s="104">
        <f t="shared" si="1"/>
        <v>1E-3</v>
      </c>
      <c r="K97" s="103">
        <f t="shared" si="2"/>
        <v>1433.5335857568377</v>
      </c>
      <c r="M97" s="104" t="s">
        <v>31</v>
      </c>
      <c r="N97" s="103">
        <v>115429.81465352169</v>
      </c>
      <c r="O97" s="103">
        <v>0</v>
      </c>
      <c r="P97" s="104">
        <v>38.6</v>
      </c>
      <c r="Q97" s="103">
        <f t="shared" si="3"/>
        <v>4455.5908456259376</v>
      </c>
    </row>
    <row r="98" spans="1:17">
      <c r="A98" s="104" t="s">
        <v>32</v>
      </c>
      <c r="B98" s="103">
        <v>0</v>
      </c>
      <c r="C98" s="103">
        <v>0</v>
      </c>
      <c r="D98" s="104">
        <v>3.5999999999999999E-3</v>
      </c>
      <c r="E98" s="103">
        <f t="shared" si="0"/>
        <v>0</v>
      </c>
      <c r="G98" s="104" t="s">
        <v>32</v>
      </c>
      <c r="H98" s="103">
        <v>0</v>
      </c>
      <c r="I98" s="103">
        <v>0</v>
      </c>
      <c r="J98" s="104">
        <f t="shared" si="1"/>
        <v>1E-3</v>
      </c>
      <c r="K98" s="103">
        <f t="shared" si="2"/>
        <v>0</v>
      </c>
      <c r="M98" s="104" t="s">
        <v>32</v>
      </c>
      <c r="N98" s="103">
        <v>0</v>
      </c>
      <c r="O98" s="103">
        <v>0</v>
      </c>
      <c r="P98" s="104">
        <v>38.6</v>
      </c>
      <c r="Q98" s="103">
        <f t="shared" si="3"/>
        <v>0</v>
      </c>
    </row>
    <row r="99" spans="1:17">
      <c r="A99" s="102" t="s">
        <v>53</v>
      </c>
      <c r="B99" s="101">
        <v>382081963.00024879</v>
      </c>
      <c r="C99" s="101">
        <v>57673392.574834764</v>
      </c>
      <c r="D99" s="102">
        <v>3.5999999999999999E-3</v>
      </c>
      <c r="E99" s="101">
        <f t="shared" si="0"/>
        <v>1375495.0668008956</v>
      </c>
      <c r="G99" s="102" t="s">
        <v>53</v>
      </c>
      <c r="H99" s="101">
        <v>6105496.4666605424</v>
      </c>
      <c r="I99" s="101">
        <v>101920.45074053403</v>
      </c>
      <c r="J99" s="102">
        <f t="shared" si="1"/>
        <v>1E-3</v>
      </c>
      <c r="K99" s="101">
        <f t="shared" si="2"/>
        <v>6105.4964666605429</v>
      </c>
      <c r="M99" s="102" t="s">
        <v>53</v>
      </c>
      <c r="N99" s="101">
        <v>461582.06796435354</v>
      </c>
      <c r="O99" s="101">
        <v>350404.79018620739</v>
      </c>
      <c r="P99" s="102">
        <v>38.6</v>
      </c>
      <c r="Q99" s="101">
        <f>N99*P99</f>
        <v>17817067.823424049</v>
      </c>
    </row>
  </sheetData>
  <conditionalFormatting sqref="B5:E26">
    <cfRule type="dataBar" priority="12">
      <dataBar>
        <cfvo type="min"/>
        <cfvo type="max"/>
        <color rgb="FF9ECEEC"/>
      </dataBar>
      <extLst>
        <ext xmlns:x14="http://schemas.microsoft.com/office/spreadsheetml/2009/9/main" uri="{B025F937-C7B1-47D3-B67F-A62EFF666E3E}">
          <x14:id>{5A9F34E0-69F4-4823-BA37-3014070AEA3A}</x14:id>
        </ext>
      </extLst>
    </cfRule>
  </conditionalFormatting>
  <conditionalFormatting sqref="B32:G53">
    <cfRule type="dataBar" priority="11">
      <dataBar>
        <cfvo type="min"/>
        <cfvo type="max"/>
        <color rgb="FF9ECEEC"/>
      </dataBar>
      <extLst>
        <ext xmlns:x14="http://schemas.microsoft.com/office/spreadsheetml/2009/9/main" uri="{B025F937-C7B1-47D3-B67F-A62EFF666E3E}">
          <x14:id>{D66EE351-42E6-4E18-93F5-3A40E43A86AA}</x14:id>
        </ext>
      </extLst>
    </cfRule>
  </conditionalFormatting>
  <conditionalFormatting sqref="H32:H53">
    <cfRule type="dataBar" priority="10">
      <dataBar>
        <cfvo type="min"/>
        <cfvo type="max"/>
        <color rgb="FF9ECEEC"/>
      </dataBar>
      <extLst>
        <ext xmlns:x14="http://schemas.microsoft.com/office/spreadsheetml/2009/9/main" uri="{B025F937-C7B1-47D3-B67F-A62EFF666E3E}">
          <x14:id>{2586E7D7-F880-49E5-8FFA-FA60D702D25B}</x14:id>
        </ext>
      </extLst>
    </cfRule>
  </conditionalFormatting>
  <conditionalFormatting sqref="B66:G69">
    <cfRule type="dataBar" priority="9">
      <dataBar>
        <cfvo type="min"/>
        <cfvo type="max"/>
        <color rgb="FF9ECEEC"/>
      </dataBar>
      <extLst>
        <ext xmlns:x14="http://schemas.microsoft.com/office/spreadsheetml/2009/9/main" uri="{B025F937-C7B1-47D3-B67F-A62EFF666E3E}">
          <x14:id>{451397F0-51E0-4D5F-9797-6C44F9092050}</x14:id>
        </ext>
      </extLst>
    </cfRule>
  </conditionalFormatting>
  <conditionalFormatting sqref="H66:H69">
    <cfRule type="dataBar" priority="8">
      <dataBar>
        <cfvo type="min"/>
        <cfvo type="max"/>
        <color rgb="FF9ECEEC"/>
      </dataBar>
      <extLst>
        <ext xmlns:x14="http://schemas.microsoft.com/office/spreadsheetml/2009/9/main" uri="{B025F937-C7B1-47D3-B67F-A62EFF666E3E}">
          <x14:id>{00498878-BEF7-4331-A789-B4D070543BD1}</x14:id>
        </ext>
      </extLst>
    </cfRule>
  </conditionalFormatting>
  <conditionalFormatting sqref="B57:E60">
    <cfRule type="dataBar" priority="7">
      <dataBar>
        <cfvo type="min"/>
        <cfvo type="max"/>
        <color rgb="FF9ECEEC"/>
      </dataBar>
      <extLst>
        <ext xmlns:x14="http://schemas.microsoft.com/office/spreadsheetml/2009/9/main" uri="{B025F937-C7B1-47D3-B67F-A62EFF666E3E}">
          <x14:id>{10A176C5-5933-418C-8694-9C1A1BA35559}</x14:id>
        </ext>
      </extLst>
    </cfRule>
  </conditionalFormatting>
  <conditionalFormatting sqref="B76:C97 E76:E97">
    <cfRule type="dataBar" priority="6">
      <dataBar>
        <cfvo type="min"/>
        <cfvo type="max"/>
        <color rgb="FF9ECEEC"/>
      </dataBar>
      <extLst>
        <ext xmlns:x14="http://schemas.microsoft.com/office/spreadsheetml/2009/9/main" uri="{B025F937-C7B1-47D3-B67F-A62EFF666E3E}">
          <x14:id>{C8565936-2D3E-4060-842E-3E712B2FDAE3}</x14:id>
        </ext>
      </extLst>
    </cfRule>
  </conditionalFormatting>
  <conditionalFormatting sqref="B98:C98 E98">
    <cfRule type="dataBar" priority="5">
      <dataBar>
        <cfvo type="min"/>
        <cfvo type="max"/>
        <color rgb="FF9ECEEC"/>
      </dataBar>
      <extLst>
        <ext xmlns:x14="http://schemas.microsoft.com/office/spreadsheetml/2009/9/main" uri="{B025F937-C7B1-47D3-B67F-A62EFF666E3E}">
          <x14:id>{1F322DCD-C854-4C42-AB8F-795F3591615D}</x14:id>
        </ext>
      </extLst>
    </cfRule>
  </conditionalFormatting>
  <conditionalFormatting sqref="H76:I97 K76:K97">
    <cfRule type="dataBar" priority="4">
      <dataBar>
        <cfvo type="min"/>
        <cfvo type="max"/>
        <color rgb="FF9ECEEC"/>
      </dataBar>
      <extLst>
        <ext xmlns:x14="http://schemas.microsoft.com/office/spreadsheetml/2009/9/main" uri="{B025F937-C7B1-47D3-B67F-A62EFF666E3E}">
          <x14:id>{EAC01830-1C8C-4515-A951-D7CCFA608A1F}</x14:id>
        </ext>
      </extLst>
    </cfRule>
  </conditionalFormatting>
  <conditionalFormatting sqref="H98:I98 K98">
    <cfRule type="dataBar" priority="3">
      <dataBar>
        <cfvo type="min"/>
        <cfvo type="max"/>
        <color rgb="FF9ECEEC"/>
      </dataBar>
      <extLst>
        <ext xmlns:x14="http://schemas.microsoft.com/office/spreadsheetml/2009/9/main" uri="{B025F937-C7B1-47D3-B67F-A62EFF666E3E}">
          <x14:id>{137818B9-2B15-4EDB-87BF-620EF177078D}</x14:id>
        </ext>
      </extLst>
    </cfRule>
  </conditionalFormatting>
  <conditionalFormatting sqref="N76:O97 Q76:Q98">
    <cfRule type="dataBar" priority="2">
      <dataBar>
        <cfvo type="min"/>
        <cfvo type="max"/>
        <color rgb="FF9ECEEC"/>
      </dataBar>
      <extLst>
        <ext xmlns:x14="http://schemas.microsoft.com/office/spreadsheetml/2009/9/main" uri="{B025F937-C7B1-47D3-B67F-A62EFF666E3E}">
          <x14:id>{F65ED1AC-62C6-43AE-B507-2224F925C3AE}</x14:id>
        </ext>
      </extLst>
    </cfRule>
  </conditionalFormatting>
  <conditionalFormatting sqref="N98:O98">
    <cfRule type="dataBar" priority="1">
      <dataBar>
        <cfvo type="min"/>
        <cfvo type="max"/>
        <color rgb="FF9ECEEC"/>
      </dataBar>
      <extLst>
        <ext xmlns:x14="http://schemas.microsoft.com/office/spreadsheetml/2009/9/main" uri="{B025F937-C7B1-47D3-B67F-A62EFF666E3E}">
          <x14:id>{2FD4D9C7-409D-4549-9469-6FA380870AAA}</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A9F34E0-69F4-4823-BA37-3014070AEA3A}">
            <x14:dataBar minLength="0" maxLength="100" gradient="0">
              <x14:cfvo type="autoMin"/>
              <x14:cfvo type="autoMax"/>
              <x14:negativeFillColor rgb="FFFF0000"/>
              <x14:axisColor rgb="FF000000"/>
            </x14:dataBar>
          </x14:cfRule>
          <xm:sqref>B5:E26</xm:sqref>
        </x14:conditionalFormatting>
        <x14:conditionalFormatting xmlns:xm="http://schemas.microsoft.com/office/excel/2006/main">
          <x14:cfRule type="dataBar" id="{D66EE351-42E6-4E18-93F5-3A40E43A86AA}">
            <x14:dataBar minLength="0" maxLength="100" gradient="0">
              <x14:cfvo type="autoMin"/>
              <x14:cfvo type="autoMax"/>
              <x14:negativeFillColor rgb="FFFF0000"/>
              <x14:axisColor rgb="FF000000"/>
            </x14:dataBar>
          </x14:cfRule>
          <xm:sqref>B32:G53</xm:sqref>
        </x14:conditionalFormatting>
        <x14:conditionalFormatting xmlns:xm="http://schemas.microsoft.com/office/excel/2006/main">
          <x14:cfRule type="dataBar" id="{2586E7D7-F880-49E5-8FFA-FA60D702D25B}">
            <x14:dataBar minLength="0" maxLength="100" gradient="0">
              <x14:cfvo type="autoMin"/>
              <x14:cfvo type="autoMax"/>
              <x14:negativeFillColor rgb="FFFF0000"/>
              <x14:axisColor rgb="FF000000"/>
            </x14:dataBar>
          </x14:cfRule>
          <xm:sqref>H32:H53</xm:sqref>
        </x14:conditionalFormatting>
        <x14:conditionalFormatting xmlns:xm="http://schemas.microsoft.com/office/excel/2006/main">
          <x14:cfRule type="dataBar" id="{451397F0-51E0-4D5F-9797-6C44F9092050}">
            <x14:dataBar minLength="0" maxLength="100" gradient="0">
              <x14:cfvo type="autoMin"/>
              <x14:cfvo type="autoMax"/>
              <x14:negativeFillColor rgb="FFFF0000"/>
              <x14:axisColor rgb="FF000000"/>
            </x14:dataBar>
          </x14:cfRule>
          <xm:sqref>B66:G69</xm:sqref>
        </x14:conditionalFormatting>
        <x14:conditionalFormatting xmlns:xm="http://schemas.microsoft.com/office/excel/2006/main">
          <x14:cfRule type="dataBar" id="{00498878-BEF7-4331-A789-B4D070543BD1}">
            <x14:dataBar minLength="0" maxLength="100" gradient="0">
              <x14:cfvo type="autoMin"/>
              <x14:cfvo type="autoMax"/>
              <x14:negativeFillColor rgb="FFFF0000"/>
              <x14:axisColor rgb="FF000000"/>
            </x14:dataBar>
          </x14:cfRule>
          <xm:sqref>H66:H69</xm:sqref>
        </x14:conditionalFormatting>
        <x14:conditionalFormatting xmlns:xm="http://schemas.microsoft.com/office/excel/2006/main">
          <x14:cfRule type="dataBar" id="{10A176C5-5933-418C-8694-9C1A1BA35559}">
            <x14:dataBar minLength="0" maxLength="100" gradient="0">
              <x14:cfvo type="autoMin"/>
              <x14:cfvo type="autoMax"/>
              <x14:negativeFillColor rgb="FFFF0000"/>
              <x14:axisColor rgb="FF000000"/>
            </x14:dataBar>
          </x14:cfRule>
          <xm:sqref>B57:E60</xm:sqref>
        </x14:conditionalFormatting>
        <x14:conditionalFormatting xmlns:xm="http://schemas.microsoft.com/office/excel/2006/main">
          <x14:cfRule type="dataBar" id="{C8565936-2D3E-4060-842E-3E712B2FDAE3}">
            <x14:dataBar minLength="0" maxLength="100" gradient="0">
              <x14:cfvo type="autoMin"/>
              <x14:cfvo type="autoMax"/>
              <x14:negativeFillColor rgb="FFFF0000"/>
              <x14:axisColor rgb="FF000000"/>
            </x14:dataBar>
          </x14:cfRule>
          <xm:sqref>B76:C97 E76:E97</xm:sqref>
        </x14:conditionalFormatting>
        <x14:conditionalFormatting xmlns:xm="http://schemas.microsoft.com/office/excel/2006/main">
          <x14:cfRule type="dataBar" id="{1F322DCD-C854-4C42-AB8F-795F3591615D}">
            <x14:dataBar minLength="0" maxLength="100" gradient="0">
              <x14:cfvo type="autoMin"/>
              <x14:cfvo type="autoMax"/>
              <x14:negativeFillColor rgb="FFFF0000"/>
              <x14:axisColor rgb="FF000000"/>
            </x14:dataBar>
          </x14:cfRule>
          <xm:sqref>B98:C98 E98</xm:sqref>
        </x14:conditionalFormatting>
        <x14:conditionalFormatting xmlns:xm="http://schemas.microsoft.com/office/excel/2006/main">
          <x14:cfRule type="dataBar" id="{EAC01830-1C8C-4515-A951-D7CCFA608A1F}">
            <x14:dataBar minLength="0" maxLength="100" gradient="0">
              <x14:cfvo type="autoMin"/>
              <x14:cfvo type="autoMax"/>
              <x14:negativeFillColor rgb="FFFF0000"/>
              <x14:axisColor rgb="FF000000"/>
            </x14:dataBar>
          </x14:cfRule>
          <xm:sqref>H76:I97 K76:K97</xm:sqref>
        </x14:conditionalFormatting>
        <x14:conditionalFormatting xmlns:xm="http://schemas.microsoft.com/office/excel/2006/main">
          <x14:cfRule type="dataBar" id="{137818B9-2B15-4EDB-87BF-620EF177078D}">
            <x14:dataBar minLength="0" maxLength="100" gradient="0">
              <x14:cfvo type="autoMin"/>
              <x14:cfvo type="autoMax"/>
              <x14:negativeFillColor rgb="FFFF0000"/>
              <x14:axisColor rgb="FF000000"/>
            </x14:dataBar>
          </x14:cfRule>
          <xm:sqref>H98:I98 K98</xm:sqref>
        </x14:conditionalFormatting>
        <x14:conditionalFormatting xmlns:xm="http://schemas.microsoft.com/office/excel/2006/main">
          <x14:cfRule type="dataBar" id="{F65ED1AC-62C6-43AE-B507-2224F925C3AE}">
            <x14:dataBar minLength="0" maxLength="100" gradient="0">
              <x14:cfvo type="autoMin"/>
              <x14:cfvo type="autoMax"/>
              <x14:negativeFillColor rgb="FFFF0000"/>
              <x14:axisColor rgb="FF000000"/>
            </x14:dataBar>
          </x14:cfRule>
          <xm:sqref>N76:O97 Q76:Q98</xm:sqref>
        </x14:conditionalFormatting>
        <x14:conditionalFormatting xmlns:xm="http://schemas.microsoft.com/office/excel/2006/main">
          <x14:cfRule type="dataBar" id="{2FD4D9C7-409D-4549-9469-6FA380870AAA}">
            <x14:dataBar minLength="0" maxLength="100" gradient="0">
              <x14:cfvo type="autoMin"/>
              <x14:cfvo type="autoMax"/>
              <x14:negativeFillColor rgb="FFFF0000"/>
              <x14:axisColor rgb="FF000000"/>
            </x14:dataBar>
          </x14:cfRule>
          <xm:sqref>N98:O98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F4E44-86C1-489E-B2D2-4F59751ED564}">
  <sheetPr codeName="Sheet8">
    <tabColor rgb="FF7030A0"/>
  </sheetPr>
  <dimension ref="A3:L42"/>
  <sheetViews>
    <sheetView topLeftCell="B1" workbookViewId="0">
      <selection activeCell="F33" sqref="F33"/>
    </sheetView>
  </sheetViews>
  <sheetFormatPr defaultColWidth="8.59765625" defaultRowHeight="13.8"/>
  <cols>
    <col min="1" max="1" width="48.8984375" bestFit="1" customWidth="1"/>
    <col min="2" max="2" width="27.59765625" bestFit="1" customWidth="1"/>
    <col min="4" max="4" width="13.8984375" customWidth="1"/>
    <col min="6" max="6" width="6.59765625" bestFit="1" customWidth="1"/>
    <col min="7" max="7" width="18.59765625" bestFit="1" customWidth="1"/>
    <col min="8" max="8" width="27.8984375" style="8" bestFit="1" customWidth="1"/>
    <col min="9" max="9" width="15.8984375" style="8" bestFit="1" customWidth="1"/>
    <col min="10" max="11" width="24.09765625" style="8" bestFit="1" customWidth="1"/>
    <col min="12" max="12" width="22.8984375" bestFit="1" customWidth="1"/>
  </cols>
  <sheetData>
    <row r="3" spans="1:12">
      <c r="A3" s="239" t="s">
        <v>645</v>
      </c>
      <c r="B3" s="239" t="s">
        <v>677</v>
      </c>
      <c r="C3" s="239" t="s">
        <v>646</v>
      </c>
      <c r="D3" s="239" t="s">
        <v>647</v>
      </c>
      <c r="E3" s="239" t="s">
        <v>648</v>
      </c>
      <c r="F3" s="239" t="s">
        <v>649</v>
      </c>
      <c r="G3" s="239" t="s">
        <v>678</v>
      </c>
      <c r="H3" s="240" t="s">
        <v>650</v>
      </c>
      <c r="I3" s="240" t="s">
        <v>651</v>
      </c>
      <c r="J3" s="240" t="s">
        <v>652</v>
      </c>
      <c r="K3" s="240" t="s">
        <v>653</v>
      </c>
      <c r="L3" t="s">
        <v>654</v>
      </c>
    </row>
    <row r="4" spans="1:12">
      <c r="A4" t="s">
        <v>571</v>
      </c>
      <c r="B4" t="s">
        <v>571</v>
      </c>
      <c r="C4" t="s">
        <v>661</v>
      </c>
      <c r="D4" t="s">
        <v>155</v>
      </c>
      <c r="E4" t="s">
        <v>662</v>
      </c>
      <c r="F4" t="s">
        <v>663</v>
      </c>
      <c r="G4" t="s">
        <v>571</v>
      </c>
      <c r="H4" s="240">
        <v>343533167.66828078</v>
      </c>
      <c r="I4" s="240">
        <v>1236719.4036058108</v>
      </c>
      <c r="J4" s="240">
        <v>1</v>
      </c>
      <c r="K4" s="240">
        <v>52259059.765938312</v>
      </c>
      <c r="L4">
        <v>101110402.6603348</v>
      </c>
    </row>
    <row r="5" spans="1:12">
      <c r="A5" t="s">
        <v>571</v>
      </c>
      <c r="B5" t="s">
        <v>571</v>
      </c>
      <c r="C5" t="s">
        <v>665</v>
      </c>
      <c r="D5" t="s">
        <v>656</v>
      </c>
      <c r="E5" t="s">
        <v>666</v>
      </c>
      <c r="F5" t="s">
        <v>673</v>
      </c>
      <c r="G5" t="s">
        <v>571</v>
      </c>
      <c r="H5" s="240">
        <v>419992.73617064598</v>
      </c>
      <c r="I5" s="240">
        <v>16211.719616186936</v>
      </c>
      <c r="J5" s="240">
        <v>429548.39583235444</v>
      </c>
      <c r="K5" s="240">
        <v>1</v>
      </c>
      <c r="L5">
        <v>715347.71491029416</v>
      </c>
    </row>
    <row r="6" spans="1:12">
      <c r="A6" t="s">
        <v>571</v>
      </c>
      <c r="B6" t="s">
        <v>571</v>
      </c>
      <c r="C6" t="s">
        <v>665</v>
      </c>
      <c r="D6" t="s">
        <v>668</v>
      </c>
      <c r="E6" t="s">
        <v>666</v>
      </c>
      <c r="F6" t="s">
        <v>670</v>
      </c>
      <c r="G6" t="s">
        <v>571</v>
      </c>
      <c r="H6" s="240">
        <v>5489504.2019505817</v>
      </c>
      <c r="I6" s="240">
        <v>5489.5042019505809</v>
      </c>
      <c r="J6" s="240">
        <v>101446.64788759241</v>
      </c>
      <c r="K6" s="240">
        <v>1</v>
      </c>
      <c r="L6">
        <v>212707.51755666515</v>
      </c>
    </row>
    <row r="7" spans="1:12">
      <c r="A7" t="s">
        <v>655</v>
      </c>
      <c r="B7" t="s">
        <v>679</v>
      </c>
      <c r="C7" t="s">
        <v>155</v>
      </c>
      <c r="D7" t="s">
        <v>656</v>
      </c>
      <c r="E7" t="s">
        <v>657</v>
      </c>
      <c r="F7" t="s">
        <v>658</v>
      </c>
      <c r="G7" t="s">
        <v>679</v>
      </c>
      <c r="H7" s="240">
        <v>6.2278100999999984</v>
      </c>
      <c r="I7" s="240">
        <v>240.39346985999995</v>
      </c>
      <c r="J7" s="240">
        <v>16875.621584171997</v>
      </c>
      <c r="K7" s="240">
        <v>0</v>
      </c>
      <c r="L7">
        <v>865.41649149599982</v>
      </c>
    </row>
    <row r="8" spans="1:12">
      <c r="A8" t="s">
        <v>655</v>
      </c>
      <c r="B8" t="s">
        <v>679</v>
      </c>
      <c r="C8" t="s">
        <v>661</v>
      </c>
      <c r="D8" t="s">
        <v>155</v>
      </c>
      <c r="E8" t="s">
        <v>662</v>
      </c>
      <c r="F8" t="s">
        <v>663</v>
      </c>
      <c r="G8" t="s">
        <v>679</v>
      </c>
      <c r="H8" s="240">
        <v>1249087.2310545254</v>
      </c>
      <c r="I8" s="240">
        <v>4496.7140317962921</v>
      </c>
      <c r="J8" s="240">
        <v>0</v>
      </c>
      <c r="K8" s="240">
        <v>1114487.6136836854</v>
      </c>
      <c r="L8">
        <v>124884.06467133613</v>
      </c>
    </row>
    <row r="9" spans="1:12">
      <c r="A9" t="s">
        <v>655</v>
      </c>
      <c r="B9" t="s">
        <v>679</v>
      </c>
      <c r="C9" t="s">
        <v>665</v>
      </c>
      <c r="D9" t="s">
        <v>668</v>
      </c>
      <c r="E9" t="s">
        <v>666</v>
      </c>
      <c r="F9" t="s">
        <v>669</v>
      </c>
      <c r="G9" t="s">
        <v>679</v>
      </c>
      <c r="H9" s="240">
        <v>639.7719201509625</v>
      </c>
      <c r="I9" s="240">
        <v>639.7719201509625</v>
      </c>
      <c r="J9" s="240">
        <v>32967.4470453791</v>
      </c>
      <c r="K9" s="240">
        <v>0</v>
      </c>
      <c r="L9">
        <v>2495.1104885887535</v>
      </c>
    </row>
    <row r="10" spans="1:12">
      <c r="A10" t="s">
        <v>655</v>
      </c>
      <c r="B10" t="s">
        <v>679</v>
      </c>
      <c r="C10" t="s">
        <v>671</v>
      </c>
      <c r="D10" t="s">
        <v>656</v>
      </c>
      <c r="E10" t="s">
        <v>672</v>
      </c>
      <c r="F10" t="s">
        <v>658</v>
      </c>
      <c r="G10" t="s">
        <v>679</v>
      </c>
      <c r="H10" s="240">
        <v>192.98402989999997</v>
      </c>
      <c r="I10" s="240">
        <v>7449.1835541399987</v>
      </c>
      <c r="J10" s="240">
        <v>524497.01404699741</v>
      </c>
      <c r="K10" s="240">
        <v>0</v>
      </c>
      <c r="L10">
        <v>26817.060794903995</v>
      </c>
    </row>
    <row r="11" spans="1:12">
      <c r="A11" t="s">
        <v>655</v>
      </c>
      <c r="B11" t="s">
        <v>679</v>
      </c>
      <c r="C11" t="s">
        <v>671</v>
      </c>
      <c r="D11" t="s">
        <v>659</v>
      </c>
      <c r="E11" t="s">
        <v>672</v>
      </c>
      <c r="F11" t="s">
        <v>658</v>
      </c>
      <c r="G11" t="s">
        <v>679</v>
      </c>
      <c r="H11" s="240">
        <v>48.718119999999992</v>
      </c>
      <c r="I11" s="240">
        <v>1666.1597040000001</v>
      </c>
      <c r="J11" s="240">
        <v>112665.71918448001</v>
      </c>
      <c r="K11" s="240">
        <v>0</v>
      </c>
      <c r="L11">
        <v>5998.1749344000009</v>
      </c>
    </row>
    <row r="12" spans="1:12">
      <c r="A12" t="s">
        <v>655</v>
      </c>
      <c r="B12" t="s">
        <v>655</v>
      </c>
      <c r="C12" t="s">
        <v>155</v>
      </c>
      <c r="D12" t="s">
        <v>656</v>
      </c>
      <c r="E12" t="s">
        <v>657</v>
      </c>
      <c r="F12" t="s">
        <v>658</v>
      </c>
      <c r="G12" t="s">
        <v>680</v>
      </c>
      <c r="H12" s="240">
        <v>84.668000000000006</v>
      </c>
      <c r="I12" s="240">
        <v>3268.1848</v>
      </c>
      <c r="J12" s="240">
        <v>229426.57296000002</v>
      </c>
      <c r="K12" s="240">
        <v>0</v>
      </c>
      <c r="L12">
        <v>11765.46528</v>
      </c>
    </row>
    <row r="13" spans="1:12">
      <c r="A13" t="s">
        <v>655</v>
      </c>
      <c r="B13" t="s">
        <v>655</v>
      </c>
      <c r="C13" t="s">
        <v>155</v>
      </c>
      <c r="D13" t="s">
        <v>656</v>
      </c>
      <c r="E13" t="s">
        <v>657</v>
      </c>
      <c r="G13" t="s">
        <v>681</v>
      </c>
      <c r="H13" s="240">
        <v>1.8619991000000002</v>
      </c>
      <c r="I13" s="240">
        <v>71.873165259999993</v>
      </c>
      <c r="J13" s="240">
        <v>5045.496201252</v>
      </c>
      <c r="K13" s="240">
        <v>0</v>
      </c>
      <c r="L13">
        <v>258.74339493600002</v>
      </c>
    </row>
    <row r="14" spans="1:12">
      <c r="A14" t="s">
        <v>655</v>
      </c>
      <c r="B14" t="s">
        <v>655</v>
      </c>
      <c r="C14" t="s">
        <v>155</v>
      </c>
      <c r="D14" t="s">
        <v>656</v>
      </c>
      <c r="E14" t="s">
        <v>657</v>
      </c>
      <c r="G14" t="s">
        <v>682</v>
      </c>
      <c r="H14" s="240">
        <v>1088.7475462319046</v>
      </c>
      <c r="I14" s="240">
        <v>42025.655284551518</v>
      </c>
      <c r="J14" s="240">
        <v>2950201.0009755166</v>
      </c>
      <c r="K14" s="240">
        <v>0</v>
      </c>
      <c r="L14">
        <v>151292.35902438549</v>
      </c>
    </row>
    <row r="15" spans="1:12">
      <c r="A15" t="s">
        <v>655</v>
      </c>
      <c r="B15" t="s">
        <v>655</v>
      </c>
      <c r="C15" t="s">
        <v>155</v>
      </c>
      <c r="D15" t="s">
        <v>659</v>
      </c>
      <c r="E15" t="s">
        <v>657</v>
      </c>
      <c r="F15" t="s">
        <v>658</v>
      </c>
      <c r="G15" t="s">
        <v>682</v>
      </c>
      <c r="H15" s="240">
        <v>0</v>
      </c>
      <c r="I15" s="240">
        <v>0</v>
      </c>
      <c r="J15" s="240">
        <v>0</v>
      </c>
      <c r="K15" s="240">
        <v>0</v>
      </c>
      <c r="L15">
        <v>0</v>
      </c>
    </row>
    <row r="16" spans="1:12">
      <c r="A16" t="s">
        <v>655</v>
      </c>
      <c r="B16" t="s">
        <v>655</v>
      </c>
      <c r="C16" t="s">
        <v>155</v>
      </c>
      <c r="D16" t="s">
        <v>660</v>
      </c>
      <c r="E16" t="s">
        <v>657</v>
      </c>
      <c r="F16" t="s">
        <v>658</v>
      </c>
      <c r="G16" t="s">
        <v>681</v>
      </c>
      <c r="H16" s="240">
        <v>0</v>
      </c>
      <c r="I16" s="240">
        <v>0</v>
      </c>
      <c r="J16" s="240">
        <v>0</v>
      </c>
      <c r="K16" s="240">
        <v>0</v>
      </c>
      <c r="L16">
        <v>0</v>
      </c>
    </row>
    <row r="17" spans="1:12">
      <c r="A17" t="s">
        <v>655</v>
      </c>
      <c r="B17" t="s">
        <v>655</v>
      </c>
      <c r="C17" t="s">
        <v>155</v>
      </c>
      <c r="D17" t="s">
        <v>660</v>
      </c>
      <c r="E17" t="s">
        <v>657</v>
      </c>
      <c r="G17" t="s">
        <v>682</v>
      </c>
      <c r="H17" s="240">
        <v>0</v>
      </c>
      <c r="I17" s="240">
        <v>0</v>
      </c>
      <c r="J17" s="240">
        <v>0</v>
      </c>
      <c r="K17" s="240">
        <v>0</v>
      </c>
      <c r="L17">
        <v>0</v>
      </c>
    </row>
    <row r="18" spans="1:12">
      <c r="A18" t="s">
        <v>655</v>
      </c>
      <c r="B18" t="s">
        <v>655</v>
      </c>
      <c r="C18" t="s">
        <v>661</v>
      </c>
      <c r="D18" t="s">
        <v>155</v>
      </c>
      <c r="E18" t="s">
        <v>662</v>
      </c>
      <c r="F18" t="s">
        <v>663</v>
      </c>
      <c r="G18" t="s">
        <v>680</v>
      </c>
      <c r="H18" s="240">
        <v>81415833.164999992</v>
      </c>
      <c r="I18" s="240">
        <v>293096.99939399998</v>
      </c>
      <c r="J18" s="240">
        <v>0</v>
      </c>
      <c r="K18" s="240">
        <v>72976689.200340003</v>
      </c>
      <c r="L18">
        <v>8154467.8479900006</v>
      </c>
    </row>
    <row r="19" spans="1:12">
      <c r="A19" t="s">
        <v>655</v>
      </c>
      <c r="B19" t="s">
        <v>655</v>
      </c>
      <c r="C19" t="s">
        <v>661</v>
      </c>
      <c r="D19" t="s">
        <v>155</v>
      </c>
      <c r="E19" t="s">
        <v>662</v>
      </c>
      <c r="G19" t="s">
        <v>681</v>
      </c>
      <c r="H19" s="240">
        <v>58746978.985804223</v>
      </c>
      <c r="I19" s="240">
        <v>211489.12434889528</v>
      </c>
      <c r="J19" s="240">
        <v>0</v>
      </c>
      <c r="K19" s="240">
        <v>49050617.530948512</v>
      </c>
      <c r="L19">
        <v>5592598.2596548079</v>
      </c>
    </row>
    <row r="20" spans="1:12">
      <c r="A20" t="s">
        <v>655</v>
      </c>
      <c r="B20" t="s">
        <v>655</v>
      </c>
      <c r="C20" t="s">
        <v>661</v>
      </c>
      <c r="D20" t="s">
        <v>155</v>
      </c>
      <c r="E20" t="s">
        <v>662</v>
      </c>
      <c r="G20" t="s">
        <v>682</v>
      </c>
      <c r="H20" s="240">
        <v>1203391501.3084202</v>
      </c>
      <c r="I20" s="240">
        <v>4332209.4047103105</v>
      </c>
      <c r="J20" s="240">
        <v>0</v>
      </c>
      <c r="K20" s="240">
        <v>955182988.16957843</v>
      </c>
      <c r="L20">
        <v>110495943.22162378</v>
      </c>
    </row>
    <row r="21" spans="1:12">
      <c r="A21" t="s">
        <v>655</v>
      </c>
      <c r="B21" t="s">
        <v>655</v>
      </c>
      <c r="C21" t="s">
        <v>661</v>
      </c>
      <c r="D21" t="s">
        <v>664</v>
      </c>
      <c r="E21" t="s">
        <v>662</v>
      </c>
      <c r="F21" t="s">
        <v>663</v>
      </c>
      <c r="G21" t="s">
        <v>682</v>
      </c>
      <c r="H21" s="240">
        <v>10417618.939226702</v>
      </c>
      <c r="I21" s="240">
        <v>37503.428181216121</v>
      </c>
      <c r="J21" s="240">
        <v>0</v>
      </c>
      <c r="K21" s="240">
        <v>0</v>
      </c>
      <c r="L21">
        <v>0</v>
      </c>
    </row>
    <row r="22" spans="1:12">
      <c r="A22" t="s">
        <v>655</v>
      </c>
      <c r="B22" t="s">
        <v>655</v>
      </c>
      <c r="C22" t="s">
        <v>665</v>
      </c>
      <c r="D22" t="s">
        <v>656</v>
      </c>
      <c r="E22" t="s">
        <v>666</v>
      </c>
      <c r="F22" t="s">
        <v>658</v>
      </c>
      <c r="G22" t="s">
        <v>682</v>
      </c>
      <c r="H22" s="240">
        <v>1216.0246685000002</v>
      </c>
      <c r="I22" s="240">
        <v>46938.5522041</v>
      </c>
      <c r="J22" s="240">
        <v>3269354.7311326195</v>
      </c>
      <c r="K22" s="240">
        <v>0</v>
      </c>
      <c r="L22">
        <v>168978.78793476001</v>
      </c>
    </row>
    <row r="23" spans="1:12">
      <c r="A23" t="s">
        <v>655</v>
      </c>
      <c r="B23" t="s">
        <v>655</v>
      </c>
      <c r="C23" t="s">
        <v>665</v>
      </c>
      <c r="D23" t="s">
        <v>667</v>
      </c>
      <c r="E23" t="s">
        <v>666</v>
      </c>
      <c r="F23" t="s">
        <v>658</v>
      </c>
      <c r="G23" t="s">
        <v>682</v>
      </c>
      <c r="H23" s="240">
        <v>1.32202</v>
      </c>
      <c r="I23" s="240">
        <v>30.935267999999997</v>
      </c>
      <c r="J23" s="240">
        <v>2153.0946527999995</v>
      </c>
      <c r="K23" s="240">
        <v>0</v>
      </c>
      <c r="L23">
        <v>0</v>
      </c>
    </row>
    <row r="24" spans="1:12">
      <c r="A24" t="s">
        <v>655</v>
      </c>
      <c r="B24" t="s">
        <v>655</v>
      </c>
      <c r="C24" t="s">
        <v>665</v>
      </c>
      <c r="D24" t="s">
        <v>659</v>
      </c>
      <c r="E24" t="s">
        <v>666</v>
      </c>
      <c r="F24" t="s">
        <v>658</v>
      </c>
      <c r="G24" t="s">
        <v>682</v>
      </c>
      <c r="H24" s="240">
        <v>152.5423843386184</v>
      </c>
      <c r="I24" s="240">
        <v>5216.9495443807527</v>
      </c>
      <c r="J24" s="240">
        <v>354293.50813107903</v>
      </c>
      <c r="K24" s="240">
        <v>0</v>
      </c>
      <c r="L24">
        <v>18781.018359770707</v>
      </c>
    </row>
    <row r="25" spans="1:12">
      <c r="A25" t="s">
        <v>655</v>
      </c>
      <c r="B25" t="s">
        <v>655</v>
      </c>
      <c r="C25" t="s">
        <v>665</v>
      </c>
      <c r="D25" t="s">
        <v>660</v>
      </c>
      <c r="E25" t="s">
        <v>666</v>
      </c>
      <c r="F25" t="s">
        <v>658</v>
      </c>
      <c r="G25" t="s">
        <v>682</v>
      </c>
      <c r="H25" s="240">
        <v>0</v>
      </c>
      <c r="I25" s="240">
        <v>0</v>
      </c>
      <c r="J25" s="240">
        <v>0</v>
      </c>
      <c r="K25" s="240">
        <v>0</v>
      </c>
      <c r="L25">
        <v>0</v>
      </c>
    </row>
    <row r="26" spans="1:12">
      <c r="A26" t="s">
        <v>655</v>
      </c>
      <c r="B26" t="s">
        <v>655</v>
      </c>
      <c r="C26" t="s">
        <v>665</v>
      </c>
      <c r="D26" t="s">
        <v>668</v>
      </c>
      <c r="E26" t="s">
        <v>666</v>
      </c>
      <c r="F26" t="s">
        <v>670</v>
      </c>
      <c r="G26" t="s">
        <v>680</v>
      </c>
      <c r="H26" s="240">
        <v>857282.6259000001</v>
      </c>
      <c r="I26" s="240">
        <v>857.28262590000008</v>
      </c>
      <c r="J26" s="240">
        <v>44175.773712627008</v>
      </c>
      <c r="K26" s="240">
        <v>0</v>
      </c>
      <c r="L26">
        <v>3343.4022410100006</v>
      </c>
    </row>
    <row r="27" spans="1:12">
      <c r="A27" t="s">
        <v>655</v>
      </c>
      <c r="B27" t="s">
        <v>655</v>
      </c>
      <c r="C27" t="s">
        <v>665</v>
      </c>
      <c r="D27" t="s">
        <v>668</v>
      </c>
      <c r="E27" t="s">
        <v>666</v>
      </c>
      <c r="G27" t="s">
        <v>681</v>
      </c>
      <c r="H27" s="240">
        <v>7961472.7018999998</v>
      </c>
      <c r="I27" s="240">
        <v>7961.4727018999993</v>
      </c>
      <c r="J27" s="240">
        <v>410254.68832890701</v>
      </c>
      <c r="K27" s="240">
        <v>0</v>
      </c>
      <c r="L27">
        <v>31049.743537409999</v>
      </c>
    </row>
    <row r="28" spans="1:12">
      <c r="A28" t="s">
        <v>655</v>
      </c>
      <c r="B28" t="s">
        <v>655</v>
      </c>
      <c r="C28" t="s">
        <v>665</v>
      </c>
      <c r="D28" t="s">
        <v>668</v>
      </c>
      <c r="E28" t="s">
        <v>666</v>
      </c>
      <c r="G28" t="s">
        <v>682</v>
      </c>
      <c r="H28" s="240">
        <v>4749414.5915000001</v>
      </c>
      <c r="I28" s="240">
        <v>4749.4145914999999</v>
      </c>
      <c r="J28" s="240">
        <v>244737.33389999496</v>
      </c>
      <c r="K28" s="240">
        <v>0</v>
      </c>
      <c r="L28">
        <v>18591.84840979</v>
      </c>
    </row>
    <row r="29" spans="1:12">
      <c r="A29" t="s">
        <v>655</v>
      </c>
      <c r="B29" t="s">
        <v>655</v>
      </c>
      <c r="C29" t="s">
        <v>671</v>
      </c>
      <c r="D29" t="s">
        <v>656</v>
      </c>
      <c r="E29" t="s">
        <v>671</v>
      </c>
      <c r="F29" t="s">
        <v>658</v>
      </c>
      <c r="G29" t="s">
        <v>682</v>
      </c>
      <c r="H29" s="240">
        <v>6.3484915999999991</v>
      </c>
      <c r="I29" s="240">
        <v>245.05177576</v>
      </c>
      <c r="J29" s="240">
        <v>17251.645013504003</v>
      </c>
      <c r="K29" s="240">
        <v>0</v>
      </c>
      <c r="L29">
        <v>882.18639273600002</v>
      </c>
    </row>
    <row r="30" spans="1:12">
      <c r="A30" t="s">
        <v>655</v>
      </c>
      <c r="B30" t="s">
        <v>655</v>
      </c>
      <c r="C30" t="s">
        <v>671</v>
      </c>
      <c r="D30" t="s">
        <v>656</v>
      </c>
      <c r="E30" t="s">
        <v>672</v>
      </c>
      <c r="F30" t="s">
        <v>658</v>
      </c>
      <c r="G30" t="s">
        <v>682</v>
      </c>
      <c r="H30" s="240">
        <v>8340.796452999999</v>
      </c>
      <c r="I30" s="240">
        <v>321954.74308579997</v>
      </c>
      <c r="J30" s="240">
        <v>22668841.595080782</v>
      </c>
      <c r="K30" s="240">
        <v>0</v>
      </c>
      <c r="L30">
        <v>1159037.0751088799</v>
      </c>
    </row>
    <row r="31" spans="1:12">
      <c r="A31" t="s">
        <v>655</v>
      </c>
      <c r="B31" t="s">
        <v>655</v>
      </c>
      <c r="C31" t="s">
        <v>671</v>
      </c>
      <c r="D31" t="s">
        <v>667</v>
      </c>
      <c r="E31" t="s">
        <v>672</v>
      </c>
      <c r="F31" t="s">
        <v>658</v>
      </c>
      <c r="G31" t="s">
        <v>682</v>
      </c>
      <c r="H31" s="240">
        <v>16.185735000000005</v>
      </c>
      <c r="I31" s="240">
        <v>378.74619900000005</v>
      </c>
      <c r="J31" s="240">
        <v>151.49847960000002</v>
      </c>
      <c r="K31" s="240">
        <v>0</v>
      </c>
      <c r="L31">
        <v>0</v>
      </c>
    </row>
    <row r="32" spans="1:12">
      <c r="A32" t="s">
        <v>655</v>
      </c>
      <c r="B32" t="s">
        <v>655</v>
      </c>
      <c r="C32" t="s">
        <v>671</v>
      </c>
      <c r="D32" t="s">
        <v>659</v>
      </c>
      <c r="E32" t="s">
        <v>671</v>
      </c>
      <c r="F32" t="s">
        <v>658</v>
      </c>
      <c r="G32" t="s">
        <v>682</v>
      </c>
      <c r="H32" s="240">
        <v>0.245786</v>
      </c>
      <c r="I32" s="240">
        <v>8.4058812000000014</v>
      </c>
      <c r="J32" s="240">
        <v>585.04933152000001</v>
      </c>
      <c r="K32" s="240">
        <v>0</v>
      </c>
      <c r="L32">
        <v>30.261172320000007</v>
      </c>
    </row>
    <row r="33" spans="1:12">
      <c r="A33" t="s">
        <v>655</v>
      </c>
      <c r="B33" t="s">
        <v>655</v>
      </c>
      <c r="C33" t="s">
        <v>671</v>
      </c>
      <c r="D33" t="s">
        <v>659</v>
      </c>
      <c r="E33" t="s">
        <v>672</v>
      </c>
      <c r="F33" t="s">
        <v>658</v>
      </c>
      <c r="G33" t="s">
        <v>682</v>
      </c>
      <c r="H33" s="240">
        <v>721.94193931814721</v>
      </c>
      <c r="I33" s="240">
        <v>24690.414324680634</v>
      </c>
      <c r="J33" s="240">
        <v>1669565.8166349044</v>
      </c>
      <c r="K33" s="240">
        <v>0</v>
      </c>
      <c r="L33">
        <v>88885.491568850281</v>
      </c>
    </row>
    <row r="34" spans="1:12">
      <c r="A34" t="s">
        <v>655</v>
      </c>
      <c r="B34" t="s">
        <v>655</v>
      </c>
      <c r="C34" t="s">
        <v>671</v>
      </c>
      <c r="D34" t="s">
        <v>660</v>
      </c>
      <c r="E34" t="s">
        <v>672</v>
      </c>
      <c r="F34" t="s">
        <v>658</v>
      </c>
      <c r="G34" t="s">
        <v>682</v>
      </c>
      <c r="H34" s="240">
        <v>0.87494140000000009</v>
      </c>
      <c r="I34" s="240">
        <v>22.923464680000002</v>
      </c>
      <c r="J34" s="240">
        <v>1398.3313454800002</v>
      </c>
      <c r="K34" s="240">
        <v>0</v>
      </c>
      <c r="L34">
        <v>82.524472848000016</v>
      </c>
    </row>
    <row r="35" spans="1:12">
      <c r="A35" t="s">
        <v>53</v>
      </c>
      <c r="H35" s="240">
        <v>1718244373.4170508</v>
      </c>
      <c r="I35" s="240">
        <v>6605632.4116550293</v>
      </c>
      <c r="J35" s="240">
        <v>33085437.981461562</v>
      </c>
      <c r="K35" s="240">
        <v>1130583844.2804883</v>
      </c>
      <c r="L35" s="240">
        <v>228095505.95634869</v>
      </c>
    </row>
    <row r="36" spans="1:12">
      <c r="H36" s="240">
        <f>ReformFY21[[#Totals],[Consumption Quantity]]</f>
        <v>1718244373.4170508</v>
      </c>
      <c r="I36" s="240">
        <f>ReformFY21[[#Totals],[Total GJ]]</f>
        <v>6605632.4116550293</v>
      </c>
      <c r="J36" s="240">
        <f>ReformFY21[[#Totals],[Scope 1 kg CO2-e]]</f>
        <v>33085437.981461562</v>
      </c>
      <c r="K36" s="240">
        <f>ReformFY21[[#Totals],[Scope 2 kg CO2-e]]</f>
        <v>1130583844.2804885</v>
      </c>
      <c r="L36" s="240">
        <f>ReformFY21[[#Totals],[Scope 3 kg CO2-e]]</f>
        <v>228095505.95634869</v>
      </c>
    </row>
    <row r="37" spans="1:12">
      <c r="H37" s="240" t="b">
        <f>H36=H35</f>
        <v>1</v>
      </c>
      <c r="I37" s="240" t="b">
        <f t="shared" ref="I37:L37" si="0">I36=I35</f>
        <v>1</v>
      </c>
      <c r="J37" s="240" t="b">
        <f t="shared" si="0"/>
        <v>1</v>
      </c>
      <c r="K37" s="240" t="b">
        <f t="shared" si="0"/>
        <v>1</v>
      </c>
      <c r="L37" s="240" t="b">
        <f t="shared" si="0"/>
        <v>1</v>
      </c>
    </row>
    <row r="38" spans="1:12">
      <c r="H38" s="240"/>
      <c r="I38" s="240"/>
      <c r="J38" s="240"/>
      <c r="K38" s="240"/>
      <c r="L38" s="240"/>
    </row>
    <row r="39" spans="1:12">
      <c r="H39" s="240"/>
      <c r="I39" s="240"/>
      <c r="J39" s="240"/>
      <c r="K39" s="240"/>
      <c r="L39" s="240"/>
    </row>
    <row r="41" spans="1:12">
      <c r="H41" s="8">
        <f>ReformFY21[[#Totals],[Consumption Quantity]]</f>
        <v>1718244373.4170508</v>
      </c>
      <c r="I41" s="8">
        <f>ReformFY21[[#Totals],[Total GJ]]</f>
        <v>6605632.4116550293</v>
      </c>
      <c r="J41" s="8">
        <f>ReformFY21[[#Totals],[Scope 1 kg CO2-e]]</f>
        <v>33085437.981461562</v>
      </c>
      <c r="K41" s="8">
        <f>ReformFY21[[#Totals],[Scope 2 kg CO2-e]]</f>
        <v>1130583844.2804885</v>
      </c>
      <c r="L41" s="8">
        <f>ReformFY21[[#Totals],[Scope 3 kg CO2-e]]</f>
        <v>228095505.95634869</v>
      </c>
    </row>
    <row r="42" spans="1:12">
      <c r="H42" s="8" t="b">
        <f>H41=H35</f>
        <v>1</v>
      </c>
      <c r="I42" s="8" t="b">
        <f>I41=I35</f>
        <v>1</v>
      </c>
      <c r="J42" s="8" t="b">
        <f>J41=J35</f>
        <v>1</v>
      </c>
      <c r="K42" s="8" t="b">
        <f>K41=K35</f>
        <v>1</v>
      </c>
      <c r="L42" s="8" t="b">
        <f>L41=L35</f>
        <v>1</v>
      </c>
    </row>
  </sheetData>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35A3-8024-4A9F-9594-6C48A75B539F}">
  <sheetPr codeName="Sheet35">
    <tabColor rgb="FF7030A0"/>
  </sheetPr>
  <dimension ref="A3:L219"/>
  <sheetViews>
    <sheetView topLeftCell="C1" zoomScale="90" zoomScaleNormal="90" workbookViewId="0">
      <pane ySplit="3" topLeftCell="A205" activePane="bottomLeft" state="frozen"/>
      <selection activeCell="F33" sqref="F33"/>
      <selection pane="bottomLeft" activeCell="F33" sqref="F33"/>
    </sheetView>
  </sheetViews>
  <sheetFormatPr defaultColWidth="8.8984375" defaultRowHeight="13.8"/>
  <cols>
    <col min="1" max="1" width="48.8984375" bestFit="1" customWidth="1"/>
    <col min="2" max="2" width="27.59765625" bestFit="1" customWidth="1"/>
    <col min="3" max="3" width="19.09765625" bestFit="1" customWidth="1"/>
    <col min="4" max="4" width="36.3984375" bestFit="1" customWidth="1"/>
    <col min="5" max="5" width="27.5" bestFit="1" customWidth="1"/>
    <col min="6" max="6" width="8.5" bestFit="1" customWidth="1"/>
    <col min="7" max="7" width="17.09765625" bestFit="1" customWidth="1"/>
    <col min="8" max="8" width="27.8984375" style="8" bestFit="1" customWidth="1"/>
    <col min="9" max="9" width="15.8984375" style="8" bestFit="1" customWidth="1"/>
    <col min="10" max="11" width="24.09765625" style="8" bestFit="1" customWidth="1"/>
    <col min="12" max="12" width="22.8984375" bestFit="1" customWidth="1"/>
  </cols>
  <sheetData>
    <row r="3" spans="1:12">
      <c r="A3" s="239" t="s">
        <v>677</v>
      </c>
      <c r="B3" s="239" t="s">
        <v>683</v>
      </c>
      <c r="C3" s="239" t="s">
        <v>646</v>
      </c>
      <c r="D3" s="239" t="s">
        <v>647</v>
      </c>
      <c r="E3" s="239" t="s">
        <v>648</v>
      </c>
      <c r="F3" s="239" t="s">
        <v>649</v>
      </c>
      <c r="G3" s="239" t="s">
        <v>684</v>
      </c>
      <c r="H3" s="240" t="s">
        <v>650</v>
      </c>
      <c r="I3" s="240" t="s">
        <v>651</v>
      </c>
      <c r="J3" s="240" t="s">
        <v>652</v>
      </c>
      <c r="K3" s="240" t="s">
        <v>653</v>
      </c>
      <c r="L3" t="s">
        <v>654</v>
      </c>
    </row>
    <row r="4" spans="1:12">
      <c r="A4" t="s">
        <v>685</v>
      </c>
      <c r="B4" t="s">
        <v>685</v>
      </c>
      <c r="C4" t="s">
        <v>685</v>
      </c>
      <c r="D4" t="s">
        <v>685</v>
      </c>
      <c r="E4" t="s">
        <v>685</v>
      </c>
      <c r="F4" t="s">
        <v>685</v>
      </c>
      <c r="G4" t="s">
        <v>685</v>
      </c>
      <c r="H4" s="240">
        <v>0</v>
      </c>
      <c r="I4" s="240">
        <v>0</v>
      </c>
      <c r="J4" s="240">
        <v>0</v>
      </c>
      <c r="K4" s="240">
        <v>0</v>
      </c>
      <c r="L4" s="240">
        <v>0</v>
      </c>
    </row>
    <row r="5" spans="1:12">
      <c r="A5" t="s">
        <v>571</v>
      </c>
      <c r="B5" t="s">
        <v>38</v>
      </c>
      <c r="C5" t="s">
        <v>661</v>
      </c>
      <c r="D5" t="s">
        <v>155</v>
      </c>
      <c r="E5" t="s">
        <v>662</v>
      </c>
      <c r="F5" t="s">
        <v>663</v>
      </c>
      <c r="G5" t="s">
        <v>686</v>
      </c>
      <c r="H5" s="240">
        <v>12095703.230562257</v>
      </c>
      <c r="I5" s="240">
        <v>43544.531630024125</v>
      </c>
      <c r="J5" s="240">
        <v>0</v>
      </c>
      <c r="K5" s="240">
        <v>0</v>
      </c>
      <c r="L5" s="240">
        <v>6217693.646215409</v>
      </c>
    </row>
    <row r="6" spans="1:12">
      <c r="A6" t="s">
        <v>571</v>
      </c>
      <c r="B6" t="s">
        <v>38</v>
      </c>
      <c r="C6" t="s">
        <v>665</v>
      </c>
      <c r="D6" t="s">
        <v>656</v>
      </c>
      <c r="E6" t="s">
        <v>666</v>
      </c>
      <c r="F6" t="s">
        <v>673</v>
      </c>
      <c r="G6" t="s">
        <v>686</v>
      </c>
      <c r="H6" s="240">
        <v>15563.443617427743</v>
      </c>
      <c r="I6" s="240">
        <v>600.7489236327109</v>
      </c>
      <c r="J6" s="240">
        <v>0</v>
      </c>
      <c r="K6" s="240">
        <v>0</v>
      </c>
      <c r="L6" s="240">
        <v>44335.270564094069</v>
      </c>
    </row>
    <row r="7" spans="1:12">
      <c r="A7" t="s">
        <v>571</v>
      </c>
      <c r="B7" t="s">
        <v>38</v>
      </c>
      <c r="C7" t="s">
        <v>665</v>
      </c>
      <c r="D7" t="s">
        <v>668</v>
      </c>
      <c r="E7" t="s">
        <v>666</v>
      </c>
      <c r="F7" t="s">
        <v>670</v>
      </c>
      <c r="G7" t="s">
        <v>686</v>
      </c>
      <c r="H7" s="240">
        <v>193283.85133931137</v>
      </c>
      <c r="I7" s="240">
        <v>193.28385133931135</v>
      </c>
      <c r="J7" s="240">
        <v>0</v>
      </c>
      <c r="K7" s="240">
        <v>0</v>
      </c>
      <c r="L7" s="240">
        <v>11533.24740941671</v>
      </c>
    </row>
    <row r="8" spans="1:12">
      <c r="A8" t="s">
        <v>571</v>
      </c>
      <c r="B8" t="s">
        <v>39</v>
      </c>
      <c r="C8" t="s">
        <v>661</v>
      </c>
      <c r="D8" t="s">
        <v>155</v>
      </c>
      <c r="E8" t="s">
        <v>662</v>
      </c>
      <c r="F8" t="s">
        <v>663</v>
      </c>
      <c r="G8" t="s">
        <v>686</v>
      </c>
      <c r="H8" s="240">
        <v>107088873.38031349</v>
      </c>
      <c r="I8" s="240">
        <v>385519.94416912855</v>
      </c>
      <c r="J8" s="240">
        <v>0</v>
      </c>
      <c r="K8" s="240">
        <v>10856216.780695796</v>
      </c>
      <c r="L8" s="240">
        <v>28432025.066822872</v>
      </c>
    </row>
    <row r="9" spans="1:12">
      <c r="A9" t="s">
        <v>571</v>
      </c>
      <c r="B9" t="s">
        <v>39</v>
      </c>
      <c r="C9" t="s">
        <v>665</v>
      </c>
      <c r="D9" t="s">
        <v>656</v>
      </c>
      <c r="E9" t="s">
        <v>666</v>
      </c>
      <c r="F9" t="s">
        <v>673</v>
      </c>
      <c r="G9" t="s">
        <v>686</v>
      </c>
      <c r="H9" s="240">
        <v>137790.38813528279</v>
      </c>
      <c r="I9" s="240">
        <v>5318.7089820219162</v>
      </c>
      <c r="J9" s="240">
        <v>104694.43988037863</v>
      </c>
      <c r="K9" s="240">
        <v>0</v>
      </c>
      <c r="L9" s="240">
        <v>286555.58543752739</v>
      </c>
    </row>
    <row r="10" spans="1:12">
      <c r="A10" t="s">
        <v>571</v>
      </c>
      <c r="B10" t="s">
        <v>39</v>
      </c>
      <c r="C10" t="s">
        <v>665</v>
      </c>
      <c r="D10" t="s">
        <v>668</v>
      </c>
      <c r="E10" t="s">
        <v>666</v>
      </c>
      <c r="F10" t="s">
        <v>670</v>
      </c>
      <c r="G10" t="s">
        <v>686</v>
      </c>
      <c r="H10" s="240">
        <v>1711231.6239898934</v>
      </c>
      <c r="I10" s="240">
        <v>1711.2316239898933</v>
      </c>
      <c r="J10" s="240">
        <v>24725.735403464623</v>
      </c>
      <c r="K10" s="240">
        <v>0</v>
      </c>
      <c r="L10" s="240">
        <v>77052.900060337372</v>
      </c>
    </row>
    <row r="11" spans="1:12">
      <c r="A11" t="s">
        <v>571</v>
      </c>
      <c r="B11" t="s">
        <v>40</v>
      </c>
      <c r="C11" t="s">
        <v>661</v>
      </c>
      <c r="D11" t="s">
        <v>155</v>
      </c>
      <c r="E11" t="s">
        <v>662</v>
      </c>
      <c r="F11" t="s">
        <v>663</v>
      </c>
      <c r="G11" t="s">
        <v>686</v>
      </c>
      <c r="H11" s="240">
        <v>188090285.22164094</v>
      </c>
      <c r="I11" s="240">
        <v>677125.02679790743</v>
      </c>
      <c r="J11" s="240">
        <v>0</v>
      </c>
      <c r="K11" s="240">
        <v>30348941.615664311</v>
      </c>
      <c r="L11" s="240">
        <v>60973664.539981157</v>
      </c>
    </row>
    <row r="12" spans="1:12">
      <c r="A12" t="s">
        <v>571</v>
      </c>
      <c r="B12" t="s">
        <v>40</v>
      </c>
      <c r="C12" t="s">
        <v>665</v>
      </c>
      <c r="D12" t="s">
        <v>656</v>
      </c>
      <c r="E12" t="s">
        <v>666</v>
      </c>
      <c r="F12" t="s">
        <v>673</v>
      </c>
      <c r="G12" t="s">
        <v>686</v>
      </c>
      <c r="H12" s="240">
        <v>185016.680778571</v>
      </c>
      <c r="I12" s="240">
        <v>7141.6438780528406</v>
      </c>
      <c r="J12" s="240">
        <v>234611.65184250913</v>
      </c>
      <c r="K12" s="240">
        <v>0</v>
      </c>
      <c r="L12" s="240">
        <v>242742.65313378212</v>
      </c>
    </row>
    <row r="13" spans="1:12">
      <c r="A13" t="s">
        <v>571</v>
      </c>
      <c r="B13" t="s">
        <v>40</v>
      </c>
      <c r="C13" t="s">
        <v>665</v>
      </c>
      <c r="D13" t="s">
        <v>668</v>
      </c>
      <c r="E13" t="s">
        <v>666</v>
      </c>
      <c r="F13" t="s">
        <v>670</v>
      </c>
      <c r="G13" t="s">
        <v>686</v>
      </c>
      <c r="H13" s="240">
        <v>3005597.4451564336</v>
      </c>
      <c r="I13" s="240">
        <v>3005.5974451564334</v>
      </c>
      <c r="J13" s="240">
        <v>55408.344823809821</v>
      </c>
      <c r="K13" s="240">
        <v>0</v>
      </c>
      <c r="L13" s="240">
        <v>111007.09901618111</v>
      </c>
    </row>
    <row r="14" spans="1:12">
      <c r="A14" t="s">
        <v>571</v>
      </c>
      <c r="B14" t="s">
        <v>41</v>
      </c>
      <c r="C14" t="s">
        <v>661</v>
      </c>
      <c r="D14" t="s">
        <v>155</v>
      </c>
      <c r="E14" t="s">
        <v>662</v>
      </c>
      <c r="F14" t="s">
        <v>663</v>
      </c>
      <c r="G14" t="s">
        <v>686</v>
      </c>
      <c r="H14" s="240">
        <v>14319615.835764131</v>
      </c>
      <c r="I14" s="240">
        <v>51550.617008750865</v>
      </c>
      <c r="J14" s="240">
        <v>0</v>
      </c>
      <c r="K14" s="240">
        <v>2091946.5045782062</v>
      </c>
      <c r="L14" s="240">
        <v>5305166.8602369819</v>
      </c>
    </row>
    <row r="15" spans="1:12">
      <c r="A15" t="s">
        <v>571</v>
      </c>
      <c r="B15" t="s">
        <v>41</v>
      </c>
      <c r="C15" t="s">
        <v>665</v>
      </c>
      <c r="D15" t="s">
        <v>656</v>
      </c>
      <c r="E15" t="s">
        <v>666</v>
      </c>
      <c r="F15" t="s">
        <v>673</v>
      </c>
      <c r="G15" t="s">
        <v>686</v>
      </c>
      <c r="H15" s="240">
        <v>53393.888473823616</v>
      </c>
      <c r="I15" s="240">
        <v>2061.0040950895918</v>
      </c>
      <c r="J15" s="240">
        <v>13751.419744697478</v>
      </c>
      <c r="K15" s="240">
        <v>0</v>
      </c>
      <c r="L15" s="240">
        <v>137791.59632028712</v>
      </c>
    </row>
    <row r="16" spans="1:12">
      <c r="A16" t="s">
        <v>571</v>
      </c>
      <c r="B16" t="s">
        <v>41</v>
      </c>
      <c r="C16" t="s">
        <v>665</v>
      </c>
      <c r="D16" t="s">
        <v>668</v>
      </c>
      <c r="E16" t="s">
        <v>666</v>
      </c>
      <c r="F16" t="s">
        <v>670</v>
      </c>
      <c r="G16" t="s">
        <v>686</v>
      </c>
      <c r="H16" s="240">
        <v>228820.96606360161</v>
      </c>
      <c r="I16" s="240">
        <v>228.82096606360162</v>
      </c>
      <c r="J16" s="240">
        <v>3247.6793076868335</v>
      </c>
      <c r="K16" s="240">
        <v>0</v>
      </c>
      <c r="L16" s="240">
        <v>10260.628703363041</v>
      </c>
    </row>
    <row r="17" spans="1:12">
      <c r="A17" t="s">
        <v>571</v>
      </c>
      <c r="B17" t="s">
        <v>687</v>
      </c>
      <c r="C17" t="s">
        <v>661</v>
      </c>
      <c r="D17" t="s">
        <v>155</v>
      </c>
      <c r="E17" t="s">
        <v>662</v>
      </c>
      <c r="F17" t="s">
        <v>663</v>
      </c>
      <c r="G17" t="s">
        <v>686</v>
      </c>
      <c r="H17" s="240">
        <v>21938690</v>
      </c>
      <c r="I17" s="240">
        <v>78979.284</v>
      </c>
      <c r="J17" s="240">
        <v>1</v>
      </c>
      <c r="K17" s="240">
        <v>8961954.8650000002</v>
      </c>
      <c r="L17" s="240">
        <v>181852.5470783714</v>
      </c>
    </row>
    <row r="18" spans="1:12">
      <c r="A18" t="s">
        <v>571</v>
      </c>
      <c r="B18" t="s">
        <v>687</v>
      </c>
      <c r="C18" t="s">
        <v>665</v>
      </c>
      <c r="D18" t="s">
        <v>656</v>
      </c>
      <c r="E18" t="s">
        <v>666</v>
      </c>
      <c r="F18" t="s">
        <v>673</v>
      </c>
      <c r="G18" t="s">
        <v>686</v>
      </c>
      <c r="H18" s="240">
        <v>28228.335165540786</v>
      </c>
      <c r="I18" s="240">
        <v>1089.6137373898744</v>
      </c>
      <c r="J18" s="240">
        <v>76490.884364769183</v>
      </c>
      <c r="K18" s="240">
        <v>1</v>
      </c>
      <c r="L18" s="240">
        <v>3922.6094546035474</v>
      </c>
    </row>
    <row r="19" spans="1:12">
      <c r="A19" t="s">
        <v>571</v>
      </c>
      <c r="B19" t="s">
        <v>687</v>
      </c>
      <c r="C19" t="s">
        <v>665</v>
      </c>
      <c r="D19" t="s">
        <v>668</v>
      </c>
      <c r="E19" t="s">
        <v>666</v>
      </c>
      <c r="F19" t="s">
        <v>670</v>
      </c>
      <c r="G19" t="s">
        <v>686</v>
      </c>
      <c r="H19" s="240">
        <v>350570.31540134159</v>
      </c>
      <c r="I19" s="240">
        <v>350.57031540134159</v>
      </c>
      <c r="J19" s="240">
        <v>18064.888352631133</v>
      </c>
      <c r="K19" s="240">
        <v>1</v>
      </c>
      <c r="L19" s="240">
        <v>2853.642367366921</v>
      </c>
    </row>
    <row r="20" spans="1:12">
      <c r="A20" t="s">
        <v>679</v>
      </c>
      <c r="B20" t="s">
        <v>679</v>
      </c>
      <c r="C20" t="s">
        <v>155</v>
      </c>
      <c r="D20" t="s">
        <v>656</v>
      </c>
      <c r="E20" t="s">
        <v>657</v>
      </c>
      <c r="F20" t="s">
        <v>658</v>
      </c>
      <c r="G20" t="s">
        <v>104</v>
      </c>
      <c r="H20" s="240">
        <v>6.2278100999999984</v>
      </c>
      <c r="I20" s="240">
        <v>240.39346985999995</v>
      </c>
      <c r="J20" s="240">
        <v>16875.621584171997</v>
      </c>
      <c r="K20" s="240">
        <v>0</v>
      </c>
      <c r="L20" s="240">
        <v>865.41649149599982</v>
      </c>
    </row>
    <row r="21" spans="1:12">
      <c r="A21" t="s">
        <v>679</v>
      </c>
      <c r="B21" t="s">
        <v>679</v>
      </c>
      <c r="C21" t="s">
        <v>661</v>
      </c>
      <c r="D21" t="s">
        <v>155</v>
      </c>
      <c r="E21" t="s">
        <v>662</v>
      </c>
      <c r="F21" t="s">
        <v>663</v>
      </c>
      <c r="G21" t="s">
        <v>104</v>
      </c>
      <c r="H21" s="240">
        <v>1249087.2310545254</v>
      </c>
      <c r="I21" s="240">
        <v>4496.7140317962921</v>
      </c>
      <c r="J21" s="240">
        <v>0</v>
      </c>
      <c r="K21" s="240">
        <v>1114487.6136836854</v>
      </c>
      <c r="L21" s="240">
        <v>124884.06467133613</v>
      </c>
    </row>
    <row r="22" spans="1:12">
      <c r="A22" t="s">
        <v>679</v>
      </c>
      <c r="B22" t="s">
        <v>679</v>
      </c>
      <c r="C22" t="s">
        <v>665</v>
      </c>
      <c r="D22" t="s">
        <v>668</v>
      </c>
      <c r="E22" t="s">
        <v>666</v>
      </c>
      <c r="F22" t="s">
        <v>669</v>
      </c>
      <c r="G22" t="s">
        <v>104</v>
      </c>
      <c r="H22" s="240">
        <v>639.7719201509625</v>
      </c>
      <c r="I22" s="240">
        <v>639.7719201509625</v>
      </c>
      <c r="J22" s="240">
        <v>32967.4470453791</v>
      </c>
      <c r="K22" s="240">
        <v>0</v>
      </c>
      <c r="L22" s="240">
        <v>2495.1104885887535</v>
      </c>
    </row>
    <row r="23" spans="1:12">
      <c r="A23" t="s">
        <v>679</v>
      </c>
      <c r="B23" t="s">
        <v>679</v>
      </c>
      <c r="C23" t="s">
        <v>671</v>
      </c>
      <c r="D23" t="s">
        <v>656</v>
      </c>
      <c r="E23" t="s">
        <v>672</v>
      </c>
      <c r="F23" t="s">
        <v>658</v>
      </c>
      <c r="G23" t="s">
        <v>104</v>
      </c>
      <c r="H23" s="240">
        <v>192.98402989999997</v>
      </c>
      <c r="I23" s="240">
        <v>7449.1835541399987</v>
      </c>
      <c r="J23" s="240">
        <v>524497.01404699741</v>
      </c>
      <c r="K23" s="240">
        <v>0</v>
      </c>
      <c r="L23" s="240">
        <v>26817.060794903995</v>
      </c>
    </row>
    <row r="24" spans="1:12">
      <c r="A24" t="s">
        <v>679</v>
      </c>
      <c r="B24" t="s">
        <v>679</v>
      </c>
      <c r="C24" t="s">
        <v>671</v>
      </c>
      <c r="D24" t="s">
        <v>659</v>
      </c>
      <c r="E24" t="s">
        <v>672</v>
      </c>
      <c r="F24" t="s">
        <v>658</v>
      </c>
      <c r="G24" t="s">
        <v>104</v>
      </c>
      <c r="H24" s="240">
        <v>48.718119999999992</v>
      </c>
      <c r="I24" s="240">
        <v>1666.1597040000001</v>
      </c>
      <c r="J24" s="240">
        <v>112665.71918448001</v>
      </c>
      <c r="K24" s="240">
        <v>0</v>
      </c>
      <c r="L24" s="240">
        <v>5998.1749344000009</v>
      </c>
    </row>
    <row r="25" spans="1:12">
      <c r="A25" t="s">
        <v>655</v>
      </c>
      <c r="B25" t="s">
        <v>688</v>
      </c>
      <c r="C25" t="s">
        <v>661</v>
      </c>
      <c r="D25" t="s">
        <v>155</v>
      </c>
      <c r="E25" t="s">
        <v>662</v>
      </c>
      <c r="F25" t="s">
        <v>663</v>
      </c>
      <c r="G25" t="s">
        <v>104</v>
      </c>
      <c r="H25" s="240">
        <v>2011702.3574999999</v>
      </c>
      <c r="I25" s="240">
        <v>7242.128487</v>
      </c>
      <c r="J25" s="240">
        <v>0</v>
      </c>
      <c r="K25" s="240">
        <v>1629478.9095749999</v>
      </c>
      <c r="L25" s="240">
        <v>181053.21217499999</v>
      </c>
    </row>
    <row r="26" spans="1:12">
      <c r="A26" t="s">
        <v>655</v>
      </c>
      <c r="B26" t="s">
        <v>689</v>
      </c>
      <c r="C26" t="s">
        <v>155</v>
      </c>
      <c r="D26" t="s">
        <v>656</v>
      </c>
      <c r="E26" t="s">
        <v>657</v>
      </c>
      <c r="F26" t="s">
        <v>658</v>
      </c>
      <c r="G26" t="s">
        <v>686</v>
      </c>
      <c r="H26" s="240">
        <v>0</v>
      </c>
      <c r="I26" s="240">
        <v>0</v>
      </c>
      <c r="J26" s="240">
        <v>0</v>
      </c>
      <c r="K26" s="240">
        <v>0</v>
      </c>
      <c r="L26" s="240">
        <v>0</v>
      </c>
    </row>
    <row r="27" spans="1:12">
      <c r="A27" t="s">
        <v>655</v>
      </c>
      <c r="B27" t="s">
        <v>689</v>
      </c>
      <c r="C27" t="s">
        <v>661</v>
      </c>
      <c r="D27" t="s">
        <v>155</v>
      </c>
      <c r="E27" t="s">
        <v>662</v>
      </c>
      <c r="F27" t="s">
        <v>663</v>
      </c>
      <c r="G27" t="s">
        <v>104</v>
      </c>
      <c r="H27" s="240">
        <v>27473994.162800003</v>
      </c>
      <c r="I27" s="240">
        <v>98906.378986080003</v>
      </c>
      <c r="J27" s="240">
        <v>0</v>
      </c>
      <c r="K27" s="240">
        <v>22253935.271868005</v>
      </c>
      <c r="L27" s="240">
        <v>2472659.4746520002</v>
      </c>
    </row>
    <row r="28" spans="1:12">
      <c r="A28" t="s">
        <v>655</v>
      </c>
      <c r="B28" t="s">
        <v>690</v>
      </c>
      <c r="C28" t="s">
        <v>661</v>
      </c>
      <c r="D28" t="s">
        <v>155</v>
      </c>
      <c r="E28" t="s">
        <v>662</v>
      </c>
      <c r="F28" t="s">
        <v>663</v>
      </c>
      <c r="G28" t="s">
        <v>104</v>
      </c>
      <c r="H28" s="240">
        <v>0</v>
      </c>
      <c r="I28" s="240">
        <v>0</v>
      </c>
      <c r="J28" s="240">
        <v>0</v>
      </c>
      <c r="K28" s="240">
        <v>0</v>
      </c>
      <c r="L28" s="240">
        <v>0</v>
      </c>
    </row>
    <row r="29" spans="1:12">
      <c r="A29" t="s">
        <v>655</v>
      </c>
      <c r="B29" t="s">
        <v>691</v>
      </c>
      <c r="C29" t="s">
        <v>661</v>
      </c>
      <c r="D29" t="s">
        <v>155</v>
      </c>
      <c r="E29" t="s">
        <v>662</v>
      </c>
      <c r="F29" t="s">
        <v>663</v>
      </c>
      <c r="G29" t="s">
        <v>104</v>
      </c>
      <c r="H29" s="240">
        <v>0</v>
      </c>
      <c r="I29" s="240">
        <v>0</v>
      </c>
      <c r="J29" s="240">
        <v>0</v>
      </c>
      <c r="K29" s="240">
        <v>0</v>
      </c>
      <c r="L29" s="240">
        <v>0</v>
      </c>
    </row>
    <row r="30" spans="1:12">
      <c r="A30" t="s">
        <v>655</v>
      </c>
      <c r="B30" t="s">
        <v>692</v>
      </c>
      <c r="C30" t="s">
        <v>661</v>
      </c>
      <c r="D30" t="s">
        <v>155</v>
      </c>
      <c r="E30" t="s">
        <v>662</v>
      </c>
      <c r="F30" t="s">
        <v>663</v>
      </c>
      <c r="G30" t="s">
        <v>104</v>
      </c>
      <c r="H30" s="240">
        <v>0</v>
      </c>
      <c r="I30" s="240">
        <v>0</v>
      </c>
      <c r="J30" s="240">
        <v>0</v>
      </c>
      <c r="K30" s="240">
        <v>0</v>
      </c>
      <c r="L30" s="240">
        <v>0</v>
      </c>
    </row>
    <row r="31" spans="1:12">
      <c r="A31" t="s">
        <v>655</v>
      </c>
      <c r="B31" t="s">
        <v>693</v>
      </c>
      <c r="C31" t="s">
        <v>661</v>
      </c>
      <c r="D31" t="s">
        <v>155</v>
      </c>
      <c r="E31" t="s">
        <v>662</v>
      </c>
      <c r="F31" t="s">
        <v>663</v>
      </c>
      <c r="G31" t="s">
        <v>104</v>
      </c>
      <c r="H31" s="240">
        <v>0</v>
      </c>
      <c r="I31" s="240">
        <v>0</v>
      </c>
      <c r="J31" s="240">
        <v>0</v>
      </c>
      <c r="K31" s="240">
        <v>0</v>
      </c>
      <c r="L31" s="240">
        <v>0</v>
      </c>
    </row>
    <row r="32" spans="1:12">
      <c r="A32" t="s">
        <v>655</v>
      </c>
      <c r="B32" t="s">
        <v>694</v>
      </c>
      <c r="C32" t="s">
        <v>155</v>
      </c>
      <c r="D32" t="s">
        <v>656</v>
      </c>
      <c r="E32" t="s">
        <v>657</v>
      </c>
      <c r="F32" t="s">
        <v>658</v>
      </c>
      <c r="G32" t="s">
        <v>686</v>
      </c>
      <c r="H32" s="240">
        <v>28.414000000000001</v>
      </c>
      <c r="I32" s="240">
        <v>1096.7804000000001</v>
      </c>
      <c r="J32" s="240">
        <v>76993.984080000009</v>
      </c>
      <c r="K32" s="240">
        <v>0</v>
      </c>
      <c r="L32" s="240">
        <v>3948.4094400000004</v>
      </c>
    </row>
    <row r="33" spans="1:12">
      <c r="A33" t="s">
        <v>655</v>
      </c>
      <c r="B33" t="s">
        <v>694</v>
      </c>
      <c r="C33" t="s">
        <v>661</v>
      </c>
      <c r="D33" t="s">
        <v>155</v>
      </c>
      <c r="E33" t="s">
        <v>662</v>
      </c>
      <c r="F33" t="s">
        <v>663</v>
      </c>
      <c r="G33" t="s">
        <v>104</v>
      </c>
      <c r="H33" s="240">
        <v>41352143.156999998</v>
      </c>
      <c r="I33" s="240">
        <v>148867.71536519998</v>
      </c>
      <c r="J33" s="240">
        <v>0</v>
      </c>
      <c r="K33" s="240">
        <v>40525100.293859996</v>
      </c>
      <c r="L33" s="240">
        <v>4548735.7472700002</v>
      </c>
    </row>
    <row r="34" spans="1:12">
      <c r="A34" t="s">
        <v>655</v>
      </c>
      <c r="B34" t="s">
        <v>694</v>
      </c>
      <c r="C34" t="s">
        <v>665</v>
      </c>
      <c r="D34" t="s">
        <v>668</v>
      </c>
      <c r="E34" t="s">
        <v>666</v>
      </c>
      <c r="F34" t="s">
        <v>670</v>
      </c>
      <c r="G34" t="s">
        <v>695</v>
      </c>
      <c r="H34" s="240">
        <v>706570.09830000007</v>
      </c>
      <c r="I34" s="240">
        <v>706.57009830000004</v>
      </c>
      <c r="J34" s="240">
        <v>36409.557165399005</v>
      </c>
      <c r="K34" s="240">
        <v>0</v>
      </c>
      <c r="L34" s="240">
        <v>2755.6233833700003</v>
      </c>
    </row>
    <row r="35" spans="1:12">
      <c r="A35" t="s">
        <v>655</v>
      </c>
      <c r="B35" t="s">
        <v>694</v>
      </c>
      <c r="C35" t="s">
        <v>665</v>
      </c>
      <c r="D35" t="s">
        <v>668</v>
      </c>
      <c r="E35" t="s">
        <v>666</v>
      </c>
      <c r="G35" t="s">
        <v>686</v>
      </c>
      <c r="H35" s="240">
        <v>150712.5276</v>
      </c>
      <c r="I35" s="240">
        <v>150.71252760000002</v>
      </c>
      <c r="J35" s="240">
        <v>7766.2165472280012</v>
      </c>
      <c r="K35" s="240">
        <v>0</v>
      </c>
      <c r="L35" s="240">
        <v>587.77885764000007</v>
      </c>
    </row>
    <row r="36" spans="1:12">
      <c r="A36" t="s">
        <v>655</v>
      </c>
      <c r="B36" t="s">
        <v>696</v>
      </c>
      <c r="C36" t="s">
        <v>661</v>
      </c>
      <c r="D36" t="s">
        <v>155</v>
      </c>
      <c r="E36" t="s">
        <v>662</v>
      </c>
      <c r="F36" t="s">
        <v>663</v>
      </c>
      <c r="G36" t="s">
        <v>104</v>
      </c>
      <c r="H36" s="240">
        <v>0</v>
      </c>
      <c r="I36" s="240">
        <v>0</v>
      </c>
      <c r="J36" s="240">
        <v>0</v>
      </c>
      <c r="K36" s="240">
        <v>0</v>
      </c>
      <c r="L36" s="240">
        <v>0</v>
      </c>
    </row>
    <row r="37" spans="1:12">
      <c r="A37" t="s">
        <v>655</v>
      </c>
      <c r="B37" t="s">
        <v>697</v>
      </c>
      <c r="C37" t="s">
        <v>661</v>
      </c>
      <c r="D37" t="s">
        <v>155</v>
      </c>
      <c r="E37" t="s">
        <v>662</v>
      </c>
      <c r="F37" t="s">
        <v>663</v>
      </c>
      <c r="G37" t="s">
        <v>104</v>
      </c>
      <c r="H37" s="240">
        <v>48.941000000000003</v>
      </c>
      <c r="I37" s="240">
        <v>0.1761876</v>
      </c>
      <c r="J37" s="240">
        <v>0</v>
      </c>
      <c r="K37" s="240">
        <v>39.642210000000006</v>
      </c>
      <c r="L37" s="240">
        <v>4.4046900000000004</v>
      </c>
    </row>
    <row r="38" spans="1:12">
      <c r="A38" t="s">
        <v>655</v>
      </c>
      <c r="B38" t="s">
        <v>697</v>
      </c>
      <c r="C38" t="s">
        <v>665</v>
      </c>
      <c r="D38" t="s">
        <v>668</v>
      </c>
      <c r="E38" t="s">
        <v>666</v>
      </c>
      <c r="F38" t="s">
        <v>670</v>
      </c>
      <c r="G38" t="s">
        <v>695</v>
      </c>
      <c r="H38" s="240">
        <v>0</v>
      </c>
      <c r="I38" s="240">
        <v>0</v>
      </c>
      <c r="J38" s="240">
        <v>0</v>
      </c>
      <c r="K38" s="240">
        <v>0</v>
      </c>
      <c r="L38" s="240">
        <v>0</v>
      </c>
    </row>
    <row r="39" spans="1:12">
      <c r="A39" t="s">
        <v>655</v>
      </c>
      <c r="B39" t="s">
        <v>697</v>
      </c>
      <c r="C39" t="s">
        <v>665</v>
      </c>
      <c r="D39" t="s">
        <v>668</v>
      </c>
      <c r="E39" t="s">
        <v>666</v>
      </c>
      <c r="G39" t="s">
        <v>686</v>
      </c>
      <c r="H39" s="240">
        <v>0</v>
      </c>
      <c r="I39" s="240">
        <v>0</v>
      </c>
      <c r="J39" s="240">
        <v>0</v>
      </c>
      <c r="K39" s="240">
        <v>0</v>
      </c>
      <c r="L39" s="240">
        <v>0</v>
      </c>
    </row>
    <row r="40" spans="1:12">
      <c r="A40" t="s">
        <v>655</v>
      </c>
      <c r="B40" t="s">
        <v>698</v>
      </c>
      <c r="C40" t="s">
        <v>661</v>
      </c>
      <c r="D40" t="s">
        <v>155</v>
      </c>
      <c r="E40" t="s">
        <v>662</v>
      </c>
      <c r="F40" t="s">
        <v>663</v>
      </c>
      <c r="G40" t="s">
        <v>104</v>
      </c>
      <c r="H40" s="240">
        <v>0</v>
      </c>
      <c r="I40" s="240">
        <v>0</v>
      </c>
      <c r="J40" s="240">
        <v>0</v>
      </c>
      <c r="K40" s="240">
        <v>0</v>
      </c>
      <c r="L40" s="240">
        <v>0</v>
      </c>
    </row>
    <row r="41" spans="1:12">
      <c r="A41" t="s">
        <v>655</v>
      </c>
      <c r="B41" t="s">
        <v>699</v>
      </c>
      <c r="C41" t="s">
        <v>661</v>
      </c>
      <c r="D41" t="s">
        <v>155</v>
      </c>
      <c r="E41" t="s">
        <v>662</v>
      </c>
      <c r="F41" t="s">
        <v>663</v>
      </c>
      <c r="G41" t="s">
        <v>104</v>
      </c>
      <c r="H41" s="240">
        <v>0</v>
      </c>
      <c r="I41" s="240">
        <v>0</v>
      </c>
      <c r="J41" s="240">
        <v>0</v>
      </c>
      <c r="K41" s="240">
        <v>0</v>
      </c>
      <c r="L41" s="240">
        <v>0</v>
      </c>
    </row>
    <row r="42" spans="1:12">
      <c r="A42" t="s">
        <v>655</v>
      </c>
      <c r="B42" t="s">
        <v>700</v>
      </c>
      <c r="C42" t="s">
        <v>661</v>
      </c>
      <c r="D42" t="s">
        <v>155</v>
      </c>
      <c r="E42" t="s">
        <v>662</v>
      </c>
      <c r="F42" t="s">
        <v>663</v>
      </c>
      <c r="G42" t="s">
        <v>104</v>
      </c>
      <c r="H42" s="240">
        <v>43090.295699999995</v>
      </c>
      <c r="I42" s="240">
        <v>155.12506451999997</v>
      </c>
      <c r="J42" s="240">
        <v>0</v>
      </c>
      <c r="K42" s="240">
        <v>34903.139516999996</v>
      </c>
      <c r="L42" s="240">
        <v>5170.8354839999993</v>
      </c>
    </row>
    <row r="43" spans="1:12">
      <c r="A43" t="s">
        <v>655</v>
      </c>
      <c r="B43" t="s">
        <v>701</v>
      </c>
      <c r="C43" t="s">
        <v>661</v>
      </c>
      <c r="D43" t="s">
        <v>155</v>
      </c>
      <c r="E43" t="s">
        <v>662</v>
      </c>
      <c r="F43" t="s">
        <v>663</v>
      </c>
      <c r="G43" t="s">
        <v>104</v>
      </c>
      <c r="H43" s="240">
        <v>0</v>
      </c>
      <c r="I43" s="240">
        <v>0</v>
      </c>
      <c r="J43" s="240">
        <v>0</v>
      </c>
      <c r="K43" s="240">
        <v>0</v>
      </c>
      <c r="L43" s="240">
        <v>0</v>
      </c>
    </row>
    <row r="44" spans="1:12">
      <c r="A44" t="s">
        <v>655</v>
      </c>
      <c r="B44" t="s">
        <v>702</v>
      </c>
      <c r="C44" t="s">
        <v>661</v>
      </c>
      <c r="D44" t="s">
        <v>155</v>
      </c>
      <c r="E44" t="s">
        <v>662</v>
      </c>
      <c r="F44" t="s">
        <v>663</v>
      </c>
      <c r="G44" t="s">
        <v>104</v>
      </c>
      <c r="H44" s="240">
        <v>0</v>
      </c>
      <c r="I44" s="240">
        <v>0</v>
      </c>
      <c r="J44" s="240">
        <v>0</v>
      </c>
      <c r="K44" s="240">
        <v>0</v>
      </c>
      <c r="L44" s="240">
        <v>0</v>
      </c>
    </row>
    <row r="45" spans="1:12">
      <c r="A45" t="s">
        <v>655</v>
      </c>
      <c r="B45" t="s">
        <v>703</v>
      </c>
      <c r="C45" t="s">
        <v>661</v>
      </c>
      <c r="D45" t="s">
        <v>155</v>
      </c>
      <c r="E45" t="s">
        <v>662</v>
      </c>
      <c r="F45" t="s">
        <v>663</v>
      </c>
      <c r="G45" t="s">
        <v>104</v>
      </c>
      <c r="H45" s="240">
        <v>0</v>
      </c>
      <c r="I45" s="240">
        <v>0</v>
      </c>
      <c r="J45" s="240">
        <v>0</v>
      </c>
      <c r="K45" s="240">
        <v>0</v>
      </c>
      <c r="L45" s="240">
        <v>0</v>
      </c>
    </row>
    <row r="46" spans="1:12">
      <c r="A46" t="s">
        <v>655</v>
      </c>
      <c r="B46" t="s">
        <v>704</v>
      </c>
      <c r="C46" t="s">
        <v>661</v>
      </c>
      <c r="D46" t="s">
        <v>155</v>
      </c>
      <c r="E46" t="s">
        <v>662</v>
      </c>
      <c r="F46" t="s">
        <v>663</v>
      </c>
      <c r="G46" t="s">
        <v>104</v>
      </c>
      <c r="H46" s="240">
        <v>28456.728200000001</v>
      </c>
      <c r="I46" s="240">
        <v>102.44422152</v>
      </c>
      <c r="J46" s="240">
        <v>0</v>
      </c>
      <c r="K46" s="240">
        <v>19350.575176000002</v>
      </c>
      <c r="L46" s="240">
        <v>569.13456400000007</v>
      </c>
    </row>
    <row r="47" spans="1:12">
      <c r="A47" t="s">
        <v>655</v>
      </c>
      <c r="B47" t="s">
        <v>705</v>
      </c>
      <c r="C47" t="s">
        <v>155</v>
      </c>
      <c r="D47" t="s">
        <v>656</v>
      </c>
      <c r="E47" t="s">
        <v>657</v>
      </c>
      <c r="F47" t="s">
        <v>658</v>
      </c>
      <c r="G47" t="s">
        <v>686</v>
      </c>
      <c r="H47" s="240">
        <v>56.253999999999998</v>
      </c>
      <c r="I47" s="240">
        <v>2171.4043999999999</v>
      </c>
      <c r="J47" s="240">
        <v>152432.58888</v>
      </c>
      <c r="K47" s="240">
        <v>0</v>
      </c>
      <c r="L47" s="240">
        <v>7817.05584</v>
      </c>
    </row>
    <row r="48" spans="1:12">
      <c r="A48" t="s">
        <v>655</v>
      </c>
      <c r="B48" t="s">
        <v>705</v>
      </c>
      <c r="C48" t="s">
        <v>661</v>
      </c>
      <c r="D48" t="s">
        <v>155</v>
      </c>
      <c r="E48" t="s">
        <v>662</v>
      </c>
      <c r="F48" t="s">
        <v>663</v>
      </c>
      <c r="G48" t="s">
        <v>104</v>
      </c>
      <c r="H48" s="240">
        <v>40063690.008000001</v>
      </c>
      <c r="I48" s="240">
        <v>144229.2840288</v>
      </c>
      <c r="J48" s="240">
        <v>0</v>
      </c>
      <c r="K48" s="240">
        <v>32451588.906480003</v>
      </c>
      <c r="L48" s="240">
        <v>3605732.10072</v>
      </c>
    </row>
    <row r="49" spans="1:12">
      <c r="A49" t="s">
        <v>655</v>
      </c>
      <c r="B49" t="s">
        <v>706</v>
      </c>
      <c r="C49" t="s">
        <v>155</v>
      </c>
      <c r="D49" t="s">
        <v>656</v>
      </c>
      <c r="E49" t="s">
        <v>657</v>
      </c>
      <c r="F49" t="s">
        <v>658</v>
      </c>
      <c r="G49" t="s">
        <v>686</v>
      </c>
      <c r="H49" s="240">
        <v>9.9307329871008392</v>
      </c>
      <c r="I49" s="240">
        <v>383.32629330209238</v>
      </c>
      <c r="J49" s="240">
        <v>26909.505789806884</v>
      </c>
      <c r="K49" s="240">
        <v>0</v>
      </c>
      <c r="L49" s="240">
        <v>1379.9746558875327</v>
      </c>
    </row>
    <row r="50" spans="1:12">
      <c r="A50" t="s">
        <v>655</v>
      </c>
      <c r="B50" t="s">
        <v>706</v>
      </c>
      <c r="C50" t="s">
        <v>155</v>
      </c>
      <c r="D50" t="s">
        <v>659</v>
      </c>
      <c r="E50" t="s">
        <v>657</v>
      </c>
      <c r="F50" t="s">
        <v>658</v>
      </c>
      <c r="G50" t="s">
        <v>686</v>
      </c>
      <c r="H50" s="240">
        <v>0</v>
      </c>
      <c r="I50" s="240">
        <v>0</v>
      </c>
      <c r="J50" s="240">
        <v>0</v>
      </c>
      <c r="K50" s="240">
        <v>0</v>
      </c>
      <c r="L50" s="240">
        <v>0</v>
      </c>
    </row>
    <row r="51" spans="1:12">
      <c r="A51" t="s">
        <v>655</v>
      </c>
      <c r="B51" t="s">
        <v>706</v>
      </c>
      <c r="C51" t="s">
        <v>155</v>
      </c>
      <c r="D51" t="s">
        <v>660</v>
      </c>
      <c r="E51" t="s">
        <v>657</v>
      </c>
      <c r="F51" t="s">
        <v>658</v>
      </c>
      <c r="G51" t="s">
        <v>686</v>
      </c>
      <c r="H51" s="240">
        <v>0</v>
      </c>
      <c r="I51" s="240">
        <v>0</v>
      </c>
      <c r="J51" s="240">
        <v>0</v>
      </c>
      <c r="K51" s="240">
        <v>0</v>
      </c>
      <c r="L51" s="240">
        <v>0</v>
      </c>
    </row>
    <row r="52" spans="1:12">
      <c r="A52" t="s">
        <v>655</v>
      </c>
      <c r="B52" t="s">
        <v>706</v>
      </c>
      <c r="C52" t="s">
        <v>661</v>
      </c>
      <c r="D52" t="s">
        <v>155</v>
      </c>
      <c r="E52" t="s">
        <v>662</v>
      </c>
      <c r="F52" t="s">
        <v>663</v>
      </c>
      <c r="G52" t="s">
        <v>104</v>
      </c>
      <c r="H52" s="240">
        <v>33084385.025721099</v>
      </c>
      <c r="I52" s="240">
        <v>119103.78609259595</v>
      </c>
      <c r="J52" s="240">
        <v>0</v>
      </c>
      <c r="K52" s="240">
        <v>26798351.870834094</v>
      </c>
      <c r="L52" s="240">
        <v>2977594.652314899</v>
      </c>
    </row>
    <row r="53" spans="1:12">
      <c r="A53" t="s">
        <v>655</v>
      </c>
      <c r="B53" t="s">
        <v>706</v>
      </c>
      <c r="C53" t="s">
        <v>661</v>
      </c>
      <c r="D53" t="s">
        <v>664</v>
      </c>
      <c r="E53" t="s">
        <v>662</v>
      </c>
      <c r="F53" t="s">
        <v>663</v>
      </c>
      <c r="G53" t="s">
        <v>686</v>
      </c>
      <c r="H53" s="240">
        <v>55930.706000000006</v>
      </c>
      <c r="I53" s="240">
        <v>201.35054160000001</v>
      </c>
      <c r="J53" s="240">
        <v>0</v>
      </c>
      <c r="K53" s="240">
        <v>0</v>
      </c>
      <c r="L53" s="240">
        <v>0</v>
      </c>
    </row>
    <row r="54" spans="1:12">
      <c r="A54" t="s">
        <v>655</v>
      </c>
      <c r="B54" t="s">
        <v>706</v>
      </c>
      <c r="C54" t="s">
        <v>665</v>
      </c>
      <c r="D54" t="s">
        <v>656</v>
      </c>
      <c r="E54" t="s">
        <v>666</v>
      </c>
      <c r="F54" t="s">
        <v>658</v>
      </c>
      <c r="G54" t="s">
        <v>686</v>
      </c>
      <c r="H54" s="240">
        <v>22.742790400000001</v>
      </c>
      <c r="I54" s="240">
        <v>877.8717094399999</v>
      </c>
      <c r="J54" s="240">
        <v>61112.719922687989</v>
      </c>
      <c r="K54" s="240">
        <v>0</v>
      </c>
      <c r="L54" s="240">
        <v>3160.3381539839997</v>
      </c>
    </row>
    <row r="55" spans="1:12">
      <c r="A55" t="s">
        <v>655</v>
      </c>
      <c r="B55" t="s">
        <v>706</v>
      </c>
      <c r="C55" t="s">
        <v>665</v>
      </c>
      <c r="D55" t="s">
        <v>659</v>
      </c>
      <c r="E55" t="s">
        <v>666</v>
      </c>
      <c r="F55" t="s">
        <v>658</v>
      </c>
      <c r="G55" t="s">
        <v>686</v>
      </c>
      <c r="H55" s="240">
        <v>0.47476020000000002</v>
      </c>
      <c r="I55" s="240">
        <v>16.236798840000002</v>
      </c>
      <c r="J55" s="240">
        <v>1100.8549613520004</v>
      </c>
      <c r="K55" s="240">
        <v>0</v>
      </c>
      <c r="L55" s="240">
        <v>58.452475824000011</v>
      </c>
    </row>
    <row r="56" spans="1:12">
      <c r="A56" t="s">
        <v>655</v>
      </c>
      <c r="B56" t="s">
        <v>706</v>
      </c>
      <c r="C56" t="s">
        <v>665</v>
      </c>
      <c r="D56" t="s">
        <v>660</v>
      </c>
      <c r="E56" t="s">
        <v>666</v>
      </c>
      <c r="F56" t="s">
        <v>658</v>
      </c>
      <c r="G56" t="s">
        <v>686</v>
      </c>
      <c r="H56" s="240">
        <v>0</v>
      </c>
      <c r="I56" s="240">
        <v>0</v>
      </c>
      <c r="J56" s="240">
        <v>0</v>
      </c>
      <c r="K56" s="240">
        <v>0</v>
      </c>
      <c r="L56" s="240">
        <v>0</v>
      </c>
    </row>
    <row r="57" spans="1:12">
      <c r="A57" t="s">
        <v>655</v>
      </c>
      <c r="B57" t="s">
        <v>706</v>
      </c>
      <c r="C57" t="s">
        <v>671</v>
      </c>
      <c r="D57" t="s">
        <v>656</v>
      </c>
      <c r="E57" t="s">
        <v>672</v>
      </c>
      <c r="F57" t="s">
        <v>658</v>
      </c>
      <c r="G57" t="s">
        <v>695</v>
      </c>
      <c r="H57" s="240">
        <v>145.77691000000002</v>
      </c>
      <c r="I57" s="240">
        <v>5626.9887260000005</v>
      </c>
      <c r="J57" s="240">
        <v>396196.27619766007</v>
      </c>
      <c r="K57" s="240">
        <v>0</v>
      </c>
      <c r="L57" s="240">
        <v>20257.159413600002</v>
      </c>
    </row>
    <row r="58" spans="1:12">
      <c r="A58" t="s">
        <v>655</v>
      </c>
      <c r="B58" t="s">
        <v>706</v>
      </c>
      <c r="C58" t="s">
        <v>671</v>
      </c>
      <c r="D58" t="s">
        <v>656</v>
      </c>
      <c r="E58" t="s">
        <v>672</v>
      </c>
      <c r="G58" t="s">
        <v>686</v>
      </c>
      <c r="H58" s="240">
        <v>0</v>
      </c>
      <c r="I58" s="240">
        <v>0</v>
      </c>
      <c r="J58" s="240">
        <v>0</v>
      </c>
      <c r="K58" s="240">
        <v>0</v>
      </c>
      <c r="L58" s="240">
        <v>0</v>
      </c>
    </row>
    <row r="59" spans="1:12">
      <c r="A59" t="s">
        <v>655</v>
      </c>
      <c r="B59" t="s">
        <v>706</v>
      </c>
      <c r="C59" t="s">
        <v>671</v>
      </c>
      <c r="D59" t="s">
        <v>667</v>
      </c>
      <c r="E59" t="s">
        <v>672</v>
      </c>
      <c r="F59" t="s">
        <v>658</v>
      </c>
      <c r="G59" t="s">
        <v>695</v>
      </c>
      <c r="H59" s="240">
        <v>0.34324199999999994</v>
      </c>
      <c r="I59" s="240">
        <v>8.0318627999999972</v>
      </c>
      <c r="J59" s="240">
        <v>3.2127451199999992</v>
      </c>
      <c r="K59" s="240">
        <v>0</v>
      </c>
      <c r="L59" s="240">
        <v>0</v>
      </c>
    </row>
    <row r="60" spans="1:12">
      <c r="A60" t="s">
        <v>655</v>
      </c>
      <c r="B60" t="s">
        <v>706</v>
      </c>
      <c r="C60" t="s">
        <v>671</v>
      </c>
      <c r="D60" t="s">
        <v>659</v>
      </c>
      <c r="E60" t="s">
        <v>672</v>
      </c>
      <c r="F60" t="s">
        <v>658</v>
      </c>
      <c r="G60" t="s">
        <v>695</v>
      </c>
      <c r="H60" s="240">
        <v>10.671328000000001</v>
      </c>
      <c r="I60" s="240">
        <v>364.95941760000005</v>
      </c>
      <c r="J60" s="240">
        <v>24678.555818112007</v>
      </c>
      <c r="K60" s="240">
        <v>0</v>
      </c>
      <c r="L60" s="240">
        <v>1313.8539033600002</v>
      </c>
    </row>
    <row r="61" spans="1:12">
      <c r="A61" t="s">
        <v>655</v>
      </c>
      <c r="B61" t="s">
        <v>706</v>
      </c>
      <c r="C61" t="s">
        <v>671</v>
      </c>
      <c r="D61" t="s">
        <v>659</v>
      </c>
      <c r="E61" t="s">
        <v>672</v>
      </c>
      <c r="G61" t="s">
        <v>686</v>
      </c>
      <c r="H61" s="240">
        <v>1.209829</v>
      </c>
      <c r="I61" s="240">
        <v>41.376151800000002</v>
      </c>
      <c r="J61" s="240">
        <v>2797.8553847160006</v>
      </c>
      <c r="K61" s="240">
        <v>0</v>
      </c>
      <c r="L61" s="240">
        <v>148.95414648000002</v>
      </c>
    </row>
    <row r="62" spans="1:12">
      <c r="A62" t="s">
        <v>655</v>
      </c>
      <c r="B62" t="s">
        <v>707</v>
      </c>
      <c r="C62" t="s">
        <v>155</v>
      </c>
      <c r="D62" t="s">
        <v>656</v>
      </c>
      <c r="E62" t="s">
        <v>657</v>
      </c>
      <c r="F62" t="s">
        <v>658</v>
      </c>
      <c r="G62" t="s">
        <v>686</v>
      </c>
      <c r="H62" s="240">
        <v>451.15084051097512</v>
      </c>
      <c r="I62" s="240">
        <v>17414.422443723641</v>
      </c>
      <c r="J62" s="240">
        <v>1222492.4555493996</v>
      </c>
      <c r="K62" s="240">
        <v>0</v>
      </c>
      <c r="L62" s="240">
        <v>62691.92079740511</v>
      </c>
    </row>
    <row r="63" spans="1:12">
      <c r="A63" t="s">
        <v>655</v>
      </c>
      <c r="B63" t="s">
        <v>707</v>
      </c>
      <c r="C63" t="s">
        <v>155</v>
      </c>
      <c r="D63" t="s">
        <v>659</v>
      </c>
      <c r="E63" t="s">
        <v>657</v>
      </c>
      <c r="F63" t="s">
        <v>658</v>
      </c>
      <c r="G63" t="s">
        <v>686</v>
      </c>
      <c r="H63" s="240">
        <v>0</v>
      </c>
      <c r="I63" s="240">
        <v>0</v>
      </c>
      <c r="J63" s="240">
        <v>0</v>
      </c>
      <c r="K63" s="240">
        <v>0</v>
      </c>
      <c r="L63" s="240">
        <v>0</v>
      </c>
    </row>
    <row r="64" spans="1:12">
      <c r="A64" t="s">
        <v>655</v>
      </c>
      <c r="B64" t="s">
        <v>707</v>
      </c>
      <c r="C64" t="s">
        <v>155</v>
      </c>
      <c r="D64" t="s">
        <v>660</v>
      </c>
      <c r="E64" t="s">
        <v>657</v>
      </c>
      <c r="F64" t="s">
        <v>658</v>
      </c>
      <c r="G64" t="s">
        <v>686</v>
      </c>
      <c r="H64" s="240">
        <v>0</v>
      </c>
      <c r="I64" s="240">
        <v>0</v>
      </c>
      <c r="J64" s="240">
        <v>0</v>
      </c>
      <c r="K64" s="240">
        <v>0</v>
      </c>
      <c r="L64" s="240">
        <v>0</v>
      </c>
    </row>
    <row r="65" spans="1:12">
      <c r="A65" t="s">
        <v>655</v>
      </c>
      <c r="B65" t="s">
        <v>707</v>
      </c>
      <c r="C65" t="s">
        <v>661</v>
      </c>
      <c r="D65" t="s">
        <v>155</v>
      </c>
      <c r="E65" t="s">
        <v>662</v>
      </c>
      <c r="F65" t="s">
        <v>663</v>
      </c>
      <c r="G65" t="s">
        <v>104</v>
      </c>
      <c r="H65" s="240">
        <v>388244888.6882742</v>
      </c>
      <c r="I65" s="240">
        <v>1397681.5992777871</v>
      </c>
      <c r="J65" s="240">
        <v>0</v>
      </c>
      <c r="K65" s="240">
        <v>314478359.83750212</v>
      </c>
      <c r="L65" s="240">
        <v>34992362.650434673</v>
      </c>
    </row>
    <row r="66" spans="1:12">
      <c r="A66" t="s">
        <v>655</v>
      </c>
      <c r="B66" t="s">
        <v>707</v>
      </c>
      <c r="C66" t="s">
        <v>661</v>
      </c>
      <c r="D66" t="s">
        <v>664</v>
      </c>
      <c r="E66" t="s">
        <v>662</v>
      </c>
      <c r="F66" t="s">
        <v>663</v>
      </c>
      <c r="G66" t="s">
        <v>686</v>
      </c>
      <c r="H66" s="240">
        <v>1014981.8930000027</v>
      </c>
      <c r="I66" s="240">
        <v>3653.9348148000095</v>
      </c>
      <c r="J66" s="240">
        <v>0</v>
      </c>
      <c r="K66" s="240">
        <v>0</v>
      </c>
      <c r="L66" s="240">
        <v>0</v>
      </c>
    </row>
    <row r="67" spans="1:12">
      <c r="A67" t="s">
        <v>655</v>
      </c>
      <c r="B67" t="s">
        <v>707</v>
      </c>
      <c r="C67" t="s">
        <v>665</v>
      </c>
      <c r="D67" t="s">
        <v>656</v>
      </c>
      <c r="E67" t="s">
        <v>666</v>
      </c>
      <c r="F67" t="s">
        <v>658</v>
      </c>
      <c r="G67" t="s">
        <v>695</v>
      </c>
      <c r="H67" s="240">
        <v>3.38618</v>
      </c>
      <c r="I67" s="240">
        <v>130.706548</v>
      </c>
      <c r="J67" s="240">
        <v>9097.1757407999994</v>
      </c>
      <c r="K67" s="240">
        <v>0</v>
      </c>
      <c r="L67" s="240">
        <v>470.54357279999999</v>
      </c>
    </row>
    <row r="68" spans="1:12">
      <c r="A68" t="s">
        <v>655</v>
      </c>
      <c r="B68" t="s">
        <v>707</v>
      </c>
      <c r="C68" t="s">
        <v>665</v>
      </c>
      <c r="D68" t="s">
        <v>656</v>
      </c>
      <c r="E68" t="s">
        <v>666</v>
      </c>
      <c r="G68" t="s">
        <v>686</v>
      </c>
      <c r="H68" s="240">
        <v>592.22479559999999</v>
      </c>
      <c r="I68" s="240">
        <v>22859.87711016</v>
      </c>
      <c r="J68" s="240">
        <v>1591590.659933232</v>
      </c>
      <c r="K68" s="240">
        <v>0</v>
      </c>
      <c r="L68" s="240">
        <v>82295.557596576007</v>
      </c>
    </row>
    <row r="69" spans="1:12">
      <c r="A69" t="s">
        <v>655</v>
      </c>
      <c r="B69" t="s">
        <v>707</v>
      </c>
      <c r="C69" t="s">
        <v>665</v>
      </c>
      <c r="D69" t="s">
        <v>667</v>
      </c>
      <c r="E69" t="s">
        <v>666</v>
      </c>
      <c r="F69" t="s">
        <v>658</v>
      </c>
      <c r="G69" t="s">
        <v>695</v>
      </c>
      <c r="H69" s="240">
        <v>4.7020000000000013E-2</v>
      </c>
      <c r="I69" s="240">
        <v>1.1002680000000002</v>
      </c>
      <c r="J69" s="240">
        <v>76.578652800000015</v>
      </c>
      <c r="K69" s="240">
        <v>0</v>
      </c>
      <c r="L69" s="240">
        <v>0</v>
      </c>
    </row>
    <row r="70" spans="1:12">
      <c r="A70" t="s">
        <v>655</v>
      </c>
      <c r="B70" t="s">
        <v>707</v>
      </c>
      <c r="C70" t="s">
        <v>665</v>
      </c>
      <c r="D70" t="s">
        <v>667</v>
      </c>
      <c r="E70" t="s">
        <v>666</v>
      </c>
      <c r="G70" t="s">
        <v>686</v>
      </c>
      <c r="H70" s="240">
        <v>1.2749999999999999</v>
      </c>
      <c r="I70" s="240">
        <v>29.834999999999997</v>
      </c>
      <c r="J70" s="240">
        <v>2076.5159999999996</v>
      </c>
      <c r="K70" s="240">
        <v>0</v>
      </c>
      <c r="L70" s="240">
        <v>0</v>
      </c>
    </row>
    <row r="71" spans="1:12">
      <c r="A71" t="s">
        <v>655</v>
      </c>
      <c r="B71" t="s">
        <v>707</v>
      </c>
      <c r="C71" t="s">
        <v>665</v>
      </c>
      <c r="D71" t="s">
        <v>659</v>
      </c>
      <c r="E71" t="s">
        <v>666</v>
      </c>
      <c r="F71" t="s">
        <v>658</v>
      </c>
      <c r="G71" t="s">
        <v>686</v>
      </c>
      <c r="H71" s="240">
        <v>22.707838859582399</v>
      </c>
      <c r="I71" s="240">
        <v>776.60808899771814</v>
      </c>
      <c r="J71" s="240">
        <v>52789.521994045288</v>
      </c>
      <c r="K71" s="240">
        <v>0</v>
      </c>
      <c r="L71" s="240">
        <v>2795.7891203917852</v>
      </c>
    </row>
    <row r="72" spans="1:12">
      <c r="A72" t="s">
        <v>655</v>
      </c>
      <c r="B72" t="s">
        <v>707</v>
      </c>
      <c r="C72" t="s">
        <v>665</v>
      </c>
      <c r="D72" t="s">
        <v>660</v>
      </c>
      <c r="E72" t="s">
        <v>666</v>
      </c>
      <c r="F72" t="s">
        <v>658</v>
      </c>
      <c r="G72" t="s">
        <v>686</v>
      </c>
      <c r="H72" s="240">
        <v>0</v>
      </c>
      <c r="I72" s="240">
        <v>0</v>
      </c>
      <c r="J72" s="240">
        <v>0</v>
      </c>
      <c r="K72" s="240">
        <v>0</v>
      </c>
      <c r="L72" s="240">
        <v>0</v>
      </c>
    </row>
    <row r="73" spans="1:12">
      <c r="A73" t="s">
        <v>655</v>
      </c>
      <c r="B73" t="s">
        <v>707</v>
      </c>
      <c r="C73" t="s">
        <v>665</v>
      </c>
      <c r="D73" t="s">
        <v>668</v>
      </c>
      <c r="E73" t="s">
        <v>666</v>
      </c>
      <c r="F73" t="s">
        <v>670</v>
      </c>
      <c r="G73" t="s">
        <v>695</v>
      </c>
      <c r="H73" s="240">
        <v>6097.7156000000004</v>
      </c>
      <c r="I73" s="240">
        <v>6.0977156000000008</v>
      </c>
      <c r="J73" s="240">
        <v>314.21528486800003</v>
      </c>
      <c r="K73" s="240">
        <v>0</v>
      </c>
      <c r="L73" s="240">
        <v>78.050759680000013</v>
      </c>
    </row>
    <row r="74" spans="1:12">
      <c r="A74" t="s">
        <v>655</v>
      </c>
      <c r="B74" t="s">
        <v>707</v>
      </c>
      <c r="C74" t="s">
        <v>665</v>
      </c>
      <c r="D74" t="s">
        <v>668</v>
      </c>
      <c r="E74" t="s">
        <v>666</v>
      </c>
      <c r="G74" t="s">
        <v>686</v>
      </c>
      <c r="H74" s="240">
        <v>1669.8690000000001</v>
      </c>
      <c r="I74" s="240">
        <v>1.6698690000000003</v>
      </c>
      <c r="J74" s="240">
        <v>86.048349570000013</v>
      </c>
      <c r="K74" s="240">
        <v>0</v>
      </c>
      <c r="L74" s="240">
        <v>21.374323200000006</v>
      </c>
    </row>
    <row r="75" spans="1:12">
      <c r="A75" t="s">
        <v>655</v>
      </c>
      <c r="B75" t="s">
        <v>707</v>
      </c>
      <c r="C75" t="s">
        <v>671</v>
      </c>
      <c r="D75" t="s">
        <v>656</v>
      </c>
      <c r="E75" t="s">
        <v>671</v>
      </c>
      <c r="F75" t="s">
        <v>658</v>
      </c>
      <c r="G75" t="s">
        <v>695</v>
      </c>
      <c r="H75" s="240">
        <v>0.75054999999999994</v>
      </c>
      <c r="I75" s="240">
        <v>28.971229999999998</v>
      </c>
      <c r="J75" s="240">
        <v>2039.5745920000002</v>
      </c>
      <c r="K75" s="240">
        <v>0</v>
      </c>
      <c r="L75" s="240">
        <v>104.29642799999999</v>
      </c>
    </row>
    <row r="76" spans="1:12">
      <c r="A76" t="s">
        <v>655</v>
      </c>
      <c r="B76" t="s">
        <v>707</v>
      </c>
      <c r="C76" t="s">
        <v>671</v>
      </c>
      <c r="D76" t="s">
        <v>656</v>
      </c>
      <c r="E76" t="s">
        <v>672</v>
      </c>
      <c r="F76" t="s">
        <v>658</v>
      </c>
      <c r="G76" t="s">
        <v>695</v>
      </c>
      <c r="H76" s="240">
        <v>2643.4545899999998</v>
      </c>
      <c r="I76" s="240">
        <v>102037.34717399999</v>
      </c>
      <c r="J76" s="240">
        <v>7184449.6145213405</v>
      </c>
      <c r="K76" s="240">
        <v>0</v>
      </c>
      <c r="L76" s="240">
        <v>367334.44982639997</v>
      </c>
    </row>
    <row r="77" spans="1:12">
      <c r="A77" t="s">
        <v>655</v>
      </c>
      <c r="B77" t="s">
        <v>707</v>
      </c>
      <c r="C77" t="s">
        <v>671</v>
      </c>
      <c r="D77" t="s">
        <v>656</v>
      </c>
      <c r="E77" t="s">
        <v>672</v>
      </c>
      <c r="G77" t="s">
        <v>686</v>
      </c>
      <c r="H77" s="240">
        <v>9.1600000000000015E-2</v>
      </c>
      <c r="I77" s="240">
        <v>3.5357600000000007</v>
      </c>
      <c r="J77" s="240">
        <v>249.30643760000007</v>
      </c>
      <c r="K77" s="240">
        <v>0</v>
      </c>
      <c r="L77" s="240">
        <v>12.728736000000003</v>
      </c>
    </row>
    <row r="78" spans="1:12">
      <c r="A78" t="s">
        <v>655</v>
      </c>
      <c r="B78" t="s">
        <v>707</v>
      </c>
      <c r="C78" t="s">
        <v>671</v>
      </c>
      <c r="D78" t="s">
        <v>667</v>
      </c>
      <c r="E78" t="s">
        <v>672</v>
      </c>
      <c r="F78" t="s">
        <v>658</v>
      </c>
      <c r="G78" t="s">
        <v>695</v>
      </c>
      <c r="H78" s="240">
        <v>13.911406000000003</v>
      </c>
      <c r="I78" s="240">
        <v>325.52690040000005</v>
      </c>
      <c r="J78" s="240">
        <v>130.21076016000004</v>
      </c>
      <c r="K78" s="240">
        <v>0</v>
      </c>
      <c r="L78" s="240">
        <v>0</v>
      </c>
    </row>
    <row r="79" spans="1:12">
      <c r="A79" t="s">
        <v>655</v>
      </c>
      <c r="B79" t="s">
        <v>707</v>
      </c>
      <c r="C79" t="s">
        <v>671</v>
      </c>
      <c r="D79" t="s">
        <v>659</v>
      </c>
      <c r="E79" t="s">
        <v>672</v>
      </c>
      <c r="F79" t="s">
        <v>658</v>
      </c>
      <c r="G79" t="s">
        <v>695</v>
      </c>
      <c r="H79" s="240">
        <v>237.36921399999997</v>
      </c>
      <c r="I79" s="240">
        <v>8118.0271187999997</v>
      </c>
      <c r="J79" s="240">
        <v>548940.99377325596</v>
      </c>
      <c r="K79" s="240">
        <v>0</v>
      </c>
      <c r="L79" s="240">
        <v>29224.897627679999</v>
      </c>
    </row>
    <row r="80" spans="1:12">
      <c r="A80" t="s">
        <v>655</v>
      </c>
      <c r="B80" t="s">
        <v>707</v>
      </c>
      <c r="C80" t="s">
        <v>671</v>
      </c>
      <c r="D80" t="s">
        <v>659</v>
      </c>
      <c r="E80" t="s">
        <v>672</v>
      </c>
      <c r="G80" t="s">
        <v>686</v>
      </c>
      <c r="H80" s="240">
        <v>3.523282</v>
      </c>
      <c r="I80" s="240">
        <v>120.49624440000001</v>
      </c>
      <c r="J80" s="240">
        <v>8147.9560463280013</v>
      </c>
      <c r="K80" s="240">
        <v>0</v>
      </c>
      <c r="L80" s="240">
        <v>433.78647984000003</v>
      </c>
    </row>
    <row r="81" spans="1:12">
      <c r="A81" t="s">
        <v>655</v>
      </c>
      <c r="B81" t="s">
        <v>707</v>
      </c>
      <c r="C81" t="s">
        <v>671</v>
      </c>
      <c r="D81" t="s">
        <v>660</v>
      </c>
      <c r="E81" t="s">
        <v>672</v>
      </c>
      <c r="F81" t="s">
        <v>658</v>
      </c>
      <c r="G81" t="s">
        <v>695</v>
      </c>
      <c r="H81" s="240">
        <v>0.87494140000000009</v>
      </c>
      <c r="I81" s="240">
        <v>22.923464680000002</v>
      </c>
      <c r="J81" s="240">
        <v>1398.3313454800002</v>
      </c>
      <c r="K81" s="240">
        <v>0</v>
      </c>
      <c r="L81" s="240">
        <v>82.524472848000016</v>
      </c>
    </row>
    <row r="82" spans="1:12">
      <c r="A82" t="s">
        <v>655</v>
      </c>
      <c r="B82" t="s">
        <v>708</v>
      </c>
      <c r="C82" t="s">
        <v>155</v>
      </c>
      <c r="D82" t="s">
        <v>656</v>
      </c>
      <c r="E82" t="s">
        <v>657</v>
      </c>
      <c r="F82" t="s">
        <v>658</v>
      </c>
      <c r="G82" t="s">
        <v>686</v>
      </c>
      <c r="H82" s="240">
        <v>16.273727671357694</v>
      </c>
      <c r="I82" s="240">
        <v>628.16588811440704</v>
      </c>
      <c r="J82" s="240">
        <v>44097.245345631374</v>
      </c>
      <c r="K82" s="240">
        <v>0</v>
      </c>
      <c r="L82" s="240">
        <v>2261.3971972118652</v>
      </c>
    </row>
    <row r="83" spans="1:12">
      <c r="A83" t="s">
        <v>655</v>
      </c>
      <c r="B83" t="s">
        <v>708</v>
      </c>
      <c r="C83" t="s">
        <v>155</v>
      </c>
      <c r="D83" t="s">
        <v>659</v>
      </c>
      <c r="E83" t="s">
        <v>657</v>
      </c>
      <c r="F83" t="s">
        <v>658</v>
      </c>
      <c r="G83" t="s">
        <v>686</v>
      </c>
      <c r="H83" s="240">
        <v>0</v>
      </c>
      <c r="I83" s="240">
        <v>0</v>
      </c>
      <c r="J83" s="240">
        <v>0</v>
      </c>
      <c r="K83" s="240">
        <v>0</v>
      </c>
      <c r="L83" s="240">
        <v>0</v>
      </c>
    </row>
    <row r="84" spans="1:12">
      <c r="A84" t="s">
        <v>655</v>
      </c>
      <c r="B84" t="s">
        <v>708</v>
      </c>
      <c r="C84" t="s">
        <v>155</v>
      </c>
      <c r="D84" t="s">
        <v>660</v>
      </c>
      <c r="E84" t="s">
        <v>657</v>
      </c>
      <c r="F84" t="s">
        <v>658</v>
      </c>
      <c r="G84" t="s">
        <v>686</v>
      </c>
      <c r="H84" s="240">
        <v>0</v>
      </c>
      <c r="I84" s="240">
        <v>0</v>
      </c>
      <c r="J84" s="240">
        <v>0</v>
      </c>
      <c r="K84" s="240">
        <v>0</v>
      </c>
      <c r="L84" s="240">
        <v>0</v>
      </c>
    </row>
    <row r="85" spans="1:12">
      <c r="A85" t="s">
        <v>655</v>
      </c>
      <c r="B85" t="s">
        <v>708</v>
      </c>
      <c r="C85" t="s">
        <v>661</v>
      </c>
      <c r="D85" t="s">
        <v>155</v>
      </c>
      <c r="E85" t="s">
        <v>662</v>
      </c>
      <c r="F85" t="s">
        <v>663</v>
      </c>
      <c r="G85" t="s">
        <v>104</v>
      </c>
      <c r="H85" s="240">
        <v>16938139.665774472</v>
      </c>
      <c r="I85" s="240">
        <v>60977.302796788092</v>
      </c>
      <c r="J85" s="240">
        <v>0</v>
      </c>
      <c r="K85" s="240">
        <v>10501646.592780173</v>
      </c>
      <c r="L85" s="240">
        <v>1185669.7766042131</v>
      </c>
    </row>
    <row r="86" spans="1:12">
      <c r="A86" t="s">
        <v>655</v>
      </c>
      <c r="B86" t="s">
        <v>708</v>
      </c>
      <c r="C86" t="s">
        <v>661</v>
      </c>
      <c r="D86" t="s">
        <v>664</v>
      </c>
      <c r="E86" t="s">
        <v>662</v>
      </c>
      <c r="F86" t="s">
        <v>663</v>
      </c>
      <c r="G86" t="s">
        <v>686</v>
      </c>
      <c r="H86" s="240">
        <v>1491084.953999998</v>
      </c>
      <c r="I86" s="240">
        <v>5367.9058343999932</v>
      </c>
      <c r="J86" s="240">
        <v>0</v>
      </c>
      <c r="K86" s="240">
        <v>0</v>
      </c>
      <c r="L86" s="240">
        <v>0</v>
      </c>
    </row>
    <row r="87" spans="1:12">
      <c r="A87" t="s">
        <v>655</v>
      </c>
      <c r="B87" t="s">
        <v>708</v>
      </c>
      <c r="C87" t="s">
        <v>665</v>
      </c>
      <c r="D87" t="s">
        <v>656</v>
      </c>
      <c r="E87" t="s">
        <v>666</v>
      </c>
      <c r="F87" t="s">
        <v>658</v>
      </c>
      <c r="G87" t="s">
        <v>695</v>
      </c>
      <c r="H87" s="240">
        <v>6.4907999999999992</v>
      </c>
      <c r="I87" s="240">
        <v>250.54487999999998</v>
      </c>
      <c r="J87" s="240">
        <v>17437.923647999996</v>
      </c>
      <c r="K87" s="240">
        <v>0</v>
      </c>
      <c r="L87" s="240">
        <v>901.96156799999994</v>
      </c>
    </row>
    <row r="88" spans="1:12">
      <c r="A88" t="s">
        <v>655</v>
      </c>
      <c r="B88" t="s">
        <v>708</v>
      </c>
      <c r="C88" t="s">
        <v>665</v>
      </c>
      <c r="D88" t="s">
        <v>656</v>
      </c>
      <c r="E88" t="s">
        <v>666</v>
      </c>
      <c r="G88" t="s">
        <v>686</v>
      </c>
      <c r="H88" s="240">
        <v>2.4678002000000001</v>
      </c>
      <c r="I88" s="240">
        <v>95.257087720000001</v>
      </c>
      <c r="J88" s="240">
        <v>6657.6343579439999</v>
      </c>
      <c r="K88" s="240">
        <v>0</v>
      </c>
      <c r="L88" s="240">
        <v>342.925515792</v>
      </c>
    </row>
    <row r="89" spans="1:12">
      <c r="A89" t="s">
        <v>655</v>
      </c>
      <c r="B89" t="s">
        <v>708</v>
      </c>
      <c r="C89" t="s">
        <v>665</v>
      </c>
      <c r="D89" t="s">
        <v>659</v>
      </c>
      <c r="E89" t="s">
        <v>666</v>
      </c>
      <c r="F89" t="s">
        <v>658</v>
      </c>
      <c r="G89" t="s">
        <v>686</v>
      </c>
      <c r="H89" s="240">
        <v>1.4279165</v>
      </c>
      <c r="I89" s="240">
        <v>48.834744300000004</v>
      </c>
      <c r="J89" s="240">
        <v>3310.9956635400008</v>
      </c>
      <c r="K89" s="240">
        <v>0</v>
      </c>
      <c r="L89" s="240">
        <v>175.80507948000002</v>
      </c>
    </row>
    <row r="90" spans="1:12">
      <c r="A90" t="s">
        <v>655</v>
      </c>
      <c r="B90" t="s">
        <v>708</v>
      </c>
      <c r="C90" t="s">
        <v>665</v>
      </c>
      <c r="D90" t="s">
        <v>660</v>
      </c>
      <c r="E90" t="s">
        <v>666</v>
      </c>
      <c r="F90" t="s">
        <v>658</v>
      </c>
      <c r="G90" t="s">
        <v>686</v>
      </c>
      <c r="H90" s="240">
        <v>0</v>
      </c>
      <c r="I90" s="240">
        <v>0</v>
      </c>
      <c r="J90" s="240">
        <v>0</v>
      </c>
      <c r="K90" s="240">
        <v>0</v>
      </c>
      <c r="L90" s="240">
        <v>0</v>
      </c>
    </row>
    <row r="91" spans="1:12">
      <c r="A91" t="s">
        <v>655</v>
      </c>
      <c r="B91" t="s">
        <v>708</v>
      </c>
      <c r="C91" t="s">
        <v>671</v>
      </c>
      <c r="D91" t="s">
        <v>656</v>
      </c>
      <c r="E91" t="s">
        <v>672</v>
      </c>
      <c r="F91" t="s">
        <v>658</v>
      </c>
      <c r="G91" t="s">
        <v>695</v>
      </c>
      <c r="H91" s="240">
        <v>228.71070299999997</v>
      </c>
      <c r="I91" s="240">
        <v>8828.2331357999992</v>
      </c>
      <c r="J91" s="240">
        <v>621595.89509167802</v>
      </c>
      <c r="K91" s="240">
        <v>0</v>
      </c>
      <c r="L91" s="240">
        <v>31781.639288879996</v>
      </c>
    </row>
    <row r="92" spans="1:12">
      <c r="A92" t="s">
        <v>655</v>
      </c>
      <c r="B92" t="s">
        <v>708</v>
      </c>
      <c r="C92" t="s">
        <v>671</v>
      </c>
      <c r="D92" t="s">
        <v>656</v>
      </c>
      <c r="E92" t="s">
        <v>672</v>
      </c>
      <c r="G92" t="s">
        <v>686</v>
      </c>
      <c r="H92" s="240">
        <v>0.45657799999999993</v>
      </c>
      <c r="I92" s="240">
        <v>17.623910799999997</v>
      </c>
      <c r="J92" s="240">
        <v>1242.6619505079998</v>
      </c>
      <c r="K92" s="240">
        <v>0</v>
      </c>
      <c r="L92" s="240">
        <v>63.446078879999995</v>
      </c>
    </row>
    <row r="93" spans="1:12">
      <c r="A93" t="s">
        <v>655</v>
      </c>
      <c r="B93" t="s">
        <v>708</v>
      </c>
      <c r="C93" t="s">
        <v>671</v>
      </c>
      <c r="D93" t="s">
        <v>659</v>
      </c>
      <c r="E93" t="s">
        <v>672</v>
      </c>
      <c r="F93" t="s">
        <v>658</v>
      </c>
      <c r="G93" t="s">
        <v>695</v>
      </c>
      <c r="H93" s="240">
        <v>6.8618399999999999</v>
      </c>
      <c r="I93" s="240">
        <v>234.67492800000002</v>
      </c>
      <c r="J93" s="240">
        <v>15868.718631360003</v>
      </c>
      <c r="K93" s="240">
        <v>0</v>
      </c>
      <c r="L93" s="240">
        <v>844.82974080000008</v>
      </c>
    </row>
    <row r="94" spans="1:12">
      <c r="A94" t="s">
        <v>655</v>
      </c>
      <c r="B94" t="s">
        <v>708</v>
      </c>
      <c r="C94" t="s">
        <v>671</v>
      </c>
      <c r="D94" t="s">
        <v>659</v>
      </c>
      <c r="E94" t="s">
        <v>672</v>
      </c>
      <c r="G94" t="s">
        <v>686</v>
      </c>
      <c r="H94" s="240">
        <v>1.0454600000000001</v>
      </c>
      <c r="I94" s="240">
        <v>35.754732000000004</v>
      </c>
      <c r="J94" s="240">
        <v>2417.7349778400003</v>
      </c>
      <c r="K94" s="240">
        <v>0</v>
      </c>
      <c r="L94" s="240">
        <v>128.71703520000003</v>
      </c>
    </row>
    <row r="95" spans="1:12">
      <c r="A95" t="s">
        <v>655</v>
      </c>
      <c r="B95" t="s">
        <v>709</v>
      </c>
      <c r="C95" t="s">
        <v>155</v>
      </c>
      <c r="D95" t="s">
        <v>656</v>
      </c>
      <c r="E95" t="s">
        <v>657</v>
      </c>
      <c r="F95" t="s">
        <v>658</v>
      </c>
      <c r="G95" t="s">
        <v>686</v>
      </c>
      <c r="H95" s="240">
        <v>123.66688665848372</v>
      </c>
      <c r="I95" s="240">
        <v>4773.5418250174716</v>
      </c>
      <c r="J95" s="240">
        <v>335102.63611622649</v>
      </c>
      <c r="K95" s="240">
        <v>0</v>
      </c>
      <c r="L95" s="240">
        <v>17184.750570062897</v>
      </c>
    </row>
    <row r="96" spans="1:12">
      <c r="A96" t="s">
        <v>655</v>
      </c>
      <c r="B96" t="s">
        <v>709</v>
      </c>
      <c r="C96" t="s">
        <v>155</v>
      </c>
      <c r="D96" t="s">
        <v>659</v>
      </c>
      <c r="E96" t="s">
        <v>657</v>
      </c>
      <c r="F96" t="s">
        <v>658</v>
      </c>
      <c r="G96" t="s">
        <v>686</v>
      </c>
      <c r="H96" s="240">
        <v>0</v>
      </c>
      <c r="I96" s="240">
        <v>0</v>
      </c>
      <c r="J96" s="240">
        <v>0</v>
      </c>
      <c r="K96" s="240">
        <v>0</v>
      </c>
      <c r="L96" s="240">
        <v>0</v>
      </c>
    </row>
    <row r="97" spans="1:12">
      <c r="A97" t="s">
        <v>655</v>
      </c>
      <c r="B97" t="s">
        <v>709</v>
      </c>
      <c r="C97" t="s">
        <v>155</v>
      </c>
      <c r="D97" t="s">
        <v>660</v>
      </c>
      <c r="E97" t="s">
        <v>657</v>
      </c>
      <c r="F97" t="s">
        <v>658</v>
      </c>
      <c r="G97" t="s">
        <v>686</v>
      </c>
      <c r="H97" s="240">
        <v>0</v>
      </c>
      <c r="I97" s="240">
        <v>0</v>
      </c>
      <c r="J97" s="240">
        <v>0</v>
      </c>
      <c r="K97" s="240">
        <v>0</v>
      </c>
      <c r="L97" s="240">
        <v>0</v>
      </c>
    </row>
    <row r="98" spans="1:12">
      <c r="A98" t="s">
        <v>655</v>
      </c>
      <c r="B98" t="s">
        <v>709</v>
      </c>
      <c r="C98" t="s">
        <v>661</v>
      </c>
      <c r="D98" t="s">
        <v>155</v>
      </c>
      <c r="E98" t="s">
        <v>662</v>
      </c>
      <c r="F98" t="s">
        <v>663</v>
      </c>
      <c r="G98" t="s">
        <v>104</v>
      </c>
      <c r="H98" s="240">
        <v>243122782.49992952</v>
      </c>
      <c r="I98" s="240">
        <v>875242.01699974609</v>
      </c>
      <c r="J98" s="240">
        <v>0</v>
      </c>
      <c r="K98" s="240">
        <v>196929453.82494289</v>
      </c>
      <c r="L98" s="240">
        <v>29272720.40951154</v>
      </c>
    </row>
    <row r="99" spans="1:12">
      <c r="A99" t="s">
        <v>655</v>
      </c>
      <c r="B99" t="s">
        <v>709</v>
      </c>
      <c r="C99" t="s">
        <v>661</v>
      </c>
      <c r="D99" t="s">
        <v>664</v>
      </c>
      <c r="E99" t="s">
        <v>662</v>
      </c>
      <c r="F99" t="s">
        <v>663</v>
      </c>
      <c r="G99" t="s">
        <v>686</v>
      </c>
      <c r="H99" s="240">
        <v>2851749.3266666858</v>
      </c>
      <c r="I99" s="240">
        <v>10266.297576000068</v>
      </c>
      <c r="J99" s="240">
        <v>0</v>
      </c>
      <c r="K99" s="240">
        <v>0</v>
      </c>
      <c r="L99" s="240">
        <v>0</v>
      </c>
    </row>
    <row r="100" spans="1:12">
      <c r="A100" t="s">
        <v>655</v>
      </c>
      <c r="B100" t="s">
        <v>709</v>
      </c>
      <c r="C100" t="s">
        <v>665</v>
      </c>
      <c r="D100" t="s">
        <v>656</v>
      </c>
      <c r="E100" t="s">
        <v>666</v>
      </c>
      <c r="F100" t="s">
        <v>658</v>
      </c>
      <c r="G100" t="s">
        <v>695</v>
      </c>
      <c r="H100" s="240">
        <v>65.845309999999998</v>
      </c>
      <c r="I100" s="240">
        <v>2541.6289660000002</v>
      </c>
      <c r="J100" s="240">
        <v>176897.37603360001</v>
      </c>
      <c r="K100" s="240">
        <v>0</v>
      </c>
      <c r="L100" s="240">
        <v>9149.8642776000015</v>
      </c>
    </row>
    <row r="101" spans="1:12">
      <c r="A101" t="s">
        <v>655</v>
      </c>
      <c r="B101" t="s">
        <v>709</v>
      </c>
      <c r="C101" t="s">
        <v>665</v>
      </c>
      <c r="D101" t="s">
        <v>656</v>
      </c>
      <c r="E101" t="s">
        <v>666</v>
      </c>
      <c r="G101" t="s">
        <v>686</v>
      </c>
      <c r="H101" s="240">
        <v>120.5669098</v>
      </c>
      <c r="I101" s="240">
        <v>4653.8827182800005</v>
      </c>
      <c r="J101" s="240">
        <v>324360.90554325597</v>
      </c>
      <c r="K101" s="240">
        <v>0</v>
      </c>
      <c r="L101" s="240">
        <v>16753.977785808001</v>
      </c>
    </row>
    <row r="102" spans="1:12">
      <c r="A102" t="s">
        <v>655</v>
      </c>
      <c r="B102" t="s">
        <v>709</v>
      </c>
      <c r="C102" t="s">
        <v>665</v>
      </c>
      <c r="D102" t="s">
        <v>667</v>
      </c>
      <c r="E102" t="s">
        <v>666</v>
      </c>
      <c r="F102" t="s">
        <v>658</v>
      </c>
      <c r="G102" t="s">
        <v>686</v>
      </c>
      <c r="H102" s="240">
        <v>0</v>
      </c>
      <c r="I102" s="240">
        <v>0</v>
      </c>
      <c r="J102" s="240">
        <v>0</v>
      </c>
      <c r="K102" s="240">
        <v>0</v>
      </c>
      <c r="L102" s="240">
        <v>0</v>
      </c>
    </row>
    <row r="103" spans="1:12">
      <c r="A103" t="s">
        <v>655</v>
      </c>
      <c r="B103" t="s">
        <v>709</v>
      </c>
      <c r="C103" t="s">
        <v>665</v>
      </c>
      <c r="D103" t="s">
        <v>659</v>
      </c>
      <c r="E103" t="s">
        <v>666</v>
      </c>
      <c r="F103" t="s">
        <v>658</v>
      </c>
      <c r="G103" t="s">
        <v>695</v>
      </c>
      <c r="H103" s="240">
        <v>2.1030200000000003</v>
      </c>
      <c r="I103" s="240">
        <v>71.92328400000001</v>
      </c>
      <c r="J103" s="240">
        <v>5005.8605664000006</v>
      </c>
      <c r="K103" s="240">
        <v>0</v>
      </c>
      <c r="L103" s="240">
        <v>258.92382240000006</v>
      </c>
    </row>
    <row r="104" spans="1:12">
      <c r="A104" t="s">
        <v>655</v>
      </c>
      <c r="B104" t="s">
        <v>709</v>
      </c>
      <c r="C104" t="s">
        <v>665</v>
      </c>
      <c r="D104" t="s">
        <v>659</v>
      </c>
      <c r="E104" t="s">
        <v>666</v>
      </c>
      <c r="G104" t="s">
        <v>686</v>
      </c>
      <c r="H104" s="240">
        <v>32.789371720474897</v>
      </c>
      <c r="I104" s="240">
        <v>1121.3965128402415</v>
      </c>
      <c r="J104" s="240">
        <v>76065.464970568384</v>
      </c>
      <c r="K104" s="240">
        <v>0</v>
      </c>
      <c r="L104" s="240">
        <v>4037.0274462248699</v>
      </c>
    </row>
    <row r="105" spans="1:12">
      <c r="A105" t="s">
        <v>655</v>
      </c>
      <c r="B105" t="s">
        <v>709</v>
      </c>
      <c r="C105" t="s">
        <v>665</v>
      </c>
      <c r="D105" t="s">
        <v>660</v>
      </c>
      <c r="E105" t="s">
        <v>666</v>
      </c>
      <c r="F105" t="s">
        <v>658</v>
      </c>
      <c r="G105" t="s">
        <v>686</v>
      </c>
      <c r="H105" s="240">
        <v>0</v>
      </c>
      <c r="I105" s="240">
        <v>0</v>
      </c>
      <c r="J105" s="240">
        <v>0</v>
      </c>
      <c r="K105" s="240">
        <v>0</v>
      </c>
      <c r="L105" s="240">
        <v>0</v>
      </c>
    </row>
    <row r="106" spans="1:12">
      <c r="A106" t="s">
        <v>655</v>
      </c>
      <c r="B106" t="s">
        <v>709</v>
      </c>
      <c r="C106" t="s">
        <v>671</v>
      </c>
      <c r="D106" t="s">
        <v>656</v>
      </c>
      <c r="E106" t="s">
        <v>671</v>
      </c>
      <c r="F106" t="s">
        <v>658</v>
      </c>
      <c r="G106" t="s">
        <v>695</v>
      </c>
      <c r="H106" s="240">
        <v>0.36635590000000001</v>
      </c>
      <c r="I106" s="240">
        <v>14.141337740000001</v>
      </c>
      <c r="J106" s="240">
        <v>995.55017689600015</v>
      </c>
      <c r="K106" s="240">
        <v>0</v>
      </c>
      <c r="L106" s="240">
        <v>50.908815864000005</v>
      </c>
    </row>
    <row r="107" spans="1:12">
      <c r="A107" t="s">
        <v>655</v>
      </c>
      <c r="B107" t="s">
        <v>709</v>
      </c>
      <c r="C107" t="s">
        <v>671</v>
      </c>
      <c r="D107" t="s">
        <v>656</v>
      </c>
      <c r="E107" t="s">
        <v>672</v>
      </c>
      <c r="F107" t="s">
        <v>658</v>
      </c>
      <c r="G107" t="s">
        <v>695</v>
      </c>
      <c r="H107" s="240">
        <v>1782.0954999999999</v>
      </c>
      <c r="I107" s="240">
        <v>68788.886299999998</v>
      </c>
      <c r="J107" s="240">
        <v>4843425.484383001</v>
      </c>
      <c r="K107" s="240">
        <v>0</v>
      </c>
      <c r="L107" s="240">
        <v>247639.99067999999</v>
      </c>
    </row>
    <row r="108" spans="1:12">
      <c r="A108" t="s">
        <v>655</v>
      </c>
      <c r="B108" t="s">
        <v>709</v>
      </c>
      <c r="C108" t="s">
        <v>671</v>
      </c>
      <c r="D108" t="s">
        <v>656</v>
      </c>
      <c r="E108" t="s">
        <v>672</v>
      </c>
      <c r="G108" t="s">
        <v>686</v>
      </c>
      <c r="H108" s="240">
        <v>0.34904000000000002</v>
      </c>
      <c r="I108" s="240">
        <v>13.472944000000002</v>
      </c>
      <c r="J108" s="240">
        <v>949.97728144000018</v>
      </c>
      <c r="K108" s="240">
        <v>0</v>
      </c>
      <c r="L108" s="240">
        <v>48.502598400000011</v>
      </c>
    </row>
    <row r="109" spans="1:12">
      <c r="A109" t="s">
        <v>655</v>
      </c>
      <c r="B109" t="s">
        <v>709</v>
      </c>
      <c r="C109" t="s">
        <v>671</v>
      </c>
      <c r="D109" t="s">
        <v>667</v>
      </c>
      <c r="E109" t="s">
        <v>672</v>
      </c>
      <c r="F109" t="s">
        <v>658</v>
      </c>
      <c r="G109" t="s">
        <v>695</v>
      </c>
      <c r="H109" s="240">
        <v>1.856193</v>
      </c>
      <c r="I109" s="240">
        <v>43.434916199999996</v>
      </c>
      <c r="J109" s="240">
        <v>17.37396648</v>
      </c>
      <c r="K109" s="240">
        <v>0</v>
      </c>
      <c r="L109" s="240">
        <v>0</v>
      </c>
    </row>
    <row r="110" spans="1:12">
      <c r="A110" t="s">
        <v>655</v>
      </c>
      <c r="B110" t="s">
        <v>709</v>
      </c>
      <c r="C110" t="s">
        <v>671</v>
      </c>
      <c r="D110" t="s">
        <v>659</v>
      </c>
      <c r="E110" t="s">
        <v>672</v>
      </c>
      <c r="F110" t="s">
        <v>658</v>
      </c>
      <c r="G110" t="s">
        <v>695</v>
      </c>
      <c r="H110" s="240">
        <v>99.741937000000007</v>
      </c>
      <c r="I110" s="240">
        <v>3411.1742454000005</v>
      </c>
      <c r="J110" s="240">
        <v>230663.60247394803</v>
      </c>
      <c r="K110" s="240">
        <v>0</v>
      </c>
      <c r="L110" s="240">
        <v>12280.227283440003</v>
      </c>
    </row>
    <row r="111" spans="1:12">
      <c r="A111" t="s">
        <v>655</v>
      </c>
      <c r="B111" t="s">
        <v>709</v>
      </c>
      <c r="C111" t="s">
        <v>671</v>
      </c>
      <c r="D111" t="s">
        <v>659</v>
      </c>
      <c r="E111" t="s">
        <v>672</v>
      </c>
      <c r="G111" t="s">
        <v>686</v>
      </c>
      <c r="H111" s="240">
        <v>8.4273975181472274</v>
      </c>
      <c r="I111" s="240">
        <v>288.2169951206352</v>
      </c>
      <c r="J111" s="240">
        <v>19489.233210057355</v>
      </c>
      <c r="K111" s="240">
        <v>0</v>
      </c>
      <c r="L111" s="240">
        <v>1037.5811824342868</v>
      </c>
    </row>
    <row r="112" spans="1:12">
      <c r="A112" t="s">
        <v>655</v>
      </c>
      <c r="B112" t="s">
        <v>709</v>
      </c>
      <c r="C112" t="s">
        <v>671</v>
      </c>
      <c r="D112" t="s">
        <v>660</v>
      </c>
      <c r="E112" t="s">
        <v>672</v>
      </c>
      <c r="F112" t="s">
        <v>658</v>
      </c>
      <c r="G112" t="s">
        <v>695</v>
      </c>
      <c r="H112" s="240">
        <v>0</v>
      </c>
      <c r="I112" s="240">
        <v>0</v>
      </c>
      <c r="J112" s="240">
        <v>0</v>
      </c>
      <c r="K112" s="240">
        <v>0</v>
      </c>
      <c r="L112" s="240">
        <v>0</v>
      </c>
    </row>
    <row r="113" spans="1:12">
      <c r="A113" t="s">
        <v>655</v>
      </c>
      <c r="B113" t="s">
        <v>710</v>
      </c>
      <c r="C113" t="s">
        <v>155</v>
      </c>
      <c r="D113" t="s">
        <v>656</v>
      </c>
      <c r="E113" t="s">
        <v>657</v>
      </c>
      <c r="F113" t="s">
        <v>658</v>
      </c>
      <c r="G113" t="s">
        <v>686</v>
      </c>
      <c r="H113" s="240">
        <v>37.967194291182167</v>
      </c>
      <c r="I113" s="240">
        <v>1465.5336996396318</v>
      </c>
      <c r="J113" s="240">
        <v>102880.46571470215</v>
      </c>
      <c r="K113" s="240">
        <v>0</v>
      </c>
      <c r="L113" s="240">
        <v>5275.9213187026744</v>
      </c>
    </row>
    <row r="114" spans="1:12">
      <c r="A114" t="s">
        <v>655</v>
      </c>
      <c r="B114" t="s">
        <v>710</v>
      </c>
      <c r="C114" t="s">
        <v>155</v>
      </c>
      <c r="D114" t="s">
        <v>659</v>
      </c>
      <c r="E114" t="s">
        <v>657</v>
      </c>
      <c r="F114" t="s">
        <v>658</v>
      </c>
      <c r="G114" t="s">
        <v>686</v>
      </c>
      <c r="H114" s="240">
        <v>0</v>
      </c>
      <c r="I114" s="240">
        <v>0</v>
      </c>
      <c r="J114" s="240">
        <v>0</v>
      </c>
      <c r="K114" s="240">
        <v>0</v>
      </c>
      <c r="L114" s="240">
        <v>0</v>
      </c>
    </row>
    <row r="115" spans="1:12">
      <c r="A115" t="s">
        <v>655</v>
      </c>
      <c r="B115" t="s">
        <v>710</v>
      </c>
      <c r="C115" t="s">
        <v>155</v>
      </c>
      <c r="D115" t="s">
        <v>660</v>
      </c>
      <c r="E115" t="s">
        <v>657</v>
      </c>
      <c r="F115" t="s">
        <v>658</v>
      </c>
      <c r="G115" t="s">
        <v>686</v>
      </c>
      <c r="H115" s="240">
        <v>0</v>
      </c>
      <c r="I115" s="240">
        <v>0</v>
      </c>
      <c r="J115" s="240">
        <v>0</v>
      </c>
      <c r="K115" s="240">
        <v>0</v>
      </c>
      <c r="L115" s="240">
        <v>0</v>
      </c>
    </row>
    <row r="116" spans="1:12">
      <c r="A116" t="s">
        <v>655</v>
      </c>
      <c r="B116" t="s">
        <v>710</v>
      </c>
      <c r="C116" t="s">
        <v>661</v>
      </c>
      <c r="D116" t="s">
        <v>155</v>
      </c>
      <c r="E116" t="s">
        <v>662</v>
      </c>
      <c r="F116" t="s">
        <v>663</v>
      </c>
      <c r="G116" t="s">
        <v>104</v>
      </c>
      <c r="H116" s="240">
        <v>86790304.752420142</v>
      </c>
      <c r="I116" s="240">
        <v>312445.09710871248</v>
      </c>
      <c r="J116" s="240">
        <v>0</v>
      </c>
      <c r="K116" s="240">
        <v>37319831.043540657</v>
      </c>
      <c r="L116" s="240">
        <v>7818212.4509990923</v>
      </c>
    </row>
    <row r="117" spans="1:12">
      <c r="A117" t="s">
        <v>655</v>
      </c>
      <c r="B117" t="s">
        <v>710</v>
      </c>
      <c r="C117" t="s">
        <v>661</v>
      </c>
      <c r="D117" t="s">
        <v>664</v>
      </c>
      <c r="E117" t="s">
        <v>662</v>
      </c>
      <c r="F117" t="s">
        <v>663</v>
      </c>
      <c r="G117" t="s">
        <v>686</v>
      </c>
      <c r="H117" s="240">
        <v>667433.51999999851</v>
      </c>
      <c r="I117" s="240">
        <v>2402.7606719999944</v>
      </c>
      <c r="J117" s="240">
        <v>0</v>
      </c>
      <c r="K117" s="240">
        <v>0</v>
      </c>
      <c r="L117" s="240">
        <v>0</v>
      </c>
    </row>
    <row r="118" spans="1:12">
      <c r="A118" t="s">
        <v>655</v>
      </c>
      <c r="B118" t="s">
        <v>710</v>
      </c>
      <c r="C118" t="s">
        <v>665</v>
      </c>
      <c r="D118" t="s">
        <v>656</v>
      </c>
      <c r="E118" t="s">
        <v>666</v>
      </c>
      <c r="F118" t="s">
        <v>658</v>
      </c>
      <c r="G118" t="s">
        <v>695</v>
      </c>
      <c r="H118" s="240">
        <v>2.8001900000000002</v>
      </c>
      <c r="I118" s="240">
        <v>108.08733400000001</v>
      </c>
      <c r="J118" s="240">
        <v>7522.8784464</v>
      </c>
      <c r="K118" s="240">
        <v>0</v>
      </c>
      <c r="L118" s="240">
        <v>389.11440240000007</v>
      </c>
    </row>
    <row r="119" spans="1:12">
      <c r="A119" t="s">
        <v>655</v>
      </c>
      <c r="B119" t="s">
        <v>710</v>
      </c>
      <c r="C119" t="s">
        <v>665</v>
      </c>
      <c r="D119" t="s">
        <v>656</v>
      </c>
      <c r="E119" t="s">
        <v>666</v>
      </c>
      <c r="G119" t="s">
        <v>686</v>
      </c>
      <c r="H119" s="240">
        <v>22.2844297</v>
      </c>
      <c r="I119" s="240">
        <v>860.17898642</v>
      </c>
      <c r="J119" s="240">
        <v>60099.905286684007</v>
      </c>
      <c r="K119" s="240">
        <v>0</v>
      </c>
      <c r="L119" s="240">
        <v>3096.6443511120005</v>
      </c>
    </row>
    <row r="120" spans="1:12">
      <c r="A120" t="s">
        <v>655</v>
      </c>
      <c r="B120" t="s">
        <v>710</v>
      </c>
      <c r="C120" t="s">
        <v>665</v>
      </c>
      <c r="D120" t="s">
        <v>659</v>
      </c>
      <c r="E120" t="s">
        <v>666</v>
      </c>
      <c r="F120" t="s">
        <v>658</v>
      </c>
      <c r="G120" t="s">
        <v>686</v>
      </c>
      <c r="H120" s="240">
        <v>12.8079298</v>
      </c>
      <c r="I120" s="240">
        <v>438.03119916000009</v>
      </c>
      <c r="J120" s="240">
        <v>29719.076343048011</v>
      </c>
      <c r="K120" s="240">
        <v>0</v>
      </c>
      <c r="L120" s="240">
        <v>1576.9123169760003</v>
      </c>
    </row>
    <row r="121" spans="1:12">
      <c r="A121" t="s">
        <v>655</v>
      </c>
      <c r="B121" t="s">
        <v>710</v>
      </c>
      <c r="C121" t="s">
        <v>665</v>
      </c>
      <c r="D121" t="s">
        <v>660</v>
      </c>
      <c r="E121" t="s">
        <v>666</v>
      </c>
      <c r="F121" t="s">
        <v>658</v>
      </c>
      <c r="G121" t="s">
        <v>686</v>
      </c>
      <c r="H121" s="240">
        <v>0</v>
      </c>
      <c r="I121" s="240">
        <v>0</v>
      </c>
      <c r="J121" s="240">
        <v>0</v>
      </c>
      <c r="K121" s="240">
        <v>0</v>
      </c>
      <c r="L121" s="240">
        <v>0</v>
      </c>
    </row>
    <row r="122" spans="1:12">
      <c r="A122" t="s">
        <v>655</v>
      </c>
      <c r="B122" t="s">
        <v>710</v>
      </c>
      <c r="C122" t="s">
        <v>665</v>
      </c>
      <c r="D122" t="s">
        <v>668</v>
      </c>
      <c r="E122" t="s">
        <v>666</v>
      </c>
      <c r="F122" t="s">
        <v>670</v>
      </c>
      <c r="G122" t="s">
        <v>695</v>
      </c>
      <c r="H122" s="240">
        <v>0</v>
      </c>
      <c r="I122" s="240">
        <v>0</v>
      </c>
      <c r="J122" s="240">
        <v>0</v>
      </c>
      <c r="K122" s="240">
        <v>0</v>
      </c>
      <c r="L122" s="240">
        <v>0</v>
      </c>
    </row>
    <row r="123" spans="1:12">
      <c r="A123" t="s">
        <v>655</v>
      </c>
      <c r="B123" t="s">
        <v>710</v>
      </c>
      <c r="C123" t="s">
        <v>665</v>
      </c>
      <c r="D123" t="s">
        <v>668</v>
      </c>
      <c r="E123" t="s">
        <v>666</v>
      </c>
      <c r="G123" t="s">
        <v>686</v>
      </c>
      <c r="H123" s="240">
        <v>0</v>
      </c>
      <c r="I123" s="240">
        <v>0</v>
      </c>
      <c r="J123" s="240">
        <v>0</v>
      </c>
      <c r="K123" s="240">
        <v>0</v>
      </c>
      <c r="L123" s="240">
        <v>0</v>
      </c>
    </row>
    <row r="124" spans="1:12">
      <c r="A124" t="s">
        <v>655</v>
      </c>
      <c r="B124" t="s">
        <v>710</v>
      </c>
      <c r="C124" t="s">
        <v>671</v>
      </c>
      <c r="D124" t="s">
        <v>656</v>
      </c>
      <c r="E124" t="s">
        <v>671</v>
      </c>
      <c r="F124" t="s">
        <v>658</v>
      </c>
      <c r="G124" t="s">
        <v>695</v>
      </c>
      <c r="H124" s="240">
        <v>1.8733007000000002</v>
      </c>
      <c r="I124" s="240">
        <v>72.309407020000009</v>
      </c>
      <c r="J124" s="240">
        <v>5090.5822542080014</v>
      </c>
      <c r="K124" s="240">
        <v>0</v>
      </c>
      <c r="L124" s="240">
        <v>260.31386527200004</v>
      </c>
    </row>
    <row r="125" spans="1:12">
      <c r="A125" t="s">
        <v>655</v>
      </c>
      <c r="B125" t="s">
        <v>710</v>
      </c>
      <c r="C125" t="s">
        <v>671</v>
      </c>
      <c r="D125" t="s">
        <v>656</v>
      </c>
      <c r="E125" t="s">
        <v>672</v>
      </c>
      <c r="F125" t="s">
        <v>658</v>
      </c>
      <c r="G125" t="s">
        <v>695</v>
      </c>
      <c r="H125" s="240">
        <v>628.02482000000009</v>
      </c>
      <c r="I125" s="240">
        <v>24241.758052000005</v>
      </c>
      <c r="J125" s="240">
        <v>1706862.1844413206</v>
      </c>
      <c r="K125" s="240">
        <v>0</v>
      </c>
      <c r="L125" s="240">
        <v>87270.328987200017</v>
      </c>
    </row>
    <row r="126" spans="1:12">
      <c r="A126" t="s">
        <v>655</v>
      </c>
      <c r="B126" t="s">
        <v>710</v>
      </c>
      <c r="C126" t="s">
        <v>671</v>
      </c>
      <c r="D126" t="s">
        <v>656</v>
      </c>
      <c r="E126" t="s">
        <v>672</v>
      </c>
      <c r="G126" t="s">
        <v>686</v>
      </c>
      <c r="H126" s="240">
        <v>0.314222</v>
      </c>
      <c r="I126" s="240">
        <v>12.1289692</v>
      </c>
      <c r="J126" s="240">
        <v>855.21361829200009</v>
      </c>
      <c r="K126" s="240">
        <v>0</v>
      </c>
      <c r="L126" s="240">
        <v>43.664289119999999</v>
      </c>
    </row>
    <row r="127" spans="1:12">
      <c r="A127" t="s">
        <v>655</v>
      </c>
      <c r="B127" t="s">
        <v>710</v>
      </c>
      <c r="C127" t="s">
        <v>671</v>
      </c>
      <c r="D127" t="s">
        <v>667</v>
      </c>
      <c r="E127" t="s">
        <v>672</v>
      </c>
      <c r="F127" t="s">
        <v>658</v>
      </c>
      <c r="G127" t="s">
        <v>695</v>
      </c>
      <c r="H127" s="240">
        <v>0</v>
      </c>
      <c r="I127" s="240">
        <v>0</v>
      </c>
      <c r="J127" s="240">
        <v>0</v>
      </c>
      <c r="K127" s="240">
        <v>0</v>
      </c>
      <c r="L127" s="240">
        <v>0</v>
      </c>
    </row>
    <row r="128" spans="1:12">
      <c r="A128" t="s">
        <v>655</v>
      </c>
      <c r="B128" t="s">
        <v>710</v>
      </c>
      <c r="C128" t="s">
        <v>671</v>
      </c>
      <c r="D128" t="s">
        <v>659</v>
      </c>
      <c r="E128" t="s">
        <v>672</v>
      </c>
      <c r="F128" t="s">
        <v>658</v>
      </c>
      <c r="G128" t="s">
        <v>695</v>
      </c>
      <c r="H128" s="240">
        <v>49.040910000000004</v>
      </c>
      <c r="I128" s="240">
        <v>1677.1991220000002</v>
      </c>
      <c r="J128" s="240">
        <v>113412.20462964002</v>
      </c>
      <c r="K128" s="240">
        <v>0</v>
      </c>
      <c r="L128" s="240">
        <v>6037.916839200001</v>
      </c>
    </row>
    <row r="129" spans="1:12">
      <c r="A129" t="s">
        <v>655</v>
      </c>
      <c r="B129" t="s">
        <v>710</v>
      </c>
      <c r="C129" t="s">
        <v>671</v>
      </c>
      <c r="D129" t="s">
        <v>659</v>
      </c>
      <c r="E129" t="s">
        <v>672</v>
      </c>
      <c r="G129" t="s">
        <v>686</v>
      </c>
      <c r="H129" s="240">
        <v>1.8659700000000004</v>
      </c>
      <c r="I129" s="240">
        <v>63.816174000000018</v>
      </c>
      <c r="J129" s="240">
        <v>4315.2496858800014</v>
      </c>
      <c r="K129" s="240">
        <v>0</v>
      </c>
      <c r="L129" s="240">
        <v>229.73822640000006</v>
      </c>
    </row>
    <row r="130" spans="1:12">
      <c r="A130" t="s">
        <v>655</v>
      </c>
      <c r="B130" t="s">
        <v>710</v>
      </c>
      <c r="C130" t="s">
        <v>671</v>
      </c>
      <c r="D130" t="s">
        <v>660</v>
      </c>
      <c r="E130" t="s">
        <v>672</v>
      </c>
      <c r="F130" t="s">
        <v>658</v>
      </c>
      <c r="G130" t="s">
        <v>695</v>
      </c>
      <c r="H130" s="240">
        <v>0</v>
      </c>
      <c r="I130" s="240">
        <v>0</v>
      </c>
      <c r="J130" s="240">
        <v>0</v>
      </c>
      <c r="K130" s="240">
        <v>0</v>
      </c>
      <c r="L130" s="240">
        <v>0</v>
      </c>
    </row>
    <row r="131" spans="1:12">
      <c r="A131" t="s">
        <v>655</v>
      </c>
      <c r="B131" t="s">
        <v>711</v>
      </c>
      <c r="C131" t="s">
        <v>155</v>
      </c>
      <c r="D131" t="s">
        <v>656</v>
      </c>
      <c r="E131" t="s">
        <v>657</v>
      </c>
      <c r="F131" t="s">
        <v>658</v>
      </c>
      <c r="G131" t="s">
        <v>686</v>
      </c>
      <c r="H131" s="240">
        <v>20.250371753101401</v>
      </c>
      <c r="I131" s="240">
        <v>781.66434966971406</v>
      </c>
      <c r="J131" s="240">
        <v>54872.837346813933</v>
      </c>
      <c r="K131" s="240">
        <v>0</v>
      </c>
      <c r="L131" s="240">
        <v>2813.9916588109709</v>
      </c>
    </row>
    <row r="132" spans="1:12">
      <c r="A132" t="s">
        <v>655</v>
      </c>
      <c r="B132" t="s">
        <v>711</v>
      </c>
      <c r="C132" t="s">
        <v>155</v>
      </c>
      <c r="D132" t="s">
        <v>659</v>
      </c>
      <c r="E132" t="s">
        <v>657</v>
      </c>
      <c r="F132" t="s">
        <v>658</v>
      </c>
      <c r="G132" t="s">
        <v>686</v>
      </c>
      <c r="H132" s="240">
        <v>0</v>
      </c>
      <c r="I132" s="240">
        <v>0</v>
      </c>
      <c r="J132" s="240">
        <v>0</v>
      </c>
      <c r="K132" s="240">
        <v>0</v>
      </c>
      <c r="L132" s="240">
        <v>0</v>
      </c>
    </row>
    <row r="133" spans="1:12">
      <c r="A133" t="s">
        <v>655</v>
      </c>
      <c r="B133" t="s">
        <v>711</v>
      </c>
      <c r="C133" t="s">
        <v>155</v>
      </c>
      <c r="D133" t="s">
        <v>660</v>
      </c>
      <c r="E133" t="s">
        <v>657</v>
      </c>
      <c r="F133" t="s">
        <v>658</v>
      </c>
      <c r="G133" t="s">
        <v>686</v>
      </c>
      <c r="H133" s="240">
        <v>0</v>
      </c>
      <c r="I133" s="240">
        <v>0</v>
      </c>
      <c r="J133" s="240">
        <v>0</v>
      </c>
      <c r="K133" s="240">
        <v>0</v>
      </c>
      <c r="L133" s="240">
        <v>0</v>
      </c>
    </row>
    <row r="134" spans="1:12">
      <c r="A134" t="s">
        <v>655</v>
      </c>
      <c r="B134" t="s">
        <v>711</v>
      </c>
      <c r="C134" t="s">
        <v>661</v>
      </c>
      <c r="D134" t="s">
        <v>155</v>
      </c>
      <c r="E134" t="s">
        <v>662</v>
      </c>
      <c r="F134" t="s">
        <v>663</v>
      </c>
      <c r="G134" t="s">
        <v>104</v>
      </c>
      <c r="H134" s="240">
        <v>23325996.513430715</v>
      </c>
      <c r="I134" s="240">
        <v>83973.587448350576</v>
      </c>
      <c r="J134" s="240">
        <v>0</v>
      </c>
      <c r="K134" s="240">
        <v>3965419.4072832218</v>
      </c>
      <c r="L134" s="240">
        <v>466519.93026861432</v>
      </c>
    </row>
    <row r="135" spans="1:12">
      <c r="A135" t="s">
        <v>655</v>
      </c>
      <c r="B135" t="s">
        <v>711</v>
      </c>
      <c r="C135" t="s">
        <v>661</v>
      </c>
      <c r="D135" t="s">
        <v>664</v>
      </c>
      <c r="E135" t="s">
        <v>662</v>
      </c>
      <c r="F135" t="s">
        <v>663</v>
      </c>
      <c r="G135" t="s">
        <v>686</v>
      </c>
      <c r="H135" s="240">
        <v>17561.69999999999</v>
      </c>
      <c r="I135" s="240">
        <v>63.222119999999961</v>
      </c>
      <c r="J135" s="240">
        <v>0</v>
      </c>
      <c r="K135" s="240">
        <v>0</v>
      </c>
      <c r="L135" s="240">
        <v>0</v>
      </c>
    </row>
    <row r="136" spans="1:12">
      <c r="A136" t="s">
        <v>655</v>
      </c>
      <c r="B136" t="s">
        <v>711</v>
      </c>
      <c r="C136" t="s">
        <v>665</v>
      </c>
      <c r="D136" t="s">
        <v>656</v>
      </c>
      <c r="E136" t="s">
        <v>666</v>
      </c>
      <c r="F136" t="s">
        <v>658</v>
      </c>
      <c r="G136" t="s">
        <v>695</v>
      </c>
      <c r="H136" s="240">
        <v>2.6652499999999999</v>
      </c>
      <c r="I136" s="240">
        <v>102.87864999999999</v>
      </c>
      <c r="J136" s="240">
        <v>7160.3540399999993</v>
      </c>
      <c r="K136" s="240">
        <v>0</v>
      </c>
      <c r="L136" s="240">
        <v>370.36313999999999</v>
      </c>
    </row>
    <row r="137" spans="1:12">
      <c r="A137" t="s">
        <v>655</v>
      </c>
      <c r="B137" t="s">
        <v>711</v>
      </c>
      <c r="C137" t="s">
        <v>665</v>
      </c>
      <c r="D137" t="s">
        <v>656</v>
      </c>
      <c r="E137" t="s">
        <v>666</v>
      </c>
      <c r="G137" t="s">
        <v>686</v>
      </c>
      <c r="H137" s="240">
        <v>18.874532500000001</v>
      </c>
      <c r="I137" s="240">
        <v>728.55695450000007</v>
      </c>
      <c r="J137" s="240">
        <v>50711.583045899999</v>
      </c>
      <c r="K137" s="240">
        <v>0</v>
      </c>
      <c r="L137" s="240">
        <v>2622.8050362000004</v>
      </c>
    </row>
    <row r="138" spans="1:12">
      <c r="A138" t="s">
        <v>655</v>
      </c>
      <c r="B138" t="s">
        <v>711</v>
      </c>
      <c r="C138" t="s">
        <v>665</v>
      </c>
      <c r="D138" t="s">
        <v>659</v>
      </c>
      <c r="E138" t="s">
        <v>666</v>
      </c>
      <c r="F138" t="s">
        <v>658</v>
      </c>
      <c r="G138" t="s">
        <v>695</v>
      </c>
      <c r="H138" s="240">
        <v>5.8773400000000003E-2</v>
      </c>
      <c r="I138" s="240">
        <v>2.0100502800000002</v>
      </c>
      <c r="J138" s="240">
        <v>139.899499488</v>
      </c>
      <c r="K138" s="240">
        <v>0</v>
      </c>
      <c r="L138" s="240">
        <v>7.2361810080000009</v>
      </c>
    </row>
    <row r="139" spans="1:12">
      <c r="A139" t="s">
        <v>655</v>
      </c>
      <c r="B139" t="s">
        <v>711</v>
      </c>
      <c r="C139" t="s">
        <v>665</v>
      </c>
      <c r="D139" t="s">
        <v>659</v>
      </c>
      <c r="E139" t="s">
        <v>666</v>
      </c>
      <c r="G139" t="s">
        <v>686</v>
      </c>
      <c r="H139" s="240">
        <v>2.3264080169597152</v>
      </c>
      <c r="I139" s="240">
        <v>79.563154180022281</v>
      </c>
      <c r="J139" s="240">
        <v>5420.6679734055106</v>
      </c>
      <c r="K139" s="240">
        <v>0</v>
      </c>
      <c r="L139" s="240">
        <v>286.42735504808019</v>
      </c>
    </row>
    <row r="140" spans="1:12">
      <c r="A140" t="s">
        <v>655</v>
      </c>
      <c r="B140" t="s">
        <v>711</v>
      </c>
      <c r="C140" t="s">
        <v>665</v>
      </c>
      <c r="D140" t="s">
        <v>660</v>
      </c>
      <c r="E140" t="s">
        <v>666</v>
      </c>
      <c r="F140" t="s">
        <v>658</v>
      </c>
      <c r="G140" t="s">
        <v>686</v>
      </c>
      <c r="H140" s="240">
        <v>0</v>
      </c>
      <c r="I140" s="240">
        <v>0</v>
      </c>
      <c r="J140" s="240">
        <v>0</v>
      </c>
      <c r="K140" s="240">
        <v>0</v>
      </c>
      <c r="L140" s="240">
        <v>0</v>
      </c>
    </row>
    <row r="141" spans="1:12">
      <c r="A141" t="s">
        <v>655</v>
      </c>
      <c r="B141" t="s">
        <v>711</v>
      </c>
      <c r="C141" t="s">
        <v>671</v>
      </c>
      <c r="D141" t="s">
        <v>656</v>
      </c>
      <c r="E141" t="s">
        <v>671</v>
      </c>
      <c r="F141" t="s">
        <v>658</v>
      </c>
      <c r="G141" t="s">
        <v>695</v>
      </c>
      <c r="H141" s="240">
        <v>6.7170000000000007E-2</v>
      </c>
      <c r="I141" s="240">
        <v>2.5927620000000005</v>
      </c>
      <c r="J141" s="240">
        <v>182.53044480000005</v>
      </c>
      <c r="K141" s="240">
        <v>0</v>
      </c>
      <c r="L141" s="240">
        <v>9.333943200000002</v>
      </c>
    </row>
    <row r="142" spans="1:12">
      <c r="A142" t="s">
        <v>655</v>
      </c>
      <c r="B142" t="s">
        <v>711</v>
      </c>
      <c r="C142" t="s">
        <v>671</v>
      </c>
      <c r="D142" t="s">
        <v>656</v>
      </c>
      <c r="E142" t="s">
        <v>672</v>
      </c>
      <c r="F142" t="s">
        <v>658</v>
      </c>
      <c r="G142" t="s">
        <v>695</v>
      </c>
      <c r="H142" s="240">
        <v>320.18827000000005</v>
      </c>
      <c r="I142" s="240">
        <v>12359.267222000002</v>
      </c>
      <c r="J142" s="240">
        <v>870216.00510102033</v>
      </c>
      <c r="K142" s="240">
        <v>0</v>
      </c>
      <c r="L142" s="240">
        <v>44493.361999200009</v>
      </c>
    </row>
    <row r="143" spans="1:12">
      <c r="A143" t="s">
        <v>655</v>
      </c>
      <c r="B143" t="s">
        <v>711</v>
      </c>
      <c r="C143" t="s">
        <v>671</v>
      </c>
      <c r="D143" t="s">
        <v>656</v>
      </c>
      <c r="E143" t="s">
        <v>672</v>
      </c>
      <c r="G143" t="s">
        <v>686</v>
      </c>
      <c r="H143" s="240">
        <v>0.55135999999999996</v>
      </c>
      <c r="I143" s="240">
        <v>21.282495999999998</v>
      </c>
      <c r="J143" s="240">
        <v>1500.6287929600001</v>
      </c>
      <c r="K143" s="240">
        <v>0</v>
      </c>
      <c r="L143" s="240">
        <v>76.616985599999992</v>
      </c>
    </row>
    <row r="144" spans="1:12">
      <c r="A144" t="s">
        <v>655</v>
      </c>
      <c r="B144" t="s">
        <v>711</v>
      </c>
      <c r="C144" t="s">
        <v>671</v>
      </c>
      <c r="D144" t="s">
        <v>667</v>
      </c>
      <c r="E144" t="s">
        <v>672</v>
      </c>
      <c r="F144" t="s">
        <v>658</v>
      </c>
      <c r="G144" t="s">
        <v>695</v>
      </c>
      <c r="H144" s="240">
        <v>0</v>
      </c>
      <c r="I144" s="240">
        <v>0</v>
      </c>
      <c r="J144" s="240">
        <v>0</v>
      </c>
      <c r="K144" s="240">
        <v>0</v>
      </c>
      <c r="L144" s="240">
        <v>0</v>
      </c>
    </row>
    <row r="145" spans="1:12">
      <c r="A145" t="s">
        <v>655</v>
      </c>
      <c r="B145" t="s">
        <v>711</v>
      </c>
      <c r="C145" t="s">
        <v>671</v>
      </c>
      <c r="D145" t="s">
        <v>659</v>
      </c>
      <c r="E145" t="s">
        <v>672</v>
      </c>
      <c r="F145" t="s">
        <v>658</v>
      </c>
      <c r="G145" t="s">
        <v>695</v>
      </c>
      <c r="H145" s="240">
        <v>22.046290000000003</v>
      </c>
      <c r="I145" s="240">
        <v>753.9831180000001</v>
      </c>
      <c r="J145" s="240">
        <v>50984.338439160012</v>
      </c>
      <c r="K145" s="240">
        <v>0</v>
      </c>
      <c r="L145" s="240">
        <v>2714.3392248000005</v>
      </c>
    </row>
    <row r="146" spans="1:12">
      <c r="A146" t="s">
        <v>655</v>
      </c>
      <c r="B146" t="s">
        <v>711</v>
      </c>
      <c r="C146" t="s">
        <v>671</v>
      </c>
      <c r="D146" t="s">
        <v>659</v>
      </c>
      <c r="E146" t="s">
        <v>672</v>
      </c>
      <c r="G146" t="s">
        <v>686</v>
      </c>
      <c r="H146" s="240">
        <v>3.6508249999999993</v>
      </c>
      <c r="I146" s="240">
        <v>124.85821499999999</v>
      </c>
      <c r="J146" s="240">
        <v>8442.9124983000002</v>
      </c>
      <c r="K146" s="240">
        <v>0</v>
      </c>
      <c r="L146" s="240">
        <v>449.48957399999995</v>
      </c>
    </row>
    <row r="147" spans="1:12">
      <c r="A147" t="s">
        <v>655</v>
      </c>
      <c r="B147" t="s">
        <v>712</v>
      </c>
      <c r="C147" t="s">
        <v>155</v>
      </c>
      <c r="D147" t="s">
        <v>656</v>
      </c>
      <c r="E147" t="s">
        <v>657</v>
      </c>
      <c r="F147" t="s">
        <v>658</v>
      </c>
      <c r="G147" t="s">
        <v>686</v>
      </c>
      <c r="H147" s="240">
        <v>253.1294340335063</v>
      </c>
      <c r="I147" s="240">
        <v>9770.7961536933435</v>
      </c>
      <c r="J147" s="240">
        <v>685909.88998927269</v>
      </c>
      <c r="K147" s="240">
        <v>0</v>
      </c>
      <c r="L147" s="240">
        <v>35174.86615329604</v>
      </c>
    </row>
    <row r="148" spans="1:12">
      <c r="A148" t="s">
        <v>655</v>
      </c>
      <c r="B148" t="s">
        <v>712</v>
      </c>
      <c r="C148" t="s">
        <v>155</v>
      </c>
      <c r="D148" t="s">
        <v>659</v>
      </c>
      <c r="E148" t="s">
        <v>657</v>
      </c>
      <c r="F148" t="s">
        <v>658</v>
      </c>
      <c r="G148" t="s">
        <v>686</v>
      </c>
      <c r="H148" s="240">
        <v>0</v>
      </c>
      <c r="I148" s="240">
        <v>0</v>
      </c>
      <c r="J148" s="240">
        <v>0</v>
      </c>
      <c r="K148" s="240">
        <v>0</v>
      </c>
      <c r="L148" s="240">
        <v>0</v>
      </c>
    </row>
    <row r="149" spans="1:12">
      <c r="A149" t="s">
        <v>655</v>
      </c>
      <c r="B149" t="s">
        <v>712</v>
      </c>
      <c r="C149" t="s">
        <v>155</v>
      </c>
      <c r="D149" t="s">
        <v>660</v>
      </c>
      <c r="E149" t="s">
        <v>657</v>
      </c>
      <c r="F149" t="s">
        <v>658</v>
      </c>
      <c r="G149" t="s">
        <v>686</v>
      </c>
      <c r="H149" s="240">
        <v>0</v>
      </c>
      <c r="I149" s="240">
        <v>0</v>
      </c>
      <c r="J149" s="240">
        <v>0</v>
      </c>
      <c r="K149" s="240">
        <v>0</v>
      </c>
      <c r="L149" s="240">
        <v>0</v>
      </c>
    </row>
    <row r="150" spans="1:12">
      <c r="A150" t="s">
        <v>655</v>
      </c>
      <c r="B150" t="s">
        <v>712</v>
      </c>
      <c r="C150" t="s">
        <v>661</v>
      </c>
      <c r="D150" t="s">
        <v>155</v>
      </c>
      <c r="E150" t="s">
        <v>662</v>
      </c>
      <c r="F150" t="s">
        <v>663</v>
      </c>
      <c r="G150" t="s">
        <v>686</v>
      </c>
      <c r="H150" s="240">
        <v>0</v>
      </c>
      <c r="I150" s="240">
        <v>0</v>
      </c>
      <c r="J150" s="240">
        <v>0</v>
      </c>
      <c r="K150" s="240">
        <v>0</v>
      </c>
      <c r="L150" s="240">
        <v>0</v>
      </c>
    </row>
    <row r="151" spans="1:12">
      <c r="A151" t="s">
        <v>655</v>
      </c>
      <c r="B151" t="s">
        <v>712</v>
      </c>
      <c r="C151" t="s">
        <v>661</v>
      </c>
      <c r="D151" t="s">
        <v>155</v>
      </c>
      <c r="E151" t="s">
        <v>662</v>
      </c>
      <c r="G151" t="s">
        <v>104</v>
      </c>
      <c r="H151" s="240">
        <v>283693742.53981239</v>
      </c>
      <c r="I151" s="240">
        <v>1021297.4731433245</v>
      </c>
      <c r="J151" s="240">
        <v>0</v>
      </c>
      <c r="K151" s="240">
        <v>278019867.68901616</v>
      </c>
      <c r="L151" s="240">
        <v>31219038.119029578</v>
      </c>
    </row>
    <row r="152" spans="1:12">
      <c r="A152" t="s">
        <v>655</v>
      </c>
      <c r="B152" t="s">
        <v>712</v>
      </c>
      <c r="C152" t="s">
        <v>661</v>
      </c>
      <c r="D152" t="s">
        <v>664</v>
      </c>
      <c r="E152" t="s">
        <v>662</v>
      </c>
      <c r="F152" t="s">
        <v>663</v>
      </c>
      <c r="G152" t="s">
        <v>686</v>
      </c>
      <c r="H152" s="240">
        <v>980290.9625599999</v>
      </c>
      <c r="I152" s="240">
        <v>3529.0474652159996</v>
      </c>
      <c r="J152" s="240">
        <v>0</v>
      </c>
      <c r="K152" s="240">
        <v>0</v>
      </c>
      <c r="L152" s="240">
        <v>0</v>
      </c>
    </row>
    <row r="153" spans="1:12">
      <c r="A153" t="s">
        <v>655</v>
      </c>
      <c r="B153" t="s">
        <v>712</v>
      </c>
      <c r="C153" t="s">
        <v>665</v>
      </c>
      <c r="D153" t="s">
        <v>656</v>
      </c>
      <c r="E153" t="s">
        <v>666</v>
      </c>
      <c r="F153" t="s">
        <v>658</v>
      </c>
      <c r="G153" t="s">
        <v>695</v>
      </c>
      <c r="H153" s="240">
        <v>0</v>
      </c>
      <c r="I153" s="240">
        <v>0</v>
      </c>
      <c r="J153" s="240">
        <v>0</v>
      </c>
      <c r="K153" s="240">
        <v>0</v>
      </c>
      <c r="L153" s="240">
        <v>0</v>
      </c>
    </row>
    <row r="154" spans="1:12">
      <c r="A154" t="s">
        <v>655</v>
      </c>
      <c r="B154" t="s">
        <v>712</v>
      </c>
      <c r="C154" t="s">
        <v>665</v>
      </c>
      <c r="D154" t="s">
        <v>656</v>
      </c>
      <c r="E154" t="s">
        <v>666</v>
      </c>
      <c r="G154" t="s">
        <v>686</v>
      </c>
      <c r="H154" s="240">
        <v>256.56938980000001</v>
      </c>
      <c r="I154" s="240">
        <v>9903.5784462800002</v>
      </c>
      <c r="J154" s="240">
        <v>690069.65352885588</v>
      </c>
      <c r="K154" s="240">
        <v>0</v>
      </c>
      <c r="L154" s="240">
        <v>35652.882406607998</v>
      </c>
    </row>
    <row r="155" spans="1:12">
      <c r="A155" t="s">
        <v>655</v>
      </c>
      <c r="B155" t="s">
        <v>712</v>
      </c>
      <c r="C155" t="s">
        <v>665</v>
      </c>
      <c r="D155" t="s">
        <v>667</v>
      </c>
      <c r="E155" t="s">
        <v>666</v>
      </c>
      <c r="F155" t="s">
        <v>658</v>
      </c>
      <c r="G155" t="s">
        <v>686</v>
      </c>
      <c r="H155" s="240">
        <v>0</v>
      </c>
      <c r="I155" s="240">
        <v>0</v>
      </c>
      <c r="J155" s="240">
        <v>0</v>
      </c>
      <c r="K155" s="240">
        <v>0</v>
      </c>
      <c r="L155" s="240">
        <v>0</v>
      </c>
    </row>
    <row r="156" spans="1:12">
      <c r="A156" t="s">
        <v>655</v>
      </c>
      <c r="B156" t="s">
        <v>712</v>
      </c>
      <c r="C156" t="s">
        <v>665</v>
      </c>
      <c r="D156" t="s">
        <v>659</v>
      </c>
      <c r="E156" t="s">
        <v>666</v>
      </c>
      <c r="F156" t="s">
        <v>658</v>
      </c>
      <c r="G156" t="s">
        <v>695</v>
      </c>
      <c r="H156" s="240">
        <v>0.100231</v>
      </c>
      <c r="I156" s="240">
        <v>3.4279002000000003</v>
      </c>
      <c r="J156" s="240">
        <v>238.58185392000001</v>
      </c>
      <c r="K156" s="240">
        <v>0</v>
      </c>
      <c r="L156" s="240">
        <v>12.340440720000002</v>
      </c>
    </row>
    <row r="157" spans="1:12">
      <c r="A157" t="s">
        <v>655</v>
      </c>
      <c r="B157" t="s">
        <v>712</v>
      </c>
      <c r="C157" t="s">
        <v>665</v>
      </c>
      <c r="D157" t="s">
        <v>659</v>
      </c>
      <c r="E157" t="s">
        <v>666</v>
      </c>
      <c r="G157" t="s">
        <v>686</v>
      </c>
      <c r="H157" s="240">
        <v>45.20119044664078</v>
      </c>
      <c r="I157" s="240">
        <v>1545.8807132751149</v>
      </c>
      <c r="J157" s="240">
        <v>105019.7701200528</v>
      </c>
      <c r="K157" s="240">
        <v>0</v>
      </c>
      <c r="L157" s="240">
        <v>5565.1705677904138</v>
      </c>
    </row>
    <row r="158" spans="1:12">
      <c r="A158" t="s">
        <v>655</v>
      </c>
      <c r="B158" t="s">
        <v>712</v>
      </c>
      <c r="C158" t="s">
        <v>665</v>
      </c>
      <c r="D158" t="s">
        <v>660</v>
      </c>
      <c r="E158" t="s">
        <v>666</v>
      </c>
      <c r="F158" t="s">
        <v>658</v>
      </c>
      <c r="G158" t="s">
        <v>686</v>
      </c>
      <c r="H158" s="240">
        <v>0</v>
      </c>
      <c r="I158" s="240">
        <v>0</v>
      </c>
      <c r="J158" s="240">
        <v>0</v>
      </c>
      <c r="K158" s="240">
        <v>0</v>
      </c>
      <c r="L158" s="240">
        <v>0</v>
      </c>
    </row>
    <row r="159" spans="1:12">
      <c r="A159" t="s">
        <v>655</v>
      </c>
      <c r="B159" t="s">
        <v>712</v>
      </c>
      <c r="C159" t="s">
        <v>665</v>
      </c>
      <c r="D159" t="s">
        <v>668</v>
      </c>
      <c r="E159" t="s">
        <v>666</v>
      </c>
      <c r="F159" t="s">
        <v>670</v>
      </c>
      <c r="G159" t="s">
        <v>695</v>
      </c>
      <c r="H159" s="240">
        <v>3409196.9224999994</v>
      </c>
      <c r="I159" s="240">
        <v>3409.1969224999993</v>
      </c>
      <c r="J159" s="240">
        <v>175675.91741642496</v>
      </c>
      <c r="K159" s="240">
        <v>0</v>
      </c>
      <c r="L159" s="240">
        <v>13295.867997749998</v>
      </c>
    </row>
    <row r="160" spans="1:12">
      <c r="A160" t="s">
        <v>655</v>
      </c>
      <c r="B160" t="s">
        <v>712</v>
      </c>
      <c r="C160" t="s">
        <v>665</v>
      </c>
      <c r="D160" t="s">
        <v>668</v>
      </c>
      <c r="E160" t="s">
        <v>666</v>
      </c>
      <c r="G160" t="s">
        <v>686</v>
      </c>
      <c r="H160" s="240">
        <v>1332450.0844000003</v>
      </c>
      <c r="I160" s="240">
        <v>1332.4500844000004</v>
      </c>
      <c r="J160" s="240">
        <v>68661.15284913202</v>
      </c>
      <c r="K160" s="240">
        <v>0</v>
      </c>
      <c r="L160" s="240">
        <v>5196.5553291600017</v>
      </c>
    </row>
    <row r="161" spans="1:12">
      <c r="A161" t="s">
        <v>655</v>
      </c>
      <c r="B161" t="s">
        <v>712</v>
      </c>
      <c r="C161" t="s">
        <v>671</v>
      </c>
      <c r="D161" t="s">
        <v>656</v>
      </c>
      <c r="E161" t="s">
        <v>671</v>
      </c>
      <c r="F161" t="s">
        <v>658</v>
      </c>
      <c r="G161" t="s">
        <v>695</v>
      </c>
      <c r="H161" s="240">
        <v>3.2911149999999996</v>
      </c>
      <c r="I161" s="240">
        <v>127.03703899999999</v>
      </c>
      <c r="J161" s="240">
        <v>8943.407545600001</v>
      </c>
      <c r="K161" s="240">
        <v>0</v>
      </c>
      <c r="L161" s="240">
        <v>457.3333404</v>
      </c>
    </row>
    <row r="162" spans="1:12">
      <c r="A162" t="s">
        <v>655</v>
      </c>
      <c r="B162" t="s">
        <v>712</v>
      </c>
      <c r="C162" t="s">
        <v>671</v>
      </c>
      <c r="D162" t="s">
        <v>656</v>
      </c>
      <c r="E162" t="s">
        <v>672</v>
      </c>
      <c r="F162" t="s">
        <v>658</v>
      </c>
      <c r="G162" t="s">
        <v>695</v>
      </c>
      <c r="H162" s="240">
        <v>1660.22154</v>
      </c>
      <c r="I162" s="240">
        <v>64084.551444000004</v>
      </c>
      <c r="J162" s="240">
        <v>4512193.2671720413</v>
      </c>
      <c r="K162" s="240">
        <v>0</v>
      </c>
      <c r="L162" s="240">
        <v>230704.38519840001</v>
      </c>
    </row>
    <row r="163" spans="1:12">
      <c r="A163" t="s">
        <v>655</v>
      </c>
      <c r="B163" t="s">
        <v>712</v>
      </c>
      <c r="C163" t="s">
        <v>671</v>
      </c>
      <c r="D163" t="s">
        <v>656</v>
      </c>
      <c r="E163" t="s">
        <v>672</v>
      </c>
      <c r="G163" t="s">
        <v>686</v>
      </c>
      <c r="H163" s="240">
        <v>0.23023999999999997</v>
      </c>
      <c r="I163" s="240">
        <v>8.8872640000000001</v>
      </c>
      <c r="J163" s="240">
        <v>626.64098464000006</v>
      </c>
      <c r="K163" s="240">
        <v>0</v>
      </c>
      <c r="L163" s="240">
        <v>31.994150400000002</v>
      </c>
    </row>
    <row r="164" spans="1:12">
      <c r="A164" t="s">
        <v>655</v>
      </c>
      <c r="B164" t="s">
        <v>712</v>
      </c>
      <c r="C164" t="s">
        <v>671</v>
      </c>
      <c r="D164" t="s">
        <v>667</v>
      </c>
      <c r="E164" t="s">
        <v>672</v>
      </c>
      <c r="F164" t="s">
        <v>658</v>
      </c>
      <c r="G164" t="s">
        <v>695</v>
      </c>
      <c r="H164" s="240">
        <v>7.4894000000000002E-2</v>
      </c>
      <c r="I164" s="240">
        <v>1.7525195999999998</v>
      </c>
      <c r="J164" s="240">
        <v>0.70100783999999994</v>
      </c>
      <c r="K164" s="240">
        <v>0</v>
      </c>
      <c r="L164" s="240">
        <v>0</v>
      </c>
    </row>
    <row r="165" spans="1:12">
      <c r="A165" t="s">
        <v>655</v>
      </c>
      <c r="B165" t="s">
        <v>712</v>
      </c>
      <c r="C165" t="s">
        <v>671</v>
      </c>
      <c r="D165" t="s">
        <v>659</v>
      </c>
      <c r="E165" t="s">
        <v>671</v>
      </c>
      <c r="F165" t="s">
        <v>658</v>
      </c>
      <c r="G165" t="s">
        <v>695</v>
      </c>
      <c r="H165" s="240">
        <v>0.245786</v>
      </c>
      <c r="I165" s="240">
        <v>8.4058812000000014</v>
      </c>
      <c r="J165" s="240">
        <v>585.04933152000001</v>
      </c>
      <c r="K165" s="240">
        <v>0</v>
      </c>
      <c r="L165" s="240">
        <v>30.261172320000007</v>
      </c>
    </row>
    <row r="166" spans="1:12">
      <c r="A166" t="s">
        <v>655</v>
      </c>
      <c r="B166" t="s">
        <v>712</v>
      </c>
      <c r="C166" t="s">
        <v>671</v>
      </c>
      <c r="D166" t="s">
        <v>659</v>
      </c>
      <c r="E166" t="s">
        <v>672</v>
      </c>
      <c r="F166" t="s">
        <v>658</v>
      </c>
      <c r="G166" t="s">
        <v>695</v>
      </c>
      <c r="H166" s="240">
        <v>214.70667599999999</v>
      </c>
      <c r="I166" s="240">
        <v>7342.9683192000002</v>
      </c>
      <c r="J166" s="240">
        <v>496531.51774430403</v>
      </c>
      <c r="K166" s="240">
        <v>0</v>
      </c>
      <c r="L166" s="240">
        <v>26434.685949120001</v>
      </c>
    </row>
    <row r="167" spans="1:12">
      <c r="A167" t="s">
        <v>655</v>
      </c>
      <c r="B167" t="s">
        <v>712</v>
      </c>
      <c r="C167" t="s">
        <v>671</v>
      </c>
      <c r="D167" t="s">
        <v>659</v>
      </c>
      <c r="E167" t="s">
        <v>672</v>
      </c>
      <c r="G167" t="s">
        <v>686</v>
      </c>
      <c r="H167" s="240">
        <v>9.5476029999999987</v>
      </c>
      <c r="I167" s="240">
        <v>326.52802259999999</v>
      </c>
      <c r="J167" s="240">
        <v>22079.824888211999</v>
      </c>
      <c r="K167" s="240">
        <v>0</v>
      </c>
      <c r="L167" s="240">
        <v>1175.50088136</v>
      </c>
    </row>
    <row r="168" spans="1:12">
      <c r="A168" t="s">
        <v>655</v>
      </c>
      <c r="B168" t="s">
        <v>712</v>
      </c>
      <c r="C168" t="s">
        <v>671</v>
      </c>
      <c r="D168" t="s">
        <v>660</v>
      </c>
      <c r="E168" t="s">
        <v>672</v>
      </c>
      <c r="F168" t="s">
        <v>658</v>
      </c>
      <c r="G168" t="s">
        <v>695</v>
      </c>
      <c r="H168" s="240">
        <v>0</v>
      </c>
      <c r="I168" s="240">
        <v>0</v>
      </c>
      <c r="J168" s="240">
        <v>0</v>
      </c>
      <c r="K168" s="240">
        <v>0</v>
      </c>
      <c r="L168" s="240">
        <v>0</v>
      </c>
    </row>
    <row r="169" spans="1:12">
      <c r="A169" t="s">
        <v>655</v>
      </c>
      <c r="B169" t="s">
        <v>713</v>
      </c>
      <c r="C169" t="s">
        <v>155</v>
      </c>
      <c r="D169" t="s">
        <v>656</v>
      </c>
      <c r="E169" t="s">
        <v>657</v>
      </c>
      <c r="F169" t="s">
        <v>658</v>
      </c>
      <c r="G169" t="s">
        <v>686</v>
      </c>
      <c r="H169" s="240">
        <v>176.37835832619746</v>
      </c>
      <c r="I169" s="240">
        <v>6808.2046313912224</v>
      </c>
      <c r="J169" s="240">
        <v>477935.96512366383</v>
      </c>
      <c r="K169" s="240">
        <v>0</v>
      </c>
      <c r="L169" s="240">
        <v>24509.536673008402</v>
      </c>
    </row>
    <row r="170" spans="1:12">
      <c r="A170" t="s">
        <v>655</v>
      </c>
      <c r="B170" t="s">
        <v>713</v>
      </c>
      <c r="C170" t="s">
        <v>155</v>
      </c>
      <c r="D170" t="s">
        <v>659</v>
      </c>
      <c r="E170" t="s">
        <v>657</v>
      </c>
      <c r="F170" t="s">
        <v>658</v>
      </c>
      <c r="G170" t="s">
        <v>686</v>
      </c>
      <c r="H170" s="240">
        <v>0</v>
      </c>
      <c r="I170" s="240">
        <v>0</v>
      </c>
      <c r="J170" s="240">
        <v>0</v>
      </c>
      <c r="K170" s="240">
        <v>0</v>
      </c>
      <c r="L170" s="240">
        <v>0</v>
      </c>
    </row>
    <row r="171" spans="1:12">
      <c r="A171" t="s">
        <v>655</v>
      </c>
      <c r="B171" t="s">
        <v>713</v>
      </c>
      <c r="C171" t="s">
        <v>155</v>
      </c>
      <c r="D171" t="s">
        <v>660</v>
      </c>
      <c r="E171" t="s">
        <v>657</v>
      </c>
      <c r="F171" t="s">
        <v>658</v>
      </c>
      <c r="G171" t="s">
        <v>686</v>
      </c>
      <c r="H171" s="240">
        <v>0</v>
      </c>
      <c r="I171" s="240">
        <v>0</v>
      </c>
      <c r="J171" s="240">
        <v>0</v>
      </c>
      <c r="K171" s="240">
        <v>0</v>
      </c>
      <c r="L171" s="240">
        <v>0</v>
      </c>
    </row>
    <row r="172" spans="1:12">
      <c r="A172" t="s">
        <v>655</v>
      </c>
      <c r="B172" t="s">
        <v>713</v>
      </c>
      <c r="C172" t="s">
        <v>661</v>
      </c>
      <c r="D172" t="s">
        <v>155</v>
      </c>
      <c r="E172" t="s">
        <v>662</v>
      </c>
      <c r="F172" t="s">
        <v>663</v>
      </c>
      <c r="G172" t="s">
        <v>104</v>
      </c>
      <c r="H172" s="240">
        <v>128191261.62305762</v>
      </c>
      <c r="I172" s="240">
        <v>461488.54184300744</v>
      </c>
      <c r="J172" s="240">
        <v>0</v>
      </c>
      <c r="K172" s="240">
        <v>87170057.903679192</v>
      </c>
      <c r="L172" s="240">
        <v>2563825.2324611521</v>
      </c>
    </row>
    <row r="173" spans="1:12">
      <c r="A173" t="s">
        <v>655</v>
      </c>
      <c r="B173" t="s">
        <v>713</v>
      </c>
      <c r="C173" t="s">
        <v>661</v>
      </c>
      <c r="D173" t="s">
        <v>664</v>
      </c>
      <c r="E173" t="s">
        <v>662</v>
      </c>
      <c r="F173" t="s">
        <v>663</v>
      </c>
      <c r="G173" t="s">
        <v>686</v>
      </c>
      <c r="H173" s="240">
        <v>3338585.8770000166</v>
      </c>
      <c r="I173" s="240">
        <v>12018.90915720006</v>
      </c>
      <c r="J173" s="240">
        <v>0</v>
      </c>
      <c r="K173" s="240">
        <v>0</v>
      </c>
      <c r="L173" s="240">
        <v>0</v>
      </c>
    </row>
    <row r="174" spans="1:12">
      <c r="A174" t="s">
        <v>655</v>
      </c>
      <c r="B174" t="s">
        <v>713</v>
      </c>
      <c r="C174" t="s">
        <v>665</v>
      </c>
      <c r="D174" t="s">
        <v>656</v>
      </c>
      <c r="E174" t="s">
        <v>666</v>
      </c>
      <c r="F174" t="s">
        <v>658</v>
      </c>
      <c r="G174" t="s">
        <v>695</v>
      </c>
      <c r="H174" s="240">
        <v>13.261990000000001</v>
      </c>
      <c r="I174" s="240">
        <v>511.91281400000003</v>
      </c>
      <c r="J174" s="240">
        <v>35629.131854400002</v>
      </c>
      <c r="K174" s="240">
        <v>0</v>
      </c>
      <c r="L174" s="240">
        <v>1842.8861304000002</v>
      </c>
    </row>
    <row r="175" spans="1:12">
      <c r="A175" t="s">
        <v>655</v>
      </c>
      <c r="B175" t="s">
        <v>713</v>
      </c>
      <c r="C175" t="s">
        <v>665</v>
      </c>
      <c r="D175" t="s">
        <v>656</v>
      </c>
      <c r="E175" t="s">
        <v>666</v>
      </c>
      <c r="G175" t="s">
        <v>686</v>
      </c>
      <c r="H175" s="240">
        <v>85.844300500000003</v>
      </c>
      <c r="I175" s="240">
        <v>3313.5899993000003</v>
      </c>
      <c r="J175" s="240">
        <v>231006.82975085999</v>
      </c>
      <c r="K175" s="240">
        <v>0</v>
      </c>
      <c r="L175" s="240">
        <v>11928.92399748</v>
      </c>
    </row>
    <row r="176" spans="1:12">
      <c r="A176" t="s">
        <v>655</v>
      </c>
      <c r="B176" t="s">
        <v>713</v>
      </c>
      <c r="C176" t="s">
        <v>665</v>
      </c>
      <c r="D176" t="s">
        <v>659</v>
      </c>
      <c r="E176" t="s">
        <v>666</v>
      </c>
      <c r="F176" t="s">
        <v>658</v>
      </c>
      <c r="G176" t="s">
        <v>686</v>
      </c>
      <c r="H176" s="240">
        <v>32.544944394960652</v>
      </c>
      <c r="I176" s="240">
        <v>1113.0370983076543</v>
      </c>
      <c r="J176" s="240">
        <v>75482.814185258976</v>
      </c>
      <c r="K176" s="240">
        <v>0</v>
      </c>
      <c r="L176" s="240">
        <v>4006.9335539075564</v>
      </c>
    </row>
    <row r="177" spans="1:12">
      <c r="A177" t="s">
        <v>655</v>
      </c>
      <c r="B177" t="s">
        <v>713</v>
      </c>
      <c r="C177" t="s">
        <v>665</v>
      </c>
      <c r="D177" t="s">
        <v>660</v>
      </c>
      <c r="E177" t="s">
        <v>666</v>
      </c>
      <c r="F177" t="s">
        <v>658</v>
      </c>
      <c r="G177" t="s">
        <v>686</v>
      </c>
      <c r="H177" s="240">
        <v>0</v>
      </c>
      <c r="I177" s="240">
        <v>0</v>
      </c>
      <c r="J177" s="240">
        <v>0</v>
      </c>
      <c r="K177" s="240">
        <v>0</v>
      </c>
      <c r="L177" s="240">
        <v>0</v>
      </c>
    </row>
    <row r="178" spans="1:12">
      <c r="A178" t="s">
        <v>655</v>
      </c>
      <c r="B178" t="s">
        <v>713</v>
      </c>
      <c r="C178" t="s">
        <v>671</v>
      </c>
      <c r="D178" t="s">
        <v>656</v>
      </c>
      <c r="E178" t="s">
        <v>671</v>
      </c>
      <c r="F178" t="s">
        <v>658</v>
      </c>
      <c r="G178" t="s">
        <v>695</v>
      </c>
      <c r="H178" s="240">
        <v>0</v>
      </c>
      <c r="I178" s="240">
        <v>0</v>
      </c>
      <c r="J178" s="240">
        <v>0</v>
      </c>
      <c r="K178" s="240">
        <v>0</v>
      </c>
      <c r="L178" s="240">
        <v>0</v>
      </c>
    </row>
    <row r="179" spans="1:12">
      <c r="A179" t="s">
        <v>655</v>
      </c>
      <c r="B179" t="s">
        <v>713</v>
      </c>
      <c r="C179" t="s">
        <v>671</v>
      </c>
      <c r="D179" t="s">
        <v>656</v>
      </c>
      <c r="E179" t="s">
        <v>672</v>
      </c>
      <c r="F179" t="s">
        <v>658</v>
      </c>
      <c r="G179" t="s">
        <v>695</v>
      </c>
      <c r="H179" s="240">
        <v>930.21676000000002</v>
      </c>
      <c r="I179" s="240">
        <v>35906.366936000006</v>
      </c>
      <c r="J179" s="240">
        <v>2528167.2959637609</v>
      </c>
      <c r="K179" s="240">
        <v>0</v>
      </c>
      <c r="L179" s="240">
        <v>129262.92096960002</v>
      </c>
    </row>
    <row r="180" spans="1:12">
      <c r="A180" t="s">
        <v>655</v>
      </c>
      <c r="B180" t="s">
        <v>713</v>
      </c>
      <c r="C180" t="s">
        <v>671</v>
      </c>
      <c r="D180" t="s">
        <v>656</v>
      </c>
      <c r="E180" t="s">
        <v>672</v>
      </c>
      <c r="G180" t="s">
        <v>686</v>
      </c>
      <c r="H180" s="240">
        <v>0.11432</v>
      </c>
      <c r="I180" s="240">
        <v>4.4127520000000002</v>
      </c>
      <c r="J180" s="240">
        <v>311.14314352000002</v>
      </c>
      <c r="K180" s="240">
        <v>0</v>
      </c>
      <c r="L180" s="240">
        <v>15.885907200000002</v>
      </c>
    </row>
    <row r="181" spans="1:12">
      <c r="A181" t="s">
        <v>655</v>
      </c>
      <c r="B181" t="s">
        <v>713</v>
      </c>
      <c r="C181" t="s">
        <v>671</v>
      </c>
      <c r="D181" t="s">
        <v>659</v>
      </c>
      <c r="E181" t="s">
        <v>672</v>
      </c>
      <c r="F181" t="s">
        <v>658</v>
      </c>
      <c r="G181" t="s">
        <v>695</v>
      </c>
      <c r="H181" s="240">
        <v>50.174939999999999</v>
      </c>
      <c r="I181" s="240">
        <v>1715.9829480000001</v>
      </c>
      <c r="J181" s="240">
        <v>116034.76694376001</v>
      </c>
      <c r="K181" s="240">
        <v>0</v>
      </c>
      <c r="L181" s="240">
        <v>6177.5386128</v>
      </c>
    </row>
    <row r="182" spans="1:12">
      <c r="A182" t="s">
        <v>655</v>
      </c>
      <c r="B182" t="s">
        <v>713</v>
      </c>
      <c r="C182" t="s">
        <v>671</v>
      </c>
      <c r="D182" t="s">
        <v>659</v>
      </c>
      <c r="E182" t="s">
        <v>672</v>
      </c>
      <c r="G182" t="s">
        <v>686</v>
      </c>
      <c r="H182" s="240">
        <v>2.0584378000000001</v>
      </c>
      <c r="I182" s="240">
        <v>70.398572760000008</v>
      </c>
      <c r="J182" s="240">
        <v>4760.3514900312011</v>
      </c>
      <c r="K182" s="240">
        <v>0</v>
      </c>
      <c r="L182" s="240">
        <v>253.43486193600003</v>
      </c>
    </row>
    <row r="183" spans="1:12">
      <c r="A183" t="s">
        <v>655</v>
      </c>
      <c r="B183" t="s">
        <v>714</v>
      </c>
      <c r="C183" t="s">
        <v>155</v>
      </c>
      <c r="D183" t="s">
        <v>656</v>
      </c>
      <c r="E183" t="s">
        <v>657</v>
      </c>
      <c r="F183" t="s">
        <v>658</v>
      </c>
      <c r="G183" t="s">
        <v>686</v>
      </c>
      <c r="H183" s="240">
        <v>0.46300010000000003</v>
      </c>
      <c r="I183" s="240">
        <v>17.87180386</v>
      </c>
      <c r="J183" s="240">
        <v>1254.6006309720001</v>
      </c>
      <c r="K183" s="240">
        <v>0</v>
      </c>
      <c r="L183" s="240">
        <v>64.338493896000003</v>
      </c>
    </row>
    <row r="184" spans="1:12">
      <c r="A184" t="s">
        <v>655</v>
      </c>
      <c r="B184" t="s">
        <v>714</v>
      </c>
      <c r="C184" t="s">
        <v>155</v>
      </c>
      <c r="D184" t="s">
        <v>660</v>
      </c>
      <c r="E184" t="s">
        <v>657</v>
      </c>
      <c r="F184" t="s">
        <v>658</v>
      </c>
      <c r="G184" t="s">
        <v>686</v>
      </c>
      <c r="H184" s="240">
        <v>0</v>
      </c>
      <c r="I184" s="240">
        <v>0</v>
      </c>
      <c r="J184" s="240">
        <v>0</v>
      </c>
      <c r="K184" s="240">
        <v>0</v>
      </c>
      <c r="L184" s="240">
        <v>0</v>
      </c>
    </row>
    <row r="185" spans="1:12">
      <c r="A185" t="s">
        <v>655</v>
      </c>
      <c r="B185" t="s">
        <v>714</v>
      </c>
      <c r="C185" t="s">
        <v>661</v>
      </c>
      <c r="D185" t="s">
        <v>155</v>
      </c>
      <c r="E185" t="s">
        <v>662</v>
      </c>
      <c r="F185" t="s">
        <v>663</v>
      </c>
      <c r="G185" t="s">
        <v>104</v>
      </c>
      <c r="H185" s="240">
        <v>2208961.8330999999</v>
      </c>
      <c r="I185" s="240">
        <v>7952.2625991599998</v>
      </c>
      <c r="J185" s="240">
        <v>0</v>
      </c>
      <c r="K185" s="240">
        <v>1789259.0848110002</v>
      </c>
      <c r="L185" s="240">
        <v>198806.56497899999</v>
      </c>
    </row>
    <row r="186" spans="1:12">
      <c r="A186" t="s">
        <v>655</v>
      </c>
      <c r="B186" t="s">
        <v>715</v>
      </c>
      <c r="C186" t="s">
        <v>155</v>
      </c>
      <c r="D186" t="s">
        <v>656</v>
      </c>
      <c r="E186" t="s">
        <v>657</v>
      </c>
      <c r="F186" t="s">
        <v>658</v>
      </c>
      <c r="G186" t="s">
        <v>686</v>
      </c>
      <c r="H186" s="240">
        <v>0.43199969999999999</v>
      </c>
      <c r="I186" s="240">
        <v>16.675188420000001</v>
      </c>
      <c r="J186" s="240">
        <v>1170.5982270840002</v>
      </c>
      <c r="K186" s="240">
        <v>0</v>
      </c>
      <c r="L186" s="240">
        <v>60.030678312000006</v>
      </c>
    </row>
    <row r="187" spans="1:12">
      <c r="A187" t="s">
        <v>655</v>
      </c>
      <c r="B187" t="s">
        <v>715</v>
      </c>
      <c r="C187" t="s">
        <v>155</v>
      </c>
      <c r="D187" t="s">
        <v>660</v>
      </c>
      <c r="E187" t="s">
        <v>657</v>
      </c>
      <c r="F187" t="s">
        <v>658</v>
      </c>
      <c r="G187" t="s">
        <v>686</v>
      </c>
      <c r="H187" s="240">
        <v>0</v>
      </c>
      <c r="I187" s="240">
        <v>0</v>
      </c>
      <c r="J187" s="240">
        <v>0</v>
      </c>
      <c r="K187" s="240">
        <v>0</v>
      </c>
      <c r="L187" s="240">
        <v>0</v>
      </c>
    </row>
    <row r="188" spans="1:12">
      <c r="A188" t="s">
        <v>655</v>
      </c>
      <c r="B188" t="s">
        <v>715</v>
      </c>
      <c r="C188" t="s">
        <v>661</v>
      </c>
      <c r="D188" t="s">
        <v>155</v>
      </c>
      <c r="E188" t="s">
        <v>662</v>
      </c>
      <c r="F188" t="s">
        <v>663</v>
      </c>
      <c r="G188" t="s">
        <v>104</v>
      </c>
      <c r="H188" s="240">
        <v>4655224.6900000004</v>
      </c>
      <c r="I188" s="240">
        <v>16758.808884000002</v>
      </c>
      <c r="J188" s="240">
        <v>0</v>
      </c>
      <c r="K188" s="240">
        <v>3770731.9989000005</v>
      </c>
      <c r="L188" s="240">
        <v>418970.22210000001</v>
      </c>
    </row>
    <row r="189" spans="1:12">
      <c r="A189" t="s">
        <v>655</v>
      </c>
      <c r="B189" t="s">
        <v>716</v>
      </c>
      <c r="C189" t="s">
        <v>155</v>
      </c>
      <c r="D189" t="s">
        <v>656</v>
      </c>
      <c r="E189" t="s">
        <v>657</v>
      </c>
      <c r="F189" t="s">
        <v>658</v>
      </c>
      <c r="G189" t="s">
        <v>686</v>
      </c>
      <c r="H189" s="240">
        <v>0</v>
      </c>
      <c r="I189" s="240">
        <v>0</v>
      </c>
      <c r="J189" s="240">
        <v>0</v>
      </c>
      <c r="K189" s="240">
        <v>0</v>
      </c>
      <c r="L189" s="240">
        <v>0</v>
      </c>
    </row>
    <row r="190" spans="1:12">
      <c r="A190" t="s">
        <v>655</v>
      </c>
      <c r="B190" t="s">
        <v>716</v>
      </c>
      <c r="C190" t="s">
        <v>155</v>
      </c>
      <c r="D190" t="s">
        <v>660</v>
      </c>
      <c r="E190" t="s">
        <v>657</v>
      </c>
      <c r="F190" t="s">
        <v>658</v>
      </c>
      <c r="G190" t="s">
        <v>686</v>
      </c>
      <c r="H190" s="240">
        <v>0</v>
      </c>
      <c r="I190" s="240">
        <v>0</v>
      </c>
      <c r="J190" s="240">
        <v>0</v>
      </c>
      <c r="K190" s="240">
        <v>0</v>
      </c>
      <c r="L190" s="240">
        <v>0</v>
      </c>
    </row>
    <row r="191" spans="1:12">
      <c r="A191" t="s">
        <v>655</v>
      </c>
      <c r="B191" t="s">
        <v>716</v>
      </c>
      <c r="C191" t="s">
        <v>661</v>
      </c>
      <c r="D191" t="s">
        <v>155</v>
      </c>
      <c r="E191" t="s">
        <v>662</v>
      </c>
      <c r="F191" t="s">
        <v>663</v>
      </c>
      <c r="G191" t="s">
        <v>104</v>
      </c>
      <c r="H191" s="240">
        <v>109896.26500000001</v>
      </c>
      <c r="I191" s="240">
        <v>395.62655400000006</v>
      </c>
      <c r="J191" s="240">
        <v>0</v>
      </c>
      <c r="K191" s="240">
        <v>68135.684300000008</v>
      </c>
      <c r="L191" s="240">
        <v>7692.7385500000019</v>
      </c>
    </row>
    <row r="192" spans="1:12">
      <c r="A192" t="s">
        <v>655</v>
      </c>
      <c r="B192" t="s">
        <v>717</v>
      </c>
      <c r="C192" t="s">
        <v>155</v>
      </c>
      <c r="D192" t="s">
        <v>656</v>
      </c>
      <c r="E192" t="s">
        <v>657</v>
      </c>
      <c r="F192" t="s">
        <v>658</v>
      </c>
      <c r="G192" t="s">
        <v>686</v>
      </c>
      <c r="H192" s="240">
        <v>0.68999960000000005</v>
      </c>
      <c r="I192" s="240">
        <v>26.633984560000002</v>
      </c>
      <c r="J192" s="240">
        <v>1869.7057161120001</v>
      </c>
      <c r="K192" s="240">
        <v>0</v>
      </c>
      <c r="L192" s="240">
        <v>95.882344416000009</v>
      </c>
    </row>
    <row r="193" spans="1:12">
      <c r="A193" t="s">
        <v>655</v>
      </c>
      <c r="B193" t="s">
        <v>717</v>
      </c>
      <c r="C193" t="s">
        <v>155</v>
      </c>
      <c r="D193" t="s">
        <v>660</v>
      </c>
      <c r="E193" t="s">
        <v>657</v>
      </c>
      <c r="F193" t="s">
        <v>658</v>
      </c>
      <c r="G193" t="s">
        <v>686</v>
      </c>
      <c r="H193" s="240">
        <v>0</v>
      </c>
      <c r="I193" s="240">
        <v>0</v>
      </c>
      <c r="J193" s="240">
        <v>0</v>
      </c>
      <c r="K193" s="240">
        <v>0</v>
      </c>
      <c r="L193" s="240">
        <v>0</v>
      </c>
    </row>
    <row r="194" spans="1:12">
      <c r="A194" t="s">
        <v>655</v>
      </c>
      <c r="B194" t="s">
        <v>717</v>
      </c>
      <c r="C194" t="s">
        <v>661</v>
      </c>
      <c r="D194" t="s">
        <v>155</v>
      </c>
      <c r="E194" t="s">
        <v>662</v>
      </c>
      <c r="F194" t="s">
        <v>663</v>
      </c>
      <c r="G194" t="s">
        <v>104</v>
      </c>
      <c r="H194" s="240">
        <v>3091087.2818000005</v>
      </c>
      <c r="I194" s="240">
        <v>11127.914214480001</v>
      </c>
      <c r="J194" s="240">
        <v>0</v>
      </c>
      <c r="K194" s="240">
        <v>2503780.6982580004</v>
      </c>
      <c r="L194" s="240">
        <v>370930.47381600004</v>
      </c>
    </row>
    <row r="195" spans="1:12">
      <c r="A195" t="s">
        <v>655</v>
      </c>
      <c r="B195" t="s">
        <v>718</v>
      </c>
      <c r="C195" t="s">
        <v>155</v>
      </c>
      <c r="D195" t="s">
        <v>656</v>
      </c>
      <c r="E195" t="s">
        <v>657</v>
      </c>
      <c r="F195" t="s">
        <v>658</v>
      </c>
      <c r="G195" t="s">
        <v>686</v>
      </c>
      <c r="H195" s="240">
        <v>8.6999799999999988E-2</v>
      </c>
      <c r="I195" s="240">
        <v>3.3581922799999995</v>
      </c>
      <c r="J195" s="240">
        <v>235.74509805599996</v>
      </c>
      <c r="K195" s="240">
        <v>0</v>
      </c>
      <c r="L195" s="240">
        <v>12.089492207999998</v>
      </c>
    </row>
    <row r="196" spans="1:12">
      <c r="A196" t="s">
        <v>655</v>
      </c>
      <c r="B196" t="s">
        <v>718</v>
      </c>
      <c r="C196" t="s">
        <v>155</v>
      </c>
      <c r="D196" t="s">
        <v>660</v>
      </c>
      <c r="E196" t="s">
        <v>657</v>
      </c>
      <c r="F196" t="s">
        <v>658</v>
      </c>
      <c r="G196" t="s">
        <v>686</v>
      </c>
      <c r="H196" s="240">
        <v>0</v>
      </c>
      <c r="I196" s="240">
        <v>0</v>
      </c>
      <c r="J196" s="240">
        <v>0</v>
      </c>
      <c r="K196" s="240">
        <v>0</v>
      </c>
      <c r="L196" s="240">
        <v>0</v>
      </c>
    </row>
    <row r="197" spans="1:12">
      <c r="A197" t="s">
        <v>655</v>
      </c>
      <c r="B197" t="s">
        <v>718</v>
      </c>
      <c r="C197" t="s">
        <v>661</v>
      </c>
      <c r="D197" t="s">
        <v>155</v>
      </c>
      <c r="E197" t="s">
        <v>662</v>
      </c>
      <c r="F197" t="s">
        <v>663</v>
      </c>
      <c r="G197" t="s">
        <v>104</v>
      </c>
      <c r="H197" s="240">
        <v>958428.99939999986</v>
      </c>
      <c r="I197" s="240">
        <v>3450.3443978399996</v>
      </c>
      <c r="J197" s="240">
        <v>0</v>
      </c>
      <c r="K197" s="240">
        <v>412124.46974199993</v>
      </c>
      <c r="L197" s="240">
        <v>86258.609945999982</v>
      </c>
    </row>
    <row r="198" spans="1:12">
      <c r="A198" t="s">
        <v>655</v>
      </c>
      <c r="B198" t="s">
        <v>719</v>
      </c>
      <c r="C198" t="s">
        <v>155</v>
      </c>
      <c r="D198" t="s">
        <v>656</v>
      </c>
      <c r="E198" t="s">
        <v>657</v>
      </c>
      <c r="F198" t="s">
        <v>658</v>
      </c>
      <c r="G198" t="s">
        <v>686</v>
      </c>
      <c r="H198" s="240">
        <v>0</v>
      </c>
      <c r="I198" s="240">
        <v>0</v>
      </c>
      <c r="J198" s="240">
        <v>0</v>
      </c>
      <c r="K198" s="240">
        <v>0</v>
      </c>
      <c r="L198" s="240">
        <v>0</v>
      </c>
    </row>
    <row r="199" spans="1:12">
      <c r="A199" t="s">
        <v>655</v>
      </c>
      <c r="B199" t="s">
        <v>719</v>
      </c>
      <c r="C199" t="s">
        <v>155</v>
      </c>
      <c r="D199" t="s">
        <v>660</v>
      </c>
      <c r="E199" t="s">
        <v>657</v>
      </c>
      <c r="F199" t="s">
        <v>658</v>
      </c>
      <c r="G199" t="s">
        <v>686</v>
      </c>
      <c r="H199" s="240">
        <v>0</v>
      </c>
      <c r="I199" s="240">
        <v>0</v>
      </c>
      <c r="J199" s="240">
        <v>0</v>
      </c>
      <c r="K199" s="240">
        <v>0</v>
      </c>
      <c r="L199" s="240">
        <v>0</v>
      </c>
    </row>
    <row r="200" spans="1:12">
      <c r="A200" t="s">
        <v>655</v>
      </c>
      <c r="B200" t="s">
        <v>719</v>
      </c>
      <c r="C200" t="s">
        <v>661</v>
      </c>
      <c r="D200" t="s">
        <v>155</v>
      </c>
      <c r="E200" t="s">
        <v>662</v>
      </c>
      <c r="F200" t="s">
        <v>663</v>
      </c>
      <c r="G200" t="s">
        <v>104</v>
      </c>
      <c r="H200" s="240">
        <v>590027.58399999992</v>
      </c>
      <c r="I200" s="240">
        <v>2124.0993023999995</v>
      </c>
      <c r="J200" s="240">
        <v>0</v>
      </c>
      <c r="K200" s="240">
        <v>100304.68927999999</v>
      </c>
      <c r="L200" s="240">
        <v>11800.551679999999</v>
      </c>
    </row>
    <row r="201" spans="1:12">
      <c r="A201" t="s">
        <v>655</v>
      </c>
      <c r="B201" t="s">
        <v>720</v>
      </c>
      <c r="C201" t="s">
        <v>155</v>
      </c>
      <c r="D201" t="s">
        <v>656</v>
      </c>
      <c r="E201" t="s">
        <v>657</v>
      </c>
      <c r="F201" t="s">
        <v>658</v>
      </c>
      <c r="G201" t="s">
        <v>686</v>
      </c>
      <c r="H201" s="240">
        <v>0.1899999</v>
      </c>
      <c r="I201" s="240">
        <v>7.33399614</v>
      </c>
      <c r="J201" s="240">
        <v>514.84652902800008</v>
      </c>
      <c r="K201" s="240">
        <v>0</v>
      </c>
      <c r="L201" s="240">
        <v>26.402386104000001</v>
      </c>
    </row>
    <row r="202" spans="1:12">
      <c r="A202" t="s">
        <v>655</v>
      </c>
      <c r="B202" t="s">
        <v>720</v>
      </c>
      <c r="C202" t="s">
        <v>155</v>
      </c>
      <c r="D202" t="s">
        <v>660</v>
      </c>
      <c r="E202" t="s">
        <v>657</v>
      </c>
      <c r="F202" t="s">
        <v>658</v>
      </c>
      <c r="G202" t="s">
        <v>686</v>
      </c>
      <c r="H202" s="240">
        <v>0</v>
      </c>
      <c r="I202" s="240">
        <v>0</v>
      </c>
      <c r="J202" s="240">
        <v>0</v>
      </c>
      <c r="K202" s="240">
        <v>0</v>
      </c>
      <c r="L202" s="240">
        <v>0</v>
      </c>
    </row>
    <row r="203" spans="1:12">
      <c r="A203" t="s">
        <v>655</v>
      </c>
      <c r="B203" t="s">
        <v>720</v>
      </c>
      <c r="C203" t="s">
        <v>661</v>
      </c>
      <c r="D203" t="s">
        <v>155</v>
      </c>
      <c r="E203" t="s">
        <v>662</v>
      </c>
      <c r="F203" t="s">
        <v>663</v>
      </c>
      <c r="G203" t="s">
        <v>104</v>
      </c>
      <c r="H203" s="240">
        <v>12923450.24</v>
      </c>
      <c r="I203" s="240">
        <v>46524.420864</v>
      </c>
      <c r="J203" s="240">
        <v>0</v>
      </c>
      <c r="K203" s="240">
        <v>12664981.235199999</v>
      </c>
      <c r="L203" s="240">
        <v>1421579.5264000001</v>
      </c>
    </row>
    <row r="204" spans="1:12">
      <c r="A204" t="s">
        <v>655</v>
      </c>
      <c r="B204" t="s">
        <v>720</v>
      </c>
      <c r="C204" t="s">
        <v>665</v>
      </c>
      <c r="D204" t="s">
        <v>668</v>
      </c>
      <c r="E204" t="s">
        <v>666</v>
      </c>
      <c r="F204" t="s">
        <v>670</v>
      </c>
      <c r="G204" t="s">
        <v>695</v>
      </c>
      <c r="H204" s="240">
        <v>6373531.4940999998</v>
      </c>
      <c r="I204" s="240">
        <v>6373.5314940999997</v>
      </c>
      <c r="J204" s="240">
        <v>328428.07789097301</v>
      </c>
      <c r="K204" s="240">
        <v>0</v>
      </c>
      <c r="L204" s="240">
        <v>24856.77282699</v>
      </c>
    </row>
    <row r="205" spans="1:12">
      <c r="A205" t="s">
        <v>655</v>
      </c>
      <c r="B205" t="s">
        <v>720</v>
      </c>
      <c r="C205" t="s">
        <v>665</v>
      </c>
      <c r="D205" t="s">
        <v>668</v>
      </c>
      <c r="E205" t="s">
        <v>666</v>
      </c>
      <c r="G205" t="s">
        <v>686</v>
      </c>
      <c r="H205" s="240">
        <v>1587941.2077999997</v>
      </c>
      <c r="I205" s="240">
        <v>1587.9412077999998</v>
      </c>
      <c r="J205" s="240">
        <v>81826.610437933996</v>
      </c>
      <c r="K205" s="240">
        <v>0</v>
      </c>
      <c r="L205" s="240">
        <v>6192.9707104199988</v>
      </c>
    </row>
    <row r="206" spans="1:12">
      <c r="A206" t="s">
        <v>655</v>
      </c>
      <c r="B206" t="s">
        <v>721</v>
      </c>
      <c r="C206" t="s">
        <v>155</v>
      </c>
      <c r="D206" t="s">
        <v>656</v>
      </c>
      <c r="E206" t="s">
        <v>657</v>
      </c>
      <c r="F206" t="s">
        <v>658</v>
      </c>
      <c r="G206" t="s">
        <v>686</v>
      </c>
      <c r="H206" s="240">
        <v>0</v>
      </c>
      <c r="I206" s="240">
        <v>0</v>
      </c>
      <c r="J206" s="240">
        <v>0</v>
      </c>
      <c r="K206" s="240">
        <v>0</v>
      </c>
      <c r="L206" s="240">
        <v>0</v>
      </c>
    </row>
    <row r="207" spans="1:12">
      <c r="A207" t="s">
        <v>655</v>
      </c>
      <c r="B207" t="s">
        <v>721</v>
      </c>
      <c r="C207" t="s">
        <v>155</v>
      </c>
      <c r="D207" t="s">
        <v>660</v>
      </c>
      <c r="E207" t="s">
        <v>657</v>
      </c>
      <c r="F207" t="s">
        <v>658</v>
      </c>
      <c r="G207" t="s">
        <v>686</v>
      </c>
      <c r="H207" s="240">
        <v>0</v>
      </c>
      <c r="I207" s="240">
        <v>0</v>
      </c>
      <c r="J207" s="240">
        <v>0</v>
      </c>
      <c r="K207" s="240">
        <v>0</v>
      </c>
      <c r="L207" s="240">
        <v>0</v>
      </c>
    </row>
    <row r="208" spans="1:12">
      <c r="A208" t="s">
        <v>655</v>
      </c>
      <c r="B208" t="s">
        <v>721</v>
      </c>
      <c r="C208" t="s">
        <v>661</v>
      </c>
      <c r="D208" t="s">
        <v>155</v>
      </c>
      <c r="E208" t="s">
        <v>662</v>
      </c>
      <c r="F208" t="s">
        <v>663</v>
      </c>
      <c r="G208" t="s">
        <v>104</v>
      </c>
      <c r="H208" s="240">
        <v>331097.65870000003</v>
      </c>
      <c r="I208" s="240">
        <v>1191.9515713200001</v>
      </c>
      <c r="J208" s="240">
        <v>0</v>
      </c>
      <c r="K208" s="240">
        <v>225146.40791600003</v>
      </c>
      <c r="L208" s="240">
        <v>6621.9531740000011</v>
      </c>
    </row>
    <row r="209" spans="1:12">
      <c r="A209" t="s">
        <v>655</v>
      </c>
      <c r="B209" t="s">
        <v>722</v>
      </c>
      <c r="C209" t="s">
        <v>661</v>
      </c>
      <c r="D209" t="s">
        <v>155</v>
      </c>
      <c r="E209" t="s">
        <v>662</v>
      </c>
      <c r="F209" t="s">
        <v>663</v>
      </c>
      <c r="G209" t="s">
        <v>104</v>
      </c>
      <c r="H209" s="240">
        <v>55711.078600000001</v>
      </c>
      <c r="I209" s="240">
        <v>200.55988296000001</v>
      </c>
      <c r="J209" s="240">
        <v>0</v>
      </c>
      <c r="K209" s="240">
        <v>45125.973666000005</v>
      </c>
      <c r="L209" s="240">
        <v>5013.9970739999999</v>
      </c>
    </row>
    <row r="210" spans="1:12">
      <c r="A210" t="s">
        <v>655</v>
      </c>
      <c r="B210" t="s">
        <v>723</v>
      </c>
      <c r="C210" t="s">
        <v>661</v>
      </c>
      <c r="D210" t="s">
        <v>155</v>
      </c>
      <c r="E210" t="s">
        <v>662</v>
      </c>
      <c r="F210" t="s">
        <v>663</v>
      </c>
      <c r="G210" t="s">
        <v>104</v>
      </c>
      <c r="H210" s="240">
        <v>1730964.8966817702</v>
      </c>
      <c r="I210" s="240">
        <v>6231.473628054373</v>
      </c>
      <c r="J210" s="240">
        <v>0</v>
      </c>
      <c r="K210" s="240">
        <v>1402081.5663122339</v>
      </c>
      <c r="L210" s="240">
        <v>155786.84070135932</v>
      </c>
    </row>
    <row r="211" spans="1:12">
      <c r="A211" t="s">
        <v>655</v>
      </c>
      <c r="B211" t="s">
        <v>724</v>
      </c>
      <c r="C211" t="s">
        <v>661</v>
      </c>
      <c r="D211" t="s">
        <v>155</v>
      </c>
      <c r="E211" t="s">
        <v>662</v>
      </c>
      <c r="F211" t="s">
        <v>663</v>
      </c>
      <c r="G211" t="s">
        <v>104</v>
      </c>
      <c r="H211" s="240">
        <v>21296.261000000002</v>
      </c>
      <c r="I211" s="240">
        <v>76.666539600000007</v>
      </c>
      <c r="J211" s="240">
        <v>0</v>
      </c>
      <c r="K211" s="240">
        <v>13203.681820000002</v>
      </c>
      <c r="L211" s="240">
        <v>1490.7382700000003</v>
      </c>
    </row>
    <row r="212" spans="1:12">
      <c r="A212" t="s">
        <v>655</v>
      </c>
      <c r="B212" t="s">
        <v>725</v>
      </c>
      <c r="C212" t="s">
        <v>661</v>
      </c>
      <c r="D212" t="s">
        <v>155</v>
      </c>
      <c r="E212" t="s">
        <v>662</v>
      </c>
      <c r="F212" t="s">
        <v>663</v>
      </c>
      <c r="G212" t="s">
        <v>104</v>
      </c>
      <c r="H212" s="240">
        <v>560219.57620000001</v>
      </c>
      <c r="I212" s="240">
        <v>2016.7904743199999</v>
      </c>
      <c r="J212" s="240">
        <v>0</v>
      </c>
      <c r="K212" s="240">
        <v>453777.85672200006</v>
      </c>
      <c r="L212" s="240">
        <v>67226.349143999993</v>
      </c>
    </row>
    <row r="213" spans="1:12">
      <c r="A213" t="s">
        <v>655</v>
      </c>
      <c r="B213" t="s">
        <v>726</v>
      </c>
      <c r="C213" t="s">
        <v>661</v>
      </c>
      <c r="D213" t="s">
        <v>155</v>
      </c>
      <c r="E213" t="s">
        <v>662</v>
      </c>
      <c r="F213" t="s">
        <v>663</v>
      </c>
      <c r="G213" t="s">
        <v>104</v>
      </c>
      <c r="H213" s="240">
        <v>194619.56630000001</v>
      </c>
      <c r="I213" s="240">
        <v>700.63043868</v>
      </c>
      <c r="J213" s="240">
        <v>0</v>
      </c>
      <c r="K213" s="240">
        <v>83686.413509000005</v>
      </c>
      <c r="L213" s="240">
        <v>17515.760966999998</v>
      </c>
    </row>
    <row r="214" spans="1:12">
      <c r="A214" t="s">
        <v>655</v>
      </c>
      <c r="B214" t="s">
        <v>727</v>
      </c>
      <c r="C214" t="s">
        <v>661</v>
      </c>
      <c r="D214" t="s">
        <v>155</v>
      </c>
      <c r="E214" t="s">
        <v>662</v>
      </c>
      <c r="F214" t="s">
        <v>663</v>
      </c>
      <c r="G214" t="s">
        <v>104</v>
      </c>
      <c r="H214" s="240">
        <v>84161.480299999996</v>
      </c>
      <c r="I214" s="240">
        <v>302.98132907999997</v>
      </c>
      <c r="J214" s="240">
        <v>0</v>
      </c>
      <c r="K214" s="240">
        <v>14307.451650999999</v>
      </c>
      <c r="L214" s="240">
        <v>1683.2296059999999</v>
      </c>
    </row>
    <row r="215" spans="1:12">
      <c r="A215" t="s">
        <v>655</v>
      </c>
      <c r="B215" t="s">
        <v>728</v>
      </c>
      <c r="C215" t="s">
        <v>661</v>
      </c>
      <c r="D215" t="s">
        <v>155</v>
      </c>
      <c r="E215" t="s">
        <v>662</v>
      </c>
      <c r="F215" t="s">
        <v>663</v>
      </c>
      <c r="G215" t="s">
        <v>104</v>
      </c>
      <c r="H215" s="240">
        <v>1425253.9988000002</v>
      </c>
      <c r="I215" s="240">
        <v>5130.9143956800008</v>
      </c>
      <c r="J215" s="240">
        <v>0</v>
      </c>
      <c r="K215" s="240">
        <v>1396748.9188240001</v>
      </c>
      <c r="L215" s="240">
        <v>156777.93986800002</v>
      </c>
    </row>
    <row r="216" spans="1:12">
      <c r="A216" t="s">
        <v>655</v>
      </c>
      <c r="B216" t="s">
        <v>729</v>
      </c>
      <c r="C216" t="s">
        <v>661</v>
      </c>
      <c r="D216" t="s">
        <v>155</v>
      </c>
      <c r="E216" t="s">
        <v>662</v>
      </c>
      <c r="F216" t="s">
        <v>663</v>
      </c>
      <c r="G216" t="s">
        <v>104</v>
      </c>
      <c r="H216" s="240">
        <v>249285.09072245943</v>
      </c>
      <c r="I216" s="240">
        <v>897.42632660085394</v>
      </c>
      <c r="J216" s="240">
        <v>0</v>
      </c>
      <c r="K216" s="240">
        <v>169513.86169127241</v>
      </c>
      <c r="L216" s="240">
        <v>4985.7018144491885</v>
      </c>
    </row>
    <row r="217" spans="1:12">
      <c r="A217" t="s">
        <v>53</v>
      </c>
      <c r="H217" s="240">
        <v>1718244373.4170508</v>
      </c>
      <c r="I217" s="240">
        <v>6605632.4116550293</v>
      </c>
      <c r="J217" s="240">
        <v>33085437.981461562</v>
      </c>
      <c r="K217" s="240">
        <v>1130583844.2804883</v>
      </c>
      <c r="L217" s="240">
        <v>228095505.95634869</v>
      </c>
    </row>
    <row r="218" spans="1:12">
      <c r="H218" s="8">
        <f>ReformFY21[[#Totals],[Consumption Quantity]]</f>
        <v>1718244373.4170508</v>
      </c>
      <c r="I218" s="8">
        <f>ReformFY21[[#Totals],[Total GJ]]</f>
        <v>6605632.4116550293</v>
      </c>
      <c r="J218" s="8">
        <f>ReformFY21[[#Totals],[Scope 1 kg CO2-e]]</f>
        <v>33085437.981461562</v>
      </c>
      <c r="K218" s="8">
        <f>ReformFY21[[#Totals],[Scope 2 kg CO2-e]]</f>
        <v>1130583844.2804885</v>
      </c>
      <c r="L218" s="8">
        <f>ReformFY21[[#Totals],[Scope 3 kg CO2-e]]</f>
        <v>228095505.95634869</v>
      </c>
    </row>
    <row r="219" spans="1:12">
      <c r="H219" s="8" t="b">
        <f>H218=H217</f>
        <v>1</v>
      </c>
      <c r="I219" s="8" t="b">
        <f t="shared" ref="I219:L219" si="0">I218=I217</f>
        <v>1</v>
      </c>
      <c r="J219" s="8" t="b">
        <f t="shared" si="0"/>
        <v>1</v>
      </c>
      <c r="K219" s="8" t="b">
        <f t="shared" si="0"/>
        <v>1</v>
      </c>
      <c r="L219" s="8" t="b">
        <f t="shared" si="0"/>
        <v>1</v>
      </c>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EDB01-0CE4-44B0-9EA4-D24914F0BBE8}">
  <sheetPr codeName="Sheet9">
    <tabColor theme="6" tint="0.39997558519241921"/>
  </sheetPr>
  <dimension ref="A3:AH219"/>
  <sheetViews>
    <sheetView topLeftCell="O1" zoomScale="70" zoomScaleNormal="70" workbookViewId="0">
      <selection activeCell="F33" sqref="F33"/>
    </sheetView>
  </sheetViews>
  <sheetFormatPr defaultColWidth="8.8984375" defaultRowHeight="13.8" outlineLevelCol="1"/>
  <cols>
    <col min="1" max="1" width="25.59765625" customWidth="1"/>
    <col min="2" max="2" width="19.5" customWidth="1"/>
    <col min="3" max="5" width="17.59765625" customWidth="1"/>
    <col min="6" max="6" width="11.8984375" customWidth="1"/>
    <col min="7" max="7" width="17.59765625" customWidth="1"/>
    <col min="8" max="14" width="17.59765625" style="8" customWidth="1" outlineLevel="1"/>
    <col min="15" max="15" width="22.09765625" customWidth="1"/>
    <col min="16" max="18" width="10.59765625" customWidth="1"/>
    <col min="20" max="20" width="30.09765625" bestFit="1" customWidth="1"/>
    <col min="21" max="21" width="11.09765625" style="8" bestFit="1" customWidth="1"/>
    <col min="22" max="22" width="13.5" bestFit="1" customWidth="1"/>
    <col min="23" max="23" width="12" bestFit="1" customWidth="1"/>
    <col min="24" max="24" width="11" bestFit="1" customWidth="1"/>
    <col min="25" max="25" width="10.8984375" customWidth="1"/>
    <col min="26" max="26" width="15" bestFit="1" customWidth="1"/>
    <col min="27" max="27" width="13" bestFit="1" customWidth="1"/>
    <col min="28" max="28" width="12" bestFit="1" customWidth="1"/>
    <col min="29" max="29" width="12" customWidth="1"/>
    <col min="30" max="31" width="12" bestFit="1" customWidth="1"/>
    <col min="32" max="32" width="11" bestFit="1" customWidth="1"/>
    <col min="33" max="35" width="12" bestFit="1" customWidth="1"/>
    <col min="36" max="36" width="9" bestFit="1" customWidth="1"/>
    <col min="37" max="43" width="12" bestFit="1" customWidth="1"/>
    <col min="44" max="44" width="9" bestFit="1" customWidth="1"/>
    <col min="45" max="48" width="12" bestFit="1" customWidth="1"/>
    <col min="49" max="49" width="8" bestFit="1" customWidth="1"/>
    <col min="50" max="51" width="12" bestFit="1" customWidth="1"/>
    <col min="52" max="52" width="10" bestFit="1" customWidth="1"/>
    <col min="53" max="53" width="11" bestFit="1" customWidth="1"/>
    <col min="54" max="55" width="12" bestFit="1" customWidth="1"/>
    <col min="56" max="56" width="10" bestFit="1" customWidth="1"/>
    <col min="57" max="66" width="12" bestFit="1" customWidth="1"/>
    <col min="67" max="68" width="11" bestFit="1" customWidth="1"/>
    <col min="69" max="75" width="12" bestFit="1" customWidth="1"/>
    <col min="76" max="76" width="10" bestFit="1" customWidth="1"/>
    <col min="77" max="83" width="12" bestFit="1" customWidth="1"/>
    <col min="84" max="84" width="11" bestFit="1" customWidth="1"/>
    <col min="85" max="107" width="12" bestFit="1" customWidth="1"/>
    <col min="108" max="108" width="11" bestFit="1" customWidth="1"/>
    <col min="109" max="116" width="12" bestFit="1" customWidth="1"/>
    <col min="117" max="117" width="11" bestFit="1" customWidth="1"/>
    <col min="118" max="126" width="12" bestFit="1" customWidth="1"/>
    <col min="127" max="127" width="11" bestFit="1" customWidth="1"/>
    <col min="128" max="135" width="12" bestFit="1" customWidth="1"/>
    <col min="136" max="136" width="11" bestFit="1" customWidth="1"/>
    <col min="137" max="151" width="12" bestFit="1" customWidth="1"/>
    <col min="152" max="152" width="11" bestFit="1" customWidth="1"/>
    <col min="153" max="168" width="12" bestFit="1" customWidth="1"/>
    <col min="169" max="169" width="11.59765625" bestFit="1" customWidth="1"/>
  </cols>
  <sheetData>
    <row r="3" spans="1:34" ht="14.4" customHeight="1">
      <c r="A3" t="s">
        <v>677</v>
      </c>
      <c r="B3" t="s">
        <v>683</v>
      </c>
      <c r="C3" t="s">
        <v>646</v>
      </c>
      <c r="D3" t="s">
        <v>647</v>
      </c>
      <c r="E3" t="s">
        <v>648</v>
      </c>
      <c r="F3" t="s">
        <v>649</v>
      </c>
      <c r="G3" t="s">
        <v>684</v>
      </c>
      <c r="H3" s="8" t="s">
        <v>650</v>
      </c>
      <c r="I3" s="8" t="s">
        <v>651</v>
      </c>
      <c r="J3" s="8" t="s">
        <v>652</v>
      </c>
      <c r="K3" s="8" t="s">
        <v>653</v>
      </c>
      <c r="L3" s="8" t="s">
        <v>654</v>
      </c>
      <c r="M3" s="8" t="s">
        <v>730</v>
      </c>
      <c r="N3" s="8" t="s">
        <v>731</v>
      </c>
      <c r="O3" s="8" t="s">
        <v>732</v>
      </c>
      <c r="P3" t="s">
        <v>733</v>
      </c>
      <c r="T3" s="239" t="s">
        <v>734</v>
      </c>
      <c r="U3"/>
    </row>
    <row r="4" spans="1:34" ht="15" customHeight="1">
      <c r="A4" t="s">
        <v>685</v>
      </c>
      <c r="B4" t="s">
        <v>685</v>
      </c>
      <c r="C4" t="s">
        <v>685</v>
      </c>
      <c r="D4" t="s">
        <v>685</v>
      </c>
      <c r="E4" t="s">
        <v>685</v>
      </c>
      <c r="F4" t="s">
        <v>685</v>
      </c>
      <c r="G4" t="s">
        <v>685</v>
      </c>
      <c r="H4" s="8">
        <v>0</v>
      </c>
      <c r="I4" s="8">
        <v>0</v>
      </c>
      <c r="J4" s="8">
        <v>0</v>
      </c>
      <c r="K4" s="8">
        <v>0</v>
      </c>
      <c r="L4" s="8">
        <v>0</v>
      </c>
      <c r="M4" s="8">
        <f>J4+K4</f>
        <v>0</v>
      </c>
      <c r="N4" s="8">
        <f>SUM(J4:L4)</f>
        <v>0</v>
      </c>
      <c r="P4" t="str">
        <f t="shared" ref="P4:P67" si="0">IF(C4="Energy Commodities","Elec","Fuel")</f>
        <v>Fuel</v>
      </c>
      <c r="T4" s="239" t="s">
        <v>732</v>
      </c>
      <c r="U4" s="239" t="s">
        <v>733</v>
      </c>
      <c r="V4" t="s">
        <v>234</v>
      </c>
      <c r="Y4" s="217" t="s">
        <v>150</v>
      </c>
      <c r="Z4" s="212" t="s">
        <v>151</v>
      </c>
      <c r="AA4" s="218" t="s">
        <v>735</v>
      </c>
      <c r="AB4" s="212" t="s">
        <v>736</v>
      </c>
      <c r="AC4" s="482"/>
      <c r="AD4" s="56"/>
      <c r="AE4" s="212" t="s">
        <v>737</v>
      </c>
      <c r="AF4" s="212" t="s">
        <v>738</v>
      </c>
      <c r="AG4" s="212" t="s">
        <v>9</v>
      </c>
      <c r="AH4" s="56"/>
    </row>
    <row r="5" spans="1:34">
      <c r="A5" t="s">
        <v>571</v>
      </c>
      <c r="B5" t="s">
        <v>38</v>
      </c>
      <c r="C5" t="s">
        <v>661</v>
      </c>
      <c r="D5" t="s">
        <v>155</v>
      </c>
      <c r="E5" t="s">
        <v>662</v>
      </c>
      <c r="F5" t="s">
        <v>663</v>
      </c>
      <c r="G5" t="s">
        <v>686</v>
      </c>
      <c r="H5" s="8">
        <v>12095703.230562257</v>
      </c>
      <c r="I5" s="8">
        <v>43544.531630024125</v>
      </c>
      <c r="J5" s="8">
        <v>0</v>
      </c>
      <c r="K5" s="8">
        <v>0</v>
      </c>
      <c r="L5" s="8">
        <v>6217693.646215409</v>
      </c>
      <c r="M5" s="8">
        <f t="shared" ref="M5:M68" si="1">J5+K5</f>
        <v>0</v>
      </c>
      <c r="N5" s="8">
        <f t="shared" ref="N5:N68" si="2">SUM(J5:L5)</f>
        <v>6217693.646215409</v>
      </c>
      <c r="O5" t="s">
        <v>38</v>
      </c>
      <c r="P5" t="str">
        <f t="shared" si="0"/>
        <v>Elec</v>
      </c>
      <c r="T5" t="s">
        <v>739</v>
      </c>
      <c r="U5" t="s">
        <v>36</v>
      </c>
      <c r="V5" s="240">
        <v>127209044.99744731</v>
      </c>
      <c r="Y5" s="2022" t="s">
        <v>740</v>
      </c>
      <c r="Z5" s="219" t="s">
        <v>155</v>
      </c>
      <c r="AA5" s="220">
        <f>V25</f>
        <v>964144.94403457851</v>
      </c>
      <c r="AB5" s="213" t="s">
        <v>741</v>
      </c>
      <c r="AC5" s="483">
        <f>AA5/$AA$18</f>
        <v>0.82853862238286902</v>
      </c>
      <c r="AE5" s="213" t="s">
        <v>741</v>
      </c>
      <c r="AF5" s="214">
        <f>SUM(AA5:AA6,AA9:AA10)+0.9*AA11</f>
        <v>1121328.3698190798</v>
      </c>
      <c r="AG5" s="215">
        <f>AF5/AF8</f>
        <v>0.96361430770040757</v>
      </c>
    </row>
    <row r="6" spans="1:34">
      <c r="A6" t="s">
        <v>571</v>
      </c>
      <c r="B6" t="s">
        <v>38</v>
      </c>
      <c r="C6" t="s">
        <v>665</v>
      </c>
      <c r="D6" t="s">
        <v>656</v>
      </c>
      <c r="E6" t="s">
        <v>666</v>
      </c>
      <c r="F6" t="s">
        <v>673</v>
      </c>
      <c r="G6" t="s">
        <v>686</v>
      </c>
      <c r="H6" s="8">
        <v>15563.443617427743</v>
      </c>
      <c r="I6" s="8">
        <v>600.7489236327109</v>
      </c>
      <c r="J6" s="8">
        <v>0</v>
      </c>
      <c r="K6" s="8">
        <v>0</v>
      </c>
      <c r="L6" s="8">
        <v>44335.270564094069</v>
      </c>
      <c r="M6" s="8">
        <f t="shared" si="1"/>
        <v>0</v>
      </c>
      <c r="N6" s="8">
        <f t="shared" si="2"/>
        <v>44335.270564094069</v>
      </c>
      <c r="O6" t="s">
        <v>38</v>
      </c>
      <c r="P6" t="str">
        <f t="shared" si="0"/>
        <v>Fuel</v>
      </c>
      <c r="T6" t="s">
        <v>739</v>
      </c>
      <c r="U6" t="s">
        <v>156</v>
      </c>
      <c r="V6" s="240">
        <v>563622.343338946</v>
      </c>
      <c r="Y6" s="2022"/>
      <c r="Z6" s="219" t="s">
        <v>156</v>
      </c>
      <c r="AA6" s="220">
        <f>V26</f>
        <v>6915.2974415094104</v>
      </c>
      <c r="AB6" s="213" t="s">
        <v>741</v>
      </c>
      <c r="AC6" s="483">
        <f t="shared" ref="AC6:AC15" si="3">AA6/$AA$18</f>
        <v>5.942665624091575E-3</v>
      </c>
      <c r="AE6" s="213" t="s">
        <v>742</v>
      </c>
      <c r="AF6" s="214">
        <f>SUM(AA7:AA8)+0.1*AA11</f>
        <v>42340.912442870853</v>
      </c>
      <c r="AG6" s="215">
        <f>AF6/AF8</f>
        <v>3.6385692299592383E-2</v>
      </c>
    </row>
    <row r="7" spans="1:34">
      <c r="A7" t="s">
        <v>571</v>
      </c>
      <c r="B7" t="s">
        <v>38</v>
      </c>
      <c r="C7" t="s">
        <v>665</v>
      </c>
      <c r="D7" t="s">
        <v>668</v>
      </c>
      <c r="E7" t="s">
        <v>666</v>
      </c>
      <c r="F7" t="s">
        <v>670</v>
      </c>
      <c r="G7" t="s">
        <v>686</v>
      </c>
      <c r="H7" s="8">
        <v>193283.85133931137</v>
      </c>
      <c r="I7" s="8">
        <v>193.28385133931135</v>
      </c>
      <c r="J7" s="8">
        <v>0</v>
      </c>
      <c r="K7" s="8">
        <v>0</v>
      </c>
      <c r="L7" s="8">
        <v>11533.24740941671</v>
      </c>
      <c r="M7" s="8">
        <f t="shared" si="1"/>
        <v>0</v>
      </c>
      <c r="N7" s="8">
        <f t="shared" si="2"/>
        <v>11533.24740941671</v>
      </c>
      <c r="O7" t="s">
        <v>38</v>
      </c>
      <c r="P7" t="str">
        <f t="shared" si="0"/>
        <v>Fuel</v>
      </c>
      <c r="T7" t="s">
        <v>743</v>
      </c>
      <c r="U7" t="s">
        <v>36</v>
      </c>
      <c r="V7" s="240">
        <v>964144944.03457856</v>
      </c>
      <c r="Y7" s="2022" t="s">
        <v>744</v>
      </c>
      <c r="Z7" s="219" t="s">
        <v>155</v>
      </c>
      <c r="AA7" s="220">
        <f>V27</f>
        <v>39229.854248463191</v>
      </c>
      <c r="AB7" s="213" t="s">
        <v>742</v>
      </c>
      <c r="AC7" s="483">
        <f t="shared" si="3"/>
        <v>3.3712202295318697E-2</v>
      </c>
      <c r="AE7" t="s">
        <v>745</v>
      </c>
      <c r="AF7" s="9"/>
      <c r="AG7" s="9"/>
    </row>
    <row r="8" spans="1:34">
      <c r="A8" t="s">
        <v>571</v>
      </c>
      <c r="B8" t="s">
        <v>39</v>
      </c>
      <c r="C8" t="s">
        <v>661</v>
      </c>
      <c r="D8" t="s">
        <v>155</v>
      </c>
      <c r="E8" t="s">
        <v>662</v>
      </c>
      <c r="F8" t="s">
        <v>663</v>
      </c>
      <c r="G8" t="s">
        <v>686</v>
      </c>
      <c r="H8" s="8">
        <v>107088873.38031349</v>
      </c>
      <c r="I8" s="8">
        <v>385519.94416912855</v>
      </c>
      <c r="J8" s="8">
        <v>0</v>
      </c>
      <c r="K8" s="8">
        <v>10856216.780695796</v>
      </c>
      <c r="L8" s="8">
        <v>28432025.066822872</v>
      </c>
      <c r="M8" s="8">
        <f t="shared" si="1"/>
        <v>10856216.780695796</v>
      </c>
      <c r="N8" s="8">
        <f t="shared" si="2"/>
        <v>39288241.847518668</v>
      </c>
      <c r="O8" t="s">
        <v>746</v>
      </c>
      <c r="P8" t="str">
        <f t="shared" si="0"/>
        <v>Elec</v>
      </c>
      <c r="T8" t="s">
        <v>743</v>
      </c>
      <c r="U8" t="s">
        <v>156</v>
      </c>
      <c r="V8" s="240">
        <v>6915297.4415094107</v>
      </c>
      <c r="Y8" s="2022"/>
      <c r="Z8" s="219" t="s">
        <v>156</v>
      </c>
      <c r="AA8" s="220">
        <f>V28</f>
        <v>611.56252749593762</v>
      </c>
      <c r="AB8" s="213" t="s">
        <v>742</v>
      </c>
      <c r="AC8" s="483">
        <f t="shared" si="3"/>
        <v>5.2554667964352982E-4</v>
      </c>
      <c r="AF8" s="243">
        <f>SUM(AF5:AF6)</f>
        <v>1163669.2822619507</v>
      </c>
    </row>
    <row r="9" spans="1:34">
      <c r="A9" t="s">
        <v>571</v>
      </c>
      <c r="B9" t="s">
        <v>39</v>
      </c>
      <c r="C9" t="s">
        <v>665</v>
      </c>
      <c r="D9" t="s">
        <v>656</v>
      </c>
      <c r="E9" t="s">
        <v>666</v>
      </c>
      <c r="F9" t="s">
        <v>673</v>
      </c>
      <c r="G9" t="s">
        <v>686</v>
      </c>
      <c r="H9" s="8">
        <v>137790.38813528279</v>
      </c>
      <c r="I9" s="8">
        <v>5318.7089820219162</v>
      </c>
      <c r="J9" s="8">
        <v>104694.43988037863</v>
      </c>
      <c r="K9" s="8">
        <v>0</v>
      </c>
      <c r="L9" s="8">
        <v>286555.58543752739</v>
      </c>
      <c r="M9" s="8">
        <f t="shared" si="1"/>
        <v>104694.43988037863</v>
      </c>
      <c r="N9" s="8">
        <f t="shared" si="2"/>
        <v>391250.02531790605</v>
      </c>
      <c r="O9" t="s">
        <v>746</v>
      </c>
      <c r="P9" t="str">
        <f t="shared" si="0"/>
        <v>Fuel</v>
      </c>
      <c r="T9" t="s">
        <v>746</v>
      </c>
      <c r="U9" t="s">
        <v>36</v>
      </c>
      <c r="V9" s="240">
        <v>39229854.248463191</v>
      </c>
      <c r="Y9" s="2023" t="s">
        <v>158</v>
      </c>
      <c r="Z9" s="219" t="s">
        <v>155</v>
      </c>
      <c r="AA9" s="220">
        <f>V23</f>
        <v>127209.04499744732</v>
      </c>
      <c r="AB9" s="213" t="s">
        <v>741</v>
      </c>
      <c r="AC9" s="483">
        <f t="shared" si="3"/>
        <v>0.10931718052243955</v>
      </c>
    </row>
    <row r="10" spans="1:34">
      <c r="A10" t="s">
        <v>571</v>
      </c>
      <c r="B10" t="s">
        <v>39</v>
      </c>
      <c r="C10" t="s">
        <v>665</v>
      </c>
      <c r="D10" t="s">
        <v>668</v>
      </c>
      <c r="E10" t="s">
        <v>666</v>
      </c>
      <c r="F10" t="s">
        <v>670</v>
      </c>
      <c r="G10" t="s">
        <v>686</v>
      </c>
      <c r="H10" s="8">
        <v>1711231.6239898934</v>
      </c>
      <c r="I10" s="8">
        <v>1711.2316239898933</v>
      </c>
      <c r="J10" s="8">
        <v>24725.735403464623</v>
      </c>
      <c r="K10" s="8">
        <v>0</v>
      </c>
      <c r="L10" s="8">
        <v>77052.900060337372</v>
      </c>
      <c r="M10" s="8">
        <f t="shared" si="1"/>
        <v>24725.735403464623</v>
      </c>
      <c r="N10" s="8">
        <f t="shared" si="2"/>
        <v>101778.635463802</v>
      </c>
      <c r="O10" t="s">
        <v>746</v>
      </c>
      <c r="P10" t="str">
        <f t="shared" si="0"/>
        <v>Fuel</v>
      </c>
      <c r="T10" t="s">
        <v>746</v>
      </c>
      <c r="U10" t="s">
        <v>156</v>
      </c>
      <c r="V10" s="240">
        <v>611562.52749593765</v>
      </c>
      <c r="Y10" s="2024"/>
      <c r="Z10" s="219" t="s">
        <v>156</v>
      </c>
      <c r="AA10" s="220">
        <f>V24</f>
        <v>563.62234333894605</v>
      </c>
      <c r="AB10" s="213" t="s">
        <v>741</v>
      </c>
      <c r="AC10" s="483">
        <f t="shared" si="3"/>
        <v>4.8434924933600716E-4</v>
      </c>
      <c r="AE10" s="216" t="s">
        <v>747</v>
      </c>
    </row>
    <row r="11" spans="1:34">
      <c r="A11" t="s">
        <v>571</v>
      </c>
      <c r="B11" t="s">
        <v>40</v>
      </c>
      <c r="C11" t="s">
        <v>661</v>
      </c>
      <c r="D11" t="s">
        <v>155</v>
      </c>
      <c r="E11" t="s">
        <v>662</v>
      </c>
      <c r="F11" t="s">
        <v>663</v>
      </c>
      <c r="G11" t="s">
        <v>686</v>
      </c>
      <c r="H11" s="8">
        <v>188090285.22164094</v>
      </c>
      <c r="I11" s="8">
        <v>677125.02679790743</v>
      </c>
      <c r="J11" s="8">
        <v>0</v>
      </c>
      <c r="K11" s="8">
        <v>30348941.615664311</v>
      </c>
      <c r="L11" s="8">
        <v>60973664.539981157</v>
      </c>
      <c r="M11" s="8">
        <f t="shared" si="1"/>
        <v>30348941.615664311</v>
      </c>
      <c r="N11" s="8">
        <f t="shared" si="2"/>
        <v>91322606.15564546</v>
      </c>
      <c r="O11" t="s">
        <v>739</v>
      </c>
      <c r="P11" t="str">
        <f t="shared" si="0"/>
        <v>Elec</v>
      </c>
      <c r="T11" t="s">
        <v>671</v>
      </c>
      <c r="U11" t="s">
        <v>156</v>
      </c>
      <c r="V11" s="240">
        <v>24994956.669117264</v>
      </c>
      <c r="Y11" s="906" t="s">
        <v>159</v>
      </c>
      <c r="Z11" s="219" t="s">
        <v>156</v>
      </c>
      <c r="AA11" s="220">
        <f>V29</f>
        <v>24994.956669117266</v>
      </c>
      <c r="AB11" s="213" t="s">
        <v>741</v>
      </c>
      <c r="AC11" s="483">
        <f t="shared" si="3"/>
        <v>2.1479433246301603E-2</v>
      </c>
    </row>
    <row r="12" spans="1:34">
      <c r="A12" t="s">
        <v>571</v>
      </c>
      <c r="B12" t="s">
        <v>40</v>
      </c>
      <c r="C12" t="s">
        <v>665</v>
      </c>
      <c r="D12" t="s">
        <v>656</v>
      </c>
      <c r="E12" t="s">
        <v>666</v>
      </c>
      <c r="F12" t="s">
        <v>673</v>
      </c>
      <c r="G12" t="s">
        <v>686</v>
      </c>
      <c r="H12" s="8">
        <v>185016.680778571</v>
      </c>
      <c r="I12" s="8">
        <v>7141.6438780528406</v>
      </c>
      <c r="J12" s="8">
        <v>234611.65184250913</v>
      </c>
      <c r="K12" s="8">
        <v>0</v>
      </c>
      <c r="L12" s="8">
        <v>242742.65313378212</v>
      </c>
      <c r="M12" s="8">
        <f t="shared" si="1"/>
        <v>234611.65184250913</v>
      </c>
      <c r="N12" s="8">
        <f t="shared" si="2"/>
        <v>477354.30497629126</v>
      </c>
      <c r="O12" t="s">
        <v>739</v>
      </c>
      <c r="P12" t="str">
        <f t="shared" si="0"/>
        <v>Fuel</v>
      </c>
      <c r="T12" t="s">
        <v>38</v>
      </c>
      <c r="U12" t="s">
        <v>36</v>
      </c>
      <c r="V12" s="240">
        <v>0</v>
      </c>
      <c r="Y12" s="2020"/>
      <c r="Z12" s="906"/>
      <c r="AA12" s="220"/>
      <c r="AB12" s="213"/>
      <c r="AC12" s="483">
        <f t="shared" si="3"/>
        <v>0</v>
      </c>
      <c r="AE12" t="s">
        <v>748</v>
      </c>
    </row>
    <row r="13" spans="1:34">
      <c r="A13" t="s">
        <v>571</v>
      </c>
      <c r="B13" t="s">
        <v>40</v>
      </c>
      <c r="C13" t="s">
        <v>665</v>
      </c>
      <c r="D13" t="s">
        <v>668</v>
      </c>
      <c r="E13" t="s">
        <v>666</v>
      </c>
      <c r="F13" t="s">
        <v>670</v>
      </c>
      <c r="G13" t="s">
        <v>686</v>
      </c>
      <c r="H13" s="8">
        <v>3005597.4451564336</v>
      </c>
      <c r="I13" s="8">
        <v>3005.5974451564334</v>
      </c>
      <c r="J13" s="8">
        <v>55408.344823809821</v>
      </c>
      <c r="K13" s="8">
        <v>0</v>
      </c>
      <c r="L13" s="8">
        <v>111007.09901618111</v>
      </c>
      <c r="M13" s="8">
        <f t="shared" si="1"/>
        <v>55408.344823809821</v>
      </c>
      <c r="N13" s="8">
        <f t="shared" si="2"/>
        <v>166415.44383999094</v>
      </c>
      <c r="O13" t="s">
        <v>739</v>
      </c>
      <c r="P13" t="str">
        <f t="shared" si="0"/>
        <v>Fuel</v>
      </c>
      <c r="T13" t="s">
        <v>38</v>
      </c>
      <c r="U13" t="s">
        <v>156</v>
      </c>
      <c r="V13" s="240">
        <v>0</v>
      </c>
      <c r="Y13" s="2021"/>
      <c r="Z13" s="219"/>
      <c r="AA13" s="214"/>
      <c r="AB13" s="213"/>
      <c r="AC13" s="483">
        <f t="shared" si="3"/>
        <v>0</v>
      </c>
    </row>
    <row r="14" spans="1:34">
      <c r="A14" t="s">
        <v>571</v>
      </c>
      <c r="B14" t="s">
        <v>41</v>
      </c>
      <c r="C14" t="s">
        <v>661</v>
      </c>
      <c r="D14" t="s">
        <v>155</v>
      </c>
      <c r="E14" t="s">
        <v>662</v>
      </c>
      <c r="F14" t="s">
        <v>663</v>
      </c>
      <c r="G14" t="s">
        <v>686</v>
      </c>
      <c r="H14" s="8">
        <v>14319615.835764131</v>
      </c>
      <c r="I14" s="8">
        <v>51550.617008750865</v>
      </c>
      <c r="J14" s="8">
        <v>0</v>
      </c>
      <c r="K14" s="8">
        <v>2091946.5045782062</v>
      </c>
      <c r="L14" s="8">
        <v>5305166.8602369819</v>
      </c>
      <c r="M14" s="8">
        <f t="shared" si="1"/>
        <v>2091946.5045782062</v>
      </c>
      <c r="N14" s="8">
        <f t="shared" si="2"/>
        <v>7397113.3648151886</v>
      </c>
      <c r="O14" t="s">
        <v>746</v>
      </c>
      <c r="P14" t="str">
        <f t="shared" si="0"/>
        <v>Elec</v>
      </c>
      <c r="T14" t="s">
        <v>685</v>
      </c>
      <c r="U14" t="s">
        <v>156</v>
      </c>
      <c r="V14" s="240">
        <v>0</v>
      </c>
      <c r="Y14" s="2020"/>
      <c r="Z14" s="906"/>
      <c r="AA14" s="220"/>
      <c r="AB14" s="213"/>
      <c r="AC14" s="483">
        <f t="shared" si="3"/>
        <v>0</v>
      </c>
    </row>
    <row r="15" spans="1:34">
      <c r="A15" t="s">
        <v>571</v>
      </c>
      <c r="B15" t="s">
        <v>41</v>
      </c>
      <c r="C15" t="s">
        <v>665</v>
      </c>
      <c r="D15" t="s">
        <v>656</v>
      </c>
      <c r="E15" t="s">
        <v>666</v>
      </c>
      <c r="F15" t="s">
        <v>673</v>
      </c>
      <c r="G15" t="s">
        <v>686</v>
      </c>
      <c r="H15" s="8">
        <v>53393.888473823616</v>
      </c>
      <c r="I15" s="8">
        <v>2061.0040950895918</v>
      </c>
      <c r="J15" s="8">
        <v>13751.419744697478</v>
      </c>
      <c r="K15" s="8">
        <v>0</v>
      </c>
      <c r="L15" s="8">
        <v>137791.59632028712</v>
      </c>
      <c r="M15" s="8">
        <f t="shared" si="1"/>
        <v>13751.419744697478</v>
      </c>
      <c r="N15" s="8">
        <f t="shared" si="2"/>
        <v>151543.01606498461</v>
      </c>
      <c r="O15" t="s">
        <v>746</v>
      </c>
      <c r="P15" t="str">
        <f t="shared" si="0"/>
        <v>Fuel</v>
      </c>
      <c r="T15" t="s">
        <v>53</v>
      </c>
      <c r="U15"/>
      <c r="V15" s="240">
        <v>1163669282.2619505</v>
      </c>
      <c r="Y15" s="2021"/>
      <c r="Z15" s="219"/>
      <c r="AA15" s="214"/>
      <c r="AB15" s="213"/>
      <c r="AC15" s="483">
        <f t="shared" si="3"/>
        <v>0</v>
      </c>
    </row>
    <row r="16" spans="1:34">
      <c r="A16" t="s">
        <v>571</v>
      </c>
      <c r="B16" t="s">
        <v>41</v>
      </c>
      <c r="C16" t="s">
        <v>665</v>
      </c>
      <c r="D16" t="s">
        <v>668</v>
      </c>
      <c r="E16" t="s">
        <v>666</v>
      </c>
      <c r="F16" t="s">
        <v>670</v>
      </c>
      <c r="G16" t="s">
        <v>686</v>
      </c>
      <c r="H16" s="8">
        <v>228820.96606360161</v>
      </c>
      <c r="I16" s="8">
        <v>228.82096606360162</v>
      </c>
      <c r="J16" s="8">
        <v>3247.6793076868335</v>
      </c>
      <c r="K16" s="8">
        <v>0</v>
      </c>
      <c r="L16" s="8">
        <v>10260.628703363041</v>
      </c>
      <c r="M16" s="8">
        <f t="shared" si="1"/>
        <v>3247.6793076868335</v>
      </c>
      <c r="N16" s="8">
        <f t="shared" si="2"/>
        <v>13508.308011049874</v>
      </c>
      <c r="O16" t="s">
        <v>746</v>
      </c>
      <c r="P16" t="str">
        <f t="shared" si="0"/>
        <v>Fuel</v>
      </c>
      <c r="U16"/>
      <c r="Y16" s="2020"/>
      <c r="Z16" s="906"/>
      <c r="AA16" s="220"/>
      <c r="AB16" s="213"/>
      <c r="AC16" s="3">
        <f>AA16/$AA$18</f>
        <v>0</v>
      </c>
    </row>
    <row r="17" spans="1:29">
      <c r="A17" t="s">
        <v>571</v>
      </c>
      <c r="B17" t="s">
        <v>687</v>
      </c>
      <c r="C17" t="s">
        <v>661</v>
      </c>
      <c r="D17" t="s">
        <v>155</v>
      </c>
      <c r="E17" t="s">
        <v>662</v>
      </c>
      <c r="F17" t="s">
        <v>663</v>
      </c>
      <c r="G17" t="s">
        <v>686</v>
      </c>
      <c r="H17" s="8">
        <v>21938690</v>
      </c>
      <c r="I17" s="8">
        <v>78979.284</v>
      </c>
      <c r="J17" s="8">
        <v>1</v>
      </c>
      <c r="K17" s="8">
        <v>8961954.8650000002</v>
      </c>
      <c r="L17" s="8">
        <v>181852.5470783714</v>
      </c>
      <c r="M17" s="8">
        <f t="shared" si="1"/>
        <v>8961955.8650000002</v>
      </c>
      <c r="N17" s="8">
        <f t="shared" si="2"/>
        <v>9143808.4120783713</v>
      </c>
      <c r="O17" t="s">
        <v>743</v>
      </c>
      <c r="P17" t="str">
        <f t="shared" si="0"/>
        <v>Elec</v>
      </c>
      <c r="U17"/>
      <c r="Y17" s="2021"/>
      <c r="Z17" s="219"/>
      <c r="AA17" s="214"/>
      <c r="AB17" s="213"/>
      <c r="AC17" s="3">
        <f>AA17/$AA$18</f>
        <v>0</v>
      </c>
    </row>
    <row r="18" spans="1:29">
      <c r="A18" t="s">
        <v>571</v>
      </c>
      <c r="B18" t="s">
        <v>687</v>
      </c>
      <c r="C18" t="s">
        <v>665</v>
      </c>
      <c r="D18" t="s">
        <v>656</v>
      </c>
      <c r="E18" t="s">
        <v>666</v>
      </c>
      <c r="F18" t="s">
        <v>673</v>
      </c>
      <c r="G18" t="s">
        <v>686</v>
      </c>
      <c r="H18" s="8">
        <v>28228.335165540786</v>
      </c>
      <c r="I18" s="8">
        <v>1089.6137373898744</v>
      </c>
      <c r="J18" s="8">
        <v>76490.884364769183</v>
      </c>
      <c r="K18" s="8">
        <v>1</v>
      </c>
      <c r="L18" s="8">
        <v>3922.6094546035474</v>
      </c>
      <c r="M18" s="8">
        <f t="shared" si="1"/>
        <v>76491.884364769183</v>
      </c>
      <c r="N18" s="8">
        <f t="shared" si="2"/>
        <v>80414.493819372728</v>
      </c>
      <c r="O18" t="s">
        <v>743</v>
      </c>
      <c r="P18" t="str">
        <f t="shared" si="0"/>
        <v>Fuel</v>
      </c>
      <c r="U18"/>
      <c r="Z18" s="56" t="s">
        <v>749</v>
      </c>
      <c r="AA18" s="243">
        <f>SUM(AA5:AA17)</f>
        <v>1163669.2822619507</v>
      </c>
    </row>
    <row r="19" spans="1:29">
      <c r="A19" t="s">
        <v>571</v>
      </c>
      <c r="B19" t="s">
        <v>687</v>
      </c>
      <c r="C19" t="s">
        <v>665</v>
      </c>
      <c r="D19" t="s">
        <v>668</v>
      </c>
      <c r="E19" t="s">
        <v>666</v>
      </c>
      <c r="F19" t="s">
        <v>670</v>
      </c>
      <c r="G19" t="s">
        <v>686</v>
      </c>
      <c r="H19" s="8">
        <v>350570.31540134159</v>
      </c>
      <c r="I19" s="8">
        <v>350.57031540134159</v>
      </c>
      <c r="J19" s="8">
        <v>18064.888352631133</v>
      </c>
      <c r="K19" s="8">
        <v>1</v>
      </c>
      <c r="L19" s="8">
        <v>2853.642367366921</v>
      </c>
      <c r="M19" s="8">
        <f t="shared" si="1"/>
        <v>18065.888352631133</v>
      </c>
      <c r="N19" s="8">
        <f t="shared" si="2"/>
        <v>20919.530719998053</v>
      </c>
      <c r="O19" t="s">
        <v>743</v>
      </c>
      <c r="P19" t="str">
        <f t="shared" si="0"/>
        <v>Fuel</v>
      </c>
      <c r="U19"/>
    </row>
    <row r="20" spans="1:29" ht="14.4" thickBot="1">
      <c r="A20" t="s">
        <v>679</v>
      </c>
      <c r="B20" t="s">
        <v>679</v>
      </c>
      <c r="C20" t="s">
        <v>155</v>
      </c>
      <c r="D20" t="s">
        <v>656</v>
      </c>
      <c r="E20" t="s">
        <v>657</v>
      </c>
      <c r="F20" t="s">
        <v>658</v>
      </c>
      <c r="G20" t="s">
        <v>104</v>
      </c>
      <c r="H20" s="8">
        <v>6.2278100999999984</v>
      </c>
      <c r="I20" s="8">
        <v>240.39346985999995</v>
      </c>
      <c r="J20" s="8">
        <v>16875.621584171997</v>
      </c>
      <c r="K20" s="8">
        <v>0</v>
      </c>
      <c r="L20" s="8">
        <v>865.41649149599982</v>
      </c>
      <c r="M20" s="8">
        <f t="shared" si="1"/>
        <v>16875.621584171997</v>
      </c>
      <c r="N20" s="8">
        <f t="shared" si="2"/>
        <v>17741.038075667995</v>
      </c>
      <c r="O20" t="s">
        <v>746</v>
      </c>
      <c r="P20" t="str">
        <f t="shared" si="0"/>
        <v>Fuel</v>
      </c>
      <c r="U20"/>
      <c r="Z20" s="8">
        <f>M216</f>
        <v>169513.86169127241</v>
      </c>
    </row>
    <row r="21" spans="1:29">
      <c r="A21" t="s">
        <v>679</v>
      </c>
      <c r="B21" t="s">
        <v>679</v>
      </c>
      <c r="C21" t="s">
        <v>661</v>
      </c>
      <c r="D21" t="s">
        <v>155</v>
      </c>
      <c r="E21" t="s">
        <v>662</v>
      </c>
      <c r="F21" t="s">
        <v>663</v>
      </c>
      <c r="G21" t="s">
        <v>104</v>
      </c>
      <c r="H21" s="8">
        <v>1249087.2310545254</v>
      </c>
      <c r="I21" s="8">
        <v>4496.7140317962921</v>
      </c>
      <c r="J21" s="8">
        <v>0</v>
      </c>
      <c r="K21" s="8">
        <v>1114487.6136836854</v>
      </c>
      <c r="L21" s="8">
        <v>124884.06467133613</v>
      </c>
      <c r="M21" s="8">
        <f t="shared" si="1"/>
        <v>1114487.6136836854</v>
      </c>
      <c r="N21" s="8">
        <f t="shared" si="2"/>
        <v>1239371.6783550216</v>
      </c>
      <c r="O21" t="s">
        <v>746</v>
      </c>
      <c r="P21" t="str">
        <f t="shared" si="0"/>
        <v>Elec</v>
      </c>
      <c r="T21" s="831" t="str">
        <f>T3</f>
        <v>Sum of S1+2</v>
      </c>
      <c r="U21" s="832"/>
      <c r="V21" s="833"/>
      <c r="Z21" s="8">
        <f>Z20/1000</f>
        <v>169.51386169127241</v>
      </c>
      <c r="AA21" t="b">
        <f>Z21=AA18</f>
        <v>0</v>
      </c>
    </row>
    <row r="22" spans="1:29" ht="14.4" thickBot="1">
      <c r="A22" t="s">
        <v>679</v>
      </c>
      <c r="B22" t="s">
        <v>679</v>
      </c>
      <c r="C22" t="s">
        <v>665</v>
      </c>
      <c r="D22" t="s">
        <v>668</v>
      </c>
      <c r="E22" t="s">
        <v>666</v>
      </c>
      <c r="F22" t="s">
        <v>669</v>
      </c>
      <c r="G22" t="s">
        <v>104</v>
      </c>
      <c r="H22" s="8">
        <v>639.7719201509625</v>
      </c>
      <c r="I22" s="8">
        <v>639.7719201509625</v>
      </c>
      <c r="J22" s="8">
        <v>32967.4470453791</v>
      </c>
      <c r="K22" s="8">
        <v>0</v>
      </c>
      <c r="L22" s="8">
        <v>2495.1104885887535</v>
      </c>
      <c r="M22" s="8">
        <f t="shared" si="1"/>
        <v>32967.4470453791</v>
      </c>
      <c r="N22" s="8">
        <f t="shared" si="2"/>
        <v>35462.557533967854</v>
      </c>
      <c r="O22" t="s">
        <v>746</v>
      </c>
      <c r="P22" t="str">
        <f t="shared" si="0"/>
        <v>Fuel</v>
      </c>
      <c r="T22" s="834" t="str">
        <f t="shared" ref="T22:V22" si="4">T4</f>
        <v>Allocation</v>
      </c>
      <c r="U22" s="835" t="str">
        <f t="shared" si="4"/>
        <v>Elec/fuel</v>
      </c>
      <c r="V22" s="836" t="str">
        <f t="shared" si="4"/>
        <v>Total</v>
      </c>
    </row>
    <row r="23" spans="1:29">
      <c r="A23" t="s">
        <v>679</v>
      </c>
      <c r="B23" t="s">
        <v>679</v>
      </c>
      <c r="C23" t="s">
        <v>671</v>
      </c>
      <c r="D23" t="s">
        <v>656</v>
      </c>
      <c r="E23" t="s">
        <v>672</v>
      </c>
      <c r="F23" t="s">
        <v>658</v>
      </c>
      <c r="G23" t="s">
        <v>104</v>
      </c>
      <c r="H23" s="8">
        <v>192.98402989999997</v>
      </c>
      <c r="I23" s="8">
        <v>7449.1835541399987</v>
      </c>
      <c r="J23" s="8">
        <v>524497.01404699741</v>
      </c>
      <c r="K23" s="8">
        <v>0</v>
      </c>
      <c r="L23" s="8">
        <v>26817.060794903995</v>
      </c>
      <c r="M23" s="8">
        <f t="shared" si="1"/>
        <v>524497.01404699741</v>
      </c>
      <c r="N23" s="8">
        <f t="shared" si="2"/>
        <v>551314.07484190143</v>
      </c>
      <c r="O23" t="s">
        <v>671</v>
      </c>
      <c r="P23" t="str">
        <f t="shared" si="0"/>
        <v>Fuel</v>
      </c>
      <c r="T23" s="775" t="str">
        <f t="shared" ref="T23:U23" si="5">T5</f>
        <v>Data centers</v>
      </c>
      <c r="U23" s="773" t="str">
        <f t="shared" si="5"/>
        <v>Elec</v>
      </c>
      <c r="V23" s="777">
        <f>V5/1000</f>
        <v>127209.04499744732</v>
      </c>
    </row>
    <row r="24" spans="1:29" ht="14.4" thickBot="1">
      <c r="A24" t="s">
        <v>679</v>
      </c>
      <c r="B24" t="s">
        <v>679</v>
      </c>
      <c r="C24" t="s">
        <v>671</v>
      </c>
      <c r="D24" t="s">
        <v>659</v>
      </c>
      <c r="E24" t="s">
        <v>672</v>
      </c>
      <c r="F24" t="s">
        <v>658</v>
      </c>
      <c r="G24" t="s">
        <v>104</v>
      </c>
      <c r="H24" s="8">
        <v>48.718119999999992</v>
      </c>
      <c r="I24" s="8">
        <v>1666.1597040000001</v>
      </c>
      <c r="J24" s="8">
        <v>112665.71918448001</v>
      </c>
      <c r="K24" s="8">
        <v>0</v>
      </c>
      <c r="L24" s="8">
        <v>5998.1749344000009</v>
      </c>
      <c r="M24" s="8">
        <f t="shared" si="1"/>
        <v>112665.71918448001</v>
      </c>
      <c r="N24" s="8">
        <f t="shared" si="2"/>
        <v>118663.89411888001</v>
      </c>
      <c r="O24" t="s">
        <v>671</v>
      </c>
      <c r="P24" t="str">
        <f t="shared" si="0"/>
        <v>Fuel</v>
      </c>
      <c r="T24" s="776" t="str">
        <f t="shared" ref="T24:U24" si="6">T6</f>
        <v>Data centers</v>
      </c>
      <c r="U24" s="774" t="str">
        <f t="shared" si="6"/>
        <v>Fuel</v>
      </c>
      <c r="V24" s="778">
        <f>V6/1000</f>
        <v>563.62234333894605</v>
      </c>
    </row>
    <row r="25" spans="1:29">
      <c r="A25" t="s">
        <v>655</v>
      </c>
      <c r="B25" t="s">
        <v>688</v>
      </c>
      <c r="C25" t="s">
        <v>661</v>
      </c>
      <c r="D25" t="s">
        <v>155</v>
      </c>
      <c r="E25" t="s">
        <v>662</v>
      </c>
      <c r="F25" t="s">
        <v>663</v>
      </c>
      <c r="G25" t="s">
        <v>104</v>
      </c>
      <c r="H25" s="8">
        <v>2011702.3574999999</v>
      </c>
      <c r="I25" s="8">
        <v>7242.128487</v>
      </c>
      <c r="J25" s="8">
        <v>0</v>
      </c>
      <c r="K25" s="8">
        <v>1629478.9095749999</v>
      </c>
      <c r="L25" s="8">
        <v>181053.21217499999</v>
      </c>
      <c r="M25" s="8">
        <f t="shared" si="1"/>
        <v>1629478.9095749999</v>
      </c>
      <c r="N25" s="8">
        <f t="shared" si="2"/>
        <v>1810532.1217499999</v>
      </c>
      <c r="O25" t="s">
        <v>739</v>
      </c>
      <c r="P25" t="str">
        <f t="shared" si="0"/>
        <v>Elec</v>
      </c>
      <c r="T25" s="775" t="str">
        <f t="shared" ref="T25:U25" si="7">T7</f>
        <v>Network</v>
      </c>
      <c r="U25" s="773" t="str">
        <f t="shared" si="7"/>
        <v>Elec</v>
      </c>
      <c r="V25" s="777">
        <f>V7/1000</f>
        <v>964144.94403457851</v>
      </c>
    </row>
    <row r="26" spans="1:29" ht="14.4" thickBot="1">
      <c r="A26" t="s">
        <v>655</v>
      </c>
      <c r="B26" t="s">
        <v>689</v>
      </c>
      <c r="C26" t="s">
        <v>155</v>
      </c>
      <c r="D26" t="s">
        <v>656</v>
      </c>
      <c r="E26" t="s">
        <v>657</v>
      </c>
      <c r="F26" t="s">
        <v>658</v>
      </c>
      <c r="G26" t="s">
        <v>686</v>
      </c>
      <c r="H26" s="8">
        <v>0</v>
      </c>
      <c r="I26" s="8">
        <v>0</v>
      </c>
      <c r="J26" s="8">
        <v>0</v>
      </c>
      <c r="K26" s="8">
        <v>0</v>
      </c>
      <c r="L26" s="8">
        <v>0</v>
      </c>
      <c r="M26" s="8">
        <f t="shared" si="1"/>
        <v>0</v>
      </c>
      <c r="N26" s="8">
        <f t="shared" si="2"/>
        <v>0</v>
      </c>
      <c r="O26" t="s">
        <v>739</v>
      </c>
      <c r="P26" t="str">
        <f t="shared" si="0"/>
        <v>Fuel</v>
      </c>
      <c r="T26" s="776" t="str">
        <f t="shared" ref="T26:U26" si="8">T8</f>
        <v>Network</v>
      </c>
      <c r="U26" s="774" t="str">
        <f t="shared" si="8"/>
        <v>Fuel</v>
      </c>
      <c r="V26" s="778">
        <f>V8/1000</f>
        <v>6915.2974415094104</v>
      </c>
    </row>
    <row r="27" spans="1:29">
      <c r="A27" t="s">
        <v>655</v>
      </c>
      <c r="B27" t="s">
        <v>689</v>
      </c>
      <c r="C27" t="s">
        <v>661</v>
      </c>
      <c r="D27" t="s">
        <v>155</v>
      </c>
      <c r="E27" t="s">
        <v>662</v>
      </c>
      <c r="F27" t="s">
        <v>663</v>
      </c>
      <c r="G27" t="s">
        <v>104</v>
      </c>
      <c r="H27" s="8">
        <v>27473994.162800003</v>
      </c>
      <c r="I27" s="8">
        <v>98906.378986080003</v>
      </c>
      <c r="J27" s="8">
        <v>0</v>
      </c>
      <c r="K27" s="8">
        <v>22253935.271868005</v>
      </c>
      <c r="L27" s="8">
        <v>2472659.4746520002</v>
      </c>
      <c r="M27" s="8">
        <f t="shared" si="1"/>
        <v>22253935.271868005</v>
      </c>
      <c r="N27" s="8">
        <f t="shared" si="2"/>
        <v>24726594.746520005</v>
      </c>
      <c r="O27" t="s">
        <v>739</v>
      </c>
      <c r="P27" t="str">
        <f t="shared" si="0"/>
        <v>Elec</v>
      </c>
      <c r="T27" s="775" t="str">
        <f t="shared" ref="T27:U27" si="9">T9</f>
        <v>Offices/Residences/Shops</v>
      </c>
      <c r="U27" s="773" t="str">
        <f t="shared" si="9"/>
        <v>Elec</v>
      </c>
      <c r="V27" s="777">
        <f t="shared" ref="V27:V36" si="10">V9/1000</f>
        <v>39229.854248463191</v>
      </c>
    </row>
    <row r="28" spans="1:29" ht="14.4" thickBot="1">
      <c r="A28" t="s">
        <v>655</v>
      </c>
      <c r="B28" t="s">
        <v>690</v>
      </c>
      <c r="C28" t="s">
        <v>661</v>
      </c>
      <c r="D28" t="s">
        <v>155</v>
      </c>
      <c r="E28" t="s">
        <v>662</v>
      </c>
      <c r="F28" t="s">
        <v>663</v>
      </c>
      <c r="G28" t="s">
        <v>104</v>
      </c>
      <c r="H28" s="8">
        <v>0</v>
      </c>
      <c r="I28" s="8">
        <v>0</v>
      </c>
      <c r="J28" s="8">
        <v>0</v>
      </c>
      <c r="K28" s="8">
        <v>0</v>
      </c>
      <c r="L28" s="8">
        <v>0</v>
      </c>
      <c r="M28" s="8">
        <f t="shared" si="1"/>
        <v>0</v>
      </c>
      <c r="N28" s="8">
        <f t="shared" si="2"/>
        <v>0</v>
      </c>
      <c r="O28" t="s">
        <v>739</v>
      </c>
      <c r="P28" t="str">
        <f t="shared" si="0"/>
        <v>Elec</v>
      </c>
      <c r="T28" s="776" t="str">
        <f t="shared" ref="T28:U28" si="11">T10</f>
        <v>Offices/Residences/Shops</v>
      </c>
      <c r="U28" s="774" t="str">
        <f t="shared" si="11"/>
        <v>Fuel</v>
      </c>
      <c r="V28" s="778">
        <f t="shared" si="10"/>
        <v>611.56252749593762</v>
      </c>
    </row>
    <row r="29" spans="1:29" ht="14.4" thickBot="1">
      <c r="A29" t="s">
        <v>655</v>
      </c>
      <c r="B29" t="s">
        <v>691</v>
      </c>
      <c r="C29" t="s">
        <v>661</v>
      </c>
      <c r="D29" t="s">
        <v>155</v>
      </c>
      <c r="E29" t="s">
        <v>662</v>
      </c>
      <c r="F29" t="s">
        <v>663</v>
      </c>
      <c r="G29" t="s">
        <v>104</v>
      </c>
      <c r="H29" s="8">
        <v>0</v>
      </c>
      <c r="I29" s="8">
        <v>0</v>
      </c>
      <c r="J29" s="8">
        <v>0</v>
      </c>
      <c r="K29" s="8">
        <v>0</v>
      </c>
      <c r="L29" s="8">
        <v>0</v>
      </c>
      <c r="M29" s="8">
        <f t="shared" si="1"/>
        <v>0</v>
      </c>
      <c r="N29" s="8">
        <f t="shared" si="2"/>
        <v>0</v>
      </c>
      <c r="O29" t="s">
        <v>739</v>
      </c>
      <c r="P29" t="str">
        <f t="shared" si="0"/>
        <v>Elec</v>
      </c>
      <c r="T29" s="775" t="str">
        <f t="shared" ref="T29:U29" si="12">T11</f>
        <v>Transport</v>
      </c>
      <c r="U29" s="773" t="str">
        <f t="shared" si="12"/>
        <v>Fuel</v>
      </c>
      <c r="V29" s="777">
        <f t="shared" si="10"/>
        <v>24994.956669117266</v>
      </c>
    </row>
    <row r="30" spans="1:29">
      <c r="A30" t="s">
        <v>655</v>
      </c>
      <c r="B30" t="s">
        <v>692</v>
      </c>
      <c r="C30" t="s">
        <v>661</v>
      </c>
      <c r="D30" t="s">
        <v>155</v>
      </c>
      <c r="E30" t="s">
        <v>662</v>
      </c>
      <c r="F30" t="s">
        <v>663</v>
      </c>
      <c r="G30" t="s">
        <v>104</v>
      </c>
      <c r="H30" s="8">
        <v>0</v>
      </c>
      <c r="I30" s="8">
        <v>0</v>
      </c>
      <c r="J30" s="8">
        <v>0</v>
      </c>
      <c r="K30" s="8">
        <v>0</v>
      </c>
      <c r="L30" s="8">
        <v>0</v>
      </c>
      <c r="M30" s="8">
        <f t="shared" si="1"/>
        <v>0</v>
      </c>
      <c r="N30" s="8">
        <f t="shared" si="2"/>
        <v>0</v>
      </c>
      <c r="O30" t="s">
        <v>739</v>
      </c>
      <c r="P30" t="str">
        <f t="shared" si="0"/>
        <v>Elec</v>
      </c>
      <c r="T30" s="775" t="str">
        <f t="shared" ref="T30:U30" si="13">T12</f>
        <v>Cable landing station</v>
      </c>
      <c r="U30" s="773" t="str">
        <f t="shared" si="13"/>
        <v>Elec</v>
      </c>
      <c r="V30" s="777">
        <f t="shared" si="10"/>
        <v>0</v>
      </c>
    </row>
    <row r="31" spans="1:29" ht="14.4" thickBot="1">
      <c r="A31" t="s">
        <v>655</v>
      </c>
      <c r="B31" t="s">
        <v>693</v>
      </c>
      <c r="C31" t="s">
        <v>661</v>
      </c>
      <c r="D31" t="s">
        <v>155</v>
      </c>
      <c r="E31" t="s">
        <v>662</v>
      </c>
      <c r="F31" t="s">
        <v>663</v>
      </c>
      <c r="G31" t="s">
        <v>104</v>
      </c>
      <c r="H31" s="8">
        <v>0</v>
      </c>
      <c r="I31" s="8">
        <v>0</v>
      </c>
      <c r="J31" s="8">
        <v>0</v>
      </c>
      <c r="K31" s="8">
        <v>0</v>
      </c>
      <c r="L31" s="8">
        <v>0</v>
      </c>
      <c r="M31" s="8">
        <f t="shared" si="1"/>
        <v>0</v>
      </c>
      <c r="N31" s="8">
        <f t="shared" si="2"/>
        <v>0</v>
      </c>
      <c r="O31" t="s">
        <v>739</v>
      </c>
      <c r="P31" t="str">
        <f t="shared" si="0"/>
        <v>Elec</v>
      </c>
      <c r="T31" s="776" t="str">
        <f t="shared" ref="T31:U31" si="14">T13</f>
        <v>Cable landing station</v>
      </c>
      <c r="U31" s="774" t="str">
        <f t="shared" si="14"/>
        <v>Fuel</v>
      </c>
      <c r="V31" s="778">
        <f t="shared" si="10"/>
        <v>0</v>
      </c>
    </row>
    <row r="32" spans="1:29">
      <c r="A32" t="s">
        <v>655</v>
      </c>
      <c r="B32" t="s">
        <v>694</v>
      </c>
      <c r="C32" t="s">
        <v>155</v>
      </c>
      <c r="D32" t="s">
        <v>656</v>
      </c>
      <c r="E32" t="s">
        <v>657</v>
      </c>
      <c r="F32" t="s">
        <v>658</v>
      </c>
      <c r="G32" t="s">
        <v>686</v>
      </c>
      <c r="H32" s="8">
        <v>28.414000000000001</v>
      </c>
      <c r="I32" s="8">
        <v>1096.7804000000001</v>
      </c>
      <c r="J32" s="8">
        <v>76993.984080000009</v>
      </c>
      <c r="K32" s="8">
        <v>0</v>
      </c>
      <c r="L32" s="8">
        <v>3948.4094400000004</v>
      </c>
      <c r="M32" s="8">
        <f t="shared" si="1"/>
        <v>76993.984080000009</v>
      </c>
      <c r="N32" s="8">
        <f t="shared" si="2"/>
        <v>80942.393520000012</v>
      </c>
      <c r="O32" t="s">
        <v>739</v>
      </c>
      <c r="P32" t="str">
        <f t="shared" si="0"/>
        <v>Fuel</v>
      </c>
      <c r="T32" s="775" t="str">
        <f t="shared" ref="T32:U32" si="15">T14</f>
        <v>(blank)</v>
      </c>
      <c r="U32" s="773" t="str">
        <f t="shared" si="15"/>
        <v>Fuel</v>
      </c>
      <c r="V32" s="777">
        <f t="shared" si="10"/>
        <v>0</v>
      </c>
    </row>
    <row r="33" spans="1:22" ht="14.4" thickBot="1">
      <c r="A33" t="s">
        <v>655</v>
      </c>
      <c r="B33" t="s">
        <v>694</v>
      </c>
      <c r="C33" t="s">
        <v>661</v>
      </c>
      <c r="D33" t="s">
        <v>155</v>
      </c>
      <c r="E33" t="s">
        <v>662</v>
      </c>
      <c r="F33" t="s">
        <v>663</v>
      </c>
      <c r="G33" t="s">
        <v>104</v>
      </c>
      <c r="H33" s="8">
        <v>41352143.156999998</v>
      </c>
      <c r="I33" s="8">
        <v>148867.71536519998</v>
      </c>
      <c r="J33" s="8">
        <v>0</v>
      </c>
      <c r="K33" s="8">
        <v>40525100.293859996</v>
      </c>
      <c r="L33" s="8">
        <v>4548735.7472700002</v>
      </c>
      <c r="M33" s="8">
        <f t="shared" si="1"/>
        <v>40525100.293859996</v>
      </c>
      <c r="N33" s="8">
        <f t="shared" si="2"/>
        <v>45073836.041129999</v>
      </c>
      <c r="O33" t="s">
        <v>739</v>
      </c>
      <c r="P33" t="str">
        <f t="shared" si="0"/>
        <v>Elec</v>
      </c>
      <c r="T33" s="776" t="str">
        <f t="shared" ref="T33:U33" si="16">T15</f>
        <v>Grand Total</v>
      </c>
      <c r="U33" s="774">
        <f t="shared" si="16"/>
        <v>0</v>
      </c>
      <c r="V33" s="778">
        <f t="shared" si="10"/>
        <v>1163669.2822619504</v>
      </c>
    </row>
    <row r="34" spans="1:22">
      <c r="A34" t="s">
        <v>655</v>
      </c>
      <c r="B34" t="s">
        <v>694</v>
      </c>
      <c r="C34" t="s">
        <v>665</v>
      </c>
      <c r="D34" t="s">
        <v>668</v>
      </c>
      <c r="E34" t="s">
        <v>666</v>
      </c>
      <c r="F34" t="s">
        <v>670</v>
      </c>
      <c r="G34" t="s">
        <v>695</v>
      </c>
      <c r="H34" s="8">
        <v>706570.09830000007</v>
      </c>
      <c r="I34" s="8">
        <v>706.57009830000004</v>
      </c>
      <c r="J34" s="8">
        <v>36409.557165399005</v>
      </c>
      <c r="K34" s="8">
        <v>0</v>
      </c>
      <c r="L34" s="8">
        <v>2755.6233833700003</v>
      </c>
      <c r="M34" s="8">
        <f t="shared" si="1"/>
        <v>36409.557165399005</v>
      </c>
      <c r="N34" s="8">
        <f t="shared" si="2"/>
        <v>39165.180548769007</v>
      </c>
      <c r="O34" t="s">
        <v>739</v>
      </c>
      <c r="P34" t="str">
        <f t="shared" si="0"/>
        <v>Fuel</v>
      </c>
      <c r="T34" s="775">
        <f t="shared" ref="T34:U34" si="17">T16</f>
        <v>0</v>
      </c>
      <c r="U34" s="773">
        <f t="shared" si="17"/>
        <v>0</v>
      </c>
      <c r="V34" s="777">
        <f>V16/1000</f>
        <v>0</v>
      </c>
    </row>
    <row r="35" spans="1:22" ht="14.4" thickBot="1">
      <c r="A35" t="s">
        <v>655</v>
      </c>
      <c r="B35" t="s">
        <v>694</v>
      </c>
      <c r="C35" t="s">
        <v>665</v>
      </c>
      <c r="D35" t="s">
        <v>668</v>
      </c>
      <c r="E35" t="s">
        <v>666</v>
      </c>
      <c r="G35" t="s">
        <v>686</v>
      </c>
      <c r="H35" s="8">
        <v>150712.5276</v>
      </c>
      <c r="I35" s="8">
        <v>150.71252760000002</v>
      </c>
      <c r="J35" s="8">
        <v>7766.2165472280012</v>
      </c>
      <c r="K35" s="8">
        <v>0</v>
      </c>
      <c r="L35" s="8">
        <v>587.77885764000007</v>
      </c>
      <c r="M35" s="8">
        <f t="shared" si="1"/>
        <v>7766.2165472280012</v>
      </c>
      <c r="N35" s="8">
        <f t="shared" si="2"/>
        <v>8353.9954048680011</v>
      </c>
      <c r="O35" t="s">
        <v>739</v>
      </c>
      <c r="P35" t="str">
        <f t="shared" si="0"/>
        <v>Fuel</v>
      </c>
      <c r="T35" s="776">
        <f t="shared" ref="T35:U35" si="18">T17</f>
        <v>0</v>
      </c>
      <c r="U35" s="774">
        <f t="shared" si="18"/>
        <v>0</v>
      </c>
      <c r="V35" s="778">
        <f t="shared" si="10"/>
        <v>0</v>
      </c>
    </row>
    <row r="36" spans="1:22" ht="14.4" thickBot="1">
      <c r="A36" t="s">
        <v>655</v>
      </c>
      <c r="B36" t="s">
        <v>696</v>
      </c>
      <c r="C36" t="s">
        <v>661</v>
      </c>
      <c r="D36" t="s">
        <v>155</v>
      </c>
      <c r="E36" t="s">
        <v>662</v>
      </c>
      <c r="F36" t="s">
        <v>663</v>
      </c>
      <c r="G36" t="s">
        <v>104</v>
      </c>
      <c r="H36" s="8">
        <v>0</v>
      </c>
      <c r="I36" s="8">
        <v>0</v>
      </c>
      <c r="J36" s="8">
        <v>0</v>
      </c>
      <c r="K36" s="8">
        <v>0</v>
      </c>
      <c r="L36" s="8">
        <v>0</v>
      </c>
      <c r="M36" s="8">
        <f t="shared" si="1"/>
        <v>0</v>
      </c>
      <c r="N36" s="8">
        <f t="shared" si="2"/>
        <v>0</v>
      </c>
      <c r="O36" t="s">
        <v>739</v>
      </c>
      <c r="P36" t="str">
        <f t="shared" si="0"/>
        <v>Elec</v>
      </c>
      <c r="T36" s="776">
        <f t="shared" ref="T36:U36" si="19">T18</f>
        <v>0</v>
      </c>
      <c r="U36" s="774">
        <f t="shared" si="19"/>
        <v>0</v>
      </c>
      <c r="V36" s="778">
        <f t="shared" si="10"/>
        <v>0</v>
      </c>
    </row>
    <row r="37" spans="1:22">
      <c r="A37" t="s">
        <v>655</v>
      </c>
      <c r="B37" t="s">
        <v>697</v>
      </c>
      <c r="C37" t="s">
        <v>661</v>
      </c>
      <c r="D37" t="s">
        <v>155</v>
      </c>
      <c r="E37" t="s">
        <v>662</v>
      </c>
      <c r="F37" t="s">
        <v>663</v>
      </c>
      <c r="G37" t="s">
        <v>104</v>
      </c>
      <c r="H37" s="8">
        <v>48.941000000000003</v>
      </c>
      <c r="I37" s="8">
        <v>0.1761876</v>
      </c>
      <c r="J37" s="8">
        <v>0</v>
      </c>
      <c r="K37" s="8">
        <v>39.642210000000006</v>
      </c>
      <c r="L37" s="8">
        <v>4.4046900000000004</v>
      </c>
      <c r="M37" s="8">
        <f t="shared" si="1"/>
        <v>39.642210000000006</v>
      </c>
      <c r="N37" s="8">
        <f t="shared" si="2"/>
        <v>44.046900000000008</v>
      </c>
      <c r="O37" t="s">
        <v>746</v>
      </c>
      <c r="P37" t="str">
        <f t="shared" si="0"/>
        <v>Elec</v>
      </c>
      <c r="T37" s="25"/>
      <c r="U37" s="25"/>
      <c r="V37" s="837"/>
    </row>
    <row r="38" spans="1:22">
      <c r="A38" t="s">
        <v>655</v>
      </c>
      <c r="B38" t="s">
        <v>697</v>
      </c>
      <c r="C38" t="s">
        <v>665</v>
      </c>
      <c r="D38" t="s">
        <v>668</v>
      </c>
      <c r="E38" t="s">
        <v>666</v>
      </c>
      <c r="F38" t="s">
        <v>670</v>
      </c>
      <c r="G38" t="s">
        <v>695</v>
      </c>
      <c r="H38" s="8">
        <v>0</v>
      </c>
      <c r="I38" s="8">
        <v>0</v>
      </c>
      <c r="J38" s="8">
        <v>0</v>
      </c>
      <c r="K38" s="8">
        <v>0</v>
      </c>
      <c r="L38" s="8">
        <v>0</v>
      </c>
      <c r="M38" s="8">
        <f t="shared" si="1"/>
        <v>0</v>
      </c>
      <c r="N38" s="8">
        <f t="shared" si="2"/>
        <v>0</v>
      </c>
      <c r="O38" t="s">
        <v>746</v>
      </c>
      <c r="P38" t="str">
        <f t="shared" si="0"/>
        <v>Fuel</v>
      </c>
      <c r="U38"/>
    </row>
    <row r="39" spans="1:22">
      <c r="A39" t="s">
        <v>655</v>
      </c>
      <c r="B39" t="s">
        <v>697</v>
      </c>
      <c r="C39" t="s">
        <v>665</v>
      </c>
      <c r="D39" t="s">
        <v>668</v>
      </c>
      <c r="E39" t="s">
        <v>666</v>
      </c>
      <c r="G39" t="s">
        <v>686</v>
      </c>
      <c r="H39" s="8">
        <v>0</v>
      </c>
      <c r="I39" s="8">
        <v>0</v>
      </c>
      <c r="J39" s="8">
        <v>0</v>
      </c>
      <c r="K39" s="8">
        <v>0</v>
      </c>
      <c r="L39" s="8">
        <v>0</v>
      </c>
      <c r="M39" s="8">
        <f t="shared" si="1"/>
        <v>0</v>
      </c>
      <c r="N39" s="8">
        <f t="shared" si="2"/>
        <v>0</v>
      </c>
      <c r="O39" t="s">
        <v>746</v>
      </c>
      <c r="P39" t="str">
        <f t="shared" si="0"/>
        <v>Fuel</v>
      </c>
      <c r="U39"/>
    </row>
    <row r="40" spans="1:22">
      <c r="A40" t="s">
        <v>655</v>
      </c>
      <c r="B40" t="s">
        <v>698</v>
      </c>
      <c r="C40" t="s">
        <v>661</v>
      </c>
      <c r="D40" t="s">
        <v>155</v>
      </c>
      <c r="E40" t="s">
        <v>662</v>
      </c>
      <c r="F40" t="s">
        <v>663</v>
      </c>
      <c r="G40" t="s">
        <v>104</v>
      </c>
      <c r="H40" s="8">
        <v>0</v>
      </c>
      <c r="I40" s="8">
        <v>0</v>
      </c>
      <c r="J40" s="8">
        <v>0</v>
      </c>
      <c r="K40" s="8">
        <v>0</v>
      </c>
      <c r="L40" s="8">
        <v>0</v>
      </c>
      <c r="M40" s="8">
        <f t="shared" si="1"/>
        <v>0</v>
      </c>
      <c r="N40" s="8">
        <f t="shared" si="2"/>
        <v>0</v>
      </c>
      <c r="O40" t="s">
        <v>746</v>
      </c>
      <c r="P40" t="str">
        <f t="shared" si="0"/>
        <v>Elec</v>
      </c>
      <c r="U40"/>
    </row>
    <row r="41" spans="1:22">
      <c r="A41" t="s">
        <v>655</v>
      </c>
      <c r="B41" t="s">
        <v>699</v>
      </c>
      <c r="C41" t="s">
        <v>661</v>
      </c>
      <c r="D41" t="s">
        <v>155</v>
      </c>
      <c r="E41" t="s">
        <v>662</v>
      </c>
      <c r="F41" t="s">
        <v>663</v>
      </c>
      <c r="G41" t="s">
        <v>104</v>
      </c>
      <c r="H41" s="8">
        <v>0</v>
      </c>
      <c r="I41" s="8">
        <v>0</v>
      </c>
      <c r="J41" s="8">
        <v>0</v>
      </c>
      <c r="K41" s="8">
        <v>0</v>
      </c>
      <c r="L41" s="8">
        <v>0</v>
      </c>
      <c r="M41" s="8">
        <f t="shared" si="1"/>
        <v>0</v>
      </c>
      <c r="N41" s="8">
        <f t="shared" si="2"/>
        <v>0</v>
      </c>
      <c r="O41" t="s">
        <v>746</v>
      </c>
      <c r="P41" t="str">
        <f t="shared" si="0"/>
        <v>Elec</v>
      </c>
    </row>
    <row r="42" spans="1:22">
      <c r="A42" t="s">
        <v>655</v>
      </c>
      <c r="B42" t="s">
        <v>700</v>
      </c>
      <c r="C42" t="s">
        <v>661</v>
      </c>
      <c r="D42" t="s">
        <v>155</v>
      </c>
      <c r="E42" t="s">
        <v>662</v>
      </c>
      <c r="F42" t="s">
        <v>663</v>
      </c>
      <c r="G42" t="s">
        <v>104</v>
      </c>
      <c r="H42" s="8">
        <v>43090.295699999995</v>
      </c>
      <c r="I42" s="8">
        <v>155.12506451999997</v>
      </c>
      <c r="J42" s="8">
        <v>0</v>
      </c>
      <c r="K42" s="8">
        <v>34903.139516999996</v>
      </c>
      <c r="L42" s="8">
        <v>5170.8354839999993</v>
      </c>
      <c r="M42" s="8">
        <f t="shared" si="1"/>
        <v>34903.139516999996</v>
      </c>
      <c r="N42" s="8">
        <f t="shared" si="2"/>
        <v>40073.975000999999</v>
      </c>
      <c r="O42" t="s">
        <v>746</v>
      </c>
      <c r="P42" t="str">
        <f t="shared" si="0"/>
        <v>Elec</v>
      </c>
    </row>
    <row r="43" spans="1:22">
      <c r="A43" t="s">
        <v>655</v>
      </c>
      <c r="B43" t="s">
        <v>701</v>
      </c>
      <c r="C43" t="s">
        <v>661</v>
      </c>
      <c r="D43" t="s">
        <v>155</v>
      </c>
      <c r="E43" t="s">
        <v>662</v>
      </c>
      <c r="F43" t="s">
        <v>663</v>
      </c>
      <c r="G43" t="s">
        <v>104</v>
      </c>
      <c r="H43" s="8">
        <v>0</v>
      </c>
      <c r="I43" s="8">
        <v>0</v>
      </c>
      <c r="J43" s="8">
        <v>0</v>
      </c>
      <c r="K43" s="8">
        <v>0</v>
      </c>
      <c r="L43" s="8">
        <v>0</v>
      </c>
      <c r="M43" s="8">
        <f t="shared" si="1"/>
        <v>0</v>
      </c>
      <c r="N43" s="8">
        <f t="shared" si="2"/>
        <v>0</v>
      </c>
      <c r="O43" t="s">
        <v>746</v>
      </c>
      <c r="P43" t="str">
        <f t="shared" si="0"/>
        <v>Elec</v>
      </c>
    </row>
    <row r="44" spans="1:22">
      <c r="A44" t="s">
        <v>655</v>
      </c>
      <c r="B44" t="s">
        <v>702</v>
      </c>
      <c r="C44" t="s">
        <v>661</v>
      </c>
      <c r="D44" t="s">
        <v>155</v>
      </c>
      <c r="E44" t="s">
        <v>662</v>
      </c>
      <c r="F44" t="s">
        <v>663</v>
      </c>
      <c r="G44" t="s">
        <v>104</v>
      </c>
      <c r="H44" s="8">
        <v>0</v>
      </c>
      <c r="I44" s="8">
        <v>0</v>
      </c>
      <c r="J44" s="8">
        <v>0</v>
      </c>
      <c r="K44" s="8">
        <v>0</v>
      </c>
      <c r="L44" s="8">
        <v>0</v>
      </c>
      <c r="M44" s="8">
        <f t="shared" si="1"/>
        <v>0</v>
      </c>
      <c r="N44" s="8">
        <f t="shared" si="2"/>
        <v>0</v>
      </c>
      <c r="O44" t="s">
        <v>746</v>
      </c>
      <c r="P44" t="str">
        <f t="shared" si="0"/>
        <v>Elec</v>
      </c>
    </row>
    <row r="45" spans="1:22">
      <c r="A45" t="s">
        <v>655</v>
      </c>
      <c r="B45" t="s">
        <v>703</v>
      </c>
      <c r="C45" t="s">
        <v>661</v>
      </c>
      <c r="D45" t="s">
        <v>155</v>
      </c>
      <c r="E45" t="s">
        <v>662</v>
      </c>
      <c r="F45" t="s">
        <v>663</v>
      </c>
      <c r="G45" t="s">
        <v>104</v>
      </c>
      <c r="H45" s="8">
        <v>0</v>
      </c>
      <c r="I45" s="8">
        <v>0</v>
      </c>
      <c r="J45" s="8">
        <v>0</v>
      </c>
      <c r="K45" s="8">
        <v>0</v>
      </c>
      <c r="L45" s="8">
        <v>0</v>
      </c>
      <c r="M45" s="8">
        <f t="shared" si="1"/>
        <v>0</v>
      </c>
      <c r="N45" s="8">
        <f t="shared" si="2"/>
        <v>0</v>
      </c>
      <c r="O45" t="s">
        <v>746</v>
      </c>
      <c r="P45" t="str">
        <f t="shared" si="0"/>
        <v>Elec</v>
      </c>
    </row>
    <row r="46" spans="1:22">
      <c r="A46" t="s">
        <v>655</v>
      </c>
      <c r="B46" t="s">
        <v>704</v>
      </c>
      <c r="C46" t="s">
        <v>661</v>
      </c>
      <c r="D46" t="s">
        <v>155</v>
      </c>
      <c r="E46" t="s">
        <v>662</v>
      </c>
      <c r="F46" t="s">
        <v>663</v>
      </c>
      <c r="G46" t="s">
        <v>104</v>
      </c>
      <c r="H46" s="8">
        <v>28456.728200000001</v>
      </c>
      <c r="I46" s="8">
        <v>102.44422152</v>
      </c>
      <c r="J46" s="8">
        <v>0</v>
      </c>
      <c r="K46" s="8">
        <v>19350.575176000002</v>
      </c>
      <c r="L46" s="8">
        <v>569.13456400000007</v>
      </c>
      <c r="M46" s="8">
        <f t="shared" si="1"/>
        <v>19350.575176000002</v>
      </c>
      <c r="N46" s="8">
        <f t="shared" si="2"/>
        <v>19919.709740000002</v>
      </c>
      <c r="O46" t="s">
        <v>746</v>
      </c>
      <c r="P46" t="str">
        <f t="shared" si="0"/>
        <v>Elec</v>
      </c>
    </row>
    <row r="47" spans="1:22">
      <c r="A47" t="s">
        <v>655</v>
      </c>
      <c r="B47" t="s">
        <v>705</v>
      </c>
      <c r="C47" t="s">
        <v>155</v>
      </c>
      <c r="D47" t="s">
        <v>656</v>
      </c>
      <c r="E47" t="s">
        <v>657</v>
      </c>
      <c r="F47" t="s">
        <v>658</v>
      </c>
      <c r="G47" t="s">
        <v>686</v>
      </c>
      <c r="H47" s="8">
        <v>56.253999999999998</v>
      </c>
      <c r="I47" s="8">
        <v>2171.4043999999999</v>
      </c>
      <c r="J47" s="8">
        <v>152432.58888</v>
      </c>
      <c r="K47" s="8">
        <v>0</v>
      </c>
      <c r="L47" s="8">
        <v>7817.05584</v>
      </c>
      <c r="M47" s="8">
        <f t="shared" si="1"/>
        <v>152432.58888</v>
      </c>
      <c r="N47" s="8">
        <f t="shared" si="2"/>
        <v>160249.64471999998</v>
      </c>
      <c r="O47" t="s">
        <v>739</v>
      </c>
      <c r="P47" t="str">
        <f t="shared" si="0"/>
        <v>Fuel</v>
      </c>
    </row>
    <row r="48" spans="1:22">
      <c r="A48" t="s">
        <v>655</v>
      </c>
      <c r="B48" t="s">
        <v>705</v>
      </c>
      <c r="C48" t="s">
        <v>661</v>
      </c>
      <c r="D48" t="s">
        <v>155</v>
      </c>
      <c r="E48" t="s">
        <v>662</v>
      </c>
      <c r="F48" t="s">
        <v>663</v>
      </c>
      <c r="G48" t="s">
        <v>104</v>
      </c>
      <c r="H48" s="8">
        <v>40063690.008000001</v>
      </c>
      <c r="I48" s="8">
        <v>144229.2840288</v>
      </c>
      <c r="J48" s="8">
        <v>0</v>
      </c>
      <c r="K48" s="8">
        <v>32451588.906480003</v>
      </c>
      <c r="L48" s="8">
        <v>3605732.10072</v>
      </c>
      <c r="M48" s="8">
        <f t="shared" si="1"/>
        <v>32451588.906480003</v>
      </c>
      <c r="N48" s="8">
        <f t="shared" si="2"/>
        <v>36057321.007200003</v>
      </c>
      <c r="O48" t="s">
        <v>739</v>
      </c>
      <c r="P48" t="str">
        <f t="shared" si="0"/>
        <v>Elec</v>
      </c>
    </row>
    <row r="49" spans="1:16">
      <c r="A49" t="s">
        <v>655</v>
      </c>
      <c r="B49" t="s">
        <v>706</v>
      </c>
      <c r="C49" t="s">
        <v>155</v>
      </c>
      <c r="D49" t="s">
        <v>656</v>
      </c>
      <c r="E49" t="s">
        <v>657</v>
      </c>
      <c r="F49" t="s">
        <v>658</v>
      </c>
      <c r="G49" t="s">
        <v>686</v>
      </c>
      <c r="H49" s="8">
        <v>9.9307329871008392</v>
      </c>
      <c r="I49" s="8">
        <v>383.32629330209238</v>
      </c>
      <c r="J49" s="8">
        <v>26909.505789806884</v>
      </c>
      <c r="K49" s="8">
        <v>0</v>
      </c>
      <c r="L49" s="8">
        <v>1379.9746558875327</v>
      </c>
      <c r="M49" s="8">
        <f t="shared" si="1"/>
        <v>26909.505789806884</v>
      </c>
      <c r="N49" s="8">
        <f t="shared" si="2"/>
        <v>28289.480445694418</v>
      </c>
      <c r="O49" t="s">
        <v>743</v>
      </c>
      <c r="P49" t="str">
        <f t="shared" si="0"/>
        <v>Fuel</v>
      </c>
    </row>
    <row r="50" spans="1:16">
      <c r="A50" t="s">
        <v>655</v>
      </c>
      <c r="B50" t="s">
        <v>706</v>
      </c>
      <c r="C50" t="s">
        <v>155</v>
      </c>
      <c r="D50" t="s">
        <v>659</v>
      </c>
      <c r="E50" t="s">
        <v>657</v>
      </c>
      <c r="F50" t="s">
        <v>658</v>
      </c>
      <c r="G50" t="s">
        <v>686</v>
      </c>
      <c r="H50" s="8">
        <v>0</v>
      </c>
      <c r="I50" s="8">
        <v>0</v>
      </c>
      <c r="J50" s="8">
        <v>0</v>
      </c>
      <c r="K50" s="8">
        <v>0</v>
      </c>
      <c r="L50" s="8">
        <v>0</v>
      </c>
      <c r="M50" s="8">
        <f t="shared" si="1"/>
        <v>0</v>
      </c>
      <c r="N50" s="8">
        <f t="shared" si="2"/>
        <v>0</v>
      </c>
      <c r="O50" t="s">
        <v>743</v>
      </c>
      <c r="P50" t="str">
        <f t="shared" si="0"/>
        <v>Fuel</v>
      </c>
    </row>
    <row r="51" spans="1:16">
      <c r="A51" t="s">
        <v>655</v>
      </c>
      <c r="B51" t="s">
        <v>706</v>
      </c>
      <c r="C51" t="s">
        <v>155</v>
      </c>
      <c r="D51" t="s">
        <v>660</v>
      </c>
      <c r="E51" t="s">
        <v>657</v>
      </c>
      <c r="F51" t="s">
        <v>658</v>
      </c>
      <c r="G51" t="s">
        <v>686</v>
      </c>
      <c r="H51" s="8">
        <v>0</v>
      </c>
      <c r="I51" s="8">
        <v>0</v>
      </c>
      <c r="J51" s="8">
        <v>0</v>
      </c>
      <c r="K51" s="8">
        <v>0</v>
      </c>
      <c r="L51" s="8">
        <v>0</v>
      </c>
      <c r="M51" s="8">
        <f t="shared" si="1"/>
        <v>0</v>
      </c>
      <c r="N51" s="8">
        <f t="shared" si="2"/>
        <v>0</v>
      </c>
      <c r="O51" t="s">
        <v>743</v>
      </c>
      <c r="P51" t="str">
        <f t="shared" si="0"/>
        <v>Fuel</v>
      </c>
    </row>
    <row r="52" spans="1:16">
      <c r="A52" t="s">
        <v>655</v>
      </c>
      <c r="B52" t="s">
        <v>706</v>
      </c>
      <c r="C52" t="s">
        <v>661</v>
      </c>
      <c r="D52" t="s">
        <v>155</v>
      </c>
      <c r="E52" t="s">
        <v>662</v>
      </c>
      <c r="F52" t="s">
        <v>663</v>
      </c>
      <c r="G52" t="s">
        <v>104</v>
      </c>
      <c r="H52" s="8">
        <v>33084385.025721099</v>
      </c>
      <c r="I52" s="8">
        <v>119103.78609259595</v>
      </c>
      <c r="J52" s="8">
        <v>0</v>
      </c>
      <c r="K52" s="8">
        <v>26798351.870834094</v>
      </c>
      <c r="L52" s="8">
        <v>2977594.652314899</v>
      </c>
      <c r="M52" s="8">
        <f t="shared" si="1"/>
        <v>26798351.870834094</v>
      </c>
      <c r="N52" s="8">
        <f t="shared" si="2"/>
        <v>29775946.523148991</v>
      </c>
      <c r="O52" t="s">
        <v>743</v>
      </c>
      <c r="P52" t="str">
        <f t="shared" si="0"/>
        <v>Elec</v>
      </c>
    </row>
    <row r="53" spans="1:16">
      <c r="A53" t="s">
        <v>655</v>
      </c>
      <c r="B53" t="s">
        <v>706</v>
      </c>
      <c r="C53" t="s">
        <v>661</v>
      </c>
      <c r="D53" t="s">
        <v>664</v>
      </c>
      <c r="E53" t="s">
        <v>662</v>
      </c>
      <c r="F53" t="s">
        <v>663</v>
      </c>
      <c r="G53" t="s">
        <v>686</v>
      </c>
      <c r="H53" s="8">
        <v>55930.706000000006</v>
      </c>
      <c r="I53" s="8">
        <v>201.35054160000001</v>
      </c>
      <c r="J53" s="8">
        <v>0</v>
      </c>
      <c r="K53" s="8">
        <v>0</v>
      </c>
      <c r="L53" s="8">
        <v>0</v>
      </c>
      <c r="M53" s="8">
        <f t="shared" si="1"/>
        <v>0</v>
      </c>
      <c r="N53" s="8">
        <f t="shared" si="2"/>
        <v>0</v>
      </c>
      <c r="O53" t="s">
        <v>743</v>
      </c>
      <c r="P53" t="str">
        <f t="shared" si="0"/>
        <v>Elec</v>
      </c>
    </row>
    <row r="54" spans="1:16">
      <c r="A54" t="s">
        <v>655</v>
      </c>
      <c r="B54" t="s">
        <v>706</v>
      </c>
      <c r="C54" t="s">
        <v>665</v>
      </c>
      <c r="D54" t="s">
        <v>656</v>
      </c>
      <c r="E54" t="s">
        <v>666</v>
      </c>
      <c r="F54" t="s">
        <v>658</v>
      </c>
      <c r="G54" t="s">
        <v>686</v>
      </c>
      <c r="H54" s="8">
        <v>22.742790400000001</v>
      </c>
      <c r="I54" s="8">
        <v>877.8717094399999</v>
      </c>
      <c r="J54" s="8">
        <v>61112.719922687989</v>
      </c>
      <c r="K54" s="8">
        <v>0</v>
      </c>
      <c r="L54" s="8">
        <v>3160.3381539839997</v>
      </c>
      <c r="M54" s="8">
        <f t="shared" si="1"/>
        <v>61112.719922687989</v>
      </c>
      <c r="N54" s="8">
        <f t="shared" si="2"/>
        <v>64273.058076671987</v>
      </c>
      <c r="O54" t="s">
        <v>743</v>
      </c>
      <c r="P54" t="str">
        <f t="shared" si="0"/>
        <v>Fuel</v>
      </c>
    </row>
    <row r="55" spans="1:16">
      <c r="A55" t="s">
        <v>655</v>
      </c>
      <c r="B55" t="s">
        <v>706</v>
      </c>
      <c r="C55" t="s">
        <v>665</v>
      </c>
      <c r="D55" t="s">
        <v>659</v>
      </c>
      <c r="E55" t="s">
        <v>666</v>
      </c>
      <c r="F55" t="s">
        <v>658</v>
      </c>
      <c r="G55" t="s">
        <v>686</v>
      </c>
      <c r="H55" s="8">
        <v>0.47476020000000002</v>
      </c>
      <c r="I55" s="8">
        <v>16.236798840000002</v>
      </c>
      <c r="J55" s="8">
        <v>1100.8549613520004</v>
      </c>
      <c r="K55" s="8">
        <v>0</v>
      </c>
      <c r="L55" s="8">
        <v>58.452475824000011</v>
      </c>
      <c r="M55" s="8">
        <f t="shared" si="1"/>
        <v>1100.8549613520004</v>
      </c>
      <c r="N55" s="8">
        <f t="shared" si="2"/>
        <v>1159.3074371760003</v>
      </c>
      <c r="O55" t="s">
        <v>743</v>
      </c>
      <c r="P55" t="str">
        <f t="shared" si="0"/>
        <v>Fuel</v>
      </c>
    </row>
    <row r="56" spans="1:16">
      <c r="A56" t="s">
        <v>655</v>
      </c>
      <c r="B56" t="s">
        <v>706</v>
      </c>
      <c r="C56" t="s">
        <v>665</v>
      </c>
      <c r="D56" t="s">
        <v>660</v>
      </c>
      <c r="E56" t="s">
        <v>666</v>
      </c>
      <c r="F56" t="s">
        <v>658</v>
      </c>
      <c r="G56" t="s">
        <v>686</v>
      </c>
      <c r="H56" s="8">
        <v>0</v>
      </c>
      <c r="I56" s="8">
        <v>0</v>
      </c>
      <c r="J56" s="8">
        <v>0</v>
      </c>
      <c r="K56" s="8">
        <v>0</v>
      </c>
      <c r="L56" s="8">
        <v>0</v>
      </c>
      <c r="M56" s="8">
        <f t="shared" si="1"/>
        <v>0</v>
      </c>
      <c r="N56" s="8">
        <f t="shared" si="2"/>
        <v>0</v>
      </c>
      <c r="O56" t="s">
        <v>743</v>
      </c>
      <c r="P56" t="str">
        <f t="shared" si="0"/>
        <v>Fuel</v>
      </c>
    </row>
    <row r="57" spans="1:16">
      <c r="A57" t="s">
        <v>655</v>
      </c>
      <c r="B57" t="s">
        <v>706</v>
      </c>
      <c r="C57" t="s">
        <v>671</v>
      </c>
      <c r="D57" t="s">
        <v>656</v>
      </c>
      <c r="E57" t="s">
        <v>672</v>
      </c>
      <c r="F57" t="s">
        <v>658</v>
      </c>
      <c r="G57" t="s">
        <v>695</v>
      </c>
      <c r="H57" s="8">
        <v>145.77691000000002</v>
      </c>
      <c r="I57" s="8">
        <v>5626.9887260000005</v>
      </c>
      <c r="J57" s="8">
        <v>396196.27619766007</v>
      </c>
      <c r="K57" s="8">
        <v>0</v>
      </c>
      <c r="L57" s="8">
        <v>20257.159413600002</v>
      </c>
      <c r="M57" s="8">
        <f t="shared" si="1"/>
        <v>396196.27619766007</v>
      </c>
      <c r="N57" s="8">
        <f t="shared" si="2"/>
        <v>416453.43561126007</v>
      </c>
      <c r="O57" t="s">
        <v>671</v>
      </c>
      <c r="P57" t="str">
        <f t="shared" si="0"/>
        <v>Fuel</v>
      </c>
    </row>
    <row r="58" spans="1:16">
      <c r="A58" t="s">
        <v>655</v>
      </c>
      <c r="B58" t="s">
        <v>706</v>
      </c>
      <c r="C58" t="s">
        <v>671</v>
      </c>
      <c r="D58" t="s">
        <v>656</v>
      </c>
      <c r="E58" t="s">
        <v>672</v>
      </c>
      <c r="G58" t="s">
        <v>686</v>
      </c>
      <c r="H58" s="8">
        <v>0</v>
      </c>
      <c r="I58" s="8">
        <v>0</v>
      </c>
      <c r="J58" s="8">
        <v>0</v>
      </c>
      <c r="K58" s="8">
        <v>0</v>
      </c>
      <c r="L58" s="8">
        <v>0</v>
      </c>
      <c r="M58" s="8">
        <f t="shared" si="1"/>
        <v>0</v>
      </c>
      <c r="N58" s="8">
        <f t="shared" si="2"/>
        <v>0</v>
      </c>
      <c r="O58" t="s">
        <v>671</v>
      </c>
      <c r="P58" t="str">
        <f t="shared" si="0"/>
        <v>Fuel</v>
      </c>
    </row>
    <row r="59" spans="1:16">
      <c r="A59" t="s">
        <v>655</v>
      </c>
      <c r="B59" t="s">
        <v>706</v>
      </c>
      <c r="C59" t="s">
        <v>671</v>
      </c>
      <c r="D59" t="s">
        <v>667</v>
      </c>
      <c r="E59" t="s">
        <v>672</v>
      </c>
      <c r="F59" t="s">
        <v>658</v>
      </c>
      <c r="G59" t="s">
        <v>695</v>
      </c>
      <c r="H59" s="8">
        <v>0.34324199999999994</v>
      </c>
      <c r="I59" s="8">
        <v>8.0318627999999972</v>
      </c>
      <c r="J59" s="8">
        <v>3.2127451199999992</v>
      </c>
      <c r="K59" s="8">
        <v>0</v>
      </c>
      <c r="L59" s="8">
        <v>0</v>
      </c>
      <c r="M59" s="8">
        <f t="shared" si="1"/>
        <v>3.2127451199999992</v>
      </c>
      <c r="N59" s="8">
        <f t="shared" si="2"/>
        <v>3.2127451199999992</v>
      </c>
      <c r="O59" t="s">
        <v>671</v>
      </c>
      <c r="P59" t="str">
        <f t="shared" si="0"/>
        <v>Fuel</v>
      </c>
    </row>
    <row r="60" spans="1:16">
      <c r="A60" t="s">
        <v>655</v>
      </c>
      <c r="B60" t="s">
        <v>706</v>
      </c>
      <c r="C60" t="s">
        <v>671</v>
      </c>
      <c r="D60" t="s">
        <v>659</v>
      </c>
      <c r="E60" t="s">
        <v>672</v>
      </c>
      <c r="F60" t="s">
        <v>658</v>
      </c>
      <c r="G60" t="s">
        <v>695</v>
      </c>
      <c r="H60" s="8">
        <v>10.671328000000001</v>
      </c>
      <c r="I60" s="8">
        <v>364.95941760000005</v>
      </c>
      <c r="J60" s="8">
        <v>24678.555818112007</v>
      </c>
      <c r="K60" s="8">
        <v>0</v>
      </c>
      <c r="L60" s="8">
        <v>1313.8539033600002</v>
      </c>
      <c r="M60" s="8">
        <f t="shared" si="1"/>
        <v>24678.555818112007</v>
      </c>
      <c r="N60" s="8">
        <f t="shared" si="2"/>
        <v>25992.409721472006</v>
      </c>
      <c r="O60" t="s">
        <v>671</v>
      </c>
      <c r="P60" t="str">
        <f t="shared" si="0"/>
        <v>Fuel</v>
      </c>
    </row>
    <row r="61" spans="1:16">
      <c r="A61" t="s">
        <v>655</v>
      </c>
      <c r="B61" t="s">
        <v>706</v>
      </c>
      <c r="C61" t="s">
        <v>671</v>
      </c>
      <c r="D61" t="s">
        <v>659</v>
      </c>
      <c r="E61" t="s">
        <v>672</v>
      </c>
      <c r="G61" t="s">
        <v>686</v>
      </c>
      <c r="H61" s="8">
        <v>1.209829</v>
      </c>
      <c r="I61" s="8">
        <v>41.376151800000002</v>
      </c>
      <c r="J61" s="8">
        <v>2797.8553847160006</v>
      </c>
      <c r="K61" s="8">
        <v>0</v>
      </c>
      <c r="L61" s="8">
        <v>148.95414648000002</v>
      </c>
      <c r="M61" s="8">
        <f t="shared" si="1"/>
        <v>2797.8553847160006</v>
      </c>
      <c r="N61" s="8">
        <f t="shared" si="2"/>
        <v>2946.8095311960005</v>
      </c>
      <c r="O61" t="s">
        <v>671</v>
      </c>
      <c r="P61" t="str">
        <f t="shared" si="0"/>
        <v>Fuel</v>
      </c>
    </row>
    <row r="62" spans="1:16">
      <c r="A62" t="s">
        <v>655</v>
      </c>
      <c r="B62" t="s">
        <v>707</v>
      </c>
      <c r="C62" t="s">
        <v>155</v>
      </c>
      <c r="D62" t="s">
        <v>656</v>
      </c>
      <c r="E62" t="s">
        <v>657</v>
      </c>
      <c r="F62" t="s">
        <v>658</v>
      </c>
      <c r="G62" t="s">
        <v>686</v>
      </c>
      <c r="H62" s="8">
        <v>451.15084051097512</v>
      </c>
      <c r="I62" s="8">
        <v>17414.422443723641</v>
      </c>
      <c r="J62" s="8">
        <v>1222492.4555493996</v>
      </c>
      <c r="K62" s="8">
        <v>0</v>
      </c>
      <c r="L62" s="8">
        <v>62691.92079740511</v>
      </c>
      <c r="M62" s="8">
        <f t="shared" si="1"/>
        <v>1222492.4555493996</v>
      </c>
      <c r="N62" s="8">
        <f t="shared" si="2"/>
        <v>1285184.3763468047</v>
      </c>
      <c r="O62" t="s">
        <v>743</v>
      </c>
      <c r="P62" t="str">
        <f t="shared" si="0"/>
        <v>Fuel</v>
      </c>
    </row>
    <row r="63" spans="1:16">
      <c r="A63" t="s">
        <v>655</v>
      </c>
      <c r="B63" t="s">
        <v>707</v>
      </c>
      <c r="C63" t="s">
        <v>155</v>
      </c>
      <c r="D63" t="s">
        <v>659</v>
      </c>
      <c r="E63" t="s">
        <v>657</v>
      </c>
      <c r="F63" t="s">
        <v>658</v>
      </c>
      <c r="G63" t="s">
        <v>686</v>
      </c>
      <c r="H63" s="8">
        <v>0</v>
      </c>
      <c r="I63" s="8">
        <v>0</v>
      </c>
      <c r="J63" s="8">
        <v>0</v>
      </c>
      <c r="K63" s="8">
        <v>0</v>
      </c>
      <c r="L63" s="8">
        <v>0</v>
      </c>
      <c r="M63" s="8">
        <f t="shared" si="1"/>
        <v>0</v>
      </c>
      <c r="N63" s="8">
        <f t="shared" si="2"/>
        <v>0</v>
      </c>
      <c r="O63" t="s">
        <v>743</v>
      </c>
      <c r="P63" t="str">
        <f t="shared" si="0"/>
        <v>Fuel</v>
      </c>
    </row>
    <row r="64" spans="1:16">
      <c r="A64" t="s">
        <v>655</v>
      </c>
      <c r="B64" t="s">
        <v>707</v>
      </c>
      <c r="C64" t="s">
        <v>155</v>
      </c>
      <c r="D64" t="s">
        <v>660</v>
      </c>
      <c r="E64" t="s">
        <v>657</v>
      </c>
      <c r="F64" t="s">
        <v>658</v>
      </c>
      <c r="G64" t="s">
        <v>686</v>
      </c>
      <c r="H64" s="8">
        <v>0</v>
      </c>
      <c r="I64" s="8">
        <v>0</v>
      </c>
      <c r="J64" s="8">
        <v>0</v>
      </c>
      <c r="K64" s="8">
        <v>0</v>
      </c>
      <c r="L64" s="8">
        <v>0</v>
      </c>
      <c r="M64" s="8">
        <f t="shared" si="1"/>
        <v>0</v>
      </c>
      <c r="N64" s="8">
        <f t="shared" si="2"/>
        <v>0</v>
      </c>
      <c r="O64" t="s">
        <v>743</v>
      </c>
      <c r="P64" t="str">
        <f t="shared" si="0"/>
        <v>Fuel</v>
      </c>
    </row>
    <row r="65" spans="1:16">
      <c r="A65" t="s">
        <v>655</v>
      </c>
      <c r="B65" t="s">
        <v>707</v>
      </c>
      <c r="C65" t="s">
        <v>661</v>
      </c>
      <c r="D65" t="s">
        <v>155</v>
      </c>
      <c r="E65" t="s">
        <v>662</v>
      </c>
      <c r="F65" t="s">
        <v>663</v>
      </c>
      <c r="G65" t="s">
        <v>104</v>
      </c>
      <c r="H65" s="8">
        <v>388244888.6882742</v>
      </c>
      <c r="I65" s="8">
        <v>1397681.5992777871</v>
      </c>
      <c r="J65" s="8">
        <v>0</v>
      </c>
      <c r="K65" s="8">
        <v>314478359.83750212</v>
      </c>
      <c r="L65" s="8">
        <v>34992362.650434673</v>
      </c>
      <c r="M65" s="8">
        <f t="shared" si="1"/>
        <v>314478359.83750212</v>
      </c>
      <c r="N65" s="8">
        <f t="shared" si="2"/>
        <v>349470722.48793679</v>
      </c>
      <c r="O65" t="s">
        <v>743</v>
      </c>
      <c r="P65" t="str">
        <f t="shared" si="0"/>
        <v>Elec</v>
      </c>
    </row>
    <row r="66" spans="1:16">
      <c r="A66" t="s">
        <v>655</v>
      </c>
      <c r="B66" t="s">
        <v>707</v>
      </c>
      <c r="C66" t="s">
        <v>661</v>
      </c>
      <c r="D66" t="s">
        <v>664</v>
      </c>
      <c r="E66" t="s">
        <v>662</v>
      </c>
      <c r="F66" t="s">
        <v>663</v>
      </c>
      <c r="G66" t="s">
        <v>686</v>
      </c>
      <c r="H66" s="8">
        <v>1014981.8930000027</v>
      </c>
      <c r="I66" s="8">
        <v>3653.9348148000095</v>
      </c>
      <c r="J66" s="8">
        <v>0</v>
      </c>
      <c r="K66" s="8">
        <v>0</v>
      </c>
      <c r="L66" s="8">
        <v>0</v>
      </c>
      <c r="M66" s="8">
        <f t="shared" si="1"/>
        <v>0</v>
      </c>
      <c r="N66" s="8">
        <f t="shared" si="2"/>
        <v>0</v>
      </c>
      <c r="O66" t="s">
        <v>743</v>
      </c>
      <c r="P66" t="str">
        <f t="shared" si="0"/>
        <v>Elec</v>
      </c>
    </row>
    <row r="67" spans="1:16">
      <c r="A67" t="s">
        <v>655</v>
      </c>
      <c r="B67" t="s">
        <v>707</v>
      </c>
      <c r="C67" t="s">
        <v>665</v>
      </c>
      <c r="D67" t="s">
        <v>656</v>
      </c>
      <c r="E67" t="s">
        <v>666</v>
      </c>
      <c r="F67" t="s">
        <v>658</v>
      </c>
      <c r="G67" t="s">
        <v>695</v>
      </c>
      <c r="H67" s="8">
        <v>3.38618</v>
      </c>
      <c r="I67" s="8">
        <v>130.706548</v>
      </c>
      <c r="J67" s="8">
        <v>9097.1757407999994</v>
      </c>
      <c r="K67" s="8">
        <v>0</v>
      </c>
      <c r="L67" s="8">
        <v>470.54357279999999</v>
      </c>
      <c r="M67" s="8">
        <f t="shared" si="1"/>
        <v>9097.1757407999994</v>
      </c>
      <c r="N67" s="8">
        <f t="shared" si="2"/>
        <v>9567.7193135999987</v>
      </c>
      <c r="O67" t="s">
        <v>743</v>
      </c>
      <c r="P67" t="str">
        <f t="shared" si="0"/>
        <v>Fuel</v>
      </c>
    </row>
    <row r="68" spans="1:16">
      <c r="A68" t="s">
        <v>655</v>
      </c>
      <c r="B68" t="s">
        <v>707</v>
      </c>
      <c r="C68" t="s">
        <v>665</v>
      </c>
      <c r="D68" t="s">
        <v>656</v>
      </c>
      <c r="E68" t="s">
        <v>666</v>
      </c>
      <c r="G68" t="s">
        <v>686</v>
      </c>
      <c r="H68" s="8">
        <v>592.22479559999999</v>
      </c>
      <c r="I68" s="8">
        <v>22859.87711016</v>
      </c>
      <c r="J68" s="8">
        <v>1591590.659933232</v>
      </c>
      <c r="K68" s="8">
        <v>0</v>
      </c>
      <c r="L68" s="8">
        <v>82295.557596576007</v>
      </c>
      <c r="M68" s="8">
        <f t="shared" si="1"/>
        <v>1591590.659933232</v>
      </c>
      <c r="N68" s="8">
        <f t="shared" si="2"/>
        <v>1673886.2175298079</v>
      </c>
      <c r="O68" t="s">
        <v>743</v>
      </c>
      <c r="P68" t="str">
        <f t="shared" ref="P68:P131" si="20">IF(C68="Energy Commodities","Elec","Fuel")</f>
        <v>Fuel</v>
      </c>
    </row>
    <row r="69" spans="1:16">
      <c r="A69" t="s">
        <v>655</v>
      </c>
      <c r="B69" t="s">
        <v>707</v>
      </c>
      <c r="C69" t="s">
        <v>665</v>
      </c>
      <c r="D69" t="s">
        <v>667</v>
      </c>
      <c r="E69" t="s">
        <v>666</v>
      </c>
      <c r="F69" t="s">
        <v>658</v>
      </c>
      <c r="G69" t="s">
        <v>695</v>
      </c>
      <c r="H69" s="8">
        <v>4.7020000000000013E-2</v>
      </c>
      <c r="I69" s="8">
        <v>1.1002680000000002</v>
      </c>
      <c r="J69" s="8">
        <v>76.578652800000015</v>
      </c>
      <c r="K69" s="8">
        <v>0</v>
      </c>
      <c r="L69" s="8">
        <v>0</v>
      </c>
      <c r="M69" s="8">
        <f t="shared" ref="M69:M132" si="21">J69+K69</f>
        <v>76.578652800000015</v>
      </c>
      <c r="N69" s="8">
        <f t="shared" ref="N69:N132" si="22">SUM(J69:L69)</f>
        <v>76.578652800000015</v>
      </c>
      <c r="O69" t="s">
        <v>743</v>
      </c>
      <c r="P69" t="str">
        <f t="shared" si="20"/>
        <v>Fuel</v>
      </c>
    </row>
    <row r="70" spans="1:16">
      <c r="A70" t="s">
        <v>655</v>
      </c>
      <c r="B70" t="s">
        <v>707</v>
      </c>
      <c r="C70" t="s">
        <v>665</v>
      </c>
      <c r="D70" t="s">
        <v>667</v>
      </c>
      <c r="E70" t="s">
        <v>666</v>
      </c>
      <c r="G70" t="s">
        <v>686</v>
      </c>
      <c r="H70" s="8">
        <v>1.2749999999999999</v>
      </c>
      <c r="I70" s="8">
        <v>29.834999999999997</v>
      </c>
      <c r="J70" s="8">
        <v>2076.5159999999996</v>
      </c>
      <c r="K70" s="8">
        <v>0</v>
      </c>
      <c r="L70" s="8">
        <v>0</v>
      </c>
      <c r="M70" s="8">
        <f t="shared" si="21"/>
        <v>2076.5159999999996</v>
      </c>
      <c r="N70" s="8">
        <f t="shared" si="22"/>
        <v>2076.5159999999996</v>
      </c>
      <c r="O70" t="s">
        <v>743</v>
      </c>
      <c r="P70" t="str">
        <f t="shared" si="20"/>
        <v>Fuel</v>
      </c>
    </row>
    <row r="71" spans="1:16">
      <c r="A71" t="s">
        <v>655</v>
      </c>
      <c r="B71" t="s">
        <v>707</v>
      </c>
      <c r="C71" t="s">
        <v>665</v>
      </c>
      <c r="D71" t="s">
        <v>659</v>
      </c>
      <c r="E71" t="s">
        <v>666</v>
      </c>
      <c r="F71" t="s">
        <v>658</v>
      </c>
      <c r="G71" t="s">
        <v>686</v>
      </c>
      <c r="H71" s="8">
        <v>22.707838859582399</v>
      </c>
      <c r="I71" s="8">
        <v>776.60808899771814</v>
      </c>
      <c r="J71" s="8">
        <v>52789.521994045288</v>
      </c>
      <c r="K71" s="8">
        <v>0</v>
      </c>
      <c r="L71" s="8">
        <v>2795.7891203917852</v>
      </c>
      <c r="M71" s="8">
        <f t="shared" si="21"/>
        <v>52789.521994045288</v>
      </c>
      <c r="N71" s="8">
        <f t="shared" si="22"/>
        <v>55585.311114437071</v>
      </c>
      <c r="O71" t="s">
        <v>743</v>
      </c>
      <c r="P71" t="str">
        <f t="shared" si="20"/>
        <v>Fuel</v>
      </c>
    </row>
    <row r="72" spans="1:16">
      <c r="A72" t="s">
        <v>655</v>
      </c>
      <c r="B72" t="s">
        <v>707</v>
      </c>
      <c r="C72" t="s">
        <v>665</v>
      </c>
      <c r="D72" t="s">
        <v>660</v>
      </c>
      <c r="E72" t="s">
        <v>666</v>
      </c>
      <c r="F72" t="s">
        <v>658</v>
      </c>
      <c r="G72" t="s">
        <v>686</v>
      </c>
      <c r="H72" s="8">
        <v>0</v>
      </c>
      <c r="I72" s="8">
        <v>0</v>
      </c>
      <c r="J72" s="8">
        <v>0</v>
      </c>
      <c r="K72" s="8">
        <v>0</v>
      </c>
      <c r="L72" s="8">
        <v>0</v>
      </c>
      <c r="M72" s="8">
        <f t="shared" si="21"/>
        <v>0</v>
      </c>
      <c r="N72" s="8">
        <f t="shared" si="22"/>
        <v>0</v>
      </c>
      <c r="O72" t="s">
        <v>743</v>
      </c>
      <c r="P72" t="str">
        <f t="shared" si="20"/>
        <v>Fuel</v>
      </c>
    </row>
    <row r="73" spans="1:16">
      <c r="A73" t="s">
        <v>655</v>
      </c>
      <c r="B73" t="s">
        <v>707</v>
      </c>
      <c r="C73" t="s">
        <v>665</v>
      </c>
      <c r="D73" t="s">
        <v>668</v>
      </c>
      <c r="E73" t="s">
        <v>666</v>
      </c>
      <c r="F73" t="s">
        <v>670</v>
      </c>
      <c r="G73" t="s">
        <v>695</v>
      </c>
      <c r="H73" s="8">
        <v>6097.7156000000004</v>
      </c>
      <c r="I73" s="8">
        <v>6.0977156000000008</v>
      </c>
      <c r="J73" s="8">
        <v>314.21528486800003</v>
      </c>
      <c r="K73" s="8">
        <v>0</v>
      </c>
      <c r="L73" s="8">
        <v>78.050759680000013</v>
      </c>
      <c r="M73" s="8">
        <f t="shared" si="21"/>
        <v>314.21528486800003</v>
      </c>
      <c r="N73" s="8">
        <f t="shared" si="22"/>
        <v>392.26604454800002</v>
      </c>
      <c r="O73" t="s">
        <v>743</v>
      </c>
      <c r="P73" t="str">
        <f t="shared" si="20"/>
        <v>Fuel</v>
      </c>
    </row>
    <row r="74" spans="1:16">
      <c r="A74" t="s">
        <v>655</v>
      </c>
      <c r="B74" t="s">
        <v>707</v>
      </c>
      <c r="C74" t="s">
        <v>665</v>
      </c>
      <c r="D74" t="s">
        <v>668</v>
      </c>
      <c r="E74" t="s">
        <v>666</v>
      </c>
      <c r="G74" t="s">
        <v>686</v>
      </c>
      <c r="H74" s="8">
        <v>1669.8690000000001</v>
      </c>
      <c r="I74" s="8">
        <v>1.6698690000000003</v>
      </c>
      <c r="J74" s="8">
        <v>86.048349570000013</v>
      </c>
      <c r="K74" s="8">
        <v>0</v>
      </c>
      <c r="L74" s="8">
        <v>21.374323200000006</v>
      </c>
      <c r="M74" s="8">
        <f t="shared" si="21"/>
        <v>86.048349570000013</v>
      </c>
      <c r="N74" s="8">
        <f t="shared" si="22"/>
        <v>107.42267277000002</v>
      </c>
      <c r="O74" t="s">
        <v>743</v>
      </c>
      <c r="P74" t="str">
        <f t="shared" si="20"/>
        <v>Fuel</v>
      </c>
    </row>
    <row r="75" spans="1:16">
      <c r="A75" t="s">
        <v>655</v>
      </c>
      <c r="B75" t="s">
        <v>707</v>
      </c>
      <c r="C75" t="s">
        <v>671</v>
      </c>
      <c r="D75" t="s">
        <v>656</v>
      </c>
      <c r="E75" t="s">
        <v>671</v>
      </c>
      <c r="F75" t="s">
        <v>658</v>
      </c>
      <c r="G75" t="s">
        <v>695</v>
      </c>
      <c r="H75" s="8">
        <v>0.75054999999999994</v>
      </c>
      <c r="I75" s="8">
        <v>28.971229999999998</v>
      </c>
      <c r="J75" s="8">
        <v>2039.5745920000002</v>
      </c>
      <c r="K75" s="8">
        <v>0</v>
      </c>
      <c r="L75" s="8">
        <v>104.29642799999999</v>
      </c>
      <c r="M75" s="8">
        <f t="shared" si="21"/>
        <v>2039.5745920000002</v>
      </c>
      <c r="N75" s="8">
        <f t="shared" si="22"/>
        <v>2143.87102</v>
      </c>
      <c r="O75" t="s">
        <v>671</v>
      </c>
      <c r="P75" t="str">
        <f t="shared" si="20"/>
        <v>Fuel</v>
      </c>
    </row>
    <row r="76" spans="1:16">
      <c r="A76" t="s">
        <v>655</v>
      </c>
      <c r="B76" t="s">
        <v>707</v>
      </c>
      <c r="C76" t="s">
        <v>671</v>
      </c>
      <c r="D76" t="s">
        <v>656</v>
      </c>
      <c r="E76" t="s">
        <v>672</v>
      </c>
      <c r="F76" t="s">
        <v>658</v>
      </c>
      <c r="G76" t="s">
        <v>695</v>
      </c>
      <c r="H76" s="8">
        <v>2643.4545899999998</v>
      </c>
      <c r="I76" s="8">
        <v>102037.34717399999</v>
      </c>
      <c r="J76" s="8">
        <v>7184449.6145213405</v>
      </c>
      <c r="K76" s="8">
        <v>0</v>
      </c>
      <c r="L76" s="8">
        <v>367334.44982639997</v>
      </c>
      <c r="M76" s="8">
        <f t="shared" si="21"/>
        <v>7184449.6145213405</v>
      </c>
      <c r="N76" s="8">
        <f t="shared" si="22"/>
        <v>7551784.0643477403</v>
      </c>
      <c r="O76" t="s">
        <v>671</v>
      </c>
      <c r="P76" t="str">
        <f t="shared" si="20"/>
        <v>Fuel</v>
      </c>
    </row>
    <row r="77" spans="1:16">
      <c r="A77" t="s">
        <v>655</v>
      </c>
      <c r="B77" t="s">
        <v>707</v>
      </c>
      <c r="C77" t="s">
        <v>671</v>
      </c>
      <c r="D77" t="s">
        <v>656</v>
      </c>
      <c r="E77" t="s">
        <v>672</v>
      </c>
      <c r="G77" t="s">
        <v>686</v>
      </c>
      <c r="H77" s="8">
        <v>9.1600000000000015E-2</v>
      </c>
      <c r="I77" s="8">
        <v>3.5357600000000007</v>
      </c>
      <c r="J77" s="8">
        <v>249.30643760000007</v>
      </c>
      <c r="K77" s="8">
        <v>0</v>
      </c>
      <c r="L77" s="8">
        <v>12.728736000000003</v>
      </c>
      <c r="M77" s="8">
        <f t="shared" si="21"/>
        <v>249.30643760000007</v>
      </c>
      <c r="N77" s="8">
        <f t="shared" si="22"/>
        <v>262.03517360000006</v>
      </c>
      <c r="O77" t="s">
        <v>671</v>
      </c>
      <c r="P77" t="str">
        <f t="shared" si="20"/>
        <v>Fuel</v>
      </c>
    </row>
    <row r="78" spans="1:16">
      <c r="A78" t="s">
        <v>655</v>
      </c>
      <c r="B78" t="s">
        <v>707</v>
      </c>
      <c r="C78" t="s">
        <v>671</v>
      </c>
      <c r="D78" t="s">
        <v>667</v>
      </c>
      <c r="E78" t="s">
        <v>672</v>
      </c>
      <c r="F78" t="s">
        <v>658</v>
      </c>
      <c r="G78" t="s">
        <v>695</v>
      </c>
      <c r="H78" s="8">
        <v>13.911406000000003</v>
      </c>
      <c r="I78" s="8">
        <v>325.52690040000005</v>
      </c>
      <c r="J78" s="8">
        <v>130.21076016000004</v>
      </c>
      <c r="K78" s="8">
        <v>0</v>
      </c>
      <c r="L78" s="8">
        <v>0</v>
      </c>
      <c r="M78" s="8">
        <f t="shared" si="21"/>
        <v>130.21076016000004</v>
      </c>
      <c r="N78" s="8">
        <f t="shared" si="22"/>
        <v>130.21076016000004</v>
      </c>
      <c r="O78" t="s">
        <v>671</v>
      </c>
      <c r="P78" t="str">
        <f t="shared" si="20"/>
        <v>Fuel</v>
      </c>
    </row>
    <row r="79" spans="1:16">
      <c r="A79" t="s">
        <v>655</v>
      </c>
      <c r="B79" t="s">
        <v>707</v>
      </c>
      <c r="C79" t="s">
        <v>671</v>
      </c>
      <c r="D79" t="s">
        <v>659</v>
      </c>
      <c r="E79" t="s">
        <v>672</v>
      </c>
      <c r="F79" t="s">
        <v>658</v>
      </c>
      <c r="G79" t="s">
        <v>695</v>
      </c>
      <c r="H79" s="8">
        <v>237.36921399999997</v>
      </c>
      <c r="I79" s="8">
        <v>8118.0271187999997</v>
      </c>
      <c r="J79" s="8">
        <v>548940.99377325596</v>
      </c>
      <c r="K79" s="8">
        <v>0</v>
      </c>
      <c r="L79" s="8">
        <v>29224.897627679999</v>
      </c>
      <c r="M79" s="8">
        <f t="shared" si="21"/>
        <v>548940.99377325596</v>
      </c>
      <c r="N79" s="8">
        <f t="shared" si="22"/>
        <v>578165.89140093594</v>
      </c>
      <c r="O79" t="s">
        <v>671</v>
      </c>
      <c r="P79" t="str">
        <f t="shared" si="20"/>
        <v>Fuel</v>
      </c>
    </row>
    <row r="80" spans="1:16">
      <c r="A80" t="s">
        <v>655</v>
      </c>
      <c r="B80" t="s">
        <v>707</v>
      </c>
      <c r="C80" t="s">
        <v>671</v>
      </c>
      <c r="D80" t="s">
        <v>659</v>
      </c>
      <c r="E80" t="s">
        <v>672</v>
      </c>
      <c r="G80" t="s">
        <v>686</v>
      </c>
      <c r="H80" s="8">
        <v>3.523282</v>
      </c>
      <c r="I80" s="8">
        <v>120.49624440000001</v>
      </c>
      <c r="J80" s="8">
        <v>8147.9560463280013</v>
      </c>
      <c r="K80" s="8">
        <v>0</v>
      </c>
      <c r="L80" s="8">
        <v>433.78647984000003</v>
      </c>
      <c r="M80" s="8">
        <f t="shared" si="21"/>
        <v>8147.9560463280013</v>
      </c>
      <c r="N80" s="8">
        <f t="shared" si="22"/>
        <v>8581.7425261680019</v>
      </c>
      <c r="O80" t="s">
        <v>671</v>
      </c>
      <c r="P80" t="str">
        <f t="shared" si="20"/>
        <v>Fuel</v>
      </c>
    </row>
    <row r="81" spans="1:16">
      <c r="A81" t="s">
        <v>655</v>
      </c>
      <c r="B81" t="s">
        <v>707</v>
      </c>
      <c r="C81" t="s">
        <v>671</v>
      </c>
      <c r="D81" t="s">
        <v>660</v>
      </c>
      <c r="E81" t="s">
        <v>672</v>
      </c>
      <c r="F81" t="s">
        <v>658</v>
      </c>
      <c r="G81" t="s">
        <v>695</v>
      </c>
      <c r="H81" s="8">
        <v>0.87494140000000009</v>
      </c>
      <c r="I81" s="8">
        <v>22.923464680000002</v>
      </c>
      <c r="J81" s="8">
        <v>1398.3313454800002</v>
      </c>
      <c r="K81" s="8">
        <v>0</v>
      </c>
      <c r="L81" s="8">
        <v>82.524472848000016</v>
      </c>
      <c r="M81" s="8">
        <f t="shared" si="21"/>
        <v>1398.3313454800002</v>
      </c>
      <c r="N81" s="8">
        <f t="shared" si="22"/>
        <v>1480.8558183280002</v>
      </c>
      <c r="O81" t="s">
        <v>671</v>
      </c>
      <c r="P81" t="str">
        <f t="shared" si="20"/>
        <v>Fuel</v>
      </c>
    </row>
    <row r="82" spans="1:16">
      <c r="A82" t="s">
        <v>655</v>
      </c>
      <c r="B82" t="s">
        <v>708</v>
      </c>
      <c r="C82" t="s">
        <v>155</v>
      </c>
      <c r="D82" t="s">
        <v>656</v>
      </c>
      <c r="E82" t="s">
        <v>657</v>
      </c>
      <c r="F82" t="s">
        <v>658</v>
      </c>
      <c r="G82" t="s">
        <v>686</v>
      </c>
      <c r="H82" s="8">
        <v>16.273727671357694</v>
      </c>
      <c r="I82" s="8">
        <v>628.16588811440704</v>
      </c>
      <c r="J82" s="8">
        <v>44097.245345631374</v>
      </c>
      <c r="K82" s="8">
        <v>0</v>
      </c>
      <c r="L82" s="8">
        <v>2261.3971972118652</v>
      </c>
      <c r="M82" s="8">
        <f t="shared" si="21"/>
        <v>44097.245345631374</v>
      </c>
      <c r="N82" s="8">
        <f t="shared" si="22"/>
        <v>46358.642542843241</v>
      </c>
      <c r="O82" t="s">
        <v>743</v>
      </c>
      <c r="P82" t="str">
        <f t="shared" si="20"/>
        <v>Fuel</v>
      </c>
    </row>
    <row r="83" spans="1:16">
      <c r="A83" t="s">
        <v>655</v>
      </c>
      <c r="B83" t="s">
        <v>708</v>
      </c>
      <c r="C83" t="s">
        <v>155</v>
      </c>
      <c r="D83" t="s">
        <v>659</v>
      </c>
      <c r="E83" t="s">
        <v>657</v>
      </c>
      <c r="F83" t="s">
        <v>658</v>
      </c>
      <c r="G83" t="s">
        <v>686</v>
      </c>
      <c r="H83" s="8">
        <v>0</v>
      </c>
      <c r="I83" s="8">
        <v>0</v>
      </c>
      <c r="J83" s="8">
        <v>0</v>
      </c>
      <c r="K83" s="8">
        <v>0</v>
      </c>
      <c r="L83" s="8">
        <v>0</v>
      </c>
      <c r="M83" s="8">
        <f t="shared" si="21"/>
        <v>0</v>
      </c>
      <c r="N83" s="8">
        <f t="shared" si="22"/>
        <v>0</v>
      </c>
      <c r="O83" t="s">
        <v>743</v>
      </c>
      <c r="P83" t="str">
        <f t="shared" si="20"/>
        <v>Fuel</v>
      </c>
    </row>
    <row r="84" spans="1:16">
      <c r="A84" t="s">
        <v>655</v>
      </c>
      <c r="B84" t="s">
        <v>708</v>
      </c>
      <c r="C84" t="s">
        <v>155</v>
      </c>
      <c r="D84" t="s">
        <v>660</v>
      </c>
      <c r="E84" t="s">
        <v>657</v>
      </c>
      <c r="F84" t="s">
        <v>658</v>
      </c>
      <c r="G84" t="s">
        <v>686</v>
      </c>
      <c r="H84" s="8">
        <v>0</v>
      </c>
      <c r="I84" s="8">
        <v>0</v>
      </c>
      <c r="J84" s="8">
        <v>0</v>
      </c>
      <c r="K84" s="8">
        <v>0</v>
      </c>
      <c r="L84" s="8">
        <v>0</v>
      </c>
      <c r="M84" s="8">
        <f t="shared" si="21"/>
        <v>0</v>
      </c>
      <c r="N84" s="8">
        <f t="shared" si="22"/>
        <v>0</v>
      </c>
      <c r="O84" t="s">
        <v>743</v>
      </c>
      <c r="P84" t="str">
        <f t="shared" si="20"/>
        <v>Fuel</v>
      </c>
    </row>
    <row r="85" spans="1:16">
      <c r="A85" t="s">
        <v>655</v>
      </c>
      <c r="B85" t="s">
        <v>708</v>
      </c>
      <c r="C85" t="s">
        <v>661</v>
      </c>
      <c r="D85" t="s">
        <v>155</v>
      </c>
      <c r="E85" t="s">
        <v>662</v>
      </c>
      <c r="F85" t="s">
        <v>663</v>
      </c>
      <c r="G85" t="s">
        <v>104</v>
      </c>
      <c r="H85" s="8">
        <v>16938139.665774472</v>
      </c>
      <c r="I85" s="8">
        <v>60977.302796788092</v>
      </c>
      <c r="J85" s="8">
        <v>0</v>
      </c>
      <c r="K85" s="8">
        <v>10501646.592780173</v>
      </c>
      <c r="L85" s="8">
        <v>1185669.7766042131</v>
      </c>
      <c r="M85" s="8">
        <f t="shared" si="21"/>
        <v>10501646.592780173</v>
      </c>
      <c r="N85" s="8">
        <f t="shared" si="22"/>
        <v>11687316.369384386</v>
      </c>
      <c r="O85" t="s">
        <v>743</v>
      </c>
      <c r="P85" t="str">
        <f t="shared" si="20"/>
        <v>Elec</v>
      </c>
    </row>
    <row r="86" spans="1:16">
      <c r="A86" t="s">
        <v>655</v>
      </c>
      <c r="B86" t="s">
        <v>708</v>
      </c>
      <c r="C86" t="s">
        <v>661</v>
      </c>
      <c r="D86" t="s">
        <v>664</v>
      </c>
      <c r="E86" t="s">
        <v>662</v>
      </c>
      <c r="F86" t="s">
        <v>663</v>
      </c>
      <c r="G86" t="s">
        <v>686</v>
      </c>
      <c r="H86" s="8">
        <v>1491084.953999998</v>
      </c>
      <c r="I86" s="8">
        <v>5367.9058343999932</v>
      </c>
      <c r="J86" s="8">
        <v>0</v>
      </c>
      <c r="K86" s="8">
        <v>0</v>
      </c>
      <c r="L86" s="8">
        <v>0</v>
      </c>
      <c r="M86" s="8">
        <f t="shared" si="21"/>
        <v>0</v>
      </c>
      <c r="N86" s="8">
        <f t="shared" si="22"/>
        <v>0</v>
      </c>
      <c r="O86" t="s">
        <v>743</v>
      </c>
      <c r="P86" t="str">
        <f t="shared" si="20"/>
        <v>Elec</v>
      </c>
    </row>
    <row r="87" spans="1:16">
      <c r="A87" t="s">
        <v>655</v>
      </c>
      <c r="B87" t="s">
        <v>708</v>
      </c>
      <c r="C87" t="s">
        <v>665</v>
      </c>
      <c r="D87" t="s">
        <v>656</v>
      </c>
      <c r="E87" t="s">
        <v>666</v>
      </c>
      <c r="F87" t="s">
        <v>658</v>
      </c>
      <c r="G87" t="s">
        <v>695</v>
      </c>
      <c r="H87" s="8">
        <v>6.4907999999999992</v>
      </c>
      <c r="I87" s="8">
        <v>250.54487999999998</v>
      </c>
      <c r="J87" s="8">
        <v>17437.923647999996</v>
      </c>
      <c r="K87" s="8">
        <v>0</v>
      </c>
      <c r="L87" s="8">
        <v>901.96156799999994</v>
      </c>
      <c r="M87" s="8">
        <f t="shared" si="21"/>
        <v>17437.923647999996</v>
      </c>
      <c r="N87" s="8">
        <f t="shared" si="22"/>
        <v>18339.885215999995</v>
      </c>
      <c r="O87" t="s">
        <v>743</v>
      </c>
      <c r="P87" t="str">
        <f t="shared" si="20"/>
        <v>Fuel</v>
      </c>
    </row>
    <row r="88" spans="1:16">
      <c r="A88" t="s">
        <v>655</v>
      </c>
      <c r="B88" t="s">
        <v>708</v>
      </c>
      <c r="C88" t="s">
        <v>665</v>
      </c>
      <c r="D88" t="s">
        <v>656</v>
      </c>
      <c r="E88" t="s">
        <v>666</v>
      </c>
      <c r="G88" t="s">
        <v>686</v>
      </c>
      <c r="H88" s="8">
        <v>2.4678002000000001</v>
      </c>
      <c r="I88" s="8">
        <v>95.257087720000001</v>
      </c>
      <c r="J88" s="8">
        <v>6657.6343579439999</v>
      </c>
      <c r="K88" s="8">
        <v>0</v>
      </c>
      <c r="L88" s="8">
        <v>342.925515792</v>
      </c>
      <c r="M88" s="8">
        <f t="shared" si="21"/>
        <v>6657.6343579439999</v>
      </c>
      <c r="N88" s="8">
        <f t="shared" si="22"/>
        <v>7000.5598737359996</v>
      </c>
      <c r="O88" t="s">
        <v>743</v>
      </c>
      <c r="P88" t="str">
        <f t="shared" si="20"/>
        <v>Fuel</v>
      </c>
    </row>
    <row r="89" spans="1:16">
      <c r="A89" t="s">
        <v>655</v>
      </c>
      <c r="B89" t="s">
        <v>708</v>
      </c>
      <c r="C89" t="s">
        <v>665</v>
      </c>
      <c r="D89" t="s">
        <v>659</v>
      </c>
      <c r="E89" t="s">
        <v>666</v>
      </c>
      <c r="F89" t="s">
        <v>658</v>
      </c>
      <c r="G89" t="s">
        <v>686</v>
      </c>
      <c r="H89" s="8">
        <v>1.4279165</v>
      </c>
      <c r="I89" s="8">
        <v>48.834744300000004</v>
      </c>
      <c r="J89" s="8">
        <v>3310.9956635400008</v>
      </c>
      <c r="K89" s="8">
        <v>0</v>
      </c>
      <c r="L89" s="8">
        <v>175.80507948000002</v>
      </c>
      <c r="M89" s="8">
        <f t="shared" si="21"/>
        <v>3310.9956635400008</v>
      </c>
      <c r="N89" s="8">
        <f t="shared" si="22"/>
        <v>3486.8007430200009</v>
      </c>
      <c r="O89" t="s">
        <v>743</v>
      </c>
      <c r="P89" t="str">
        <f t="shared" si="20"/>
        <v>Fuel</v>
      </c>
    </row>
    <row r="90" spans="1:16">
      <c r="A90" t="s">
        <v>655</v>
      </c>
      <c r="B90" t="s">
        <v>708</v>
      </c>
      <c r="C90" t="s">
        <v>665</v>
      </c>
      <c r="D90" t="s">
        <v>660</v>
      </c>
      <c r="E90" t="s">
        <v>666</v>
      </c>
      <c r="F90" t="s">
        <v>658</v>
      </c>
      <c r="G90" t="s">
        <v>686</v>
      </c>
      <c r="H90" s="8">
        <v>0</v>
      </c>
      <c r="I90" s="8">
        <v>0</v>
      </c>
      <c r="J90" s="8">
        <v>0</v>
      </c>
      <c r="K90" s="8">
        <v>0</v>
      </c>
      <c r="L90" s="8">
        <v>0</v>
      </c>
      <c r="M90" s="8">
        <f t="shared" si="21"/>
        <v>0</v>
      </c>
      <c r="N90" s="8">
        <f t="shared" si="22"/>
        <v>0</v>
      </c>
      <c r="O90" t="s">
        <v>743</v>
      </c>
      <c r="P90" t="str">
        <f t="shared" si="20"/>
        <v>Fuel</v>
      </c>
    </row>
    <row r="91" spans="1:16">
      <c r="A91" t="s">
        <v>655</v>
      </c>
      <c r="B91" t="s">
        <v>708</v>
      </c>
      <c r="C91" t="s">
        <v>671</v>
      </c>
      <c r="D91" t="s">
        <v>656</v>
      </c>
      <c r="E91" t="s">
        <v>672</v>
      </c>
      <c r="F91" t="s">
        <v>658</v>
      </c>
      <c r="G91" t="s">
        <v>695</v>
      </c>
      <c r="H91" s="8">
        <v>228.71070299999997</v>
      </c>
      <c r="I91" s="8">
        <v>8828.2331357999992</v>
      </c>
      <c r="J91" s="8">
        <v>621595.89509167802</v>
      </c>
      <c r="K91" s="8">
        <v>0</v>
      </c>
      <c r="L91" s="8">
        <v>31781.639288879996</v>
      </c>
      <c r="M91" s="8">
        <f t="shared" si="21"/>
        <v>621595.89509167802</v>
      </c>
      <c r="N91" s="8">
        <f t="shared" si="22"/>
        <v>653377.53438055806</v>
      </c>
      <c r="O91" t="s">
        <v>671</v>
      </c>
      <c r="P91" t="str">
        <f t="shared" si="20"/>
        <v>Fuel</v>
      </c>
    </row>
    <row r="92" spans="1:16">
      <c r="A92" t="s">
        <v>655</v>
      </c>
      <c r="B92" t="s">
        <v>708</v>
      </c>
      <c r="C92" t="s">
        <v>671</v>
      </c>
      <c r="D92" t="s">
        <v>656</v>
      </c>
      <c r="E92" t="s">
        <v>672</v>
      </c>
      <c r="G92" t="s">
        <v>686</v>
      </c>
      <c r="H92" s="8">
        <v>0.45657799999999993</v>
      </c>
      <c r="I92" s="8">
        <v>17.623910799999997</v>
      </c>
      <c r="J92" s="8">
        <v>1242.6619505079998</v>
      </c>
      <c r="K92" s="8">
        <v>0</v>
      </c>
      <c r="L92" s="8">
        <v>63.446078879999995</v>
      </c>
      <c r="M92" s="8">
        <f t="shared" si="21"/>
        <v>1242.6619505079998</v>
      </c>
      <c r="N92" s="8">
        <f t="shared" si="22"/>
        <v>1306.1080293879997</v>
      </c>
      <c r="O92" t="s">
        <v>671</v>
      </c>
      <c r="P92" t="str">
        <f t="shared" si="20"/>
        <v>Fuel</v>
      </c>
    </row>
    <row r="93" spans="1:16">
      <c r="A93" t="s">
        <v>655</v>
      </c>
      <c r="B93" t="s">
        <v>708</v>
      </c>
      <c r="C93" t="s">
        <v>671</v>
      </c>
      <c r="D93" t="s">
        <v>659</v>
      </c>
      <c r="E93" t="s">
        <v>672</v>
      </c>
      <c r="F93" t="s">
        <v>658</v>
      </c>
      <c r="G93" t="s">
        <v>695</v>
      </c>
      <c r="H93" s="8">
        <v>6.8618399999999999</v>
      </c>
      <c r="I93" s="8">
        <v>234.67492800000002</v>
      </c>
      <c r="J93" s="8">
        <v>15868.718631360003</v>
      </c>
      <c r="K93" s="8">
        <v>0</v>
      </c>
      <c r="L93" s="8">
        <v>844.82974080000008</v>
      </c>
      <c r="M93" s="8">
        <f t="shared" si="21"/>
        <v>15868.718631360003</v>
      </c>
      <c r="N93" s="8">
        <f t="shared" si="22"/>
        <v>16713.548372160003</v>
      </c>
      <c r="O93" t="s">
        <v>671</v>
      </c>
      <c r="P93" t="str">
        <f t="shared" si="20"/>
        <v>Fuel</v>
      </c>
    </row>
    <row r="94" spans="1:16">
      <c r="A94" t="s">
        <v>655</v>
      </c>
      <c r="B94" t="s">
        <v>708</v>
      </c>
      <c r="C94" t="s">
        <v>671</v>
      </c>
      <c r="D94" t="s">
        <v>659</v>
      </c>
      <c r="E94" t="s">
        <v>672</v>
      </c>
      <c r="G94" t="s">
        <v>686</v>
      </c>
      <c r="H94" s="8">
        <v>1.0454600000000001</v>
      </c>
      <c r="I94" s="8">
        <v>35.754732000000004</v>
      </c>
      <c r="J94" s="8">
        <v>2417.7349778400003</v>
      </c>
      <c r="K94" s="8">
        <v>0</v>
      </c>
      <c r="L94" s="8">
        <v>128.71703520000003</v>
      </c>
      <c r="M94" s="8">
        <f t="shared" si="21"/>
        <v>2417.7349778400003</v>
      </c>
      <c r="N94" s="8">
        <f t="shared" si="22"/>
        <v>2546.4520130400001</v>
      </c>
      <c r="O94" t="s">
        <v>671</v>
      </c>
      <c r="P94" t="str">
        <f t="shared" si="20"/>
        <v>Fuel</v>
      </c>
    </row>
    <row r="95" spans="1:16">
      <c r="A95" t="s">
        <v>655</v>
      </c>
      <c r="B95" t="s">
        <v>709</v>
      </c>
      <c r="C95" t="s">
        <v>155</v>
      </c>
      <c r="D95" t="s">
        <v>656</v>
      </c>
      <c r="E95" t="s">
        <v>657</v>
      </c>
      <c r="F95" t="s">
        <v>658</v>
      </c>
      <c r="G95" t="s">
        <v>686</v>
      </c>
      <c r="H95" s="8">
        <v>123.66688665848372</v>
      </c>
      <c r="I95" s="8">
        <v>4773.5418250174716</v>
      </c>
      <c r="J95" s="8">
        <v>335102.63611622649</v>
      </c>
      <c r="K95" s="8">
        <v>0</v>
      </c>
      <c r="L95" s="8">
        <v>17184.750570062897</v>
      </c>
      <c r="M95" s="8">
        <f t="shared" si="21"/>
        <v>335102.63611622649</v>
      </c>
      <c r="N95" s="8">
        <f t="shared" si="22"/>
        <v>352287.38668628939</v>
      </c>
      <c r="O95" t="s">
        <v>743</v>
      </c>
      <c r="P95" t="str">
        <f t="shared" si="20"/>
        <v>Fuel</v>
      </c>
    </row>
    <row r="96" spans="1:16">
      <c r="A96" t="s">
        <v>655</v>
      </c>
      <c r="B96" t="s">
        <v>709</v>
      </c>
      <c r="C96" t="s">
        <v>155</v>
      </c>
      <c r="D96" t="s">
        <v>659</v>
      </c>
      <c r="E96" t="s">
        <v>657</v>
      </c>
      <c r="F96" t="s">
        <v>658</v>
      </c>
      <c r="G96" t="s">
        <v>686</v>
      </c>
      <c r="H96" s="8">
        <v>0</v>
      </c>
      <c r="I96" s="8">
        <v>0</v>
      </c>
      <c r="J96" s="8">
        <v>0</v>
      </c>
      <c r="K96" s="8">
        <v>0</v>
      </c>
      <c r="L96" s="8">
        <v>0</v>
      </c>
      <c r="M96" s="8">
        <f t="shared" si="21"/>
        <v>0</v>
      </c>
      <c r="N96" s="8">
        <f t="shared" si="22"/>
        <v>0</v>
      </c>
      <c r="O96" t="s">
        <v>743</v>
      </c>
      <c r="P96" t="str">
        <f t="shared" si="20"/>
        <v>Fuel</v>
      </c>
    </row>
    <row r="97" spans="1:16">
      <c r="A97" t="s">
        <v>655</v>
      </c>
      <c r="B97" t="s">
        <v>709</v>
      </c>
      <c r="C97" t="s">
        <v>155</v>
      </c>
      <c r="D97" t="s">
        <v>660</v>
      </c>
      <c r="E97" t="s">
        <v>657</v>
      </c>
      <c r="F97" t="s">
        <v>658</v>
      </c>
      <c r="G97" t="s">
        <v>686</v>
      </c>
      <c r="H97" s="8">
        <v>0</v>
      </c>
      <c r="I97" s="8">
        <v>0</v>
      </c>
      <c r="J97" s="8">
        <v>0</v>
      </c>
      <c r="K97" s="8">
        <v>0</v>
      </c>
      <c r="L97" s="8">
        <v>0</v>
      </c>
      <c r="M97" s="8">
        <f t="shared" si="21"/>
        <v>0</v>
      </c>
      <c r="N97" s="8">
        <f t="shared" si="22"/>
        <v>0</v>
      </c>
      <c r="O97" t="s">
        <v>743</v>
      </c>
      <c r="P97" t="str">
        <f t="shared" si="20"/>
        <v>Fuel</v>
      </c>
    </row>
    <row r="98" spans="1:16">
      <c r="A98" t="s">
        <v>655</v>
      </c>
      <c r="B98" t="s">
        <v>709</v>
      </c>
      <c r="C98" t="s">
        <v>661</v>
      </c>
      <c r="D98" t="s">
        <v>155</v>
      </c>
      <c r="E98" t="s">
        <v>662</v>
      </c>
      <c r="F98" t="s">
        <v>663</v>
      </c>
      <c r="G98" t="s">
        <v>104</v>
      </c>
      <c r="H98" s="8">
        <v>243122782.49992952</v>
      </c>
      <c r="I98" s="8">
        <v>875242.01699974609</v>
      </c>
      <c r="J98" s="8">
        <v>0</v>
      </c>
      <c r="K98" s="8">
        <v>196929453.82494289</v>
      </c>
      <c r="L98" s="8">
        <v>29272720.40951154</v>
      </c>
      <c r="M98" s="8">
        <f t="shared" si="21"/>
        <v>196929453.82494289</v>
      </c>
      <c r="N98" s="8">
        <f t="shared" si="22"/>
        <v>226202174.23445442</v>
      </c>
      <c r="O98" t="s">
        <v>743</v>
      </c>
      <c r="P98" t="str">
        <f t="shared" si="20"/>
        <v>Elec</v>
      </c>
    </row>
    <row r="99" spans="1:16">
      <c r="A99" t="s">
        <v>655</v>
      </c>
      <c r="B99" t="s">
        <v>709</v>
      </c>
      <c r="C99" t="s">
        <v>661</v>
      </c>
      <c r="D99" t="s">
        <v>664</v>
      </c>
      <c r="E99" t="s">
        <v>662</v>
      </c>
      <c r="F99" t="s">
        <v>663</v>
      </c>
      <c r="G99" t="s">
        <v>686</v>
      </c>
      <c r="H99" s="8">
        <v>2851749.3266666858</v>
      </c>
      <c r="I99" s="8">
        <v>10266.297576000068</v>
      </c>
      <c r="J99" s="8">
        <v>0</v>
      </c>
      <c r="K99" s="8">
        <v>0</v>
      </c>
      <c r="L99" s="8">
        <v>0</v>
      </c>
      <c r="M99" s="8">
        <f t="shared" si="21"/>
        <v>0</v>
      </c>
      <c r="N99" s="8">
        <f t="shared" si="22"/>
        <v>0</v>
      </c>
      <c r="O99" t="s">
        <v>743</v>
      </c>
      <c r="P99" t="str">
        <f t="shared" si="20"/>
        <v>Elec</v>
      </c>
    </row>
    <row r="100" spans="1:16">
      <c r="A100" t="s">
        <v>655</v>
      </c>
      <c r="B100" t="s">
        <v>709</v>
      </c>
      <c r="C100" t="s">
        <v>665</v>
      </c>
      <c r="D100" t="s">
        <v>656</v>
      </c>
      <c r="E100" t="s">
        <v>666</v>
      </c>
      <c r="F100" t="s">
        <v>658</v>
      </c>
      <c r="G100" t="s">
        <v>695</v>
      </c>
      <c r="H100" s="8">
        <v>65.845309999999998</v>
      </c>
      <c r="I100" s="8">
        <v>2541.6289660000002</v>
      </c>
      <c r="J100" s="8">
        <v>176897.37603360001</v>
      </c>
      <c r="K100" s="8">
        <v>0</v>
      </c>
      <c r="L100" s="8">
        <v>9149.8642776000015</v>
      </c>
      <c r="M100" s="8">
        <f t="shared" si="21"/>
        <v>176897.37603360001</v>
      </c>
      <c r="N100" s="8">
        <f t="shared" si="22"/>
        <v>186047.2403112</v>
      </c>
      <c r="O100" t="s">
        <v>743</v>
      </c>
      <c r="P100" t="str">
        <f t="shared" si="20"/>
        <v>Fuel</v>
      </c>
    </row>
    <row r="101" spans="1:16">
      <c r="A101" t="s">
        <v>655</v>
      </c>
      <c r="B101" t="s">
        <v>709</v>
      </c>
      <c r="C101" t="s">
        <v>665</v>
      </c>
      <c r="D101" t="s">
        <v>656</v>
      </c>
      <c r="E101" t="s">
        <v>666</v>
      </c>
      <c r="G101" t="s">
        <v>686</v>
      </c>
      <c r="H101" s="8">
        <v>120.5669098</v>
      </c>
      <c r="I101" s="8">
        <v>4653.8827182800005</v>
      </c>
      <c r="J101" s="8">
        <v>324360.90554325597</v>
      </c>
      <c r="K101" s="8">
        <v>0</v>
      </c>
      <c r="L101" s="8">
        <v>16753.977785808001</v>
      </c>
      <c r="M101" s="8">
        <f t="shared" si="21"/>
        <v>324360.90554325597</v>
      </c>
      <c r="N101" s="8">
        <f t="shared" si="22"/>
        <v>341114.88332906394</v>
      </c>
      <c r="O101" t="s">
        <v>743</v>
      </c>
      <c r="P101" t="str">
        <f t="shared" si="20"/>
        <v>Fuel</v>
      </c>
    </row>
    <row r="102" spans="1:16">
      <c r="A102" t="s">
        <v>655</v>
      </c>
      <c r="B102" t="s">
        <v>709</v>
      </c>
      <c r="C102" t="s">
        <v>665</v>
      </c>
      <c r="D102" t="s">
        <v>667</v>
      </c>
      <c r="E102" t="s">
        <v>666</v>
      </c>
      <c r="F102" t="s">
        <v>658</v>
      </c>
      <c r="G102" t="s">
        <v>686</v>
      </c>
      <c r="H102" s="8">
        <v>0</v>
      </c>
      <c r="I102" s="8">
        <v>0</v>
      </c>
      <c r="J102" s="8">
        <v>0</v>
      </c>
      <c r="K102" s="8">
        <v>0</v>
      </c>
      <c r="L102" s="8">
        <v>0</v>
      </c>
      <c r="M102" s="8">
        <f t="shared" si="21"/>
        <v>0</v>
      </c>
      <c r="N102" s="8">
        <f t="shared" si="22"/>
        <v>0</v>
      </c>
      <c r="O102" t="s">
        <v>743</v>
      </c>
      <c r="P102" t="str">
        <f t="shared" si="20"/>
        <v>Fuel</v>
      </c>
    </row>
    <row r="103" spans="1:16">
      <c r="A103" t="s">
        <v>655</v>
      </c>
      <c r="B103" t="s">
        <v>709</v>
      </c>
      <c r="C103" t="s">
        <v>665</v>
      </c>
      <c r="D103" t="s">
        <v>659</v>
      </c>
      <c r="E103" t="s">
        <v>666</v>
      </c>
      <c r="F103" t="s">
        <v>658</v>
      </c>
      <c r="G103" t="s">
        <v>695</v>
      </c>
      <c r="H103" s="8">
        <v>2.1030200000000003</v>
      </c>
      <c r="I103" s="8">
        <v>71.92328400000001</v>
      </c>
      <c r="J103" s="8">
        <v>5005.8605664000006</v>
      </c>
      <c r="K103" s="8">
        <v>0</v>
      </c>
      <c r="L103" s="8">
        <v>258.92382240000006</v>
      </c>
      <c r="M103" s="8">
        <f t="shared" si="21"/>
        <v>5005.8605664000006</v>
      </c>
      <c r="N103" s="8">
        <f t="shared" si="22"/>
        <v>5264.7843888000007</v>
      </c>
      <c r="O103" t="s">
        <v>743</v>
      </c>
      <c r="P103" t="str">
        <f t="shared" si="20"/>
        <v>Fuel</v>
      </c>
    </row>
    <row r="104" spans="1:16">
      <c r="A104" t="s">
        <v>655</v>
      </c>
      <c r="B104" t="s">
        <v>709</v>
      </c>
      <c r="C104" t="s">
        <v>665</v>
      </c>
      <c r="D104" t="s">
        <v>659</v>
      </c>
      <c r="E104" t="s">
        <v>666</v>
      </c>
      <c r="G104" t="s">
        <v>686</v>
      </c>
      <c r="H104" s="8">
        <v>32.789371720474897</v>
      </c>
      <c r="I104" s="8">
        <v>1121.3965128402415</v>
      </c>
      <c r="J104" s="8">
        <v>76065.464970568384</v>
      </c>
      <c r="K104" s="8">
        <v>0</v>
      </c>
      <c r="L104" s="8">
        <v>4037.0274462248699</v>
      </c>
      <c r="M104" s="8">
        <f t="shared" si="21"/>
        <v>76065.464970568384</v>
      </c>
      <c r="N104" s="8">
        <f t="shared" si="22"/>
        <v>80102.492416793248</v>
      </c>
      <c r="O104" t="s">
        <v>743</v>
      </c>
      <c r="P104" t="str">
        <f t="shared" si="20"/>
        <v>Fuel</v>
      </c>
    </row>
    <row r="105" spans="1:16">
      <c r="A105" t="s">
        <v>655</v>
      </c>
      <c r="B105" t="s">
        <v>709</v>
      </c>
      <c r="C105" t="s">
        <v>665</v>
      </c>
      <c r="D105" t="s">
        <v>660</v>
      </c>
      <c r="E105" t="s">
        <v>666</v>
      </c>
      <c r="F105" t="s">
        <v>658</v>
      </c>
      <c r="G105" t="s">
        <v>686</v>
      </c>
      <c r="H105" s="8">
        <v>0</v>
      </c>
      <c r="I105" s="8">
        <v>0</v>
      </c>
      <c r="J105" s="8">
        <v>0</v>
      </c>
      <c r="K105" s="8">
        <v>0</v>
      </c>
      <c r="L105" s="8">
        <v>0</v>
      </c>
      <c r="M105" s="8">
        <f t="shared" si="21"/>
        <v>0</v>
      </c>
      <c r="N105" s="8">
        <f t="shared" si="22"/>
        <v>0</v>
      </c>
      <c r="O105" t="s">
        <v>743</v>
      </c>
      <c r="P105" t="str">
        <f t="shared" si="20"/>
        <v>Fuel</v>
      </c>
    </row>
    <row r="106" spans="1:16">
      <c r="A106" t="s">
        <v>655</v>
      </c>
      <c r="B106" t="s">
        <v>709</v>
      </c>
      <c r="C106" t="s">
        <v>671</v>
      </c>
      <c r="D106" t="s">
        <v>656</v>
      </c>
      <c r="E106" t="s">
        <v>671</v>
      </c>
      <c r="F106" t="s">
        <v>658</v>
      </c>
      <c r="G106" t="s">
        <v>695</v>
      </c>
      <c r="H106" s="8">
        <v>0.36635590000000001</v>
      </c>
      <c r="I106" s="8">
        <v>14.141337740000001</v>
      </c>
      <c r="J106" s="8">
        <v>995.55017689600015</v>
      </c>
      <c r="K106" s="8">
        <v>0</v>
      </c>
      <c r="L106" s="8">
        <v>50.908815864000005</v>
      </c>
      <c r="M106" s="8">
        <f t="shared" si="21"/>
        <v>995.55017689600015</v>
      </c>
      <c r="N106" s="8">
        <f t="shared" si="22"/>
        <v>1046.4589927600002</v>
      </c>
      <c r="O106" t="s">
        <v>671</v>
      </c>
      <c r="P106" t="str">
        <f t="shared" si="20"/>
        <v>Fuel</v>
      </c>
    </row>
    <row r="107" spans="1:16">
      <c r="A107" t="s">
        <v>655</v>
      </c>
      <c r="B107" t="s">
        <v>709</v>
      </c>
      <c r="C107" t="s">
        <v>671</v>
      </c>
      <c r="D107" t="s">
        <v>656</v>
      </c>
      <c r="E107" t="s">
        <v>672</v>
      </c>
      <c r="F107" t="s">
        <v>658</v>
      </c>
      <c r="G107" t="s">
        <v>695</v>
      </c>
      <c r="H107" s="8">
        <v>1782.0954999999999</v>
      </c>
      <c r="I107" s="8">
        <v>68788.886299999998</v>
      </c>
      <c r="J107" s="8">
        <v>4843425.484383001</v>
      </c>
      <c r="K107" s="8">
        <v>0</v>
      </c>
      <c r="L107" s="8">
        <v>247639.99067999999</v>
      </c>
      <c r="M107" s="8">
        <f t="shared" si="21"/>
        <v>4843425.484383001</v>
      </c>
      <c r="N107" s="8">
        <f t="shared" si="22"/>
        <v>5091065.4750630008</v>
      </c>
      <c r="O107" t="s">
        <v>671</v>
      </c>
      <c r="P107" t="str">
        <f t="shared" si="20"/>
        <v>Fuel</v>
      </c>
    </row>
    <row r="108" spans="1:16">
      <c r="A108" t="s">
        <v>655</v>
      </c>
      <c r="B108" t="s">
        <v>709</v>
      </c>
      <c r="C108" t="s">
        <v>671</v>
      </c>
      <c r="D108" t="s">
        <v>656</v>
      </c>
      <c r="E108" t="s">
        <v>672</v>
      </c>
      <c r="G108" t="s">
        <v>686</v>
      </c>
      <c r="H108" s="8">
        <v>0.34904000000000002</v>
      </c>
      <c r="I108" s="8">
        <v>13.472944000000002</v>
      </c>
      <c r="J108" s="8">
        <v>949.97728144000018</v>
      </c>
      <c r="K108" s="8">
        <v>0</v>
      </c>
      <c r="L108" s="8">
        <v>48.502598400000011</v>
      </c>
      <c r="M108" s="8">
        <f t="shared" si="21"/>
        <v>949.97728144000018</v>
      </c>
      <c r="N108" s="8">
        <f t="shared" si="22"/>
        <v>998.47987984000019</v>
      </c>
      <c r="O108" t="s">
        <v>671</v>
      </c>
      <c r="P108" t="str">
        <f t="shared" si="20"/>
        <v>Fuel</v>
      </c>
    </row>
    <row r="109" spans="1:16">
      <c r="A109" t="s">
        <v>655</v>
      </c>
      <c r="B109" t="s">
        <v>709</v>
      </c>
      <c r="C109" t="s">
        <v>671</v>
      </c>
      <c r="D109" t="s">
        <v>667</v>
      </c>
      <c r="E109" t="s">
        <v>672</v>
      </c>
      <c r="F109" t="s">
        <v>658</v>
      </c>
      <c r="G109" t="s">
        <v>695</v>
      </c>
      <c r="H109" s="8">
        <v>1.856193</v>
      </c>
      <c r="I109" s="8">
        <v>43.434916199999996</v>
      </c>
      <c r="J109" s="8">
        <v>17.37396648</v>
      </c>
      <c r="K109" s="8">
        <v>0</v>
      </c>
      <c r="L109" s="8">
        <v>0</v>
      </c>
      <c r="M109" s="8">
        <f t="shared" si="21"/>
        <v>17.37396648</v>
      </c>
      <c r="N109" s="8">
        <f t="shared" si="22"/>
        <v>17.37396648</v>
      </c>
      <c r="O109" t="s">
        <v>671</v>
      </c>
      <c r="P109" t="str">
        <f t="shared" si="20"/>
        <v>Fuel</v>
      </c>
    </row>
    <row r="110" spans="1:16">
      <c r="A110" t="s">
        <v>655</v>
      </c>
      <c r="B110" t="s">
        <v>709</v>
      </c>
      <c r="C110" t="s">
        <v>671</v>
      </c>
      <c r="D110" t="s">
        <v>659</v>
      </c>
      <c r="E110" t="s">
        <v>672</v>
      </c>
      <c r="F110" t="s">
        <v>658</v>
      </c>
      <c r="G110" t="s">
        <v>695</v>
      </c>
      <c r="H110" s="8">
        <v>99.741937000000007</v>
      </c>
      <c r="I110" s="8">
        <v>3411.1742454000005</v>
      </c>
      <c r="J110" s="8">
        <v>230663.60247394803</v>
      </c>
      <c r="K110" s="8">
        <v>0</v>
      </c>
      <c r="L110" s="8">
        <v>12280.227283440003</v>
      </c>
      <c r="M110" s="8">
        <f t="shared" si="21"/>
        <v>230663.60247394803</v>
      </c>
      <c r="N110" s="8">
        <f t="shared" si="22"/>
        <v>242943.82975738804</v>
      </c>
      <c r="O110" t="s">
        <v>671</v>
      </c>
      <c r="P110" t="str">
        <f t="shared" si="20"/>
        <v>Fuel</v>
      </c>
    </row>
    <row r="111" spans="1:16">
      <c r="A111" t="s">
        <v>655</v>
      </c>
      <c r="B111" t="s">
        <v>709</v>
      </c>
      <c r="C111" t="s">
        <v>671</v>
      </c>
      <c r="D111" t="s">
        <v>659</v>
      </c>
      <c r="E111" t="s">
        <v>672</v>
      </c>
      <c r="G111" t="s">
        <v>686</v>
      </c>
      <c r="H111" s="8">
        <v>8.4273975181472274</v>
      </c>
      <c r="I111" s="8">
        <v>288.2169951206352</v>
      </c>
      <c r="J111" s="8">
        <v>19489.233210057355</v>
      </c>
      <c r="K111" s="8">
        <v>0</v>
      </c>
      <c r="L111" s="8">
        <v>1037.5811824342868</v>
      </c>
      <c r="M111" s="8">
        <f t="shared" si="21"/>
        <v>19489.233210057355</v>
      </c>
      <c r="N111" s="8">
        <f t="shared" si="22"/>
        <v>20526.81439249164</v>
      </c>
      <c r="O111" t="s">
        <v>671</v>
      </c>
      <c r="P111" t="str">
        <f t="shared" si="20"/>
        <v>Fuel</v>
      </c>
    </row>
    <row r="112" spans="1:16">
      <c r="A112" t="s">
        <v>655</v>
      </c>
      <c r="B112" t="s">
        <v>709</v>
      </c>
      <c r="C112" t="s">
        <v>671</v>
      </c>
      <c r="D112" t="s">
        <v>660</v>
      </c>
      <c r="E112" t="s">
        <v>672</v>
      </c>
      <c r="F112" t="s">
        <v>658</v>
      </c>
      <c r="G112" t="s">
        <v>695</v>
      </c>
      <c r="H112" s="8">
        <v>0</v>
      </c>
      <c r="I112" s="8">
        <v>0</v>
      </c>
      <c r="J112" s="8">
        <v>0</v>
      </c>
      <c r="K112" s="8">
        <v>0</v>
      </c>
      <c r="L112" s="8">
        <v>0</v>
      </c>
      <c r="M112" s="8">
        <f t="shared" si="21"/>
        <v>0</v>
      </c>
      <c r="N112" s="8">
        <f t="shared" si="22"/>
        <v>0</v>
      </c>
      <c r="O112" t="s">
        <v>671</v>
      </c>
      <c r="P112" t="str">
        <f t="shared" si="20"/>
        <v>Fuel</v>
      </c>
    </row>
    <row r="113" spans="1:16">
      <c r="A113" t="s">
        <v>655</v>
      </c>
      <c r="B113" t="s">
        <v>710</v>
      </c>
      <c r="C113" t="s">
        <v>155</v>
      </c>
      <c r="D113" t="s">
        <v>656</v>
      </c>
      <c r="E113" t="s">
        <v>657</v>
      </c>
      <c r="F113" t="s">
        <v>658</v>
      </c>
      <c r="G113" t="s">
        <v>686</v>
      </c>
      <c r="H113" s="8">
        <v>37.967194291182167</v>
      </c>
      <c r="I113" s="8">
        <v>1465.5336996396318</v>
      </c>
      <c r="J113" s="8">
        <v>102880.46571470215</v>
      </c>
      <c r="K113" s="8">
        <v>0</v>
      </c>
      <c r="L113" s="8">
        <v>5275.9213187026744</v>
      </c>
      <c r="M113" s="8">
        <f t="shared" si="21"/>
        <v>102880.46571470215</v>
      </c>
      <c r="N113" s="8">
        <f t="shared" si="22"/>
        <v>108156.38703340483</v>
      </c>
      <c r="O113" t="s">
        <v>743</v>
      </c>
      <c r="P113" t="str">
        <f t="shared" si="20"/>
        <v>Fuel</v>
      </c>
    </row>
    <row r="114" spans="1:16">
      <c r="A114" t="s">
        <v>655</v>
      </c>
      <c r="B114" t="s">
        <v>710</v>
      </c>
      <c r="C114" t="s">
        <v>155</v>
      </c>
      <c r="D114" t="s">
        <v>659</v>
      </c>
      <c r="E114" t="s">
        <v>657</v>
      </c>
      <c r="F114" t="s">
        <v>658</v>
      </c>
      <c r="G114" t="s">
        <v>686</v>
      </c>
      <c r="H114" s="8">
        <v>0</v>
      </c>
      <c r="I114" s="8">
        <v>0</v>
      </c>
      <c r="J114" s="8">
        <v>0</v>
      </c>
      <c r="K114" s="8">
        <v>0</v>
      </c>
      <c r="L114" s="8">
        <v>0</v>
      </c>
      <c r="M114" s="8">
        <f t="shared" si="21"/>
        <v>0</v>
      </c>
      <c r="N114" s="8">
        <f t="shared" si="22"/>
        <v>0</v>
      </c>
      <c r="O114" t="s">
        <v>743</v>
      </c>
      <c r="P114" t="str">
        <f t="shared" si="20"/>
        <v>Fuel</v>
      </c>
    </row>
    <row r="115" spans="1:16">
      <c r="A115" t="s">
        <v>655</v>
      </c>
      <c r="B115" t="s">
        <v>710</v>
      </c>
      <c r="C115" t="s">
        <v>155</v>
      </c>
      <c r="D115" t="s">
        <v>660</v>
      </c>
      <c r="E115" t="s">
        <v>657</v>
      </c>
      <c r="F115" t="s">
        <v>658</v>
      </c>
      <c r="G115" t="s">
        <v>686</v>
      </c>
      <c r="H115" s="8">
        <v>0</v>
      </c>
      <c r="I115" s="8">
        <v>0</v>
      </c>
      <c r="J115" s="8">
        <v>0</v>
      </c>
      <c r="K115" s="8">
        <v>0</v>
      </c>
      <c r="L115" s="8">
        <v>0</v>
      </c>
      <c r="M115" s="8">
        <f t="shared" si="21"/>
        <v>0</v>
      </c>
      <c r="N115" s="8">
        <f t="shared" si="22"/>
        <v>0</v>
      </c>
      <c r="O115" t="s">
        <v>743</v>
      </c>
      <c r="P115" t="str">
        <f t="shared" si="20"/>
        <v>Fuel</v>
      </c>
    </row>
    <row r="116" spans="1:16">
      <c r="A116" t="s">
        <v>655</v>
      </c>
      <c r="B116" t="s">
        <v>710</v>
      </c>
      <c r="C116" t="s">
        <v>661</v>
      </c>
      <c r="D116" t="s">
        <v>155</v>
      </c>
      <c r="E116" t="s">
        <v>662</v>
      </c>
      <c r="F116" t="s">
        <v>663</v>
      </c>
      <c r="G116" t="s">
        <v>104</v>
      </c>
      <c r="H116" s="8">
        <v>86790304.752420142</v>
      </c>
      <c r="I116" s="8">
        <v>312445.09710871248</v>
      </c>
      <c r="J116" s="8">
        <v>0</v>
      </c>
      <c r="K116" s="8">
        <v>37319831.043540657</v>
      </c>
      <c r="L116" s="8">
        <v>7818212.4509990923</v>
      </c>
      <c r="M116" s="8">
        <f t="shared" si="21"/>
        <v>37319831.043540657</v>
      </c>
      <c r="N116" s="8">
        <f t="shared" si="22"/>
        <v>45138043.494539753</v>
      </c>
      <c r="O116" t="s">
        <v>743</v>
      </c>
      <c r="P116" t="str">
        <f t="shared" si="20"/>
        <v>Elec</v>
      </c>
    </row>
    <row r="117" spans="1:16">
      <c r="A117" t="s">
        <v>655</v>
      </c>
      <c r="B117" t="s">
        <v>710</v>
      </c>
      <c r="C117" t="s">
        <v>661</v>
      </c>
      <c r="D117" t="s">
        <v>664</v>
      </c>
      <c r="E117" t="s">
        <v>662</v>
      </c>
      <c r="F117" t="s">
        <v>663</v>
      </c>
      <c r="G117" t="s">
        <v>686</v>
      </c>
      <c r="H117" s="8">
        <v>667433.51999999851</v>
      </c>
      <c r="I117" s="8">
        <v>2402.7606719999944</v>
      </c>
      <c r="J117" s="8">
        <v>0</v>
      </c>
      <c r="K117" s="8">
        <v>0</v>
      </c>
      <c r="L117" s="8">
        <v>0</v>
      </c>
      <c r="M117" s="8">
        <f t="shared" si="21"/>
        <v>0</v>
      </c>
      <c r="N117" s="8">
        <f t="shared" si="22"/>
        <v>0</v>
      </c>
      <c r="O117" t="s">
        <v>743</v>
      </c>
      <c r="P117" t="str">
        <f t="shared" si="20"/>
        <v>Elec</v>
      </c>
    </row>
    <row r="118" spans="1:16">
      <c r="A118" t="s">
        <v>655</v>
      </c>
      <c r="B118" t="s">
        <v>710</v>
      </c>
      <c r="C118" t="s">
        <v>665</v>
      </c>
      <c r="D118" t="s">
        <v>656</v>
      </c>
      <c r="E118" t="s">
        <v>666</v>
      </c>
      <c r="F118" t="s">
        <v>658</v>
      </c>
      <c r="G118" t="s">
        <v>695</v>
      </c>
      <c r="H118" s="8">
        <v>2.8001900000000002</v>
      </c>
      <c r="I118" s="8">
        <v>108.08733400000001</v>
      </c>
      <c r="J118" s="8">
        <v>7522.8784464</v>
      </c>
      <c r="K118" s="8">
        <v>0</v>
      </c>
      <c r="L118" s="8">
        <v>389.11440240000007</v>
      </c>
      <c r="M118" s="8">
        <f t="shared" si="21"/>
        <v>7522.8784464</v>
      </c>
      <c r="N118" s="8">
        <f t="shared" si="22"/>
        <v>7911.9928488000005</v>
      </c>
      <c r="O118" t="s">
        <v>743</v>
      </c>
      <c r="P118" t="str">
        <f t="shared" si="20"/>
        <v>Fuel</v>
      </c>
    </row>
    <row r="119" spans="1:16">
      <c r="A119" t="s">
        <v>655</v>
      </c>
      <c r="B119" t="s">
        <v>710</v>
      </c>
      <c r="C119" t="s">
        <v>665</v>
      </c>
      <c r="D119" t="s">
        <v>656</v>
      </c>
      <c r="E119" t="s">
        <v>666</v>
      </c>
      <c r="G119" t="s">
        <v>686</v>
      </c>
      <c r="H119" s="8">
        <v>22.2844297</v>
      </c>
      <c r="I119" s="8">
        <v>860.17898642</v>
      </c>
      <c r="J119" s="8">
        <v>60099.905286684007</v>
      </c>
      <c r="K119" s="8">
        <v>0</v>
      </c>
      <c r="L119" s="8">
        <v>3096.6443511120005</v>
      </c>
      <c r="M119" s="8">
        <f t="shared" si="21"/>
        <v>60099.905286684007</v>
      </c>
      <c r="N119" s="8">
        <f t="shared" si="22"/>
        <v>63196.549637796008</v>
      </c>
      <c r="O119" t="s">
        <v>743</v>
      </c>
      <c r="P119" t="str">
        <f t="shared" si="20"/>
        <v>Fuel</v>
      </c>
    </row>
    <row r="120" spans="1:16">
      <c r="A120" t="s">
        <v>655</v>
      </c>
      <c r="B120" t="s">
        <v>710</v>
      </c>
      <c r="C120" t="s">
        <v>665</v>
      </c>
      <c r="D120" t="s">
        <v>659</v>
      </c>
      <c r="E120" t="s">
        <v>666</v>
      </c>
      <c r="F120" t="s">
        <v>658</v>
      </c>
      <c r="G120" t="s">
        <v>686</v>
      </c>
      <c r="H120" s="8">
        <v>12.8079298</v>
      </c>
      <c r="I120" s="8">
        <v>438.03119916000009</v>
      </c>
      <c r="J120" s="8">
        <v>29719.076343048011</v>
      </c>
      <c r="K120" s="8">
        <v>0</v>
      </c>
      <c r="L120" s="8">
        <v>1576.9123169760003</v>
      </c>
      <c r="M120" s="8">
        <f t="shared" si="21"/>
        <v>29719.076343048011</v>
      </c>
      <c r="N120" s="8">
        <f t="shared" si="22"/>
        <v>31295.98866002401</v>
      </c>
      <c r="O120" t="s">
        <v>743</v>
      </c>
      <c r="P120" t="str">
        <f t="shared" si="20"/>
        <v>Fuel</v>
      </c>
    </row>
    <row r="121" spans="1:16">
      <c r="A121" t="s">
        <v>655</v>
      </c>
      <c r="B121" t="s">
        <v>710</v>
      </c>
      <c r="C121" t="s">
        <v>665</v>
      </c>
      <c r="D121" t="s">
        <v>660</v>
      </c>
      <c r="E121" t="s">
        <v>666</v>
      </c>
      <c r="F121" t="s">
        <v>658</v>
      </c>
      <c r="G121" t="s">
        <v>686</v>
      </c>
      <c r="H121" s="8">
        <v>0</v>
      </c>
      <c r="I121" s="8">
        <v>0</v>
      </c>
      <c r="J121" s="8">
        <v>0</v>
      </c>
      <c r="K121" s="8">
        <v>0</v>
      </c>
      <c r="L121" s="8">
        <v>0</v>
      </c>
      <c r="M121" s="8">
        <f t="shared" si="21"/>
        <v>0</v>
      </c>
      <c r="N121" s="8">
        <f t="shared" si="22"/>
        <v>0</v>
      </c>
      <c r="O121" t="s">
        <v>743</v>
      </c>
      <c r="P121" t="str">
        <f t="shared" si="20"/>
        <v>Fuel</v>
      </c>
    </row>
    <row r="122" spans="1:16">
      <c r="A122" t="s">
        <v>655</v>
      </c>
      <c r="B122" t="s">
        <v>710</v>
      </c>
      <c r="C122" t="s">
        <v>665</v>
      </c>
      <c r="D122" t="s">
        <v>668</v>
      </c>
      <c r="E122" t="s">
        <v>666</v>
      </c>
      <c r="F122" t="s">
        <v>670</v>
      </c>
      <c r="G122" t="s">
        <v>695</v>
      </c>
      <c r="H122" s="8">
        <v>0</v>
      </c>
      <c r="I122" s="8">
        <v>0</v>
      </c>
      <c r="J122" s="8">
        <v>0</v>
      </c>
      <c r="K122" s="8">
        <v>0</v>
      </c>
      <c r="L122" s="8">
        <v>0</v>
      </c>
      <c r="M122" s="8">
        <f t="shared" si="21"/>
        <v>0</v>
      </c>
      <c r="N122" s="8">
        <f t="shared" si="22"/>
        <v>0</v>
      </c>
      <c r="O122" t="s">
        <v>743</v>
      </c>
      <c r="P122" t="str">
        <f t="shared" si="20"/>
        <v>Fuel</v>
      </c>
    </row>
    <row r="123" spans="1:16">
      <c r="A123" t="s">
        <v>655</v>
      </c>
      <c r="B123" t="s">
        <v>710</v>
      </c>
      <c r="C123" t="s">
        <v>665</v>
      </c>
      <c r="D123" t="s">
        <v>668</v>
      </c>
      <c r="E123" t="s">
        <v>666</v>
      </c>
      <c r="G123" t="s">
        <v>686</v>
      </c>
      <c r="H123" s="8">
        <v>0</v>
      </c>
      <c r="I123" s="8">
        <v>0</v>
      </c>
      <c r="J123" s="8">
        <v>0</v>
      </c>
      <c r="K123" s="8">
        <v>0</v>
      </c>
      <c r="L123" s="8">
        <v>0</v>
      </c>
      <c r="M123" s="8">
        <f t="shared" si="21"/>
        <v>0</v>
      </c>
      <c r="N123" s="8">
        <f t="shared" si="22"/>
        <v>0</v>
      </c>
      <c r="O123" t="s">
        <v>743</v>
      </c>
      <c r="P123" t="str">
        <f t="shared" si="20"/>
        <v>Fuel</v>
      </c>
    </row>
    <row r="124" spans="1:16">
      <c r="A124" t="s">
        <v>655</v>
      </c>
      <c r="B124" t="s">
        <v>710</v>
      </c>
      <c r="C124" t="s">
        <v>671</v>
      </c>
      <c r="D124" t="s">
        <v>656</v>
      </c>
      <c r="E124" t="s">
        <v>671</v>
      </c>
      <c r="F124" t="s">
        <v>658</v>
      </c>
      <c r="G124" t="s">
        <v>695</v>
      </c>
      <c r="H124" s="8">
        <v>1.8733007000000002</v>
      </c>
      <c r="I124" s="8">
        <v>72.309407020000009</v>
      </c>
      <c r="J124" s="8">
        <v>5090.5822542080014</v>
      </c>
      <c r="K124" s="8">
        <v>0</v>
      </c>
      <c r="L124" s="8">
        <v>260.31386527200004</v>
      </c>
      <c r="M124" s="8">
        <f t="shared" si="21"/>
        <v>5090.5822542080014</v>
      </c>
      <c r="N124" s="8">
        <f t="shared" si="22"/>
        <v>5350.8961194800013</v>
      </c>
      <c r="O124" t="s">
        <v>671</v>
      </c>
      <c r="P124" t="str">
        <f t="shared" si="20"/>
        <v>Fuel</v>
      </c>
    </row>
    <row r="125" spans="1:16">
      <c r="A125" t="s">
        <v>655</v>
      </c>
      <c r="B125" t="s">
        <v>710</v>
      </c>
      <c r="C125" t="s">
        <v>671</v>
      </c>
      <c r="D125" t="s">
        <v>656</v>
      </c>
      <c r="E125" t="s">
        <v>672</v>
      </c>
      <c r="F125" t="s">
        <v>658</v>
      </c>
      <c r="G125" t="s">
        <v>695</v>
      </c>
      <c r="H125" s="8">
        <v>628.02482000000009</v>
      </c>
      <c r="I125" s="8">
        <v>24241.758052000005</v>
      </c>
      <c r="J125" s="8">
        <v>1706862.1844413206</v>
      </c>
      <c r="K125" s="8">
        <v>0</v>
      </c>
      <c r="L125" s="8">
        <v>87270.328987200017</v>
      </c>
      <c r="M125" s="8">
        <f t="shared" si="21"/>
        <v>1706862.1844413206</v>
      </c>
      <c r="N125" s="8">
        <f t="shared" si="22"/>
        <v>1794132.5134285206</v>
      </c>
      <c r="O125" t="s">
        <v>671</v>
      </c>
      <c r="P125" t="str">
        <f t="shared" si="20"/>
        <v>Fuel</v>
      </c>
    </row>
    <row r="126" spans="1:16">
      <c r="A126" t="s">
        <v>655</v>
      </c>
      <c r="B126" t="s">
        <v>710</v>
      </c>
      <c r="C126" t="s">
        <v>671</v>
      </c>
      <c r="D126" t="s">
        <v>656</v>
      </c>
      <c r="E126" t="s">
        <v>672</v>
      </c>
      <c r="G126" t="s">
        <v>686</v>
      </c>
      <c r="H126" s="8">
        <v>0.314222</v>
      </c>
      <c r="I126" s="8">
        <v>12.1289692</v>
      </c>
      <c r="J126" s="8">
        <v>855.21361829200009</v>
      </c>
      <c r="K126" s="8">
        <v>0</v>
      </c>
      <c r="L126" s="8">
        <v>43.664289119999999</v>
      </c>
      <c r="M126" s="8">
        <f t="shared" si="21"/>
        <v>855.21361829200009</v>
      </c>
      <c r="N126" s="8">
        <f t="shared" si="22"/>
        <v>898.87790741200013</v>
      </c>
      <c r="O126" t="s">
        <v>671</v>
      </c>
      <c r="P126" t="str">
        <f t="shared" si="20"/>
        <v>Fuel</v>
      </c>
    </row>
    <row r="127" spans="1:16">
      <c r="A127" t="s">
        <v>655</v>
      </c>
      <c r="B127" t="s">
        <v>710</v>
      </c>
      <c r="C127" t="s">
        <v>671</v>
      </c>
      <c r="D127" t="s">
        <v>667</v>
      </c>
      <c r="E127" t="s">
        <v>672</v>
      </c>
      <c r="F127" t="s">
        <v>658</v>
      </c>
      <c r="G127" t="s">
        <v>695</v>
      </c>
      <c r="H127" s="8">
        <v>0</v>
      </c>
      <c r="I127" s="8">
        <v>0</v>
      </c>
      <c r="J127" s="8">
        <v>0</v>
      </c>
      <c r="K127" s="8">
        <v>0</v>
      </c>
      <c r="L127" s="8">
        <v>0</v>
      </c>
      <c r="M127" s="8">
        <f t="shared" si="21"/>
        <v>0</v>
      </c>
      <c r="N127" s="8">
        <f t="shared" si="22"/>
        <v>0</v>
      </c>
      <c r="O127" t="s">
        <v>671</v>
      </c>
      <c r="P127" t="str">
        <f t="shared" si="20"/>
        <v>Fuel</v>
      </c>
    </row>
    <row r="128" spans="1:16">
      <c r="A128" t="s">
        <v>655</v>
      </c>
      <c r="B128" t="s">
        <v>710</v>
      </c>
      <c r="C128" t="s">
        <v>671</v>
      </c>
      <c r="D128" t="s">
        <v>659</v>
      </c>
      <c r="E128" t="s">
        <v>672</v>
      </c>
      <c r="F128" t="s">
        <v>658</v>
      </c>
      <c r="G128" t="s">
        <v>695</v>
      </c>
      <c r="H128" s="8">
        <v>49.040910000000004</v>
      </c>
      <c r="I128" s="8">
        <v>1677.1991220000002</v>
      </c>
      <c r="J128" s="8">
        <v>113412.20462964002</v>
      </c>
      <c r="K128" s="8">
        <v>0</v>
      </c>
      <c r="L128" s="8">
        <v>6037.916839200001</v>
      </c>
      <c r="M128" s="8">
        <f t="shared" si="21"/>
        <v>113412.20462964002</v>
      </c>
      <c r="N128" s="8">
        <f t="shared" si="22"/>
        <v>119450.12146884002</v>
      </c>
      <c r="O128" t="s">
        <v>671</v>
      </c>
      <c r="P128" t="str">
        <f t="shared" si="20"/>
        <v>Fuel</v>
      </c>
    </row>
    <row r="129" spans="1:16">
      <c r="A129" t="s">
        <v>655</v>
      </c>
      <c r="B129" t="s">
        <v>710</v>
      </c>
      <c r="C129" t="s">
        <v>671</v>
      </c>
      <c r="D129" t="s">
        <v>659</v>
      </c>
      <c r="E129" t="s">
        <v>672</v>
      </c>
      <c r="G129" t="s">
        <v>686</v>
      </c>
      <c r="H129" s="8">
        <v>1.8659700000000004</v>
      </c>
      <c r="I129" s="8">
        <v>63.816174000000018</v>
      </c>
      <c r="J129" s="8">
        <v>4315.2496858800014</v>
      </c>
      <c r="K129" s="8">
        <v>0</v>
      </c>
      <c r="L129" s="8">
        <v>229.73822640000006</v>
      </c>
      <c r="M129" s="8">
        <f t="shared" si="21"/>
        <v>4315.2496858800014</v>
      </c>
      <c r="N129" s="8">
        <f t="shared" si="22"/>
        <v>4544.9879122800012</v>
      </c>
      <c r="O129" t="s">
        <v>671</v>
      </c>
      <c r="P129" t="str">
        <f t="shared" si="20"/>
        <v>Fuel</v>
      </c>
    </row>
    <row r="130" spans="1:16">
      <c r="A130" t="s">
        <v>655</v>
      </c>
      <c r="B130" t="s">
        <v>710</v>
      </c>
      <c r="C130" t="s">
        <v>671</v>
      </c>
      <c r="D130" t="s">
        <v>660</v>
      </c>
      <c r="E130" t="s">
        <v>672</v>
      </c>
      <c r="F130" t="s">
        <v>658</v>
      </c>
      <c r="G130" t="s">
        <v>695</v>
      </c>
      <c r="H130" s="8">
        <v>0</v>
      </c>
      <c r="I130" s="8">
        <v>0</v>
      </c>
      <c r="J130" s="8">
        <v>0</v>
      </c>
      <c r="K130" s="8">
        <v>0</v>
      </c>
      <c r="L130" s="8">
        <v>0</v>
      </c>
      <c r="M130" s="8">
        <f t="shared" si="21"/>
        <v>0</v>
      </c>
      <c r="N130" s="8">
        <f t="shared" si="22"/>
        <v>0</v>
      </c>
      <c r="O130" t="s">
        <v>671</v>
      </c>
      <c r="P130" t="str">
        <f t="shared" si="20"/>
        <v>Fuel</v>
      </c>
    </row>
    <row r="131" spans="1:16">
      <c r="A131" t="s">
        <v>655</v>
      </c>
      <c r="B131" t="s">
        <v>711</v>
      </c>
      <c r="C131" t="s">
        <v>155</v>
      </c>
      <c r="D131" t="s">
        <v>656</v>
      </c>
      <c r="E131" t="s">
        <v>657</v>
      </c>
      <c r="F131" t="s">
        <v>658</v>
      </c>
      <c r="G131" t="s">
        <v>686</v>
      </c>
      <c r="H131" s="8">
        <v>20.250371753101401</v>
      </c>
      <c r="I131" s="8">
        <v>781.66434966971406</v>
      </c>
      <c r="J131" s="8">
        <v>54872.837346813933</v>
      </c>
      <c r="K131" s="8">
        <v>0</v>
      </c>
      <c r="L131" s="8">
        <v>2813.9916588109709</v>
      </c>
      <c r="M131" s="8">
        <f t="shared" si="21"/>
        <v>54872.837346813933</v>
      </c>
      <c r="N131" s="8">
        <f t="shared" si="22"/>
        <v>57686.829005624902</v>
      </c>
      <c r="O131" t="s">
        <v>743</v>
      </c>
      <c r="P131" t="str">
        <f t="shared" si="20"/>
        <v>Fuel</v>
      </c>
    </row>
    <row r="132" spans="1:16">
      <c r="A132" t="s">
        <v>655</v>
      </c>
      <c r="B132" t="s">
        <v>711</v>
      </c>
      <c r="C132" t="s">
        <v>155</v>
      </c>
      <c r="D132" t="s">
        <v>659</v>
      </c>
      <c r="E132" t="s">
        <v>657</v>
      </c>
      <c r="F132" t="s">
        <v>658</v>
      </c>
      <c r="G132" t="s">
        <v>686</v>
      </c>
      <c r="H132" s="8">
        <v>0</v>
      </c>
      <c r="I132" s="8">
        <v>0</v>
      </c>
      <c r="J132" s="8">
        <v>0</v>
      </c>
      <c r="K132" s="8">
        <v>0</v>
      </c>
      <c r="L132" s="8">
        <v>0</v>
      </c>
      <c r="M132" s="8">
        <f t="shared" si="21"/>
        <v>0</v>
      </c>
      <c r="N132" s="8">
        <f t="shared" si="22"/>
        <v>0</v>
      </c>
      <c r="O132" t="s">
        <v>743</v>
      </c>
      <c r="P132" t="str">
        <f t="shared" ref="P132:P195" si="23">IF(C132="Energy Commodities","Elec","Fuel")</f>
        <v>Fuel</v>
      </c>
    </row>
    <row r="133" spans="1:16">
      <c r="A133" t="s">
        <v>655</v>
      </c>
      <c r="B133" t="s">
        <v>711</v>
      </c>
      <c r="C133" t="s">
        <v>155</v>
      </c>
      <c r="D133" t="s">
        <v>660</v>
      </c>
      <c r="E133" t="s">
        <v>657</v>
      </c>
      <c r="F133" t="s">
        <v>658</v>
      </c>
      <c r="G133" t="s">
        <v>686</v>
      </c>
      <c r="H133" s="8">
        <v>0</v>
      </c>
      <c r="I133" s="8">
        <v>0</v>
      </c>
      <c r="J133" s="8">
        <v>0</v>
      </c>
      <c r="K133" s="8">
        <v>0</v>
      </c>
      <c r="L133" s="8">
        <v>0</v>
      </c>
      <c r="M133" s="8">
        <f t="shared" ref="M133:M196" si="24">J133+K133</f>
        <v>0</v>
      </c>
      <c r="N133" s="8">
        <f t="shared" ref="N133:N196" si="25">SUM(J133:L133)</f>
        <v>0</v>
      </c>
      <c r="O133" t="s">
        <v>743</v>
      </c>
      <c r="P133" t="str">
        <f t="shared" si="23"/>
        <v>Fuel</v>
      </c>
    </row>
    <row r="134" spans="1:16">
      <c r="A134" t="s">
        <v>655</v>
      </c>
      <c r="B134" t="s">
        <v>711</v>
      </c>
      <c r="C134" t="s">
        <v>661</v>
      </c>
      <c r="D134" t="s">
        <v>155</v>
      </c>
      <c r="E134" t="s">
        <v>662</v>
      </c>
      <c r="F134" t="s">
        <v>663</v>
      </c>
      <c r="G134" t="s">
        <v>104</v>
      </c>
      <c r="H134" s="8">
        <v>23325996.513430715</v>
      </c>
      <c r="I134" s="8">
        <v>83973.587448350576</v>
      </c>
      <c r="J134" s="8">
        <v>0</v>
      </c>
      <c r="K134" s="8">
        <v>3965419.4072832218</v>
      </c>
      <c r="L134" s="8">
        <v>466519.93026861432</v>
      </c>
      <c r="M134" s="8">
        <f t="shared" si="24"/>
        <v>3965419.4072832218</v>
      </c>
      <c r="N134" s="8">
        <f t="shared" si="25"/>
        <v>4431939.3375518359</v>
      </c>
      <c r="O134" t="s">
        <v>743</v>
      </c>
      <c r="P134" t="str">
        <f t="shared" si="23"/>
        <v>Elec</v>
      </c>
    </row>
    <row r="135" spans="1:16">
      <c r="A135" t="s">
        <v>655</v>
      </c>
      <c r="B135" t="s">
        <v>711</v>
      </c>
      <c r="C135" t="s">
        <v>661</v>
      </c>
      <c r="D135" t="s">
        <v>664</v>
      </c>
      <c r="E135" t="s">
        <v>662</v>
      </c>
      <c r="F135" t="s">
        <v>663</v>
      </c>
      <c r="G135" t="s">
        <v>686</v>
      </c>
      <c r="H135" s="8">
        <v>17561.69999999999</v>
      </c>
      <c r="I135" s="8">
        <v>63.222119999999961</v>
      </c>
      <c r="J135" s="8">
        <v>0</v>
      </c>
      <c r="K135" s="8">
        <v>0</v>
      </c>
      <c r="L135" s="8">
        <v>0</v>
      </c>
      <c r="M135" s="8">
        <f t="shared" si="24"/>
        <v>0</v>
      </c>
      <c r="N135" s="8">
        <f t="shared" si="25"/>
        <v>0</v>
      </c>
      <c r="O135" t="s">
        <v>743</v>
      </c>
      <c r="P135" t="str">
        <f t="shared" si="23"/>
        <v>Elec</v>
      </c>
    </row>
    <row r="136" spans="1:16">
      <c r="A136" t="s">
        <v>655</v>
      </c>
      <c r="B136" t="s">
        <v>711</v>
      </c>
      <c r="C136" t="s">
        <v>665</v>
      </c>
      <c r="D136" t="s">
        <v>656</v>
      </c>
      <c r="E136" t="s">
        <v>666</v>
      </c>
      <c r="F136" t="s">
        <v>658</v>
      </c>
      <c r="G136" t="s">
        <v>695</v>
      </c>
      <c r="H136" s="8">
        <v>2.6652499999999999</v>
      </c>
      <c r="I136" s="8">
        <v>102.87864999999999</v>
      </c>
      <c r="J136" s="8">
        <v>7160.3540399999993</v>
      </c>
      <c r="K136" s="8">
        <v>0</v>
      </c>
      <c r="L136" s="8">
        <v>370.36313999999999</v>
      </c>
      <c r="M136" s="8">
        <f t="shared" si="24"/>
        <v>7160.3540399999993</v>
      </c>
      <c r="N136" s="8">
        <f t="shared" si="25"/>
        <v>7530.7171799999996</v>
      </c>
      <c r="O136" t="s">
        <v>743</v>
      </c>
      <c r="P136" t="str">
        <f t="shared" si="23"/>
        <v>Fuel</v>
      </c>
    </row>
    <row r="137" spans="1:16">
      <c r="A137" t="s">
        <v>655</v>
      </c>
      <c r="B137" t="s">
        <v>711</v>
      </c>
      <c r="C137" t="s">
        <v>665</v>
      </c>
      <c r="D137" t="s">
        <v>656</v>
      </c>
      <c r="E137" t="s">
        <v>666</v>
      </c>
      <c r="G137" t="s">
        <v>686</v>
      </c>
      <c r="H137" s="8">
        <v>18.874532500000001</v>
      </c>
      <c r="I137" s="8">
        <v>728.55695450000007</v>
      </c>
      <c r="J137" s="8">
        <v>50711.583045899999</v>
      </c>
      <c r="K137" s="8">
        <v>0</v>
      </c>
      <c r="L137" s="8">
        <v>2622.8050362000004</v>
      </c>
      <c r="M137" s="8">
        <f t="shared" si="24"/>
        <v>50711.583045899999</v>
      </c>
      <c r="N137" s="8">
        <f t="shared" si="25"/>
        <v>53334.388082099998</v>
      </c>
      <c r="O137" t="s">
        <v>743</v>
      </c>
      <c r="P137" t="str">
        <f t="shared" si="23"/>
        <v>Fuel</v>
      </c>
    </row>
    <row r="138" spans="1:16">
      <c r="A138" t="s">
        <v>655</v>
      </c>
      <c r="B138" t="s">
        <v>711</v>
      </c>
      <c r="C138" t="s">
        <v>665</v>
      </c>
      <c r="D138" t="s">
        <v>659</v>
      </c>
      <c r="E138" t="s">
        <v>666</v>
      </c>
      <c r="F138" t="s">
        <v>658</v>
      </c>
      <c r="G138" t="s">
        <v>695</v>
      </c>
      <c r="H138" s="8">
        <v>5.8773400000000003E-2</v>
      </c>
      <c r="I138" s="8">
        <v>2.0100502800000002</v>
      </c>
      <c r="J138" s="8">
        <v>139.899499488</v>
      </c>
      <c r="K138" s="8">
        <v>0</v>
      </c>
      <c r="L138" s="8">
        <v>7.2361810080000009</v>
      </c>
      <c r="M138" s="8">
        <f t="shared" si="24"/>
        <v>139.899499488</v>
      </c>
      <c r="N138" s="8">
        <f t="shared" si="25"/>
        <v>147.13568049599999</v>
      </c>
      <c r="O138" t="s">
        <v>743</v>
      </c>
      <c r="P138" t="str">
        <f t="shared" si="23"/>
        <v>Fuel</v>
      </c>
    </row>
    <row r="139" spans="1:16">
      <c r="A139" t="s">
        <v>655</v>
      </c>
      <c r="B139" t="s">
        <v>711</v>
      </c>
      <c r="C139" t="s">
        <v>665</v>
      </c>
      <c r="D139" t="s">
        <v>659</v>
      </c>
      <c r="E139" t="s">
        <v>666</v>
      </c>
      <c r="G139" t="s">
        <v>686</v>
      </c>
      <c r="H139" s="8">
        <v>2.3264080169597152</v>
      </c>
      <c r="I139" s="8">
        <v>79.563154180022281</v>
      </c>
      <c r="J139" s="8">
        <v>5420.6679734055106</v>
      </c>
      <c r="K139" s="8">
        <v>0</v>
      </c>
      <c r="L139" s="8">
        <v>286.42735504808019</v>
      </c>
      <c r="M139" s="8">
        <f t="shared" si="24"/>
        <v>5420.6679734055106</v>
      </c>
      <c r="N139" s="8">
        <f t="shared" si="25"/>
        <v>5707.0953284535908</v>
      </c>
      <c r="O139" t="s">
        <v>743</v>
      </c>
      <c r="P139" t="str">
        <f t="shared" si="23"/>
        <v>Fuel</v>
      </c>
    </row>
    <row r="140" spans="1:16">
      <c r="A140" t="s">
        <v>655</v>
      </c>
      <c r="B140" t="s">
        <v>711</v>
      </c>
      <c r="C140" t="s">
        <v>665</v>
      </c>
      <c r="D140" t="s">
        <v>660</v>
      </c>
      <c r="E140" t="s">
        <v>666</v>
      </c>
      <c r="F140" t="s">
        <v>658</v>
      </c>
      <c r="G140" t="s">
        <v>686</v>
      </c>
      <c r="H140" s="8">
        <v>0</v>
      </c>
      <c r="I140" s="8">
        <v>0</v>
      </c>
      <c r="J140" s="8">
        <v>0</v>
      </c>
      <c r="K140" s="8">
        <v>0</v>
      </c>
      <c r="L140" s="8">
        <v>0</v>
      </c>
      <c r="M140" s="8">
        <f t="shared" si="24"/>
        <v>0</v>
      </c>
      <c r="N140" s="8">
        <f t="shared" si="25"/>
        <v>0</v>
      </c>
      <c r="O140" t="s">
        <v>743</v>
      </c>
      <c r="P140" t="str">
        <f t="shared" si="23"/>
        <v>Fuel</v>
      </c>
    </row>
    <row r="141" spans="1:16">
      <c r="A141" t="s">
        <v>655</v>
      </c>
      <c r="B141" t="s">
        <v>711</v>
      </c>
      <c r="C141" t="s">
        <v>671</v>
      </c>
      <c r="D141" t="s">
        <v>656</v>
      </c>
      <c r="E141" t="s">
        <v>671</v>
      </c>
      <c r="F141" t="s">
        <v>658</v>
      </c>
      <c r="G141" t="s">
        <v>695</v>
      </c>
      <c r="H141" s="8">
        <v>6.7170000000000007E-2</v>
      </c>
      <c r="I141" s="8">
        <v>2.5927620000000005</v>
      </c>
      <c r="J141" s="8">
        <v>182.53044480000005</v>
      </c>
      <c r="K141" s="8">
        <v>0</v>
      </c>
      <c r="L141" s="8">
        <v>9.333943200000002</v>
      </c>
      <c r="M141" s="8">
        <f t="shared" si="24"/>
        <v>182.53044480000005</v>
      </c>
      <c r="N141" s="8">
        <f t="shared" si="25"/>
        <v>191.86438800000005</v>
      </c>
      <c r="O141" t="s">
        <v>671</v>
      </c>
      <c r="P141" t="str">
        <f t="shared" si="23"/>
        <v>Fuel</v>
      </c>
    </row>
    <row r="142" spans="1:16">
      <c r="A142" t="s">
        <v>655</v>
      </c>
      <c r="B142" t="s">
        <v>711</v>
      </c>
      <c r="C142" t="s">
        <v>671</v>
      </c>
      <c r="D142" t="s">
        <v>656</v>
      </c>
      <c r="E142" t="s">
        <v>672</v>
      </c>
      <c r="F142" t="s">
        <v>658</v>
      </c>
      <c r="G142" t="s">
        <v>695</v>
      </c>
      <c r="H142" s="8">
        <v>320.18827000000005</v>
      </c>
      <c r="I142" s="8">
        <v>12359.267222000002</v>
      </c>
      <c r="J142" s="8">
        <v>870216.00510102033</v>
      </c>
      <c r="K142" s="8">
        <v>0</v>
      </c>
      <c r="L142" s="8">
        <v>44493.361999200009</v>
      </c>
      <c r="M142" s="8">
        <f t="shared" si="24"/>
        <v>870216.00510102033</v>
      </c>
      <c r="N142" s="8">
        <f t="shared" si="25"/>
        <v>914709.36710022029</v>
      </c>
      <c r="O142" t="s">
        <v>671</v>
      </c>
      <c r="P142" t="str">
        <f t="shared" si="23"/>
        <v>Fuel</v>
      </c>
    </row>
    <row r="143" spans="1:16">
      <c r="A143" t="s">
        <v>655</v>
      </c>
      <c r="B143" t="s">
        <v>711</v>
      </c>
      <c r="C143" t="s">
        <v>671</v>
      </c>
      <c r="D143" t="s">
        <v>656</v>
      </c>
      <c r="E143" t="s">
        <v>672</v>
      </c>
      <c r="G143" t="s">
        <v>686</v>
      </c>
      <c r="H143" s="8">
        <v>0.55135999999999996</v>
      </c>
      <c r="I143" s="8">
        <v>21.282495999999998</v>
      </c>
      <c r="J143" s="8">
        <v>1500.6287929600001</v>
      </c>
      <c r="K143" s="8">
        <v>0</v>
      </c>
      <c r="L143" s="8">
        <v>76.616985599999992</v>
      </c>
      <c r="M143" s="8">
        <f t="shared" si="24"/>
        <v>1500.6287929600001</v>
      </c>
      <c r="N143" s="8">
        <f t="shared" si="25"/>
        <v>1577.24577856</v>
      </c>
      <c r="O143" t="s">
        <v>671</v>
      </c>
      <c r="P143" t="str">
        <f t="shared" si="23"/>
        <v>Fuel</v>
      </c>
    </row>
    <row r="144" spans="1:16">
      <c r="A144" t="s">
        <v>655</v>
      </c>
      <c r="B144" t="s">
        <v>711</v>
      </c>
      <c r="C144" t="s">
        <v>671</v>
      </c>
      <c r="D144" t="s">
        <v>667</v>
      </c>
      <c r="E144" t="s">
        <v>672</v>
      </c>
      <c r="F144" t="s">
        <v>658</v>
      </c>
      <c r="G144" t="s">
        <v>695</v>
      </c>
      <c r="H144" s="8">
        <v>0</v>
      </c>
      <c r="I144" s="8">
        <v>0</v>
      </c>
      <c r="J144" s="8">
        <v>0</v>
      </c>
      <c r="K144" s="8">
        <v>0</v>
      </c>
      <c r="L144" s="8">
        <v>0</v>
      </c>
      <c r="M144" s="8">
        <f t="shared" si="24"/>
        <v>0</v>
      </c>
      <c r="N144" s="8">
        <f t="shared" si="25"/>
        <v>0</v>
      </c>
      <c r="O144" t="s">
        <v>671</v>
      </c>
      <c r="P144" t="str">
        <f t="shared" si="23"/>
        <v>Fuel</v>
      </c>
    </row>
    <row r="145" spans="1:16">
      <c r="A145" t="s">
        <v>655</v>
      </c>
      <c r="B145" t="s">
        <v>711</v>
      </c>
      <c r="C145" t="s">
        <v>671</v>
      </c>
      <c r="D145" t="s">
        <v>659</v>
      </c>
      <c r="E145" t="s">
        <v>672</v>
      </c>
      <c r="F145" t="s">
        <v>658</v>
      </c>
      <c r="G145" t="s">
        <v>695</v>
      </c>
      <c r="H145" s="8">
        <v>22.046290000000003</v>
      </c>
      <c r="I145" s="8">
        <v>753.9831180000001</v>
      </c>
      <c r="J145" s="8">
        <v>50984.338439160012</v>
      </c>
      <c r="K145" s="8">
        <v>0</v>
      </c>
      <c r="L145" s="8">
        <v>2714.3392248000005</v>
      </c>
      <c r="M145" s="8">
        <f t="shared" si="24"/>
        <v>50984.338439160012</v>
      </c>
      <c r="N145" s="8">
        <f t="shared" si="25"/>
        <v>53698.677663960014</v>
      </c>
      <c r="O145" t="s">
        <v>671</v>
      </c>
      <c r="P145" t="str">
        <f t="shared" si="23"/>
        <v>Fuel</v>
      </c>
    </row>
    <row r="146" spans="1:16">
      <c r="A146" t="s">
        <v>655</v>
      </c>
      <c r="B146" t="s">
        <v>711</v>
      </c>
      <c r="C146" t="s">
        <v>671</v>
      </c>
      <c r="D146" t="s">
        <v>659</v>
      </c>
      <c r="E146" t="s">
        <v>672</v>
      </c>
      <c r="G146" t="s">
        <v>686</v>
      </c>
      <c r="H146" s="8">
        <v>3.6508249999999993</v>
      </c>
      <c r="I146" s="8">
        <v>124.85821499999999</v>
      </c>
      <c r="J146" s="8">
        <v>8442.9124983000002</v>
      </c>
      <c r="K146" s="8">
        <v>0</v>
      </c>
      <c r="L146" s="8">
        <v>449.48957399999995</v>
      </c>
      <c r="M146" s="8">
        <f t="shared" si="24"/>
        <v>8442.9124983000002</v>
      </c>
      <c r="N146" s="8">
        <f t="shared" si="25"/>
        <v>8892.4020722999994</v>
      </c>
      <c r="O146" t="s">
        <v>671</v>
      </c>
      <c r="P146" t="str">
        <f t="shared" si="23"/>
        <v>Fuel</v>
      </c>
    </row>
    <row r="147" spans="1:16">
      <c r="A147" t="s">
        <v>655</v>
      </c>
      <c r="B147" t="s">
        <v>712</v>
      </c>
      <c r="C147" t="s">
        <v>155</v>
      </c>
      <c r="D147" t="s">
        <v>656</v>
      </c>
      <c r="E147" t="s">
        <v>657</v>
      </c>
      <c r="F147" t="s">
        <v>658</v>
      </c>
      <c r="G147" t="s">
        <v>686</v>
      </c>
      <c r="H147" s="8">
        <v>253.1294340335063</v>
      </c>
      <c r="I147" s="8">
        <v>9770.7961536933435</v>
      </c>
      <c r="J147" s="8">
        <v>685909.88998927269</v>
      </c>
      <c r="K147" s="8">
        <v>0</v>
      </c>
      <c r="L147" s="8">
        <v>35174.86615329604</v>
      </c>
      <c r="M147" s="8">
        <f t="shared" si="24"/>
        <v>685909.88998927269</v>
      </c>
      <c r="N147" s="8">
        <f t="shared" si="25"/>
        <v>721084.75614256877</v>
      </c>
      <c r="O147" t="s">
        <v>743</v>
      </c>
      <c r="P147" t="str">
        <f t="shared" si="23"/>
        <v>Fuel</v>
      </c>
    </row>
    <row r="148" spans="1:16">
      <c r="A148" t="s">
        <v>655</v>
      </c>
      <c r="B148" t="s">
        <v>712</v>
      </c>
      <c r="C148" t="s">
        <v>155</v>
      </c>
      <c r="D148" t="s">
        <v>659</v>
      </c>
      <c r="E148" t="s">
        <v>657</v>
      </c>
      <c r="F148" t="s">
        <v>658</v>
      </c>
      <c r="G148" t="s">
        <v>686</v>
      </c>
      <c r="H148" s="8">
        <v>0</v>
      </c>
      <c r="I148" s="8">
        <v>0</v>
      </c>
      <c r="J148" s="8">
        <v>0</v>
      </c>
      <c r="K148" s="8">
        <v>0</v>
      </c>
      <c r="L148" s="8">
        <v>0</v>
      </c>
      <c r="M148" s="8">
        <f t="shared" si="24"/>
        <v>0</v>
      </c>
      <c r="N148" s="8">
        <f t="shared" si="25"/>
        <v>0</v>
      </c>
      <c r="O148" t="s">
        <v>743</v>
      </c>
      <c r="P148" t="str">
        <f t="shared" si="23"/>
        <v>Fuel</v>
      </c>
    </row>
    <row r="149" spans="1:16">
      <c r="A149" t="s">
        <v>655</v>
      </c>
      <c r="B149" t="s">
        <v>712</v>
      </c>
      <c r="C149" t="s">
        <v>155</v>
      </c>
      <c r="D149" t="s">
        <v>660</v>
      </c>
      <c r="E149" t="s">
        <v>657</v>
      </c>
      <c r="F149" t="s">
        <v>658</v>
      </c>
      <c r="G149" t="s">
        <v>686</v>
      </c>
      <c r="H149" s="8">
        <v>0</v>
      </c>
      <c r="I149" s="8">
        <v>0</v>
      </c>
      <c r="J149" s="8">
        <v>0</v>
      </c>
      <c r="K149" s="8">
        <v>0</v>
      </c>
      <c r="L149" s="8">
        <v>0</v>
      </c>
      <c r="M149" s="8">
        <f t="shared" si="24"/>
        <v>0</v>
      </c>
      <c r="N149" s="8">
        <f t="shared" si="25"/>
        <v>0</v>
      </c>
      <c r="O149" t="s">
        <v>743</v>
      </c>
      <c r="P149" t="str">
        <f t="shared" si="23"/>
        <v>Fuel</v>
      </c>
    </row>
    <row r="150" spans="1:16">
      <c r="A150" t="s">
        <v>655</v>
      </c>
      <c r="B150" t="s">
        <v>712</v>
      </c>
      <c r="C150" t="s">
        <v>661</v>
      </c>
      <c r="D150" t="s">
        <v>155</v>
      </c>
      <c r="E150" t="s">
        <v>662</v>
      </c>
      <c r="F150" t="s">
        <v>663</v>
      </c>
      <c r="G150" t="s">
        <v>686</v>
      </c>
      <c r="H150" s="8">
        <v>0</v>
      </c>
      <c r="I150" s="8">
        <v>0</v>
      </c>
      <c r="J150" s="8">
        <v>0</v>
      </c>
      <c r="K150" s="8">
        <v>0</v>
      </c>
      <c r="L150" s="8">
        <v>0</v>
      </c>
      <c r="M150" s="8">
        <f t="shared" si="24"/>
        <v>0</v>
      </c>
      <c r="N150" s="8">
        <f t="shared" si="25"/>
        <v>0</v>
      </c>
      <c r="O150" t="s">
        <v>743</v>
      </c>
      <c r="P150" t="str">
        <f t="shared" si="23"/>
        <v>Elec</v>
      </c>
    </row>
    <row r="151" spans="1:16">
      <c r="A151" t="s">
        <v>655</v>
      </c>
      <c r="B151" t="s">
        <v>712</v>
      </c>
      <c r="C151" t="s">
        <v>661</v>
      </c>
      <c r="D151" t="s">
        <v>155</v>
      </c>
      <c r="E151" t="s">
        <v>662</v>
      </c>
      <c r="G151" t="s">
        <v>104</v>
      </c>
      <c r="H151" s="8">
        <v>283693742.53981239</v>
      </c>
      <c r="I151" s="8">
        <v>1021297.4731433245</v>
      </c>
      <c r="J151" s="8">
        <v>0</v>
      </c>
      <c r="K151" s="8">
        <v>278019867.68901616</v>
      </c>
      <c r="L151" s="8">
        <v>31219038.119029578</v>
      </c>
      <c r="M151" s="8">
        <f t="shared" si="24"/>
        <v>278019867.68901616</v>
      </c>
      <c r="N151" s="8">
        <f t="shared" si="25"/>
        <v>309238905.80804574</v>
      </c>
      <c r="O151" t="s">
        <v>743</v>
      </c>
      <c r="P151" t="str">
        <f t="shared" si="23"/>
        <v>Elec</v>
      </c>
    </row>
    <row r="152" spans="1:16">
      <c r="A152" t="s">
        <v>655</v>
      </c>
      <c r="B152" t="s">
        <v>712</v>
      </c>
      <c r="C152" t="s">
        <v>661</v>
      </c>
      <c r="D152" t="s">
        <v>664</v>
      </c>
      <c r="E152" t="s">
        <v>662</v>
      </c>
      <c r="F152" t="s">
        <v>663</v>
      </c>
      <c r="G152" t="s">
        <v>686</v>
      </c>
      <c r="H152" s="8">
        <v>980290.9625599999</v>
      </c>
      <c r="I152" s="8">
        <v>3529.0474652159996</v>
      </c>
      <c r="J152" s="8">
        <v>0</v>
      </c>
      <c r="K152" s="8">
        <v>0</v>
      </c>
      <c r="L152" s="8">
        <v>0</v>
      </c>
      <c r="M152" s="8">
        <f t="shared" si="24"/>
        <v>0</v>
      </c>
      <c r="N152" s="8">
        <f t="shared" si="25"/>
        <v>0</v>
      </c>
      <c r="O152" t="s">
        <v>743</v>
      </c>
      <c r="P152" t="str">
        <f t="shared" si="23"/>
        <v>Elec</v>
      </c>
    </row>
    <row r="153" spans="1:16">
      <c r="A153" t="s">
        <v>655</v>
      </c>
      <c r="B153" t="s">
        <v>712</v>
      </c>
      <c r="C153" t="s">
        <v>665</v>
      </c>
      <c r="D153" t="s">
        <v>656</v>
      </c>
      <c r="E153" t="s">
        <v>666</v>
      </c>
      <c r="F153" t="s">
        <v>658</v>
      </c>
      <c r="G153" t="s">
        <v>695</v>
      </c>
      <c r="H153" s="8">
        <v>0</v>
      </c>
      <c r="I153" s="8">
        <v>0</v>
      </c>
      <c r="J153" s="8">
        <v>0</v>
      </c>
      <c r="K153" s="8">
        <v>0</v>
      </c>
      <c r="L153" s="8">
        <v>0</v>
      </c>
      <c r="M153" s="8">
        <f t="shared" si="24"/>
        <v>0</v>
      </c>
      <c r="N153" s="8">
        <f t="shared" si="25"/>
        <v>0</v>
      </c>
      <c r="O153" t="s">
        <v>743</v>
      </c>
      <c r="P153" t="str">
        <f t="shared" si="23"/>
        <v>Fuel</v>
      </c>
    </row>
    <row r="154" spans="1:16">
      <c r="A154" t="s">
        <v>655</v>
      </c>
      <c r="B154" t="s">
        <v>712</v>
      </c>
      <c r="C154" t="s">
        <v>665</v>
      </c>
      <c r="D154" t="s">
        <v>656</v>
      </c>
      <c r="E154" t="s">
        <v>666</v>
      </c>
      <c r="G154" t="s">
        <v>686</v>
      </c>
      <c r="H154" s="8">
        <v>256.56938980000001</v>
      </c>
      <c r="I154" s="8">
        <v>9903.5784462800002</v>
      </c>
      <c r="J154" s="8">
        <v>690069.65352885588</v>
      </c>
      <c r="K154" s="8">
        <v>0</v>
      </c>
      <c r="L154" s="8">
        <v>35652.882406607998</v>
      </c>
      <c r="M154" s="8">
        <f t="shared" si="24"/>
        <v>690069.65352885588</v>
      </c>
      <c r="N154" s="8">
        <f t="shared" si="25"/>
        <v>725722.53593546385</v>
      </c>
      <c r="O154" t="s">
        <v>743</v>
      </c>
      <c r="P154" t="str">
        <f t="shared" si="23"/>
        <v>Fuel</v>
      </c>
    </row>
    <row r="155" spans="1:16">
      <c r="A155" t="s">
        <v>655</v>
      </c>
      <c r="B155" t="s">
        <v>712</v>
      </c>
      <c r="C155" t="s">
        <v>665</v>
      </c>
      <c r="D155" t="s">
        <v>667</v>
      </c>
      <c r="E155" t="s">
        <v>666</v>
      </c>
      <c r="F155" t="s">
        <v>658</v>
      </c>
      <c r="G155" t="s">
        <v>686</v>
      </c>
      <c r="H155" s="8">
        <v>0</v>
      </c>
      <c r="I155" s="8">
        <v>0</v>
      </c>
      <c r="J155" s="8">
        <v>0</v>
      </c>
      <c r="K155" s="8">
        <v>0</v>
      </c>
      <c r="L155" s="8">
        <v>0</v>
      </c>
      <c r="M155" s="8">
        <f t="shared" si="24"/>
        <v>0</v>
      </c>
      <c r="N155" s="8">
        <f t="shared" si="25"/>
        <v>0</v>
      </c>
      <c r="O155" t="s">
        <v>743</v>
      </c>
      <c r="P155" t="str">
        <f t="shared" si="23"/>
        <v>Fuel</v>
      </c>
    </row>
    <row r="156" spans="1:16">
      <c r="A156" t="s">
        <v>655</v>
      </c>
      <c r="B156" t="s">
        <v>712</v>
      </c>
      <c r="C156" t="s">
        <v>665</v>
      </c>
      <c r="D156" t="s">
        <v>659</v>
      </c>
      <c r="E156" t="s">
        <v>666</v>
      </c>
      <c r="F156" t="s">
        <v>658</v>
      </c>
      <c r="G156" t="s">
        <v>695</v>
      </c>
      <c r="H156" s="8">
        <v>0.100231</v>
      </c>
      <c r="I156" s="8">
        <v>3.4279002000000003</v>
      </c>
      <c r="J156" s="8">
        <v>238.58185392000001</v>
      </c>
      <c r="K156" s="8">
        <v>0</v>
      </c>
      <c r="L156" s="8">
        <v>12.340440720000002</v>
      </c>
      <c r="M156" s="8">
        <f t="shared" si="24"/>
        <v>238.58185392000001</v>
      </c>
      <c r="N156" s="8">
        <f t="shared" si="25"/>
        <v>250.92229464000002</v>
      </c>
      <c r="O156" t="s">
        <v>743</v>
      </c>
      <c r="P156" t="str">
        <f t="shared" si="23"/>
        <v>Fuel</v>
      </c>
    </row>
    <row r="157" spans="1:16">
      <c r="A157" t="s">
        <v>655</v>
      </c>
      <c r="B157" t="s">
        <v>712</v>
      </c>
      <c r="C157" t="s">
        <v>665</v>
      </c>
      <c r="D157" t="s">
        <v>659</v>
      </c>
      <c r="E157" t="s">
        <v>666</v>
      </c>
      <c r="G157" t="s">
        <v>686</v>
      </c>
      <c r="H157" s="8">
        <v>45.20119044664078</v>
      </c>
      <c r="I157" s="8">
        <v>1545.8807132751149</v>
      </c>
      <c r="J157" s="8">
        <v>105019.7701200528</v>
      </c>
      <c r="K157" s="8">
        <v>0</v>
      </c>
      <c r="L157" s="8">
        <v>5565.1705677904138</v>
      </c>
      <c r="M157" s="8">
        <f t="shared" si="24"/>
        <v>105019.7701200528</v>
      </c>
      <c r="N157" s="8">
        <f t="shared" si="25"/>
        <v>110584.94068784321</v>
      </c>
      <c r="O157" t="s">
        <v>743</v>
      </c>
      <c r="P157" t="str">
        <f t="shared" si="23"/>
        <v>Fuel</v>
      </c>
    </row>
    <row r="158" spans="1:16">
      <c r="A158" t="s">
        <v>655</v>
      </c>
      <c r="B158" t="s">
        <v>712</v>
      </c>
      <c r="C158" t="s">
        <v>665</v>
      </c>
      <c r="D158" t="s">
        <v>660</v>
      </c>
      <c r="E158" t="s">
        <v>666</v>
      </c>
      <c r="F158" t="s">
        <v>658</v>
      </c>
      <c r="G158" t="s">
        <v>686</v>
      </c>
      <c r="H158" s="8">
        <v>0</v>
      </c>
      <c r="I158" s="8">
        <v>0</v>
      </c>
      <c r="J158" s="8">
        <v>0</v>
      </c>
      <c r="K158" s="8">
        <v>0</v>
      </c>
      <c r="L158" s="8">
        <v>0</v>
      </c>
      <c r="M158" s="8">
        <f t="shared" si="24"/>
        <v>0</v>
      </c>
      <c r="N158" s="8">
        <f t="shared" si="25"/>
        <v>0</v>
      </c>
      <c r="O158" t="s">
        <v>743</v>
      </c>
      <c r="P158" t="str">
        <f t="shared" si="23"/>
        <v>Fuel</v>
      </c>
    </row>
    <row r="159" spans="1:16">
      <c r="A159" t="s">
        <v>655</v>
      </c>
      <c r="B159" t="s">
        <v>712</v>
      </c>
      <c r="C159" t="s">
        <v>665</v>
      </c>
      <c r="D159" t="s">
        <v>668</v>
      </c>
      <c r="E159" t="s">
        <v>666</v>
      </c>
      <c r="F159" t="s">
        <v>670</v>
      </c>
      <c r="G159" t="s">
        <v>695</v>
      </c>
      <c r="H159" s="8">
        <v>3409196.9224999994</v>
      </c>
      <c r="I159" s="8">
        <v>3409.1969224999993</v>
      </c>
      <c r="J159" s="8">
        <v>175675.91741642496</v>
      </c>
      <c r="K159" s="8">
        <v>0</v>
      </c>
      <c r="L159" s="8">
        <v>13295.867997749998</v>
      </c>
      <c r="M159" s="8">
        <f t="shared" si="24"/>
        <v>175675.91741642496</v>
      </c>
      <c r="N159" s="8">
        <f t="shared" si="25"/>
        <v>188971.78541417496</v>
      </c>
      <c r="O159" t="s">
        <v>743</v>
      </c>
      <c r="P159" t="str">
        <f t="shared" si="23"/>
        <v>Fuel</v>
      </c>
    </row>
    <row r="160" spans="1:16">
      <c r="A160" t="s">
        <v>655</v>
      </c>
      <c r="B160" t="s">
        <v>712</v>
      </c>
      <c r="C160" t="s">
        <v>665</v>
      </c>
      <c r="D160" t="s">
        <v>668</v>
      </c>
      <c r="E160" t="s">
        <v>666</v>
      </c>
      <c r="G160" t="s">
        <v>686</v>
      </c>
      <c r="H160" s="8">
        <v>1332450.0844000003</v>
      </c>
      <c r="I160" s="8">
        <v>1332.4500844000004</v>
      </c>
      <c r="J160" s="8">
        <v>68661.15284913202</v>
      </c>
      <c r="K160" s="8">
        <v>0</v>
      </c>
      <c r="L160" s="8">
        <v>5196.5553291600017</v>
      </c>
      <c r="M160" s="8">
        <f t="shared" si="24"/>
        <v>68661.15284913202</v>
      </c>
      <c r="N160" s="8">
        <f t="shared" si="25"/>
        <v>73857.708178292029</v>
      </c>
      <c r="O160" t="s">
        <v>743</v>
      </c>
      <c r="P160" t="str">
        <f t="shared" si="23"/>
        <v>Fuel</v>
      </c>
    </row>
    <row r="161" spans="1:16">
      <c r="A161" t="s">
        <v>655</v>
      </c>
      <c r="B161" t="s">
        <v>712</v>
      </c>
      <c r="C161" t="s">
        <v>671</v>
      </c>
      <c r="D161" t="s">
        <v>656</v>
      </c>
      <c r="E161" t="s">
        <v>671</v>
      </c>
      <c r="F161" t="s">
        <v>658</v>
      </c>
      <c r="G161" t="s">
        <v>695</v>
      </c>
      <c r="H161" s="8">
        <v>3.2911149999999996</v>
      </c>
      <c r="I161" s="8">
        <v>127.03703899999999</v>
      </c>
      <c r="J161" s="8">
        <v>8943.407545600001</v>
      </c>
      <c r="K161" s="8">
        <v>0</v>
      </c>
      <c r="L161" s="8">
        <v>457.3333404</v>
      </c>
      <c r="M161" s="8">
        <f t="shared" si="24"/>
        <v>8943.407545600001</v>
      </c>
      <c r="N161" s="8">
        <f t="shared" si="25"/>
        <v>9400.7408860000014</v>
      </c>
      <c r="O161" t="s">
        <v>671</v>
      </c>
      <c r="P161" t="str">
        <f t="shared" si="23"/>
        <v>Fuel</v>
      </c>
    </row>
    <row r="162" spans="1:16">
      <c r="A162" t="s">
        <v>655</v>
      </c>
      <c r="B162" t="s">
        <v>712</v>
      </c>
      <c r="C162" t="s">
        <v>671</v>
      </c>
      <c r="D162" t="s">
        <v>656</v>
      </c>
      <c r="E162" t="s">
        <v>672</v>
      </c>
      <c r="F162" t="s">
        <v>658</v>
      </c>
      <c r="G162" t="s">
        <v>695</v>
      </c>
      <c r="H162" s="8">
        <v>1660.22154</v>
      </c>
      <c r="I162" s="8">
        <v>64084.551444000004</v>
      </c>
      <c r="J162" s="8">
        <v>4512193.2671720413</v>
      </c>
      <c r="K162" s="8">
        <v>0</v>
      </c>
      <c r="L162" s="8">
        <v>230704.38519840001</v>
      </c>
      <c r="M162" s="8">
        <f t="shared" si="24"/>
        <v>4512193.2671720413</v>
      </c>
      <c r="N162" s="8">
        <f t="shared" si="25"/>
        <v>4742897.6523704417</v>
      </c>
      <c r="O162" t="s">
        <v>671</v>
      </c>
      <c r="P162" t="str">
        <f t="shared" si="23"/>
        <v>Fuel</v>
      </c>
    </row>
    <row r="163" spans="1:16">
      <c r="A163" t="s">
        <v>655</v>
      </c>
      <c r="B163" t="s">
        <v>712</v>
      </c>
      <c r="C163" t="s">
        <v>671</v>
      </c>
      <c r="D163" t="s">
        <v>656</v>
      </c>
      <c r="E163" t="s">
        <v>672</v>
      </c>
      <c r="G163" t="s">
        <v>686</v>
      </c>
      <c r="H163" s="8">
        <v>0.23023999999999997</v>
      </c>
      <c r="I163" s="8">
        <v>8.8872640000000001</v>
      </c>
      <c r="J163" s="8">
        <v>626.64098464000006</v>
      </c>
      <c r="K163" s="8">
        <v>0</v>
      </c>
      <c r="L163" s="8">
        <v>31.994150400000002</v>
      </c>
      <c r="M163" s="8">
        <f t="shared" si="24"/>
        <v>626.64098464000006</v>
      </c>
      <c r="N163" s="8">
        <f t="shared" si="25"/>
        <v>658.63513504000002</v>
      </c>
      <c r="O163" t="s">
        <v>671</v>
      </c>
      <c r="P163" t="str">
        <f t="shared" si="23"/>
        <v>Fuel</v>
      </c>
    </row>
    <row r="164" spans="1:16">
      <c r="A164" t="s">
        <v>655</v>
      </c>
      <c r="B164" t="s">
        <v>712</v>
      </c>
      <c r="C164" t="s">
        <v>671</v>
      </c>
      <c r="D164" t="s">
        <v>667</v>
      </c>
      <c r="E164" t="s">
        <v>672</v>
      </c>
      <c r="F164" t="s">
        <v>658</v>
      </c>
      <c r="G164" t="s">
        <v>695</v>
      </c>
      <c r="H164" s="8">
        <v>7.4894000000000002E-2</v>
      </c>
      <c r="I164" s="8">
        <v>1.7525195999999998</v>
      </c>
      <c r="J164" s="8">
        <v>0.70100783999999994</v>
      </c>
      <c r="K164" s="8">
        <v>0</v>
      </c>
      <c r="L164" s="8">
        <v>0</v>
      </c>
      <c r="M164" s="8">
        <f t="shared" si="24"/>
        <v>0.70100783999999994</v>
      </c>
      <c r="N164" s="8">
        <f t="shared" si="25"/>
        <v>0.70100783999999994</v>
      </c>
      <c r="O164" t="s">
        <v>671</v>
      </c>
      <c r="P164" t="str">
        <f t="shared" si="23"/>
        <v>Fuel</v>
      </c>
    </row>
    <row r="165" spans="1:16">
      <c r="A165" t="s">
        <v>655</v>
      </c>
      <c r="B165" t="s">
        <v>712</v>
      </c>
      <c r="C165" t="s">
        <v>671</v>
      </c>
      <c r="D165" t="s">
        <v>659</v>
      </c>
      <c r="E165" t="s">
        <v>671</v>
      </c>
      <c r="F165" t="s">
        <v>658</v>
      </c>
      <c r="G165" t="s">
        <v>695</v>
      </c>
      <c r="H165" s="8">
        <v>0.245786</v>
      </c>
      <c r="I165" s="8">
        <v>8.4058812000000014</v>
      </c>
      <c r="J165" s="8">
        <v>585.04933152000001</v>
      </c>
      <c r="K165" s="8">
        <v>0</v>
      </c>
      <c r="L165" s="8">
        <v>30.261172320000007</v>
      </c>
      <c r="M165" s="8">
        <f t="shared" si="24"/>
        <v>585.04933152000001</v>
      </c>
      <c r="N165" s="8">
        <f t="shared" si="25"/>
        <v>615.31050384000002</v>
      </c>
      <c r="O165" t="s">
        <v>671</v>
      </c>
      <c r="P165" t="str">
        <f t="shared" si="23"/>
        <v>Fuel</v>
      </c>
    </row>
    <row r="166" spans="1:16">
      <c r="A166" t="s">
        <v>655</v>
      </c>
      <c r="B166" t="s">
        <v>712</v>
      </c>
      <c r="C166" t="s">
        <v>671</v>
      </c>
      <c r="D166" t="s">
        <v>659</v>
      </c>
      <c r="E166" t="s">
        <v>672</v>
      </c>
      <c r="F166" t="s">
        <v>658</v>
      </c>
      <c r="G166" t="s">
        <v>695</v>
      </c>
      <c r="H166" s="8">
        <v>214.70667599999999</v>
      </c>
      <c r="I166" s="8">
        <v>7342.9683192000002</v>
      </c>
      <c r="J166" s="8">
        <v>496531.51774430403</v>
      </c>
      <c r="K166" s="8">
        <v>0</v>
      </c>
      <c r="L166" s="8">
        <v>26434.685949120001</v>
      </c>
      <c r="M166" s="8">
        <f t="shared" si="24"/>
        <v>496531.51774430403</v>
      </c>
      <c r="N166" s="8">
        <f t="shared" si="25"/>
        <v>522966.203693424</v>
      </c>
      <c r="O166" t="s">
        <v>671</v>
      </c>
      <c r="P166" t="str">
        <f t="shared" si="23"/>
        <v>Fuel</v>
      </c>
    </row>
    <row r="167" spans="1:16">
      <c r="A167" t="s">
        <v>655</v>
      </c>
      <c r="B167" t="s">
        <v>712</v>
      </c>
      <c r="C167" t="s">
        <v>671</v>
      </c>
      <c r="D167" t="s">
        <v>659</v>
      </c>
      <c r="E167" t="s">
        <v>672</v>
      </c>
      <c r="G167" t="s">
        <v>686</v>
      </c>
      <c r="H167" s="8">
        <v>9.5476029999999987</v>
      </c>
      <c r="I167" s="8">
        <v>326.52802259999999</v>
      </c>
      <c r="J167" s="8">
        <v>22079.824888211999</v>
      </c>
      <c r="K167" s="8">
        <v>0</v>
      </c>
      <c r="L167" s="8">
        <v>1175.50088136</v>
      </c>
      <c r="M167" s="8">
        <f t="shared" si="24"/>
        <v>22079.824888211999</v>
      </c>
      <c r="N167" s="8">
        <f t="shared" si="25"/>
        <v>23255.325769571999</v>
      </c>
      <c r="O167" t="s">
        <v>671</v>
      </c>
      <c r="P167" t="str">
        <f t="shared" si="23"/>
        <v>Fuel</v>
      </c>
    </row>
    <row r="168" spans="1:16">
      <c r="A168" t="s">
        <v>655</v>
      </c>
      <c r="B168" t="s">
        <v>712</v>
      </c>
      <c r="C168" t="s">
        <v>671</v>
      </c>
      <c r="D168" t="s">
        <v>660</v>
      </c>
      <c r="E168" t="s">
        <v>672</v>
      </c>
      <c r="F168" t="s">
        <v>658</v>
      </c>
      <c r="G168" t="s">
        <v>695</v>
      </c>
      <c r="H168" s="8">
        <v>0</v>
      </c>
      <c r="I168" s="8">
        <v>0</v>
      </c>
      <c r="J168" s="8">
        <v>0</v>
      </c>
      <c r="K168" s="8">
        <v>0</v>
      </c>
      <c r="L168" s="8">
        <v>0</v>
      </c>
      <c r="M168" s="8">
        <f t="shared" si="24"/>
        <v>0</v>
      </c>
      <c r="N168" s="8">
        <f t="shared" si="25"/>
        <v>0</v>
      </c>
      <c r="O168" t="s">
        <v>671</v>
      </c>
      <c r="P168" t="str">
        <f t="shared" si="23"/>
        <v>Fuel</v>
      </c>
    </row>
    <row r="169" spans="1:16">
      <c r="A169" t="s">
        <v>655</v>
      </c>
      <c r="B169" t="s">
        <v>713</v>
      </c>
      <c r="C169" t="s">
        <v>155</v>
      </c>
      <c r="D169" t="s">
        <v>656</v>
      </c>
      <c r="E169" t="s">
        <v>657</v>
      </c>
      <c r="F169" t="s">
        <v>658</v>
      </c>
      <c r="G169" t="s">
        <v>686</v>
      </c>
      <c r="H169" s="8">
        <v>176.37835832619746</v>
      </c>
      <c r="I169" s="8">
        <v>6808.2046313912224</v>
      </c>
      <c r="J169" s="8">
        <v>477935.96512366383</v>
      </c>
      <c r="K169" s="8">
        <v>0</v>
      </c>
      <c r="L169" s="8">
        <v>24509.536673008402</v>
      </c>
      <c r="M169" s="8">
        <f t="shared" si="24"/>
        <v>477935.96512366383</v>
      </c>
      <c r="N169" s="8">
        <f t="shared" si="25"/>
        <v>502445.50179667224</v>
      </c>
      <c r="O169" t="s">
        <v>743</v>
      </c>
      <c r="P169" t="str">
        <f t="shared" si="23"/>
        <v>Fuel</v>
      </c>
    </row>
    <row r="170" spans="1:16">
      <c r="A170" t="s">
        <v>655</v>
      </c>
      <c r="B170" t="s">
        <v>713</v>
      </c>
      <c r="C170" t="s">
        <v>155</v>
      </c>
      <c r="D170" t="s">
        <v>659</v>
      </c>
      <c r="E170" t="s">
        <v>657</v>
      </c>
      <c r="F170" t="s">
        <v>658</v>
      </c>
      <c r="G170" t="s">
        <v>686</v>
      </c>
      <c r="H170" s="8">
        <v>0</v>
      </c>
      <c r="I170" s="8">
        <v>0</v>
      </c>
      <c r="J170" s="8">
        <v>0</v>
      </c>
      <c r="K170" s="8">
        <v>0</v>
      </c>
      <c r="L170" s="8">
        <v>0</v>
      </c>
      <c r="M170" s="8">
        <f t="shared" si="24"/>
        <v>0</v>
      </c>
      <c r="N170" s="8">
        <f t="shared" si="25"/>
        <v>0</v>
      </c>
      <c r="O170" t="s">
        <v>743</v>
      </c>
      <c r="P170" t="str">
        <f t="shared" si="23"/>
        <v>Fuel</v>
      </c>
    </row>
    <row r="171" spans="1:16">
      <c r="A171" t="s">
        <v>655</v>
      </c>
      <c r="B171" t="s">
        <v>713</v>
      </c>
      <c r="C171" t="s">
        <v>155</v>
      </c>
      <c r="D171" t="s">
        <v>660</v>
      </c>
      <c r="E171" t="s">
        <v>657</v>
      </c>
      <c r="F171" t="s">
        <v>658</v>
      </c>
      <c r="G171" t="s">
        <v>686</v>
      </c>
      <c r="H171" s="8">
        <v>0</v>
      </c>
      <c r="I171" s="8">
        <v>0</v>
      </c>
      <c r="J171" s="8">
        <v>0</v>
      </c>
      <c r="K171" s="8">
        <v>0</v>
      </c>
      <c r="L171" s="8">
        <v>0</v>
      </c>
      <c r="M171" s="8">
        <f t="shared" si="24"/>
        <v>0</v>
      </c>
      <c r="N171" s="8">
        <f t="shared" si="25"/>
        <v>0</v>
      </c>
      <c r="O171" t="s">
        <v>743</v>
      </c>
      <c r="P171" t="str">
        <f t="shared" si="23"/>
        <v>Fuel</v>
      </c>
    </row>
    <row r="172" spans="1:16">
      <c r="A172" t="s">
        <v>655</v>
      </c>
      <c r="B172" t="s">
        <v>713</v>
      </c>
      <c r="C172" t="s">
        <v>661</v>
      </c>
      <c r="D172" t="s">
        <v>155</v>
      </c>
      <c r="E172" t="s">
        <v>662</v>
      </c>
      <c r="F172" t="s">
        <v>663</v>
      </c>
      <c r="G172" t="s">
        <v>104</v>
      </c>
      <c r="H172" s="8">
        <v>128191261.62305762</v>
      </c>
      <c r="I172" s="8">
        <v>461488.54184300744</v>
      </c>
      <c r="J172" s="8">
        <v>0</v>
      </c>
      <c r="K172" s="8">
        <v>87170057.903679192</v>
      </c>
      <c r="L172" s="8">
        <v>2563825.2324611521</v>
      </c>
      <c r="M172" s="8">
        <f t="shared" si="24"/>
        <v>87170057.903679192</v>
      </c>
      <c r="N172" s="8">
        <f t="shared" si="25"/>
        <v>89733883.136140347</v>
      </c>
      <c r="O172" t="s">
        <v>743</v>
      </c>
      <c r="P172" t="str">
        <f t="shared" si="23"/>
        <v>Elec</v>
      </c>
    </row>
    <row r="173" spans="1:16">
      <c r="A173" t="s">
        <v>655</v>
      </c>
      <c r="B173" t="s">
        <v>713</v>
      </c>
      <c r="C173" t="s">
        <v>661</v>
      </c>
      <c r="D173" t="s">
        <v>664</v>
      </c>
      <c r="E173" t="s">
        <v>662</v>
      </c>
      <c r="F173" t="s">
        <v>663</v>
      </c>
      <c r="G173" t="s">
        <v>686</v>
      </c>
      <c r="H173" s="8">
        <v>3338585.8770000166</v>
      </c>
      <c r="I173" s="8">
        <v>12018.90915720006</v>
      </c>
      <c r="J173" s="8">
        <v>0</v>
      </c>
      <c r="K173" s="8">
        <v>0</v>
      </c>
      <c r="L173" s="8">
        <v>0</v>
      </c>
      <c r="M173" s="8">
        <f t="shared" si="24"/>
        <v>0</v>
      </c>
      <c r="N173" s="8">
        <f t="shared" si="25"/>
        <v>0</v>
      </c>
      <c r="O173" t="s">
        <v>743</v>
      </c>
      <c r="P173" t="str">
        <f t="shared" si="23"/>
        <v>Elec</v>
      </c>
    </row>
    <row r="174" spans="1:16">
      <c r="A174" t="s">
        <v>655</v>
      </c>
      <c r="B174" t="s">
        <v>713</v>
      </c>
      <c r="C174" t="s">
        <v>665</v>
      </c>
      <c r="D174" t="s">
        <v>656</v>
      </c>
      <c r="E174" t="s">
        <v>666</v>
      </c>
      <c r="F174" t="s">
        <v>658</v>
      </c>
      <c r="G174" t="s">
        <v>695</v>
      </c>
      <c r="H174" s="8">
        <v>13.261990000000001</v>
      </c>
      <c r="I174" s="8">
        <v>511.91281400000003</v>
      </c>
      <c r="J174" s="8">
        <v>35629.131854400002</v>
      </c>
      <c r="K174" s="8">
        <v>0</v>
      </c>
      <c r="L174" s="8">
        <v>1842.8861304000002</v>
      </c>
      <c r="M174" s="8">
        <f t="shared" si="24"/>
        <v>35629.131854400002</v>
      </c>
      <c r="N174" s="8">
        <f t="shared" si="25"/>
        <v>37472.017984800004</v>
      </c>
      <c r="O174" t="s">
        <v>743</v>
      </c>
      <c r="P174" t="str">
        <f t="shared" si="23"/>
        <v>Fuel</v>
      </c>
    </row>
    <row r="175" spans="1:16">
      <c r="A175" t="s">
        <v>655</v>
      </c>
      <c r="B175" t="s">
        <v>713</v>
      </c>
      <c r="C175" t="s">
        <v>665</v>
      </c>
      <c r="D175" t="s">
        <v>656</v>
      </c>
      <c r="E175" t="s">
        <v>666</v>
      </c>
      <c r="G175" t="s">
        <v>686</v>
      </c>
      <c r="H175" s="8">
        <v>85.844300500000003</v>
      </c>
      <c r="I175" s="8">
        <v>3313.5899993000003</v>
      </c>
      <c r="J175" s="8">
        <v>231006.82975085999</v>
      </c>
      <c r="K175" s="8">
        <v>0</v>
      </c>
      <c r="L175" s="8">
        <v>11928.92399748</v>
      </c>
      <c r="M175" s="8">
        <f t="shared" si="24"/>
        <v>231006.82975085999</v>
      </c>
      <c r="N175" s="8">
        <f t="shared" si="25"/>
        <v>242935.75374834001</v>
      </c>
      <c r="O175" t="s">
        <v>743</v>
      </c>
      <c r="P175" t="str">
        <f t="shared" si="23"/>
        <v>Fuel</v>
      </c>
    </row>
    <row r="176" spans="1:16">
      <c r="A176" t="s">
        <v>655</v>
      </c>
      <c r="B176" t="s">
        <v>713</v>
      </c>
      <c r="C176" t="s">
        <v>665</v>
      </c>
      <c r="D176" t="s">
        <v>659</v>
      </c>
      <c r="E176" t="s">
        <v>666</v>
      </c>
      <c r="F176" t="s">
        <v>658</v>
      </c>
      <c r="G176" t="s">
        <v>686</v>
      </c>
      <c r="H176" s="8">
        <v>32.544944394960652</v>
      </c>
      <c r="I176" s="8">
        <v>1113.0370983076543</v>
      </c>
      <c r="J176" s="8">
        <v>75482.814185258976</v>
      </c>
      <c r="K176" s="8">
        <v>0</v>
      </c>
      <c r="L176" s="8">
        <v>4006.9335539075564</v>
      </c>
      <c r="M176" s="8">
        <f t="shared" si="24"/>
        <v>75482.814185258976</v>
      </c>
      <c r="N176" s="8">
        <f t="shared" si="25"/>
        <v>79489.747739166531</v>
      </c>
      <c r="O176" t="s">
        <v>743</v>
      </c>
      <c r="P176" t="str">
        <f t="shared" si="23"/>
        <v>Fuel</v>
      </c>
    </row>
    <row r="177" spans="1:16">
      <c r="A177" t="s">
        <v>655</v>
      </c>
      <c r="B177" t="s">
        <v>713</v>
      </c>
      <c r="C177" t="s">
        <v>665</v>
      </c>
      <c r="D177" t="s">
        <v>660</v>
      </c>
      <c r="E177" t="s">
        <v>666</v>
      </c>
      <c r="F177" t="s">
        <v>658</v>
      </c>
      <c r="G177" t="s">
        <v>686</v>
      </c>
      <c r="H177" s="8">
        <v>0</v>
      </c>
      <c r="I177" s="8">
        <v>0</v>
      </c>
      <c r="J177" s="8">
        <v>0</v>
      </c>
      <c r="K177" s="8">
        <v>0</v>
      </c>
      <c r="L177" s="8">
        <v>0</v>
      </c>
      <c r="M177" s="8">
        <f t="shared" si="24"/>
        <v>0</v>
      </c>
      <c r="N177" s="8">
        <f t="shared" si="25"/>
        <v>0</v>
      </c>
      <c r="O177" t="s">
        <v>743</v>
      </c>
      <c r="P177" t="str">
        <f t="shared" si="23"/>
        <v>Fuel</v>
      </c>
    </row>
    <row r="178" spans="1:16">
      <c r="A178" t="s">
        <v>655</v>
      </c>
      <c r="B178" t="s">
        <v>713</v>
      </c>
      <c r="C178" t="s">
        <v>671</v>
      </c>
      <c r="D178" t="s">
        <v>656</v>
      </c>
      <c r="E178" t="s">
        <v>671</v>
      </c>
      <c r="F178" t="s">
        <v>658</v>
      </c>
      <c r="G178" t="s">
        <v>695</v>
      </c>
      <c r="H178" s="8">
        <v>0</v>
      </c>
      <c r="I178" s="8">
        <v>0</v>
      </c>
      <c r="J178" s="8">
        <v>0</v>
      </c>
      <c r="K178" s="8">
        <v>0</v>
      </c>
      <c r="L178" s="8">
        <v>0</v>
      </c>
      <c r="M178" s="8">
        <f t="shared" si="24"/>
        <v>0</v>
      </c>
      <c r="N178" s="8">
        <f t="shared" si="25"/>
        <v>0</v>
      </c>
      <c r="O178" t="s">
        <v>671</v>
      </c>
      <c r="P178" t="str">
        <f t="shared" si="23"/>
        <v>Fuel</v>
      </c>
    </row>
    <row r="179" spans="1:16">
      <c r="A179" t="s">
        <v>655</v>
      </c>
      <c r="B179" t="s">
        <v>713</v>
      </c>
      <c r="C179" t="s">
        <v>671</v>
      </c>
      <c r="D179" t="s">
        <v>656</v>
      </c>
      <c r="E179" t="s">
        <v>672</v>
      </c>
      <c r="F179" t="s">
        <v>658</v>
      </c>
      <c r="G179" t="s">
        <v>695</v>
      </c>
      <c r="H179" s="8">
        <v>930.21676000000002</v>
      </c>
      <c r="I179" s="8">
        <v>35906.366936000006</v>
      </c>
      <c r="J179" s="8">
        <v>2528167.2959637609</v>
      </c>
      <c r="K179" s="8">
        <v>0</v>
      </c>
      <c r="L179" s="8">
        <v>129262.92096960002</v>
      </c>
      <c r="M179" s="8">
        <f t="shared" si="24"/>
        <v>2528167.2959637609</v>
      </c>
      <c r="N179" s="8">
        <f t="shared" si="25"/>
        <v>2657430.2169333608</v>
      </c>
      <c r="O179" t="s">
        <v>671</v>
      </c>
      <c r="P179" t="str">
        <f t="shared" si="23"/>
        <v>Fuel</v>
      </c>
    </row>
    <row r="180" spans="1:16">
      <c r="A180" t="s">
        <v>655</v>
      </c>
      <c r="B180" t="s">
        <v>713</v>
      </c>
      <c r="C180" t="s">
        <v>671</v>
      </c>
      <c r="D180" t="s">
        <v>656</v>
      </c>
      <c r="E180" t="s">
        <v>672</v>
      </c>
      <c r="G180" t="s">
        <v>686</v>
      </c>
      <c r="H180" s="8">
        <v>0.11432</v>
      </c>
      <c r="I180" s="8">
        <v>4.4127520000000002</v>
      </c>
      <c r="J180" s="8">
        <v>311.14314352000002</v>
      </c>
      <c r="K180" s="8">
        <v>0</v>
      </c>
      <c r="L180" s="8">
        <v>15.885907200000002</v>
      </c>
      <c r="M180" s="8">
        <f t="shared" si="24"/>
        <v>311.14314352000002</v>
      </c>
      <c r="N180" s="8">
        <f t="shared" si="25"/>
        <v>327.02905072000004</v>
      </c>
      <c r="O180" t="s">
        <v>671</v>
      </c>
      <c r="P180" t="str">
        <f t="shared" si="23"/>
        <v>Fuel</v>
      </c>
    </row>
    <row r="181" spans="1:16">
      <c r="A181" t="s">
        <v>655</v>
      </c>
      <c r="B181" t="s">
        <v>713</v>
      </c>
      <c r="C181" t="s">
        <v>671</v>
      </c>
      <c r="D181" t="s">
        <v>659</v>
      </c>
      <c r="E181" t="s">
        <v>672</v>
      </c>
      <c r="F181" t="s">
        <v>658</v>
      </c>
      <c r="G181" t="s">
        <v>695</v>
      </c>
      <c r="H181" s="8">
        <v>50.174939999999999</v>
      </c>
      <c r="I181" s="8">
        <v>1715.9829480000001</v>
      </c>
      <c r="J181" s="8">
        <v>116034.76694376001</v>
      </c>
      <c r="K181" s="8">
        <v>0</v>
      </c>
      <c r="L181" s="8">
        <v>6177.5386128</v>
      </c>
      <c r="M181" s="8">
        <f t="shared" si="24"/>
        <v>116034.76694376001</v>
      </c>
      <c r="N181" s="8">
        <f t="shared" si="25"/>
        <v>122212.30555656001</v>
      </c>
      <c r="O181" t="s">
        <v>671</v>
      </c>
      <c r="P181" t="str">
        <f t="shared" si="23"/>
        <v>Fuel</v>
      </c>
    </row>
    <row r="182" spans="1:16">
      <c r="A182" t="s">
        <v>655</v>
      </c>
      <c r="B182" t="s">
        <v>713</v>
      </c>
      <c r="C182" t="s">
        <v>671</v>
      </c>
      <c r="D182" t="s">
        <v>659</v>
      </c>
      <c r="E182" t="s">
        <v>672</v>
      </c>
      <c r="G182" t="s">
        <v>686</v>
      </c>
      <c r="H182" s="8">
        <v>2.0584378000000001</v>
      </c>
      <c r="I182" s="8">
        <v>70.398572760000008</v>
      </c>
      <c r="J182" s="8">
        <v>4760.3514900312011</v>
      </c>
      <c r="K182" s="8">
        <v>0</v>
      </c>
      <c r="L182" s="8">
        <v>253.43486193600003</v>
      </c>
      <c r="M182" s="8">
        <f t="shared" si="24"/>
        <v>4760.3514900312011</v>
      </c>
      <c r="N182" s="8">
        <f t="shared" si="25"/>
        <v>5013.786351967201</v>
      </c>
      <c r="O182" t="s">
        <v>671</v>
      </c>
      <c r="P182" t="str">
        <f t="shared" si="23"/>
        <v>Fuel</v>
      </c>
    </row>
    <row r="183" spans="1:16">
      <c r="A183" t="s">
        <v>655</v>
      </c>
      <c r="B183" t="s">
        <v>714</v>
      </c>
      <c r="C183" t="s">
        <v>155</v>
      </c>
      <c r="D183" t="s">
        <v>656</v>
      </c>
      <c r="E183" t="s">
        <v>657</v>
      </c>
      <c r="F183" t="s">
        <v>658</v>
      </c>
      <c r="G183" t="s">
        <v>686</v>
      </c>
      <c r="H183" s="8">
        <v>0.46300010000000003</v>
      </c>
      <c r="I183" s="8">
        <v>17.87180386</v>
      </c>
      <c r="J183" s="8">
        <v>1254.6006309720001</v>
      </c>
      <c r="K183" s="8">
        <v>0</v>
      </c>
      <c r="L183" s="8">
        <v>64.338493896000003</v>
      </c>
      <c r="M183" s="8">
        <f t="shared" si="24"/>
        <v>1254.6006309720001</v>
      </c>
      <c r="N183" s="8">
        <f t="shared" si="25"/>
        <v>1318.9391248680001</v>
      </c>
      <c r="O183" t="s">
        <v>746</v>
      </c>
      <c r="P183" t="str">
        <f t="shared" si="23"/>
        <v>Fuel</v>
      </c>
    </row>
    <row r="184" spans="1:16">
      <c r="A184" t="s">
        <v>655</v>
      </c>
      <c r="B184" t="s">
        <v>714</v>
      </c>
      <c r="C184" t="s">
        <v>155</v>
      </c>
      <c r="D184" t="s">
        <v>660</v>
      </c>
      <c r="E184" t="s">
        <v>657</v>
      </c>
      <c r="F184" t="s">
        <v>658</v>
      </c>
      <c r="G184" t="s">
        <v>686</v>
      </c>
      <c r="H184" s="8">
        <v>0</v>
      </c>
      <c r="I184" s="8">
        <v>0</v>
      </c>
      <c r="J184" s="8">
        <v>0</v>
      </c>
      <c r="K184" s="8">
        <v>0</v>
      </c>
      <c r="L184" s="8">
        <v>0</v>
      </c>
      <c r="M184" s="8">
        <f t="shared" si="24"/>
        <v>0</v>
      </c>
      <c r="N184" s="8">
        <f t="shared" si="25"/>
        <v>0</v>
      </c>
      <c r="O184" t="s">
        <v>746</v>
      </c>
      <c r="P184" t="str">
        <f t="shared" si="23"/>
        <v>Fuel</v>
      </c>
    </row>
    <row r="185" spans="1:16">
      <c r="A185" t="s">
        <v>655</v>
      </c>
      <c r="B185" t="s">
        <v>714</v>
      </c>
      <c r="C185" t="s">
        <v>661</v>
      </c>
      <c r="D185" t="s">
        <v>155</v>
      </c>
      <c r="E185" t="s">
        <v>662</v>
      </c>
      <c r="F185" t="s">
        <v>663</v>
      </c>
      <c r="G185" t="s">
        <v>104</v>
      </c>
      <c r="H185" s="8">
        <v>2208961.8330999999</v>
      </c>
      <c r="I185" s="8">
        <v>7952.2625991599998</v>
      </c>
      <c r="J185" s="8">
        <v>0</v>
      </c>
      <c r="K185" s="8">
        <v>1789259.0848110002</v>
      </c>
      <c r="L185" s="8">
        <v>198806.56497899999</v>
      </c>
      <c r="M185" s="8">
        <f t="shared" si="24"/>
        <v>1789259.0848110002</v>
      </c>
      <c r="N185" s="8">
        <f t="shared" si="25"/>
        <v>1988065.6497900002</v>
      </c>
      <c r="O185" t="s">
        <v>746</v>
      </c>
      <c r="P185" t="str">
        <f t="shared" si="23"/>
        <v>Elec</v>
      </c>
    </row>
    <row r="186" spans="1:16">
      <c r="A186" t="s">
        <v>655</v>
      </c>
      <c r="B186" t="s">
        <v>715</v>
      </c>
      <c r="C186" t="s">
        <v>155</v>
      </c>
      <c r="D186" t="s">
        <v>656</v>
      </c>
      <c r="E186" t="s">
        <v>657</v>
      </c>
      <c r="F186" t="s">
        <v>658</v>
      </c>
      <c r="G186" t="s">
        <v>686</v>
      </c>
      <c r="H186" s="8">
        <v>0.43199969999999999</v>
      </c>
      <c r="I186" s="8">
        <v>16.675188420000001</v>
      </c>
      <c r="J186" s="8">
        <v>1170.5982270840002</v>
      </c>
      <c r="K186" s="8">
        <v>0</v>
      </c>
      <c r="L186" s="8">
        <v>60.030678312000006</v>
      </c>
      <c r="M186" s="8">
        <f t="shared" si="24"/>
        <v>1170.5982270840002</v>
      </c>
      <c r="N186" s="8">
        <f t="shared" si="25"/>
        <v>1230.6289053960002</v>
      </c>
      <c r="O186" t="s">
        <v>746</v>
      </c>
      <c r="P186" t="str">
        <f t="shared" si="23"/>
        <v>Fuel</v>
      </c>
    </row>
    <row r="187" spans="1:16">
      <c r="A187" t="s">
        <v>655</v>
      </c>
      <c r="B187" t="s">
        <v>715</v>
      </c>
      <c r="C187" t="s">
        <v>155</v>
      </c>
      <c r="D187" t="s">
        <v>660</v>
      </c>
      <c r="E187" t="s">
        <v>657</v>
      </c>
      <c r="F187" t="s">
        <v>658</v>
      </c>
      <c r="G187" t="s">
        <v>686</v>
      </c>
      <c r="H187" s="8">
        <v>0</v>
      </c>
      <c r="I187" s="8">
        <v>0</v>
      </c>
      <c r="J187" s="8">
        <v>0</v>
      </c>
      <c r="K187" s="8">
        <v>0</v>
      </c>
      <c r="L187" s="8">
        <v>0</v>
      </c>
      <c r="M187" s="8">
        <f t="shared" si="24"/>
        <v>0</v>
      </c>
      <c r="N187" s="8">
        <f t="shared" si="25"/>
        <v>0</v>
      </c>
      <c r="O187" t="s">
        <v>746</v>
      </c>
      <c r="P187" t="str">
        <f t="shared" si="23"/>
        <v>Fuel</v>
      </c>
    </row>
    <row r="188" spans="1:16">
      <c r="A188" t="s">
        <v>655</v>
      </c>
      <c r="B188" t="s">
        <v>715</v>
      </c>
      <c r="C188" t="s">
        <v>661</v>
      </c>
      <c r="D188" t="s">
        <v>155</v>
      </c>
      <c r="E188" t="s">
        <v>662</v>
      </c>
      <c r="F188" t="s">
        <v>663</v>
      </c>
      <c r="G188" t="s">
        <v>104</v>
      </c>
      <c r="H188" s="8">
        <v>4655224.6900000004</v>
      </c>
      <c r="I188" s="8">
        <v>16758.808884000002</v>
      </c>
      <c r="J188" s="8">
        <v>0</v>
      </c>
      <c r="K188" s="8">
        <v>3770731.9989000005</v>
      </c>
      <c r="L188" s="8">
        <v>418970.22210000001</v>
      </c>
      <c r="M188" s="8">
        <f t="shared" si="24"/>
        <v>3770731.9989000005</v>
      </c>
      <c r="N188" s="8">
        <f t="shared" si="25"/>
        <v>4189702.2210000004</v>
      </c>
      <c r="O188" t="s">
        <v>746</v>
      </c>
      <c r="P188" t="str">
        <f t="shared" si="23"/>
        <v>Elec</v>
      </c>
    </row>
    <row r="189" spans="1:16">
      <c r="A189" t="s">
        <v>655</v>
      </c>
      <c r="B189" t="s">
        <v>716</v>
      </c>
      <c r="C189" t="s">
        <v>155</v>
      </c>
      <c r="D189" t="s">
        <v>656</v>
      </c>
      <c r="E189" t="s">
        <v>657</v>
      </c>
      <c r="F189" t="s">
        <v>658</v>
      </c>
      <c r="G189" t="s">
        <v>686</v>
      </c>
      <c r="H189" s="8">
        <v>0</v>
      </c>
      <c r="I189" s="8">
        <v>0</v>
      </c>
      <c r="J189" s="8">
        <v>0</v>
      </c>
      <c r="K189" s="8">
        <v>0</v>
      </c>
      <c r="L189" s="8">
        <v>0</v>
      </c>
      <c r="M189" s="8">
        <f t="shared" si="24"/>
        <v>0</v>
      </c>
      <c r="N189" s="8">
        <f t="shared" si="25"/>
        <v>0</v>
      </c>
      <c r="O189" t="s">
        <v>746</v>
      </c>
      <c r="P189" t="str">
        <f t="shared" si="23"/>
        <v>Fuel</v>
      </c>
    </row>
    <row r="190" spans="1:16">
      <c r="A190" t="s">
        <v>655</v>
      </c>
      <c r="B190" t="s">
        <v>716</v>
      </c>
      <c r="C190" t="s">
        <v>155</v>
      </c>
      <c r="D190" t="s">
        <v>660</v>
      </c>
      <c r="E190" t="s">
        <v>657</v>
      </c>
      <c r="F190" t="s">
        <v>658</v>
      </c>
      <c r="G190" t="s">
        <v>686</v>
      </c>
      <c r="H190" s="8">
        <v>0</v>
      </c>
      <c r="I190" s="8">
        <v>0</v>
      </c>
      <c r="J190" s="8">
        <v>0</v>
      </c>
      <c r="K190" s="8">
        <v>0</v>
      </c>
      <c r="L190" s="8">
        <v>0</v>
      </c>
      <c r="M190" s="8">
        <f t="shared" si="24"/>
        <v>0</v>
      </c>
      <c r="N190" s="8">
        <f t="shared" si="25"/>
        <v>0</v>
      </c>
      <c r="O190" t="s">
        <v>746</v>
      </c>
      <c r="P190" t="str">
        <f t="shared" si="23"/>
        <v>Fuel</v>
      </c>
    </row>
    <row r="191" spans="1:16">
      <c r="A191" t="s">
        <v>655</v>
      </c>
      <c r="B191" t="s">
        <v>716</v>
      </c>
      <c r="C191" t="s">
        <v>661</v>
      </c>
      <c r="D191" t="s">
        <v>155</v>
      </c>
      <c r="E191" t="s">
        <v>662</v>
      </c>
      <c r="F191" t="s">
        <v>663</v>
      </c>
      <c r="G191" t="s">
        <v>104</v>
      </c>
      <c r="H191" s="8">
        <v>109896.26500000001</v>
      </c>
      <c r="I191" s="8">
        <v>395.62655400000006</v>
      </c>
      <c r="J191" s="8">
        <v>0</v>
      </c>
      <c r="K191" s="8">
        <v>68135.684300000008</v>
      </c>
      <c r="L191" s="8">
        <v>7692.7385500000019</v>
      </c>
      <c r="M191" s="8">
        <f t="shared" si="24"/>
        <v>68135.684300000008</v>
      </c>
      <c r="N191" s="8">
        <f t="shared" si="25"/>
        <v>75828.422850000003</v>
      </c>
      <c r="O191" t="s">
        <v>746</v>
      </c>
      <c r="P191" t="str">
        <f t="shared" si="23"/>
        <v>Elec</v>
      </c>
    </row>
    <row r="192" spans="1:16">
      <c r="A192" t="s">
        <v>655</v>
      </c>
      <c r="B192" t="s">
        <v>717</v>
      </c>
      <c r="C192" t="s">
        <v>155</v>
      </c>
      <c r="D192" t="s">
        <v>656</v>
      </c>
      <c r="E192" t="s">
        <v>657</v>
      </c>
      <c r="F192" t="s">
        <v>658</v>
      </c>
      <c r="G192" t="s">
        <v>686</v>
      </c>
      <c r="H192" s="8">
        <v>0.68999960000000005</v>
      </c>
      <c r="I192" s="8">
        <v>26.633984560000002</v>
      </c>
      <c r="J192" s="8">
        <v>1869.7057161120001</v>
      </c>
      <c r="K192" s="8">
        <v>0</v>
      </c>
      <c r="L192" s="8">
        <v>95.882344416000009</v>
      </c>
      <c r="M192" s="8">
        <f t="shared" si="24"/>
        <v>1869.7057161120001</v>
      </c>
      <c r="N192" s="8">
        <f t="shared" si="25"/>
        <v>1965.5880605280001</v>
      </c>
      <c r="O192" t="s">
        <v>746</v>
      </c>
      <c r="P192" t="str">
        <f t="shared" si="23"/>
        <v>Fuel</v>
      </c>
    </row>
    <row r="193" spans="1:16">
      <c r="A193" t="s">
        <v>655</v>
      </c>
      <c r="B193" t="s">
        <v>717</v>
      </c>
      <c r="C193" t="s">
        <v>155</v>
      </c>
      <c r="D193" t="s">
        <v>660</v>
      </c>
      <c r="E193" t="s">
        <v>657</v>
      </c>
      <c r="F193" t="s">
        <v>658</v>
      </c>
      <c r="G193" t="s">
        <v>686</v>
      </c>
      <c r="H193" s="8">
        <v>0</v>
      </c>
      <c r="I193" s="8">
        <v>0</v>
      </c>
      <c r="J193" s="8">
        <v>0</v>
      </c>
      <c r="K193" s="8">
        <v>0</v>
      </c>
      <c r="L193" s="8">
        <v>0</v>
      </c>
      <c r="M193" s="8">
        <f t="shared" si="24"/>
        <v>0</v>
      </c>
      <c r="N193" s="8">
        <f t="shared" si="25"/>
        <v>0</v>
      </c>
      <c r="O193" t="s">
        <v>746</v>
      </c>
      <c r="P193" t="str">
        <f t="shared" si="23"/>
        <v>Fuel</v>
      </c>
    </row>
    <row r="194" spans="1:16">
      <c r="A194" t="s">
        <v>655</v>
      </c>
      <c r="B194" t="s">
        <v>717</v>
      </c>
      <c r="C194" t="s">
        <v>661</v>
      </c>
      <c r="D194" t="s">
        <v>155</v>
      </c>
      <c r="E194" t="s">
        <v>662</v>
      </c>
      <c r="F194" t="s">
        <v>663</v>
      </c>
      <c r="G194" t="s">
        <v>104</v>
      </c>
      <c r="H194" s="8">
        <v>3091087.2818000005</v>
      </c>
      <c r="I194" s="8">
        <v>11127.914214480001</v>
      </c>
      <c r="J194" s="8">
        <v>0</v>
      </c>
      <c r="K194" s="8">
        <v>2503780.6982580004</v>
      </c>
      <c r="L194" s="8">
        <v>370930.47381600004</v>
      </c>
      <c r="M194" s="8">
        <f t="shared" si="24"/>
        <v>2503780.6982580004</v>
      </c>
      <c r="N194" s="8">
        <f t="shared" si="25"/>
        <v>2874711.1720740004</v>
      </c>
      <c r="O194" t="s">
        <v>746</v>
      </c>
      <c r="P194" t="str">
        <f t="shared" si="23"/>
        <v>Elec</v>
      </c>
    </row>
    <row r="195" spans="1:16">
      <c r="A195" t="s">
        <v>655</v>
      </c>
      <c r="B195" t="s">
        <v>718</v>
      </c>
      <c r="C195" t="s">
        <v>155</v>
      </c>
      <c r="D195" t="s">
        <v>656</v>
      </c>
      <c r="E195" t="s">
        <v>657</v>
      </c>
      <c r="F195" t="s">
        <v>658</v>
      </c>
      <c r="G195" t="s">
        <v>686</v>
      </c>
      <c r="H195" s="8">
        <v>8.6999799999999988E-2</v>
      </c>
      <c r="I195" s="8">
        <v>3.3581922799999995</v>
      </c>
      <c r="J195" s="8">
        <v>235.74509805599996</v>
      </c>
      <c r="K195" s="8">
        <v>0</v>
      </c>
      <c r="L195" s="8">
        <v>12.089492207999998</v>
      </c>
      <c r="M195" s="8">
        <f t="shared" si="24"/>
        <v>235.74509805599996</v>
      </c>
      <c r="N195" s="8">
        <f t="shared" si="25"/>
        <v>247.83459026399996</v>
      </c>
      <c r="O195" t="s">
        <v>746</v>
      </c>
      <c r="P195" t="str">
        <f t="shared" si="23"/>
        <v>Fuel</v>
      </c>
    </row>
    <row r="196" spans="1:16">
      <c r="A196" t="s">
        <v>655</v>
      </c>
      <c r="B196" t="s">
        <v>718</v>
      </c>
      <c r="C196" t="s">
        <v>155</v>
      </c>
      <c r="D196" t="s">
        <v>660</v>
      </c>
      <c r="E196" t="s">
        <v>657</v>
      </c>
      <c r="F196" t="s">
        <v>658</v>
      </c>
      <c r="G196" t="s">
        <v>686</v>
      </c>
      <c r="H196" s="8">
        <v>0</v>
      </c>
      <c r="I196" s="8">
        <v>0</v>
      </c>
      <c r="J196" s="8">
        <v>0</v>
      </c>
      <c r="K196" s="8">
        <v>0</v>
      </c>
      <c r="L196" s="8">
        <v>0</v>
      </c>
      <c r="M196" s="8">
        <f t="shared" si="24"/>
        <v>0</v>
      </c>
      <c r="N196" s="8">
        <f t="shared" si="25"/>
        <v>0</v>
      </c>
      <c r="O196" t="s">
        <v>746</v>
      </c>
      <c r="P196" t="str">
        <f t="shared" ref="P196:P215" si="26">IF(C196="Energy Commodities","Elec","Fuel")</f>
        <v>Fuel</v>
      </c>
    </row>
    <row r="197" spans="1:16">
      <c r="A197" t="s">
        <v>655</v>
      </c>
      <c r="B197" t="s">
        <v>718</v>
      </c>
      <c r="C197" t="s">
        <v>661</v>
      </c>
      <c r="D197" t="s">
        <v>155</v>
      </c>
      <c r="E197" t="s">
        <v>662</v>
      </c>
      <c r="F197" t="s">
        <v>663</v>
      </c>
      <c r="G197" t="s">
        <v>104</v>
      </c>
      <c r="H197" s="8">
        <v>958428.99939999986</v>
      </c>
      <c r="I197" s="8">
        <v>3450.3443978399996</v>
      </c>
      <c r="J197" s="8">
        <v>0</v>
      </c>
      <c r="K197" s="8">
        <v>412124.46974199993</v>
      </c>
      <c r="L197" s="8">
        <v>86258.609945999982</v>
      </c>
      <c r="M197" s="8">
        <f t="shared" ref="M197:M198" si="27">J197+K197</f>
        <v>412124.46974199993</v>
      </c>
      <c r="N197" s="8">
        <f t="shared" ref="N197:N198" si="28">SUM(J197:L197)</f>
        <v>498383.07968799991</v>
      </c>
      <c r="O197" t="s">
        <v>746</v>
      </c>
      <c r="P197" t="str">
        <f t="shared" si="26"/>
        <v>Elec</v>
      </c>
    </row>
    <row r="198" spans="1:16">
      <c r="A198" t="s">
        <v>655</v>
      </c>
      <c r="B198" t="s">
        <v>719</v>
      </c>
      <c r="C198" t="s">
        <v>155</v>
      </c>
      <c r="D198" t="s">
        <v>656</v>
      </c>
      <c r="E198" t="s">
        <v>657</v>
      </c>
      <c r="F198" t="s">
        <v>658</v>
      </c>
      <c r="G198" t="s">
        <v>686</v>
      </c>
      <c r="H198" s="8">
        <v>0</v>
      </c>
      <c r="I198" s="8">
        <v>0</v>
      </c>
      <c r="J198" s="8">
        <v>0</v>
      </c>
      <c r="K198" s="8">
        <v>0</v>
      </c>
      <c r="L198" s="8">
        <v>0</v>
      </c>
      <c r="M198" s="8">
        <f t="shared" si="27"/>
        <v>0</v>
      </c>
      <c r="N198" s="8">
        <f t="shared" si="28"/>
        <v>0</v>
      </c>
      <c r="O198" t="s">
        <v>746</v>
      </c>
      <c r="P198" t="str">
        <f t="shared" si="26"/>
        <v>Fuel</v>
      </c>
    </row>
    <row r="199" spans="1:16">
      <c r="A199" t="s">
        <v>655</v>
      </c>
      <c r="B199" t="s">
        <v>719</v>
      </c>
      <c r="C199" t="s">
        <v>155</v>
      </c>
      <c r="D199" t="s">
        <v>660</v>
      </c>
      <c r="E199" t="s">
        <v>657</v>
      </c>
      <c r="F199" t="s">
        <v>658</v>
      </c>
      <c r="G199" t="s">
        <v>686</v>
      </c>
      <c r="H199" s="8">
        <v>0</v>
      </c>
      <c r="I199" s="8">
        <v>0</v>
      </c>
      <c r="J199" s="8">
        <v>0</v>
      </c>
      <c r="K199" s="8">
        <v>0</v>
      </c>
      <c r="L199" s="8">
        <v>0</v>
      </c>
      <c r="M199" s="8">
        <f t="shared" ref="M199:M208" si="29">J199+K199</f>
        <v>0</v>
      </c>
      <c r="N199" s="8">
        <f t="shared" ref="N199:N208" si="30">SUM(J199:L199)</f>
        <v>0</v>
      </c>
      <c r="O199" t="s">
        <v>746</v>
      </c>
      <c r="P199" t="str">
        <f t="shared" si="26"/>
        <v>Fuel</v>
      </c>
    </row>
    <row r="200" spans="1:16">
      <c r="A200" t="s">
        <v>655</v>
      </c>
      <c r="B200" t="s">
        <v>719</v>
      </c>
      <c r="C200" t="s">
        <v>661</v>
      </c>
      <c r="D200" t="s">
        <v>155</v>
      </c>
      <c r="E200" t="s">
        <v>662</v>
      </c>
      <c r="F200" t="s">
        <v>663</v>
      </c>
      <c r="G200" t="s">
        <v>104</v>
      </c>
      <c r="H200" s="8">
        <v>590027.58399999992</v>
      </c>
      <c r="I200" s="8">
        <v>2124.0993023999995</v>
      </c>
      <c r="J200" s="8">
        <v>0</v>
      </c>
      <c r="K200" s="8">
        <v>100304.68927999999</v>
      </c>
      <c r="L200" s="8">
        <v>11800.551679999999</v>
      </c>
      <c r="M200" s="8">
        <f t="shared" si="29"/>
        <v>100304.68927999999</v>
      </c>
      <c r="N200" s="8">
        <f t="shared" si="30"/>
        <v>112105.24096</v>
      </c>
      <c r="O200" t="s">
        <v>746</v>
      </c>
      <c r="P200" t="str">
        <f t="shared" si="26"/>
        <v>Elec</v>
      </c>
    </row>
    <row r="201" spans="1:16">
      <c r="A201" t="s">
        <v>655</v>
      </c>
      <c r="B201" t="s">
        <v>720</v>
      </c>
      <c r="C201" t="s">
        <v>155</v>
      </c>
      <c r="D201" t="s">
        <v>656</v>
      </c>
      <c r="E201" t="s">
        <v>657</v>
      </c>
      <c r="F201" t="s">
        <v>658</v>
      </c>
      <c r="G201" t="s">
        <v>686</v>
      </c>
      <c r="H201" s="8">
        <v>0.1899999</v>
      </c>
      <c r="I201" s="8">
        <v>7.33399614</v>
      </c>
      <c r="J201" s="8">
        <v>514.84652902800008</v>
      </c>
      <c r="K201" s="8">
        <v>0</v>
      </c>
      <c r="L201" s="8">
        <v>26.402386104000001</v>
      </c>
      <c r="M201" s="8">
        <f t="shared" si="29"/>
        <v>514.84652902800008</v>
      </c>
      <c r="N201" s="8">
        <f t="shared" si="30"/>
        <v>541.24891513200009</v>
      </c>
      <c r="O201" t="s">
        <v>746</v>
      </c>
      <c r="P201" t="str">
        <f t="shared" si="26"/>
        <v>Fuel</v>
      </c>
    </row>
    <row r="202" spans="1:16">
      <c r="A202" t="s">
        <v>655</v>
      </c>
      <c r="B202" t="s">
        <v>720</v>
      </c>
      <c r="C202" t="s">
        <v>155</v>
      </c>
      <c r="D202" t="s">
        <v>660</v>
      </c>
      <c r="E202" t="s">
        <v>657</v>
      </c>
      <c r="F202" t="s">
        <v>658</v>
      </c>
      <c r="G202" t="s">
        <v>686</v>
      </c>
      <c r="H202" s="8">
        <v>0</v>
      </c>
      <c r="I202" s="8">
        <v>0</v>
      </c>
      <c r="J202" s="8">
        <v>0</v>
      </c>
      <c r="K202" s="8">
        <v>0</v>
      </c>
      <c r="L202" s="8">
        <v>0</v>
      </c>
      <c r="M202" s="8">
        <f t="shared" si="29"/>
        <v>0</v>
      </c>
      <c r="N202" s="8">
        <f t="shared" si="30"/>
        <v>0</v>
      </c>
      <c r="O202" t="s">
        <v>746</v>
      </c>
      <c r="P202" t="str">
        <f t="shared" si="26"/>
        <v>Fuel</v>
      </c>
    </row>
    <row r="203" spans="1:16">
      <c r="A203" t="s">
        <v>655</v>
      </c>
      <c r="B203" t="s">
        <v>720</v>
      </c>
      <c r="C203" t="s">
        <v>661</v>
      </c>
      <c r="D203" t="s">
        <v>155</v>
      </c>
      <c r="E203" t="s">
        <v>662</v>
      </c>
      <c r="F203" t="s">
        <v>663</v>
      </c>
      <c r="G203" t="s">
        <v>104</v>
      </c>
      <c r="H203" s="8">
        <v>12923450.24</v>
      </c>
      <c r="I203" s="8">
        <v>46524.420864</v>
      </c>
      <c r="J203" s="8">
        <v>0</v>
      </c>
      <c r="K203" s="8">
        <v>12664981.235199999</v>
      </c>
      <c r="L203" s="8">
        <v>1421579.5264000001</v>
      </c>
      <c r="M203" s="8">
        <f t="shared" si="29"/>
        <v>12664981.235199999</v>
      </c>
      <c r="N203" s="8">
        <f t="shared" si="30"/>
        <v>14086560.761599999</v>
      </c>
      <c r="O203" t="s">
        <v>746</v>
      </c>
      <c r="P203" t="str">
        <f t="shared" si="26"/>
        <v>Elec</v>
      </c>
    </row>
    <row r="204" spans="1:16">
      <c r="A204" t="s">
        <v>655</v>
      </c>
      <c r="B204" t="s">
        <v>720</v>
      </c>
      <c r="C204" t="s">
        <v>665</v>
      </c>
      <c r="D204" t="s">
        <v>668</v>
      </c>
      <c r="E204" t="s">
        <v>666</v>
      </c>
      <c r="F204" t="s">
        <v>670</v>
      </c>
      <c r="G204" t="s">
        <v>695</v>
      </c>
      <c r="H204" s="8">
        <v>6373531.4940999998</v>
      </c>
      <c r="I204" s="8">
        <v>6373.5314940999997</v>
      </c>
      <c r="J204" s="8">
        <v>328428.07789097301</v>
      </c>
      <c r="K204" s="8">
        <v>0</v>
      </c>
      <c r="L204" s="8">
        <v>24856.77282699</v>
      </c>
      <c r="M204" s="8">
        <f t="shared" si="29"/>
        <v>328428.07789097301</v>
      </c>
      <c r="N204" s="8">
        <f t="shared" si="30"/>
        <v>353284.85071796301</v>
      </c>
      <c r="O204" t="s">
        <v>746</v>
      </c>
      <c r="P204" t="str">
        <f t="shared" si="26"/>
        <v>Fuel</v>
      </c>
    </row>
    <row r="205" spans="1:16">
      <c r="A205" t="s">
        <v>655</v>
      </c>
      <c r="B205" t="s">
        <v>720</v>
      </c>
      <c r="C205" t="s">
        <v>665</v>
      </c>
      <c r="D205" t="s">
        <v>668</v>
      </c>
      <c r="E205" t="s">
        <v>666</v>
      </c>
      <c r="G205" t="s">
        <v>686</v>
      </c>
      <c r="H205" s="8">
        <v>1587941.2077999997</v>
      </c>
      <c r="I205" s="8">
        <v>1587.9412077999998</v>
      </c>
      <c r="J205" s="8">
        <v>81826.610437933996</v>
      </c>
      <c r="K205" s="8">
        <v>0</v>
      </c>
      <c r="L205" s="8">
        <v>6192.9707104199988</v>
      </c>
      <c r="M205" s="8">
        <f t="shared" si="29"/>
        <v>81826.610437933996</v>
      </c>
      <c r="N205" s="8">
        <f t="shared" si="30"/>
        <v>88019.581148353987</v>
      </c>
      <c r="O205" t="s">
        <v>746</v>
      </c>
      <c r="P205" t="str">
        <f t="shared" si="26"/>
        <v>Fuel</v>
      </c>
    </row>
    <row r="206" spans="1:16">
      <c r="A206" t="s">
        <v>655</v>
      </c>
      <c r="B206" t="s">
        <v>721</v>
      </c>
      <c r="C206" t="s">
        <v>155</v>
      </c>
      <c r="D206" t="s">
        <v>656</v>
      </c>
      <c r="E206" t="s">
        <v>657</v>
      </c>
      <c r="F206" t="s">
        <v>658</v>
      </c>
      <c r="G206" t="s">
        <v>686</v>
      </c>
      <c r="H206" s="8">
        <v>0</v>
      </c>
      <c r="I206" s="8">
        <v>0</v>
      </c>
      <c r="J206" s="8">
        <v>0</v>
      </c>
      <c r="K206" s="8">
        <v>0</v>
      </c>
      <c r="L206" s="8">
        <v>0</v>
      </c>
      <c r="M206" s="8">
        <f t="shared" si="29"/>
        <v>0</v>
      </c>
      <c r="N206" s="8">
        <f t="shared" si="30"/>
        <v>0</v>
      </c>
      <c r="O206" t="s">
        <v>746</v>
      </c>
      <c r="P206" t="str">
        <f t="shared" si="26"/>
        <v>Fuel</v>
      </c>
    </row>
    <row r="207" spans="1:16">
      <c r="A207" t="s">
        <v>655</v>
      </c>
      <c r="B207" t="s">
        <v>721</v>
      </c>
      <c r="C207" t="s">
        <v>155</v>
      </c>
      <c r="D207" t="s">
        <v>660</v>
      </c>
      <c r="E207" t="s">
        <v>657</v>
      </c>
      <c r="F207" t="s">
        <v>658</v>
      </c>
      <c r="G207" t="s">
        <v>686</v>
      </c>
      <c r="H207" s="8">
        <v>0</v>
      </c>
      <c r="I207" s="8">
        <v>0</v>
      </c>
      <c r="J207" s="8">
        <v>0</v>
      </c>
      <c r="K207" s="8">
        <v>0</v>
      </c>
      <c r="L207" s="8">
        <v>0</v>
      </c>
      <c r="M207" s="8">
        <f t="shared" si="29"/>
        <v>0</v>
      </c>
      <c r="N207" s="8">
        <f t="shared" si="30"/>
        <v>0</v>
      </c>
      <c r="O207" t="s">
        <v>746</v>
      </c>
      <c r="P207" t="str">
        <f t="shared" si="26"/>
        <v>Fuel</v>
      </c>
    </row>
    <row r="208" spans="1:16">
      <c r="A208" t="s">
        <v>655</v>
      </c>
      <c r="B208" t="s">
        <v>721</v>
      </c>
      <c r="C208" t="s">
        <v>661</v>
      </c>
      <c r="D208" t="s">
        <v>155</v>
      </c>
      <c r="E208" t="s">
        <v>662</v>
      </c>
      <c r="F208" t="s">
        <v>663</v>
      </c>
      <c r="G208" t="s">
        <v>104</v>
      </c>
      <c r="H208" s="8">
        <v>331097.65870000003</v>
      </c>
      <c r="I208" s="8">
        <v>1191.9515713200001</v>
      </c>
      <c r="J208" s="8">
        <v>0</v>
      </c>
      <c r="K208" s="8">
        <v>225146.40791600003</v>
      </c>
      <c r="L208" s="8">
        <v>6621.9531740000011</v>
      </c>
      <c r="M208" s="8">
        <f t="shared" si="29"/>
        <v>225146.40791600003</v>
      </c>
      <c r="N208" s="8">
        <f t="shared" si="30"/>
        <v>231768.36109000002</v>
      </c>
      <c r="O208" t="s">
        <v>746</v>
      </c>
      <c r="P208" t="str">
        <f t="shared" si="26"/>
        <v>Elec</v>
      </c>
    </row>
    <row r="209" spans="1:16">
      <c r="A209" t="s">
        <v>655</v>
      </c>
      <c r="B209" t="s">
        <v>722</v>
      </c>
      <c r="C209" t="s">
        <v>661</v>
      </c>
      <c r="D209" t="s">
        <v>155</v>
      </c>
      <c r="E209" t="s">
        <v>662</v>
      </c>
      <c r="F209" t="s">
        <v>663</v>
      </c>
      <c r="G209" t="s">
        <v>104</v>
      </c>
      <c r="H209" s="8">
        <v>55711.078600000001</v>
      </c>
      <c r="I209" s="8">
        <v>200.55988296000001</v>
      </c>
      <c r="J209" s="8">
        <v>0</v>
      </c>
      <c r="K209" s="8">
        <v>45125.973666000005</v>
      </c>
      <c r="L209" s="8">
        <v>5013.9970739999999</v>
      </c>
      <c r="M209" s="8">
        <f t="shared" ref="M209:M212" si="31">J209+K209</f>
        <v>45125.973666000005</v>
      </c>
      <c r="N209" s="8">
        <f t="shared" ref="N209:N212" si="32">SUM(J209:L209)</f>
        <v>50139.970740000004</v>
      </c>
      <c r="O209" t="s">
        <v>746</v>
      </c>
      <c r="P209" t="str">
        <f t="shared" si="26"/>
        <v>Elec</v>
      </c>
    </row>
    <row r="210" spans="1:16">
      <c r="A210" t="s">
        <v>655</v>
      </c>
      <c r="B210" t="s">
        <v>723</v>
      </c>
      <c r="C210" t="s">
        <v>661</v>
      </c>
      <c r="D210" t="s">
        <v>155</v>
      </c>
      <c r="E210" t="s">
        <v>662</v>
      </c>
      <c r="F210" t="s">
        <v>663</v>
      </c>
      <c r="G210" t="s">
        <v>104</v>
      </c>
      <c r="H210" s="8">
        <v>1730964.8966817702</v>
      </c>
      <c r="I210" s="8">
        <v>6231.473628054373</v>
      </c>
      <c r="J210" s="8">
        <v>0</v>
      </c>
      <c r="K210" s="8">
        <v>1402081.5663122339</v>
      </c>
      <c r="L210" s="8">
        <v>155786.84070135932</v>
      </c>
      <c r="M210" s="8">
        <f t="shared" si="31"/>
        <v>1402081.5663122339</v>
      </c>
      <c r="N210" s="8">
        <f t="shared" si="32"/>
        <v>1557868.4070135932</v>
      </c>
      <c r="O210" t="s">
        <v>746</v>
      </c>
      <c r="P210" t="str">
        <f t="shared" si="26"/>
        <v>Elec</v>
      </c>
    </row>
    <row r="211" spans="1:16">
      <c r="A211" t="s">
        <v>655</v>
      </c>
      <c r="B211" t="s">
        <v>724</v>
      </c>
      <c r="C211" t="s">
        <v>661</v>
      </c>
      <c r="D211" t="s">
        <v>155</v>
      </c>
      <c r="E211" t="s">
        <v>662</v>
      </c>
      <c r="F211" t="s">
        <v>663</v>
      </c>
      <c r="G211" t="s">
        <v>104</v>
      </c>
      <c r="H211" s="8">
        <v>21296.261000000002</v>
      </c>
      <c r="I211" s="8">
        <v>76.666539600000007</v>
      </c>
      <c r="J211" s="8">
        <v>0</v>
      </c>
      <c r="K211" s="8">
        <v>13203.681820000002</v>
      </c>
      <c r="L211" s="8">
        <v>1490.7382700000003</v>
      </c>
      <c r="M211" s="8">
        <f t="shared" si="31"/>
        <v>13203.681820000002</v>
      </c>
      <c r="N211" s="8">
        <f t="shared" si="32"/>
        <v>14694.420090000001</v>
      </c>
      <c r="O211" t="s">
        <v>746</v>
      </c>
      <c r="P211" t="str">
        <f t="shared" si="26"/>
        <v>Elec</v>
      </c>
    </row>
    <row r="212" spans="1:16">
      <c r="A212" t="s">
        <v>655</v>
      </c>
      <c r="B212" t="s">
        <v>725</v>
      </c>
      <c r="C212" t="s">
        <v>661</v>
      </c>
      <c r="D212" t="s">
        <v>155</v>
      </c>
      <c r="E212" t="s">
        <v>662</v>
      </c>
      <c r="F212" t="s">
        <v>663</v>
      </c>
      <c r="G212" t="s">
        <v>104</v>
      </c>
      <c r="H212" s="8">
        <v>560219.57620000001</v>
      </c>
      <c r="I212" s="8">
        <v>2016.7904743199999</v>
      </c>
      <c r="J212" s="8">
        <v>0</v>
      </c>
      <c r="K212" s="8">
        <v>453777.85672200006</v>
      </c>
      <c r="L212" s="8">
        <v>67226.349143999993</v>
      </c>
      <c r="M212" s="8">
        <f t="shared" si="31"/>
        <v>453777.85672200006</v>
      </c>
      <c r="N212" s="8">
        <f t="shared" si="32"/>
        <v>521004.20586600003</v>
      </c>
      <c r="O212" t="s">
        <v>746</v>
      </c>
      <c r="P212" t="str">
        <f t="shared" si="26"/>
        <v>Elec</v>
      </c>
    </row>
    <row r="213" spans="1:16">
      <c r="A213" t="s">
        <v>655</v>
      </c>
      <c r="B213" t="s">
        <v>726</v>
      </c>
      <c r="C213" t="s">
        <v>661</v>
      </c>
      <c r="D213" t="s">
        <v>155</v>
      </c>
      <c r="E213" t="s">
        <v>662</v>
      </c>
      <c r="F213" t="s">
        <v>663</v>
      </c>
      <c r="G213" t="s">
        <v>104</v>
      </c>
      <c r="H213" s="8">
        <v>194619.56630000001</v>
      </c>
      <c r="I213" s="8">
        <v>700.63043868</v>
      </c>
      <c r="J213" s="8">
        <v>0</v>
      </c>
      <c r="K213" s="8">
        <v>83686.413509000005</v>
      </c>
      <c r="L213" s="8">
        <v>17515.760966999998</v>
      </c>
      <c r="M213" s="8">
        <f t="shared" ref="M213:M215" si="33">J213+K213</f>
        <v>83686.413509000005</v>
      </c>
      <c r="N213" s="8">
        <f t="shared" ref="N213:N215" si="34">SUM(J213:L213)</f>
        <v>101202.174476</v>
      </c>
      <c r="O213" t="s">
        <v>746</v>
      </c>
      <c r="P213" t="str">
        <f t="shared" si="26"/>
        <v>Elec</v>
      </c>
    </row>
    <row r="214" spans="1:16">
      <c r="A214" t="s">
        <v>655</v>
      </c>
      <c r="B214" t="s">
        <v>727</v>
      </c>
      <c r="C214" t="s">
        <v>661</v>
      </c>
      <c r="D214" t="s">
        <v>155</v>
      </c>
      <c r="E214" t="s">
        <v>662</v>
      </c>
      <c r="F214" t="s">
        <v>663</v>
      </c>
      <c r="G214" t="s">
        <v>104</v>
      </c>
      <c r="H214" s="8">
        <v>84161.480299999996</v>
      </c>
      <c r="I214" s="8">
        <v>302.98132907999997</v>
      </c>
      <c r="J214" s="8">
        <v>0</v>
      </c>
      <c r="K214" s="8">
        <v>14307.451650999999</v>
      </c>
      <c r="L214" s="8">
        <v>1683.2296059999999</v>
      </c>
      <c r="M214" s="8">
        <f t="shared" si="33"/>
        <v>14307.451650999999</v>
      </c>
      <c r="N214" s="8">
        <f t="shared" si="34"/>
        <v>15990.681257</v>
      </c>
      <c r="O214" t="s">
        <v>746</v>
      </c>
      <c r="P214" t="str">
        <f t="shared" si="26"/>
        <v>Elec</v>
      </c>
    </row>
    <row r="215" spans="1:16">
      <c r="A215" t="s">
        <v>655</v>
      </c>
      <c r="B215" t="s">
        <v>728</v>
      </c>
      <c r="C215" t="s">
        <v>661</v>
      </c>
      <c r="D215" t="s">
        <v>155</v>
      </c>
      <c r="E215" t="s">
        <v>662</v>
      </c>
      <c r="F215" t="s">
        <v>663</v>
      </c>
      <c r="G215" t="s">
        <v>104</v>
      </c>
      <c r="H215" s="8">
        <v>1425253.9988000002</v>
      </c>
      <c r="I215" s="8">
        <v>5130.9143956800008</v>
      </c>
      <c r="J215" s="8">
        <v>0</v>
      </c>
      <c r="K215" s="8">
        <v>1396748.9188240001</v>
      </c>
      <c r="L215" s="8">
        <v>156777.93986800002</v>
      </c>
      <c r="M215" s="8">
        <f t="shared" si="33"/>
        <v>1396748.9188240001</v>
      </c>
      <c r="N215" s="8">
        <f t="shared" si="34"/>
        <v>1553526.8586920002</v>
      </c>
      <c r="O215" t="s">
        <v>746</v>
      </c>
      <c r="P215" t="str">
        <f t="shared" si="26"/>
        <v>Elec</v>
      </c>
    </row>
    <row r="216" spans="1:16">
      <c r="A216" t="s">
        <v>655</v>
      </c>
      <c r="B216" t="s">
        <v>729</v>
      </c>
      <c r="C216" t="s">
        <v>661</v>
      </c>
      <c r="D216" t="s">
        <v>155</v>
      </c>
      <c r="E216" t="s">
        <v>662</v>
      </c>
      <c r="F216" t="s">
        <v>663</v>
      </c>
      <c r="G216" t="s">
        <v>104</v>
      </c>
      <c r="H216" s="8">
        <v>249285.09072245943</v>
      </c>
      <c r="I216" s="8">
        <v>897.42632660085394</v>
      </c>
      <c r="J216" s="8">
        <v>0</v>
      </c>
      <c r="K216" s="8">
        <v>169513.86169127241</v>
      </c>
      <c r="L216" s="8">
        <v>4985.7018144491885</v>
      </c>
      <c r="M216" s="8">
        <f t="shared" ref="M216" si="35">J216+K216</f>
        <v>169513.86169127241</v>
      </c>
      <c r="N216" s="8">
        <f t="shared" ref="N216" si="36">SUM(J216:L216)</f>
        <v>174499.5635057216</v>
      </c>
      <c r="O216" t="s">
        <v>746</v>
      </c>
      <c r="P216" t="s">
        <v>36</v>
      </c>
    </row>
    <row r="217" spans="1:16">
      <c r="G217" s="842" t="s">
        <v>234</v>
      </c>
      <c r="H217" s="843">
        <f>SUBTOTAL(9,H4:H216)</f>
        <v>1718244373.4170523</v>
      </c>
      <c r="I217" s="843">
        <f t="shared" ref="I217:N217" si="37">SUBTOTAL(9,I4:I216)</f>
        <v>6605632.4116550302</v>
      </c>
      <c r="J217" s="843">
        <f t="shared" si="37"/>
        <v>33085437.981461558</v>
      </c>
      <c r="K217" s="843">
        <f t="shared" si="37"/>
        <v>1130583844.2804887</v>
      </c>
      <c r="L217" s="843">
        <f t="shared" si="37"/>
        <v>228095505.95634881</v>
      </c>
      <c r="M217" s="843">
        <f t="shared" si="37"/>
        <v>1163669282.2619493</v>
      </c>
      <c r="N217" s="843">
        <f t="shared" si="37"/>
        <v>1391764788.2182984</v>
      </c>
    </row>
    <row r="218" spans="1:16">
      <c r="H218" s="8">
        <f>'Reform FY21'!M312</f>
        <v>1718244373.4170508</v>
      </c>
      <c r="I218" s="8">
        <f>'Reform FY21'!N312</f>
        <v>6605632.4116550293</v>
      </c>
      <c r="J218" s="8">
        <f>'Reform FY21'!O312</f>
        <v>33085437.981461562</v>
      </c>
      <c r="K218" s="8">
        <f>'Reform FY21'!P312</f>
        <v>1130583844.2804885</v>
      </c>
      <c r="L218" s="8">
        <f>'Reform FY21'!Q312</f>
        <v>228095505.95634869</v>
      </c>
      <c r="M218" s="8">
        <f>K218+J218</f>
        <v>1163669282.26195</v>
      </c>
      <c r="N218" s="8">
        <f>'Reform FY21'!R312</f>
        <v>1391764788.2182994</v>
      </c>
    </row>
    <row r="219" spans="1:16">
      <c r="G219" s="3"/>
      <c r="H219" s="8" t="b">
        <f t="shared" ref="H219:L219" si="38">H218=H216</f>
        <v>0</v>
      </c>
      <c r="I219" s="8" t="b">
        <f t="shared" si="38"/>
        <v>0</v>
      </c>
      <c r="J219" s="8" t="b">
        <f t="shared" si="38"/>
        <v>0</v>
      </c>
      <c r="K219" s="8" t="b">
        <f t="shared" si="38"/>
        <v>0</v>
      </c>
      <c r="L219" s="8" t="b">
        <f t="shared" si="38"/>
        <v>0</v>
      </c>
      <c r="M219" s="8" t="b">
        <f>M218=M216</f>
        <v>0</v>
      </c>
      <c r="N219" s="8" t="b">
        <f>N218=N216</f>
        <v>0</v>
      </c>
    </row>
  </sheetData>
  <autoFilter ref="A3:BO219" xr:uid="{B9826631-EECE-4C64-B6CB-41B83B7D2392}"/>
  <mergeCells count="6">
    <mergeCell ref="Y16:Y17"/>
    <mergeCell ref="Y5:Y6"/>
    <mergeCell ref="Y7:Y8"/>
    <mergeCell ref="Y9:Y10"/>
    <mergeCell ref="Y12:Y13"/>
    <mergeCell ref="Y14:Y15"/>
  </mergeCell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528B9-3393-4008-A2C0-CE57B505A14A}">
  <sheetPr codeName="Sheet10">
    <tabColor theme="6"/>
  </sheetPr>
  <dimension ref="A1:J362"/>
  <sheetViews>
    <sheetView topLeftCell="A342" zoomScale="70" zoomScaleNormal="70" workbookViewId="0">
      <selection activeCell="F33" sqref="F33"/>
    </sheetView>
  </sheetViews>
  <sheetFormatPr defaultColWidth="8.8984375" defaultRowHeight="13.8"/>
  <cols>
    <col min="1" max="1" width="33" customWidth="1"/>
    <col min="2" max="3" width="16.09765625" bestFit="1" customWidth="1"/>
    <col min="4" max="4" width="27.59765625" bestFit="1" customWidth="1"/>
    <col min="5" max="5" width="20.59765625" customWidth="1"/>
    <col min="6" max="6" width="20.59765625" style="8" customWidth="1"/>
    <col min="7" max="8" width="23.59765625" style="8" bestFit="1" customWidth="1"/>
    <col min="9" max="9" width="21.59765625" style="5" bestFit="1" customWidth="1"/>
  </cols>
  <sheetData>
    <row r="1" spans="1:9">
      <c r="B1" s="244"/>
    </row>
    <row r="2" spans="1:9">
      <c r="A2" s="36" t="s">
        <v>750</v>
      </c>
      <c r="B2" s="71" t="s">
        <v>649</v>
      </c>
      <c r="C2" s="71" t="s">
        <v>684</v>
      </c>
      <c r="D2" s="71" t="s">
        <v>650</v>
      </c>
      <c r="E2" s="71" t="s">
        <v>651</v>
      </c>
      <c r="F2" s="204" t="s">
        <v>652</v>
      </c>
      <c r="G2" s="204" t="s">
        <v>653</v>
      </c>
      <c r="H2" s="204" t="s">
        <v>654</v>
      </c>
      <c r="I2" s="199" t="s">
        <v>751</v>
      </c>
    </row>
    <row r="3" spans="1:9">
      <c r="A3" s="78" t="str">
        <f>Table2[[#This Row],[Reporting Alias]]</f>
        <v>TNA ACT</v>
      </c>
      <c r="B3" s="78" t="str">
        <f>Table2[[#This Row],[UoM]]</f>
        <v>kWh</v>
      </c>
      <c r="C3" s="78" t="str">
        <f>Table2[[#This Row],[Primary Criterion]]</f>
        <v>N/A</v>
      </c>
      <c r="D3" s="200">
        <f>'Envizi Elec Data'!B3</f>
        <v>34244630.4089211</v>
      </c>
      <c r="E3" s="200">
        <f>'Envizi Elec Data'!F3</f>
        <v>123280.66947211596</v>
      </c>
      <c r="F3" s="200">
        <f>'Envizi Elec Data'!G3</f>
        <v>0</v>
      </c>
      <c r="G3" s="200">
        <f>'Envizi Elec Data'!H3</f>
        <v>27738150.631226093</v>
      </c>
      <c r="H3" s="200">
        <f>'Envizi Elec Data'!I3</f>
        <v>3082016.7368028988</v>
      </c>
      <c r="I3" s="200">
        <f>'Envizi Elec Data'!J3</f>
        <v>30820167.368028991</v>
      </c>
    </row>
    <row r="4" spans="1:9">
      <c r="A4" s="78" t="str">
        <f>Table2[[#This Row],[Reporting Alias]]</f>
        <v>TNA NSW</v>
      </c>
      <c r="B4" s="78" t="str">
        <f>Table2[[#This Row],[UoM]]</f>
        <v>kWh</v>
      </c>
      <c r="C4" s="78" t="str">
        <f>Table2[[#This Row],[Primary Criterion]]</f>
        <v>N/A</v>
      </c>
      <c r="D4" s="200">
        <f>'Envizi Elec Data'!B4</f>
        <v>413349909.00840777</v>
      </c>
      <c r="E4" s="200">
        <f>'Envizi Elec Data'!F4</f>
        <v>1488059.672430268</v>
      </c>
      <c r="F4" s="200">
        <f>'Envizi Elec Data'!G4</f>
        <v>0</v>
      </c>
      <c r="G4" s="200">
        <f>'Envizi Elec Data'!H4</f>
        <v>334813426.29681033</v>
      </c>
      <c r="H4" s="200">
        <f>'Envizi Elec Data'!I4</f>
        <v>37201491.810756698</v>
      </c>
      <c r="I4" s="200">
        <f>'Envizi Elec Data'!J4</f>
        <v>372014918.10756701</v>
      </c>
    </row>
    <row r="5" spans="1:9">
      <c r="A5" s="78" t="str">
        <f>Table2[[#This Row],[Reporting Alias]]</f>
        <v>TNA NT</v>
      </c>
      <c r="B5" s="78" t="str">
        <f>Table2[[#This Row],[UoM]]</f>
        <v>kWh</v>
      </c>
      <c r="C5" s="78" t="str">
        <f>Table2[[#This Row],[Primary Criterion]]</f>
        <v>N/A</v>
      </c>
      <c r="D5" s="200">
        <f>'Envizi Elec Data'!B5</f>
        <v>17903439.147560626</v>
      </c>
      <c r="E5" s="200">
        <f>'Envizi Elec Data'!F5</f>
        <v>64452.380931218249</v>
      </c>
      <c r="F5" s="200">
        <f>'Envizi Elec Data'!G5</f>
        <v>0</v>
      </c>
      <c r="G5" s="200">
        <f>'Envizi Elec Data'!H5</f>
        <v>11100132.271487588</v>
      </c>
      <c r="H5" s="200">
        <f>'Envizi Elec Data'!I5</f>
        <v>1253240.7403292439</v>
      </c>
      <c r="I5" s="200">
        <f>'Envizi Elec Data'!J5</f>
        <v>12353373.011816831</v>
      </c>
    </row>
    <row r="6" spans="1:9">
      <c r="A6" s="78" t="str">
        <f>Table2[[#This Row],[Reporting Alias]]</f>
        <v>TNA QLD</v>
      </c>
      <c r="B6" s="78" t="str">
        <f>Table2[[#This Row],[UoM]]</f>
        <v>kWh</v>
      </c>
      <c r="C6" s="78" t="str">
        <f>Table2[[#This Row],[Primary Criterion]]</f>
        <v>N/A</v>
      </c>
      <c r="D6" s="200">
        <f>'Envizi Elec Data'!B6</f>
        <v>259260326.53119314</v>
      </c>
      <c r="E6" s="200">
        <f>'Envizi Elec Data'!F6</f>
        <v>933337.17551229522</v>
      </c>
      <c r="F6" s="200">
        <f>'Envizi Elec Data'!G6</f>
        <v>0</v>
      </c>
      <c r="G6" s="200">
        <f>'Envizi Elec Data'!H6</f>
        <v>210000864.49026644</v>
      </c>
      <c r="H6" s="200">
        <f>'Envizi Elec Data'!I6</f>
        <v>31111239.183743175</v>
      </c>
      <c r="I6" s="200">
        <f>'Envizi Elec Data'!J6</f>
        <v>241112103.67400962</v>
      </c>
    </row>
    <row r="7" spans="1:9">
      <c r="A7" s="78" t="str">
        <f>Table2[[#This Row],[Reporting Alias]]</f>
        <v>TNA SA</v>
      </c>
      <c r="B7" s="78" t="str">
        <f>Table2[[#This Row],[UoM]]</f>
        <v>kWh</v>
      </c>
      <c r="C7" s="78" t="str">
        <f>Table2[[#This Row],[Primary Criterion]]</f>
        <v>N/A</v>
      </c>
      <c r="D7" s="200">
        <f>'Envizi Elec Data'!B7</f>
        <v>92592604.639523253</v>
      </c>
      <c r="E7" s="200">
        <f>'Envizi Elec Data'!F7</f>
        <v>333333.37670228368</v>
      </c>
      <c r="F7" s="200">
        <f>'Envizi Elec Data'!G7</f>
        <v>0</v>
      </c>
      <c r="G7" s="200">
        <f>'Envizi Elec Data'!H7</f>
        <v>39814819.994994998</v>
      </c>
      <c r="H7" s="200">
        <f>'Envizi Elec Data'!I7</f>
        <v>8333334.4175570924</v>
      </c>
      <c r="I7" s="200">
        <f>'Envizi Elec Data'!J7</f>
        <v>48148154.412552088</v>
      </c>
    </row>
    <row r="8" spans="1:9">
      <c r="A8" s="78" t="str">
        <f>Table2[[#This Row],[Reporting Alias]]</f>
        <v>TNA TAS</v>
      </c>
      <c r="B8" s="78" t="str">
        <f>Table2[[#This Row],[UoM]]</f>
        <v>kWh</v>
      </c>
      <c r="C8" s="78" t="str">
        <f>Table2[[#This Row],[Primary Criterion]]</f>
        <v>N/A</v>
      </c>
      <c r="D8" s="200">
        <f>'Envizi Elec Data'!B8</f>
        <v>25671551.718824834</v>
      </c>
      <c r="E8" s="200">
        <f>'Envizi Elec Data'!F8</f>
        <v>92417.586187769397</v>
      </c>
      <c r="F8" s="200">
        <f>'Envizi Elec Data'!G8</f>
        <v>0</v>
      </c>
      <c r="G8" s="200">
        <f>'Envizi Elec Data'!H8</f>
        <v>4364163.7922002217</v>
      </c>
      <c r="H8" s="200">
        <f>'Envizi Elec Data'!I8</f>
        <v>513431.03437649668</v>
      </c>
      <c r="I8" s="200">
        <f>'Envizi Elec Data'!J8</f>
        <v>4877594.8265767181</v>
      </c>
    </row>
    <row r="9" spans="1:9">
      <c r="A9" s="78" t="str">
        <f>Table2[[#This Row],[Reporting Alias]]</f>
        <v>TNA VIC</v>
      </c>
      <c r="B9" s="78" t="str">
        <f>Table2[[#This Row],[UoM]]</f>
        <v>kWh</v>
      </c>
      <c r="C9" s="78" t="str">
        <f>Table2[[#This Row],[Primary Criterion]]</f>
        <v>N/A</v>
      </c>
      <c r="D9" s="200">
        <f>'Envizi Elec Data'!B9</f>
        <v>303046392.9443925</v>
      </c>
      <c r="E9" s="200">
        <f>'Envizi Elec Data'!F9</f>
        <v>1090967.0145998129</v>
      </c>
      <c r="F9" s="200">
        <f>'Envizi Elec Data'!G9</f>
        <v>0</v>
      </c>
      <c r="G9" s="200">
        <f>'Envizi Elec Data'!H9</f>
        <v>296985465.08550465</v>
      </c>
      <c r="H9" s="200">
        <f>'Envizi Elec Data'!I9</f>
        <v>33335103.223883174</v>
      </c>
      <c r="I9" s="200">
        <f>'Envizi Elec Data'!J9</f>
        <v>330320568.3093878</v>
      </c>
    </row>
    <row r="10" spans="1:9">
      <c r="A10" s="78" t="str">
        <f>Table2[[#This Row],[Reporting Alias]]</f>
        <v>TNA WA</v>
      </c>
      <c r="B10" s="78" t="str">
        <f>Table2[[#This Row],[UoM]]</f>
        <v>kWh</v>
      </c>
      <c r="C10" s="78" t="str">
        <f>Table2[[#This Row],[Primary Criterion]]</f>
        <v>N/A</v>
      </c>
      <c r="D10" s="200">
        <f>'Envizi Elec Data'!B10</f>
        <v>135044062.72708139</v>
      </c>
      <c r="E10" s="200">
        <f>'Envizi Elec Data'!F10</f>
        <v>486158.62581749301</v>
      </c>
      <c r="F10" s="200">
        <f>'Envizi Elec Data'!G10</f>
        <v>0</v>
      </c>
      <c r="G10" s="200">
        <f>'Envizi Elec Data'!H10</f>
        <v>91829962.654415354</v>
      </c>
      <c r="H10" s="200">
        <f>'Envizi Elec Data'!I10</f>
        <v>2700881.2545416276</v>
      </c>
      <c r="I10" s="200">
        <f>'Envizi Elec Data'!J10</f>
        <v>94530843.908956975</v>
      </c>
    </row>
    <row r="11" spans="1:9">
      <c r="A11" s="78" t="str">
        <f>Table2[[#This Row],[Reporting Alias]]</f>
        <v>Residences ACT</v>
      </c>
      <c r="B11" s="78" t="str">
        <f>Table2[[#This Row],[UoM]]</f>
        <v>kWh</v>
      </c>
      <c r="C11" s="78" t="str">
        <f>Table2[[#This Row],[Primary Criterion]]</f>
        <v>N/A</v>
      </c>
      <c r="D11" s="200">
        <f>'Envizi Elec Data'!B11</f>
        <v>48.941000000000003</v>
      </c>
      <c r="E11" s="200">
        <f>'Envizi Elec Data'!F11</f>
        <v>0.1761876</v>
      </c>
      <c r="F11" s="200">
        <f>'Envizi Elec Data'!G11</f>
        <v>0</v>
      </c>
      <c r="G11" s="200">
        <f>'Envizi Elec Data'!H11</f>
        <v>39.642210000000006</v>
      </c>
      <c r="H11" s="200">
        <f>'Envizi Elec Data'!I11</f>
        <v>4.4046900000000004</v>
      </c>
      <c r="I11" s="200">
        <f>'Envizi Elec Data'!J11</f>
        <v>44.046900000000008</v>
      </c>
    </row>
    <row r="12" spans="1:9">
      <c r="A12" s="78" t="str">
        <f>Table2[[#This Row],[Reporting Alias]]</f>
        <v>Residences NSW</v>
      </c>
      <c r="B12" s="78" t="str">
        <f>Table2[[#This Row],[UoM]]</f>
        <v>kWh</v>
      </c>
      <c r="C12" s="78" t="str">
        <f>Table2[[#This Row],[Primary Criterion]]</f>
        <v>N/A</v>
      </c>
      <c r="D12" s="200">
        <f>'Envizi Elec Data'!B12</f>
        <v>0</v>
      </c>
      <c r="E12" s="200">
        <f>'Envizi Elec Data'!F12</f>
        <v>0</v>
      </c>
      <c r="F12" s="200">
        <f>'Envizi Elec Data'!G12</f>
        <v>0</v>
      </c>
      <c r="G12" s="200">
        <f>'Envizi Elec Data'!H12</f>
        <v>0</v>
      </c>
      <c r="H12" s="200">
        <f>'Envizi Elec Data'!I12</f>
        <v>0</v>
      </c>
      <c r="I12" s="200">
        <f>'Envizi Elec Data'!J12</f>
        <v>0</v>
      </c>
    </row>
    <row r="13" spans="1:9">
      <c r="A13" s="78" t="str">
        <f>Table2[[#This Row],[Reporting Alias]]</f>
        <v>Residences NT</v>
      </c>
      <c r="B13" s="78" t="str">
        <f>Table2[[#This Row],[UoM]]</f>
        <v>kWh</v>
      </c>
      <c r="C13" s="78" t="str">
        <f>Table2[[#This Row],[Primary Criterion]]</f>
        <v>N/A</v>
      </c>
      <c r="D13" s="200">
        <f>'Envizi Elec Data'!B13</f>
        <v>0</v>
      </c>
      <c r="E13" s="200">
        <f>'Envizi Elec Data'!F13</f>
        <v>0</v>
      </c>
      <c r="F13" s="200">
        <f>'Envizi Elec Data'!G13</f>
        <v>0</v>
      </c>
      <c r="G13" s="200">
        <f>'Envizi Elec Data'!H13</f>
        <v>0</v>
      </c>
      <c r="H13" s="200">
        <f>'Envizi Elec Data'!I13</f>
        <v>0</v>
      </c>
      <c r="I13" s="200">
        <f>'Envizi Elec Data'!J13</f>
        <v>0</v>
      </c>
    </row>
    <row r="14" spans="1:9">
      <c r="A14" s="78" t="str">
        <f>Table2[[#This Row],[Reporting Alias]]</f>
        <v>Residences QLD</v>
      </c>
      <c r="B14" s="78" t="str">
        <f>Table2[[#This Row],[UoM]]</f>
        <v>kWh</v>
      </c>
      <c r="C14" s="78" t="str">
        <f>Table2[[#This Row],[Primary Criterion]]</f>
        <v>N/A</v>
      </c>
      <c r="D14" s="200">
        <f>'Envizi Elec Data'!B14</f>
        <v>43090.295699999995</v>
      </c>
      <c r="E14" s="200">
        <f>'Envizi Elec Data'!F14</f>
        <v>155.12506451999997</v>
      </c>
      <c r="F14" s="200">
        <f>'Envizi Elec Data'!G14</f>
        <v>0</v>
      </c>
      <c r="G14" s="200">
        <f>'Envizi Elec Data'!H14</f>
        <v>34903.139516999996</v>
      </c>
      <c r="H14" s="200">
        <f>'Envizi Elec Data'!I14</f>
        <v>5170.8354839999993</v>
      </c>
      <c r="I14" s="200">
        <f>'Envizi Elec Data'!J14</f>
        <v>40073.975000999999</v>
      </c>
    </row>
    <row r="15" spans="1:9">
      <c r="A15" s="78" t="str">
        <f>Table2[[#This Row],[Reporting Alias]]</f>
        <v>Residences SA</v>
      </c>
      <c r="B15" s="78" t="str">
        <f>Table2[[#This Row],[UoM]]</f>
        <v>kWh</v>
      </c>
      <c r="C15" s="78" t="str">
        <f>Table2[[#This Row],[Primary Criterion]]</f>
        <v>N/A</v>
      </c>
      <c r="D15" s="200">
        <f>'Envizi Elec Data'!B15</f>
        <v>0</v>
      </c>
      <c r="E15" s="200">
        <f>'Envizi Elec Data'!F15</f>
        <v>0</v>
      </c>
      <c r="F15" s="200">
        <f>'Envizi Elec Data'!G15</f>
        <v>0</v>
      </c>
      <c r="G15" s="200">
        <f>'Envizi Elec Data'!H15</f>
        <v>0</v>
      </c>
      <c r="H15" s="200">
        <f>'Envizi Elec Data'!I15</f>
        <v>0</v>
      </c>
      <c r="I15" s="200">
        <f>'Envizi Elec Data'!J15</f>
        <v>0</v>
      </c>
    </row>
    <row r="16" spans="1:9">
      <c r="A16" s="78" t="str">
        <f>Table2[[#This Row],[Reporting Alias]]</f>
        <v>Residences TAS</v>
      </c>
      <c r="B16" s="78" t="str">
        <f>Table2[[#This Row],[UoM]]</f>
        <v>kWh</v>
      </c>
      <c r="C16" s="78" t="str">
        <f>Table2[[#This Row],[Primary Criterion]]</f>
        <v>N/A</v>
      </c>
      <c r="D16" s="200">
        <f>'Envizi Elec Data'!B16</f>
        <v>0</v>
      </c>
      <c r="E16" s="200">
        <f>'Envizi Elec Data'!F16</f>
        <v>0</v>
      </c>
      <c r="F16" s="200">
        <f>'Envizi Elec Data'!G16</f>
        <v>0</v>
      </c>
      <c r="G16" s="200">
        <f>'Envizi Elec Data'!H16</f>
        <v>0</v>
      </c>
      <c r="H16" s="200">
        <f>'Envizi Elec Data'!I16</f>
        <v>0</v>
      </c>
      <c r="I16" s="200">
        <f>'Envizi Elec Data'!J16</f>
        <v>0</v>
      </c>
    </row>
    <row r="17" spans="1:9">
      <c r="A17" s="78" t="str">
        <f>Table2[[#This Row],[Reporting Alias]]</f>
        <v>Residences VIC</v>
      </c>
      <c r="B17" s="78" t="str">
        <f>Table2[[#This Row],[UoM]]</f>
        <v>kWh</v>
      </c>
      <c r="C17" s="78" t="str">
        <f>Table2[[#This Row],[Primary Criterion]]</f>
        <v>N/A</v>
      </c>
      <c r="D17" s="200">
        <f>'Envizi Elec Data'!B17</f>
        <v>0</v>
      </c>
      <c r="E17" s="200">
        <f>'Envizi Elec Data'!F17</f>
        <v>0</v>
      </c>
      <c r="F17" s="200">
        <f>'Envizi Elec Data'!G17</f>
        <v>0</v>
      </c>
      <c r="G17" s="200">
        <f>'Envizi Elec Data'!H17</f>
        <v>0</v>
      </c>
      <c r="H17" s="200">
        <f>'Envizi Elec Data'!I17</f>
        <v>0</v>
      </c>
      <c r="I17" s="200">
        <f>'Envizi Elec Data'!J17</f>
        <v>0</v>
      </c>
    </row>
    <row r="18" spans="1:9">
      <c r="A18" s="78" t="str">
        <f>Table2[[#This Row],[Reporting Alias]]</f>
        <v>Residences WA</v>
      </c>
      <c r="B18" s="78" t="str">
        <f>Table2[[#This Row],[UoM]]</f>
        <v>kWh</v>
      </c>
      <c r="C18" s="78" t="str">
        <f>Table2[[#This Row],[Primary Criterion]]</f>
        <v>N/A</v>
      </c>
      <c r="D18" s="200">
        <f>'Envizi Elec Data'!B18</f>
        <v>28456.728200000001</v>
      </c>
      <c r="E18" s="200">
        <f>'Envizi Elec Data'!F18</f>
        <v>102.44422152</v>
      </c>
      <c r="F18" s="200">
        <f>'Envizi Elec Data'!G18</f>
        <v>0</v>
      </c>
      <c r="G18" s="200">
        <f>'Envizi Elec Data'!H18</f>
        <v>19350.575176000002</v>
      </c>
      <c r="H18" s="200">
        <f>'Envizi Elec Data'!I18</f>
        <v>569.13456400000007</v>
      </c>
      <c r="I18" s="200">
        <f>'Envizi Elec Data'!J18</f>
        <v>19919.709740000002</v>
      </c>
    </row>
    <row r="19" spans="1:9">
      <c r="A19" s="78" t="str">
        <f>Table2[[#This Row],[Reporting Alias]]</f>
        <v>Retail ACT</v>
      </c>
      <c r="B19" s="78" t="str">
        <f>Table2[[#This Row],[UoM]]</f>
        <v>kWh</v>
      </c>
      <c r="C19" s="78" t="str">
        <f>Table2[[#This Row],[Primary Criterion]]</f>
        <v>N/A</v>
      </c>
      <c r="D19" s="200">
        <f>'Envizi Elec Data'!B19</f>
        <v>55711.078600000001</v>
      </c>
      <c r="E19" s="200">
        <f>'Envizi Elec Data'!F19</f>
        <v>200.55988296000001</v>
      </c>
      <c r="F19" s="200">
        <f>'Envizi Elec Data'!G19</f>
        <v>0</v>
      </c>
      <c r="G19" s="200">
        <f>'Envizi Elec Data'!H19</f>
        <v>45125.973666000005</v>
      </c>
      <c r="H19" s="200">
        <f>'Envizi Elec Data'!I19</f>
        <v>5013.9970739999999</v>
      </c>
      <c r="I19" s="200">
        <f>'Envizi Elec Data'!J19</f>
        <v>50139.970740000004</v>
      </c>
    </row>
    <row r="20" spans="1:9">
      <c r="A20" s="78" t="str">
        <f>Table2[[#This Row],[Reporting Alias]]</f>
        <v>Retail NSW</v>
      </c>
      <c r="B20" s="78" t="str">
        <f>Table2[[#This Row],[UoM]]</f>
        <v>kWh</v>
      </c>
      <c r="C20" s="78" t="str">
        <f>Table2[[#This Row],[Primary Criterion]]</f>
        <v>N/A</v>
      </c>
      <c r="D20" s="200">
        <f>'Envizi Elec Data'!B20</f>
        <v>1730964.8966817702</v>
      </c>
      <c r="E20" s="200">
        <f>'Envizi Elec Data'!F20</f>
        <v>6231.473628054373</v>
      </c>
      <c r="F20" s="200">
        <f>'Envizi Elec Data'!G20</f>
        <v>0</v>
      </c>
      <c r="G20" s="200">
        <f>'Envizi Elec Data'!H20</f>
        <v>1402081.5663122339</v>
      </c>
      <c r="H20" s="200">
        <f>'Envizi Elec Data'!I20</f>
        <v>155786.84070135932</v>
      </c>
      <c r="I20" s="200">
        <f>'Envizi Elec Data'!J20</f>
        <v>1557868.4070135932</v>
      </c>
    </row>
    <row r="21" spans="1:9">
      <c r="A21" s="78" t="str">
        <f>Table2[[#This Row],[Reporting Alias]]</f>
        <v>Retail NT</v>
      </c>
      <c r="B21" s="78" t="str">
        <f>Table2[[#This Row],[UoM]]</f>
        <v>kWh</v>
      </c>
      <c r="C21" s="78" t="str">
        <f>Table2[[#This Row],[Primary Criterion]]</f>
        <v>N/A</v>
      </c>
      <c r="D21" s="200">
        <f>'Envizi Elec Data'!B21</f>
        <v>21296.261000000002</v>
      </c>
      <c r="E21" s="200">
        <f>'Envizi Elec Data'!F21</f>
        <v>76.666539600000007</v>
      </c>
      <c r="F21" s="200">
        <f>'Envizi Elec Data'!G21</f>
        <v>0</v>
      </c>
      <c r="G21" s="200">
        <f>'Envizi Elec Data'!H21</f>
        <v>13203.681820000002</v>
      </c>
      <c r="H21" s="200">
        <f>'Envizi Elec Data'!I21</f>
        <v>1490.7382700000003</v>
      </c>
      <c r="I21" s="200">
        <f>'Envizi Elec Data'!J21</f>
        <v>14694.420090000001</v>
      </c>
    </row>
    <row r="22" spans="1:9">
      <c r="A22" s="78" t="str">
        <f>Table2[[#This Row],[Reporting Alias]]</f>
        <v>Retail QLD</v>
      </c>
      <c r="B22" s="78" t="str">
        <f>Table2[[#This Row],[UoM]]</f>
        <v>kWh</v>
      </c>
      <c r="C22" s="78" t="str">
        <f>Table2[[#This Row],[Primary Criterion]]</f>
        <v>N/A</v>
      </c>
      <c r="D22" s="200">
        <f>'Envizi Elec Data'!B22</f>
        <v>560219.57620000001</v>
      </c>
      <c r="E22" s="200">
        <f>'Envizi Elec Data'!F22</f>
        <v>2016.7904743199999</v>
      </c>
      <c r="F22" s="200">
        <f>'Envizi Elec Data'!G22</f>
        <v>0</v>
      </c>
      <c r="G22" s="200">
        <f>'Envizi Elec Data'!H22</f>
        <v>453777.85672200006</v>
      </c>
      <c r="H22" s="200">
        <f>'Envizi Elec Data'!I22</f>
        <v>67226.349143999993</v>
      </c>
      <c r="I22" s="200">
        <f>'Envizi Elec Data'!J22</f>
        <v>521004.20586600003</v>
      </c>
    </row>
    <row r="23" spans="1:9">
      <c r="A23" s="78" t="str">
        <f>Table2[[#This Row],[Reporting Alias]]</f>
        <v>Retail SA</v>
      </c>
      <c r="B23" s="78" t="str">
        <f>Table2[[#This Row],[UoM]]</f>
        <v>kWh</v>
      </c>
      <c r="C23" s="78" t="str">
        <f>Table2[[#This Row],[Primary Criterion]]</f>
        <v>N/A</v>
      </c>
      <c r="D23" s="200">
        <f>'Envizi Elec Data'!B23</f>
        <v>194619.56630000001</v>
      </c>
      <c r="E23" s="200">
        <f>'Envizi Elec Data'!F23</f>
        <v>700.63043868</v>
      </c>
      <c r="F23" s="200">
        <f>'Envizi Elec Data'!G23</f>
        <v>0</v>
      </c>
      <c r="G23" s="200">
        <f>'Envizi Elec Data'!H23</f>
        <v>83686.413509000005</v>
      </c>
      <c r="H23" s="200">
        <f>'Envizi Elec Data'!I23</f>
        <v>17515.760966999998</v>
      </c>
      <c r="I23" s="200">
        <f>'Envizi Elec Data'!J23</f>
        <v>101202.174476</v>
      </c>
    </row>
    <row r="24" spans="1:9">
      <c r="A24" s="78" t="str">
        <f>Table2[[#This Row],[Reporting Alias]]</f>
        <v>Retail TAS</v>
      </c>
      <c r="B24" s="78" t="str">
        <f>Table2[[#This Row],[UoM]]</f>
        <v>kWh</v>
      </c>
      <c r="C24" s="78" t="str">
        <f>Table2[[#This Row],[Primary Criterion]]</f>
        <v>N/A</v>
      </c>
      <c r="D24" s="200">
        <f>'Envizi Elec Data'!B24</f>
        <v>84161.480299999996</v>
      </c>
      <c r="E24" s="200">
        <f>'Envizi Elec Data'!F24</f>
        <v>302.98132907999997</v>
      </c>
      <c r="F24" s="200">
        <f>'Envizi Elec Data'!G24</f>
        <v>0</v>
      </c>
      <c r="G24" s="200">
        <f>'Envizi Elec Data'!H24</f>
        <v>14307.451650999999</v>
      </c>
      <c r="H24" s="200">
        <f>'Envizi Elec Data'!I24</f>
        <v>1683.2296059999999</v>
      </c>
      <c r="I24" s="200">
        <f>'Envizi Elec Data'!J24</f>
        <v>15990.681257</v>
      </c>
    </row>
    <row r="25" spans="1:9">
      <c r="A25" s="78" t="str">
        <f>Table2[[#This Row],[Reporting Alias]]</f>
        <v>Retail VIC</v>
      </c>
      <c r="B25" s="78" t="str">
        <f>Table2[[#This Row],[UoM]]</f>
        <v>kWh</v>
      </c>
      <c r="C25" s="78" t="str">
        <f>Table2[[#This Row],[Primary Criterion]]</f>
        <v>N/A</v>
      </c>
      <c r="D25" s="200">
        <f>'Envizi Elec Data'!B25</f>
        <v>1425253.9988000002</v>
      </c>
      <c r="E25" s="200">
        <f>'Envizi Elec Data'!F25</f>
        <v>5130.9143956800008</v>
      </c>
      <c r="F25" s="200">
        <f>'Envizi Elec Data'!G25</f>
        <v>0</v>
      </c>
      <c r="G25" s="200">
        <f>'Envizi Elec Data'!H25</f>
        <v>1396748.9188240001</v>
      </c>
      <c r="H25" s="200">
        <f>'Envizi Elec Data'!I25</f>
        <v>156777.93986800002</v>
      </c>
      <c r="I25" s="200">
        <f>'Envizi Elec Data'!J25</f>
        <v>1553526.8586920002</v>
      </c>
    </row>
    <row r="26" spans="1:9">
      <c r="A26" s="78" t="str">
        <f>Table2[[#This Row],[Reporting Alias]]</f>
        <v>Retail WA</v>
      </c>
      <c r="B26" s="78" t="str">
        <f>Table2[[#This Row],[UoM]]</f>
        <v>kWh</v>
      </c>
      <c r="C26" s="78" t="str">
        <f>Table2[[#This Row],[Primary Criterion]]</f>
        <v>N/A</v>
      </c>
      <c r="D26" s="200">
        <f>'Envizi Elec Data'!B26</f>
        <v>249285.09072245943</v>
      </c>
      <c r="E26" s="200">
        <f>'Envizi Elec Data'!F26</f>
        <v>897.42632660085394</v>
      </c>
      <c r="F26" s="200">
        <f>'Envizi Elec Data'!G26</f>
        <v>0</v>
      </c>
      <c r="G26" s="200">
        <f>'Envizi Elec Data'!H26</f>
        <v>169513.86169127241</v>
      </c>
      <c r="H26" s="200">
        <f>'Envizi Elec Data'!I26</f>
        <v>4985.7018144491885</v>
      </c>
      <c r="I26" s="200">
        <f>'Envizi Elec Data'!J26</f>
        <v>174499.5635057216</v>
      </c>
    </row>
    <row r="27" spans="1:9">
      <c r="A27" s="78" t="str">
        <f>Table2[[#This Row],[Reporting Alias]]</f>
        <v>Offices ACT</v>
      </c>
      <c r="B27" s="78" t="str">
        <f>Table2[[#This Row],[UoM]]</f>
        <v>kWh</v>
      </c>
      <c r="C27" s="78" t="str">
        <f>Table2[[#This Row],[Primary Criterion]]</f>
        <v>N/A</v>
      </c>
      <c r="D27" s="200">
        <f>'Envizi Elec Data'!B27</f>
        <v>2208961.8330999999</v>
      </c>
      <c r="E27" s="200">
        <f>'Envizi Elec Data'!F27</f>
        <v>7952.2625991599998</v>
      </c>
      <c r="F27" s="200">
        <f>'Envizi Elec Data'!G27</f>
        <v>0</v>
      </c>
      <c r="G27" s="200">
        <f>'Envizi Elec Data'!H27</f>
        <v>1789259.0848110002</v>
      </c>
      <c r="H27" s="200">
        <f>'Envizi Elec Data'!I27</f>
        <v>198806.56497899999</v>
      </c>
      <c r="I27" s="200">
        <f>'Envizi Elec Data'!J27</f>
        <v>1988065.6497900002</v>
      </c>
    </row>
    <row r="28" spans="1:9">
      <c r="A28" s="78" t="str">
        <f>Table2[[#This Row],[Reporting Alias]]</f>
        <v>Offices NSW</v>
      </c>
      <c r="B28" s="78" t="str">
        <f>Table2[[#This Row],[UoM]]</f>
        <v>kWh</v>
      </c>
      <c r="C28" s="78" t="str">
        <f>Table2[[#This Row],[Primary Criterion]]</f>
        <v>N/A</v>
      </c>
      <c r="D28" s="200">
        <f>'Envizi Elec Data'!B28</f>
        <v>4655224.6900000004</v>
      </c>
      <c r="E28" s="200">
        <f>'Envizi Elec Data'!F28</f>
        <v>16758.808884000002</v>
      </c>
      <c r="F28" s="200">
        <f>'Envizi Elec Data'!G28</f>
        <v>0</v>
      </c>
      <c r="G28" s="200">
        <f>'Envizi Elec Data'!H28</f>
        <v>3770731.9989000005</v>
      </c>
      <c r="H28" s="200">
        <f>'Envizi Elec Data'!I28</f>
        <v>418970.22210000001</v>
      </c>
      <c r="I28" s="200">
        <f>'Envizi Elec Data'!J28</f>
        <v>4189702.2210000004</v>
      </c>
    </row>
    <row r="29" spans="1:9">
      <c r="A29" s="78" t="str">
        <f>Table2[[#This Row],[Reporting Alias]]</f>
        <v>Offices NT</v>
      </c>
      <c r="B29" s="78" t="str">
        <f>Table2[[#This Row],[UoM]]</f>
        <v>kWh</v>
      </c>
      <c r="C29" s="78" t="str">
        <f>Table2[[#This Row],[Primary Criterion]]</f>
        <v>N/A</v>
      </c>
      <c r="D29" s="200">
        <f>'Envizi Elec Data'!B29</f>
        <v>109896.26500000001</v>
      </c>
      <c r="E29" s="200">
        <f>'Envizi Elec Data'!F29</f>
        <v>395.62655400000006</v>
      </c>
      <c r="F29" s="200">
        <f>'Envizi Elec Data'!G29</f>
        <v>0</v>
      </c>
      <c r="G29" s="200">
        <f>'Envizi Elec Data'!H29</f>
        <v>68135.684300000008</v>
      </c>
      <c r="H29" s="200">
        <f>'Envizi Elec Data'!I29</f>
        <v>7692.7385500000019</v>
      </c>
      <c r="I29" s="200">
        <f>'Envizi Elec Data'!J29</f>
        <v>75828.422850000003</v>
      </c>
    </row>
    <row r="30" spans="1:9">
      <c r="A30" s="78" t="str">
        <f>Table2[[#This Row],[Reporting Alias]]</f>
        <v>Offices QLD</v>
      </c>
      <c r="B30" s="78" t="str">
        <f>Table2[[#This Row],[UoM]]</f>
        <v>kWh</v>
      </c>
      <c r="C30" s="78" t="str">
        <f>Table2[[#This Row],[Primary Criterion]]</f>
        <v>N/A</v>
      </c>
      <c r="D30" s="200">
        <f>'Envizi Elec Data'!B30</f>
        <v>3091087.2818000005</v>
      </c>
      <c r="E30" s="200">
        <f>'Envizi Elec Data'!F30</f>
        <v>11127.914214480001</v>
      </c>
      <c r="F30" s="200">
        <f>'Envizi Elec Data'!G30</f>
        <v>0</v>
      </c>
      <c r="G30" s="200">
        <f>'Envizi Elec Data'!H30</f>
        <v>2503780.6982580004</v>
      </c>
      <c r="H30" s="200">
        <f>'Envizi Elec Data'!I30</f>
        <v>370930.47381600004</v>
      </c>
      <c r="I30" s="200">
        <f>'Envizi Elec Data'!J30</f>
        <v>2874711.1720740004</v>
      </c>
    </row>
    <row r="31" spans="1:9">
      <c r="A31" s="78" t="str">
        <f>Table2[[#This Row],[Reporting Alias]]</f>
        <v>Offices SA</v>
      </c>
      <c r="B31" s="78" t="str">
        <f>Table2[[#This Row],[UoM]]</f>
        <v>kWh</v>
      </c>
      <c r="C31" s="78" t="str">
        <f>Table2[[#This Row],[Primary Criterion]]</f>
        <v>N/A</v>
      </c>
      <c r="D31" s="200">
        <f>'Envizi Elec Data'!B31</f>
        <v>958428.99939999986</v>
      </c>
      <c r="E31" s="200">
        <f>'Envizi Elec Data'!F31</f>
        <v>3450.3443978399996</v>
      </c>
      <c r="F31" s="200">
        <f>'Envizi Elec Data'!G31</f>
        <v>0</v>
      </c>
      <c r="G31" s="200">
        <f>'Envizi Elec Data'!H31</f>
        <v>412124.46974199993</v>
      </c>
      <c r="H31" s="200">
        <f>'Envizi Elec Data'!I31</f>
        <v>86258.609945999982</v>
      </c>
      <c r="I31" s="200">
        <f>'Envizi Elec Data'!J31</f>
        <v>498383.07968799991</v>
      </c>
    </row>
    <row r="32" spans="1:9">
      <c r="A32" s="78" t="str">
        <f>Table2[[#This Row],[Reporting Alias]]</f>
        <v>Offices TAS</v>
      </c>
      <c r="B32" s="78" t="str">
        <f>Table2[[#This Row],[UoM]]</f>
        <v>kWh</v>
      </c>
      <c r="C32" s="78" t="str">
        <f>Table2[[#This Row],[Primary Criterion]]</f>
        <v>N/A</v>
      </c>
      <c r="D32" s="200">
        <f>'Envizi Elec Data'!B32</f>
        <v>590027.58399999992</v>
      </c>
      <c r="E32" s="200">
        <f>'Envizi Elec Data'!F32</f>
        <v>2124.0993023999995</v>
      </c>
      <c r="F32" s="200">
        <f>'Envizi Elec Data'!G32</f>
        <v>0</v>
      </c>
      <c r="G32" s="200">
        <f>'Envizi Elec Data'!H32</f>
        <v>100304.68927999999</v>
      </c>
      <c r="H32" s="200">
        <f>'Envizi Elec Data'!I32</f>
        <v>11800.551679999999</v>
      </c>
      <c r="I32" s="200">
        <f>'Envizi Elec Data'!J32</f>
        <v>112105.24096</v>
      </c>
    </row>
    <row r="33" spans="1:9">
      <c r="A33" s="78" t="str">
        <f>Table2[[#This Row],[Reporting Alias]]</f>
        <v>Offices VIC</v>
      </c>
      <c r="B33" s="78" t="str">
        <f>Table2[[#This Row],[UoM]]</f>
        <v>kWh</v>
      </c>
      <c r="C33" s="78" t="str">
        <f>Table2[[#This Row],[Primary Criterion]]</f>
        <v>N/A</v>
      </c>
      <c r="D33" s="200">
        <f>'Envizi Elec Data'!B33</f>
        <v>12923450.24</v>
      </c>
      <c r="E33" s="200">
        <f>'Envizi Elec Data'!F33</f>
        <v>46524.420864</v>
      </c>
      <c r="F33" s="200">
        <f>'Envizi Elec Data'!G33</f>
        <v>0</v>
      </c>
      <c r="G33" s="200">
        <f>'Envizi Elec Data'!H33</f>
        <v>12664981.235199999</v>
      </c>
      <c r="H33" s="200">
        <f>'Envizi Elec Data'!I33</f>
        <v>1421579.5264000001</v>
      </c>
      <c r="I33" s="200">
        <f>'Envizi Elec Data'!J33</f>
        <v>14086560.761599999</v>
      </c>
    </row>
    <row r="34" spans="1:9">
      <c r="A34" s="78" t="str">
        <f>Table2[[#This Row],[Reporting Alias]]</f>
        <v>Offices WA</v>
      </c>
      <c r="B34" s="78" t="str">
        <f>Table2[[#This Row],[UoM]]</f>
        <v>kWh</v>
      </c>
      <c r="C34" s="78" t="str">
        <f>Table2[[#This Row],[Primary Criterion]]</f>
        <v>N/A</v>
      </c>
      <c r="D34" s="200">
        <f>'Envizi Elec Data'!B34</f>
        <v>331097.65870000003</v>
      </c>
      <c r="E34" s="200">
        <f>'Envizi Elec Data'!F34</f>
        <v>1191.9515713200001</v>
      </c>
      <c r="F34" s="200">
        <f>'Envizi Elec Data'!G34</f>
        <v>0</v>
      </c>
      <c r="G34" s="200">
        <f>'Envizi Elec Data'!H34</f>
        <v>225146.40791600003</v>
      </c>
      <c r="H34" s="200">
        <f>'Envizi Elec Data'!I34</f>
        <v>6621.9531740000011</v>
      </c>
      <c r="I34" s="200">
        <f>'Envizi Elec Data'!J34</f>
        <v>231768.36109000002</v>
      </c>
    </row>
    <row r="35" spans="1:9">
      <c r="A35" s="78" t="str">
        <f>Table2[[#This Row],[Reporting Alias]]</f>
        <v>DC ACT</v>
      </c>
      <c r="B35" s="78" t="str">
        <f>Table2[[#This Row],[UoM]]</f>
        <v>kWh</v>
      </c>
      <c r="C35" s="78" t="str">
        <f>Table2[[#This Row],[Primary Criterion]]</f>
        <v>N/A</v>
      </c>
      <c r="D35" s="200">
        <f>'Envizi Elec Data'!B35</f>
        <v>2011702.3574999999</v>
      </c>
      <c r="E35" s="200">
        <f>'Envizi Elec Data'!F35</f>
        <v>7242.128487</v>
      </c>
      <c r="F35" s="200">
        <f>'Envizi Elec Data'!G35</f>
        <v>0</v>
      </c>
      <c r="G35" s="200">
        <f>'Envizi Elec Data'!H35</f>
        <v>1629478.9095749999</v>
      </c>
      <c r="H35" s="200">
        <f>'Envizi Elec Data'!I35</f>
        <v>181053.21217499999</v>
      </c>
      <c r="I35" s="200">
        <f>'Envizi Elec Data'!J35</f>
        <v>1810532.1217499999</v>
      </c>
    </row>
    <row r="36" spans="1:9">
      <c r="A36" s="78" t="str">
        <f>Table2[[#This Row],[Reporting Alias]]</f>
        <v>DC NSW</v>
      </c>
      <c r="B36" s="78" t="str">
        <f>Table2[[#This Row],[UoM]]</f>
        <v>kWh</v>
      </c>
      <c r="C36" s="78" t="str">
        <f>Table2[[#This Row],[Primary Criterion]]</f>
        <v>N/A</v>
      </c>
      <c r="D36" s="200">
        <f>'Envizi Elec Data'!B36</f>
        <v>27473994.162800003</v>
      </c>
      <c r="E36" s="200">
        <f>'Envizi Elec Data'!F36</f>
        <v>98906.378986080003</v>
      </c>
      <c r="F36" s="200">
        <f>'Envizi Elec Data'!G36</f>
        <v>0</v>
      </c>
      <c r="G36" s="200">
        <f>'Envizi Elec Data'!H36</f>
        <v>22253935.271868005</v>
      </c>
      <c r="H36" s="200">
        <f>'Envizi Elec Data'!I36</f>
        <v>2472659.4746520002</v>
      </c>
      <c r="I36" s="200">
        <f>'Envizi Elec Data'!J36</f>
        <v>24726594.746520005</v>
      </c>
    </row>
    <row r="37" spans="1:9">
      <c r="A37" s="78" t="str">
        <f>Table2[[#This Row],[Reporting Alias]]</f>
        <v>DC NT</v>
      </c>
      <c r="B37" s="78" t="str">
        <f>Table2[[#This Row],[UoM]]</f>
        <v>kWh</v>
      </c>
      <c r="C37" s="78" t="str">
        <f>Table2[[#This Row],[Primary Criterion]]</f>
        <v>N/A</v>
      </c>
      <c r="D37" s="200">
        <f>'Envizi Elec Data'!B37</f>
        <v>0</v>
      </c>
      <c r="E37" s="200">
        <f>'Envizi Elec Data'!F37</f>
        <v>0</v>
      </c>
      <c r="F37" s="200">
        <f>'Envizi Elec Data'!G37</f>
        <v>0</v>
      </c>
      <c r="G37" s="200">
        <f>'Envizi Elec Data'!H37</f>
        <v>0</v>
      </c>
      <c r="H37" s="200">
        <f>'Envizi Elec Data'!I37</f>
        <v>0</v>
      </c>
      <c r="I37" s="200">
        <f>'Envizi Elec Data'!J37</f>
        <v>0</v>
      </c>
    </row>
    <row r="38" spans="1:9">
      <c r="A38" s="78" t="str">
        <f>Table2[[#This Row],[Reporting Alias]]</f>
        <v>DC QLD</v>
      </c>
      <c r="B38" s="78" t="str">
        <f>Table2[[#This Row],[UoM]]</f>
        <v>kWh</v>
      </c>
      <c r="C38" s="78" t="str">
        <f>Table2[[#This Row],[Primary Criterion]]</f>
        <v>N/A</v>
      </c>
      <c r="D38" s="200">
        <f>'Envizi Elec Data'!B38</f>
        <v>0</v>
      </c>
      <c r="E38" s="200">
        <f>'Envizi Elec Data'!F38</f>
        <v>0</v>
      </c>
      <c r="F38" s="200">
        <f>'Envizi Elec Data'!G38</f>
        <v>0</v>
      </c>
      <c r="G38" s="200">
        <f>'Envizi Elec Data'!H38</f>
        <v>0</v>
      </c>
      <c r="H38" s="200">
        <f>'Envizi Elec Data'!I38</f>
        <v>0</v>
      </c>
      <c r="I38" s="200">
        <f>'Envizi Elec Data'!J38</f>
        <v>0</v>
      </c>
    </row>
    <row r="39" spans="1:9">
      <c r="A39" s="78" t="str">
        <f>Table2[[#This Row],[Reporting Alias]]</f>
        <v>DC SA</v>
      </c>
      <c r="B39" s="78" t="str">
        <f>Table2[[#This Row],[UoM]]</f>
        <v>kWh</v>
      </c>
      <c r="C39" s="78" t="str">
        <f>Table2[[#This Row],[Primary Criterion]]</f>
        <v>N/A</v>
      </c>
      <c r="D39" s="200">
        <f>'Envizi Elec Data'!B39</f>
        <v>0</v>
      </c>
      <c r="E39" s="200">
        <f>'Envizi Elec Data'!F39</f>
        <v>0</v>
      </c>
      <c r="F39" s="200">
        <f>'Envizi Elec Data'!G39</f>
        <v>0</v>
      </c>
      <c r="G39" s="200">
        <f>'Envizi Elec Data'!H39</f>
        <v>0</v>
      </c>
      <c r="H39" s="200">
        <f>'Envizi Elec Data'!I39</f>
        <v>0</v>
      </c>
      <c r="I39" s="200">
        <f>'Envizi Elec Data'!J39</f>
        <v>0</v>
      </c>
    </row>
    <row r="40" spans="1:9">
      <c r="A40" s="78" t="str">
        <f>Table2[[#This Row],[Reporting Alias]]</f>
        <v>DC TAS</v>
      </c>
      <c r="B40" s="78" t="str">
        <f>Table2[[#This Row],[UoM]]</f>
        <v>kWh</v>
      </c>
      <c r="C40" s="78" t="str">
        <f>Table2[[#This Row],[Primary Criterion]]</f>
        <v>N/A</v>
      </c>
      <c r="D40" s="200">
        <f>'Envizi Elec Data'!B40</f>
        <v>0</v>
      </c>
      <c r="E40" s="200">
        <f>'Envizi Elec Data'!F40</f>
        <v>0</v>
      </c>
      <c r="F40" s="200">
        <f>'Envizi Elec Data'!G40</f>
        <v>0</v>
      </c>
      <c r="G40" s="200">
        <f>'Envizi Elec Data'!H40</f>
        <v>0</v>
      </c>
      <c r="H40" s="200">
        <f>'Envizi Elec Data'!I40</f>
        <v>0</v>
      </c>
      <c r="I40" s="200">
        <f>'Envizi Elec Data'!J40</f>
        <v>0</v>
      </c>
    </row>
    <row r="41" spans="1:9">
      <c r="A41" s="78" t="str">
        <f>Table2[[#This Row],[Reporting Alias]]</f>
        <v>DC VIC</v>
      </c>
      <c r="B41" s="78" t="str">
        <f>Table2[[#This Row],[UoM]]</f>
        <v>kWh</v>
      </c>
      <c r="C41" s="78" t="str">
        <f>Table2[[#This Row],[Primary Criterion]]</f>
        <v>N/A</v>
      </c>
      <c r="D41" s="200">
        <f>'Envizi Elec Data'!B41</f>
        <v>41352143.156999998</v>
      </c>
      <c r="E41" s="200">
        <f>'Envizi Elec Data'!F41</f>
        <v>148867.71536519998</v>
      </c>
      <c r="F41" s="200">
        <f>'Envizi Elec Data'!G41</f>
        <v>0</v>
      </c>
      <c r="G41" s="200">
        <f>'Envizi Elec Data'!H41</f>
        <v>40525100.293859996</v>
      </c>
      <c r="H41" s="200">
        <f>'Envizi Elec Data'!I41</f>
        <v>4548735.7472700002</v>
      </c>
      <c r="I41" s="200">
        <f>'Envizi Elec Data'!J41</f>
        <v>45073836.041129999</v>
      </c>
    </row>
    <row r="42" spans="1:9">
      <c r="A42" s="78" t="str">
        <f>Table2[[#This Row],[Reporting Alias]]</f>
        <v>DC WA</v>
      </c>
      <c r="B42" s="78" t="str">
        <f>Table2[[#This Row],[UoM]]</f>
        <v>kWh</v>
      </c>
      <c r="C42" s="78" t="str">
        <f>Table2[[#This Row],[Primary Criterion]]</f>
        <v>N/A</v>
      </c>
      <c r="D42" s="200">
        <f>'Envizi Elec Data'!B42</f>
        <v>0</v>
      </c>
      <c r="E42" s="200">
        <f>'Envizi Elec Data'!F42</f>
        <v>0</v>
      </c>
      <c r="F42" s="200">
        <f>'Envizi Elec Data'!G42</f>
        <v>0</v>
      </c>
      <c r="G42" s="200">
        <f>'Envizi Elec Data'!H42</f>
        <v>0</v>
      </c>
      <c r="H42" s="200">
        <f>'Envizi Elec Data'!I42</f>
        <v>0</v>
      </c>
      <c r="I42" s="200">
        <f>'Envizi Elec Data'!J42</f>
        <v>0</v>
      </c>
    </row>
    <row r="43" spans="1:9">
      <c r="A43" s="78" t="str">
        <f>Table2[[#This Row],[Reporting Alias]]</f>
        <v>SLDC</v>
      </c>
      <c r="B43" s="78" t="str">
        <f>Table2[[#This Row],[UoM]]</f>
        <v>kWh</v>
      </c>
      <c r="C43" s="78" t="str">
        <f>Table2[[#This Row],[Primary Criterion]]</f>
        <v>N/A</v>
      </c>
      <c r="D43" s="200">
        <f>'Envizi Elec Data'!B43</f>
        <v>40063690.008000001</v>
      </c>
      <c r="E43" s="200">
        <f>'Envizi Elec Data'!F43</f>
        <v>144229.2840288</v>
      </c>
      <c r="F43" s="200">
        <f>'Envizi Elec Data'!G43</f>
        <v>0</v>
      </c>
      <c r="G43" s="200">
        <f>'Envizi Elec Data'!H43</f>
        <v>32451588.906480003</v>
      </c>
      <c r="H43" s="200">
        <f>'Envizi Elec Data'!I43</f>
        <v>3605732.10072</v>
      </c>
      <c r="I43" s="200">
        <f>'Envizi Elec Data'!J43</f>
        <v>36057321.007200003</v>
      </c>
    </row>
    <row r="44" spans="1:9">
      <c r="A44" s="78" t="str">
        <f>Table2[[#This Row],[Reporting Alias]]</f>
        <v>Brightstar</v>
      </c>
      <c r="B44" s="78" t="str">
        <f>Table2[[#This Row],[UoM]]</f>
        <v>kWh</v>
      </c>
      <c r="C44" s="78" t="str">
        <f>Table2[[#This Row],[Primary Criterion]]</f>
        <v>N/A</v>
      </c>
      <c r="D44" s="200">
        <f>'Envizi Elec Data'!B44</f>
        <v>0</v>
      </c>
      <c r="E44" s="200">
        <f>'Envizi Elec Data'!F44</f>
        <v>0</v>
      </c>
      <c r="F44" s="200">
        <f>'Envizi Elec Data'!G44</f>
        <v>0</v>
      </c>
      <c r="G44" s="200">
        <f>'Envizi Elec Data'!H44</f>
        <v>0</v>
      </c>
      <c r="H44" s="200">
        <f>'Envizi Elec Data'!I44</f>
        <v>0</v>
      </c>
      <c r="I44" s="200">
        <f>'Envizi Elec Data'!J44</f>
        <v>0</v>
      </c>
    </row>
    <row r="45" spans="1:9">
      <c r="A45" s="25"/>
      <c r="B45" s="197"/>
      <c r="D45" s="201"/>
      <c r="E45" s="201"/>
      <c r="F45" s="201"/>
      <c r="G45" s="201"/>
      <c r="H45" s="201"/>
      <c r="I45" s="201"/>
    </row>
    <row r="47" spans="1:9">
      <c r="A47" s="36" t="s">
        <v>750</v>
      </c>
      <c r="B47" s="71" t="s">
        <v>649</v>
      </c>
      <c r="C47" s="71" t="s">
        <v>684</v>
      </c>
      <c r="D47" s="202" t="s">
        <v>650</v>
      </c>
      <c r="E47" s="202" t="s">
        <v>651</v>
      </c>
      <c r="F47" s="204" t="s">
        <v>652</v>
      </c>
      <c r="G47" s="204" t="s">
        <v>653</v>
      </c>
      <c r="H47" s="204" t="s">
        <v>654</v>
      </c>
      <c r="I47" s="203" t="s">
        <v>751</v>
      </c>
    </row>
    <row r="48" spans="1:9">
      <c r="A48" t="str">
        <f>'BCA Removal'!A3</f>
        <v>BCA on Telstra sites for removal ACT</v>
      </c>
      <c r="B48" t="str">
        <f>'BCA Removal'!C3</f>
        <v>kWh</v>
      </c>
      <c r="C48" t="str">
        <f>'BCA Removal'!D3</f>
        <v>N/A</v>
      </c>
      <c r="D48" s="198">
        <f>'BCA Removal'!E3</f>
        <v>0</v>
      </c>
      <c r="E48" s="198">
        <f>'BCA Removal'!F3</f>
        <v>0</v>
      </c>
      <c r="F48" s="8">
        <f>'BCA Removal'!G3</f>
        <v>0</v>
      </c>
      <c r="G48" s="8">
        <f>'BCA Removal'!H3</f>
        <v>0</v>
      </c>
      <c r="H48" s="8">
        <f>'BCA Removal'!I3</f>
        <v>0</v>
      </c>
      <c r="I48" s="198">
        <f>'BCA Removal'!J3</f>
        <v>0</v>
      </c>
    </row>
    <row r="49" spans="1:9">
      <c r="A49" t="str">
        <f>'BCA Removal'!A4</f>
        <v>BCA on Telstra sites for removal NSW</v>
      </c>
      <c r="B49" t="str">
        <f>'BCA Removal'!C4</f>
        <v>kWh</v>
      </c>
      <c r="C49" t="str">
        <f>'BCA Removal'!D4</f>
        <v>N/A</v>
      </c>
      <c r="D49" s="198">
        <f>'BCA Removal'!E4</f>
        <v>-244823.99959999998</v>
      </c>
      <c r="E49" s="198">
        <f>'BCA Removal'!F4</f>
        <v>-881.36639855999988</v>
      </c>
      <c r="F49" s="8">
        <f>'BCA Removal'!G4</f>
        <v>0</v>
      </c>
      <c r="G49" s="8">
        <f>'BCA Removal'!H4</f>
        <v>-198307.43967600001</v>
      </c>
      <c r="H49" s="8">
        <f>'BCA Removal'!I4</f>
        <v>-22034.159963999999</v>
      </c>
      <c r="I49" s="198">
        <f>'BCA Removal'!J4</f>
        <v>-220341.59964</v>
      </c>
    </row>
    <row r="50" spans="1:9">
      <c r="A50" t="str">
        <f>'BCA Removal'!A5</f>
        <v>BCA on Telstra sites for removal NT</v>
      </c>
      <c r="B50" t="str">
        <f>'BCA Removal'!C5</f>
        <v>kWh</v>
      </c>
      <c r="C50" t="str">
        <f>'BCA Removal'!D5</f>
        <v>N/A</v>
      </c>
      <c r="D50" s="198">
        <f>'BCA Removal'!E5</f>
        <v>-196328.99980000002</v>
      </c>
      <c r="E50" s="198">
        <f>'BCA Removal'!F5</f>
        <v>-706.78439928</v>
      </c>
      <c r="F50" s="8">
        <f>'BCA Removal'!G5</f>
        <v>0</v>
      </c>
      <c r="G50" s="8">
        <f>'BCA Removal'!H5</f>
        <v>-121723.97987600001</v>
      </c>
      <c r="H50" s="8">
        <f>'BCA Removal'!I5</f>
        <v>-13743.029986000003</v>
      </c>
      <c r="I50" s="198">
        <f>'BCA Removal'!J5</f>
        <v>-135467.00986200001</v>
      </c>
    </row>
    <row r="51" spans="1:9">
      <c r="A51" t="str">
        <f>'BCA Removal'!A6</f>
        <v>BCA on Telstra sites for removal QLD</v>
      </c>
      <c r="B51" t="str">
        <f>'BCA Removal'!C6</f>
        <v>kWh</v>
      </c>
      <c r="C51" t="str">
        <f>'BCA Removal'!D6</f>
        <v>N/A</v>
      </c>
      <c r="D51" s="198">
        <f>'BCA Removal'!E6</f>
        <v>-346876.00040000002</v>
      </c>
      <c r="E51" s="198">
        <f>'BCA Removal'!F6</f>
        <v>-1248.75360144</v>
      </c>
      <c r="F51" s="8">
        <f>'BCA Removal'!G6</f>
        <v>0</v>
      </c>
      <c r="G51" s="8">
        <f>'BCA Removal'!H6</f>
        <v>-280969.56032400002</v>
      </c>
      <c r="H51" s="8">
        <f>'BCA Removal'!I6</f>
        <v>-41625.120048000004</v>
      </c>
      <c r="I51" s="198">
        <f>'BCA Removal'!J6</f>
        <v>-322594.68037200003</v>
      </c>
    </row>
    <row r="52" spans="1:9">
      <c r="A52" t="str">
        <f>'BCA Removal'!A7</f>
        <v>BCA on Telstra sites for removal SA</v>
      </c>
      <c r="B52" t="str">
        <f>'BCA Removal'!C7</f>
        <v>kWh</v>
      </c>
      <c r="C52" t="str">
        <f>'BCA Removal'!D7</f>
        <v>N/A</v>
      </c>
      <c r="D52" s="198">
        <f>'BCA Removal'!E7</f>
        <v>-225433.99979999999</v>
      </c>
      <c r="E52" s="198">
        <f>'BCA Removal'!F7</f>
        <v>-811.56239927999991</v>
      </c>
      <c r="F52" s="8">
        <f>'BCA Removal'!G7</f>
        <v>0</v>
      </c>
      <c r="G52" s="8">
        <f>'BCA Removal'!H7</f>
        <v>-96936.619913999995</v>
      </c>
      <c r="H52" s="8">
        <f>'BCA Removal'!I7</f>
        <v>-20289.059981999999</v>
      </c>
      <c r="I52" s="198">
        <f>'BCA Removal'!J7</f>
        <v>-117225.67989599999</v>
      </c>
    </row>
    <row r="53" spans="1:9">
      <c r="A53" t="str">
        <f>'BCA Removal'!A8</f>
        <v>BCA on Telstra sites for removal TAS</v>
      </c>
      <c r="B53" t="str">
        <f>'BCA Removal'!C8</f>
        <v>kWh</v>
      </c>
      <c r="C53" t="str">
        <f>'BCA Removal'!D8</f>
        <v>N/A</v>
      </c>
      <c r="D53" s="198">
        <f>'BCA Removal'!E8</f>
        <v>-113095.99979999999</v>
      </c>
      <c r="E53" s="198">
        <f>'BCA Removal'!F8</f>
        <v>-407.14559927999994</v>
      </c>
      <c r="F53" s="8">
        <f>'BCA Removal'!G8</f>
        <v>0</v>
      </c>
      <c r="G53" s="8">
        <f>'BCA Removal'!H8</f>
        <v>-19226.319965999999</v>
      </c>
      <c r="H53" s="8">
        <f>'BCA Removal'!I8</f>
        <v>-2261.9199960000001</v>
      </c>
      <c r="I53" s="198">
        <f>'BCA Removal'!J8</f>
        <v>-21488.239962</v>
      </c>
    </row>
    <row r="54" spans="1:9">
      <c r="A54" t="str">
        <f>'BCA Removal'!A9</f>
        <v>BCA on Telstra sites for removal VIC</v>
      </c>
      <c r="B54" t="str">
        <f>'BCA Removal'!C9</f>
        <v>kWh</v>
      </c>
      <c r="C54" t="str">
        <f>'BCA Removal'!D9</f>
        <v>N/A</v>
      </c>
      <c r="D54" s="198">
        <f>'BCA Removal'!E9</f>
        <v>-198912.9999</v>
      </c>
      <c r="E54" s="198">
        <f>'BCA Removal'!F9</f>
        <v>-716.08679963999998</v>
      </c>
      <c r="F54" s="8">
        <f>'BCA Removal'!G9</f>
        <v>0</v>
      </c>
      <c r="G54" s="8">
        <f>'BCA Removal'!H9</f>
        <v>-194934.739902</v>
      </c>
      <c r="H54" s="8">
        <f>'BCA Removal'!I9</f>
        <v>-21880.429989</v>
      </c>
      <c r="I54" s="198">
        <f>'BCA Removal'!J9</f>
        <v>-216815.169891</v>
      </c>
    </row>
    <row r="55" spans="1:9">
      <c r="A55" t="str">
        <f>'BCA Removal'!A10</f>
        <v>BCA on Telstra sites for removal WA</v>
      </c>
      <c r="B55" t="str">
        <f>'BCA Removal'!C10</f>
        <v>kWh</v>
      </c>
      <c r="C55" t="str">
        <f>'BCA Removal'!D10</f>
        <v>N/A</v>
      </c>
      <c r="D55" s="198">
        <f>'BCA Removal'!E10</f>
        <v>-163068.00020000001</v>
      </c>
      <c r="E55" s="198">
        <f>'BCA Removal'!F10</f>
        <v>-587.04480072000001</v>
      </c>
      <c r="F55" s="8">
        <f>'BCA Removal'!G10</f>
        <v>0</v>
      </c>
      <c r="G55" s="8">
        <f>'BCA Removal'!H10</f>
        <v>-110886.24013600001</v>
      </c>
      <c r="H55" s="8">
        <f>'BCA Removal'!I10</f>
        <v>-3261.3600040000001</v>
      </c>
      <c r="I55" s="198">
        <f>'BCA Removal'!J10</f>
        <v>-114147.60014000001</v>
      </c>
    </row>
    <row r="56" spans="1:9">
      <c r="A56" s="25"/>
      <c r="B56" s="25"/>
      <c r="C56" s="25"/>
      <c r="D56" s="25"/>
      <c r="E56" s="25"/>
      <c r="F56" s="205"/>
      <c r="G56" s="205"/>
      <c r="H56" s="205"/>
      <c r="I56" s="38"/>
    </row>
    <row r="58" spans="1:9">
      <c r="A58" s="36" t="s">
        <v>750</v>
      </c>
      <c r="B58" s="71" t="s">
        <v>649</v>
      </c>
      <c r="C58" s="71" t="s">
        <v>684</v>
      </c>
      <c r="D58" s="71" t="s">
        <v>650</v>
      </c>
      <c r="E58" s="71" t="s">
        <v>651</v>
      </c>
      <c r="F58" s="204" t="s">
        <v>652</v>
      </c>
      <c r="G58" s="204" t="s">
        <v>653</v>
      </c>
      <c r="H58" s="204" t="s">
        <v>654</v>
      </c>
      <c r="I58" s="199" t="s">
        <v>751</v>
      </c>
    </row>
    <row r="59" spans="1:9">
      <c r="A59" t="str">
        <f>'NBN Removal'!A3</f>
        <v>NBN Co Removal ACT</v>
      </c>
      <c r="B59" s="241" t="str">
        <f>'NBN Removal'!C3</f>
        <v>kWh</v>
      </c>
      <c r="C59" s="241" t="str">
        <f>'NBN Removal'!D3</f>
        <v>N/A</v>
      </c>
      <c r="D59" s="241">
        <f>'NBN Removal'!E3</f>
        <v>-1160245.3832</v>
      </c>
      <c r="E59" s="241">
        <f>'NBN Removal'!F3</f>
        <v>-4176.8833795199998</v>
      </c>
      <c r="F59" s="8">
        <f>'NBN Removal'!G3</f>
        <v>0</v>
      </c>
      <c r="G59" s="8">
        <f>'NBN Removal'!H3</f>
        <v>-939798.76039200008</v>
      </c>
      <c r="H59" s="8">
        <f>'NBN Removal'!I3</f>
        <v>-104422.08448799999</v>
      </c>
      <c r="I59" s="5">
        <f>'NBN Removal'!J3</f>
        <v>-1044220.8448800001</v>
      </c>
    </row>
    <row r="60" spans="1:9">
      <c r="A60" t="str">
        <f>'NBN Removal'!A4</f>
        <v>NBN Co Removal NSW</v>
      </c>
      <c r="B60" s="241" t="str">
        <f>'NBN Removal'!C4</f>
        <v>kWh</v>
      </c>
      <c r="C60" s="241" t="str">
        <f>'NBN Removal'!D4</f>
        <v>N/A</v>
      </c>
      <c r="D60" s="241">
        <f>'NBN Removal'!E4</f>
        <v>-25180391.490000006</v>
      </c>
      <c r="E60" s="241">
        <f>'NBN Removal'!F4</f>
        <v>-90649.409364000021</v>
      </c>
      <c r="F60" s="8">
        <f>'NBN Removal'!G4</f>
        <v>0</v>
      </c>
      <c r="G60" s="8">
        <f>'NBN Removal'!H4</f>
        <v>-20396117.106900007</v>
      </c>
      <c r="H60" s="8">
        <f>'NBN Removal'!I4</f>
        <v>-2266235.2341000005</v>
      </c>
      <c r="I60" s="5">
        <f>'NBN Removal'!J4</f>
        <v>-22662352.341000006</v>
      </c>
    </row>
    <row r="61" spans="1:9">
      <c r="A61" t="str">
        <f>'NBN Removal'!A5</f>
        <v>NBN Co Removal NT</v>
      </c>
      <c r="B61" s="241" t="str">
        <f>'NBN Removal'!C5</f>
        <v>kWh</v>
      </c>
      <c r="C61" s="241" t="str">
        <f>'NBN Removal'!D5</f>
        <v>N/A</v>
      </c>
      <c r="D61" s="241">
        <f>'NBN Removal'!E5</f>
        <v>-788271.81990000012</v>
      </c>
      <c r="E61" s="241">
        <f>'NBN Removal'!F5</f>
        <v>-2837.7785516400004</v>
      </c>
      <c r="F61" s="8">
        <f>'NBN Removal'!G5</f>
        <v>0</v>
      </c>
      <c r="G61" s="8">
        <f>'NBN Removal'!H5</f>
        <v>-488728.52833800006</v>
      </c>
      <c r="H61" s="8">
        <f>'NBN Removal'!I5</f>
        <v>-55179.027393000011</v>
      </c>
      <c r="I61" s="5">
        <f>'NBN Removal'!J5</f>
        <v>-543907.55573100003</v>
      </c>
    </row>
    <row r="62" spans="1:9">
      <c r="A62" t="str">
        <f>'NBN Removal'!A6</f>
        <v>NBN Co Removal QLD</v>
      </c>
      <c r="B62" s="241" t="str">
        <f>'NBN Removal'!C6</f>
        <v>kWh</v>
      </c>
      <c r="C62" s="241" t="str">
        <f>'NBN Removal'!D6</f>
        <v>N/A</v>
      </c>
      <c r="D62" s="241">
        <f>'NBN Removal'!E6</f>
        <v>-15329808.899499999</v>
      </c>
      <c r="E62" s="241">
        <f>'NBN Removal'!F6</f>
        <v>-55187.312038199998</v>
      </c>
      <c r="F62" s="8">
        <f>'NBN Removal'!G6</f>
        <v>0</v>
      </c>
      <c r="G62" s="8">
        <f>'NBN Removal'!H6</f>
        <v>-12417145.208595</v>
      </c>
      <c r="H62" s="8">
        <f>'NBN Removal'!I6</f>
        <v>-1839577.0679399997</v>
      </c>
      <c r="I62" s="5">
        <f>'NBN Removal'!J6</f>
        <v>-14256722.276535001</v>
      </c>
    </row>
    <row r="63" spans="1:9">
      <c r="A63" t="str">
        <f>'NBN Removal'!A7</f>
        <v>NBN Co Removal SA</v>
      </c>
      <c r="B63" s="241" t="str">
        <f>'NBN Removal'!C7</f>
        <v>kWh</v>
      </c>
      <c r="C63" s="241" t="str">
        <f>'NBN Removal'!D7</f>
        <v>N/A</v>
      </c>
      <c r="D63" s="241">
        <f>'NBN Removal'!E7</f>
        <v>-5628388.4004000006</v>
      </c>
      <c r="E63" s="241">
        <f>'NBN Removal'!F7</f>
        <v>-20262.198241440001</v>
      </c>
      <c r="F63" s="8">
        <f>'NBN Removal'!G7</f>
        <v>0</v>
      </c>
      <c r="G63" s="8">
        <f>'NBN Removal'!H7</f>
        <v>-2420207.012172</v>
      </c>
      <c r="H63" s="8">
        <f>'NBN Removal'!I7</f>
        <v>-506554.95603600005</v>
      </c>
      <c r="I63" s="5">
        <f>'NBN Removal'!J7</f>
        <v>-2926761.9682080001</v>
      </c>
    </row>
    <row r="64" spans="1:9">
      <c r="A64" t="str">
        <f>'NBN Removal'!A8</f>
        <v>NBN Co Removal TAS</v>
      </c>
      <c r="B64" s="241" t="str">
        <f>'NBN Removal'!C8</f>
        <v>kWh</v>
      </c>
      <c r="C64" s="241" t="str">
        <f>'NBN Removal'!D8</f>
        <v>N/A</v>
      </c>
      <c r="D64" s="241">
        <f>'NBN Removal'!E8</f>
        <v>-2282765.173</v>
      </c>
      <c r="E64" s="241">
        <f>'NBN Removal'!F8</f>
        <v>-8217.9546227999999</v>
      </c>
      <c r="F64" s="8">
        <f>'NBN Removal'!G8</f>
        <v>0</v>
      </c>
      <c r="G64" s="8">
        <f>'NBN Removal'!H8</f>
        <v>-388070.07941000001</v>
      </c>
      <c r="H64" s="8">
        <f>'NBN Removal'!I8</f>
        <v>-45655.303460000003</v>
      </c>
      <c r="I64" s="5">
        <f>'NBN Removal'!J8</f>
        <v>-433725.38287000003</v>
      </c>
    </row>
    <row r="65" spans="1:9">
      <c r="A65" t="str">
        <f>'NBN Removal'!A9</f>
        <v>NBN Co Removal VIC</v>
      </c>
      <c r="B65" s="241" t="str">
        <f>'NBN Removal'!C9</f>
        <v>kWh</v>
      </c>
      <c r="C65" s="241" t="str">
        <f>'NBN Removal'!D9</f>
        <v>N/A</v>
      </c>
      <c r="D65" s="241">
        <f>'NBN Removal'!E9</f>
        <v>-19548747.833499998</v>
      </c>
      <c r="E65" s="241">
        <f>'NBN Removal'!F9</f>
        <v>-70375.492200599983</v>
      </c>
      <c r="F65" s="8">
        <f>'NBN Removal'!G9</f>
        <v>0</v>
      </c>
      <c r="G65" s="8">
        <f>'NBN Removal'!H9</f>
        <v>-19157772.876829997</v>
      </c>
      <c r="H65" s="8">
        <f>'NBN Removal'!I9</f>
        <v>-2150362.2616849998</v>
      </c>
      <c r="I65" s="5">
        <f>'NBN Removal'!J9</f>
        <v>-21308135.138514996</v>
      </c>
    </row>
    <row r="66" spans="1:9">
      <c r="A66" t="str">
        <f>'NBN Removal'!A10</f>
        <v>NBN Co Removal WA</v>
      </c>
      <c r="B66" s="241" t="str">
        <f>'NBN Removal'!C10</f>
        <v>kWh</v>
      </c>
      <c r="C66" s="241" t="str">
        <f>'NBN Removal'!D10</f>
        <v>N/A</v>
      </c>
      <c r="D66" s="241">
        <f>'NBN Removal'!E10</f>
        <v>-7055148.1730000004</v>
      </c>
      <c r="E66" s="241">
        <f>'NBN Removal'!F10</f>
        <v>-25398.533422799999</v>
      </c>
      <c r="F66" s="8">
        <f>'NBN Removal'!G10</f>
        <v>0</v>
      </c>
      <c r="G66" s="8">
        <f>'NBN Removal'!H10</f>
        <v>-4797500.7576400004</v>
      </c>
      <c r="H66" s="8">
        <f>'NBN Removal'!I10</f>
        <v>-141102.96346</v>
      </c>
      <c r="I66" s="5">
        <f>'NBN Removal'!J10</f>
        <v>-4938603.7211000007</v>
      </c>
    </row>
    <row r="67" spans="1:9">
      <c r="A67" s="25"/>
      <c r="B67" s="39"/>
      <c r="C67" s="39"/>
      <c r="D67" s="39"/>
      <c r="E67" s="39"/>
      <c r="F67" s="205"/>
      <c r="G67" s="205"/>
      <c r="H67" s="205"/>
      <c r="I67" s="38"/>
    </row>
    <row r="69" spans="1:9">
      <c r="A69" s="36" t="s">
        <v>750</v>
      </c>
      <c r="B69" s="71" t="s">
        <v>649</v>
      </c>
      <c r="C69" s="71" t="s">
        <v>684</v>
      </c>
      <c r="D69" s="71" t="s">
        <v>650</v>
      </c>
      <c r="E69" s="71" t="s">
        <v>651</v>
      </c>
      <c r="F69" s="204" t="s">
        <v>652</v>
      </c>
      <c r="G69" s="204" t="s">
        <v>653</v>
      </c>
      <c r="H69" s="204" t="s">
        <v>654</v>
      </c>
      <c r="I69" s="199" t="s">
        <v>751</v>
      </c>
    </row>
    <row r="70" spans="1:9">
      <c r="A70" t="str">
        <f>'Telstra BCA'!A3</f>
        <v>Telstra services on BCA Sites ACT</v>
      </c>
      <c r="B70" t="str">
        <f>'Telstra BCA'!C3</f>
        <v>kWh</v>
      </c>
      <c r="C70" t="str">
        <f>'Telstra BCA'!D3</f>
        <v>N/A</v>
      </c>
      <c r="D70" s="8">
        <f>'Telstra BCA'!E3</f>
        <v>0</v>
      </c>
      <c r="E70" s="8">
        <f>'Telstra BCA'!F3</f>
        <v>0</v>
      </c>
      <c r="F70" s="8">
        <f>'Telstra BCA'!G3</f>
        <v>0</v>
      </c>
      <c r="G70" s="8">
        <f>'Telstra BCA'!H3</f>
        <v>0</v>
      </c>
      <c r="H70" s="8">
        <f>'Telstra BCA'!I3</f>
        <v>0</v>
      </c>
      <c r="I70" s="8">
        <f>'Telstra BCA'!J3</f>
        <v>0</v>
      </c>
    </row>
    <row r="71" spans="1:9">
      <c r="A71" t="str">
        <f>'Telstra BCA'!A4</f>
        <v>Telstra services on BCA Sites NSW</v>
      </c>
      <c r="B71" t="str">
        <f>'Telstra BCA'!C4</f>
        <v>kWh</v>
      </c>
      <c r="C71" t="str">
        <f>'Telstra BCA'!D4</f>
        <v>N/A</v>
      </c>
      <c r="D71" s="8">
        <f>'Telstra BCA'!E4</f>
        <v>879335.93046640581</v>
      </c>
      <c r="E71" s="8">
        <f>'Telstra BCA'!F4</f>
        <v>3165.6093496790609</v>
      </c>
      <c r="F71" s="8">
        <f>'Telstra BCA'!G4</f>
        <v>0</v>
      </c>
      <c r="G71" s="8">
        <f>'Telstra BCA'!H4</f>
        <v>712262.10367778875</v>
      </c>
      <c r="H71" s="8">
        <f>'Telstra BCA'!I4</f>
        <v>79140.233741976524</v>
      </c>
      <c r="I71" s="8">
        <f>'Telstra BCA'!J4</f>
        <v>791402.3374197653</v>
      </c>
    </row>
    <row r="72" spans="1:9">
      <c r="A72" t="str">
        <f>'Telstra BCA'!A5</f>
        <v>Telstra services on BCA Sites NT</v>
      </c>
      <c r="B72" t="str">
        <f>'Telstra BCA'!C5</f>
        <v>kWh</v>
      </c>
      <c r="C72" t="str">
        <f>'Telstra BCA'!D5</f>
        <v>N/A</v>
      </c>
      <c r="D72" s="8">
        <f>'Telstra BCA'!E5</f>
        <v>19301.337913846153</v>
      </c>
      <c r="E72" s="8">
        <f>'Telstra BCA'!F5</f>
        <v>69.484816489846153</v>
      </c>
      <c r="F72" s="8">
        <f>'Telstra BCA'!G5</f>
        <v>0</v>
      </c>
      <c r="G72" s="8">
        <f>'Telstra BCA'!H5</f>
        <v>11966.829506584614</v>
      </c>
      <c r="H72" s="8">
        <f>'Telstra BCA'!I5</f>
        <v>1351.0936539692309</v>
      </c>
      <c r="I72" s="8">
        <f>'Telstra BCA'!J5</f>
        <v>13317.923160553844</v>
      </c>
    </row>
    <row r="73" spans="1:9">
      <c r="A73" t="str">
        <f>'Telstra BCA'!A6</f>
        <v>Telstra services on BCA Sites QLD</v>
      </c>
      <c r="B73" t="str">
        <f>'Telstra BCA'!C6</f>
        <v>kWh</v>
      </c>
      <c r="C73" t="str">
        <f>'Telstra BCA'!D6</f>
        <v>N/A</v>
      </c>
      <c r="D73" s="8">
        <f>'Telstra BCA'!E6</f>
        <v>355695.11463636975</v>
      </c>
      <c r="E73" s="8">
        <f>'Telstra BCA'!F6</f>
        <v>1280.5024126909311</v>
      </c>
      <c r="F73" s="8">
        <f>'Telstra BCA'!G6</f>
        <v>0</v>
      </c>
      <c r="G73" s="8">
        <f>'Telstra BCA'!H6</f>
        <v>288113.0428554595</v>
      </c>
      <c r="H73" s="8">
        <f>'Telstra BCA'!I6</f>
        <v>42683.413756364367</v>
      </c>
      <c r="I73" s="8">
        <f>'Telstra BCA'!J6</f>
        <v>330796.45661182387</v>
      </c>
    </row>
    <row r="74" spans="1:9">
      <c r="A74" t="str">
        <f>'Telstra BCA'!A7</f>
        <v>Telstra services on BCA Sites SA</v>
      </c>
      <c r="B74" t="str">
        <f>'Telstra BCA'!C7</f>
        <v>kWh</v>
      </c>
      <c r="C74" t="str">
        <f>'Telstra BCA'!D7</f>
        <v>N/A</v>
      </c>
      <c r="D74" s="8">
        <f>'Telstra BCA'!E7</f>
        <v>130244.99399999998</v>
      </c>
      <c r="E74" s="8">
        <f>'Telstra BCA'!F7</f>
        <v>468.88197839999992</v>
      </c>
      <c r="F74" s="8">
        <f>'Telstra BCA'!G7</f>
        <v>0</v>
      </c>
      <c r="G74" s="8">
        <f>'Telstra BCA'!H7</f>
        <v>56005.347419999991</v>
      </c>
      <c r="H74" s="8">
        <f>'Telstra BCA'!I7</f>
        <v>11722.049459999998</v>
      </c>
      <c r="I74" s="8">
        <f>'Telstra BCA'!J7</f>
        <v>67727.396879999986</v>
      </c>
    </row>
    <row r="75" spans="1:9">
      <c r="A75" t="str">
        <f>'Telstra BCA'!A8</f>
        <v>Telstra services on BCA Sites TAS</v>
      </c>
      <c r="B75" t="str">
        <f>'Telstra BCA'!C8</f>
        <v>kWh</v>
      </c>
      <c r="C75" t="str">
        <f>'Telstra BCA'!D8</f>
        <v>N/A</v>
      </c>
      <c r="D75" s="8">
        <f>'Telstra BCA'!E8</f>
        <v>50305.967405882358</v>
      </c>
      <c r="E75" s="8">
        <f>'Telstra BCA'!F8</f>
        <v>181.10148266117648</v>
      </c>
      <c r="F75" s="8">
        <f>'Telstra BCA'!G8</f>
        <v>0</v>
      </c>
      <c r="G75" s="8">
        <f>'Telstra BCA'!H8</f>
        <v>8552.0144590000018</v>
      </c>
      <c r="H75" s="8">
        <f>'Telstra BCA'!I8</f>
        <v>1006.1193481176472</v>
      </c>
      <c r="I75" s="8">
        <f>'Telstra BCA'!J8</f>
        <v>9558.1338071176488</v>
      </c>
    </row>
    <row r="76" spans="1:9">
      <c r="A76" t="str">
        <f>'Telstra BCA'!A9</f>
        <v>Telstra services on BCA Sites VIC</v>
      </c>
      <c r="B76" t="str">
        <f>'Telstra BCA'!C9</f>
        <v>kWh</v>
      </c>
      <c r="C76" t="str">
        <f>'Telstra BCA'!D9</f>
        <v>N/A</v>
      </c>
      <c r="D76" s="8">
        <f>'Telstra BCA'!E9</f>
        <v>510705.33473094652</v>
      </c>
      <c r="E76" s="8">
        <f>'Telstra BCA'!F9</f>
        <v>1838.5392050314074</v>
      </c>
      <c r="F76" s="8">
        <f>'Telstra BCA'!G9</f>
        <v>0</v>
      </c>
      <c r="G76" s="8">
        <f>'Telstra BCA'!H9</f>
        <v>500491.22803632758</v>
      </c>
      <c r="H76" s="8">
        <f>'Telstra BCA'!I9</f>
        <v>56177.586820404118</v>
      </c>
      <c r="I76" s="8">
        <f>'Telstra BCA'!J9</f>
        <v>556668.81485673168</v>
      </c>
    </row>
    <row r="77" spans="1:9">
      <c r="A77" t="str">
        <f>'Telstra BCA'!A10</f>
        <v>Telstra services on BCA Sites WA</v>
      </c>
      <c r="B77" t="str">
        <f>'Telstra BCA'!C10</f>
        <v>kWh</v>
      </c>
      <c r="C77" t="str">
        <f>'Telstra BCA'!D10</f>
        <v>N/A</v>
      </c>
      <c r="D77" s="8">
        <f>'Telstra BCA'!E10</f>
        <v>365415.06917622831</v>
      </c>
      <c r="E77" s="8">
        <f>'Telstra BCA'!F10</f>
        <v>1315.494249034422</v>
      </c>
      <c r="F77" s="8">
        <f>'Telstra BCA'!G10</f>
        <v>0</v>
      </c>
      <c r="G77" s="8">
        <f>'Telstra BCA'!H10</f>
        <v>248482.24703983526</v>
      </c>
      <c r="H77" s="8">
        <f>'Telstra BCA'!I10</f>
        <v>7308.3013835245665</v>
      </c>
      <c r="I77" s="8">
        <f>'Telstra BCA'!J10</f>
        <v>255790.54842335984</v>
      </c>
    </row>
    <row r="78" spans="1:9">
      <c r="A78" s="25"/>
      <c r="B78" s="25"/>
      <c r="C78" s="25"/>
      <c r="D78" s="25"/>
      <c r="E78" s="25"/>
      <c r="F78" s="205"/>
      <c r="G78" s="205"/>
      <c r="H78" s="205"/>
      <c r="I78" s="38"/>
    </row>
    <row r="80" spans="1:9">
      <c r="A80" s="36" t="s">
        <v>750</v>
      </c>
      <c r="B80" s="71" t="s">
        <v>649</v>
      </c>
      <c r="C80" s="71" t="s">
        <v>684</v>
      </c>
      <c r="D80" s="71" t="s">
        <v>650</v>
      </c>
      <c r="E80" s="71" t="s">
        <v>651</v>
      </c>
      <c r="F80" s="204" t="s">
        <v>652</v>
      </c>
      <c r="G80" s="204" t="s">
        <v>653</v>
      </c>
      <c r="H80" s="204" t="s">
        <v>654</v>
      </c>
      <c r="I80" s="199" t="s">
        <v>751</v>
      </c>
    </row>
    <row r="81" spans="1:9">
      <c r="A81" t="str">
        <f>'Percentage Estimates 21'!A4</f>
        <v>Estimates Electricity ACT</v>
      </c>
      <c r="B81" s="241" t="str">
        <f>'Percentage Estimates 21'!G4</f>
        <v>kWh</v>
      </c>
      <c r="C81" s="241" t="str">
        <f>'Percentage Estimates 21'!H4</f>
        <v>N/A</v>
      </c>
      <c r="D81" s="241">
        <f>'Percentage Estimates 21'!I4</f>
        <v>77837.450657894733</v>
      </c>
      <c r="E81" s="241">
        <f>'Percentage Estimates 21'!J4</f>
        <v>280.21482236842104</v>
      </c>
      <c r="F81" s="8">
        <f>'Percentage Estimates 21'!K4</f>
        <v>0</v>
      </c>
      <c r="G81" s="8">
        <f>'Percentage Estimates 21'!L4</f>
        <v>63048.335032894734</v>
      </c>
      <c r="H81" s="8">
        <f>'Percentage Estimates 21'!M4</f>
        <v>7005.3705592105262</v>
      </c>
      <c r="I81" s="5">
        <f>'Percentage Estimates 21'!N4</f>
        <v>70053.705592105267</v>
      </c>
    </row>
    <row r="82" spans="1:9">
      <c r="A82" t="str">
        <f>'Percentage Estimates 21'!A5</f>
        <v>Estimates Electricity NSW</v>
      </c>
      <c r="B82" s="241" t="str">
        <f>'Percentage Estimates 21'!G5</f>
        <v>kWh</v>
      </c>
      <c r="C82" s="241" t="str">
        <f>'Percentage Estimates 21'!H5</f>
        <v>N/A</v>
      </c>
      <c r="D82" s="241">
        <f>'Percentage Estimates 21'!I5</f>
        <v>402138.0311842105</v>
      </c>
      <c r="E82" s="241">
        <f>'Percentage Estimates 21'!J5</f>
        <v>1447.6969122631579</v>
      </c>
      <c r="F82" s="8">
        <f>'Percentage Estimates 21'!K5</f>
        <v>0</v>
      </c>
      <c r="G82" s="8">
        <f>'Percentage Estimates 21'!L5</f>
        <v>325731.80525921052</v>
      </c>
      <c r="H82" s="8">
        <f>'Percentage Estimates 21'!M5</f>
        <v>36192.422806578943</v>
      </c>
      <c r="I82" s="5">
        <f>'Percentage Estimates 21'!N5</f>
        <v>361924.22806578944</v>
      </c>
    </row>
    <row r="83" spans="1:9">
      <c r="A83" t="str">
        <f>'Percentage Estimates 21'!A6</f>
        <v>Estimates Electricity QLD</v>
      </c>
      <c r="B83" s="241" t="str">
        <f>'Percentage Estimates 21'!G6</f>
        <v>kWh</v>
      </c>
      <c r="C83" s="241" t="str">
        <f>'Percentage Estimates 21'!H6</f>
        <v>N/A</v>
      </c>
      <c r="D83" s="241">
        <f>'Percentage Estimates 21'!I6</f>
        <v>72552.465789473688</v>
      </c>
      <c r="E83" s="241">
        <f>'Percentage Estimates 21'!J6</f>
        <v>261.18887684210529</v>
      </c>
      <c r="F83" s="8">
        <f>'Percentage Estimates 21'!K6</f>
        <v>0</v>
      </c>
      <c r="G83" s="8">
        <f>'Percentage Estimates 21'!L6</f>
        <v>58767.497289473693</v>
      </c>
      <c r="H83" s="8">
        <f>'Percentage Estimates 21'!M6</f>
        <v>8706.2958947368425</v>
      </c>
      <c r="I83" s="5">
        <f>'Percentage Estimates 21'!N6</f>
        <v>67473.793184210532</v>
      </c>
    </row>
    <row r="84" spans="1:9">
      <c r="A84" t="str">
        <f>'Percentage Estimates 21'!A7</f>
        <v>Estimates Electricity SA</v>
      </c>
      <c r="B84" s="241" t="str">
        <f>'Percentage Estimates 21'!G7</f>
        <v>kWh</v>
      </c>
      <c r="C84" s="241" t="str">
        <f>'Percentage Estimates 21'!H7</f>
        <v>N/A</v>
      </c>
      <c r="D84" s="241">
        <f>'Percentage Estimates 21'!I7</f>
        <v>7344.0740000000005</v>
      </c>
      <c r="E84" s="241">
        <f>'Percentage Estimates 21'!J7</f>
        <v>26.438666400000002</v>
      </c>
      <c r="F84" s="8">
        <f>'Percentage Estimates 21'!K7</f>
        <v>0</v>
      </c>
      <c r="G84" s="8">
        <f>'Percentage Estimates 21'!L7</f>
        <v>3157.9518200000002</v>
      </c>
      <c r="H84" s="8">
        <f>'Percentage Estimates 21'!M7</f>
        <v>660.96666000000005</v>
      </c>
      <c r="I84" s="5">
        <f>'Percentage Estimates 21'!N7</f>
        <v>3818.9184800000003</v>
      </c>
    </row>
    <row r="85" spans="1:9">
      <c r="A85" t="str">
        <f>'Percentage Estimates 21'!A8</f>
        <v>Estimates Electricity VIC</v>
      </c>
      <c r="B85" s="241" t="str">
        <f>'Percentage Estimates 21'!G8</f>
        <v>kWh</v>
      </c>
      <c r="C85" s="241" t="str">
        <f>'Percentage Estimates 21'!H8</f>
        <v>N/A</v>
      </c>
      <c r="D85" s="241">
        <f>'Percentage Estimates 21'!I8</f>
        <v>650385.60624834325</v>
      </c>
      <c r="E85" s="241">
        <f>'Percentage Estimates 21'!J8</f>
        <v>2341.3881824940358</v>
      </c>
      <c r="F85" s="8">
        <f>'Percentage Estimates 21'!K8</f>
        <v>0</v>
      </c>
      <c r="G85" s="8">
        <f>'Percentage Estimates 21'!L8</f>
        <v>637377.89412337635</v>
      </c>
      <c r="H85" s="8">
        <f>'Percentage Estimates 21'!M8</f>
        <v>71542.41668731776</v>
      </c>
      <c r="I85" s="5">
        <f>'Percentage Estimates 21'!N8</f>
        <v>708920.31081069412</v>
      </c>
    </row>
    <row r="86" spans="1:9">
      <c r="A86" t="str">
        <f>'Percentage Estimates 21'!A9</f>
        <v>Estimates Electricity WA</v>
      </c>
      <c r="B86" s="241" t="str">
        <f>'Percentage Estimates 21'!G9</f>
        <v>kWh</v>
      </c>
      <c r="C86" s="241" t="str">
        <f>'Percentage Estimates 21'!H9</f>
        <v>N/A</v>
      </c>
      <c r="D86" s="241">
        <f>'Percentage Estimates 21'!I9</f>
        <v>38829.60317460318</v>
      </c>
      <c r="E86" s="241">
        <f>'Percentage Estimates 21'!J9</f>
        <v>139.78657142857145</v>
      </c>
      <c r="F86" s="8">
        <f>'Percentage Estimates 21'!K9</f>
        <v>0</v>
      </c>
      <c r="G86" s="8">
        <f>'Percentage Estimates 21'!L9</f>
        <v>26404.130158730164</v>
      </c>
      <c r="H86" s="8">
        <f>'Percentage Estimates 21'!M9</f>
        <v>776.59206349206363</v>
      </c>
      <c r="I86" s="5">
        <f>'Percentage Estimates 21'!N9</f>
        <v>27180.722222222226</v>
      </c>
    </row>
    <row r="87" spans="1:9">
      <c r="A87" t="str">
        <f>'Percentage Estimates 21'!A10</f>
        <v>Estimates Non-transport Gas VIC</v>
      </c>
      <c r="B87" s="241" t="str">
        <f>'Percentage Estimates 21'!G10</f>
        <v>GJ</v>
      </c>
      <c r="C87" s="241" t="str">
        <f>'Percentage Estimates 21'!H10</f>
        <v>BBB</v>
      </c>
      <c r="D87" s="241">
        <f>'Percentage Estimates 21'!I10</f>
        <v>639.7719201509625</v>
      </c>
      <c r="E87" s="241">
        <f>'Percentage Estimates 21'!J10</f>
        <v>639.7719201509625</v>
      </c>
      <c r="F87" s="8">
        <f>'Percentage Estimates 21'!K10</f>
        <v>32967.4470453791</v>
      </c>
      <c r="G87" s="8">
        <f>'Percentage Estimates 21'!L10</f>
        <v>0</v>
      </c>
      <c r="H87" s="8">
        <f>'Percentage Estimates 21'!M10</f>
        <v>2495.1104885887535</v>
      </c>
      <c r="I87" s="5">
        <f>'Percentage Estimates 21'!N10</f>
        <v>35462.557533967854</v>
      </c>
    </row>
    <row r="88" spans="1:9">
      <c r="A88" t="str">
        <f>'Percentage Estimates 21'!A11</f>
        <v>Estimates Non-transport Diesel NSW</v>
      </c>
      <c r="B88" s="241" t="str">
        <f>'Percentage Estimates 21'!G11</f>
        <v>kL</v>
      </c>
      <c r="C88" s="241" t="str">
        <f>'Percentage Estimates 21'!H11</f>
        <v>BBB</v>
      </c>
      <c r="D88" s="241">
        <f>'Percentage Estimates 21'!I11</f>
        <v>6.2278100999999984</v>
      </c>
      <c r="E88" s="241">
        <f>'Percentage Estimates 21'!J11</f>
        <v>240.39346985999995</v>
      </c>
      <c r="F88" s="8">
        <f>'Percentage Estimates 21'!K11</f>
        <v>16875.621584171997</v>
      </c>
      <c r="G88" s="8">
        <f>'Percentage Estimates 21'!L11</f>
        <v>0</v>
      </c>
      <c r="H88" s="8">
        <f>'Percentage Estimates 21'!M11</f>
        <v>865.41649149599982</v>
      </c>
      <c r="I88" s="5">
        <f>'Percentage Estimates 21'!N11</f>
        <v>17741.038075667995</v>
      </c>
    </row>
    <row r="89" spans="1:9">
      <c r="A89" t="str">
        <f>'Percentage Estimates 21'!A12</f>
        <v>Estimates Transport Diesel ACT</v>
      </c>
      <c r="B89" s="241" t="str">
        <f>'Percentage Estimates 21'!G12</f>
        <v>kL</v>
      </c>
      <c r="C89" s="241" t="str">
        <f>'Percentage Estimates 21'!H12</f>
        <v>BBB</v>
      </c>
      <c r="D89" s="241">
        <f>'Percentage Estimates 21'!I12</f>
        <v>11.571999999999999</v>
      </c>
      <c r="E89" s="241">
        <f>'Percentage Estimates 21'!J12</f>
        <v>446.67919999999998</v>
      </c>
      <c r="F89" s="8">
        <f>'Percentage Estimates 21'!K12</f>
        <v>31450.682472000004</v>
      </c>
      <c r="G89" s="8">
        <f>'Percentage Estimates 21'!L12</f>
        <v>0</v>
      </c>
      <c r="H89" s="8">
        <f>'Percentage Estimates 21'!M12</f>
        <v>1608.04512</v>
      </c>
      <c r="I89" s="5">
        <f>'Percentage Estimates 21'!N12</f>
        <v>33058.727592000003</v>
      </c>
    </row>
    <row r="90" spans="1:9">
      <c r="A90" t="str">
        <f>'Percentage Estimates 21'!A13</f>
        <v>Estimates Transport Diesel NSW</v>
      </c>
      <c r="B90" s="241" t="str">
        <f>'Percentage Estimates 21'!G13</f>
        <v>kL</v>
      </c>
      <c r="C90" s="241" t="str">
        <f>'Percentage Estimates 21'!H13</f>
        <v>BBB</v>
      </c>
      <c r="D90" s="241">
        <f>'Percentage Estimates 21'!I13</f>
        <v>101.00722989999997</v>
      </c>
      <c r="E90" s="241">
        <f>'Percentage Estimates 21'!J13</f>
        <v>3898.8790741399989</v>
      </c>
      <c r="F90" s="8">
        <f>'Percentage Estimates 21'!K13</f>
        <v>274520.07561019738</v>
      </c>
      <c r="G90" s="8">
        <f>'Percentage Estimates 21'!L13</f>
        <v>0</v>
      </c>
      <c r="H90" s="8">
        <f>'Percentage Estimates 21'!M13</f>
        <v>14035.964666903996</v>
      </c>
      <c r="I90" s="5">
        <f>'Percentage Estimates 21'!N13</f>
        <v>288556.04027710139</v>
      </c>
    </row>
    <row r="91" spans="1:9">
      <c r="A91" t="str">
        <f>'Percentage Estimates 21'!A14</f>
        <v>Estimates Transport Diesel QLD</v>
      </c>
      <c r="B91" s="241" t="str">
        <f>'Percentage Estimates 21'!G14</f>
        <v>kL</v>
      </c>
      <c r="C91" s="241" t="str">
        <f>'Percentage Estimates 21'!H14</f>
        <v>BBB</v>
      </c>
      <c r="D91" s="241">
        <f>'Percentage Estimates 21'!I14</f>
        <v>22.600999999999999</v>
      </c>
      <c r="E91" s="241">
        <f>'Percentage Estimates 21'!J14</f>
        <v>872.39859999999999</v>
      </c>
      <c r="F91" s="8">
        <f>'Percentage Estimates 21'!K14</f>
        <v>61425.585426000005</v>
      </c>
      <c r="G91" s="8">
        <f>'Percentage Estimates 21'!L14</f>
        <v>0</v>
      </c>
      <c r="H91" s="8">
        <f>'Percentage Estimates 21'!M14</f>
        <v>3140.6349599999999</v>
      </c>
      <c r="I91" s="5">
        <f>'Percentage Estimates 21'!N14</f>
        <v>64566.220386000008</v>
      </c>
    </row>
    <row r="92" spans="1:9">
      <c r="A92" t="str">
        <f>'Percentage Estimates 21'!A15</f>
        <v>Estimates Transport Diesel VIC</v>
      </c>
      <c r="B92" s="241" t="str">
        <f>'Percentage Estimates 21'!G15</f>
        <v>kL</v>
      </c>
      <c r="C92" s="241" t="str">
        <f>'Percentage Estimates 21'!H15</f>
        <v>BBB</v>
      </c>
      <c r="D92" s="241">
        <f>'Percentage Estimates 21'!I15</f>
        <v>36.962000000000003</v>
      </c>
      <c r="E92" s="241">
        <f>'Percentage Estimates 21'!J15</f>
        <v>1426.7332000000001</v>
      </c>
      <c r="F92" s="8">
        <f>'Percentage Estimates 21'!K15</f>
        <v>100456.28461200002</v>
      </c>
      <c r="G92" s="8">
        <f>'Percentage Estimates 21'!L15</f>
        <v>0</v>
      </c>
      <c r="H92" s="8">
        <f>'Percentage Estimates 21'!M15</f>
        <v>5136.239520000001</v>
      </c>
      <c r="I92" s="5">
        <f>'Percentage Estimates 21'!N15</f>
        <v>105592.52413200002</v>
      </c>
    </row>
    <row r="93" spans="1:9">
      <c r="A93" t="str">
        <f>'Percentage Estimates 21'!A16</f>
        <v>Estimates Transport Diesel WA</v>
      </c>
      <c r="B93" s="241" t="str">
        <f>'Percentage Estimates 21'!G16</f>
        <v>kL</v>
      </c>
      <c r="C93" s="241" t="str">
        <f>'Percentage Estimates 21'!H16</f>
        <v>BBB</v>
      </c>
      <c r="D93" s="241">
        <f>'Percentage Estimates 21'!I16</f>
        <v>20.841799999999999</v>
      </c>
      <c r="E93" s="241">
        <f>'Percentage Estimates 21'!J16</f>
        <v>804.49347999999998</v>
      </c>
      <c r="F93" s="8">
        <f>'Percentage Estimates 21'!K16</f>
        <v>56644.385926800009</v>
      </c>
      <c r="G93" s="8">
        <f>'Percentage Estimates 21'!L16</f>
        <v>0</v>
      </c>
      <c r="H93" s="8">
        <f>'Percentage Estimates 21'!M16</f>
        <v>2896.176528</v>
      </c>
      <c r="I93" s="5">
        <f>'Percentage Estimates 21'!N16</f>
        <v>59540.562454800005</v>
      </c>
    </row>
    <row r="94" spans="1:9">
      <c r="A94" t="str">
        <f>'Percentage Estimates 21'!A17</f>
        <v>Estimates Transport Petrol NSW</v>
      </c>
      <c r="B94" s="241" t="str">
        <f>'Percentage Estimates 21'!G17</f>
        <v>kL</v>
      </c>
      <c r="C94" s="241" t="str">
        <f>'Percentage Estimates 21'!H17</f>
        <v>BBB</v>
      </c>
      <c r="D94" s="241">
        <f>'Percentage Estimates 21'!I17</f>
        <v>22.584440000000001</v>
      </c>
      <c r="E94" s="241">
        <f>'Percentage Estimates 21'!J17</f>
        <v>772.38784800000008</v>
      </c>
      <c r="F94" s="8">
        <f>'Percentage Estimates 21'!K17</f>
        <v>52228.866281760005</v>
      </c>
      <c r="G94" s="8">
        <f>'Percentage Estimates 21'!L17</f>
        <v>0</v>
      </c>
      <c r="H94" s="8">
        <f>'Percentage Estimates 21'!M17</f>
        <v>2780.5962528000005</v>
      </c>
      <c r="I94" s="5">
        <f>'Percentage Estimates 21'!N17</f>
        <v>55009.462534560007</v>
      </c>
    </row>
    <row r="95" spans="1:9">
      <c r="A95" t="str">
        <f>'Percentage Estimates 21'!A18</f>
        <v>Estimates Transport Petrol QLD</v>
      </c>
      <c r="B95" s="241" t="str">
        <f>'Percentage Estimates 21'!G18</f>
        <v>kL</v>
      </c>
      <c r="C95" s="241" t="str">
        <f>'Percentage Estimates 21'!H18</f>
        <v>BBB</v>
      </c>
      <c r="D95" s="241">
        <f>'Percentage Estimates 21'!I18</f>
        <v>7.4206799999999991</v>
      </c>
      <c r="E95" s="241">
        <f>'Percentage Estimates 21'!J18</f>
        <v>253.78725599999999</v>
      </c>
      <c r="F95" s="8">
        <f>'Percentage Estimates 21'!K18</f>
        <v>17161.094250720002</v>
      </c>
      <c r="G95" s="8">
        <f>'Percentage Estimates 21'!L18</f>
        <v>0</v>
      </c>
      <c r="H95" s="8">
        <f>'Percentage Estimates 21'!M18</f>
        <v>913.63412159999996</v>
      </c>
      <c r="I95" s="5">
        <f>'Percentage Estimates 21'!N18</f>
        <v>18074.728372320002</v>
      </c>
    </row>
    <row r="96" spans="1:9">
      <c r="A96" t="str">
        <f>'Percentage Estimates 21'!A19</f>
        <v>Estimates Transport Petrol VIC</v>
      </c>
      <c r="B96" s="241" t="str">
        <f>'Percentage Estimates 21'!G19</f>
        <v>kL</v>
      </c>
      <c r="C96" s="241" t="str">
        <f>'Percentage Estimates 21'!H19</f>
        <v>BBB</v>
      </c>
      <c r="D96" s="241">
        <f>'Percentage Estimates 21'!I19</f>
        <v>15.856159999999999</v>
      </c>
      <c r="E96" s="241">
        <f>'Percentage Estimates 21'!J19</f>
        <v>542.28067199999998</v>
      </c>
      <c r="F96" s="8">
        <f>'Percentage Estimates 21'!K19</f>
        <v>36669.01904064</v>
      </c>
      <c r="G96" s="8">
        <f>'Percentage Estimates 21'!L19</f>
        <v>0</v>
      </c>
      <c r="H96" s="8">
        <f>'Percentage Estimates 21'!M19</f>
        <v>1952.2104191999999</v>
      </c>
      <c r="I96" s="5">
        <f>'Percentage Estimates 21'!N19</f>
        <v>38621.229459839997</v>
      </c>
    </row>
    <row r="97" spans="1:9">
      <c r="A97" t="str">
        <f>'Percentage Estimates 21'!A20</f>
        <v>Estimates Transport Petrol WA</v>
      </c>
      <c r="B97" s="241" t="str">
        <f>'Percentage Estimates 21'!G20</f>
        <v>kL</v>
      </c>
      <c r="C97" s="241" t="str">
        <f>'Percentage Estimates 21'!H20</f>
        <v>BBB</v>
      </c>
      <c r="D97" s="241">
        <f>'Percentage Estimates 21'!I20</f>
        <v>2.8568399999999996</v>
      </c>
      <c r="E97" s="241">
        <f>'Percentage Estimates 21'!J20</f>
        <v>97.703927999999991</v>
      </c>
      <c r="F97" s="8">
        <f>'Percentage Estimates 21'!K20</f>
        <v>6606.7396113599998</v>
      </c>
      <c r="G97" s="8">
        <f>'Percentage Estimates 21'!L20</f>
        <v>0</v>
      </c>
      <c r="H97" s="8">
        <f>'Percentage Estimates 21'!M20</f>
        <v>351.73414079999998</v>
      </c>
      <c r="I97" s="5">
        <f>'Percentage Estimates 21'!N20</f>
        <v>6958.47375216</v>
      </c>
    </row>
    <row r="98" spans="1:9">
      <c r="A98" s="25"/>
      <c r="B98" s="39"/>
      <c r="C98" s="39"/>
      <c r="D98" s="39"/>
      <c r="E98" s="39"/>
      <c r="F98" s="205"/>
      <c r="G98" s="205"/>
      <c r="H98" s="205"/>
      <c r="I98" s="38"/>
    </row>
    <row r="100" spans="1:9">
      <c r="A100" s="36" t="s">
        <v>750</v>
      </c>
      <c r="B100" s="71" t="s">
        <v>649</v>
      </c>
      <c r="C100" s="71" t="s">
        <v>684</v>
      </c>
      <c r="D100" s="71" t="s">
        <v>650</v>
      </c>
      <c r="E100" s="71" t="s">
        <v>651</v>
      </c>
      <c r="F100" s="204" t="s">
        <v>652</v>
      </c>
      <c r="G100" s="204" t="s">
        <v>653</v>
      </c>
      <c r="H100" s="204" t="s">
        <v>654</v>
      </c>
      <c r="I100" s="199" t="s">
        <v>751</v>
      </c>
    </row>
    <row r="101" spans="1:9">
      <c r="A101" t="str">
        <f>'EnviziGas Data'!A3</f>
        <v>Data Centre Gas VIC A</v>
      </c>
      <c r="B101" t="str">
        <f>'EnviziGas Data'!D3</f>
        <v>MJ</v>
      </c>
      <c r="C101" t="str">
        <f>'EnviziGas Data'!E3</f>
        <v>A</v>
      </c>
      <c r="D101">
        <f>'EnviziGas Data'!F3</f>
        <v>706570.09830000007</v>
      </c>
      <c r="E101">
        <f>'EnviziGas Data'!G3</f>
        <v>706.57009830000004</v>
      </c>
      <c r="F101" s="8">
        <f>'EnviziGas Data'!H3</f>
        <v>36409.557165399005</v>
      </c>
      <c r="G101" s="8">
        <f>'EnviziGas Data'!I3</f>
        <v>0</v>
      </c>
      <c r="H101" s="8">
        <f>'EnviziGas Data'!J3</f>
        <v>2755.6233833700003</v>
      </c>
      <c r="I101" s="5">
        <f>'EnviziGas Data'!K3</f>
        <v>39165.180548769007</v>
      </c>
    </row>
    <row r="102" spans="1:9">
      <c r="A102" t="str">
        <f>'EnviziGas Data'!A4</f>
        <v>Residence Gas ACT A</v>
      </c>
      <c r="B102" t="str">
        <f>'EnviziGas Data'!D4</f>
        <v>MJ</v>
      </c>
      <c r="C102" t="str">
        <f>'EnviziGas Data'!E4</f>
        <v>A</v>
      </c>
      <c r="D102">
        <f>'EnviziGas Data'!F4</f>
        <v>0</v>
      </c>
      <c r="E102">
        <f>'EnviziGas Data'!G4</f>
        <v>0</v>
      </c>
      <c r="F102" s="8">
        <f>'EnviziGas Data'!H4</f>
        <v>0</v>
      </c>
      <c r="G102" s="8">
        <f>'EnviziGas Data'!I4</f>
        <v>0</v>
      </c>
      <c r="H102" s="8">
        <f>'EnviziGas Data'!J4</f>
        <v>0</v>
      </c>
      <c r="I102" s="5">
        <f>'EnviziGas Data'!K4</f>
        <v>0</v>
      </c>
    </row>
    <row r="103" spans="1:9">
      <c r="A103" t="str">
        <f>'EnviziGas Data'!A5</f>
        <v>Telstra Office Accommodation Gas VIC A</v>
      </c>
      <c r="B103" t="str">
        <f>'EnviziGas Data'!D5</f>
        <v>MJ</v>
      </c>
      <c r="C103" t="str">
        <f>'EnviziGas Data'!E5</f>
        <v>A</v>
      </c>
      <c r="D103">
        <f>'EnviziGas Data'!F5</f>
        <v>6373531.4940999998</v>
      </c>
      <c r="E103">
        <f>'EnviziGas Data'!G5</f>
        <v>6373.5314940999997</v>
      </c>
      <c r="F103" s="8">
        <f>'EnviziGas Data'!H5</f>
        <v>328428.07789097301</v>
      </c>
      <c r="G103" s="8">
        <f>'EnviziGas Data'!I5</f>
        <v>0</v>
      </c>
      <c r="H103" s="8">
        <f>'EnviziGas Data'!J5</f>
        <v>24856.77282699</v>
      </c>
      <c r="I103" s="5">
        <f>'EnviziGas Data'!K5</f>
        <v>353284.85071796301</v>
      </c>
    </row>
    <row r="104" spans="1:9">
      <c r="A104" t="str">
        <f>'EnviziGas Data'!A7</f>
        <v>TNA Gas NSW A</v>
      </c>
      <c r="B104" t="str">
        <f>'EnviziGas Data'!D7</f>
        <v>MJ</v>
      </c>
      <c r="C104" t="str">
        <f>'EnviziGas Data'!E7</f>
        <v>A</v>
      </c>
      <c r="D104">
        <f>'EnviziGas Data'!F7</f>
        <v>6097.7156000000004</v>
      </c>
      <c r="E104">
        <f>'EnviziGas Data'!G7</f>
        <v>6.0977156000000008</v>
      </c>
      <c r="F104" s="8">
        <f>'EnviziGas Data'!H7</f>
        <v>314.21528486800003</v>
      </c>
      <c r="G104" s="8">
        <f>'EnviziGas Data'!I7</f>
        <v>0</v>
      </c>
      <c r="H104" s="8">
        <f>'EnviziGas Data'!J7</f>
        <v>78.050759680000013</v>
      </c>
      <c r="I104" s="5">
        <f>'EnviziGas Data'!K7</f>
        <v>392.26604454800002</v>
      </c>
    </row>
    <row r="105" spans="1:9">
      <c r="A105" t="str">
        <f>'EnviziGas Data'!A8</f>
        <v>TNA Gas SA A</v>
      </c>
      <c r="B105" t="str">
        <f>'EnviziGas Data'!D8</f>
        <v>MJ</v>
      </c>
      <c r="C105" t="str">
        <f>'EnviziGas Data'!E8</f>
        <v>A</v>
      </c>
      <c r="D105">
        <f>'EnviziGas Data'!F8</f>
        <v>0</v>
      </c>
      <c r="E105">
        <f>'EnviziGas Data'!G8</f>
        <v>0</v>
      </c>
      <c r="F105" s="8">
        <f>'EnviziGas Data'!H8</f>
        <v>0</v>
      </c>
      <c r="G105" s="8">
        <f>'EnviziGas Data'!I8</f>
        <v>0</v>
      </c>
      <c r="H105" s="8">
        <f>'EnviziGas Data'!J8</f>
        <v>0</v>
      </c>
      <c r="I105" s="5">
        <f>'EnviziGas Data'!K8</f>
        <v>0</v>
      </c>
    </row>
    <row r="106" spans="1:9">
      <c r="A106" t="str">
        <f>'EnviziGas Data'!A9</f>
        <v>TNA Gas VIC A</v>
      </c>
      <c r="B106" t="str">
        <f>'EnviziGas Data'!D9</f>
        <v>MJ</v>
      </c>
      <c r="C106" t="str">
        <f>'EnviziGas Data'!E9</f>
        <v>A</v>
      </c>
      <c r="D106">
        <f>'EnviziGas Data'!F9</f>
        <v>3409196.9224999994</v>
      </c>
      <c r="E106">
        <f>'EnviziGas Data'!G9</f>
        <v>3409.1969224999993</v>
      </c>
      <c r="F106" s="8">
        <f>'EnviziGas Data'!H9</f>
        <v>175675.91741642496</v>
      </c>
      <c r="G106" s="8">
        <f>'EnviziGas Data'!I9</f>
        <v>0</v>
      </c>
      <c r="H106" s="8">
        <f>'EnviziGas Data'!J9</f>
        <v>13295.867997749998</v>
      </c>
      <c r="I106" s="5">
        <f>'EnviziGas Data'!K9</f>
        <v>188971.78541417496</v>
      </c>
    </row>
    <row r="107" spans="1:9">
      <c r="A107" t="str">
        <f>'EnviziGas Data'!A10</f>
        <v>Data Centre Gas VIC BBB</v>
      </c>
      <c r="B107" t="str">
        <f>'EnviziGas Data'!D10</f>
        <v>MJ</v>
      </c>
      <c r="C107" t="str">
        <f>'EnviziGas Data'!E10</f>
        <v>BBB</v>
      </c>
      <c r="D107">
        <f>'EnviziGas Data'!F10</f>
        <v>150712.5276</v>
      </c>
      <c r="E107">
        <f>'EnviziGas Data'!G10</f>
        <v>150.71252760000002</v>
      </c>
      <c r="F107" s="8">
        <f>'EnviziGas Data'!H10</f>
        <v>7766.2165472280012</v>
      </c>
      <c r="G107" s="8">
        <f>'EnviziGas Data'!I10</f>
        <v>0</v>
      </c>
      <c r="H107" s="8">
        <f>'EnviziGas Data'!J10</f>
        <v>587.77885764000007</v>
      </c>
      <c r="I107" s="5">
        <f>'EnviziGas Data'!K10</f>
        <v>8353.9954048680011</v>
      </c>
    </row>
    <row r="108" spans="1:9">
      <c r="A108" t="str">
        <f>'EnviziGas Data'!A11</f>
        <v>Residence Gas ACT BBB</v>
      </c>
      <c r="B108" t="str">
        <f>'EnviziGas Data'!D11</f>
        <v>MJ</v>
      </c>
      <c r="C108" t="str">
        <f>'EnviziGas Data'!E11</f>
        <v>BBB</v>
      </c>
      <c r="D108">
        <f>'EnviziGas Data'!F11</f>
        <v>0</v>
      </c>
      <c r="E108">
        <f>'EnviziGas Data'!G11</f>
        <v>0</v>
      </c>
      <c r="F108" s="8">
        <f>'EnviziGas Data'!H11</f>
        <v>0</v>
      </c>
      <c r="G108" s="8">
        <f>'EnviziGas Data'!I11</f>
        <v>0</v>
      </c>
      <c r="H108" s="8">
        <f>'EnviziGas Data'!J11</f>
        <v>0</v>
      </c>
      <c r="I108" s="5">
        <f>'EnviziGas Data'!K11</f>
        <v>0</v>
      </c>
    </row>
    <row r="109" spans="1:9">
      <c r="A109" t="str">
        <f>'EnviziGas Data'!A12</f>
        <v>Telstra Office Accommodation Gas VIC BBB</v>
      </c>
      <c r="B109" t="str">
        <f>'EnviziGas Data'!D12</f>
        <v>MJ</v>
      </c>
      <c r="C109" t="str">
        <f>'EnviziGas Data'!E12</f>
        <v>BBB</v>
      </c>
      <c r="D109">
        <f>'EnviziGas Data'!F12</f>
        <v>1587941.2077999997</v>
      </c>
      <c r="E109">
        <f>'EnviziGas Data'!G12</f>
        <v>1587.9412077999998</v>
      </c>
      <c r="F109" s="8">
        <f>'EnviziGas Data'!H12</f>
        <v>81826.610437933996</v>
      </c>
      <c r="G109" s="8">
        <f>'EnviziGas Data'!I12</f>
        <v>0</v>
      </c>
      <c r="H109" s="8">
        <f>'EnviziGas Data'!J12</f>
        <v>6192.9707104199988</v>
      </c>
      <c r="I109" s="5">
        <f>'EnviziGas Data'!K12</f>
        <v>88019.581148353987</v>
      </c>
    </row>
    <row r="110" spans="1:9">
      <c r="A110" t="str">
        <f>'EnviziGas Data'!A14</f>
        <v>TNA Gas NSW BBB</v>
      </c>
      <c r="B110" t="str">
        <f>'EnviziGas Data'!D14</f>
        <v>MJ</v>
      </c>
      <c r="C110" t="str">
        <f>'EnviziGas Data'!E14</f>
        <v>BBB</v>
      </c>
      <c r="D110">
        <f>'EnviziGas Data'!F14</f>
        <v>1669.8690000000001</v>
      </c>
      <c r="E110">
        <f>'EnviziGas Data'!G14</f>
        <v>1.6698690000000003</v>
      </c>
      <c r="F110" s="8">
        <f>'EnviziGas Data'!H14</f>
        <v>86.048349570000013</v>
      </c>
      <c r="G110" s="8">
        <f>'EnviziGas Data'!I14</f>
        <v>0</v>
      </c>
      <c r="H110" s="8">
        <f>'EnviziGas Data'!J14</f>
        <v>21.374323200000006</v>
      </c>
      <c r="I110" s="5">
        <f>'EnviziGas Data'!K14</f>
        <v>107.42267277000002</v>
      </c>
    </row>
    <row r="111" spans="1:9">
      <c r="A111" t="str">
        <f>'EnviziGas Data'!A15</f>
        <v>TNA Gas SA BBB</v>
      </c>
      <c r="B111" t="str">
        <f>'EnviziGas Data'!D15</f>
        <v>MJ</v>
      </c>
      <c r="C111" t="str">
        <f>'EnviziGas Data'!E15</f>
        <v>BBB</v>
      </c>
      <c r="D111">
        <f>'EnviziGas Data'!F15</f>
        <v>0</v>
      </c>
      <c r="E111">
        <f>'EnviziGas Data'!G15</f>
        <v>0</v>
      </c>
      <c r="F111" s="8">
        <f>'EnviziGas Data'!H15</f>
        <v>0</v>
      </c>
      <c r="G111" s="8">
        <f>'EnviziGas Data'!I15</f>
        <v>0</v>
      </c>
      <c r="H111" s="8">
        <f>'EnviziGas Data'!J15</f>
        <v>0</v>
      </c>
      <c r="I111" s="5">
        <f>'EnviziGas Data'!K15</f>
        <v>0</v>
      </c>
    </row>
    <row r="112" spans="1:9">
      <c r="A112" t="str">
        <f>'EnviziGas Data'!A16</f>
        <v>TNA Gas VIC BBB</v>
      </c>
      <c r="B112" t="str">
        <f>'EnviziGas Data'!D16</f>
        <v>MJ</v>
      </c>
      <c r="C112" t="str">
        <f>'EnviziGas Data'!E16</f>
        <v>BBB</v>
      </c>
      <c r="D112">
        <f>'EnviziGas Data'!F16</f>
        <v>1332450.0844000003</v>
      </c>
      <c r="E112">
        <f>'EnviziGas Data'!G16</f>
        <v>1332.4500844000004</v>
      </c>
      <c r="F112" s="8">
        <f>'EnviziGas Data'!H16</f>
        <v>68661.15284913202</v>
      </c>
      <c r="G112" s="8">
        <f>'EnviziGas Data'!I16</f>
        <v>0</v>
      </c>
      <c r="H112" s="8">
        <f>'EnviziGas Data'!J16</f>
        <v>5196.5553291600017</v>
      </c>
      <c r="I112" s="5">
        <f>'EnviziGas Data'!K16</f>
        <v>73857.708178292029</v>
      </c>
    </row>
    <row r="113" spans="1:9">
      <c r="A113" s="25"/>
      <c r="B113" s="25"/>
      <c r="C113" s="25"/>
      <c r="D113" s="25"/>
      <c r="E113" s="25"/>
      <c r="F113" s="205"/>
      <c r="G113" s="205"/>
      <c r="H113" s="205"/>
      <c r="I113" s="38"/>
    </row>
    <row r="116" spans="1:9">
      <c r="A116" s="36" t="s">
        <v>750</v>
      </c>
      <c r="B116" s="71" t="s">
        <v>649</v>
      </c>
      <c r="C116" s="71" t="s">
        <v>684</v>
      </c>
      <c r="D116" s="71" t="s">
        <v>650</v>
      </c>
      <c r="E116" s="71" t="s">
        <v>651</v>
      </c>
      <c r="F116" s="204" t="s">
        <v>652</v>
      </c>
      <c r="G116" s="204" t="s">
        <v>653</v>
      </c>
      <c r="H116" s="204" t="s">
        <v>654</v>
      </c>
      <c r="I116" s="199" t="s">
        <v>751</v>
      </c>
    </row>
    <row r="117" spans="1:9">
      <c r="A117" t="str">
        <f>Solar!B3</f>
        <v>Solar Generation ACT</v>
      </c>
      <c r="B117" t="str">
        <f>Solar!K3</f>
        <v>kWh</v>
      </c>
      <c r="C117" t="str">
        <f>Solar!L3</f>
        <v>BBB</v>
      </c>
      <c r="D117">
        <f>Solar!M3</f>
        <v>55930.706000000006</v>
      </c>
      <c r="E117">
        <f>Solar!N3</f>
        <v>201.35054160000001</v>
      </c>
      <c r="F117" s="8">
        <f>Solar!O3</f>
        <v>0</v>
      </c>
      <c r="G117" s="8">
        <f>Solar!P3</f>
        <v>0</v>
      </c>
      <c r="H117" s="8">
        <f>Solar!Q3</f>
        <v>0</v>
      </c>
      <c r="I117" s="5">
        <f>Solar!R3</f>
        <v>0</v>
      </c>
    </row>
    <row r="118" spans="1:9">
      <c r="A118" t="str">
        <f>Solar!B4</f>
        <v>Solar Generation NSW</v>
      </c>
      <c r="B118" t="str">
        <f>Solar!K4</f>
        <v>kWh</v>
      </c>
      <c r="C118" t="str">
        <f>Solar!L4</f>
        <v>BBB</v>
      </c>
      <c r="D118">
        <f>Solar!M4</f>
        <v>1014981.8930000027</v>
      </c>
      <c r="E118">
        <f>Solar!N4</f>
        <v>3653.9348148000095</v>
      </c>
      <c r="F118" s="8">
        <f>Solar!O4</f>
        <v>0</v>
      </c>
      <c r="G118" s="8">
        <f>Solar!P4</f>
        <v>0</v>
      </c>
      <c r="H118" s="8">
        <f>Solar!Q4</f>
        <v>0</v>
      </c>
      <c r="I118" s="5">
        <f>Solar!R4</f>
        <v>0</v>
      </c>
    </row>
    <row r="119" spans="1:9">
      <c r="A119" t="str">
        <f>Solar!B5</f>
        <v>Solar Generation NT</v>
      </c>
      <c r="B119" t="str">
        <f>Solar!K5</f>
        <v>kWh</v>
      </c>
      <c r="C119" t="str">
        <f>Solar!L5</f>
        <v>BBB</v>
      </c>
      <c r="D119">
        <f>Solar!M5</f>
        <v>1491084.953999998</v>
      </c>
      <c r="E119">
        <f>Solar!N5</f>
        <v>5367.9058343999932</v>
      </c>
      <c r="F119" s="8">
        <f>Solar!O5</f>
        <v>0</v>
      </c>
      <c r="G119" s="8">
        <f>Solar!P5</f>
        <v>0</v>
      </c>
      <c r="H119" s="8">
        <f>Solar!Q5</f>
        <v>0</v>
      </c>
      <c r="I119" s="5">
        <f>Solar!R5</f>
        <v>0</v>
      </c>
    </row>
    <row r="120" spans="1:9">
      <c r="A120" t="str">
        <f>Solar!B6</f>
        <v>Solar Generation QLD</v>
      </c>
      <c r="B120" t="str">
        <f>Solar!K6</f>
        <v>kWh</v>
      </c>
      <c r="C120" t="str">
        <f>Solar!L6</f>
        <v>BBB</v>
      </c>
      <c r="D120">
        <f>Solar!M6</f>
        <v>2851749.3266666858</v>
      </c>
      <c r="E120">
        <f>Solar!N6</f>
        <v>10266.297576000068</v>
      </c>
      <c r="F120" s="8">
        <f>Solar!O6</f>
        <v>0</v>
      </c>
      <c r="G120" s="8">
        <f>Solar!P6</f>
        <v>0</v>
      </c>
      <c r="H120" s="8">
        <f>Solar!Q6</f>
        <v>0</v>
      </c>
      <c r="I120" s="5">
        <f>Solar!R6</f>
        <v>0</v>
      </c>
    </row>
    <row r="121" spans="1:9">
      <c r="A121" t="str">
        <f>Solar!B7</f>
        <v>Solar Generation SA</v>
      </c>
      <c r="B121" t="str">
        <f>Solar!K7</f>
        <v>kWh</v>
      </c>
      <c r="C121" t="str">
        <f>Solar!L7</f>
        <v>BBB</v>
      </c>
      <c r="D121">
        <f>Solar!M7</f>
        <v>667433.51999999851</v>
      </c>
      <c r="E121">
        <f>Solar!N7</f>
        <v>2402.7606719999944</v>
      </c>
      <c r="F121" s="8">
        <f>Solar!O7</f>
        <v>0</v>
      </c>
      <c r="G121" s="8">
        <f>Solar!P7</f>
        <v>0</v>
      </c>
      <c r="H121" s="8">
        <f>Solar!Q7</f>
        <v>0</v>
      </c>
      <c r="I121" s="5">
        <f>Solar!R7</f>
        <v>0</v>
      </c>
    </row>
    <row r="122" spans="1:9">
      <c r="A122" t="str">
        <f>Solar!B8</f>
        <v>Solar Generation TAS</v>
      </c>
      <c r="B122" t="str">
        <f>Solar!K8</f>
        <v>kWh</v>
      </c>
      <c r="C122" t="str">
        <f>Solar!L8</f>
        <v>BBB</v>
      </c>
      <c r="D122">
        <f>Solar!M8</f>
        <v>17561.69999999999</v>
      </c>
      <c r="E122">
        <f>Solar!N8</f>
        <v>63.222119999999961</v>
      </c>
      <c r="F122" s="8">
        <f>Solar!O8</f>
        <v>0</v>
      </c>
      <c r="G122" s="8">
        <f>Solar!P8</f>
        <v>0</v>
      </c>
      <c r="H122" s="8">
        <f>Solar!Q8</f>
        <v>0</v>
      </c>
      <c r="I122" s="5">
        <f>Solar!R8</f>
        <v>0</v>
      </c>
    </row>
    <row r="123" spans="1:9">
      <c r="A123" t="str">
        <f>Solar!B9</f>
        <v>Solar Generation VIC</v>
      </c>
      <c r="B123" t="str">
        <f>Solar!K9</f>
        <v>kWh</v>
      </c>
      <c r="C123" t="str">
        <f>Solar!L9</f>
        <v>BBB</v>
      </c>
      <c r="D123">
        <f>Solar!M9</f>
        <v>980290.9625599999</v>
      </c>
      <c r="E123">
        <f>Solar!N9</f>
        <v>3529.0474652159996</v>
      </c>
      <c r="F123" s="8">
        <f>Solar!O9</f>
        <v>0</v>
      </c>
      <c r="G123" s="8">
        <f>Solar!P9</f>
        <v>0</v>
      </c>
      <c r="H123" s="8">
        <f>Solar!Q9</f>
        <v>0</v>
      </c>
      <c r="I123" s="5">
        <f>Solar!R9</f>
        <v>0</v>
      </c>
    </row>
    <row r="124" spans="1:9">
      <c r="A124" t="str">
        <f>Solar!B10</f>
        <v>Solar Generation WA</v>
      </c>
      <c r="B124" t="str">
        <f>Solar!K10</f>
        <v>kWh</v>
      </c>
      <c r="C124" t="str">
        <f>Solar!L10</f>
        <v>BBB</v>
      </c>
      <c r="D124">
        <f>Solar!M10</f>
        <v>3338585.8770000166</v>
      </c>
      <c r="E124">
        <f>Solar!N10</f>
        <v>12018.90915720006</v>
      </c>
      <c r="F124" s="8">
        <f>Solar!O10</f>
        <v>0</v>
      </c>
      <c r="G124" s="8">
        <f>Solar!P10</f>
        <v>0</v>
      </c>
      <c r="H124" s="8">
        <f>Solar!Q10</f>
        <v>0</v>
      </c>
      <c r="I124" s="5">
        <f>Solar!R10</f>
        <v>0</v>
      </c>
    </row>
    <row r="125" spans="1:9">
      <c r="A125" s="25"/>
      <c r="B125" s="25"/>
      <c r="C125" s="25"/>
      <c r="D125" s="25"/>
      <c r="E125" s="25"/>
      <c r="F125" s="205"/>
      <c r="G125" s="205"/>
      <c r="H125" s="205"/>
      <c r="I125" s="38"/>
    </row>
    <row r="127" spans="1:9">
      <c r="A127" s="36" t="s">
        <v>750</v>
      </c>
      <c r="B127" s="71" t="s">
        <v>649</v>
      </c>
      <c r="C127" s="71" t="s">
        <v>684</v>
      </c>
      <c r="D127" s="71" t="s">
        <v>650</v>
      </c>
      <c r="E127" s="71" t="s">
        <v>651</v>
      </c>
      <c r="F127" s="204" t="s">
        <v>652</v>
      </c>
      <c r="G127" s="204" t="s">
        <v>653</v>
      </c>
      <c r="H127" s="204" t="s">
        <v>654</v>
      </c>
      <c r="I127" s="199" t="s">
        <v>751</v>
      </c>
    </row>
    <row r="128" spans="1:9">
      <c r="A128" t="str">
        <f>AVIS!A4</f>
        <v>Avis Hire Cars TNA Diesel post 04 ACT</v>
      </c>
      <c r="B128" t="str">
        <f>AVIS!J4</f>
        <v>KL</v>
      </c>
      <c r="C128" t="str">
        <f>AVIS!K4</f>
        <v>BBB</v>
      </c>
      <c r="D128">
        <f>AVIS!L4</f>
        <v>0</v>
      </c>
      <c r="E128">
        <f>AVIS!M4</f>
        <v>0</v>
      </c>
      <c r="F128" s="8">
        <f>AVIS!N4</f>
        <v>0</v>
      </c>
      <c r="G128" s="8">
        <f>AVIS!O4</f>
        <v>0</v>
      </c>
      <c r="H128" s="8">
        <f>AVIS!P4</f>
        <v>0</v>
      </c>
      <c r="I128" s="5">
        <f>AVIS!Q4</f>
        <v>0</v>
      </c>
    </row>
    <row r="129" spans="1:9">
      <c r="A129" t="str">
        <f>AVIS!A5</f>
        <v>Avis Hire Cars TNA Diesel post 04 NSW</v>
      </c>
      <c r="B129" t="str">
        <f>AVIS!J5</f>
        <v>KL</v>
      </c>
      <c r="C129" t="str">
        <f>AVIS!K5</f>
        <v>BBB</v>
      </c>
      <c r="D129">
        <f>AVIS!L5</f>
        <v>9.1600000000000015E-2</v>
      </c>
      <c r="E129">
        <f>AVIS!M5</f>
        <v>3.5357600000000007</v>
      </c>
      <c r="F129" s="8">
        <f>AVIS!N5</f>
        <v>249.30643760000007</v>
      </c>
      <c r="G129" s="8">
        <f>AVIS!O5</f>
        <v>0</v>
      </c>
      <c r="H129" s="8">
        <f>AVIS!P5</f>
        <v>12.728736000000003</v>
      </c>
      <c r="I129" s="5">
        <f>AVIS!Q5</f>
        <v>262.03517360000006</v>
      </c>
    </row>
    <row r="130" spans="1:9">
      <c r="A130" t="str">
        <f>AVIS!A6</f>
        <v>Avis Hire Cars TNA Diesel post 04 NT</v>
      </c>
      <c r="B130" t="str">
        <f>AVIS!J6</f>
        <v>KL</v>
      </c>
      <c r="C130" t="str">
        <f>AVIS!K6</f>
        <v>BBB</v>
      </c>
      <c r="D130">
        <f>AVIS!L6</f>
        <v>0.45657799999999993</v>
      </c>
      <c r="E130">
        <f>AVIS!M6</f>
        <v>17.623910799999997</v>
      </c>
      <c r="F130" s="8">
        <f>AVIS!N6</f>
        <v>1242.6619505079998</v>
      </c>
      <c r="G130" s="8">
        <f>AVIS!O6</f>
        <v>0</v>
      </c>
      <c r="H130" s="8">
        <f>AVIS!P6</f>
        <v>63.446078879999995</v>
      </c>
      <c r="I130" s="5">
        <f>AVIS!Q6</f>
        <v>1306.1080293879997</v>
      </c>
    </row>
    <row r="131" spans="1:9">
      <c r="A131" t="str">
        <f>AVIS!A7</f>
        <v>Avis Hire Cars TNA Diesel post 04 QLD</v>
      </c>
      <c r="B131" t="str">
        <f>AVIS!J7</f>
        <v>KL</v>
      </c>
      <c r="C131" t="str">
        <f>AVIS!K7</f>
        <v>BBB</v>
      </c>
      <c r="D131">
        <f>AVIS!L7</f>
        <v>0.34904000000000002</v>
      </c>
      <c r="E131">
        <f>AVIS!M7</f>
        <v>13.472944000000002</v>
      </c>
      <c r="F131" s="8">
        <f>AVIS!N7</f>
        <v>949.97728144000018</v>
      </c>
      <c r="G131" s="8">
        <f>AVIS!O7</f>
        <v>0</v>
      </c>
      <c r="H131" s="8">
        <f>AVIS!P7</f>
        <v>48.502598400000011</v>
      </c>
      <c r="I131" s="5">
        <f>AVIS!Q7</f>
        <v>998.47987984000019</v>
      </c>
    </row>
    <row r="132" spans="1:9">
      <c r="A132" t="str">
        <f>AVIS!A8</f>
        <v>Avis Hire Cars TNA Diesel post 04 SA</v>
      </c>
      <c r="B132" t="str">
        <f>AVIS!J8</f>
        <v>KL</v>
      </c>
      <c r="C132" t="str">
        <f>AVIS!K8</f>
        <v>BBB</v>
      </c>
      <c r="D132">
        <f>AVIS!L8</f>
        <v>0.314222</v>
      </c>
      <c r="E132">
        <f>AVIS!M8</f>
        <v>12.1289692</v>
      </c>
      <c r="F132" s="8">
        <f>AVIS!N8</f>
        <v>855.21361829200009</v>
      </c>
      <c r="G132" s="8">
        <f>AVIS!O8</f>
        <v>0</v>
      </c>
      <c r="H132" s="8">
        <f>AVIS!P8</f>
        <v>43.664289119999999</v>
      </c>
      <c r="I132" s="5">
        <f>AVIS!Q8</f>
        <v>898.87790741200013</v>
      </c>
    </row>
    <row r="133" spans="1:9">
      <c r="A133" t="str">
        <f>AVIS!A9</f>
        <v>Avis Hire Cars TNA Diesel post 04 TAS</v>
      </c>
      <c r="B133" t="str">
        <f>AVIS!J9</f>
        <v>KL</v>
      </c>
      <c r="C133" t="str">
        <f>AVIS!K9</f>
        <v>BBB</v>
      </c>
      <c r="D133">
        <f>AVIS!L9</f>
        <v>0.55135999999999996</v>
      </c>
      <c r="E133">
        <f>AVIS!M9</f>
        <v>21.282495999999998</v>
      </c>
      <c r="F133" s="8">
        <f>AVIS!N9</f>
        <v>1500.6287929600001</v>
      </c>
      <c r="G133" s="8">
        <f>AVIS!O9</f>
        <v>0</v>
      </c>
      <c r="H133" s="8">
        <f>AVIS!P9</f>
        <v>76.616985599999992</v>
      </c>
      <c r="I133" s="5">
        <f>AVIS!Q9</f>
        <v>1577.24577856</v>
      </c>
    </row>
    <row r="134" spans="1:9">
      <c r="A134" t="str">
        <f>AVIS!A10</f>
        <v>Avis Hire Cars TNA Diesel post 04 VIC</v>
      </c>
      <c r="B134" t="str">
        <f>AVIS!J10</f>
        <v>KL</v>
      </c>
      <c r="C134" t="str">
        <f>AVIS!K10</f>
        <v>BBB</v>
      </c>
      <c r="D134">
        <f>AVIS!L10</f>
        <v>0.23023999999999997</v>
      </c>
      <c r="E134">
        <f>AVIS!M10</f>
        <v>8.8872640000000001</v>
      </c>
      <c r="F134" s="8">
        <f>AVIS!N10</f>
        <v>626.64098464000006</v>
      </c>
      <c r="G134" s="8">
        <f>AVIS!O10</f>
        <v>0</v>
      </c>
      <c r="H134" s="8">
        <f>AVIS!P10</f>
        <v>31.994150400000002</v>
      </c>
      <c r="I134" s="5">
        <f>AVIS!Q10</f>
        <v>658.63513504000002</v>
      </c>
    </row>
    <row r="135" spans="1:9">
      <c r="A135" t="str">
        <f>AVIS!A11</f>
        <v>Avis Hire Cars TNA Diesel post 04 WA</v>
      </c>
      <c r="B135" t="str">
        <f>AVIS!J11</f>
        <v>KL</v>
      </c>
      <c r="C135" t="str">
        <f>AVIS!K11</f>
        <v>BBB</v>
      </c>
      <c r="D135">
        <f>AVIS!L11</f>
        <v>0.11432</v>
      </c>
      <c r="E135">
        <f>AVIS!M11</f>
        <v>4.4127520000000002</v>
      </c>
      <c r="F135" s="8">
        <f>AVIS!N11</f>
        <v>311.14314352000002</v>
      </c>
      <c r="G135" s="8">
        <f>AVIS!O11</f>
        <v>0</v>
      </c>
      <c r="H135" s="8">
        <f>AVIS!P11</f>
        <v>15.885907200000002</v>
      </c>
      <c r="I135" s="5">
        <f>AVIS!Q11</f>
        <v>327.02905072000004</v>
      </c>
    </row>
    <row r="136" spans="1:9">
      <c r="A136" t="str">
        <f>AVIS!A12</f>
        <v>Avis Hire Cars TNA Petrol post 04 ACT</v>
      </c>
      <c r="B136" t="str">
        <f>AVIS!J12</f>
        <v>KL</v>
      </c>
      <c r="C136" t="str">
        <f>AVIS!K12</f>
        <v>BBB</v>
      </c>
      <c r="D136">
        <f>AVIS!L12</f>
        <v>1.209829</v>
      </c>
      <c r="E136">
        <f>AVIS!M12</f>
        <v>41.376151800000002</v>
      </c>
      <c r="F136" s="8">
        <f>AVIS!N12</f>
        <v>2797.8553847160006</v>
      </c>
      <c r="G136" s="8">
        <f>AVIS!O12</f>
        <v>0</v>
      </c>
      <c r="H136" s="8">
        <f>AVIS!P12</f>
        <v>148.95414648000002</v>
      </c>
      <c r="I136" s="5">
        <f>AVIS!Q12</f>
        <v>2946.8095311960005</v>
      </c>
    </row>
    <row r="137" spans="1:9">
      <c r="A137" t="str">
        <f>AVIS!A13</f>
        <v>Avis Hire Cars TNA Petrol post 04 NSW</v>
      </c>
      <c r="B137" t="str">
        <f>AVIS!J13</f>
        <v>KL</v>
      </c>
      <c r="C137" t="str">
        <f>AVIS!K13</f>
        <v>BBB</v>
      </c>
      <c r="D137">
        <f>AVIS!L13</f>
        <v>3.523282</v>
      </c>
      <c r="E137">
        <f>AVIS!M13</f>
        <v>120.49624440000001</v>
      </c>
      <c r="F137" s="8">
        <f>AVIS!N13</f>
        <v>8147.9560463280013</v>
      </c>
      <c r="G137" s="8">
        <f>AVIS!O13</f>
        <v>0</v>
      </c>
      <c r="H137" s="8">
        <f>AVIS!P13</f>
        <v>433.78647984000003</v>
      </c>
      <c r="I137" s="5">
        <f>AVIS!Q13</f>
        <v>8581.7425261680019</v>
      </c>
    </row>
    <row r="138" spans="1:9">
      <c r="A138" t="str">
        <f>AVIS!A14</f>
        <v>Avis Hire Cars TNA Petrol post 04 NT</v>
      </c>
      <c r="B138" t="str">
        <f>AVIS!J14</f>
        <v>KL</v>
      </c>
      <c r="C138" t="str">
        <f>AVIS!K14</f>
        <v>BBB</v>
      </c>
      <c r="D138">
        <f>AVIS!L14</f>
        <v>1.0454600000000001</v>
      </c>
      <c r="E138">
        <f>AVIS!M14</f>
        <v>35.754732000000004</v>
      </c>
      <c r="F138" s="8">
        <f>AVIS!N14</f>
        <v>2417.7349778400003</v>
      </c>
      <c r="G138" s="8">
        <f>AVIS!O14</f>
        <v>0</v>
      </c>
      <c r="H138" s="8">
        <f>AVIS!P14</f>
        <v>128.71703520000003</v>
      </c>
      <c r="I138" s="5">
        <f>AVIS!Q14</f>
        <v>2546.4520130400001</v>
      </c>
    </row>
    <row r="139" spans="1:9">
      <c r="A139" t="str">
        <f>AVIS!A15</f>
        <v>Avis Hire Cars TNA Petrol post 04 QLD</v>
      </c>
      <c r="B139" t="str">
        <f>AVIS!J15</f>
        <v>KL</v>
      </c>
      <c r="C139" t="str">
        <f>AVIS!K15</f>
        <v>BBB</v>
      </c>
      <c r="D139">
        <f>AVIS!L15</f>
        <v>8.4273975181472274</v>
      </c>
      <c r="E139">
        <f>AVIS!M15</f>
        <v>288.2169951206352</v>
      </c>
      <c r="F139" s="8">
        <f>AVIS!N15</f>
        <v>19489.233210057355</v>
      </c>
      <c r="G139" s="8">
        <f>AVIS!O15</f>
        <v>0</v>
      </c>
      <c r="H139" s="8">
        <f>AVIS!P15</f>
        <v>1037.5811824342868</v>
      </c>
      <c r="I139" s="5">
        <f>AVIS!Q15</f>
        <v>20526.81439249164</v>
      </c>
    </row>
    <row r="140" spans="1:9">
      <c r="A140" t="str">
        <f>AVIS!A16</f>
        <v>Avis Hire Cars TNA Petrol post 04 SA</v>
      </c>
      <c r="B140" t="str">
        <f>AVIS!J16</f>
        <v>KL</v>
      </c>
      <c r="C140" t="str">
        <f>AVIS!K16</f>
        <v>BBB</v>
      </c>
      <c r="D140">
        <f>AVIS!L16</f>
        <v>1.8659700000000004</v>
      </c>
      <c r="E140">
        <f>AVIS!M16</f>
        <v>63.816174000000018</v>
      </c>
      <c r="F140" s="8">
        <f>AVIS!N16</f>
        <v>4315.2496858800014</v>
      </c>
      <c r="G140" s="8">
        <f>AVIS!O16</f>
        <v>0</v>
      </c>
      <c r="H140" s="8">
        <f>AVIS!P16</f>
        <v>229.73822640000006</v>
      </c>
      <c r="I140" s="5">
        <f>AVIS!Q16</f>
        <v>4544.9879122800012</v>
      </c>
    </row>
    <row r="141" spans="1:9">
      <c r="A141" t="str">
        <f>AVIS!A17</f>
        <v>Avis Hire Cars TNA Petrol post 04 TAS</v>
      </c>
      <c r="B141" t="str">
        <f>AVIS!J17</f>
        <v>KL</v>
      </c>
      <c r="C141" t="str">
        <f>AVIS!K17</f>
        <v>BBB</v>
      </c>
      <c r="D141">
        <f>AVIS!L17</f>
        <v>3.6508249999999993</v>
      </c>
      <c r="E141">
        <f>AVIS!M17</f>
        <v>124.85821499999999</v>
      </c>
      <c r="F141" s="8">
        <f>AVIS!N17</f>
        <v>8442.9124983000002</v>
      </c>
      <c r="G141" s="8">
        <f>AVIS!O17</f>
        <v>0</v>
      </c>
      <c r="H141" s="8">
        <f>AVIS!P17</f>
        <v>449.48957399999995</v>
      </c>
      <c r="I141" s="5">
        <f>AVIS!Q17</f>
        <v>8892.4020722999994</v>
      </c>
    </row>
    <row r="142" spans="1:9">
      <c r="A142" t="str">
        <f>AVIS!A18</f>
        <v>Avis Hire Cars TNA Petrol post 04 VIC</v>
      </c>
      <c r="B142" t="str">
        <f>AVIS!J18</f>
        <v>KL</v>
      </c>
      <c r="C142" t="str">
        <f>AVIS!K18</f>
        <v>BBB</v>
      </c>
      <c r="D142">
        <f>AVIS!L18</f>
        <v>9.5476029999999987</v>
      </c>
      <c r="E142">
        <f>AVIS!M18</f>
        <v>326.52802259999999</v>
      </c>
      <c r="F142" s="8">
        <f>AVIS!N18</f>
        <v>22079.824888211999</v>
      </c>
      <c r="G142" s="8">
        <f>AVIS!O18</f>
        <v>0</v>
      </c>
      <c r="H142" s="8">
        <f>AVIS!P18</f>
        <v>1175.50088136</v>
      </c>
      <c r="I142" s="5">
        <f>AVIS!Q18</f>
        <v>23255.325769571999</v>
      </c>
    </row>
    <row r="143" spans="1:9">
      <c r="A143" t="str">
        <f>AVIS!A19</f>
        <v>Avis Hire Cars TNA Petrol post 04 WA</v>
      </c>
      <c r="B143" t="str">
        <f>AVIS!J19</f>
        <v>KL</v>
      </c>
      <c r="C143" t="str">
        <f>AVIS!K19</f>
        <v>BBB</v>
      </c>
      <c r="D143">
        <f>AVIS!L19</f>
        <v>2.0584378000000001</v>
      </c>
      <c r="E143">
        <f>AVIS!M19</f>
        <v>70.398572760000008</v>
      </c>
      <c r="F143" s="8">
        <f>AVIS!N19</f>
        <v>4760.3514900312011</v>
      </c>
      <c r="G143" s="8">
        <f>AVIS!O19</f>
        <v>0</v>
      </c>
      <c r="H143" s="8">
        <f>AVIS!P19</f>
        <v>253.43486193600003</v>
      </c>
      <c r="I143" s="5">
        <f>AVIS!Q19</f>
        <v>5013.786351967201</v>
      </c>
    </row>
    <row r="144" spans="1:9">
      <c r="A144" s="25"/>
      <c r="B144" s="25"/>
      <c r="C144" s="25"/>
      <c r="D144" s="25"/>
      <c r="E144" s="25"/>
      <c r="F144" s="205"/>
      <c r="G144" s="205"/>
      <c r="H144" s="205"/>
      <c r="I144" s="38"/>
    </row>
    <row r="146" spans="1:9">
      <c r="A146" s="36" t="s">
        <v>750</v>
      </c>
      <c r="B146" s="71" t="s">
        <v>649</v>
      </c>
      <c r="C146" s="71" t="s">
        <v>684</v>
      </c>
      <c r="D146" s="71" t="s">
        <v>650</v>
      </c>
      <c r="E146" s="71" t="s">
        <v>651</v>
      </c>
      <c r="F146" s="204" t="s">
        <v>652</v>
      </c>
      <c r="G146" s="204" t="s">
        <v>653</v>
      </c>
      <c r="H146" s="204" t="s">
        <v>654</v>
      </c>
      <c r="I146" s="199" t="s">
        <v>751</v>
      </c>
    </row>
    <row r="147" spans="1:9">
      <c r="A147" t="str">
        <f>'LP Fleet'!A4</f>
        <v>Telstra FLEET Diesel 04 or earlier NSW A</v>
      </c>
      <c r="B147" t="str">
        <f>'LP Fleet'!G4</f>
        <v>KL</v>
      </c>
      <c r="C147" t="str">
        <f>'LP Fleet'!H4</f>
        <v>A</v>
      </c>
      <c r="D147">
        <f>'LP Fleet'!I4</f>
        <v>0.75054999999999994</v>
      </c>
      <c r="E147">
        <f>'LP Fleet'!J4</f>
        <v>28.971229999999998</v>
      </c>
      <c r="F147" s="8">
        <f>'LP Fleet'!K4</f>
        <v>2039.5745920000002</v>
      </c>
      <c r="G147" s="8">
        <f>'LP Fleet'!L4</f>
        <v>0</v>
      </c>
      <c r="H147" s="8">
        <f>'LP Fleet'!M4</f>
        <v>104.29642799999999</v>
      </c>
      <c r="I147" s="5">
        <f>'LP Fleet'!N4</f>
        <v>2143.87102</v>
      </c>
    </row>
    <row r="148" spans="1:9">
      <c r="A148" t="str">
        <f>'LP Fleet'!A5</f>
        <v>Telstra FLEET Diesel 04 or earlier QLD A</v>
      </c>
      <c r="B148" t="str">
        <f>'LP Fleet'!G5</f>
        <v>KL</v>
      </c>
      <c r="C148" t="str">
        <f>'LP Fleet'!H5</f>
        <v>A</v>
      </c>
      <c r="D148">
        <f>'LP Fleet'!I5</f>
        <v>0.36635590000000001</v>
      </c>
      <c r="E148">
        <f>'LP Fleet'!J5</f>
        <v>14.141337740000001</v>
      </c>
      <c r="F148" s="8">
        <f>'LP Fleet'!K5</f>
        <v>995.55017689600015</v>
      </c>
      <c r="G148" s="8">
        <f>'LP Fleet'!L5</f>
        <v>0</v>
      </c>
      <c r="H148" s="8">
        <f>'LP Fleet'!M5</f>
        <v>50.908815864000005</v>
      </c>
      <c r="I148" s="5">
        <f>'LP Fleet'!N5</f>
        <v>1046.4589927600002</v>
      </c>
    </row>
    <row r="149" spans="1:9">
      <c r="A149" t="str">
        <f>'LP Fleet'!A6</f>
        <v>Telstra FLEET Diesel 04 or earlier SA A</v>
      </c>
      <c r="B149" t="str">
        <f>'LP Fleet'!G6</f>
        <v>KL</v>
      </c>
      <c r="C149" t="str">
        <f>'LP Fleet'!H6</f>
        <v>A</v>
      </c>
      <c r="D149">
        <f>'LP Fleet'!I6</f>
        <v>1.8733007000000002</v>
      </c>
      <c r="E149">
        <f>'LP Fleet'!J6</f>
        <v>72.309407020000009</v>
      </c>
      <c r="F149" s="8">
        <f>'LP Fleet'!K6</f>
        <v>5090.5822542080014</v>
      </c>
      <c r="G149" s="8">
        <f>'LP Fleet'!L6</f>
        <v>0</v>
      </c>
      <c r="H149" s="8">
        <f>'LP Fleet'!M6</f>
        <v>260.31386527200004</v>
      </c>
      <c r="I149" s="5">
        <f>'LP Fleet'!N6</f>
        <v>5350.8961194800013</v>
      </c>
    </row>
    <row r="150" spans="1:9">
      <c r="A150" t="str">
        <f>'LP Fleet'!A7</f>
        <v>Telstra FLEET Diesel 04 or earlier TAS A</v>
      </c>
      <c r="B150" t="str">
        <f>'LP Fleet'!G7</f>
        <v>KL</v>
      </c>
      <c r="C150" t="str">
        <f>'LP Fleet'!H7</f>
        <v>A</v>
      </c>
      <c r="D150">
        <f>'LP Fleet'!I7</f>
        <v>6.7170000000000007E-2</v>
      </c>
      <c r="E150">
        <f>'LP Fleet'!J7</f>
        <v>2.5927620000000005</v>
      </c>
      <c r="F150" s="8">
        <f>'LP Fleet'!K7</f>
        <v>182.53044480000005</v>
      </c>
      <c r="G150" s="8">
        <f>'LP Fleet'!L7</f>
        <v>0</v>
      </c>
      <c r="H150" s="8">
        <f>'LP Fleet'!M7</f>
        <v>9.333943200000002</v>
      </c>
      <c r="I150" s="5">
        <f>'LP Fleet'!N7</f>
        <v>191.86438800000005</v>
      </c>
    </row>
    <row r="151" spans="1:9">
      <c r="A151" t="str">
        <f>'LP Fleet'!A8</f>
        <v>Telstra FLEET Diesel 04 or earlier VIC A</v>
      </c>
      <c r="B151" t="str">
        <f>'LP Fleet'!G8</f>
        <v>KL</v>
      </c>
      <c r="C151" t="str">
        <f>'LP Fleet'!H8</f>
        <v>A</v>
      </c>
      <c r="D151">
        <f>'LP Fleet'!I8</f>
        <v>3.2911149999999996</v>
      </c>
      <c r="E151">
        <f>'LP Fleet'!J8</f>
        <v>127.03703899999999</v>
      </c>
      <c r="F151" s="8">
        <f>'LP Fleet'!K8</f>
        <v>8943.407545600001</v>
      </c>
      <c r="G151" s="8">
        <f>'LP Fleet'!L8</f>
        <v>0</v>
      </c>
      <c r="H151" s="8">
        <f>'LP Fleet'!M8</f>
        <v>457.3333404</v>
      </c>
      <c r="I151" s="5">
        <f>'LP Fleet'!N8</f>
        <v>9400.7408860000014</v>
      </c>
    </row>
    <row r="152" spans="1:9">
      <c r="A152" t="str">
        <f>'LP Fleet'!A9</f>
        <v>Telstra FLEET Diesel 04 or earlier WA A</v>
      </c>
      <c r="B152" t="str">
        <f>'LP Fleet'!G9</f>
        <v>KL</v>
      </c>
      <c r="C152" t="str">
        <f>'LP Fleet'!H9</f>
        <v>A</v>
      </c>
      <c r="D152">
        <f>'LP Fleet'!I9</f>
        <v>0</v>
      </c>
      <c r="E152">
        <f>'LP Fleet'!J9</f>
        <v>0</v>
      </c>
      <c r="F152" s="8">
        <f>'LP Fleet'!K9</f>
        <v>0</v>
      </c>
      <c r="G152" s="8">
        <f>'LP Fleet'!L9</f>
        <v>0</v>
      </c>
      <c r="H152" s="8">
        <f>'LP Fleet'!M9</f>
        <v>0</v>
      </c>
      <c r="I152" s="5">
        <f>'LP Fleet'!N9</f>
        <v>0</v>
      </c>
    </row>
    <row r="153" spans="1:9">
      <c r="A153" t="str">
        <f>'LP Fleet'!A10</f>
        <v>Telstra FLEET Diesel post 04 ACT A</v>
      </c>
      <c r="B153" t="str">
        <f>'LP Fleet'!G10</f>
        <v>KL</v>
      </c>
      <c r="C153" t="str">
        <f>'LP Fleet'!H10</f>
        <v>A</v>
      </c>
      <c r="D153">
        <f>'LP Fleet'!I10</f>
        <v>145.77691000000002</v>
      </c>
      <c r="E153">
        <f>'LP Fleet'!J10</f>
        <v>5626.9887260000005</v>
      </c>
      <c r="F153" s="8">
        <f>'LP Fleet'!K10</f>
        <v>396196.27619766007</v>
      </c>
      <c r="G153" s="8">
        <f>'LP Fleet'!L10</f>
        <v>0</v>
      </c>
      <c r="H153" s="8">
        <f>'LP Fleet'!M10</f>
        <v>20257.159413600002</v>
      </c>
      <c r="I153" s="5">
        <f>'LP Fleet'!N10</f>
        <v>416453.43561126007</v>
      </c>
    </row>
    <row r="154" spans="1:9">
      <c r="A154" t="str">
        <f>'LP Fleet'!A11</f>
        <v>Telstra FLEET Diesel post 04 NSW A</v>
      </c>
      <c r="B154" t="str">
        <f>'LP Fleet'!G11</f>
        <v>KL</v>
      </c>
      <c r="C154" t="str">
        <f>'LP Fleet'!H11</f>
        <v>A</v>
      </c>
      <c r="D154">
        <f>'LP Fleet'!I11</f>
        <v>2643.4545899999998</v>
      </c>
      <c r="E154">
        <f>'LP Fleet'!J11</f>
        <v>102037.34717399999</v>
      </c>
      <c r="F154" s="8">
        <f>'LP Fleet'!K11</f>
        <v>7184449.6145213405</v>
      </c>
      <c r="G154" s="8">
        <f>'LP Fleet'!L11</f>
        <v>0</v>
      </c>
      <c r="H154" s="8">
        <f>'LP Fleet'!M11</f>
        <v>367334.44982639997</v>
      </c>
      <c r="I154" s="5">
        <f>'LP Fleet'!N11</f>
        <v>7551784.0643477403</v>
      </c>
    </row>
    <row r="155" spans="1:9">
      <c r="A155" t="str">
        <f>'LP Fleet'!A12</f>
        <v>Telstra FLEET Diesel post 04 NT A</v>
      </c>
      <c r="B155" t="str">
        <f>'LP Fleet'!G12</f>
        <v>KL</v>
      </c>
      <c r="C155" t="str">
        <f>'LP Fleet'!H12</f>
        <v>A</v>
      </c>
      <c r="D155">
        <f>'LP Fleet'!I12</f>
        <v>228.71070299999997</v>
      </c>
      <c r="E155">
        <f>'LP Fleet'!J12</f>
        <v>8828.2331357999992</v>
      </c>
      <c r="F155" s="8">
        <f>'LP Fleet'!K12</f>
        <v>621595.89509167802</v>
      </c>
      <c r="G155" s="8">
        <f>'LP Fleet'!L12</f>
        <v>0</v>
      </c>
      <c r="H155" s="8">
        <f>'LP Fleet'!M12</f>
        <v>31781.639288879996</v>
      </c>
      <c r="I155" s="5">
        <f>'LP Fleet'!N12</f>
        <v>653377.53438055806</v>
      </c>
    </row>
    <row r="156" spans="1:9">
      <c r="A156" t="str">
        <f>'LP Fleet'!A13</f>
        <v>Telstra FLEET Diesel post 04 QLD A</v>
      </c>
      <c r="B156" t="str">
        <f>'LP Fleet'!G13</f>
        <v>KL</v>
      </c>
      <c r="C156" t="str">
        <f>'LP Fleet'!H13</f>
        <v>A</v>
      </c>
      <c r="D156">
        <f>'LP Fleet'!I13</f>
        <v>1782.0954999999999</v>
      </c>
      <c r="E156">
        <f>'LP Fleet'!J13</f>
        <v>68788.886299999998</v>
      </c>
      <c r="F156" s="8">
        <f>'LP Fleet'!K13</f>
        <v>4843425.484383001</v>
      </c>
      <c r="G156" s="8">
        <f>'LP Fleet'!L13</f>
        <v>0</v>
      </c>
      <c r="H156" s="8">
        <f>'LP Fleet'!M13</f>
        <v>247639.99067999999</v>
      </c>
      <c r="I156" s="5">
        <f>'LP Fleet'!N13</f>
        <v>5091065.4750630008</v>
      </c>
    </row>
    <row r="157" spans="1:9">
      <c r="A157" t="str">
        <f>'LP Fleet'!A14</f>
        <v>Telstra FLEET Diesel post 04 SA A</v>
      </c>
      <c r="B157" t="str">
        <f>'LP Fleet'!G14</f>
        <v>KL</v>
      </c>
      <c r="C157" t="str">
        <f>'LP Fleet'!H14</f>
        <v>A</v>
      </c>
      <c r="D157">
        <f>'LP Fleet'!I14</f>
        <v>628.02482000000009</v>
      </c>
      <c r="E157">
        <f>'LP Fleet'!J14</f>
        <v>24241.758052000005</v>
      </c>
      <c r="F157" s="8">
        <f>'LP Fleet'!K14</f>
        <v>1706862.1844413206</v>
      </c>
      <c r="G157" s="8">
        <f>'LP Fleet'!L14</f>
        <v>0</v>
      </c>
      <c r="H157" s="8">
        <f>'LP Fleet'!M14</f>
        <v>87270.328987200017</v>
      </c>
      <c r="I157" s="5">
        <f>'LP Fleet'!N14</f>
        <v>1794132.5134285206</v>
      </c>
    </row>
    <row r="158" spans="1:9">
      <c r="A158" t="str">
        <f>'LP Fleet'!A15</f>
        <v>Telstra FLEET Diesel post 04 TAS A</v>
      </c>
      <c r="B158" t="str">
        <f>'LP Fleet'!G15</f>
        <v>KL</v>
      </c>
      <c r="C158" t="str">
        <f>'LP Fleet'!H15</f>
        <v>A</v>
      </c>
      <c r="D158">
        <f>'LP Fleet'!I15</f>
        <v>320.18827000000005</v>
      </c>
      <c r="E158">
        <f>'LP Fleet'!J15</f>
        <v>12359.267222000002</v>
      </c>
      <c r="F158" s="8">
        <f>'LP Fleet'!K15</f>
        <v>870216.00510102033</v>
      </c>
      <c r="G158" s="8">
        <f>'LP Fleet'!L15</f>
        <v>0</v>
      </c>
      <c r="H158" s="8">
        <f>'LP Fleet'!M15</f>
        <v>44493.361999200009</v>
      </c>
      <c r="I158" s="5">
        <f>'LP Fleet'!N15</f>
        <v>914709.36710022029</v>
      </c>
    </row>
    <row r="159" spans="1:9">
      <c r="A159" t="str">
        <f>'LP Fleet'!A16</f>
        <v>Telstra FLEET Diesel post 04 VIC A</v>
      </c>
      <c r="B159" t="str">
        <f>'LP Fleet'!G16</f>
        <v>KL</v>
      </c>
      <c r="C159" t="str">
        <f>'LP Fleet'!H16</f>
        <v>A</v>
      </c>
      <c r="D159">
        <f>'LP Fleet'!I16</f>
        <v>1660.22154</v>
      </c>
      <c r="E159">
        <f>'LP Fleet'!J16</f>
        <v>64084.551444000004</v>
      </c>
      <c r="F159" s="8">
        <f>'LP Fleet'!K16</f>
        <v>4512193.2671720413</v>
      </c>
      <c r="G159" s="8">
        <f>'LP Fleet'!L16</f>
        <v>0</v>
      </c>
      <c r="H159" s="8">
        <f>'LP Fleet'!M16</f>
        <v>230704.38519840001</v>
      </c>
      <c r="I159" s="5">
        <f>'LP Fleet'!N16</f>
        <v>4742897.6523704417</v>
      </c>
    </row>
    <row r="160" spans="1:9">
      <c r="A160" t="str">
        <f>'LP Fleet'!A17</f>
        <v>Telstra FLEET Diesel post 04 WA A</v>
      </c>
      <c r="B160" t="str">
        <f>'LP Fleet'!G17</f>
        <v>KL</v>
      </c>
      <c r="C160" t="str">
        <f>'LP Fleet'!H17</f>
        <v>A</v>
      </c>
      <c r="D160">
        <f>'LP Fleet'!I17</f>
        <v>930.21676000000002</v>
      </c>
      <c r="E160">
        <f>'LP Fleet'!J17</f>
        <v>35906.366936000006</v>
      </c>
      <c r="F160" s="8">
        <f>'LP Fleet'!K17</f>
        <v>2528167.2959637609</v>
      </c>
      <c r="G160" s="8">
        <f>'LP Fleet'!L17</f>
        <v>0</v>
      </c>
      <c r="H160" s="8">
        <f>'LP Fleet'!M17</f>
        <v>129262.92096960002</v>
      </c>
      <c r="I160" s="5">
        <f>'LP Fleet'!N17</f>
        <v>2657430.2169333608</v>
      </c>
    </row>
    <row r="161" spans="1:9">
      <c r="A161" t="str">
        <f>'LP Fleet'!A18</f>
        <v>Telstra FLEET Ethanol post 04 ACT A</v>
      </c>
      <c r="B161" t="str">
        <f>'LP Fleet'!G18</f>
        <v>KL</v>
      </c>
      <c r="C161" t="str">
        <f>'LP Fleet'!H18</f>
        <v>A</v>
      </c>
      <c r="D161">
        <f>'LP Fleet'!I18</f>
        <v>0.34324199999999994</v>
      </c>
      <c r="E161">
        <f>'LP Fleet'!J18</f>
        <v>8.0318627999999972</v>
      </c>
      <c r="F161" s="8">
        <f>'LP Fleet'!K18</f>
        <v>3.2127451199999992</v>
      </c>
      <c r="G161" s="8">
        <f>'LP Fleet'!L18</f>
        <v>0</v>
      </c>
      <c r="H161" s="8">
        <f>'LP Fleet'!M18</f>
        <v>0</v>
      </c>
      <c r="I161" s="5">
        <f>'LP Fleet'!N18</f>
        <v>3.2127451199999992</v>
      </c>
    </row>
    <row r="162" spans="1:9">
      <c r="A162" t="str">
        <f>'LP Fleet'!A19</f>
        <v>Telstra FLEET Ethanol post 04 NSW A</v>
      </c>
      <c r="B162" t="str">
        <f>'LP Fleet'!G19</f>
        <v>KL</v>
      </c>
      <c r="C162" t="str">
        <f>'LP Fleet'!H19</f>
        <v>A</v>
      </c>
      <c r="D162">
        <f>'LP Fleet'!I19</f>
        <v>13.911406000000003</v>
      </c>
      <c r="E162">
        <f>'LP Fleet'!J19</f>
        <v>325.52690040000005</v>
      </c>
      <c r="F162" s="8">
        <f>'LP Fleet'!K19</f>
        <v>130.21076016000004</v>
      </c>
      <c r="G162" s="8">
        <f>'LP Fleet'!L19</f>
        <v>0</v>
      </c>
      <c r="H162" s="8">
        <f>'LP Fleet'!M19</f>
        <v>0</v>
      </c>
      <c r="I162" s="5">
        <f>'LP Fleet'!N19</f>
        <v>130.21076016000004</v>
      </c>
    </row>
    <row r="163" spans="1:9">
      <c r="A163" t="str">
        <f>'LP Fleet'!A20</f>
        <v>Telstra FLEET Ethanol post 04 QLD A</v>
      </c>
      <c r="B163" t="str">
        <f>'LP Fleet'!G20</f>
        <v>KL</v>
      </c>
      <c r="C163" t="str">
        <f>'LP Fleet'!H20</f>
        <v>A</v>
      </c>
      <c r="D163">
        <f>'LP Fleet'!I20</f>
        <v>1.856193</v>
      </c>
      <c r="E163">
        <f>'LP Fleet'!J20</f>
        <v>43.434916199999996</v>
      </c>
      <c r="F163" s="8">
        <f>'LP Fleet'!K20</f>
        <v>17.37396648</v>
      </c>
      <c r="G163" s="8">
        <f>'LP Fleet'!L20</f>
        <v>0</v>
      </c>
      <c r="H163" s="8">
        <f>'LP Fleet'!M20</f>
        <v>0</v>
      </c>
      <c r="I163" s="5">
        <f>'LP Fleet'!N20</f>
        <v>17.37396648</v>
      </c>
    </row>
    <row r="164" spans="1:9">
      <c r="A164" t="str">
        <f>'LP Fleet'!A21</f>
        <v>Telstra FLEET Ethanol post 04 SA A</v>
      </c>
      <c r="B164" t="str">
        <f>'LP Fleet'!G21</f>
        <v>KL</v>
      </c>
      <c r="C164" t="str">
        <f>'LP Fleet'!H21</f>
        <v>A</v>
      </c>
      <c r="D164">
        <f>'LP Fleet'!I21</f>
        <v>0</v>
      </c>
      <c r="E164">
        <f>'LP Fleet'!J21</f>
        <v>0</v>
      </c>
      <c r="F164" s="8">
        <f>'LP Fleet'!K21</f>
        <v>0</v>
      </c>
      <c r="G164" s="8">
        <f>'LP Fleet'!L21</f>
        <v>0</v>
      </c>
      <c r="H164" s="8">
        <f>'LP Fleet'!M21</f>
        <v>0</v>
      </c>
      <c r="I164" s="5">
        <f>'LP Fleet'!N21</f>
        <v>0</v>
      </c>
    </row>
    <row r="165" spans="1:9">
      <c r="A165" t="str">
        <f>'LP Fleet'!A22</f>
        <v>Telstra FLEET Ethanol post 04 TAS A</v>
      </c>
      <c r="B165" t="str">
        <f>'LP Fleet'!G22</f>
        <v>KL</v>
      </c>
      <c r="C165" t="str">
        <f>'LP Fleet'!H22</f>
        <v>A</v>
      </c>
      <c r="D165">
        <f>'LP Fleet'!I22</f>
        <v>0</v>
      </c>
      <c r="E165">
        <f>'LP Fleet'!J22</f>
        <v>0</v>
      </c>
      <c r="F165" s="8">
        <f>'LP Fleet'!K22</f>
        <v>0</v>
      </c>
      <c r="G165" s="8">
        <f>'LP Fleet'!L22</f>
        <v>0</v>
      </c>
      <c r="H165" s="8">
        <f>'LP Fleet'!M22</f>
        <v>0</v>
      </c>
      <c r="I165" s="5">
        <f>'LP Fleet'!N22</f>
        <v>0</v>
      </c>
    </row>
    <row r="166" spans="1:9">
      <c r="A166" t="str">
        <f>'LP Fleet'!A23</f>
        <v>Telstra FLEET Ethanol post 04 VIC A</v>
      </c>
      <c r="B166" t="str">
        <f>'LP Fleet'!G23</f>
        <v>KL</v>
      </c>
      <c r="C166" t="str">
        <f>'LP Fleet'!H23</f>
        <v>A</v>
      </c>
      <c r="D166">
        <f>'LP Fleet'!I23</f>
        <v>7.4894000000000002E-2</v>
      </c>
      <c r="E166">
        <f>'LP Fleet'!J23</f>
        <v>1.7525195999999998</v>
      </c>
      <c r="F166" s="8">
        <f>'LP Fleet'!K23</f>
        <v>0.70100783999999994</v>
      </c>
      <c r="G166" s="8">
        <f>'LP Fleet'!L23</f>
        <v>0</v>
      </c>
      <c r="H166" s="8">
        <f>'LP Fleet'!M23</f>
        <v>0</v>
      </c>
      <c r="I166" s="5">
        <f>'LP Fleet'!N23</f>
        <v>0.70100783999999994</v>
      </c>
    </row>
    <row r="167" spans="1:9">
      <c r="A167" t="str">
        <f>'LP Fleet'!A24</f>
        <v>Telstra FLEET LPG post 04 NSW A</v>
      </c>
      <c r="B167" t="str">
        <f>'LP Fleet'!G24</f>
        <v>KL</v>
      </c>
      <c r="C167" t="str">
        <f>'LP Fleet'!H24</f>
        <v>A</v>
      </c>
      <c r="D167">
        <f>'LP Fleet'!I24</f>
        <v>0.87494140000000009</v>
      </c>
      <c r="E167">
        <f>'LP Fleet'!J24</f>
        <v>22.923464680000002</v>
      </c>
      <c r="F167" s="8">
        <f>'LP Fleet'!K24</f>
        <v>1398.3313454800002</v>
      </c>
      <c r="G167" s="8">
        <f>'LP Fleet'!L24</f>
        <v>0</v>
      </c>
      <c r="H167" s="8">
        <f>'LP Fleet'!M24</f>
        <v>82.524472848000016</v>
      </c>
      <c r="I167" s="5">
        <f>'LP Fleet'!N24</f>
        <v>1480.8558183280002</v>
      </c>
    </row>
    <row r="168" spans="1:9">
      <c r="A168" t="str">
        <f>'LP Fleet'!A25</f>
        <v>Telstra FLEET LPG post 04 QLD A</v>
      </c>
      <c r="B168" t="str">
        <f>'LP Fleet'!G25</f>
        <v>KL</v>
      </c>
      <c r="C168" t="str">
        <f>'LP Fleet'!H25</f>
        <v>A</v>
      </c>
      <c r="D168">
        <f>'LP Fleet'!I25</f>
        <v>0</v>
      </c>
      <c r="E168">
        <f>'LP Fleet'!J25</f>
        <v>0</v>
      </c>
      <c r="F168" s="8">
        <f>'LP Fleet'!K25</f>
        <v>0</v>
      </c>
      <c r="G168" s="8">
        <f>'LP Fleet'!L25</f>
        <v>0</v>
      </c>
      <c r="H168" s="8">
        <f>'LP Fleet'!M25</f>
        <v>0</v>
      </c>
      <c r="I168" s="5">
        <f>'LP Fleet'!N25</f>
        <v>0</v>
      </c>
    </row>
    <row r="169" spans="1:9">
      <c r="A169" t="str">
        <f>'LP Fleet'!A26</f>
        <v>Telstra FLEET LPG post 04 SA A</v>
      </c>
      <c r="B169" t="str">
        <f>'LP Fleet'!G26</f>
        <v>KL</v>
      </c>
      <c r="C169" t="str">
        <f>'LP Fleet'!H26</f>
        <v>A</v>
      </c>
      <c r="D169">
        <f>'LP Fleet'!I26</f>
        <v>0</v>
      </c>
      <c r="E169">
        <f>'LP Fleet'!J26</f>
        <v>0</v>
      </c>
      <c r="F169" s="8">
        <f>'LP Fleet'!K26</f>
        <v>0</v>
      </c>
      <c r="G169" s="8">
        <f>'LP Fleet'!L26</f>
        <v>0</v>
      </c>
      <c r="H169" s="8">
        <f>'LP Fleet'!M26</f>
        <v>0</v>
      </c>
      <c r="I169" s="5">
        <f>'LP Fleet'!N26</f>
        <v>0</v>
      </c>
    </row>
    <row r="170" spans="1:9">
      <c r="A170" t="str">
        <f>'LP Fleet'!A27</f>
        <v>Telstra FLEET LPG post 04 VIC A</v>
      </c>
      <c r="B170" t="str">
        <f>'LP Fleet'!G27</f>
        <v>KL</v>
      </c>
      <c r="C170" t="str">
        <f>'LP Fleet'!H27</f>
        <v>A</v>
      </c>
      <c r="D170">
        <f>'LP Fleet'!I27</f>
        <v>0</v>
      </c>
      <c r="E170">
        <f>'LP Fleet'!J27</f>
        <v>0</v>
      </c>
      <c r="F170" s="8">
        <f>'LP Fleet'!K27</f>
        <v>0</v>
      </c>
      <c r="G170" s="8">
        <f>'LP Fleet'!L27</f>
        <v>0</v>
      </c>
      <c r="H170" s="8">
        <f>'LP Fleet'!M27</f>
        <v>0</v>
      </c>
      <c r="I170" s="5">
        <f>'LP Fleet'!N27</f>
        <v>0</v>
      </c>
    </row>
    <row r="171" spans="1:9">
      <c r="A171" t="str">
        <f>'LP Fleet'!A28</f>
        <v>Telstra FLEET Petrol 04 or earlier VIC A</v>
      </c>
      <c r="B171" t="str">
        <f>'LP Fleet'!G28</f>
        <v>KL</v>
      </c>
      <c r="C171" t="str">
        <f>'LP Fleet'!H28</f>
        <v>A</v>
      </c>
      <c r="D171">
        <f>'LP Fleet'!I28</f>
        <v>0.245786</v>
      </c>
      <c r="E171">
        <f>'LP Fleet'!J28</f>
        <v>8.4058812000000014</v>
      </c>
      <c r="F171" s="8">
        <f>'LP Fleet'!K28</f>
        <v>585.04933152000001</v>
      </c>
      <c r="G171" s="8">
        <f>'LP Fleet'!L28</f>
        <v>0</v>
      </c>
      <c r="H171" s="8">
        <f>'LP Fleet'!M28</f>
        <v>30.261172320000007</v>
      </c>
      <c r="I171" s="5">
        <f>'LP Fleet'!N28</f>
        <v>615.31050384000002</v>
      </c>
    </row>
    <row r="172" spans="1:9">
      <c r="A172" t="str">
        <f>'LP Fleet'!A29</f>
        <v>Telstra FLEET Petrol post 04 ACT A</v>
      </c>
      <c r="B172" t="str">
        <f>'LP Fleet'!G29</f>
        <v>KL</v>
      </c>
      <c r="C172" t="str">
        <f>'LP Fleet'!H29</f>
        <v>A</v>
      </c>
      <c r="D172">
        <f>'LP Fleet'!I29</f>
        <v>10.671328000000001</v>
      </c>
      <c r="E172">
        <f>'LP Fleet'!J29</f>
        <v>364.95941760000005</v>
      </c>
      <c r="F172" s="8">
        <f>'LP Fleet'!K29</f>
        <v>24678.555818112007</v>
      </c>
      <c r="G172" s="8">
        <f>'LP Fleet'!L29</f>
        <v>0</v>
      </c>
      <c r="H172" s="8">
        <f>'LP Fleet'!M29</f>
        <v>1313.8539033600002</v>
      </c>
      <c r="I172" s="5">
        <f>'LP Fleet'!N29</f>
        <v>25992.409721472006</v>
      </c>
    </row>
    <row r="173" spans="1:9">
      <c r="A173" t="str">
        <f>'LP Fleet'!A30</f>
        <v>Telstra FLEET Petrol post 04 NSW A</v>
      </c>
      <c r="B173" t="str">
        <f>'LP Fleet'!G30</f>
        <v>KL</v>
      </c>
      <c r="C173" t="str">
        <f>'LP Fleet'!H30</f>
        <v>A</v>
      </c>
      <c r="D173">
        <f>'LP Fleet'!I30</f>
        <v>237.36921399999997</v>
      </c>
      <c r="E173">
        <f>'LP Fleet'!J30</f>
        <v>8118.0271187999997</v>
      </c>
      <c r="F173" s="8">
        <f>'LP Fleet'!K30</f>
        <v>548940.99377325596</v>
      </c>
      <c r="G173" s="8">
        <f>'LP Fleet'!L30</f>
        <v>0</v>
      </c>
      <c r="H173" s="8">
        <f>'LP Fleet'!M30</f>
        <v>29224.897627679999</v>
      </c>
      <c r="I173" s="5">
        <f>'LP Fleet'!N30</f>
        <v>578165.89140093594</v>
      </c>
    </row>
    <row r="174" spans="1:9">
      <c r="A174" t="str">
        <f>'LP Fleet'!A31</f>
        <v>Telstra FLEET Petrol post 04 NT A</v>
      </c>
      <c r="B174" t="str">
        <f>'LP Fleet'!G31</f>
        <v>KL</v>
      </c>
      <c r="C174" t="str">
        <f>'LP Fleet'!H31</f>
        <v>A</v>
      </c>
      <c r="D174">
        <f>'LP Fleet'!I31</f>
        <v>6.8618399999999999</v>
      </c>
      <c r="E174">
        <f>'LP Fleet'!J31</f>
        <v>234.67492800000002</v>
      </c>
      <c r="F174" s="8">
        <f>'LP Fleet'!K31</f>
        <v>15868.718631360003</v>
      </c>
      <c r="G174" s="8">
        <f>'LP Fleet'!L31</f>
        <v>0</v>
      </c>
      <c r="H174" s="8">
        <f>'LP Fleet'!M31</f>
        <v>844.82974080000008</v>
      </c>
      <c r="I174" s="5">
        <f>'LP Fleet'!N31</f>
        <v>16713.548372160003</v>
      </c>
    </row>
    <row r="175" spans="1:9">
      <c r="A175" t="str">
        <f>'LP Fleet'!A32</f>
        <v>Telstra FLEET Petrol post 04 QLD A</v>
      </c>
      <c r="B175" t="str">
        <f>'LP Fleet'!G32</f>
        <v>KL</v>
      </c>
      <c r="C175" t="str">
        <f>'LP Fleet'!H32</f>
        <v>A</v>
      </c>
      <c r="D175">
        <f>'LP Fleet'!I32</f>
        <v>99.741937000000007</v>
      </c>
      <c r="E175">
        <f>'LP Fleet'!J32</f>
        <v>3411.1742454000005</v>
      </c>
      <c r="F175" s="8">
        <f>'LP Fleet'!K32</f>
        <v>230663.60247394803</v>
      </c>
      <c r="G175" s="8">
        <f>'LP Fleet'!L32</f>
        <v>0</v>
      </c>
      <c r="H175" s="8">
        <f>'LP Fleet'!M32</f>
        <v>12280.227283440003</v>
      </c>
      <c r="I175" s="5">
        <f>'LP Fleet'!N32</f>
        <v>242943.82975738804</v>
      </c>
    </row>
    <row r="176" spans="1:9">
      <c r="A176" t="str">
        <f>'LP Fleet'!A33</f>
        <v>Telstra FLEET Petrol post 04 SA A</v>
      </c>
      <c r="B176" t="str">
        <f>'LP Fleet'!G33</f>
        <v>KL</v>
      </c>
      <c r="C176" t="str">
        <f>'LP Fleet'!H33</f>
        <v>A</v>
      </c>
      <c r="D176">
        <f>'LP Fleet'!I33</f>
        <v>49.040910000000004</v>
      </c>
      <c r="E176">
        <f>'LP Fleet'!J33</f>
        <v>1677.1991220000002</v>
      </c>
      <c r="F176" s="8">
        <f>'LP Fleet'!K33</f>
        <v>113412.20462964002</v>
      </c>
      <c r="G176" s="8">
        <f>'LP Fleet'!L33</f>
        <v>0</v>
      </c>
      <c r="H176" s="8">
        <f>'LP Fleet'!M33</f>
        <v>6037.916839200001</v>
      </c>
      <c r="I176" s="5">
        <f>'LP Fleet'!N33</f>
        <v>119450.12146884002</v>
      </c>
    </row>
    <row r="177" spans="1:9">
      <c r="A177" t="str">
        <f>'LP Fleet'!A34</f>
        <v>Telstra FLEET Petrol post 04 TAS A</v>
      </c>
      <c r="B177" t="str">
        <f>'LP Fleet'!G34</f>
        <v>KL</v>
      </c>
      <c r="C177" t="str">
        <f>'LP Fleet'!H34</f>
        <v>A</v>
      </c>
      <c r="D177">
        <f>'LP Fleet'!I34</f>
        <v>22.046290000000003</v>
      </c>
      <c r="E177">
        <f>'LP Fleet'!J34</f>
        <v>753.9831180000001</v>
      </c>
      <c r="F177" s="8">
        <f>'LP Fleet'!K34</f>
        <v>50984.338439160012</v>
      </c>
      <c r="G177" s="8">
        <f>'LP Fleet'!L34</f>
        <v>0</v>
      </c>
      <c r="H177" s="8">
        <f>'LP Fleet'!M34</f>
        <v>2714.3392248000005</v>
      </c>
      <c r="I177" s="5">
        <f>'LP Fleet'!N34</f>
        <v>53698.677663960014</v>
      </c>
    </row>
    <row r="178" spans="1:9">
      <c r="A178" t="str">
        <f>'LP Fleet'!A35</f>
        <v>Telstra FLEET Petrol post 04 VIC A</v>
      </c>
      <c r="B178" t="str">
        <f>'LP Fleet'!G35</f>
        <v>KL</v>
      </c>
      <c r="C178" t="str">
        <f>'LP Fleet'!H35</f>
        <v>A</v>
      </c>
      <c r="D178">
        <f>'LP Fleet'!I35</f>
        <v>214.70667599999999</v>
      </c>
      <c r="E178">
        <f>'LP Fleet'!J35</f>
        <v>7342.9683192000002</v>
      </c>
      <c r="F178" s="8">
        <f>'LP Fleet'!K35</f>
        <v>496531.51774430403</v>
      </c>
      <c r="G178" s="8">
        <f>'LP Fleet'!L35</f>
        <v>0</v>
      </c>
      <c r="H178" s="8">
        <f>'LP Fleet'!M35</f>
        <v>26434.685949120001</v>
      </c>
      <c r="I178" s="5">
        <f>'LP Fleet'!N35</f>
        <v>522966.203693424</v>
      </c>
    </row>
    <row r="179" spans="1:9">
      <c r="A179" t="str">
        <f>'LP Fleet'!A36</f>
        <v>Telstra FLEET Petrol post 04 WA A</v>
      </c>
      <c r="B179" t="str">
        <f>'LP Fleet'!G36</f>
        <v>KL</v>
      </c>
      <c r="C179" t="str">
        <f>'LP Fleet'!H36</f>
        <v>A</v>
      </c>
      <c r="D179">
        <f>'LP Fleet'!I36</f>
        <v>50.174939999999999</v>
      </c>
      <c r="E179">
        <f>'LP Fleet'!J36</f>
        <v>1715.9829480000001</v>
      </c>
      <c r="F179" s="8">
        <f>'LP Fleet'!K36</f>
        <v>116034.76694376001</v>
      </c>
      <c r="G179" s="8">
        <f>'LP Fleet'!L36</f>
        <v>0</v>
      </c>
      <c r="H179" s="8">
        <f>'LP Fleet'!M36</f>
        <v>6177.5386128</v>
      </c>
      <c r="I179" s="5">
        <f>'LP Fleet'!N36</f>
        <v>122212.30555656001</v>
      </c>
    </row>
    <row r="181" spans="1:9">
      <c r="A181" s="36" t="s">
        <v>750</v>
      </c>
      <c r="B181" s="71" t="s">
        <v>649</v>
      </c>
      <c r="C181" s="71" t="s">
        <v>684</v>
      </c>
      <c r="D181" s="71" t="s">
        <v>650</v>
      </c>
      <c r="E181" s="71" t="s">
        <v>651</v>
      </c>
      <c r="F181" s="204" t="s">
        <v>652</v>
      </c>
      <c r="G181" s="204" t="s">
        <v>653</v>
      </c>
      <c r="H181" s="204" t="s">
        <v>654</v>
      </c>
      <c r="I181" s="199" t="s">
        <v>751</v>
      </c>
    </row>
    <row r="182" spans="1:9">
      <c r="A182" t="str">
        <f>'Contractor Fuels'!A4</f>
        <v>Contractor Fuel Diesel ACT</v>
      </c>
      <c r="B182" s="5" t="str">
        <f>'Contractor Fuels'!J4</f>
        <v>KL</v>
      </c>
      <c r="C182" s="5" t="str">
        <f>'Contractor Fuels'!K4</f>
        <v>BBB</v>
      </c>
      <c r="D182" s="5">
        <f>'Contractor Fuels'!L4</f>
        <v>22.187999999999999</v>
      </c>
      <c r="E182" s="5">
        <f>'Contractor Fuels'!M4</f>
        <v>856.45679999999993</v>
      </c>
      <c r="F182" s="8">
        <f>'Contractor Fuels'!N4</f>
        <v>59609.393279999989</v>
      </c>
      <c r="G182" s="8">
        <f>'Contractor Fuels'!O4</f>
        <v>0</v>
      </c>
      <c r="H182" s="8">
        <f>'Contractor Fuels'!P4</f>
        <v>3083.2444799999998</v>
      </c>
      <c r="I182" s="5">
        <f>'Contractor Fuels'!Q4</f>
        <v>62692.637759999991</v>
      </c>
    </row>
    <row r="183" spans="1:9">
      <c r="A183" t="str">
        <f>'Contractor Fuels'!A5</f>
        <v>Contractor Fuel Diesel NSW</v>
      </c>
      <c r="B183" s="5" t="str">
        <f>'Contractor Fuels'!J5</f>
        <v>KL</v>
      </c>
      <c r="C183" s="5" t="str">
        <f>'Contractor Fuels'!K5</f>
        <v>BBB</v>
      </c>
      <c r="D183" s="5">
        <f>'Contractor Fuels'!L5</f>
        <v>568.77</v>
      </c>
      <c r="E183" s="5">
        <f>'Contractor Fuels'!M5</f>
        <v>21954.522000000001</v>
      </c>
      <c r="F183" s="8">
        <f>'Contractor Fuels'!N5</f>
        <v>1528034.7312</v>
      </c>
      <c r="G183" s="8">
        <f>'Contractor Fuels'!O5</f>
        <v>0</v>
      </c>
      <c r="H183" s="8">
        <f>'Contractor Fuels'!P5</f>
        <v>79036.279200000004</v>
      </c>
      <c r="I183" s="5">
        <f>'Contractor Fuels'!Q5</f>
        <v>1607071.0104</v>
      </c>
    </row>
    <row r="184" spans="1:9">
      <c r="A184" t="str">
        <f>'Contractor Fuels'!A6</f>
        <v>Contractor Fuel Diesel NT</v>
      </c>
      <c r="B184" s="5" t="str">
        <f>'Contractor Fuels'!J6</f>
        <v>KL</v>
      </c>
      <c r="C184" s="5" t="str">
        <f>'Contractor Fuels'!K6</f>
        <v>BBB</v>
      </c>
      <c r="D184" s="5">
        <f>'Contractor Fuels'!L6</f>
        <v>1.27</v>
      </c>
      <c r="E184" s="5">
        <f>'Contractor Fuels'!M6</f>
        <v>49.022000000000006</v>
      </c>
      <c r="F184" s="8">
        <f>'Contractor Fuels'!N6</f>
        <v>3411.9312</v>
      </c>
      <c r="G184" s="8">
        <f>'Contractor Fuels'!O6</f>
        <v>0</v>
      </c>
      <c r="H184" s="8">
        <f>'Contractor Fuels'!P6</f>
        <v>176.47920000000002</v>
      </c>
      <c r="I184" s="5">
        <f>'Contractor Fuels'!Q6</f>
        <v>3588.4104000000002</v>
      </c>
    </row>
    <row r="185" spans="1:9">
      <c r="A185" t="str">
        <f>'Contractor Fuels'!A7</f>
        <v>Contractor Fuel Diesel QLD</v>
      </c>
      <c r="B185" s="5" t="str">
        <f>'Contractor Fuels'!J7</f>
        <v>KL</v>
      </c>
      <c r="C185" s="5" t="str">
        <f>'Contractor Fuels'!K7</f>
        <v>BBB</v>
      </c>
      <c r="D185" s="5">
        <f>'Contractor Fuels'!L7</f>
        <v>101.108</v>
      </c>
      <c r="E185" s="5">
        <f>'Contractor Fuels'!M7</f>
        <v>3902.7688000000003</v>
      </c>
      <c r="F185" s="8">
        <f>'Contractor Fuels'!N7</f>
        <v>271632.70847999997</v>
      </c>
      <c r="G185" s="8">
        <f>'Contractor Fuels'!O7</f>
        <v>0</v>
      </c>
      <c r="H185" s="8">
        <f>'Contractor Fuels'!P7</f>
        <v>14049.967680000002</v>
      </c>
      <c r="I185" s="5">
        <f>'Contractor Fuels'!Q7</f>
        <v>285682.67615999997</v>
      </c>
    </row>
    <row r="186" spans="1:9">
      <c r="A186" t="str">
        <f>'Contractor Fuels'!A8</f>
        <v>Contractor Fuel Diesel SA</v>
      </c>
      <c r="B186" s="5" t="str">
        <f>'Contractor Fuels'!J8</f>
        <v>KL</v>
      </c>
      <c r="C186" s="5" t="str">
        <f>'Contractor Fuels'!K8</f>
        <v>BBB</v>
      </c>
      <c r="D186" s="5">
        <f>'Contractor Fuels'!L8</f>
        <v>12.291</v>
      </c>
      <c r="E186" s="5">
        <f>'Contractor Fuels'!M8</f>
        <v>474.43260000000004</v>
      </c>
      <c r="F186" s="8">
        <f>'Contractor Fuels'!N8</f>
        <v>33020.508959999999</v>
      </c>
      <c r="G186" s="8">
        <f>'Contractor Fuels'!O8</f>
        <v>0</v>
      </c>
      <c r="H186" s="8">
        <f>'Contractor Fuels'!P8</f>
        <v>1707.9573600000001</v>
      </c>
      <c r="I186" s="5">
        <f>'Contractor Fuels'!Q8</f>
        <v>34728.46632</v>
      </c>
    </row>
    <row r="187" spans="1:9">
      <c r="A187" t="str">
        <f>'Contractor Fuels'!A9</f>
        <v>Contractor Fuel Diesel TAS</v>
      </c>
      <c r="B187" s="5" t="str">
        <f>'Contractor Fuels'!J9</f>
        <v>KL</v>
      </c>
      <c r="C187" s="5" t="str">
        <f>'Contractor Fuels'!K9</f>
        <v>BBB</v>
      </c>
      <c r="D187" s="5">
        <f>'Contractor Fuels'!L9</f>
        <v>18.701000000000001</v>
      </c>
      <c r="E187" s="5">
        <f>'Contractor Fuels'!M9</f>
        <v>721.85860000000002</v>
      </c>
      <c r="F187" s="8">
        <f>'Contractor Fuels'!N9</f>
        <v>50241.358560000001</v>
      </c>
      <c r="G187" s="8">
        <f>'Contractor Fuels'!O9</f>
        <v>0</v>
      </c>
      <c r="H187" s="8">
        <f>'Contractor Fuels'!P9</f>
        <v>2598.6909600000004</v>
      </c>
      <c r="I187" s="5">
        <f>'Contractor Fuels'!Q9</f>
        <v>52840.04952</v>
      </c>
    </row>
    <row r="188" spans="1:9">
      <c r="A188" t="str">
        <f>'Contractor Fuels'!A10</f>
        <v>Contractor Fuel Diesel VIC</v>
      </c>
      <c r="B188" s="5" t="str">
        <f>'Contractor Fuels'!J10</f>
        <v>KL</v>
      </c>
      <c r="C188" s="5" t="str">
        <f>'Contractor Fuels'!K10</f>
        <v>BBB</v>
      </c>
      <c r="D188" s="5">
        <f>'Contractor Fuels'!L10</f>
        <v>222.86500000000001</v>
      </c>
      <c r="E188" s="5">
        <f>'Contractor Fuels'!M10</f>
        <v>8602.5889999999999</v>
      </c>
      <c r="F188" s="8">
        <f>'Contractor Fuels'!N10</f>
        <v>598740.19439999992</v>
      </c>
      <c r="G188" s="8">
        <f>'Contractor Fuels'!O10</f>
        <v>0</v>
      </c>
      <c r="H188" s="8">
        <f>'Contractor Fuels'!P10</f>
        <v>30969.320400000001</v>
      </c>
      <c r="I188" s="5">
        <f>'Contractor Fuels'!Q10</f>
        <v>629709.51479999989</v>
      </c>
    </row>
    <row r="189" spans="1:9">
      <c r="A189" t="str">
        <f>'Contractor Fuels'!A11</f>
        <v>Contractor Fuel Diesel WA</v>
      </c>
      <c r="B189" s="5" t="str">
        <f>'Contractor Fuels'!J11</f>
        <v>KL</v>
      </c>
      <c r="C189" s="5" t="str">
        <f>'Contractor Fuels'!K11</f>
        <v>BBB</v>
      </c>
      <c r="D189" s="5">
        <f>'Contractor Fuels'!L11</f>
        <v>69.394999999999996</v>
      </c>
      <c r="E189" s="5">
        <f>'Contractor Fuels'!M11</f>
        <v>2678.6469999999999</v>
      </c>
      <c r="F189" s="8">
        <f>'Contractor Fuels'!N11</f>
        <v>186433.83119999999</v>
      </c>
      <c r="G189" s="8">
        <f>'Contractor Fuels'!O11</f>
        <v>0</v>
      </c>
      <c r="H189" s="8">
        <f>'Contractor Fuels'!P11</f>
        <v>9643.1291999999994</v>
      </c>
      <c r="I189" s="5">
        <f>'Contractor Fuels'!Q11</f>
        <v>196076.96039999998</v>
      </c>
    </row>
    <row r="190" spans="1:9">
      <c r="A190" t="str">
        <f>'Contractor Fuels'!A12</f>
        <v>Contractor Fuel Ethanol NSW</v>
      </c>
      <c r="B190" s="5" t="str">
        <f>'Contractor Fuels'!J12</f>
        <v>KL</v>
      </c>
      <c r="C190" s="5" t="str">
        <f>'Contractor Fuels'!K12</f>
        <v>BBB</v>
      </c>
      <c r="D190" s="5">
        <f>'Contractor Fuels'!L12</f>
        <v>1.2749999999999999</v>
      </c>
      <c r="E190" s="5">
        <f>'Contractor Fuels'!M12</f>
        <v>29.834999999999997</v>
      </c>
      <c r="F190" s="8">
        <f>'Contractor Fuels'!N12</f>
        <v>2076.5159999999996</v>
      </c>
      <c r="G190" s="8">
        <f>'Contractor Fuels'!O12</f>
        <v>0</v>
      </c>
      <c r="H190" s="8">
        <f>'Contractor Fuels'!P12</f>
        <v>0</v>
      </c>
      <c r="I190" s="5">
        <f>'Contractor Fuels'!Q12</f>
        <v>2076.5159999999996</v>
      </c>
    </row>
    <row r="191" spans="1:9">
      <c r="A191" t="str">
        <f>'Contractor Fuels'!A13</f>
        <v>Contractor Fuel Ethanol QLD</v>
      </c>
      <c r="B191" s="5" t="str">
        <f>'Contractor Fuels'!J13</f>
        <v>KL</v>
      </c>
      <c r="C191" s="5" t="str">
        <f>'Contractor Fuels'!K13</f>
        <v>BBB</v>
      </c>
      <c r="D191" s="5">
        <f>'Contractor Fuels'!L13</f>
        <v>0</v>
      </c>
      <c r="E191" s="5">
        <f>'Contractor Fuels'!M13</f>
        <v>0</v>
      </c>
      <c r="F191" s="8">
        <f>'Contractor Fuels'!N13</f>
        <v>0</v>
      </c>
      <c r="G191" s="8">
        <f>'Contractor Fuels'!O13</f>
        <v>0</v>
      </c>
      <c r="H191" s="8">
        <f>'Contractor Fuels'!P13</f>
        <v>0</v>
      </c>
      <c r="I191" s="5">
        <f>'Contractor Fuels'!Q13</f>
        <v>0</v>
      </c>
    </row>
    <row r="192" spans="1:9">
      <c r="A192" t="str">
        <f>'Contractor Fuels'!A14</f>
        <v>Contractor Fuel Ethanol VIC</v>
      </c>
      <c r="B192" s="5" t="str">
        <f>'Contractor Fuels'!J14</f>
        <v>KL</v>
      </c>
      <c r="C192" s="5" t="str">
        <f>'Contractor Fuels'!K14</f>
        <v>BBB</v>
      </c>
      <c r="D192" s="5">
        <f>'Contractor Fuels'!L14</f>
        <v>0</v>
      </c>
      <c r="E192" s="5">
        <f>'Contractor Fuels'!M14</f>
        <v>0</v>
      </c>
      <c r="F192" s="8">
        <f>'Contractor Fuels'!N14</f>
        <v>0</v>
      </c>
      <c r="G192" s="8">
        <f>'Contractor Fuels'!O14</f>
        <v>0</v>
      </c>
      <c r="H192" s="8">
        <f>'Contractor Fuels'!P14</f>
        <v>0</v>
      </c>
      <c r="I192" s="5">
        <f>'Contractor Fuels'!Q14</f>
        <v>0</v>
      </c>
    </row>
    <row r="193" spans="1:9">
      <c r="A193" t="str">
        <f>'Contractor Fuels'!A15</f>
        <v>Contractor Fuel LPG ACT</v>
      </c>
      <c r="B193" s="5" t="str">
        <f>'Contractor Fuels'!J15</f>
        <v>KL</v>
      </c>
      <c r="C193" s="5" t="str">
        <f>'Contractor Fuels'!K15</f>
        <v>BBB</v>
      </c>
      <c r="D193" s="5">
        <f>'Contractor Fuels'!L15</f>
        <v>0</v>
      </c>
      <c r="E193" s="5">
        <f>'Contractor Fuels'!M15</f>
        <v>0</v>
      </c>
      <c r="F193" s="8">
        <f>'Contractor Fuels'!N15</f>
        <v>0</v>
      </c>
      <c r="G193" s="8">
        <f>'Contractor Fuels'!O15</f>
        <v>0</v>
      </c>
      <c r="H193" s="8">
        <f>'Contractor Fuels'!P15</f>
        <v>0</v>
      </c>
      <c r="I193" s="5">
        <f>'Contractor Fuels'!Q15</f>
        <v>0</v>
      </c>
    </row>
    <row r="194" spans="1:9">
      <c r="A194" t="str">
        <f>'Contractor Fuels'!A16</f>
        <v>Contractor Fuel LPG NSW</v>
      </c>
      <c r="B194" s="5" t="str">
        <f>'Contractor Fuels'!J16</f>
        <v>KL</v>
      </c>
      <c r="C194" s="5" t="str">
        <f>'Contractor Fuels'!K16</f>
        <v>BBB</v>
      </c>
      <c r="D194" s="5">
        <f>'Contractor Fuels'!L16</f>
        <v>0</v>
      </c>
      <c r="E194" s="5">
        <f>'Contractor Fuels'!M16</f>
        <v>0</v>
      </c>
      <c r="F194" s="8">
        <f>'Contractor Fuels'!N16</f>
        <v>0</v>
      </c>
      <c r="G194" s="8">
        <f>'Contractor Fuels'!O16</f>
        <v>0</v>
      </c>
      <c r="H194" s="8">
        <f>'Contractor Fuels'!P16</f>
        <v>0</v>
      </c>
      <c r="I194" s="5">
        <f>'Contractor Fuels'!Q16</f>
        <v>0</v>
      </c>
    </row>
    <row r="195" spans="1:9">
      <c r="A195" t="str">
        <f>'Contractor Fuels'!A17</f>
        <v>Contractor Fuel LPG NT</v>
      </c>
      <c r="B195" s="5" t="str">
        <f>'Contractor Fuels'!J17</f>
        <v>KL</v>
      </c>
      <c r="C195" s="5" t="str">
        <f>'Contractor Fuels'!K17</f>
        <v>BBB</v>
      </c>
      <c r="D195" s="5">
        <f>'Contractor Fuels'!L17</f>
        <v>0</v>
      </c>
      <c r="E195" s="5">
        <f>'Contractor Fuels'!M17</f>
        <v>0</v>
      </c>
      <c r="F195" s="8">
        <f>'Contractor Fuels'!N17</f>
        <v>0</v>
      </c>
      <c r="G195" s="8">
        <f>'Contractor Fuels'!O17</f>
        <v>0</v>
      </c>
      <c r="H195" s="8">
        <f>'Contractor Fuels'!P17</f>
        <v>0</v>
      </c>
      <c r="I195" s="5">
        <f>'Contractor Fuels'!Q17</f>
        <v>0</v>
      </c>
    </row>
    <row r="196" spans="1:9">
      <c r="A196" t="str">
        <f>'Contractor Fuels'!A18</f>
        <v>Contractor Fuel LPG QLD</v>
      </c>
      <c r="B196" s="5" t="str">
        <f>'Contractor Fuels'!J18</f>
        <v>KL</v>
      </c>
      <c r="C196" s="5" t="str">
        <f>'Contractor Fuels'!K18</f>
        <v>BBB</v>
      </c>
      <c r="D196" s="5">
        <f>'Contractor Fuels'!L18</f>
        <v>0</v>
      </c>
      <c r="E196" s="5">
        <f>'Contractor Fuels'!M18</f>
        <v>0</v>
      </c>
      <c r="F196" s="8">
        <f>'Contractor Fuels'!N18</f>
        <v>0</v>
      </c>
      <c r="G196" s="8">
        <f>'Contractor Fuels'!O18</f>
        <v>0</v>
      </c>
      <c r="H196" s="8">
        <f>'Contractor Fuels'!P18</f>
        <v>0</v>
      </c>
      <c r="I196" s="5">
        <f>'Contractor Fuels'!Q18</f>
        <v>0</v>
      </c>
    </row>
    <row r="197" spans="1:9">
      <c r="A197" t="str">
        <f>'Contractor Fuels'!A19</f>
        <v>Contractor Fuel LPG SA</v>
      </c>
      <c r="B197" s="5" t="str">
        <f>'Contractor Fuels'!J19</f>
        <v>KL</v>
      </c>
      <c r="C197" s="5" t="str">
        <f>'Contractor Fuels'!K19</f>
        <v>BBB</v>
      </c>
      <c r="D197" s="5">
        <f>'Contractor Fuels'!L19</f>
        <v>0</v>
      </c>
      <c r="E197" s="5">
        <f>'Contractor Fuels'!M19</f>
        <v>0</v>
      </c>
      <c r="F197" s="8">
        <f>'Contractor Fuels'!N19</f>
        <v>0</v>
      </c>
      <c r="G197" s="8">
        <f>'Contractor Fuels'!O19</f>
        <v>0</v>
      </c>
      <c r="H197" s="8">
        <f>'Contractor Fuels'!P19</f>
        <v>0</v>
      </c>
      <c r="I197" s="5">
        <f>'Contractor Fuels'!Q19</f>
        <v>0</v>
      </c>
    </row>
    <row r="198" spans="1:9">
      <c r="A198" t="str">
        <f>'Contractor Fuels'!A20</f>
        <v>Contractor Fuel LPG TAS</v>
      </c>
      <c r="B198" s="5" t="str">
        <f>'Contractor Fuels'!J20</f>
        <v>KL</v>
      </c>
      <c r="C198" s="5" t="str">
        <f>'Contractor Fuels'!K20</f>
        <v>BBB</v>
      </c>
      <c r="D198" s="5">
        <f>'Contractor Fuels'!L20</f>
        <v>0</v>
      </c>
      <c r="E198" s="5">
        <f>'Contractor Fuels'!M20</f>
        <v>0</v>
      </c>
      <c r="F198" s="8">
        <f>'Contractor Fuels'!N20</f>
        <v>0</v>
      </c>
      <c r="G198" s="8">
        <f>'Contractor Fuels'!O20</f>
        <v>0</v>
      </c>
      <c r="H198" s="8">
        <f>'Contractor Fuels'!P20</f>
        <v>0</v>
      </c>
      <c r="I198" s="5">
        <f>'Contractor Fuels'!Q20</f>
        <v>0</v>
      </c>
    </row>
    <row r="199" spans="1:9">
      <c r="A199" t="str">
        <f>'Contractor Fuels'!A21</f>
        <v>Contractor Fuel LPG VIC</v>
      </c>
      <c r="B199" s="5" t="str">
        <f>'Contractor Fuels'!J21</f>
        <v>KL</v>
      </c>
      <c r="C199" s="5" t="str">
        <f>'Contractor Fuels'!K21</f>
        <v>BBB</v>
      </c>
      <c r="D199" s="5">
        <f>'Contractor Fuels'!L21</f>
        <v>0</v>
      </c>
      <c r="E199" s="5">
        <f>'Contractor Fuels'!M21</f>
        <v>0</v>
      </c>
      <c r="F199" s="8">
        <f>'Contractor Fuels'!N21</f>
        <v>0</v>
      </c>
      <c r="G199" s="8">
        <f>'Contractor Fuels'!O21</f>
        <v>0</v>
      </c>
      <c r="H199" s="8">
        <f>'Contractor Fuels'!P21</f>
        <v>0</v>
      </c>
      <c r="I199" s="5">
        <f>'Contractor Fuels'!Q21</f>
        <v>0</v>
      </c>
    </row>
    <row r="200" spans="1:9">
      <c r="A200" t="str">
        <f>'Contractor Fuels'!A22</f>
        <v>Contractor Fuel LPG WA</v>
      </c>
      <c r="B200" s="5" t="str">
        <f>'Contractor Fuels'!J22</f>
        <v>KL</v>
      </c>
      <c r="C200" s="5" t="str">
        <f>'Contractor Fuels'!K22</f>
        <v>BBB</v>
      </c>
      <c r="D200" s="5">
        <f>'Contractor Fuels'!L22</f>
        <v>0</v>
      </c>
      <c r="E200" s="5">
        <f>'Contractor Fuels'!M22</f>
        <v>0</v>
      </c>
      <c r="F200" s="8">
        <f>'Contractor Fuels'!N22</f>
        <v>0</v>
      </c>
      <c r="G200" s="8">
        <f>'Contractor Fuels'!O22</f>
        <v>0</v>
      </c>
      <c r="H200" s="8">
        <f>'Contractor Fuels'!P22</f>
        <v>0</v>
      </c>
      <c r="I200" s="5">
        <f>'Contractor Fuels'!Q22</f>
        <v>0</v>
      </c>
    </row>
    <row r="201" spans="1:9">
      <c r="A201" t="str">
        <f>'Contractor Fuels'!A23</f>
        <v>Contractor Fuel Petrol ACT</v>
      </c>
      <c r="B201" s="5" t="str">
        <f>'Contractor Fuels'!J23</f>
        <v>KL</v>
      </c>
      <c r="C201" s="5" t="str">
        <f>'Contractor Fuels'!K23</f>
        <v>BBB</v>
      </c>
      <c r="D201" s="5">
        <f>'Contractor Fuels'!L23</f>
        <v>0</v>
      </c>
      <c r="E201" s="5">
        <f>'Contractor Fuels'!M23</f>
        <v>0</v>
      </c>
      <c r="F201" s="8">
        <f>'Contractor Fuels'!N23</f>
        <v>0</v>
      </c>
      <c r="G201" s="8">
        <f>'Contractor Fuels'!O23</f>
        <v>0</v>
      </c>
      <c r="H201" s="8">
        <f>'Contractor Fuels'!P23</f>
        <v>0</v>
      </c>
      <c r="I201" s="5">
        <f>'Contractor Fuels'!Q23</f>
        <v>0</v>
      </c>
    </row>
    <row r="202" spans="1:9">
      <c r="A202" t="str">
        <f>'Contractor Fuels'!A24</f>
        <v>Contractor Fuel Petrol NSW</v>
      </c>
      <c r="B202" s="5" t="str">
        <f>'Contractor Fuels'!J24</f>
        <v>KL</v>
      </c>
      <c r="C202" s="5" t="str">
        <f>'Contractor Fuels'!K24</f>
        <v>BBB</v>
      </c>
      <c r="D202" s="5">
        <f>'Contractor Fuels'!L24</f>
        <v>2.2010000000000001</v>
      </c>
      <c r="E202" s="5">
        <f>'Contractor Fuels'!M24</f>
        <v>75.274200000000008</v>
      </c>
      <c r="F202" s="8">
        <f>'Contractor Fuels'!N24</f>
        <v>5239.0843199999999</v>
      </c>
      <c r="G202" s="8">
        <f>'Contractor Fuels'!O24</f>
        <v>0</v>
      </c>
      <c r="H202" s="8">
        <f>'Contractor Fuels'!P24</f>
        <v>270.98712000000006</v>
      </c>
      <c r="I202" s="5">
        <f>'Contractor Fuels'!Q24</f>
        <v>5510.0714399999997</v>
      </c>
    </row>
    <row r="203" spans="1:9">
      <c r="A203" t="str">
        <f>'Contractor Fuels'!A25</f>
        <v>Contractor Fuel Petrol NT</v>
      </c>
      <c r="B203" s="5" t="str">
        <f>'Contractor Fuels'!J25</f>
        <v>KL</v>
      </c>
      <c r="C203" s="5" t="str">
        <f>'Contractor Fuels'!K25</f>
        <v>BBB</v>
      </c>
      <c r="D203" s="5">
        <f>'Contractor Fuels'!L25</f>
        <v>0</v>
      </c>
      <c r="E203" s="5">
        <f>'Contractor Fuels'!M25</f>
        <v>0</v>
      </c>
      <c r="F203" s="8">
        <f>'Contractor Fuels'!N25</f>
        <v>0</v>
      </c>
      <c r="G203" s="8">
        <f>'Contractor Fuels'!O25</f>
        <v>0</v>
      </c>
      <c r="H203" s="8">
        <f>'Contractor Fuels'!P25</f>
        <v>0</v>
      </c>
      <c r="I203" s="5">
        <f>'Contractor Fuels'!Q25</f>
        <v>0</v>
      </c>
    </row>
    <row r="204" spans="1:9">
      <c r="A204" t="str">
        <f>'Contractor Fuels'!A26</f>
        <v>Contractor Fuel Petrol QLD</v>
      </c>
      <c r="B204" s="5" t="str">
        <f>'Contractor Fuels'!J26</f>
        <v>KL</v>
      </c>
      <c r="C204" s="5" t="str">
        <f>'Contractor Fuels'!K26</f>
        <v>BBB</v>
      </c>
      <c r="D204" s="5">
        <f>'Contractor Fuels'!L26</f>
        <v>0.56499999999999995</v>
      </c>
      <c r="E204" s="5">
        <f>'Contractor Fuels'!M26</f>
        <v>19.323</v>
      </c>
      <c r="F204" s="8">
        <f>'Contractor Fuels'!N26</f>
        <v>1344.8807999999999</v>
      </c>
      <c r="G204" s="8">
        <f>'Contractor Fuels'!O26</f>
        <v>0</v>
      </c>
      <c r="H204" s="8">
        <f>'Contractor Fuels'!P26</f>
        <v>69.56280000000001</v>
      </c>
      <c r="I204" s="5">
        <f>'Contractor Fuels'!Q26</f>
        <v>1414.4435999999998</v>
      </c>
    </row>
    <row r="205" spans="1:9">
      <c r="A205" t="str">
        <f>'Contractor Fuels'!A27</f>
        <v>Contractor Fuel Petrol SA</v>
      </c>
      <c r="B205" s="5" t="str">
        <f>'Contractor Fuels'!J27</f>
        <v>KL</v>
      </c>
      <c r="C205" s="5" t="str">
        <f>'Contractor Fuels'!K27</f>
        <v>BBB</v>
      </c>
      <c r="D205" s="5">
        <f>'Contractor Fuels'!L27</f>
        <v>0.33400000000000002</v>
      </c>
      <c r="E205" s="5">
        <f>'Contractor Fuels'!M27</f>
        <v>11.422800000000002</v>
      </c>
      <c r="F205" s="8">
        <f>'Contractor Fuels'!N27</f>
        <v>795.02688000000012</v>
      </c>
      <c r="G205" s="8">
        <f>'Contractor Fuels'!O27</f>
        <v>0</v>
      </c>
      <c r="H205" s="8">
        <f>'Contractor Fuels'!P27</f>
        <v>41.122080000000011</v>
      </c>
      <c r="I205" s="5">
        <f>'Contractor Fuels'!Q27</f>
        <v>836.1489600000001</v>
      </c>
    </row>
    <row r="206" spans="1:9">
      <c r="A206" t="str">
        <f>'Contractor Fuels'!A28</f>
        <v>Contractor Fuel Petrol TAS</v>
      </c>
      <c r="B206" s="5" t="str">
        <f>'Contractor Fuels'!J28</f>
        <v>KL</v>
      </c>
      <c r="C206" s="5" t="str">
        <f>'Contractor Fuels'!K28</f>
        <v>BBB</v>
      </c>
      <c r="D206" s="5">
        <f>'Contractor Fuels'!L28</f>
        <v>0.42699999999999999</v>
      </c>
      <c r="E206" s="5">
        <f>'Contractor Fuels'!M28</f>
        <v>14.603400000000001</v>
      </c>
      <c r="F206" s="8">
        <f>'Contractor Fuels'!N28</f>
        <v>1016.3966399999999</v>
      </c>
      <c r="G206" s="8">
        <f>'Contractor Fuels'!O28</f>
        <v>0</v>
      </c>
      <c r="H206" s="8">
        <f>'Contractor Fuels'!P28</f>
        <v>52.572240000000001</v>
      </c>
      <c r="I206" s="5">
        <f>'Contractor Fuels'!Q28</f>
        <v>1068.9688799999999</v>
      </c>
    </row>
    <row r="207" spans="1:9">
      <c r="A207" t="str">
        <f>'Contractor Fuels'!A29</f>
        <v>Contractor Fuel Petrol VIC</v>
      </c>
      <c r="B207" s="5" t="str">
        <f>'Contractor Fuels'!J29</f>
        <v>KL</v>
      </c>
      <c r="C207" s="5" t="str">
        <f>'Contractor Fuels'!K29</f>
        <v>BBB</v>
      </c>
      <c r="D207" s="5">
        <f>'Contractor Fuels'!L29</f>
        <v>3.3959999999999999</v>
      </c>
      <c r="E207" s="5">
        <f>'Contractor Fuels'!M29</f>
        <v>116.14320000000001</v>
      </c>
      <c r="F207" s="8">
        <f>'Contractor Fuels'!N29</f>
        <v>8083.5667199999998</v>
      </c>
      <c r="G207" s="8">
        <f>'Contractor Fuels'!O29</f>
        <v>0</v>
      </c>
      <c r="H207" s="8">
        <f>'Contractor Fuels'!P29</f>
        <v>418.11552000000006</v>
      </c>
      <c r="I207" s="5">
        <f>'Contractor Fuels'!Q29</f>
        <v>8501.6822400000001</v>
      </c>
    </row>
    <row r="208" spans="1:9">
      <c r="A208" t="str">
        <f>'Contractor Fuels'!A30</f>
        <v>Contractor Fuel Petrol WA</v>
      </c>
      <c r="B208" s="5" t="str">
        <f>'Contractor Fuels'!J30</f>
        <v>KL</v>
      </c>
      <c r="C208" s="5" t="str">
        <f>'Contractor Fuels'!K30</f>
        <v>BBB</v>
      </c>
      <c r="D208" s="5">
        <f>'Contractor Fuels'!L30</f>
        <v>0.307</v>
      </c>
      <c r="E208" s="5">
        <f>'Contractor Fuels'!M30</f>
        <v>10.499400000000001</v>
      </c>
      <c r="F208" s="8">
        <f>'Contractor Fuels'!N30</f>
        <v>730.75824</v>
      </c>
      <c r="G208" s="8">
        <f>'Contractor Fuels'!O30</f>
        <v>0</v>
      </c>
      <c r="H208" s="8">
        <f>'Contractor Fuels'!P30</f>
        <v>37.797840000000008</v>
      </c>
      <c r="I208" s="5">
        <f>'Contractor Fuels'!Q30</f>
        <v>768.55608000000007</v>
      </c>
    </row>
    <row r="211" spans="1:9">
      <c r="A211" s="36" t="s">
        <v>750</v>
      </c>
      <c r="B211" s="71" t="s">
        <v>649</v>
      </c>
      <c r="C211" s="71" t="s">
        <v>684</v>
      </c>
      <c r="D211" s="71" t="s">
        <v>650</v>
      </c>
      <c r="E211" s="71" t="s">
        <v>651</v>
      </c>
      <c r="F211" s="204" t="s">
        <v>652</v>
      </c>
      <c r="G211" s="204" t="s">
        <v>653</v>
      </c>
      <c r="H211" s="204" t="s">
        <v>654</v>
      </c>
      <c r="I211" s="199" t="s">
        <v>751</v>
      </c>
    </row>
    <row r="212" spans="1:9">
      <c r="A212" t="str">
        <f>'DC Genset'!A3</f>
        <v>Diesel Generators Data Centres NSW ST LEONARDS</v>
      </c>
      <c r="B212" t="str">
        <f>'DC Genset'!G3</f>
        <v>kL</v>
      </c>
      <c r="C212" t="str">
        <f>'DC Genset'!H3</f>
        <v>BBB</v>
      </c>
      <c r="D212">
        <f>'DC Genset'!I3</f>
        <v>56.253999999999998</v>
      </c>
      <c r="E212">
        <f>'DC Genset'!J3</f>
        <v>2171.4043999999999</v>
      </c>
      <c r="F212" s="8">
        <f>'DC Genset'!K3</f>
        <v>152432.58888</v>
      </c>
      <c r="G212" s="8">
        <f>'DC Genset'!L3</f>
        <v>0</v>
      </c>
      <c r="H212" s="8">
        <f>'DC Genset'!M3</f>
        <v>7817.05584</v>
      </c>
      <c r="I212" s="5">
        <f>'DC Genset'!N3</f>
        <v>160249.64471999998</v>
      </c>
    </row>
    <row r="213" spans="1:9">
      <c r="A213" t="str">
        <f>'DC Genset'!A4</f>
        <v>Diesel Generators Data Centres VIC CLAYTON</v>
      </c>
      <c r="B213" t="str">
        <f>'DC Genset'!G4</f>
        <v>kL</v>
      </c>
      <c r="C213" t="str">
        <f>'DC Genset'!H4</f>
        <v>BBB</v>
      </c>
      <c r="D213">
        <f>'DC Genset'!I4</f>
        <v>28.414000000000001</v>
      </c>
      <c r="E213">
        <f>'DC Genset'!J4</f>
        <v>1096.7804000000001</v>
      </c>
      <c r="F213" s="8">
        <f>'DC Genset'!K4</f>
        <v>76993.984080000009</v>
      </c>
      <c r="G213" s="8">
        <f>'DC Genset'!L4</f>
        <v>0</v>
      </c>
      <c r="H213" s="8">
        <f>'DC Genset'!M4</f>
        <v>3948.4094400000004</v>
      </c>
      <c r="I213" s="5">
        <f>'DC Genset'!N4</f>
        <v>80942.393520000012</v>
      </c>
    </row>
    <row r="214" spans="1:9">
      <c r="A214" t="str">
        <f>'DC Genset'!A5</f>
        <v>Diesel Generators Data Centres NSW</v>
      </c>
      <c r="B214" t="str">
        <f>'DC Genset'!G5</f>
        <v>kL</v>
      </c>
      <c r="C214" t="str">
        <f>'DC Genset'!H5</f>
        <v>BBB</v>
      </c>
      <c r="D214">
        <f>'DC Genset'!I5</f>
        <v>0</v>
      </c>
      <c r="E214">
        <f>'DC Genset'!J5</f>
        <v>0</v>
      </c>
      <c r="F214" s="8">
        <f>'DC Genset'!K5</f>
        <v>0</v>
      </c>
      <c r="G214" s="8">
        <f>'DC Genset'!L5</f>
        <v>0</v>
      </c>
      <c r="H214" s="8">
        <f>'DC Genset'!M5</f>
        <v>0</v>
      </c>
      <c r="I214" s="5">
        <f>'DC Genset'!N5</f>
        <v>0</v>
      </c>
    </row>
    <row r="215" spans="1:9">
      <c r="A215" s="25"/>
      <c r="B215" s="25"/>
      <c r="C215" s="25"/>
      <c r="D215" s="25"/>
      <c r="E215" s="25"/>
      <c r="F215" s="205"/>
      <c r="G215" s="205"/>
      <c r="H215" s="205"/>
      <c r="I215" s="38"/>
    </row>
    <row r="217" spans="1:9">
      <c r="A217" s="36" t="s">
        <v>750</v>
      </c>
      <c r="B217" s="71" t="s">
        <v>649</v>
      </c>
      <c r="C217" s="71" t="s">
        <v>684</v>
      </c>
      <c r="D217" s="71" t="s">
        <v>650</v>
      </c>
      <c r="E217" s="71" t="s">
        <v>651</v>
      </c>
      <c r="F217" s="204" t="s">
        <v>652</v>
      </c>
      <c r="G217" s="204" t="s">
        <v>653</v>
      </c>
      <c r="H217" s="204" t="s">
        <v>654</v>
      </c>
      <c r="I217" s="199" t="s">
        <v>751</v>
      </c>
    </row>
    <row r="218" spans="1:9">
      <c r="A218" t="str">
        <f>'LP Stationary'!A4</f>
        <v>Stationary Diesel LeasePlan NSW</v>
      </c>
      <c r="B218" t="str">
        <f>'LP Stationary'!G4</f>
        <v>KL</v>
      </c>
      <c r="C218" t="str">
        <f>'LP Stationary'!H4</f>
        <v>A</v>
      </c>
      <c r="D218">
        <f>'LP Stationary'!I4</f>
        <v>3.38618</v>
      </c>
      <c r="E218">
        <f>'LP Stationary'!J4</f>
        <v>130.706548</v>
      </c>
      <c r="F218" s="8">
        <f>'LP Stationary'!K4</f>
        <v>9097.1757407999994</v>
      </c>
      <c r="G218" s="8">
        <f>'LP Stationary'!L4</f>
        <v>0</v>
      </c>
      <c r="H218" s="8">
        <f>'LP Stationary'!M4</f>
        <v>470.54357279999999</v>
      </c>
      <c r="I218" s="5">
        <f>'LP Stationary'!N4</f>
        <v>9567.7193135999987</v>
      </c>
    </row>
    <row r="219" spans="1:9">
      <c r="A219" t="str">
        <f>'LP Stationary'!A5</f>
        <v>Stationary Diesel LeasePlan NT</v>
      </c>
      <c r="B219" t="str">
        <f>'LP Stationary'!G5</f>
        <v>KL</v>
      </c>
      <c r="C219" t="str">
        <f>'LP Stationary'!H5</f>
        <v>A</v>
      </c>
      <c r="D219">
        <f>'LP Stationary'!I5</f>
        <v>0</v>
      </c>
      <c r="E219">
        <f>'LP Stationary'!J5</f>
        <v>0</v>
      </c>
      <c r="F219" s="8">
        <f>'LP Stationary'!K5</f>
        <v>0</v>
      </c>
      <c r="G219" s="8">
        <f>'LP Stationary'!L5</f>
        <v>0</v>
      </c>
      <c r="H219" s="8">
        <f>'LP Stationary'!M5</f>
        <v>0</v>
      </c>
      <c r="I219" s="5">
        <f>'LP Stationary'!N5</f>
        <v>0</v>
      </c>
    </row>
    <row r="220" spans="1:9">
      <c r="A220" t="str">
        <f>'LP Stationary'!A6</f>
        <v>Stationary Diesel LeasePlan QLD</v>
      </c>
      <c r="B220" t="str">
        <f>'LP Stationary'!G6</f>
        <v>KL</v>
      </c>
      <c r="C220" t="str">
        <f>'LP Stationary'!H6</f>
        <v>A</v>
      </c>
      <c r="D220">
        <f>'LP Stationary'!I6</f>
        <v>65.845309999999998</v>
      </c>
      <c r="E220">
        <f>'LP Stationary'!J6</f>
        <v>2541.6289660000002</v>
      </c>
      <c r="F220" s="8">
        <f>'LP Stationary'!K6</f>
        <v>176897.37603360001</v>
      </c>
      <c r="G220" s="8">
        <f>'LP Stationary'!L6</f>
        <v>0</v>
      </c>
      <c r="H220" s="8">
        <f>'LP Stationary'!M6</f>
        <v>9149.8642776000015</v>
      </c>
      <c r="I220" s="5">
        <f>'LP Stationary'!N6</f>
        <v>186047.2403112</v>
      </c>
    </row>
    <row r="221" spans="1:9">
      <c r="A221" t="str">
        <f>'LP Stationary'!A7</f>
        <v>Stationary Diesel LeasePlan SA</v>
      </c>
      <c r="B221" t="str">
        <f>'LP Stationary'!G7</f>
        <v>KL</v>
      </c>
      <c r="C221" t="str">
        <f>'LP Stationary'!H7</f>
        <v>A</v>
      </c>
      <c r="D221">
        <f>'LP Stationary'!I7</f>
        <v>13.261990000000001</v>
      </c>
      <c r="E221">
        <f>'LP Stationary'!J7</f>
        <v>511.91281400000003</v>
      </c>
      <c r="F221" s="8">
        <f>'LP Stationary'!K7</f>
        <v>35629.131854400002</v>
      </c>
      <c r="G221" s="8">
        <f>'LP Stationary'!L7</f>
        <v>0</v>
      </c>
      <c r="H221" s="8">
        <f>'LP Stationary'!M7</f>
        <v>1842.8861304000002</v>
      </c>
      <c r="I221" s="5">
        <f>'LP Stationary'!N7</f>
        <v>37472.017984800004</v>
      </c>
    </row>
    <row r="222" spans="1:9">
      <c r="A222" t="str">
        <f>'LP Stationary'!A8</f>
        <v>Stationary Diesel LeasePlan TAS</v>
      </c>
      <c r="B222" t="str">
        <f>'LP Stationary'!G8</f>
        <v>KL</v>
      </c>
      <c r="C222" t="str">
        <f>'LP Stationary'!H8</f>
        <v>A</v>
      </c>
      <c r="D222">
        <f>'LP Stationary'!I8</f>
        <v>2.8001900000000002</v>
      </c>
      <c r="E222">
        <f>'LP Stationary'!J8</f>
        <v>108.08733400000001</v>
      </c>
      <c r="F222" s="8">
        <f>'LP Stationary'!K8</f>
        <v>7522.8784464</v>
      </c>
      <c r="G222" s="8">
        <f>'LP Stationary'!L8</f>
        <v>0</v>
      </c>
      <c r="H222" s="8">
        <f>'LP Stationary'!M8</f>
        <v>389.11440240000007</v>
      </c>
      <c r="I222" s="5">
        <f>'LP Stationary'!N8</f>
        <v>7911.9928488000005</v>
      </c>
    </row>
    <row r="223" spans="1:9">
      <c r="A223" t="str">
        <f>'LP Stationary'!A9</f>
        <v>Stationary Diesel LeasePlan VIC</v>
      </c>
      <c r="B223" t="str">
        <f>'LP Stationary'!G9</f>
        <v>KL</v>
      </c>
      <c r="C223" t="str">
        <f>'LP Stationary'!H9</f>
        <v>A</v>
      </c>
      <c r="D223">
        <f>'LP Stationary'!I9</f>
        <v>2.6652499999999999</v>
      </c>
      <c r="E223">
        <f>'LP Stationary'!J9</f>
        <v>102.87864999999999</v>
      </c>
      <c r="F223" s="8">
        <f>'LP Stationary'!K9</f>
        <v>7160.3540399999993</v>
      </c>
      <c r="G223" s="8">
        <f>'LP Stationary'!L9</f>
        <v>0</v>
      </c>
      <c r="H223" s="8">
        <f>'LP Stationary'!M9</f>
        <v>370.36313999999999</v>
      </c>
      <c r="I223" s="5">
        <f>'LP Stationary'!N9</f>
        <v>7530.7171799999996</v>
      </c>
    </row>
    <row r="224" spans="1:9">
      <c r="A224" t="str">
        <f>'LP Stationary'!A10</f>
        <v>Stationary Diesel LeasePlan WA</v>
      </c>
      <c r="B224" t="str">
        <f>'LP Stationary'!G10</f>
        <v>KL</v>
      </c>
      <c r="C224" t="str">
        <f>'LP Stationary'!H10</f>
        <v>A</v>
      </c>
      <c r="D224">
        <f>'LP Stationary'!I10</f>
        <v>6.4907999999999992</v>
      </c>
      <c r="E224">
        <f>'LP Stationary'!J10</f>
        <v>250.54487999999998</v>
      </c>
      <c r="F224" s="8">
        <f>'LP Stationary'!K10</f>
        <v>17437.923647999996</v>
      </c>
      <c r="G224" s="8">
        <f>'LP Stationary'!L10</f>
        <v>0</v>
      </c>
      <c r="H224" s="8">
        <f>'LP Stationary'!M10</f>
        <v>901.96156799999994</v>
      </c>
      <c r="I224" s="5">
        <f>'LP Stationary'!N10</f>
        <v>18339.885215999995</v>
      </c>
    </row>
    <row r="225" spans="1:9">
      <c r="A225" t="str">
        <f>'LP Stationary'!A11</f>
        <v>Stationary Ethanol LeasePlan QLD</v>
      </c>
      <c r="B225" t="str">
        <f>'LP Stationary'!G11</f>
        <v>KL</v>
      </c>
      <c r="C225" t="str">
        <f>'LP Stationary'!H11</f>
        <v>A</v>
      </c>
      <c r="D225">
        <f>'LP Stationary'!I11</f>
        <v>4.7020000000000013E-2</v>
      </c>
      <c r="E225">
        <f>'LP Stationary'!J11</f>
        <v>1.1002680000000002</v>
      </c>
      <c r="F225" s="8">
        <f>'LP Stationary'!K11</f>
        <v>76.578652800000015</v>
      </c>
      <c r="G225" s="8">
        <f>'LP Stationary'!L11</f>
        <v>0</v>
      </c>
      <c r="H225" s="8">
        <f>'LP Stationary'!M11</f>
        <v>0</v>
      </c>
      <c r="I225" s="5">
        <f>'LP Stationary'!N11</f>
        <v>76.578652800000015</v>
      </c>
    </row>
    <row r="226" spans="1:9">
      <c r="A226" t="str">
        <f>'LP Stationary'!A12</f>
        <v>Stationary Petrol LeasePlan NSW</v>
      </c>
      <c r="B226" t="str">
        <f>'LP Stationary'!G12</f>
        <v>KL</v>
      </c>
      <c r="C226" t="str">
        <f>'LP Stationary'!H12</f>
        <v>A</v>
      </c>
      <c r="D226">
        <f>'LP Stationary'!I12</f>
        <v>0.100231</v>
      </c>
      <c r="E226">
        <f>'LP Stationary'!J12</f>
        <v>3.4279002000000003</v>
      </c>
      <c r="F226" s="8">
        <f>'LP Stationary'!K12</f>
        <v>238.58185392000001</v>
      </c>
      <c r="G226" s="8">
        <f>'LP Stationary'!L12</f>
        <v>0</v>
      </c>
      <c r="H226" s="8">
        <f>'LP Stationary'!M12</f>
        <v>12.340440720000002</v>
      </c>
      <c r="I226" s="5">
        <f>'LP Stationary'!N12</f>
        <v>250.92229464000002</v>
      </c>
    </row>
    <row r="227" spans="1:9">
      <c r="A227" t="str">
        <f>'LP Stationary'!A13</f>
        <v>Stationary Petrol LeasePlan QLD</v>
      </c>
      <c r="B227" t="str">
        <f>'LP Stationary'!G13</f>
        <v>KL</v>
      </c>
      <c r="C227" t="str">
        <f>'LP Stationary'!H13</f>
        <v>A</v>
      </c>
      <c r="D227">
        <f>'LP Stationary'!I13</f>
        <v>1.8675700000000002</v>
      </c>
      <c r="E227">
        <f>'LP Stationary'!J13</f>
        <v>63.870894000000014</v>
      </c>
      <c r="F227" s="8">
        <f>'LP Stationary'!K13</f>
        <v>4445.4142224000007</v>
      </c>
      <c r="G227" s="8">
        <f>'LP Stationary'!L13</f>
        <v>0</v>
      </c>
      <c r="H227" s="8">
        <f>'LP Stationary'!M13</f>
        <v>229.93521840000005</v>
      </c>
      <c r="I227" s="5">
        <f>'LP Stationary'!N13</f>
        <v>4675.3494408000006</v>
      </c>
    </row>
    <row r="228" spans="1:9">
      <c r="A228" t="str">
        <f>'LP Stationary'!A14</f>
        <v>Stationary Petrol LeasePlan TAS</v>
      </c>
      <c r="B228" t="str">
        <f>'LP Stationary'!G14</f>
        <v>KL</v>
      </c>
      <c r="C228" t="str">
        <f>'LP Stationary'!H14</f>
        <v>A</v>
      </c>
      <c r="D228">
        <f>'LP Stationary'!I14</f>
        <v>5.8773400000000003E-2</v>
      </c>
      <c r="E228">
        <f>'LP Stationary'!J14</f>
        <v>2.0100502800000002</v>
      </c>
      <c r="F228" s="8">
        <f>'LP Stationary'!K14</f>
        <v>139.899499488</v>
      </c>
      <c r="G228" s="8">
        <f>'LP Stationary'!L14</f>
        <v>0</v>
      </c>
      <c r="H228" s="8">
        <f>'LP Stationary'!M14</f>
        <v>7.2361810080000009</v>
      </c>
      <c r="I228" s="5">
        <f>'LP Stationary'!N14</f>
        <v>147.13568049599999</v>
      </c>
    </row>
    <row r="229" spans="1:9">
      <c r="A229" t="str">
        <f>'LP Stationary'!A15</f>
        <v>Stationary Petrol LeasePlan VIC</v>
      </c>
      <c r="B229" t="str">
        <f>'LP Stationary'!G15</f>
        <v>KL</v>
      </c>
      <c r="C229" t="str">
        <f>'LP Stationary'!H15</f>
        <v>A</v>
      </c>
      <c r="D229">
        <f>'LP Stationary'!I15</f>
        <v>0.23545000000000002</v>
      </c>
      <c r="E229">
        <f>'LP Stationary'!J15</f>
        <v>8.0523900000000008</v>
      </c>
      <c r="F229" s="8">
        <f>'LP Stationary'!K15</f>
        <v>560.44634400000007</v>
      </c>
      <c r="G229" s="8">
        <f>'LP Stationary'!L15</f>
        <v>0</v>
      </c>
      <c r="H229" s="8">
        <f>'LP Stationary'!M15</f>
        <v>28.988604000000002</v>
      </c>
      <c r="I229" s="5">
        <f>'LP Stationary'!N15</f>
        <v>589.43494800000008</v>
      </c>
    </row>
    <row r="230" spans="1:9">
      <c r="A230" s="25"/>
      <c r="B230" s="25"/>
      <c r="C230" s="25"/>
      <c r="D230" s="25"/>
      <c r="E230" s="25"/>
      <c r="F230" s="205"/>
      <c r="G230" s="205"/>
      <c r="H230" s="205"/>
      <c r="I230" s="38"/>
    </row>
    <row r="233" spans="1:9">
      <c r="A233" s="36" t="s">
        <v>750</v>
      </c>
      <c r="B233" s="71" t="s">
        <v>649</v>
      </c>
      <c r="C233" s="71" t="s">
        <v>684</v>
      </c>
      <c r="D233" s="71" t="s">
        <v>650</v>
      </c>
      <c r="E233" s="71" t="s">
        <v>651</v>
      </c>
      <c r="F233" s="204" t="s">
        <v>652</v>
      </c>
      <c r="G233" s="204" t="s">
        <v>653</v>
      </c>
      <c r="H233" s="204" t="s">
        <v>654</v>
      </c>
      <c r="I233" s="199" t="s">
        <v>751</v>
      </c>
    </row>
    <row r="234" spans="1:9">
      <c r="A234" t="str">
        <f>'NET Genset Grounds'!A3</f>
        <v>Diesel Generators Network Visionstream ACT</v>
      </c>
      <c r="B234" t="str">
        <f>'NET Genset Grounds'!H3</f>
        <v>KL</v>
      </c>
      <c r="C234" t="str">
        <f>'NET Genset Grounds'!I3</f>
        <v>BBB</v>
      </c>
      <c r="D234">
        <f>'NET Genset Grounds'!J3</f>
        <v>9.9307329871008392</v>
      </c>
      <c r="E234">
        <f>'NET Genset Grounds'!K3</f>
        <v>383.32629330209238</v>
      </c>
      <c r="F234" s="8">
        <f>'NET Genset Grounds'!L3</f>
        <v>26909.505789806884</v>
      </c>
      <c r="G234" s="8">
        <f>'NET Genset Grounds'!M3</f>
        <v>0</v>
      </c>
      <c r="H234" s="8">
        <f>'NET Genset Grounds'!N3</f>
        <v>1379.9746558875327</v>
      </c>
      <c r="I234" s="5">
        <f>'NET Genset Grounds'!O3</f>
        <v>28289.480445694418</v>
      </c>
    </row>
    <row r="235" spans="1:9">
      <c r="A235" t="str">
        <f>'NET Genset Grounds'!A4</f>
        <v>Diesel Generators Network Visionstream NSW</v>
      </c>
      <c r="B235" t="str">
        <f>'NET Genset Grounds'!H4</f>
        <v>KL</v>
      </c>
      <c r="C235" t="str">
        <f>'NET Genset Grounds'!I4</f>
        <v>BBB</v>
      </c>
      <c r="D235">
        <f>'NET Genset Grounds'!J4</f>
        <v>451.15084051097512</v>
      </c>
      <c r="E235">
        <f>'NET Genset Grounds'!K4</f>
        <v>17414.422443723641</v>
      </c>
      <c r="F235" s="8">
        <f>'NET Genset Grounds'!L4</f>
        <v>1222492.4555493996</v>
      </c>
      <c r="G235" s="8">
        <f>'NET Genset Grounds'!M4</f>
        <v>0</v>
      </c>
      <c r="H235" s="8">
        <f>'NET Genset Grounds'!N4</f>
        <v>62691.92079740511</v>
      </c>
      <c r="I235" s="5">
        <f>'NET Genset Grounds'!O4</f>
        <v>1285184.3763468047</v>
      </c>
    </row>
    <row r="236" spans="1:9">
      <c r="A236" t="str">
        <f>'NET Genset Grounds'!A5</f>
        <v>Diesel Generators Network Visionstream NT</v>
      </c>
      <c r="B236" t="str">
        <f>'NET Genset Grounds'!H5</f>
        <v>KL</v>
      </c>
      <c r="C236" t="str">
        <f>'NET Genset Grounds'!I5</f>
        <v>BBB</v>
      </c>
      <c r="D236">
        <f>'NET Genset Grounds'!J5</f>
        <v>16.273727671357694</v>
      </c>
      <c r="E236">
        <f>'NET Genset Grounds'!K5</f>
        <v>628.16588811440704</v>
      </c>
      <c r="F236" s="8">
        <f>'NET Genset Grounds'!L5</f>
        <v>44097.245345631374</v>
      </c>
      <c r="G236" s="8">
        <f>'NET Genset Grounds'!M5</f>
        <v>0</v>
      </c>
      <c r="H236" s="8">
        <f>'NET Genset Grounds'!N5</f>
        <v>2261.3971972118652</v>
      </c>
      <c r="I236" s="5">
        <f>'NET Genset Grounds'!O5</f>
        <v>46358.642542843241</v>
      </c>
    </row>
    <row r="237" spans="1:9">
      <c r="A237" t="str">
        <f>'NET Genset Grounds'!A6</f>
        <v>Diesel Generators Network Visionstream QLD</v>
      </c>
      <c r="B237" t="str">
        <f>'NET Genset Grounds'!H6</f>
        <v>KL</v>
      </c>
      <c r="C237" t="str">
        <f>'NET Genset Grounds'!I6</f>
        <v>BBB</v>
      </c>
      <c r="D237">
        <f>'NET Genset Grounds'!J6</f>
        <v>123.66688665848372</v>
      </c>
      <c r="E237">
        <f>'NET Genset Grounds'!K6</f>
        <v>4773.5418250174716</v>
      </c>
      <c r="F237" s="8">
        <f>'NET Genset Grounds'!L6</f>
        <v>335102.63611622649</v>
      </c>
      <c r="G237" s="8">
        <f>'NET Genset Grounds'!M6</f>
        <v>0</v>
      </c>
      <c r="H237" s="8">
        <f>'NET Genset Grounds'!N6</f>
        <v>17184.750570062897</v>
      </c>
      <c r="I237" s="5">
        <f>'NET Genset Grounds'!O6</f>
        <v>352287.38668628939</v>
      </c>
    </row>
    <row r="238" spans="1:9">
      <c r="A238" t="str">
        <f>'NET Genset Grounds'!A7</f>
        <v>Diesel Generators Network Visionstream SA</v>
      </c>
      <c r="B238" t="str">
        <f>'NET Genset Grounds'!H7</f>
        <v>KL</v>
      </c>
      <c r="C238" t="str">
        <f>'NET Genset Grounds'!I7</f>
        <v>BBB</v>
      </c>
      <c r="D238">
        <f>'NET Genset Grounds'!J7</f>
        <v>37.967194291182167</v>
      </c>
      <c r="E238">
        <f>'NET Genset Grounds'!K7</f>
        <v>1465.5336996396318</v>
      </c>
      <c r="F238" s="8">
        <f>'NET Genset Grounds'!L7</f>
        <v>102880.46571470215</v>
      </c>
      <c r="G238" s="8">
        <f>'NET Genset Grounds'!M7</f>
        <v>0</v>
      </c>
      <c r="H238" s="8">
        <f>'NET Genset Grounds'!N7</f>
        <v>5275.9213187026744</v>
      </c>
      <c r="I238" s="5">
        <f>'NET Genset Grounds'!O7</f>
        <v>108156.38703340483</v>
      </c>
    </row>
    <row r="239" spans="1:9">
      <c r="A239" t="str">
        <f>'NET Genset Grounds'!A8</f>
        <v>Diesel Generators Network Visionstream TAS</v>
      </c>
      <c r="B239" t="str">
        <f>'NET Genset Grounds'!H8</f>
        <v>KL</v>
      </c>
      <c r="C239" t="str">
        <f>'NET Genset Grounds'!I8</f>
        <v>BBB</v>
      </c>
      <c r="D239">
        <f>'NET Genset Grounds'!J8</f>
        <v>20.250371753101401</v>
      </c>
      <c r="E239">
        <f>'NET Genset Grounds'!K8</f>
        <v>781.66434966971406</v>
      </c>
      <c r="F239" s="8">
        <f>'NET Genset Grounds'!L8</f>
        <v>54872.837346813933</v>
      </c>
      <c r="G239" s="8">
        <f>'NET Genset Grounds'!M8</f>
        <v>0</v>
      </c>
      <c r="H239" s="8">
        <f>'NET Genset Grounds'!N8</f>
        <v>2813.9916588109709</v>
      </c>
      <c r="I239" s="5">
        <f>'NET Genset Grounds'!O8</f>
        <v>57686.829005624902</v>
      </c>
    </row>
    <row r="240" spans="1:9">
      <c r="A240" t="str">
        <f>'NET Genset Grounds'!A9</f>
        <v>Diesel Generators Network Visionstream VIC</v>
      </c>
      <c r="B240" t="str">
        <f>'NET Genset Grounds'!H9</f>
        <v>KL</v>
      </c>
      <c r="C240" t="str">
        <f>'NET Genset Grounds'!I9</f>
        <v>BBB</v>
      </c>
      <c r="D240">
        <f>'NET Genset Grounds'!J9</f>
        <v>253.1294340335063</v>
      </c>
      <c r="E240">
        <f>'NET Genset Grounds'!K9</f>
        <v>9770.7961536933435</v>
      </c>
      <c r="F240" s="8">
        <f>'NET Genset Grounds'!L9</f>
        <v>685909.88998927269</v>
      </c>
      <c r="G240" s="8">
        <f>'NET Genset Grounds'!M9</f>
        <v>0</v>
      </c>
      <c r="H240" s="8">
        <f>'NET Genset Grounds'!N9</f>
        <v>35174.86615329604</v>
      </c>
      <c r="I240" s="5">
        <f>'NET Genset Grounds'!O9</f>
        <v>721084.75614256877</v>
      </c>
    </row>
    <row r="241" spans="1:9">
      <c r="A241" t="str">
        <f>'NET Genset Grounds'!A10</f>
        <v>Diesel Generators Network Visionstream WA</v>
      </c>
      <c r="B241" t="str">
        <f>'NET Genset Grounds'!H10</f>
        <v>KL</v>
      </c>
      <c r="C241" t="str">
        <f>'NET Genset Grounds'!I10</f>
        <v>BBB</v>
      </c>
      <c r="D241">
        <f>'NET Genset Grounds'!J10</f>
        <v>176.37835832619746</v>
      </c>
      <c r="E241">
        <f>'NET Genset Grounds'!K10</f>
        <v>6808.2046313912224</v>
      </c>
      <c r="F241" s="8">
        <f>'NET Genset Grounds'!L10</f>
        <v>477935.96512366383</v>
      </c>
      <c r="G241" s="8">
        <f>'NET Genset Grounds'!M10</f>
        <v>0</v>
      </c>
      <c r="H241" s="8">
        <f>'NET Genset Grounds'!N10</f>
        <v>24509.536673008402</v>
      </c>
      <c r="I241" s="5">
        <f>'NET Genset Grounds'!O10</f>
        <v>502445.50179667224</v>
      </c>
    </row>
    <row r="242" spans="1:9">
      <c r="A242" t="str">
        <f>'NET Genset Grounds'!A11</f>
        <v>LPG Generators Network Visionstream ACT</v>
      </c>
      <c r="B242" t="str">
        <f>'NET Genset Grounds'!H11</f>
        <v>KL</v>
      </c>
      <c r="C242" t="str">
        <f>'NET Genset Grounds'!I11</f>
        <v>BBB</v>
      </c>
      <c r="D242">
        <f>'NET Genset Grounds'!J11</f>
        <v>0</v>
      </c>
      <c r="E242">
        <f>'NET Genset Grounds'!K11</f>
        <v>0</v>
      </c>
      <c r="F242" s="8">
        <f>'NET Genset Grounds'!L11</f>
        <v>0</v>
      </c>
      <c r="G242" s="8">
        <f>'NET Genset Grounds'!M11</f>
        <v>0</v>
      </c>
      <c r="H242" s="8">
        <f>'NET Genset Grounds'!N11</f>
        <v>0</v>
      </c>
      <c r="I242" s="5">
        <f>'NET Genset Grounds'!O11</f>
        <v>0</v>
      </c>
    </row>
    <row r="243" spans="1:9">
      <c r="A243" t="str">
        <f>'NET Genset Grounds'!A12</f>
        <v>LPG Generators Network Visionstream NSW</v>
      </c>
      <c r="B243" t="str">
        <f>'NET Genset Grounds'!H12</f>
        <v>KL</v>
      </c>
      <c r="C243" t="str">
        <f>'NET Genset Grounds'!I12</f>
        <v>BBB</v>
      </c>
      <c r="D243">
        <f>'NET Genset Grounds'!J12</f>
        <v>0</v>
      </c>
      <c r="E243">
        <f>'NET Genset Grounds'!K12</f>
        <v>0</v>
      </c>
      <c r="F243" s="8">
        <f>'NET Genset Grounds'!L12</f>
        <v>0</v>
      </c>
      <c r="G243" s="8">
        <f>'NET Genset Grounds'!M12</f>
        <v>0</v>
      </c>
      <c r="H243" s="8">
        <f>'NET Genset Grounds'!N12</f>
        <v>0</v>
      </c>
      <c r="I243" s="5">
        <f>'NET Genset Grounds'!O12</f>
        <v>0</v>
      </c>
    </row>
    <row r="244" spans="1:9">
      <c r="A244" t="str">
        <f>'NET Genset Grounds'!A13</f>
        <v>LPG Generators Network Visionstream VIC</v>
      </c>
      <c r="B244" t="str">
        <f>'NET Genset Grounds'!H13</f>
        <v>KL</v>
      </c>
      <c r="C244" t="str">
        <f>'NET Genset Grounds'!I13</f>
        <v>BBB</v>
      </c>
      <c r="D244">
        <f>'NET Genset Grounds'!J13</f>
        <v>0</v>
      </c>
      <c r="E244">
        <f>'NET Genset Grounds'!K13</f>
        <v>0</v>
      </c>
      <c r="F244" s="8">
        <f>'NET Genset Grounds'!L13</f>
        <v>0</v>
      </c>
      <c r="G244" s="8">
        <f>'NET Genset Grounds'!M13</f>
        <v>0</v>
      </c>
      <c r="H244" s="8">
        <f>'NET Genset Grounds'!N13</f>
        <v>0</v>
      </c>
      <c r="I244" s="5">
        <f>'NET Genset Grounds'!O13</f>
        <v>0</v>
      </c>
    </row>
    <row r="245" spans="1:9">
      <c r="A245" t="str">
        <f>'NET Genset Grounds'!A14</f>
        <v>LPG Generators Network Visionstream QLD</v>
      </c>
      <c r="B245" t="str">
        <f>'NET Genset Grounds'!H14</f>
        <v>KL</v>
      </c>
      <c r="C245" t="str">
        <f>'NET Genset Grounds'!I14</f>
        <v>BBB</v>
      </c>
      <c r="D245">
        <f>'NET Genset Grounds'!J14</f>
        <v>0</v>
      </c>
      <c r="E245">
        <f>'NET Genset Grounds'!K14</f>
        <v>0</v>
      </c>
      <c r="F245" s="8">
        <f>'NET Genset Grounds'!L14</f>
        <v>0</v>
      </c>
      <c r="G245" s="8">
        <f>'NET Genset Grounds'!M14</f>
        <v>0</v>
      </c>
      <c r="H245" s="8">
        <f>'NET Genset Grounds'!N14</f>
        <v>0</v>
      </c>
      <c r="I245" s="5">
        <f>'NET Genset Grounds'!O14</f>
        <v>0</v>
      </c>
    </row>
    <row r="246" spans="1:9">
      <c r="A246" t="str">
        <f>'NET Genset Grounds'!A15</f>
        <v>LPG Generators Network Visionstream WA</v>
      </c>
      <c r="B246" t="str">
        <f>'NET Genset Grounds'!H15</f>
        <v>KL</v>
      </c>
      <c r="C246" t="str">
        <f>'NET Genset Grounds'!I15</f>
        <v>BBB</v>
      </c>
      <c r="D246">
        <f>'NET Genset Grounds'!J15</f>
        <v>0</v>
      </c>
      <c r="E246">
        <f>'NET Genset Grounds'!K15</f>
        <v>0</v>
      </c>
      <c r="F246" s="8">
        <f>'NET Genset Grounds'!L15</f>
        <v>0</v>
      </c>
      <c r="G246" s="8">
        <f>'NET Genset Grounds'!M15</f>
        <v>0</v>
      </c>
      <c r="H246" s="8">
        <f>'NET Genset Grounds'!N15</f>
        <v>0</v>
      </c>
      <c r="I246" s="5">
        <f>'NET Genset Grounds'!O15</f>
        <v>0</v>
      </c>
    </row>
    <row r="247" spans="1:9">
      <c r="A247" t="str">
        <f>'NET Genset Grounds'!A16</f>
        <v>LPG Generators Network Visionstream SA</v>
      </c>
      <c r="B247" t="str">
        <f>'NET Genset Grounds'!H16</f>
        <v>KL</v>
      </c>
      <c r="C247" t="str">
        <f>'NET Genset Grounds'!I16</f>
        <v>BBB</v>
      </c>
      <c r="D247">
        <f>'NET Genset Grounds'!J16</f>
        <v>0</v>
      </c>
      <c r="E247">
        <f>'NET Genset Grounds'!K16</f>
        <v>0</v>
      </c>
      <c r="F247" s="8">
        <f>'NET Genset Grounds'!L16</f>
        <v>0</v>
      </c>
      <c r="G247" s="8">
        <f>'NET Genset Grounds'!M16</f>
        <v>0</v>
      </c>
      <c r="H247" s="8">
        <f>'NET Genset Grounds'!N16</f>
        <v>0</v>
      </c>
      <c r="I247" s="5">
        <f>'NET Genset Grounds'!O16</f>
        <v>0</v>
      </c>
    </row>
    <row r="248" spans="1:9">
      <c r="A248" t="str">
        <f>'NET Genset Grounds'!A17</f>
        <v>LPG Generators Network Visionstream TAS</v>
      </c>
      <c r="B248" t="str">
        <f>'NET Genset Grounds'!H17</f>
        <v>KL</v>
      </c>
      <c r="C248" t="str">
        <f>'NET Genset Grounds'!I17</f>
        <v>BBB</v>
      </c>
      <c r="D248">
        <f>'NET Genset Grounds'!J17</f>
        <v>0</v>
      </c>
      <c r="E248">
        <f>'NET Genset Grounds'!K17</f>
        <v>0</v>
      </c>
      <c r="F248" s="8">
        <f>'NET Genset Grounds'!L17</f>
        <v>0</v>
      </c>
      <c r="G248" s="8">
        <f>'NET Genset Grounds'!M17</f>
        <v>0</v>
      </c>
      <c r="H248" s="8">
        <f>'NET Genset Grounds'!N17</f>
        <v>0</v>
      </c>
      <c r="I248" s="5">
        <f>'NET Genset Grounds'!O17</f>
        <v>0</v>
      </c>
    </row>
    <row r="249" spans="1:9">
      <c r="A249" t="str">
        <f>'NET Genset Grounds'!A18</f>
        <v>LPG Generators Network Visionstream NT</v>
      </c>
      <c r="B249" t="str">
        <f>'NET Genset Grounds'!H18</f>
        <v>KL</v>
      </c>
      <c r="C249" t="str">
        <f>'NET Genset Grounds'!I18</f>
        <v>BBB</v>
      </c>
      <c r="D249">
        <f>'NET Genset Grounds'!J18</f>
        <v>0</v>
      </c>
      <c r="E249">
        <f>'NET Genset Grounds'!K18</f>
        <v>0</v>
      </c>
      <c r="F249" s="8">
        <f>'NET Genset Grounds'!L18</f>
        <v>0</v>
      </c>
      <c r="G249" s="8">
        <f>'NET Genset Grounds'!M18</f>
        <v>0</v>
      </c>
      <c r="H249" s="8">
        <f>'NET Genset Grounds'!N18</f>
        <v>0</v>
      </c>
      <c r="I249" s="5">
        <f>'NET Genset Grounds'!O18</f>
        <v>0</v>
      </c>
    </row>
    <row r="250" spans="1:9">
      <c r="A250" t="str">
        <f>'NET Genset Grounds'!A19</f>
        <v>Petrol Generators Network Visionstream ACT</v>
      </c>
      <c r="B250" t="str">
        <f>'NET Genset Grounds'!H19</f>
        <v>KL</v>
      </c>
      <c r="C250" t="str">
        <f>'NET Genset Grounds'!I19</f>
        <v>BBB</v>
      </c>
      <c r="D250">
        <f>'NET Genset Grounds'!J19</f>
        <v>0</v>
      </c>
      <c r="E250">
        <f>'NET Genset Grounds'!K19</f>
        <v>0</v>
      </c>
      <c r="F250" s="8">
        <f>'NET Genset Grounds'!L19</f>
        <v>0</v>
      </c>
      <c r="G250" s="8">
        <f>'NET Genset Grounds'!M19</f>
        <v>0</v>
      </c>
      <c r="H250" s="8">
        <f>'NET Genset Grounds'!N19</f>
        <v>0</v>
      </c>
      <c r="I250" s="5">
        <f>'NET Genset Grounds'!O19</f>
        <v>0</v>
      </c>
    </row>
    <row r="251" spans="1:9">
      <c r="A251" t="str">
        <f>'NET Genset Grounds'!A20</f>
        <v>Petrol Generators Network Visionstream NSW</v>
      </c>
      <c r="B251" t="str">
        <f>'NET Genset Grounds'!H20</f>
        <v>KL</v>
      </c>
      <c r="C251" t="str">
        <f>'NET Genset Grounds'!I20</f>
        <v>BBB</v>
      </c>
      <c r="D251">
        <f>'NET Genset Grounds'!J20</f>
        <v>0</v>
      </c>
      <c r="E251">
        <f>'NET Genset Grounds'!K20</f>
        <v>0</v>
      </c>
      <c r="F251" s="8">
        <f>'NET Genset Grounds'!L20</f>
        <v>0</v>
      </c>
      <c r="G251" s="8">
        <f>'NET Genset Grounds'!M20</f>
        <v>0</v>
      </c>
      <c r="H251" s="8">
        <f>'NET Genset Grounds'!N20</f>
        <v>0</v>
      </c>
      <c r="I251" s="5">
        <f>'NET Genset Grounds'!O20</f>
        <v>0</v>
      </c>
    </row>
    <row r="252" spans="1:9">
      <c r="A252" t="str">
        <f>'NET Genset Grounds'!A21</f>
        <v>Petrol Generators Network Visionstream NT</v>
      </c>
      <c r="B252" t="str">
        <f>'NET Genset Grounds'!H21</f>
        <v>KL</v>
      </c>
      <c r="C252" t="str">
        <f>'NET Genset Grounds'!I21</f>
        <v>BBB</v>
      </c>
      <c r="D252">
        <f>'NET Genset Grounds'!J21</f>
        <v>0</v>
      </c>
      <c r="E252">
        <f>'NET Genset Grounds'!K21</f>
        <v>0</v>
      </c>
      <c r="F252" s="8">
        <f>'NET Genset Grounds'!L21</f>
        <v>0</v>
      </c>
      <c r="G252" s="8">
        <f>'NET Genset Grounds'!M21</f>
        <v>0</v>
      </c>
      <c r="H252" s="8">
        <f>'NET Genset Grounds'!N21</f>
        <v>0</v>
      </c>
      <c r="I252" s="5">
        <f>'NET Genset Grounds'!O21</f>
        <v>0</v>
      </c>
    </row>
    <row r="253" spans="1:9">
      <c r="A253" t="str">
        <f>'NET Genset Grounds'!A22</f>
        <v>Petrol Generators Network Visionstream QLD</v>
      </c>
      <c r="B253" t="str">
        <f>'NET Genset Grounds'!H22</f>
        <v>KL</v>
      </c>
      <c r="C253" t="str">
        <f>'NET Genset Grounds'!I22</f>
        <v>BBB</v>
      </c>
      <c r="D253">
        <f>'NET Genset Grounds'!J22</f>
        <v>0</v>
      </c>
      <c r="E253">
        <f>'NET Genset Grounds'!K22</f>
        <v>0</v>
      </c>
      <c r="F253" s="8">
        <f>'NET Genset Grounds'!L22</f>
        <v>0</v>
      </c>
      <c r="G253" s="8">
        <f>'NET Genset Grounds'!M22</f>
        <v>0</v>
      </c>
      <c r="H253" s="8">
        <f>'NET Genset Grounds'!N22</f>
        <v>0</v>
      </c>
      <c r="I253" s="5">
        <f>'NET Genset Grounds'!O22</f>
        <v>0</v>
      </c>
    </row>
    <row r="254" spans="1:9">
      <c r="A254" t="str">
        <f>'NET Genset Grounds'!A23</f>
        <v>Petrol Generators Network Visionstream SA</v>
      </c>
      <c r="B254" t="str">
        <f>'NET Genset Grounds'!H23</f>
        <v>KL</v>
      </c>
      <c r="C254" t="str">
        <f>'NET Genset Grounds'!I23</f>
        <v>BBB</v>
      </c>
      <c r="D254">
        <f>'NET Genset Grounds'!J23</f>
        <v>0</v>
      </c>
      <c r="E254">
        <f>'NET Genset Grounds'!K23</f>
        <v>0</v>
      </c>
      <c r="F254" s="8">
        <f>'NET Genset Grounds'!L23</f>
        <v>0</v>
      </c>
      <c r="G254" s="8">
        <f>'NET Genset Grounds'!M23</f>
        <v>0</v>
      </c>
      <c r="H254" s="8">
        <f>'NET Genset Grounds'!N23</f>
        <v>0</v>
      </c>
      <c r="I254" s="5">
        <f>'NET Genset Grounds'!O23</f>
        <v>0</v>
      </c>
    </row>
    <row r="255" spans="1:9">
      <c r="A255" t="str">
        <f>'NET Genset Grounds'!A24</f>
        <v>Petrol Generators Network Visionstream TAS</v>
      </c>
      <c r="B255" t="str">
        <f>'NET Genset Grounds'!H24</f>
        <v>KL</v>
      </c>
      <c r="C255" t="str">
        <f>'NET Genset Grounds'!I24</f>
        <v>BBB</v>
      </c>
      <c r="D255">
        <f>'NET Genset Grounds'!J24</f>
        <v>0</v>
      </c>
      <c r="E255">
        <f>'NET Genset Grounds'!K24</f>
        <v>0</v>
      </c>
      <c r="F255" s="8">
        <f>'NET Genset Grounds'!L24</f>
        <v>0</v>
      </c>
      <c r="G255" s="8">
        <f>'NET Genset Grounds'!M24</f>
        <v>0</v>
      </c>
      <c r="H255" s="8">
        <f>'NET Genset Grounds'!N24</f>
        <v>0</v>
      </c>
      <c r="I255" s="5">
        <f>'NET Genset Grounds'!O24</f>
        <v>0</v>
      </c>
    </row>
    <row r="256" spans="1:9">
      <c r="A256" t="str">
        <f>'NET Genset Grounds'!A25</f>
        <v>Petrol Generators Network Visionstream VIC</v>
      </c>
      <c r="B256" t="str">
        <f>'NET Genset Grounds'!H25</f>
        <v>KL</v>
      </c>
      <c r="C256" t="str">
        <f>'NET Genset Grounds'!I25</f>
        <v>BBB</v>
      </c>
      <c r="D256">
        <f>'NET Genset Grounds'!J25</f>
        <v>0</v>
      </c>
      <c r="E256">
        <f>'NET Genset Grounds'!K25</f>
        <v>0</v>
      </c>
      <c r="F256" s="8">
        <f>'NET Genset Grounds'!L25</f>
        <v>0</v>
      </c>
      <c r="G256" s="8">
        <f>'NET Genset Grounds'!M25</f>
        <v>0</v>
      </c>
      <c r="H256" s="8">
        <f>'NET Genset Grounds'!N25</f>
        <v>0</v>
      </c>
      <c r="I256" s="5">
        <f>'NET Genset Grounds'!O25</f>
        <v>0</v>
      </c>
    </row>
    <row r="257" spans="1:9">
      <c r="A257" t="str">
        <f>'NET Genset Grounds'!A26</f>
        <v>Petrol Generators Network Visionstream WA</v>
      </c>
      <c r="B257" t="str">
        <f>'NET Genset Grounds'!H26</f>
        <v>KL</v>
      </c>
      <c r="C257" t="str">
        <f>'NET Genset Grounds'!I26</f>
        <v>BBB</v>
      </c>
      <c r="D257">
        <f>'NET Genset Grounds'!J26</f>
        <v>0</v>
      </c>
      <c r="E257">
        <f>'NET Genset Grounds'!K26</f>
        <v>0</v>
      </c>
      <c r="F257" s="8">
        <f>'NET Genset Grounds'!L26</f>
        <v>0</v>
      </c>
      <c r="G257" s="8">
        <f>'NET Genset Grounds'!M26</f>
        <v>0</v>
      </c>
      <c r="H257" s="8">
        <f>'NET Genset Grounds'!N26</f>
        <v>0</v>
      </c>
      <c r="I257" s="5">
        <f>'NET Genset Grounds'!O26</f>
        <v>0</v>
      </c>
    </row>
    <row r="258" spans="1:9">
      <c r="A258" t="str">
        <f>'NET Genset Grounds'!A27</f>
        <v>Other Grounds Portable Gensets etc Diesel ACT</v>
      </c>
      <c r="B258" t="str">
        <f>'NET Genset Grounds'!H27</f>
        <v>KL</v>
      </c>
      <c r="C258" t="str">
        <f>'NET Genset Grounds'!I27</f>
        <v>BBB</v>
      </c>
      <c r="D258">
        <f>'NET Genset Grounds'!J27</f>
        <v>0</v>
      </c>
      <c r="E258">
        <f>'NET Genset Grounds'!K27</f>
        <v>0</v>
      </c>
      <c r="F258" s="8">
        <f>'NET Genset Grounds'!L27</f>
        <v>0</v>
      </c>
      <c r="G258" s="8">
        <f>'NET Genset Grounds'!M27</f>
        <v>0</v>
      </c>
      <c r="H258" s="8">
        <f>'NET Genset Grounds'!N27</f>
        <v>0</v>
      </c>
      <c r="I258" s="5">
        <f>'NET Genset Grounds'!O27</f>
        <v>0</v>
      </c>
    </row>
    <row r="259" spans="1:9">
      <c r="A259" t="str">
        <f>'NET Genset Grounds'!A28</f>
        <v>Other Grounds Portable Gensets etc Diesel NSW</v>
      </c>
      <c r="B259" t="str">
        <f>'NET Genset Grounds'!H28</f>
        <v>KL</v>
      </c>
      <c r="C259" t="str">
        <f>'NET Genset Grounds'!I28</f>
        <v>BBB</v>
      </c>
      <c r="D259">
        <f>'NET Genset Grounds'!J28</f>
        <v>0</v>
      </c>
      <c r="E259">
        <f>'NET Genset Grounds'!K28</f>
        <v>0</v>
      </c>
      <c r="F259" s="8">
        <f>'NET Genset Grounds'!L28</f>
        <v>0</v>
      </c>
      <c r="G259" s="8">
        <f>'NET Genset Grounds'!M28</f>
        <v>0</v>
      </c>
      <c r="H259" s="8">
        <f>'NET Genset Grounds'!N28</f>
        <v>0</v>
      </c>
      <c r="I259" s="5">
        <f>'NET Genset Grounds'!O28</f>
        <v>0</v>
      </c>
    </row>
    <row r="260" spans="1:9">
      <c r="A260" t="str">
        <f>'NET Genset Grounds'!A29</f>
        <v>Other Grounds Portable Gensets etc Diesel NT</v>
      </c>
      <c r="B260" t="str">
        <f>'NET Genset Grounds'!H29</f>
        <v>KL</v>
      </c>
      <c r="C260" t="str">
        <f>'NET Genset Grounds'!I29</f>
        <v>BBB</v>
      </c>
      <c r="D260">
        <f>'NET Genset Grounds'!J29</f>
        <v>0</v>
      </c>
      <c r="E260">
        <f>'NET Genset Grounds'!K29</f>
        <v>0</v>
      </c>
      <c r="F260" s="8">
        <f>'NET Genset Grounds'!L29</f>
        <v>0</v>
      </c>
      <c r="G260" s="8">
        <f>'NET Genset Grounds'!M29</f>
        <v>0</v>
      </c>
      <c r="H260" s="8">
        <f>'NET Genset Grounds'!N29</f>
        <v>0</v>
      </c>
      <c r="I260" s="5">
        <f>'NET Genset Grounds'!O29</f>
        <v>0</v>
      </c>
    </row>
    <row r="261" spans="1:9">
      <c r="A261" t="str">
        <f>'NET Genset Grounds'!A30</f>
        <v>Other Grounds Portable Gensets etc Diesel QLD</v>
      </c>
      <c r="B261" t="str">
        <f>'NET Genset Grounds'!H30</f>
        <v>KL</v>
      </c>
      <c r="C261" t="str">
        <f>'NET Genset Grounds'!I30</f>
        <v>BBB</v>
      </c>
      <c r="D261">
        <f>'NET Genset Grounds'!J30</f>
        <v>0</v>
      </c>
      <c r="E261">
        <f>'NET Genset Grounds'!K30</f>
        <v>0</v>
      </c>
      <c r="F261" s="8">
        <f>'NET Genset Grounds'!L30</f>
        <v>0</v>
      </c>
      <c r="G261" s="8">
        <f>'NET Genset Grounds'!M30</f>
        <v>0</v>
      </c>
      <c r="H261" s="8">
        <f>'NET Genset Grounds'!N30</f>
        <v>0</v>
      </c>
      <c r="I261" s="5">
        <f>'NET Genset Grounds'!O30</f>
        <v>0</v>
      </c>
    </row>
    <row r="262" spans="1:9">
      <c r="A262" t="str">
        <f>'NET Genset Grounds'!A31</f>
        <v>Other Grounds Portable Gensets etc Diesel SA</v>
      </c>
      <c r="B262" t="str">
        <f>'NET Genset Grounds'!H31</f>
        <v>KL</v>
      </c>
      <c r="C262" t="str">
        <f>'NET Genset Grounds'!I31</f>
        <v>BBB</v>
      </c>
      <c r="D262">
        <f>'NET Genset Grounds'!J31</f>
        <v>0</v>
      </c>
      <c r="E262">
        <f>'NET Genset Grounds'!K31</f>
        <v>0</v>
      </c>
      <c r="F262" s="8">
        <f>'NET Genset Grounds'!L31</f>
        <v>0</v>
      </c>
      <c r="G262" s="8">
        <f>'NET Genset Grounds'!M31</f>
        <v>0</v>
      </c>
      <c r="H262" s="8">
        <f>'NET Genset Grounds'!N31</f>
        <v>0</v>
      </c>
      <c r="I262" s="5">
        <f>'NET Genset Grounds'!O31</f>
        <v>0</v>
      </c>
    </row>
    <row r="263" spans="1:9">
      <c r="A263" t="str">
        <f>'NET Genset Grounds'!A32</f>
        <v>Other Grounds Portable Gensets etc Diesel TAS</v>
      </c>
      <c r="B263" t="str">
        <f>'NET Genset Grounds'!H32</f>
        <v>KL</v>
      </c>
      <c r="C263" t="str">
        <f>'NET Genset Grounds'!I32</f>
        <v>BBB</v>
      </c>
      <c r="D263">
        <f>'NET Genset Grounds'!J32</f>
        <v>0</v>
      </c>
      <c r="E263">
        <f>'NET Genset Grounds'!K32</f>
        <v>0</v>
      </c>
      <c r="F263" s="8">
        <f>'NET Genset Grounds'!L32</f>
        <v>0</v>
      </c>
      <c r="G263" s="8">
        <f>'NET Genset Grounds'!M32</f>
        <v>0</v>
      </c>
      <c r="H263" s="8">
        <f>'NET Genset Grounds'!N32</f>
        <v>0</v>
      </c>
      <c r="I263" s="5">
        <f>'NET Genset Grounds'!O32</f>
        <v>0</v>
      </c>
    </row>
    <row r="264" spans="1:9">
      <c r="A264" t="str">
        <f>'NET Genset Grounds'!A33</f>
        <v>Other Grounds Portable Gensets etc Diesel VIC</v>
      </c>
      <c r="B264" t="str">
        <f>'NET Genset Grounds'!H33</f>
        <v>KL</v>
      </c>
      <c r="C264" t="str">
        <f>'NET Genset Grounds'!I33</f>
        <v>BBB</v>
      </c>
      <c r="D264">
        <f>'NET Genset Grounds'!J33</f>
        <v>0</v>
      </c>
      <c r="E264">
        <f>'NET Genset Grounds'!K33</f>
        <v>0</v>
      </c>
      <c r="F264" s="8">
        <f>'NET Genset Grounds'!L33</f>
        <v>0</v>
      </c>
      <c r="G264" s="8">
        <f>'NET Genset Grounds'!M33</f>
        <v>0</v>
      </c>
      <c r="H264" s="8">
        <f>'NET Genset Grounds'!N33</f>
        <v>0</v>
      </c>
      <c r="I264" s="5">
        <f>'NET Genset Grounds'!O33</f>
        <v>0</v>
      </c>
    </row>
    <row r="265" spans="1:9">
      <c r="A265" t="str">
        <f>'NET Genset Grounds'!A34</f>
        <v>Other Grounds Portable Gensets etc Diesel WA</v>
      </c>
      <c r="B265" t="str">
        <f>'NET Genset Grounds'!H34</f>
        <v>KL</v>
      </c>
      <c r="C265" t="str">
        <f>'NET Genset Grounds'!I34</f>
        <v>BBB</v>
      </c>
      <c r="D265">
        <f>'NET Genset Grounds'!J34</f>
        <v>0</v>
      </c>
      <c r="E265">
        <f>'NET Genset Grounds'!K34</f>
        <v>0</v>
      </c>
      <c r="F265" s="8">
        <f>'NET Genset Grounds'!L34</f>
        <v>0</v>
      </c>
      <c r="G265" s="8">
        <f>'NET Genset Grounds'!M34</f>
        <v>0</v>
      </c>
      <c r="H265" s="8">
        <f>'NET Genset Grounds'!N34</f>
        <v>0</v>
      </c>
      <c r="I265" s="5">
        <f>'NET Genset Grounds'!O34</f>
        <v>0</v>
      </c>
    </row>
    <row r="266" spans="1:9">
      <c r="A266" t="str">
        <f>'NET Genset Grounds'!A35</f>
        <v>Other Grounds Portable Gensets etc LPG ACT</v>
      </c>
      <c r="B266" t="str">
        <f>'NET Genset Grounds'!H35</f>
        <v>KL</v>
      </c>
      <c r="C266" t="str">
        <f>'NET Genset Grounds'!I35</f>
        <v>BBB</v>
      </c>
      <c r="D266">
        <f>'NET Genset Grounds'!J35</f>
        <v>0</v>
      </c>
      <c r="E266">
        <f>'NET Genset Grounds'!K35</f>
        <v>0</v>
      </c>
      <c r="F266" s="8">
        <f>'NET Genset Grounds'!L35</f>
        <v>0</v>
      </c>
      <c r="G266" s="8">
        <f>'NET Genset Grounds'!M35</f>
        <v>0</v>
      </c>
      <c r="H266" s="8">
        <f>'NET Genset Grounds'!N35</f>
        <v>0</v>
      </c>
      <c r="I266" s="5">
        <f>'NET Genset Grounds'!O35</f>
        <v>0</v>
      </c>
    </row>
    <row r="267" spans="1:9">
      <c r="A267" t="str">
        <f>'NET Genset Grounds'!A36</f>
        <v>Other Grounds Portable Gensets etc LPG NSW</v>
      </c>
      <c r="B267" t="str">
        <f>'NET Genset Grounds'!H36</f>
        <v>KL</v>
      </c>
      <c r="C267" t="str">
        <f>'NET Genset Grounds'!I36</f>
        <v>BBB</v>
      </c>
      <c r="D267">
        <f>'NET Genset Grounds'!J36</f>
        <v>0</v>
      </c>
      <c r="E267">
        <f>'NET Genset Grounds'!K36</f>
        <v>0</v>
      </c>
      <c r="F267" s="8">
        <f>'NET Genset Grounds'!L36</f>
        <v>0</v>
      </c>
      <c r="G267" s="8">
        <f>'NET Genset Grounds'!M36</f>
        <v>0</v>
      </c>
      <c r="H267" s="8">
        <f>'NET Genset Grounds'!N36</f>
        <v>0</v>
      </c>
      <c r="I267" s="5">
        <f>'NET Genset Grounds'!O36</f>
        <v>0</v>
      </c>
    </row>
    <row r="268" spans="1:9">
      <c r="A268" t="str">
        <f>'NET Genset Grounds'!A37</f>
        <v>Other Grounds Portable Gensets etc LPG VIC</v>
      </c>
      <c r="B268" t="str">
        <f>'NET Genset Grounds'!H37</f>
        <v>KL</v>
      </c>
      <c r="C268" t="str">
        <f>'NET Genset Grounds'!I37</f>
        <v>BBB</v>
      </c>
      <c r="D268">
        <f>'NET Genset Grounds'!J37</f>
        <v>0</v>
      </c>
      <c r="E268">
        <f>'NET Genset Grounds'!K37</f>
        <v>0</v>
      </c>
      <c r="F268" s="8">
        <f>'NET Genset Grounds'!L37</f>
        <v>0</v>
      </c>
      <c r="G268" s="8">
        <f>'NET Genset Grounds'!M37</f>
        <v>0</v>
      </c>
      <c r="H268" s="8">
        <f>'NET Genset Grounds'!N37</f>
        <v>0</v>
      </c>
      <c r="I268" s="5">
        <f>'NET Genset Grounds'!O37</f>
        <v>0</v>
      </c>
    </row>
    <row r="269" spans="1:9">
      <c r="A269" t="str">
        <f>'NET Genset Grounds'!A38</f>
        <v>Other Grounds Portable Gensets etc LPG QLD</v>
      </c>
      <c r="B269" t="str">
        <f>'NET Genset Grounds'!H38</f>
        <v>KL</v>
      </c>
      <c r="C269" t="str">
        <f>'NET Genset Grounds'!I38</f>
        <v>BBB</v>
      </c>
      <c r="D269">
        <f>'NET Genset Grounds'!J38</f>
        <v>0</v>
      </c>
      <c r="E269">
        <f>'NET Genset Grounds'!K38</f>
        <v>0</v>
      </c>
      <c r="F269" s="8">
        <f>'NET Genset Grounds'!L38</f>
        <v>0</v>
      </c>
      <c r="G269" s="8">
        <f>'NET Genset Grounds'!M38</f>
        <v>0</v>
      </c>
      <c r="H269" s="8">
        <f>'NET Genset Grounds'!N38</f>
        <v>0</v>
      </c>
      <c r="I269" s="5">
        <f>'NET Genset Grounds'!O38</f>
        <v>0</v>
      </c>
    </row>
    <row r="270" spans="1:9">
      <c r="A270" t="str">
        <f>'NET Genset Grounds'!A39</f>
        <v>Other Grounds Portable Gensets etc LPG WA</v>
      </c>
      <c r="B270" t="str">
        <f>'NET Genset Grounds'!H39</f>
        <v>KL</v>
      </c>
      <c r="C270" t="str">
        <f>'NET Genset Grounds'!I39</f>
        <v>BBB</v>
      </c>
      <c r="D270">
        <f>'NET Genset Grounds'!J39</f>
        <v>0</v>
      </c>
      <c r="E270">
        <f>'NET Genset Grounds'!K39</f>
        <v>0</v>
      </c>
      <c r="F270" s="8">
        <f>'NET Genset Grounds'!L39</f>
        <v>0</v>
      </c>
      <c r="G270" s="8">
        <f>'NET Genset Grounds'!M39</f>
        <v>0</v>
      </c>
      <c r="H270" s="8">
        <f>'NET Genset Grounds'!N39</f>
        <v>0</v>
      </c>
      <c r="I270" s="5">
        <f>'NET Genset Grounds'!O39</f>
        <v>0</v>
      </c>
    </row>
    <row r="271" spans="1:9">
      <c r="A271" t="str">
        <f>'NET Genset Grounds'!A40</f>
        <v>Other Grounds Portable Gensets etc LPG SA</v>
      </c>
      <c r="B271" t="str">
        <f>'NET Genset Grounds'!H40</f>
        <v>KL</v>
      </c>
      <c r="C271" t="str">
        <f>'NET Genset Grounds'!I40</f>
        <v>BBB</v>
      </c>
      <c r="D271">
        <f>'NET Genset Grounds'!J40</f>
        <v>0</v>
      </c>
      <c r="E271">
        <f>'NET Genset Grounds'!K40</f>
        <v>0</v>
      </c>
      <c r="F271" s="8">
        <f>'NET Genset Grounds'!L40</f>
        <v>0</v>
      </c>
      <c r="G271" s="8">
        <f>'NET Genset Grounds'!M40</f>
        <v>0</v>
      </c>
      <c r="H271" s="8">
        <f>'NET Genset Grounds'!N40</f>
        <v>0</v>
      </c>
      <c r="I271" s="5">
        <f>'NET Genset Grounds'!O40</f>
        <v>0</v>
      </c>
    </row>
    <row r="272" spans="1:9">
      <c r="A272" t="str">
        <f>'NET Genset Grounds'!A41</f>
        <v>Other Grounds Portable Gensets etc LPG TAS</v>
      </c>
      <c r="B272" t="str">
        <f>'NET Genset Grounds'!H41</f>
        <v>KL</v>
      </c>
      <c r="C272" t="str">
        <f>'NET Genset Grounds'!I41</f>
        <v>BBB</v>
      </c>
      <c r="D272">
        <f>'NET Genset Grounds'!J41</f>
        <v>0</v>
      </c>
      <c r="E272">
        <f>'NET Genset Grounds'!K41</f>
        <v>0</v>
      </c>
      <c r="F272" s="8">
        <f>'NET Genset Grounds'!L41</f>
        <v>0</v>
      </c>
      <c r="G272" s="8">
        <f>'NET Genset Grounds'!M41</f>
        <v>0</v>
      </c>
      <c r="H272" s="8">
        <f>'NET Genset Grounds'!N41</f>
        <v>0</v>
      </c>
      <c r="I272" s="5">
        <f>'NET Genset Grounds'!O41</f>
        <v>0</v>
      </c>
    </row>
    <row r="273" spans="1:9">
      <c r="A273" t="str">
        <f>'NET Genset Grounds'!A42</f>
        <v>Other Grounds Portable Gensets etc LPG NT</v>
      </c>
      <c r="B273" t="str">
        <f>'NET Genset Grounds'!H42</f>
        <v>KL</v>
      </c>
      <c r="C273" t="str">
        <f>'NET Genset Grounds'!I42</f>
        <v>BBB</v>
      </c>
      <c r="D273">
        <f>'NET Genset Grounds'!J42</f>
        <v>0</v>
      </c>
      <c r="E273">
        <f>'NET Genset Grounds'!K42</f>
        <v>0</v>
      </c>
      <c r="F273" s="8">
        <f>'NET Genset Grounds'!L42</f>
        <v>0</v>
      </c>
      <c r="G273" s="8">
        <f>'NET Genset Grounds'!M42</f>
        <v>0</v>
      </c>
      <c r="H273" s="8">
        <f>'NET Genset Grounds'!N42</f>
        <v>0</v>
      </c>
      <c r="I273" s="5">
        <f>'NET Genset Grounds'!O42</f>
        <v>0</v>
      </c>
    </row>
    <row r="274" spans="1:9">
      <c r="A274" t="str">
        <f>'NET Genset Grounds'!A43</f>
        <v>Other Grounds Portable Gensets etc Petrol ACT</v>
      </c>
      <c r="B274" t="str">
        <f>'NET Genset Grounds'!H43</f>
        <v>KL</v>
      </c>
      <c r="C274" t="str">
        <f>'NET Genset Grounds'!I43</f>
        <v>BBB</v>
      </c>
      <c r="D274">
        <f>'NET Genset Grounds'!J43</f>
        <v>0</v>
      </c>
      <c r="E274">
        <f>'NET Genset Grounds'!K43</f>
        <v>0</v>
      </c>
      <c r="F274" s="8">
        <f>'NET Genset Grounds'!L43</f>
        <v>0</v>
      </c>
      <c r="G274" s="8">
        <f>'NET Genset Grounds'!M43</f>
        <v>0</v>
      </c>
      <c r="H274" s="8">
        <f>'NET Genset Grounds'!N43</f>
        <v>0</v>
      </c>
      <c r="I274" s="5">
        <f>'NET Genset Grounds'!O43</f>
        <v>0</v>
      </c>
    </row>
    <row r="275" spans="1:9">
      <c r="A275" t="str">
        <f>'NET Genset Grounds'!A44</f>
        <v>Other Grounds Portable Gensets etc Petrol NSW</v>
      </c>
      <c r="B275" t="str">
        <f>'NET Genset Grounds'!H44</f>
        <v>KL</v>
      </c>
      <c r="C275" t="str">
        <f>'NET Genset Grounds'!I44</f>
        <v>BBB</v>
      </c>
      <c r="D275">
        <f>'NET Genset Grounds'!J44</f>
        <v>0.93127905958239754</v>
      </c>
      <c r="E275">
        <f>'NET Genset Grounds'!K44</f>
        <v>31.849743837717998</v>
      </c>
      <c r="F275" s="8">
        <f>'NET Genset Grounds'!L44</f>
        <v>2159.4126321972808</v>
      </c>
      <c r="G275" s="8">
        <f>'NET Genset Grounds'!M44</f>
        <v>0</v>
      </c>
      <c r="H275" s="8">
        <f>'NET Genset Grounds'!N44</f>
        <v>114.6590778157848</v>
      </c>
      <c r="I275" s="5">
        <f>'NET Genset Grounds'!O44</f>
        <v>2274.0717100130655</v>
      </c>
    </row>
    <row r="276" spans="1:9">
      <c r="A276" t="str">
        <f>'NET Genset Grounds'!A45</f>
        <v>Other Grounds Portable Gensets etc Petrol NT</v>
      </c>
      <c r="B276" t="str">
        <f>'NET Genset Grounds'!H45</f>
        <v>KL</v>
      </c>
      <c r="C276" t="str">
        <f>'NET Genset Grounds'!I45</f>
        <v>BBB</v>
      </c>
      <c r="D276">
        <f>'NET Genset Grounds'!J45</f>
        <v>0.01</v>
      </c>
      <c r="E276">
        <f>'NET Genset Grounds'!K45</f>
        <v>0.34200000000000003</v>
      </c>
      <c r="F276" s="8">
        <f>'NET Genset Grounds'!L45</f>
        <v>23.187600000000007</v>
      </c>
      <c r="G276" s="8">
        <f>'NET Genset Grounds'!M45</f>
        <v>0</v>
      </c>
      <c r="H276" s="8">
        <f>'NET Genset Grounds'!N45</f>
        <v>1.2312000000000001</v>
      </c>
      <c r="I276" s="5">
        <f>'NET Genset Grounds'!O45</f>
        <v>24.418800000000008</v>
      </c>
    </row>
    <row r="277" spans="1:9">
      <c r="A277" t="str">
        <f>'NET Genset Grounds'!A46</f>
        <v>Other Grounds Portable Gensets etc Petrol QLD</v>
      </c>
      <c r="B277" t="str">
        <f>'NET Genset Grounds'!H46</f>
        <v>KL</v>
      </c>
      <c r="C277" t="str">
        <f>'NET Genset Grounds'!I46</f>
        <v>BBB</v>
      </c>
      <c r="D277">
        <f>'NET Genset Grounds'!J46</f>
        <v>0.4333243204748915</v>
      </c>
      <c r="E277">
        <f>'NET Genset Grounds'!K46</f>
        <v>14.819691760241291</v>
      </c>
      <c r="F277" s="8">
        <f>'NET Genset Grounds'!L46</f>
        <v>1004.7751013443597</v>
      </c>
      <c r="G277" s="8">
        <f>'NET Genset Grounds'!M46</f>
        <v>0</v>
      </c>
      <c r="H277" s="8">
        <f>'NET Genset Grounds'!N46</f>
        <v>53.350890336868652</v>
      </c>
      <c r="I277" s="5">
        <f>'NET Genset Grounds'!O46</f>
        <v>1058.1259916812282</v>
      </c>
    </row>
    <row r="278" spans="1:9">
      <c r="A278" t="str">
        <f>'NET Genset Grounds'!A47</f>
        <v>Other Grounds Portable Gensets etc Petrol SA</v>
      </c>
      <c r="B278" t="str">
        <f>'NET Genset Grounds'!H47</f>
        <v>KL</v>
      </c>
      <c r="C278" t="str">
        <f>'NET Genset Grounds'!I47</f>
        <v>BBB</v>
      </c>
      <c r="D278">
        <f>'NET Genset Grounds'!J47</f>
        <v>9.69E-2</v>
      </c>
      <c r="E278">
        <f>'NET Genset Grounds'!K47</f>
        <v>3.3139800000000004</v>
      </c>
      <c r="F278" s="8">
        <f>'NET Genset Grounds'!L47</f>
        <v>224.68784400000007</v>
      </c>
      <c r="G278" s="8">
        <f>'NET Genset Grounds'!M47</f>
        <v>0</v>
      </c>
      <c r="H278" s="8">
        <f>'NET Genset Grounds'!N47</f>
        <v>11.930328000000001</v>
      </c>
      <c r="I278" s="5">
        <f>'NET Genset Grounds'!O47</f>
        <v>236.61817200000007</v>
      </c>
    </row>
    <row r="279" spans="1:9">
      <c r="A279" t="str">
        <f>'NET Genset Grounds'!A48</f>
        <v>Other Grounds Portable Gensets etc Petrol TAS</v>
      </c>
      <c r="B279" t="str">
        <f>'NET Genset Grounds'!H48</f>
        <v>KL</v>
      </c>
      <c r="C279" t="str">
        <f>'NET Genset Grounds'!I48</f>
        <v>BBB</v>
      </c>
      <c r="D279">
        <f>'NET Genset Grounds'!J48</f>
        <v>0.36368791695971503</v>
      </c>
      <c r="E279">
        <f>'NET Genset Grounds'!K48</f>
        <v>12.438126760022255</v>
      </c>
      <c r="F279" s="8">
        <f>'NET Genset Grounds'!L48</f>
        <v>843.3049943295091</v>
      </c>
      <c r="G279" s="8">
        <f>'NET Genset Grounds'!M48</f>
        <v>0</v>
      </c>
      <c r="H279" s="8">
        <f>'NET Genset Grounds'!N48</f>
        <v>44.777256336080121</v>
      </c>
      <c r="I279" s="5">
        <f>'NET Genset Grounds'!O48</f>
        <v>888.08225066558919</v>
      </c>
    </row>
    <row r="280" spans="1:9">
      <c r="A280" t="str">
        <f>'NET Genset Grounds'!A49</f>
        <v>Other Grounds Portable Gensets etc Petrol VIC</v>
      </c>
      <c r="B280" t="str">
        <f>'NET Genset Grounds'!H49</f>
        <v>KL</v>
      </c>
      <c r="C280" t="str">
        <f>'NET Genset Grounds'!I49</f>
        <v>BBB</v>
      </c>
      <c r="D280">
        <f>'NET Genset Grounds'!J49</f>
        <v>0.7654604466407805</v>
      </c>
      <c r="E280">
        <f>'NET Genset Grounds'!K49</f>
        <v>26.178747275114695</v>
      </c>
      <c r="F280" s="8">
        <f>'NET Genset Grounds'!L49</f>
        <v>1774.9190652527766</v>
      </c>
      <c r="G280" s="8">
        <f>'NET Genset Grounds'!M49</f>
        <v>0</v>
      </c>
      <c r="H280" s="8">
        <f>'NET Genset Grounds'!N49</f>
        <v>94.243490190412899</v>
      </c>
      <c r="I280" s="5">
        <f>'NET Genset Grounds'!O49</f>
        <v>1869.1625554431894</v>
      </c>
    </row>
    <row r="281" spans="1:9">
      <c r="A281" t="str">
        <f>'NET Genset Grounds'!A50</f>
        <v>Other Grounds Portable Gensets etc Petrol WA</v>
      </c>
      <c r="B281" t="str">
        <f>'NET Genset Grounds'!H50</f>
        <v>KL</v>
      </c>
      <c r="C281" t="str">
        <f>'NET Genset Grounds'!I50</f>
        <v>BBB</v>
      </c>
      <c r="D281">
        <f>'NET Genset Grounds'!J50</f>
        <v>18.127644394960651</v>
      </c>
      <c r="E281">
        <f>'NET Genset Grounds'!K50</f>
        <v>619.96543830765427</v>
      </c>
      <c r="F281" s="8">
        <f>'NET Genset Grounds'!L50</f>
        <v>42033.656717258964</v>
      </c>
      <c r="G281" s="8">
        <f>'NET Genset Grounds'!M50</f>
        <v>0</v>
      </c>
      <c r="H281" s="8">
        <f>'NET Genset Grounds'!N50</f>
        <v>2231.8755779075555</v>
      </c>
      <c r="I281" s="5">
        <f>'NET Genset Grounds'!O50</f>
        <v>44265.532295166522</v>
      </c>
    </row>
    <row r="282" spans="1:9">
      <c r="A282" s="25"/>
      <c r="B282" s="25"/>
      <c r="C282" s="25"/>
      <c r="D282" s="25"/>
      <c r="E282" s="25"/>
      <c r="F282" s="205"/>
      <c r="G282" s="205"/>
      <c r="H282" s="205"/>
      <c r="I282" s="38"/>
    </row>
    <row r="284" spans="1:9">
      <c r="A284" s="36" t="s">
        <v>750</v>
      </c>
      <c r="B284" s="71" t="s">
        <v>649</v>
      </c>
      <c r="C284" s="71" t="s">
        <v>684</v>
      </c>
      <c r="D284" s="71" t="s">
        <v>650</v>
      </c>
      <c r="E284" s="71" t="s">
        <v>651</v>
      </c>
      <c r="F284" s="204" t="s">
        <v>652</v>
      </c>
      <c r="G284" s="204" t="s">
        <v>653</v>
      </c>
      <c r="H284" s="204" t="s">
        <v>654</v>
      </c>
      <c r="I284" s="199" t="s">
        <v>751</v>
      </c>
    </row>
    <row r="285" spans="1:9">
      <c r="A285" t="str">
        <f>'NON Genset'!A3</f>
        <v>Diesel Generators NON-Network COMMERCIAL JLL ACT</v>
      </c>
      <c r="B285" t="str">
        <f>'NON Genset'!K3</f>
        <v>KL</v>
      </c>
      <c r="C285" t="str">
        <f>'NON Genset'!L3</f>
        <v>BBB</v>
      </c>
      <c r="D285">
        <f>'NON Genset'!M3</f>
        <v>0.46300010000000003</v>
      </c>
      <c r="E285">
        <f>'NON Genset'!N3</f>
        <v>17.87180386</v>
      </c>
      <c r="F285" s="8">
        <f>'NON Genset'!O3</f>
        <v>1254.6006309720001</v>
      </c>
      <c r="G285" s="8">
        <f>'NON Genset'!P3</f>
        <v>0</v>
      </c>
      <c r="H285" s="8">
        <f>'NON Genset'!Q3</f>
        <v>64.338493896000003</v>
      </c>
      <c r="I285" s="5">
        <f>'NON Genset'!R3</f>
        <v>1318.9391248680001</v>
      </c>
    </row>
    <row r="286" spans="1:9">
      <c r="A286" t="str">
        <f>'NON Genset'!A4</f>
        <v>Diesel Generators NON-Network COMMERCIAL JLL NSW</v>
      </c>
      <c r="B286" t="str">
        <f>'NON Genset'!K4</f>
        <v>KL</v>
      </c>
      <c r="C286" t="str">
        <f>'NON Genset'!L4</f>
        <v>BBB</v>
      </c>
      <c r="D286">
        <f>'NON Genset'!M4</f>
        <v>0.43199969999999999</v>
      </c>
      <c r="E286">
        <f>'NON Genset'!N4</f>
        <v>16.675188420000001</v>
      </c>
      <c r="F286" s="8">
        <f>'NON Genset'!O4</f>
        <v>1170.5982270840002</v>
      </c>
      <c r="G286" s="8">
        <f>'NON Genset'!P4</f>
        <v>0</v>
      </c>
      <c r="H286" s="8">
        <f>'NON Genset'!Q4</f>
        <v>60.030678312000006</v>
      </c>
      <c r="I286" s="5">
        <f>'NON Genset'!R4</f>
        <v>1230.6289053960002</v>
      </c>
    </row>
    <row r="287" spans="1:9">
      <c r="A287" t="str">
        <f>'NON Genset'!A5</f>
        <v>Diesel Generators NON-Network COMMERCIAL JLL NT</v>
      </c>
      <c r="B287" t="str">
        <f>'NON Genset'!K5</f>
        <v>KL</v>
      </c>
      <c r="C287" t="str">
        <f>'NON Genset'!L5</f>
        <v>BBB</v>
      </c>
      <c r="D287">
        <f>'NON Genset'!M5</f>
        <v>0</v>
      </c>
      <c r="E287">
        <f>'NON Genset'!N5</f>
        <v>0</v>
      </c>
      <c r="F287" s="8">
        <f>'NON Genset'!O5</f>
        <v>0</v>
      </c>
      <c r="G287" s="8">
        <f>'NON Genset'!P5</f>
        <v>0</v>
      </c>
      <c r="H287" s="8">
        <f>'NON Genset'!Q5</f>
        <v>0</v>
      </c>
      <c r="I287" s="5">
        <f>'NON Genset'!R5</f>
        <v>0</v>
      </c>
    </row>
    <row r="288" spans="1:9">
      <c r="A288" t="str">
        <f>'NON Genset'!A6</f>
        <v>Diesel Generators NON-Network COMMERCIAL JLL QLD</v>
      </c>
      <c r="B288" t="str">
        <f>'NON Genset'!K6</f>
        <v>KL</v>
      </c>
      <c r="C288" t="str">
        <f>'NON Genset'!L6</f>
        <v>BBB</v>
      </c>
      <c r="D288">
        <f>'NON Genset'!M6</f>
        <v>0.68999960000000005</v>
      </c>
      <c r="E288">
        <f>'NON Genset'!N6</f>
        <v>26.633984560000002</v>
      </c>
      <c r="F288" s="8">
        <f>'NON Genset'!O6</f>
        <v>1869.7057161120001</v>
      </c>
      <c r="G288" s="8">
        <f>'NON Genset'!P6</f>
        <v>0</v>
      </c>
      <c r="H288" s="8">
        <f>'NON Genset'!Q6</f>
        <v>95.882344416000009</v>
      </c>
      <c r="I288" s="5">
        <f>'NON Genset'!R6</f>
        <v>1965.5880605280001</v>
      </c>
    </row>
    <row r="289" spans="1:9">
      <c r="A289" t="str">
        <f>'NON Genset'!A7</f>
        <v>Diesel Generators NON-Network COMMERCIAL JLL SA</v>
      </c>
      <c r="B289" t="str">
        <f>'NON Genset'!K7</f>
        <v>KL</v>
      </c>
      <c r="C289" t="str">
        <f>'NON Genset'!L7</f>
        <v>BBB</v>
      </c>
      <c r="D289">
        <f>'NON Genset'!M7</f>
        <v>8.6999799999999988E-2</v>
      </c>
      <c r="E289">
        <f>'NON Genset'!N7</f>
        <v>3.3581922799999995</v>
      </c>
      <c r="F289" s="8">
        <f>'NON Genset'!O7</f>
        <v>235.74509805599996</v>
      </c>
      <c r="G289" s="8">
        <f>'NON Genset'!P7</f>
        <v>0</v>
      </c>
      <c r="H289" s="8">
        <f>'NON Genset'!Q7</f>
        <v>12.089492207999998</v>
      </c>
      <c r="I289" s="5">
        <f>'NON Genset'!R7</f>
        <v>247.83459026399996</v>
      </c>
    </row>
    <row r="290" spans="1:9">
      <c r="A290" t="str">
        <f>'NON Genset'!A8</f>
        <v>Diesel Generators NON-Network COMMERCIAL JLL TAS</v>
      </c>
      <c r="B290" t="str">
        <f>'NON Genset'!K8</f>
        <v>KL</v>
      </c>
      <c r="C290" t="str">
        <f>'NON Genset'!L8</f>
        <v>BBB</v>
      </c>
      <c r="D290">
        <f>'NON Genset'!M8</f>
        <v>0</v>
      </c>
      <c r="E290">
        <f>'NON Genset'!N8</f>
        <v>0</v>
      </c>
      <c r="F290" s="8">
        <f>'NON Genset'!O8</f>
        <v>0</v>
      </c>
      <c r="G290" s="8">
        <f>'NON Genset'!P8</f>
        <v>0</v>
      </c>
      <c r="H290" s="8">
        <f>'NON Genset'!Q8</f>
        <v>0</v>
      </c>
      <c r="I290" s="5">
        <f>'NON Genset'!R8</f>
        <v>0</v>
      </c>
    </row>
    <row r="291" spans="1:9">
      <c r="A291" t="str">
        <f>'NON Genset'!A9</f>
        <v>Diesel Generators NON-Network COMMERCIAL JLL VIC</v>
      </c>
      <c r="B291" t="str">
        <f>'NON Genset'!K9</f>
        <v>KL</v>
      </c>
      <c r="C291" t="str">
        <f>'NON Genset'!L9</f>
        <v>BBB</v>
      </c>
      <c r="D291">
        <f>'NON Genset'!M9</f>
        <v>0.1899999</v>
      </c>
      <c r="E291">
        <f>'NON Genset'!N9</f>
        <v>7.33399614</v>
      </c>
      <c r="F291" s="8">
        <f>'NON Genset'!O9</f>
        <v>514.84652902800008</v>
      </c>
      <c r="G291" s="8">
        <f>'NON Genset'!P9</f>
        <v>0</v>
      </c>
      <c r="H291" s="8">
        <f>'NON Genset'!Q9</f>
        <v>26.402386104000001</v>
      </c>
      <c r="I291" s="5">
        <f>'NON Genset'!R9</f>
        <v>541.24891513200009</v>
      </c>
    </row>
    <row r="292" spans="1:9">
      <c r="A292" t="str">
        <f>'NON Genset'!A10</f>
        <v>Diesel Generators NON-Network COMMERCIAL JLL WA</v>
      </c>
      <c r="B292" t="str">
        <f>'NON Genset'!K10</f>
        <v>KL</v>
      </c>
      <c r="C292" t="str">
        <f>'NON Genset'!L10</f>
        <v>BBB</v>
      </c>
      <c r="D292">
        <f>'NON Genset'!M10</f>
        <v>0</v>
      </c>
      <c r="E292">
        <f>'NON Genset'!N10</f>
        <v>0</v>
      </c>
      <c r="F292" s="8">
        <f>'NON Genset'!O10</f>
        <v>0</v>
      </c>
      <c r="G292" s="8">
        <f>'NON Genset'!P10</f>
        <v>0</v>
      </c>
      <c r="H292" s="8">
        <f>'NON Genset'!Q10</f>
        <v>0</v>
      </c>
      <c r="I292" s="5">
        <f>'NON Genset'!R10</f>
        <v>0</v>
      </c>
    </row>
    <row r="293" spans="1:9">
      <c r="A293" t="str">
        <f>'NON Genset'!A11</f>
        <v>LPG Generators NON-Network COMMERCIAL JLL ACT</v>
      </c>
      <c r="B293" t="str">
        <f>'NON Genset'!K11</f>
        <v>KL</v>
      </c>
      <c r="C293" t="str">
        <f>'NON Genset'!L11</f>
        <v>BBB</v>
      </c>
      <c r="D293">
        <f>'NON Genset'!M11</f>
        <v>0</v>
      </c>
      <c r="E293">
        <f>'NON Genset'!N11</f>
        <v>0</v>
      </c>
      <c r="F293" s="8">
        <f>'NON Genset'!O11</f>
        <v>0</v>
      </c>
      <c r="G293" s="8">
        <f>'NON Genset'!P11</f>
        <v>0</v>
      </c>
      <c r="H293" s="8">
        <f>'NON Genset'!Q11</f>
        <v>0</v>
      </c>
      <c r="I293" s="5">
        <f>'NON Genset'!R11</f>
        <v>0</v>
      </c>
    </row>
    <row r="294" spans="1:9">
      <c r="A294" t="str">
        <f>'NON Genset'!A12</f>
        <v>LPG Generators NON-Network COMMERCIAL JLL NSW</v>
      </c>
      <c r="B294" t="str">
        <f>'NON Genset'!K12</f>
        <v>KL</v>
      </c>
      <c r="C294" t="str">
        <f>'NON Genset'!L12</f>
        <v>BBB</v>
      </c>
      <c r="D294">
        <f>'NON Genset'!M12</f>
        <v>0</v>
      </c>
      <c r="E294">
        <f>'NON Genset'!N12</f>
        <v>0</v>
      </c>
      <c r="F294" s="8">
        <f>'NON Genset'!O12</f>
        <v>0</v>
      </c>
      <c r="G294" s="8">
        <f>'NON Genset'!P12</f>
        <v>0</v>
      </c>
      <c r="H294" s="8">
        <f>'NON Genset'!Q12</f>
        <v>0</v>
      </c>
      <c r="I294" s="5">
        <f>'NON Genset'!R12</f>
        <v>0</v>
      </c>
    </row>
    <row r="295" spans="1:9">
      <c r="A295" t="str">
        <f>'NON Genset'!A13</f>
        <v>LPG Generators NON-Network COMMERCIAL JLL NT</v>
      </c>
      <c r="B295" t="str">
        <f>'NON Genset'!K13</f>
        <v>KL</v>
      </c>
      <c r="C295" t="str">
        <f>'NON Genset'!L13</f>
        <v>BBB</v>
      </c>
      <c r="D295">
        <f>'NON Genset'!M13</f>
        <v>0</v>
      </c>
      <c r="E295">
        <f>'NON Genset'!N13</f>
        <v>0</v>
      </c>
      <c r="F295" s="8">
        <f>'NON Genset'!O13</f>
        <v>0</v>
      </c>
      <c r="G295" s="8">
        <f>'NON Genset'!P13</f>
        <v>0</v>
      </c>
      <c r="H295" s="8">
        <f>'NON Genset'!Q13</f>
        <v>0</v>
      </c>
      <c r="I295" s="5">
        <f>'NON Genset'!R13</f>
        <v>0</v>
      </c>
    </row>
    <row r="296" spans="1:9">
      <c r="A296" t="str">
        <f>'NON Genset'!A14</f>
        <v>LPG Generators NON-Network COMMERCIAL JLL QLD</v>
      </c>
      <c r="B296" t="str">
        <f>'NON Genset'!K14</f>
        <v>KL</v>
      </c>
      <c r="C296" t="str">
        <f>'NON Genset'!L14</f>
        <v>BBB</v>
      </c>
      <c r="D296">
        <f>'NON Genset'!M14</f>
        <v>0</v>
      </c>
      <c r="E296">
        <f>'NON Genset'!N14</f>
        <v>0</v>
      </c>
      <c r="F296" s="8">
        <f>'NON Genset'!O14</f>
        <v>0</v>
      </c>
      <c r="G296" s="8">
        <f>'NON Genset'!P14</f>
        <v>0</v>
      </c>
      <c r="H296" s="8">
        <f>'NON Genset'!Q14</f>
        <v>0</v>
      </c>
      <c r="I296" s="5">
        <f>'NON Genset'!R14</f>
        <v>0</v>
      </c>
    </row>
    <row r="297" spans="1:9">
      <c r="A297" t="str">
        <f>'NON Genset'!A15</f>
        <v>LPG Generators NON-Network COMMERCIAL JLL SA</v>
      </c>
      <c r="B297" t="str">
        <f>'NON Genset'!K15</f>
        <v>KL</v>
      </c>
      <c r="C297" t="str">
        <f>'NON Genset'!L15</f>
        <v>BBB</v>
      </c>
      <c r="D297">
        <f>'NON Genset'!M15</f>
        <v>0</v>
      </c>
      <c r="E297">
        <f>'NON Genset'!N15</f>
        <v>0</v>
      </c>
      <c r="F297" s="8">
        <f>'NON Genset'!O15</f>
        <v>0</v>
      </c>
      <c r="G297" s="8">
        <f>'NON Genset'!P15</f>
        <v>0</v>
      </c>
      <c r="H297" s="8">
        <f>'NON Genset'!Q15</f>
        <v>0</v>
      </c>
      <c r="I297" s="5">
        <f>'NON Genset'!R15</f>
        <v>0</v>
      </c>
    </row>
    <row r="298" spans="1:9">
      <c r="A298" t="str">
        <f>'NON Genset'!A16</f>
        <v>LPG Generators NON-Network COMMERCIAL JLL TAS</v>
      </c>
      <c r="B298" t="str">
        <f>'NON Genset'!K16</f>
        <v>KL</v>
      </c>
      <c r="C298" t="str">
        <f>'NON Genset'!L16</f>
        <v>BBB</v>
      </c>
      <c r="D298">
        <f>'NON Genset'!M16</f>
        <v>0</v>
      </c>
      <c r="E298">
        <f>'NON Genset'!N16</f>
        <v>0</v>
      </c>
      <c r="F298" s="8">
        <f>'NON Genset'!O16</f>
        <v>0</v>
      </c>
      <c r="G298" s="8">
        <f>'NON Genset'!P16</f>
        <v>0</v>
      </c>
      <c r="H298" s="8">
        <f>'NON Genset'!Q16</f>
        <v>0</v>
      </c>
      <c r="I298" s="5">
        <f>'NON Genset'!R16</f>
        <v>0</v>
      </c>
    </row>
    <row r="299" spans="1:9">
      <c r="A299" t="str">
        <f>'NON Genset'!A17</f>
        <v>LPG Generators NON-Network COMMERCIAL JLL VIC</v>
      </c>
      <c r="B299" t="str">
        <f>'NON Genset'!K17</f>
        <v>KL</v>
      </c>
      <c r="C299" t="str">
        <f>'NON Genset'!L17</f>
        <v>BBB</v>
      </c>
      <c r="D299">
        <f>'NON Genset'!M17</f>
        <v>0</v>
      </c>
      <c r="E299">
        <f>'NON Genset'!N17</f>
        <v>0</v>
      </c>
      <c r="F299" s="8">
        <f>'NON Genset'!O17</f>
        <v>0</v>
      </c>
      <c r="G299" s="8">
        <f>'NON Genset'!P17</f>
        <v>0</v>
      </c>
      <c r="H299" s="8">
        <f>'NON Genset'!Q17</f>
        <v>0</v>
      </c>
      <c r="I299" s="5">
        <f>'NON Genset'!R17</f>
        <v>0</v>
      </c>
    </row>
    <row r="300" spans="1:9">
      <c r="A300" t="str">
        <f>'NON Genset'!A18</f>
        <v>LPG Generators NON-Network COMMERCIAL JLL WA</v>
      </c>
      <c r="B300" t="str">
        <f>'NON Genset'!K18</f>
        <v>KL</v>
      </c>
      <c r="C300" t="str">
        <f>'NON Genset'!L18</f>
        <v>BBB</v>
      </c>
      <c r="D300">
        <f>'NON Genset'!M18</f>
        <v>0</v>
      </c>
      <c r="E300">
        <f>'NON Genset'!N18</f>
        <v>0</v>
      </c>
      <c r="F300" s="8">
        <f>'NON Genset'!O18</f>
        <v>0</v>
      </c>
      <c r="G300" s="8">
        <f>'NON Genset'!P18</f>
        <v>0</v>
      </c>
      <c r="H300" s="8">
        <f>'NON Genset'!Q18</f>
        <v>0</v>
      </c>
      <c r="I300" s="5">
        <f>'NON Genset'!R18</f>
        <v>0</v>
      </c>
    </row>
    <row r="301" spans="1:9">
      <c r="A301" s="25"/>
      <c r="B301" s="25"/>
      <c r="C301" s="25"/>
      <c r="D301" s="25"/>
      <c r="E301" s="25"/>
      <c r="F301" s="205"/>
      <c r="G301" s="205"/>
      <c r="H301" s="205"/>
      <c r="I301" s="38"/>
    </row>
    <row r="303" spans="1:9">
      <c r="A303" s="36" t="s">
        <v>750</v>
      </c>
      <c r="B303" s="71" t="s">
        <v>649</v>
      </c>
      <c r="C303" s="71" t="s">
        <v>684</v>
      </c>
      <c r="D303" s="71" t="s">
        <v>650</v>
      </c>
      <c r="E303" s="71" t="s">
        <v>651</v>
      </c>
      <c r="F303" s="204" t="s">
        <v>652</v>
      </c>
      <c r="G303" s="204" t="s">
        <v>653</v>
      </c>
      <c r="H303" s="204" t="s">
        <v>654</v>
      </c>
      <c r="I303" s="199" t="s">
        <v>751</v>
      </c>
    </row>
    <row r="304" spans="1:9">
      <c r="A304" t="str">
        <f>Pitwater!A3</f>
        <v>Pitwater fuel Diesel NSW</v>
      </c>
      <c r="B304" t="str">
        <f>Pitwater!D3</f>
        <v>KL</v>
      </c>
      <c r="C304" t="str">
        <f>Pitwater!E3</f>
        <v>BBB</v>
      </c>
      <c r="D304">
        <f>Pitwater!F3</f>
        <v>0.57964539999999998</v>
      </c>
      <c r="E304">
        <f>Pitwater!G3</f>
        <v>22.374312440000001</v>
      </c>
      <c r="F304" s="8">
        <f>Pitwater!H3</f>
        <v>1570.6767332880002</v>
      </c>
      <c r="G304" s="8">
        <f>Pitwater!I3</f>
        <v>0</v>
      </c>
      <c r="H304" s="8">
        <f>Pitwater!J3</f>
        <v>80.547524784000004</v>
      </c>
      <c r="I304" s="5">
        <f>Pitwater!K3</f>
        <v>1651.2242580720001</v>
      </c>
    </row>
    <row r="305" spans="1:9">
      <c r="A305" t="str">
        <f>Pitwater!A4</f>
        <v>Pitwater fuel Diesel NT</v>
      </c>
      <c r="B305" t="str">
        <f>Pitwater!D4</f>
        <v>KL</v>
      </c>
      <c r="C305" t="str">
        <f>Pitwater!E4</f>
        <v>BBB</v>
      </c>
      <c r="D305">
        <f>Pitwater!F4</f>
        <v>0</v>
      </c>
      <c r="E305">
        <f>Pitwater!G4</f>
        <v>0</v>
      </c>
      <c r="F305" s="8">
        <f>Pitwater!H4</f>
        <v>0</v>
      </c>
      <c r="G305" s="8">
        <f>Pitwater!I4</f>
        <v>0</v>
      </c>
      <c r="H305" s="8">
        <f>Pitwater!J4</f>
        <v>0</v>
      </c>
      <c r="I305" s="5">
        <f>Pitwater!K4</f>
        <v>0</v>
      </c>
    </row>
    <row r="306" spans="1:9">
      <c r="A306" t="str">
        <f>Pitwater!A5</f>
        <v>Pitwater fuel Diesel QLD</v>
      </c>
      <c r="B306" t="str">
        <f>Pitwater!D5</f>
        <v>KL</v>
      </c>
      <c r="C306" t="str">
        <f>Pitwater!E5</f>
        <v>BBB</v>
      </c>
      <c r="D306">
        <f>Pitwater!F5</f>
        <v>4.4689399999999997E-2</v>
      </c>
      <c r="E306">
        <f>Pitwater!G5</f>
        <v>1.7250108399999999</v>
      </c>
      <c r="F306" s="8">
        <f>Pitwater!H5</f>
        <v>121.09576096799999</v>
      </c>
      <c r="G306" s="8">
        <f>Pitwater!I5</f>
        <v>0</v>
      </c>
      <c r="H306" s="8">
        <f>Pitwater!J5</f>
        <v>6.2100390240000003</v>
      </c>
      <c r="I306" s="5">
        <f>Pitwater!K5</f>
        <v>127.30579999199999</v>
      </c>
    </row>
    <row r="307" spans="1:9">
      <c r="A307" t="str">
        <f>Pitwater!A6</f>
        <v>Pitwater fuel Diesel SA</v>
      </c>
      <c r="B307" t="str">
        <f>Pitwater!D6</f>
        <v>KL</v>
      </c>
      <c r="C307" t="str">
        <f>Pitwater!E6</f>
        <v>BBB</v>
      </c>
      <c r="D307">
        <f>Pitwater!F6</f>
        <v>0.17353250000000003</v>
      </c>
      <c r="E307">
        <f>Pitwater!G6</f>
        <v>6.6983545000000015</v>
      </c>
      <c r="F307" s="8">
        <f>Pitwater!H6</f>
        <v>470.2244859000001</v>
      </c>
      <c r="G307" s="8">
        <f>Pitwater!I6</f>
        <v>0</v>
      </c>
      <c r="H307" s="8">
        <f>Pitwater!J6</f>
        <v>24.114076200000007</v>
      </c>
      <c r="I307" s="5">
        <f>Pitwater!K6</f>
        <v>494.3385621000001</v>
      </c>
    </row>
    <row r="308" spans="1:9">
      <c r="A308" t="str">
        <f>Pitwater!A7</f>
        <v>Pitwater fuel Diesel TAS</v>
      </c>
      <c r="B308" t="str">
        <f>Pitwater!D7</f>
        <v>KL</v>
      </c>
      <c r="C308" t="str">
        <f>Pitwater!E7</f>
        <v>BBB</v>
      </c>
      <c r="D308">
        <f>Pitwater!F7</f>
        <v>5.2300000000000003E-3</v>
      </c>
      <c r="E308">
        <f>Pitwater!G7</f>
        <v>0.20187800000000003</v>
      </c>
      <c r="F308" s="8">
        <f>Pitwater!H7</f>
        <v>14.171835600000003</v>
      </c>
      <c r="G308" s="8">
        <f>Pitwater!I7</f>
        <v>0</v>
      </c>
      <c r="H308" s="8">
        <f>Pitwater!J7</f>
        <v>0.7267608000000001</v>
      </c>
      <c r="I308" s="5">
        <f>Pitwater!K7</f>
        <v>14.898596400000002</v>
      </c>
    </row>
    <row r="309" spans="1:9">
      <c r="A309" t="str">
        <f>Pitwater!A8</f>
        <v>Pitwater fuel Diesel VIC</v>
      </c>
      <c r="B309" t="str">
        <f>Pitwater!D8</f>
        <v>KL</v>
      </c>
      <c r="C309" t="str">
        <f>Pitwater!E8</f>
        <v>BBB</v>
      </c>
      <c r="D309">
        <f>Pitwater!F8</f>
        <v>0.21015020000000001</v>
      </c>
      <c r="E309">
        <f>Pitwater!G8</f>
        <v>8.1117977200000002</v>
      </c>
      <c r="F309" s="8">
        <f>Pitwater!H8</f>
        <v>569.44819994400007</v>
      </c>
      <c r="G309" s="8">
        <f>Pitwater!I8</f>
        <v>0</v>
      </c>
      <c r="H309" s="8">
        <f>Pitwater!J8</f>
        <v>29.202471792000001</v>
      </c>
      <c r="I309" s="5">
        <f>Pitwater!K8</f>
        <v>598.65067173600005</v>
      </c>
    </row>
    <row r="310" spans="1:9">
      <c r="A310" t="str">
        <f>Pitwater!A9</f>
        <v>Pitwater fuel Diesel WA</v>
      </c>
      <c r="B310" t="str">
        <f>Pitwater!D9</f>
        <v>KL</v>
      </c>
      <c r="C310" t="str">
        <f>Pitwater!E9</f>
        <v>BBB</v>
      </c>
      <c r="D310">
        <f>Pitwater!F9</f>
        <v>0</v>
      </c>
      <c r="E310">
        <f>Pitwater!G9</f>
        <v>0</v>
      </c>
      <c r="F310" s="8">
        <f>Pitwater!H9</f>
        <v>0</v>
      </c>
      <c r="G310" s="8">
        <f>Pitwater!I9</f>
        <v>0</v>
      </c>
      <c r="H310" s="8">
        <f>Pitwater!J9</f>
        <v>0</v>
      </c>
      <c r="I310" s="5">
        <f>Pitwater!K9</f>
        <v>0</v>
      </c>
    </row>
    <row r="311" spans="1:9">
      <c r="A311" s="25"/>
      <c r="B311" s="25"/>
      <c r="C311" s="25"/>
      <c r="D311" s="25"/>
      <c r="E311" s="25"/>
      <c r="F311" s="205"/>
      <c r="G311" s="205"/>
      <c r="H311" s="205"/>
      <c r="I311" s="38"/>
    </row>
    <row r="313" spans="1:9">
      <c r="A313" s="36" t="s">
        <v>750</v>
      </c>
      <c r="B313" s="71" t="s">
        <v>649</v>
      </c>
      <c r="C313" s="71" t="s">
        <v>684</v>
      </c>
      <c r="D313" s="71" t="s">
        <v>650</v>
      </c>
      <c r="E313" s="71" t="s">
        <v>651</v>
      </c>
      <c r="F313" s="204" t="s">
        <v>652</v>
      </c>
      <c r="G313" s="204" t="s">
        <v>653</v>
      </c>
      <c r="H313" s="204" t="s">
        <v>654</v>
      </c>
      <c r="I313" s="199" t="s">
        <v>751</v>
      </c>
    </row>
    <row r="314" spans="1:9">
      <c r="A314" t="str">
        <f>'Grounds Fuels'!A3</f>
        <v>FST Grounds maintenance fuel Diesel ACT</v>
      </c>
      <c r="B314" t="str">
        <f>'Grounds Fuels'!J3</f>
        <v>KL</v>
      </c>
      <c r="C314" t="str">
        <f>'Grounds Fuels'!K3</f>
        <v>BBB</v>
      </c>
      <c r="D314">
        <f>'Grounds Fuels'!L3</f>
        <v>0.55479040000000013</v>
      </c>
      <c r="E314">
        <f>'Grounds Fuels'!M3</f>
        <v>21.414909440000006</v>
      </c>
      <c r="F314" s="8">
        <f>'Grounds Fuels'!N3</f>
        <v>1503.3266426880004</v>
      </c>
      <c r="G314" s="8">
        <f>'Grounds Fuels'!O3</f>
        <v>0</v>
      </c>
      <c r="H314" s="8">
        <f>'Grounds Fuels'!P3</f>
        <v>77.09367398400002</v>
      </c>
      <c r="I314" s="5">
        <f>'Grounds Fuels'!Q3</f>
        <v>1580.4203166720004</v>
      </c>
    </row>
    <row r="315" spans="1:9">
      <c r="A315" t="str">
        <f>'Grounds Fuels'!A4</f>
        <v>FST Grounds maintenance fuel Diesel NSW</v>
      </c>
      <c r="B315" t="str">
        <f>'Grounds Fuels'!J4</f>
        <v>KL</v>
      </c>
      <c r="C315" t="str">
        <f>'Grounds Fuels'!K4</f>
        <v>BBB</v>
      </c>
      <c r="D315">
        <f>'Grounds Fuels'!L4</f>
        <v>22.875150200000004</v>
      </c>
      <c r="E315">
        <f>'Grounds Fuels'!M4</f>
        <v>882.98079772000017</v>
      </c>
      <c r="F315" s="8">
        <f>'Grounds Fuels'!N4</f>
        <v>61985.251999944012</v>
      </c>
      <c r="G315" s="8">
        <f>'Grounds Fuels'!O4</f>
        <v>0</v>
      </c>
      <c r="H315" s="8">
        <f>'Grounds Fuels'!P4</f>
        <v>3178.7308717920005</v>
      </c>
      <c r="I315" s="5">
        <f>'Grounds Fuels'!Q4</f>
        <v>65163.982871736014</v>
      </c>
    </row>
    <row r="316" spans="1:9">
      <c r="A316" t="str">
        <f>'Grounds Fuels'!A5</f>
        <v>FST Grounds maintenance fuel Diesel NT</v>
      </c>
      <c r="B316" t="str">
        <f>'Grounds Fuels'!J5</f>
        <v>KL</v>
      </c>
      <c r="C316" t="str">
        <f>'Grounds Fuels'!K5</f>
        <v>BBB</v>
      </c>
      <c r="D316">
        <f>'Grounds Fuels'!L5</f>
        <v>1.1978001999999999</v>
      </c>
      <c r="E316">
        <f>'Grounds Fuels'!M5</f>
        <v>46.235087719999996</v>
      </c>
      <c r="F316" s="8">
        <f>'Grounds Fuels'!N5</f>
        <v>3245.7031579439999</v>
      </c>
      <c r="G316" s="8">
        <f>'Grounds Fuels'!O5</f>
        <v>0</v>
      </c>
      <c r="H316" s="8">
        <f>'Grounds Fuels'!P5</f>
        <v>166.44631579199998</v>
      </c>
      <c r="I316" s="5">
        <f>'Grounds Fuels'!Q5</f>
        <v>3412.1494737359999</v>
      </c>
    </row>
    <row r="317" spans="1:9">
      <c r="A317" t="str">
        <f>'Grounds Fuels'!A6</f>
        <v>FST Grounds maintenance fuel Diesel QLD</v>
      </c>
      <c r="B317" t="str">
        <f>'Grounds Fuels'!J6</f>
        <v>KL</v>
      </c>
      <c r="C317" t="str">
        <f>'Grounds Fuels'!K6</f>
        <v>BBB</v>
      </c>
      <c r="D317">
        <f>'Grounds Fuels'!L6</f>
        <v>19.458909800000001</v>
      </c>
      <c r="E317">
        <f>'Grounds Fuels'!M6</f>
        <v>751.11391828000001</v>
      </c>
      <c r="F317" s="8">
        <f>'Grounds Fuels'!N6</f>
        <v>52728.197063256004</v>
      </c>
      <c r="G317" s="8">
        <f>'Grounds Fuels'!O6</f>
        <v>0</v>
      </c>
      <c r="H317" s="8">
        <f>'Grounds Fuels'!P6</f>
        <v>2704.0101058079999</v>
      </c>
      <c r="I317" s="5">
        <f>'Grounds Fuels'!Q6</f>
        <v>55432.207169064</v>
      </c>
    </row>
    <row r="318" spans="1:9">
      <c r="A318" t="str">
        <f>'Grounds Fuels'!A7</f>
        <v>FST Grounds maintenance fuel Diesel SA</v>
      </c>
      <c r="B318" t="str">
        <f>'Grounds Fuels'!J7</f>
        <v>KL</v>
      </c>
      <c r="C318" t="str">
        <f>'Grounds Fuels'!K7</f>
        <v>BBB</v>
      </c>
      <c r="D318">
        <f>'Grounds Fuels'!L7</f>
        <v>9.9487403000000008</v>
      </c>
      <c r="E318">
        <f>'Grounds Fuels'!M7</f>
        <v>384.02137558000004</v>
      </c>
      <c r="F318" s="8">
        <f>'Grounds Fuels'!N7</f>
        <v>26958.300565716003</v>
      </c>
      <c r="G318" s="8">
        <f>'Grounds Fuels'!O7</f>
        <v>0</v>
      </c>
      <c r="H318" s="8">
        <f>'Grounds Fuels'!P7</f>
        <v>1382.4769520880002</v>
      </c>
      <c r="I318" s="5">
        <f>'Grounds Fuels'!Q7</f>
        <v>28340.777517804003</v>
      </c>
    </row>
    <row r="319" spans="1:9">
      <c r="A319" t="str">
        <f>'Grounds Fuels'!A8</f>
        <v>FST Grounds maintenance fuel Diesel VIC</v>
      </c>
      <c r="B319" t="str">
        <f>'Grounds Fuels'!J8</f>
        <v>KL</v>
      </c>
      <c r="C319" t="str">
        <f>'Grounds Fuels'!K8</f>
        <v>BBB</v>
      </c>
      <c r="D319">
        <f>'Grounds Fuels'!L8</f>
        <v>33.699159799999997</v>
      </c>
      <c r="E319">
        <f>'Grounds Fuels'!M8</f>
        <v>1300.78756828</v>
      </c>
      <c r="F319" s="8">
        <f>'Grounds Fuels'!N8</f>
        <v>91315.287293255999</v>
      </c>
      <c r="G319" s="8">
        <f>'Grounds Fuels'!O8</f>
        <v>0</v>
      </c>
      <c r="H319" s="8">
        <f>'Grounds Fuels'!P8</f>
        <v>4682.8352458079999</v>
      </c>
      <c r="I319" s="5">
        <f>'Grounds Fuels'!Q8</f>
        <v>95998.122539064003</v>
      </c>
    </row>
    <row r="320" spans="1:9">
      <c r="A320" t="str">
        <f>'Grounds Fuels'!A9</f>
        <v>FST Grounds maintenance fuel Diesel WA</v>
      </c>
      <c r="B320" t="str">
        <f>'Grounds Fuels'!J9</f>
        <v>KL</v>
      </c>
      <c r="C320" t="str">
        <f>'Grounds Fuels'!K9</f>
        <v>BBB</v>
      </c>
      <c r="D320">
        <f>'Grounds Fuels'!L9</f>
        <v>16.239150300000002</v>
      </c>
      <c r="E320">
        <f>'Grounds Fuels'!M9</f>
        <v>626.83120158000008</v>
      </c>
      <c r="F320" s="8">
        <f>'Grounds Fuels'!N9</f>
        <v>44003.550350916004</v>
      </c>
      <c r="G320" s="8">
        <f>'Grounds Fuels'!O9</f>
        <v>0</v>
      </c>
      <c r="H320" s="8">
        <f>'Grounds Fuels'!P9</f>
        <v>2256.5923256880005</v>
      </c>
      <c r="I320" s="5">
        <f>'Grounds Fuels'!Q9</f>
        <v>46260.142676604002</v>
      </c>
    </row>
    <row r="321" spans="1:9">
      <c r="A321" t="str">
        <f>'Grounds Fuels'!A10</f>
        <v>FST Grounds maintenance fuel Petrol ACT</v>
      </c>
      <c r="B321" t="str">
        <f>'Grounds Fuels'!J10</f>
        <v>KL</v>
      </c>
      <c r="C321" t="str">
        <f>'Grounds Fuels'!K10</f>
        <v>BBB</v>
      </c>
      <c r="D321">
        <f>'Grounds Fuels'!L10</f>
        <v>0.47476020000000002</v>
      </c>
      <c r="E321">
        <f>'Grounds Fuels'!M10</f>
        <v>16.236798840000002</v>
      </c>
      <c r="F321" s="8">
        <f>'Grounds Fuels'!N10</f>
        <v>1100.8549613520004</v>
      </c>
      <c r="G321" s="8">
        <f>'Grounds Fuels'!O10</f>
        <v>0</v>
      </c>
      <c r="H321" s="8">
        <f>'Grounds Fuels'!P10</f>
        <v>58.452475824000011</v>
      </c>
      <c r="I321" s="5">
        <f>'Grounds Fuels'!Q10</f>
        <v>1159.3074371760003</v>
      </c>
    </row>
    <row r="322" spans="1:9">
      <c r="A322" t="str">
        <f>'Grounds Fuels'!A11</f>
        <v>FST Grounds maintenance fuel Petrol NSW</v>
      </c>
      <c r="B322" t="str">
        <f>'Grounds Fuels'!J11</f>
        <v>KL</v>
      </c>
      <c r="C322" t="str">
        <f>'Grounds Fuels'!K11</f>
        <v>BBB</v>
      </c>
      <c r="D322">
        <f>'Grounds Fuels'!L11</f>
        <v>19.575559800000001</v>
      </c>
      <c r="E322">
        <f>'Grounds Fuels'!M11</f>
        <v>669.48414516000003</v>
      </c>
      <c r="F322" s="8">
        <f>'Grounds Fuels'!N11</f>
        <v>45391.025041848006</v>
      </c>
      <c r="G322" s="8">
        <f>'Grounds Fuels'!O11</f>
        <v>0</v>
      </c>
      <c r="H322" s="8">
        <f>'Grounds Fuels'!P11</f>
        <v>2410.1429225760003</v>
      </c>
      <c r="I322" s="5">
        <f>'Grounds Fuels'!Q11</f>
        <v>47801.167964424007</v>
      </c>
    </row>
    <row r="323" spans="1:9">
      <c r="A323" t="str">
        <f>'Grounds Fuels'!A12</f>
        <v>FST Grounds maintenance fuel Petrol NT</v>
      </c>
      <c r="B323" t="str">
        <f>'Grounds Fuels'!J12</f>
        <v>KL</v>
      </c>
      <c r="C323" t="str">
        <f>'Grounds Fuels'!K12</f>
        <v>BBB</v>
      </c>
      <c r="D323">
        <f>'Grounds Fuels'!L12</f>
        <v>1.3512497999999999</v>
      </c>
      <c r="E323">
        <f>'Grounds Fuels'!M12</f>
        <v>46.212743160000002</v>
      </c>
      <c r="F323" s="8">
        <f>'Grounds Fuels'!N12</f>
        <v>3133.2239862480005</v>
      </c>
      <c r="G323" s="8">
        <f>'Grounds Fuels'!O12</f>
        <v>0</v>
      </c>
      <c r="H323" s="8">
        <f>'Grounds Fuels'!P12</f>
        <v>166.36587537600002</v>
      </c>
      <c r="I323" s="5">
        <f>'Grounds Fuels'!Q12</f>
        <v>3299.5898616240006</v>
      </c>
    </row>
    <row r="324" spans="1:9">
      <c r="A324" t="str">
        <f>'Grounds Fuels'!A13</f>
        <v>FST Grounds maintenance fuel Petrol QLD</v>
      </c>
      <c r="B324" t="str">
        <f>'Grounds Fuels'!J13</f>
        <v>KL</v>
      </c>
      <c r="C324" t="str">
        <f>'Grounds Fuels'!K13</f>
        <v>BBB</v>
      </c>
      <c r="D324">
        <f>'Grounds Fuels'!L13</f>
        <v>27.170869800000002</v>
      </c>
      <c r="E324">
        <f>'Grounds Fuels'!M13</f>
        <v>929.24374716000011</v>
      </c>
      <c r="F324" s="8">
        <f>'Grounds Fuels'!N13</f>
        <v>63002.726057448017</v>
      </c>
      <c r="G324" s="8">
        <f>'Grounds Fuels'!O13</f>
        <v>0</v>
      </c>
      <c r="H324" s="8">
        <f>'Grounds Fuels'!P13</f>
        <v>3345.2774897760005</v>
      </c>
      <c r="I324" s="5">
        <f>'Grounds Fuels'!Q13</f>
        <v>66348.003547224012</v>
      </c>
    </row>
    <row r="325" spans="1:9">
      <c r="A325" t="str">
        <f>'Grounds Fuels'!A14</f>
        <v>FST Grounds maintenance fuel Petrol SA</v>
      </c>
      <c r="B325" t="str">
        <f>'Grounds Fuels'!J14</f>
        <v>KL</v>
      </c>
      <c r="C325" t="str">
        <f>'Grounds Fuels'!K14</f>
        <v>BBB</v>
      </c>
      <c r="D325">
        <f>'Grounds Fuels'!L14</f>
        <v>12.377029800000001</v>
      </c>
      <c r="E325">
        <f>'Grounds Fuels'!M14</f>
        <v>423.29441916000007</v>
      </c>
      <c r="F325" s="8">
        <f>'Grounds Fuels'!N14</f>
        <v>28699.36161904801</v>
      </c>
      <c r="G325" s="8">
        <f>'Grounds Fuels'!O14</f>
        <v>0</v>
      </c>
      <c r="H325" s="8">
        <f>'Grounds Fuels'!P14</f>
        <v>1523.8599089760003</v>
      </c>
      <c r="I325" s="5">
        <f>'Grounds Fuels'!Q14</f>
        <v>30223.221528024009</v>
      </c>
    </row>
    <row r="326" spans="1:9">
      <c r="A326" t="str">
        <f>'Grounds Fuels'!A15</f>
        <v>FST Grounds maintenance fuel Petrol TAS</v>
      </c>
      <c r="B326" t="str">
        <f>'Grounds Fuels'!J15</f>
        <v>KL</v>
      </c>
      <c r="C326" t="str">
        <f>'Grounds Fuels'!K15</f>
        <v>BBB</v>
      </c>
      <c r="D326">
        <f>'Grounds Fuels'!L15</f>
        <v>1.5357201000000003</v>
      </c>
      <c r="E326">
        <f>'Grounds Fuels'!M15</f>
        <v>52.521627420000016</v>
      </c>
      <c r="F326" s="8">
        <f>'Grounds Fuels'!N15</f>
        <v>3560.9663390760015</v>
      </c>
      <c r="G326" s="8">
        <f>'Grounds Fuels'!O15</f>
        <v>0</v>
      </c>
      <c r="H326" s="8">
        <f>'Grounds Fuels'!P15</f>
        <v>189.07785871200005</v>
      </c>
      <c r="I326" s="5">
        <f>'Grounds Fuels'!Q15</f>
        <v>3750.0441977880014</v>
      </c>
    </row>
    <row r="327" spans="1:9">
      <c r="A327" t="str">
        <f>'Grounds Fuels'!A16</f>
        <v>FST Grounds maintenance fuel Petrol VIC</v>
      </c>
      <c r="B327" t="str">
        <f>'Grounds Fuels'!J16</f>
        <v>KL</v>
      </c>
      <c r="C327" t="str">
        <f>'Grounds Fuels'!K16</f>
        <v>BBB</v>
      </c>
      <c r="D327">
        <f>'Grounds Fuels'!L16</f>
        <v>41.039729999999999</v>
      </c>
      <c r="E327">
        <f>'Grounds Fuels'!M16</f>
        <v>1403.5587660000001</v>
      </c>
      <c r="F327" s="8">
        <f>'Grounds Fuels'!N16</f>
        <v>95161.284334800017</v>
      </c>
      <c r="G327" s="8">
        <f>'Grounds Fuels'!O16</f>
        <v>0</v>
      </c>
      <c r="H327" s="8">
        <f>'Grounds Fuels'!P16</f>
        <v>5052.8115576000009</v>
      </c>
      <c r="I327" s="5">
        <f>'Grounds Fuels'!Q16</f>
        <v>100214.09589240002</v>
      </c>
    </row>
    <row r="328" spans="1:9">
      <c r="A328" t="str">
        <f>'Grounds Fuels'!A17</f>
        <v>FST Grounds maintenance fuel Petrol WA</v>
      </c>
      <c r="B328" t="str">
        <f>'Grounds Fuels'!J17</f>
        <v>KL</v>
      </c>
      <c r="C328" t="str">
        <f>'Grounds Fuels'!K17</f>
        <v>BBB</v>
      </c>
      <c r="D328">
        <f>'Grounds Fuels'!L17</f>
        <v>13.831900000000001</v>
      </c>
      <c r="E328">
        <f>'Grounds Fuels'!M17</f>
        <v>473.0509800000001</v>
      </c>
      <c r="F328" s="8">
        <f>'Grounds Fuels'!N17</f>
        <v>32072.856444000012</v>
      </c>
      <c r="G328" s="8">
        <f>'Grounds Fuels'!O17</f>
        <v>0</v>
      </c>
      <c r="H328" s="8">
        <f>'Grounds Fuels'!P17</f>
        <v>1702.9835280000004</v>
      </c>
      <c r="I328" s="5">
        <f>'Grounds Fuels'!Q17</f>
        <v>33775.839972000009</v>
      </c>
    </row>
    <row r="329" spans="1:9">
      <c r="A329" t="str">
        <f>'Grounds Fuels'!A18</f>
        <v>Grounds maintenance ISS Petrol NT</v>
      </c>
      <c r="B329" t="str">
        <f>'Grounds Fuels'!J18</f>
        <v>KL</v>
      </c>
      <c r="C329" t="str">
        <f>'Grounds Fuels'!K18</f>
        <v>BBB</v>
      </c>
      <c r="D329">
        <f>'Grounds Fuels'!L18</f>
        <v>6.6666699999999995E-2</v>
      </c>
      <c r="E329">
        <f>'Grounds Fuels'!M18</f>
        <v>2.28000114</v>
      </c>
      <c r="F329" s="8">
        <f>'Grounds Fuels'!N18</f>
        <v>154.58407729200002</v>
      </c>
      <c r="G329" s="8">
        <f>'Grounds Fuels'!O18</f>
        <v>0</v>
      </c>
      <c r="H329" s="8">
        <f>'Grounds Fuels'!P18</f>
        <v>8.2080041040000005</v>
      </c>
      <c r="I329" s="5">
        <f>'Grounds Fuels'!Q18</f>
        <v>162.79208139600001</v>
      </c>
    </row>
    <row r="330" spans="1:9">
      <c r="A330" t="str">
        <f>'Grounds Fuels'!A19</f>
        <v>Grounds maintenance ISS Petrol QLD</v>
      </c>
      <c r="B330" t="str">
        <f>'Grounds Fuels'!J19</f>
        <v>KL</v>
      </c>
      <c r="C330" t="str">
        <f>'Grounds Fuels'!K19</f>
        <v>BBB</v>
      </c>
      <c r="D330">
        <f>'Grounds Fuels'!L19</f>
        <v>2.1777700000000004E-2</v>
      </c>
      <c r="E330">
        <f>'Grounds Fuels'!M19</f>
        <v>0.7447973400000002</v>
      </c>
      <c r="F330" s="8">
        <f>'Grounds Fuels'!N19</f>
        <v>50.497259652000025</v>
      </c>
      <c r="G330" s="8">
        <f>'Grounds Fuels'!O19</f>
        <v>0</v>
      </c>
      <c r="H330" s="8">
        <f>'Grounds Fuels'!P19</f>
        <v>2.6812704240000009</v>
      </c>
      <c r="I330" s="5">
        <f>'Grounds Fuels'!Q19</f>
        <v>53.17853007600003</v>
      </c>
    </row>
    <row r="331" spans="1:9">
      <c r="A331" t="str">
        <f>'Grounds Fuels'!A20</f>
        <v>Grounds maintenance ISS Petrol WA</v>
      </c>
      <c r="B331" t="str">
        <f>'Grounds Fuels'!J20</f>
        <v>KL</v>
      </c>
      <c r="C331" t="str">
        <f>'Grounds Fuels'!K20</f>
        <v>BBB</v>
      </c>
      <c r="D331">
        <f>'Grounds Fuels'!L20</f>
        <v>0</v>
      </c>
      <c r="E331">
        <f>'Grounds Fuels'!M20</f>
        <v>0</v>
      </c>
      <c r="F331" s="8">
        <f>'Grounds Fuels'!N20</f>
        <v>0</v>
      </c>
      <c r="G331" s="8">
        <f>'Grounds Fuels'!O20</f>
        <v>0</v>
      </c>
      <c r="H331" s="8">
        <f>'Grounds Fuels'!P20</f>
        <v>0</v>
      </c>
      <c r="I331" s="5">
        <f>'Grounds Fuels'!Q20</f>
        <v>0</v>
      </c>
    </row>
    <row r="332" spans="1:9">
      <c r="A332" t="str">
        <f>'Grounds Fuels'!A21</f>
        <v>Grounds maintenance VIVID Petrol QLD</v>
      </c>
      <c r="B332" t="str">
        <f>'Grounds Fuels'!J21</f>
        <v>KL</v>
      </c>
      <c r="C332" t="str">
        <f>'Grounds Fuels'!K21</f>
        <v>BBB</v>
      </c>
      <c r="D332">
        <f>'Grounds Fuels'!L21</f>
        <v>4.5983999000000004</v>
      </c>
      <c r="E332">
        <f>'Grounds Fuels'!M21</f>
        <v>157.26527658000003</v>
      </c>
      <c r="F332" s="8">
        <f>'Grounds Fuels'!N21</f>
        <v>10662.585752124003</v>
      </c>
      <c r="G332" s="8">
        <f>'Grounds Fuels'!O21</f>
        <v>0</v>
      </c>
      <c r="H332" s="8">
        <f>'Grounds Fuels'!P21</f>
        <v>566.1549956880001</v>
      </c>
      <c r="I332" s="5">
        <f>'Grounds Fuels'!Q21</f>
        <v>11228.740747812004</v>
      </c>
    </row>
    <row r="333" spans="1:9">
      <c r="A333" t="str">
        <f>'Grounds Fuels'!A22</f>
        <v>Grounds maintenance VIVID Petrol WA</v>
      </c>
      <c r="B333" t="str">
        <f>'Grounds Fuels'!J22</f>
        <v>KL</v>
      </c>
      <c r="C333" t="str">
        <f>'Grounds Fuels'!K22</f>
        <v>BBB</v>
      </c>
      <c r="D333">
        <f>'Grounds Fuels'!L22</f>
        <v>0.27839999999999998</v>
      </c>
      <c r="E333">
        <f>'Grounds Fuels'!M22</f>
        <v>9.5212800000000009</v>
      </c>
      <c r="F333" s="8">
        <f>'Grounds Fuels'!N22</f>
        <v>645.54278400000021</v>
      </c>
      <c r="G333" s="8">
        <f>'Grounds Fuels'!O22</f>
        <v>0</v>
      </c>
      <c r="H333" s="8">
        <f>'Grounds Fuels'!P22</f>
        <v>34.276608000000003</v>
      </c>
      <c r="I333" s="5">
        <f>'Grounds Fuels'!Q22</f>
        <v>679.81939200000022</v>
      </c>
    </row>
    <row r="336" spans="1:9">
      <c r="A336" s="36" t="s">
        <v>750</v>
      </c>
      <c r="B336" s="71" t="s">
        <v>649</v>
      </c>
      <c r="C336" s="71" t="s">
        <v>684</v>
      </c>
      <c r="D336" s="71" t="s">
        <v>650</v>
      </c>
      <c r="E336" s="71" t="s">
        <v>651</v>
      </c>
      <c r="F336" s="204" t="s">
        <v>652</v>
      </c>
      <c r="G336" s="204" t="s">
        <v>653</v>
      </c>
      <c r="H336" s="204" t="s">
        <v>654</v>
      </c>
      <c r="I336" s="199" t="s">
        <v>751</v>
      </c>
    </row>
    <row r="337" spans="1:10">
      <c r="A337" t="s">
        <v>752</v>
      </c>
      <c r="B337" t="s">
        <v>663</v>
      </c>
      <c r="C337" t="s">
        <v>686</v>
      </c>
      <c r="D337" s="5">
        <f>'International FY21'!D55</f>
        <v>12095703.230562257</v>
      </c>
      <c r="E337" s="5">
        <f>'International FY21'!G55</f>
        <v>43544.531630024125</v>
      </c>
      <c r="F337" s="8">
        <v>0</v>
      </c>
      <c r="G337" s="8">
        <f>'International FY21'!C46</f>
        <v>0</v>
      </c>
      <c r="H337" s="8">
        <f>'International FY21'!D46</f>
        <v>6217693.646215409</v>
      </c>
      <c r="I337" s="8">
        <f>SUM(F337:H337)</f>
        <v>6217693.646215409</v>
      </c>
      <c r="J337" s="8"/>
    </row>
    <row r="338" spans="1:10">
      <c r="A338" t="s">
        <v>753</v>
      </c>
      <c r="B338" t="s">
        <v>663</v>
      </c>
      <c r="C338" t="s">
        <v>686</v>
      </c>
      <c r="D338" s="5">
        <f>'International FY21'!D56</f>
        <v>107088873.38031349</v>
      </c>
      <c r="E338" s="5">
        <f>'International FY21'!G56</f>
        <v>385519.94416912855</v>
      </c>
      <c r="F338" s="8">
        <v>0</v>
      </c>
      <c r="G338" s="8">
        <f>'International FY21'!C47</f>
        <v>10856216.780695796</v>
      </c>
      <c r="H338" s="8">
        <f>'International FY21'!D47</f>
        <v>28432025.066822872</v>
      </c>
      <c r="I338" s="8">
        <f t="shared" ref="I338:I350" si="0">SUM(F338:H338)</f>
        <v>39288241.847518668</v>
      </c>
    </row>
    <row r="339" spans="1:10">
      <c r="A339" t="s">
        <v>754</v>
      </c>
      <c r="B339" t="s">
        <v>663</v>
      </c>
      <c r="C339" t="s">
        <v>686</v>
      </c>
      <c r="D339" s="5">
        <f>'International FY21'!D57</f>
        <v>188090285.22164094</v>
      </c>
      <c r="E339" s="5">
        <f>'International FY21'!G57</f>
        <v>677125.02679790743</v>
      </c>
      <c r="F339" s="8">
        <v>0</v>
      </c>
      <c r="G339" s="8">
        <f>'International FY21'!C48</f>
        <v>30348941.615664311</v>
      </c>
      <c r="H339" s="8">
        <f>'International FY21'!D48</f>
        <v>60973664.539981157</v>
      </c>
      <c r="I339" s="8">
        <f t="shared" si="0"/>
        <v>91322606.15564546</v>
      </c>
    </row>
    <row r="340" spans="1:10">
      <c r="A340" t="s">
        <v>755</v>
      </c>
      <c r="B340" t="s">
        <v>663</v>
      </c>
      <c r="C340" t="s">
        <v>686</v>
      </c>
      <c r="D340" s="5">
        <f>'International FY21'!D58</f>
        <v>14319615.835764131</v>
      </c>
      <c r="E340" s="5">
        <f>'International FY21'!G58</f>
        <v>51550.617008750865</v>
      </c>
      <c r="F340" s="8">
        <v>0</v>
      </c>
      <c r="G340" s="8">
        <f>'International FY21'!C49</f>
        <v>2091946.5045782062</v>
      </c>
      <c r="H340" s="8">
        <f>'International FY21'!D49</f>
        <v>5305166.8602369819</v>
      </c>
      <c r="I340" s="8">
        <f t="shared" si="0"/>
        <v>7397113.3648151886</v>
      </c>
    </row>
    <row r="341" spans="1:10">
      <c r="A341" t="s">
        <v>756</v>
      </c>
      <c r="B341" t="s">
        <v>663</v>
      </c>
      <c r="C341" t="s">
        <v>686</v>
      </c>
      <c r="D341" s="5">
        <f>'International FY21'!D59</f>
        <v>21938690</v>
      </c>
      <c r="E341" s="5">
        <f>'International FY21'!G59</f>
        <v>78979.284</v>
      </c>
      <c r="F341" s="8">
        <v>1</v>
      </c>
      <c r="G341" s="8">
        <f>'International FY21'!C50</f>
        <v>8961954.8650000002</v>
      </c>
      <c r="H341" s="8">
        <f>'International FY21'!D50</f>
        <v>181852.5470783714</v>
      </c>
      <c r="I341" s="8">
        <f t="shared" ref="I341" si="1">SUM(F341:H341)</f>
        <v>9143808.4120783713</v>
      </c>
    </row>
    <row r="342" spans="1:10">
      <c r="A342" t="s">
        <v>757</v>
      </c>
      <c r="B342" t="s">
        <v>670</v>
      </c>
      <c r="C342" t="s">
        <v>686</v>
      </c>
      <c r="D342">
        <f>'International FY21'!E55</f>
        <v>193283.85133931137</v>
      </c>
      <c r="E342" s="241">
        <f>'International FY21'!H55</f>
        <v>193.28385133931135</v>
      </c>
      <c r="F342" s="8">
        <f>'International FY21'!E46</f>
        <v>0</v>
      </c>
      <c r="G342" s="8">
        <v>0</v>
      </c>
      <c r="H342" s="8">
        <f>'International FY21'!F46</f>
        <v>11533.24740941671</v>
      </c>
      <c r="I342" s="8">
        <f t="shared" si="0"/>
        <v>11533.24740941671</v>
      </c>
    </row>
    <row r="343" spans="1:10">
      <c r="A343" t="s">
        <v>758</v>
      </c>
      <c r="B343" t="s">
        <v>670</v>
      </c>
      <c r="C343" t="s">
        <v>686</v>
      </c>
      <c r="D343">
        <f>'International FY21'!E56</f>
        <v>1711231.6239898934</v>
      </c>
      <c r="E343" s="241">
        <f>'International FY21'!H56</f>
        <v>1711.2316239898933</v>
      </c>
      <c r="F343" s="8">
        <f>'International FY21'!E47</f>
        <v>24725.735403464623</v>
      </c>
      <c r="G343" s="8">
        <v>0</v>
      </c>
      <c r="H343" s="8">
        <f>'International FY21'!F47</f>
        <v>77052.900060337372</v>
      </c>
      <c r="I343" s="8">
        <f t="shared" si="0"/>
        <v>101778.635463802</v>
      </c>
    </row>
    <row r="344" spans="1:10">
      <c r="A344" t="s">
        <v>759</v>
      </c>
      <c r="B344" t="s">
        <v>670</v>
      </c>
      <c r="C344" t="s">
        <v>686</v>
      </c>
      <c r="D344">
        <f>'International FY21'!E57</f>
        <v>3005597.4451564336</v>
      </c>
      <c r="E344" s="241">
        <f>'International FY21'!H57</f>
        <v>3005.5974451564334</v>
      </c>
      <c r="F344" s="8">
        <f>'International FY21'!E48</f>
        <v>55408.344823809821</v>
      </c>
      <c r="G344" s="8">
        <v>0</v>
      </c>
      <c r="H344" s="8">
        <f>'International FY21'!F48</f>
        <v>111007.09901618111</v>
      </c>
      <c r="I344" s="8">
        <f t="shared" si="0"/>
        <v>166415.44383999094</v>
      </c>
    </row>
    <row r="345" spans="1:10">
      <c r="A345" t="s">
        <v>760</v>
      </c>
      <c r="B345" t="s">
        <v>670</v>
      </c>
      <c r="C345" t="s">
        <v>686</v>
      </c>
      <c r="D345">
        <f>'International FY21'!E58</f>
        <v>228820.96606360161</v>
      </c>
      <c r="E345" s="241">
        <f>'International FY21'!H58</f>
        <v>228.82096606360162</v>
      </c>
      <c r="F345" s="8">
        <f>'International FY21'!E49</f>
        <v>3247.6793076868335</v>
      </c>
      <c r="G345" s="8">
        <v>0</v>
      </c>
      <c r="H345" s="8">
        <f>'International FY21'!F49</f>
        <v>10260.628703363041</v>
      </c>
      <c r="I345" s="8">
        <f t="shared" si="0"/>
        <v>13508.308011049874</v>
      </c>
    </row>
    <row r="346" spans="1:10">
      <c r="A346" t="s">
        <v>761</v>
      </c>
      <c r="B346" t="s">
        <v>670</v>
      </c>
      <c r="C346" t="s">
        <v>686</v>
      </c>
      <c r="D346">
        <f>'International FY21'!E59</f>
        <v>350570.31540134159</v>
      </c>
      <c r="E346" s="241">
        <f>'International FY21'!H59</f>
        <v>350.57031540134159</v>
      </c>
      <c r="F346" s="8">
        <f>'International FY21'!E50</f>
        <v>18064.888352631133</v>
      </c>
      <c r="G346" s="8">
        <v>1</v>
      </c>
      <c r="H346" s="8">
        <f>'International FY21'!F50</f>
        <v>2853.642367366921</v>
      </c>
      <c r="I346" s="8">
        <f t="shared" ref="I346" si="2">SUM(F346:H346)</f>
        <v>20919.530719998053</v>
      </c>
    </row>
    <row r="347" spans="1:10">
      <c r="A347" t="s">
        <v>762</v>
      </c>
      <c r="B347" t="s">
        <v>673</v>
      </c>
      <c r="C347" t="s">
        <v>686</v>
      </c>
      <c r="D347">
        <f>'International FY21'!F55</f>
        <v>15563.443617427743</v>
      </c>
      <c r="E347" s="241">
        <f>'International FY21'!I55</f>
        <v>600.7489236327109</v>
      </c>
      <c r="F347" s="8">
        <f>'International FY21'!G46</f>
        <v>0</v>
      </c>
      <c r="G347" s="8">
        <v>0</v>
      </c>
      <c r="H347" s="8">
        <f>'International FY21'!H46</f>
        <v>44335.270564094069</v>
      </c>
      <c r="I347" s="8">
        <f t="shared" si="0"/>
        <v>44335.270564094069</v>
      </c>
    </row>
    <row r="348" spans="1:10">
      <c r="A348" t="s">
        <v>763</v>
      </c>
      <c r="B348" t="s">
        <v>673</v>
      </c>
      <c r="C348" t="s">
        <v>686</v>
      </c>
      <c r="D348">
        <f>'International FY21'!F56</f>
        <v>137790.38813528279</v>
      </c>
      <c r="E348" s="241">
        <f>'International FY21'!I56</f>
        <v>5318.7089820219162</v>
      </c>
      <c r="F348" s="8">
        <f>'International FY21'!G47</f>
        <v>104694.43988037863</v>
      </c>
      <c r="G348" s="8">
        <v>0</v>
      </c>
      <c r="H348" s="8">
        <f>'International FY21'!H47</f>
        <v>286555.58543752739</v>
      </c>
      <c r="I348" s="8">
        <f t="shared" si="0"/>
        <v>391250.02531790605</v>
      </c>
    </row>
    <row r="349" spans="1:10">
      <c r="A349" t="s">
        <v>764</v>
      </c>
      <c r="B349" t="s">
        <v>673</v>
      </c>
      <c r="C349" t="s">
        <v>686</v>
      </c>
      <c r="D349">
        <f>'International FY21'!F57</f>
        <v>185016.680778571</v>
      </c>
      <c r="E349" s="241">
        <f>'International FY21'!I57</f>
        <v>7141.6438780528406</v>
      </c>
      <c r="F349" s="8">
        <f>'International FY21'!G48</f>
        <v>234611.65184250913</v>
      </c>
      <c r="G349" s="8">
        <v>0</v>
      </c>
      <c r="H349" s="8">
        <f>'International FY21'!H48</f>
        <v>242742.65313378212</v>
      </c>
      <c r="I349" s="8">
        <f t="shared" si="0"/>
        <v>477354.30497629126</v>
      </c>
    </row>
    <row r="350" spans="1:10">
      <c r="A350" t="s">
        <v>765</v>
      </c>
      <c r="B350" t="s">
        <v>673</v>
      </c>
      <c r="C350" t="s">
        <v>686</v>
      </c>
      <c r="D350">
        <f>'International FY21'!F58</f>
        <v>53393.888473823616</v>
      </c>
      <c r="E350" s="241">
        <f>'International FY21'!I58</f>
        <v>2061.0040950895918</v>
      </c>
      <c r="F350" s="8">
        <f>'International FY21'!G49</f>
        <v>13751.419744697478</v>
      </c>
      <c r="G350" s="8">
        <v>0</v>
      </c>
      <c r="H350" s="8">
        <f>'International FY21'!H49</f>
        <v>137791.59632028712</v>
      </c>
      <c r="I350" s="8">
        <f t="shared" si="0"/>
        <v>151543.01606498461</v>
      </c>
    </row>
    <row r="351" spans="1:10">
      <c r="A351" t="s">
        <v>766</v>
      </c>
      <c r="B351" t="s">
        <v>673</v>
      </c>
      <c r="C351" t="s">
        <v>686</v>
      </c>
      <c r="D351">
        <f>'International FY21'!F59</f>
        <v>28228.335165540786</v>
      </c>
      <c r="E351" s="241">
        <f>'International FY21'!I59</f>
        <v>1089.6137373898744</v>
      </c>
      <c r="F351" s="8">
        <f>'International FY21'!G50</f>
        <v>76490.884364769183</v>
      </c>
      <c r="G351" s="8">
        <v>1</v>
      </c>
      <c r="H351" s="8">
        <f>'International FY21'!H50</f>
        <v>3922.6094546035474</v>
      </c>
      <c r="I351" s="8">
        <f t="shared" ref="I351" si="3">SUM(F351:H351)</f>
        <v>80414.493819372728</v>
      </c>
    </row>
    <row r="354" spans="1:9">
      <c r="A354" s="36" t="s">
        <v>750</v>
      </c>
      <c r="B354" s="71" t="s">
        <v>649</v>
      </c>
      <c r="C354" s="71" t="s">
        <v>684</v>
      </c>
      <c r="D354" s="71" t="s">
        <v>650</v>
      </c>
      <c r="E354" s="71" t="s">
        <v>651</v>
      </c>
      <c r="F354" s="204" t="s">
        <v>652</v>
      </c>
      <c r="G354" s="204" t="s">
        <v>653</v>
      </c>
      <c r="H354" s="204" t="s">
        <v>654</v>
      </c>
      <c r="I354" s="199" t="s">
        <v>751</v>
      </c>
    </row>
    <row r="355" spans="1:9">
      <c r="A355" t="s">
        <v>767</v>
      </c>
      <c r="B355" s="799" t="s">
        <v>663</v>
      </c>
      <c r="C355" s="799" t="s">
        <v>104</v>
      </c>
      <c r="D355" s="241">
        <f>'JCDecaux Removal'!E3</f>
        <v>0</v>
      </c>
      <c r="E355" s="241">
        <f>'JCDecaux Removal'!F3</f>
        <v>0</v>
      </c>
      <c r="F355" s="241">
        <f>'JCDecaux Removal'!G3</f>
        <v>0</v>
      </c>
      <c r="G355" s="241">
        <f>'JCDecaux Removal'!H3</f>
        <v>0</v>
      </c>
      <c r="H355" s="241">
        <f>'JCDecaux Removal'!I3</f>
        <v>0</v>
      </c>
      <c r="I355" s="241">
        <f>'JCDecaux Removal'!J3</f>
        <v>0</v>
      </c>
    </row>
    <row r="356" spans="1:9">
      <c r="A356" t="s">
        <v>768</v>
      </c>
      <c r="B356" s="799" t="s">
        <v>663</v>
      </c>
      <c r="C356" s="799" t="s">
        <v>104</v>
      </c>
      <c r="D356" s="241">
        <f>'JCDecaux Removal'!E4</f>
        <v>-559140.76099999924</v>
      </c>
      <c r="E356" s="241">
        <f>'JCDecaux Removal'!F4</f>
        <v>-2012.9067395999973</v>
      </c>
      <c r="F356" s="241">
        <f>'JCDecaux Removal'!G4</f>
        <v>0</v>
      </c>
      <c r="G356" s="241">
        <f>'JCDecaux Removal'!H4</f>
        <v>-452904.0164099994</v>
      </c>
      <c r="H356" s="241">
        <f>'JCDecaux Removal'!I4</f>
        <v>0</v>
      </c>
      <c r="I356" s="241">
        <f>'JCDecaux Removal'!J4</f>
        <v>-452904.0164099994</v>
      </c>
    </row>
    <row r="357" spans="1:9">
      <c r="A357" t="s">
        <v>769</v>
      </c>
      <c r="B357" s="799" t="s">
        <v>663</v>
      </c>
      <c r="C357" s="799" t="s">
        <v>104</v>
      </c>
      <c r="D357" s="241">
        <f>'JCDecaux Removal'!E5</f>
        <v>0</v>
      </c>
      <c r="E357" s="241">
        <f>'JCDecaux Removal'!F5</f>
        <v>0</v>
      </c>
      <c r="F357" s="241">
        <f>'JCDecaux Removal'!G5</f>
        <v>0</v>
      </c>
      <c r="G357" s="241">
        <f>'JCDecaux Removal'!H5</f>
        <v>0</v>
      </c>
      <c r="H357" s="241">
        <f>'JCDecaux Removal'!I5</f>
        <v>0</v>
      </c>
      <c r="I357" s="241">
        <f>'JCDecaux Removal'!J5</f>
        <v>0</v>
      </c>
    </row>
    <row r="358" spans="1:9">
      <c r="A358" t="s">
        <v>770</v>
      </c>
      <c r="B358" s="799" t="s">
        <v>663</v>
      </c>
      <c r="C358" s="799" t="s">
        <v>104</v>
      </c>
      <c r="D358" s="241">
        <f>'JCDecaux Removal'!E6</f>
        <v>-816554.24599999993</v>
      </c>
      <c r="E358" s="241">
        <f>'JCDecaux Removal'!F6</f>
        <v>-2939.5952855999994</v>
      </c>
      <c r="F358" s="241">
        <f>'JCDecaux Removal'!G6</f>
        <v>0</v>
      </c>
      <c r="G358" s="241">
        <f>'JCDecaux Removal'!H6</f>
        <v>-661408.93926000001</v>
      </c>
      <c r="H358" s="241">
        <f>'JCDecaux Removal'!I6</f>
        <v>0</v>
      </c>
      <c r="I358" s="241">
        <f>'JCDecaux Removal'!J6</f>
        <v>-661408.93926000001</v>
      </c>
    </row>
    <row r="359" spans="1:9">
      <c r="A359" t="s">
        <v>771</v>
      </c>
      <c r="B359" s="799" t="s">
        <v>663</v>
      </c>
      <c r="C359" s="799" t="s">
        <v>104</v>
      </c>
      <c r="D359" s="241">
        <f>'JCDecaux Removal'!E7</f>
        <v>-78722.48090310808</v>
      </c>
      <c r="E359" s="241">
        <f>'JCDecaux Removal'!F7</f>
        <v>-283.40093125118909</v>
      </c>
      <c r="F359" s="241">
        <f>'JCDecaux Removal'!G7</f>
        <v>0</v>
      </c>
      <c r="G359" s="241">
        <f>'JCDecaux Removal'!H7</f>
        <v>-33850.666788336472</v>
      </c>
      <c r="H359" s="241">
        <f>'JCDecaux Removal'!I7</f>
        <v>0</v>
      </c>
      <c r="I359" s="241">
        <f>'JCDecaux Removal'!J7</f>
        <v>-33850.666788336472</v>
      </c>
    </row>
    <row r="360" spans="1:9">
      <c r="A360" t="s">
        <v>772</v>
      </c>
      <c r="B360" s="799" t="s">
        <v>663</v>
      </c>
      <c r="C360" s="799" t="s">
        <v>104</v>
      </c>
      <c r="D360" s="241">
        <f>'JCDecaux Removal'!E8</f>
        <v>0</v>
      </c>
      <c r="E360" s="241">
        <f>'JCDecaux Removal'!F8</f>
        <v>0</v>
      </c>
      <c r="F360" s="241">
        <f>'JCDecaux Removal'!G8</f>
        <v>0</v>
      </c>
      <c r="G360" s="241">
        <f>'JCDecaux Removal'!H8</f>
        <v>0</v>
      </c>
      <c r="H360" s="241">
        <f>'JCDecaux Removal'!I8</f>
        <v>0</v>
      </c>
      <c r="I360" s="241">
        <f>'JCDecaux Removal'!J8</f>
        <v>0</v>
      </c>
    </row>
    <row r="361" spans="1:9">
      <c r="A361" t="s">
        <v>773</v>
      </c>
      <c r="B361" s="799" t="s">
        <v>663</v>
      </c>
      <c r="C361" s="799" t="s">
        <v>104</v>
      </c>
      <c r="D361" s="241">
        <f>'JCDecaux Removal'!E9</f>
        <v>-115694.90591107099</v>
      </c>
      <c r="E361" s="241">
        <f>'JCDecaux Removal'!F9</f>
        <v>-416.50166127985557</v>
      </c>
      <c r="F361" s="241">
        <f>'JCDecaux Removal'!G9</f>
        <v>0</v>
      </c>
      <c r="G361" s="241">
        <f>'JCDecaux Removal'!H9</f>
        <v>-113381.00779284957</v>
      </c>
      <c r="H361" s="241">
        <f>'JCDecaux Removal'!I9</f>
        <v>0</v>
      </c>
      <c r="I361" s="241">
        <f>'JCDecaux Removal'!J9</f>
        <v>-113381.00779284957</v>
      </c>
    </row>
    <row r="362" spans="1:9">
      <c r="A362" t="s">
        <v>774</v>
      </c>
      <c r="B362" s="799" t="s">
        <v>663</v>
      </c>
      <c r="C362" s="799" t="s">
        <v>104</v>
      </c>
      <c r="D362" s="241">
        <f>'JCDecaux Removal'!E10</f>
        <v>0</v>
      </c>
      <c r="E362" s="241">
        <f>'JCDecaux Removal'!F10</f>
        <v>0</v>
      </c>
      <c r="F362" s="241">
        <f>'JCDecaux Removal'!G10</f>
        <v>0</v>
      </c>
      <c r="G362" s="241">
        <f>'JCDecaux Removal'!H10</f>
        <v>0</v>
      </c>
      <c r="H362" s="241">
        <f>'JCDecaux Removal'!I10</f>
        <v>0</v>
      </c>
      <c r="I362" s="241">
        <f>'JCDecaux Removal'!J10</f>
        <v>0</v>
      </c>
    </row>
  </sheetData>
  <autoFilter ref="A2:J2" xr:uid="{61E528B9-3393-4008-A2C0-CE57B505A14A}"/>
  <sortState xmlns:xlrd2="http://schemas.microsoft.com/office/spreadsheetml/2017/richdata2" ref="A182:A207">
    <sortCondition ref="A182"/>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8D691-6C13-4C67-AEB3-4A72DCCFA9B2}">
  <sheetPr codeName="Sheet11">
    <tabColor theme="6"/>
  </sheetPr>
  <dimension ref="A1:T312"/>
  <sheetViews>
    <sheetView topLeftCell="D1" zoomScale="70" zoomScaleNormal="70" workbookViewId="0">
      <pane ySplit="1" topLeftCell="A263" activePane="bottomLeft" state="frozen"/>
      <selection activeCell="F33" sqref="F33"/>
      <selection pane="bottomLeft" activeCell="F33" sqref="F33"/>
    </sheetView>
  </sheetViews>
  <sheetFormatPr defaultColWidth="8.8984375" defaultRowHeight="13.8"/>
  <cols>
    <col min="1" max="1" width="33.09765625" bestFit="1" customWidth="1"/>
    <col min="2" max="2" width="17.5" bestFit="1" customWidth="1"/>
    <col min="3" max="3" width="17" bestFit="1" customWidth="1"/>
    <col min="4" max="4" width="32.59765625" style="886" bestFit="1" customWidth="1"/>
    <col min="5" max="5" width="20.5" style="5" bestFit="1" customWidth="1"/>
    <col min="6" max="8" width="28.59765625" style="5" bestFit="1" customWidth="1"/>
    <col min="9" max="9" width="26.59765625" style="5" bestFit="1" customWidth="1"/>
    <col min="10" max="10" width="37.09765625" customWidth="1"/>
    <col min="11" max="11" width="6.59765625" customWidth="1"/>
    <col min="12" max="12" width="17.59765625" customWidth="1"/>
    <col min="13" max="13" width="26.59765625" style="21" bestFit="1" customWidth="1"/>
    <col min="14" max="14" width="23.5" style="5" customWidth="1"/>
    <col min="15" max="17" width="31.59765625" style="8" customWidth="1"/>
    <col min="18" max="18" width="30" style="8" customWidth="1"/>
    <col min="19" max="19" width="21" bestFit="1" customWidth="1"/>
  </cols>
  <sheetData>
    <row r="1" spans="1:20">
      <c r="A1" s="239" t="s">
        <v>750</v>
      </c>
      <c r="B1" s="239" t="s">
        <v>649</v>
      </c>
      <c r="C1" s="239" t="s">
        <v>684</v>
      </c>
      <c r="D1" s="244" t="s">
        <v>775</v>
      </c>
      <c r="E1" t="s">
        <v>776</v>
      </c>
      <c r="F1" t="s">
        <v>777</v>
      </c>
      <c r="G1" t="s">
        <v>778</v>
      </c>
      <c r="H1" t="s">
        <v>779</v>
      </c>
      <c r="I1" t="s">
        <v>780</v>
      </c>
      <c r="J1" t="s">
        <v>750</v>
      </c>
      <c r="K1" t="s">
        <v>649</v>
      </c>
      <c r="L1" t="s">
        <v>684</v>
      </c>
      <c r="M1" s="21" t="s">
        <v>781</v>
      </c>
      <c r="N1" s="5" t="s">
        <v>49</v>
      </c>
      <c r="O1" s="8" t="s">
        <v>782</v>
      </c>
      <c r="P1" s="8" t="s">
        <v>783</v>
      </c>
      <c r="Q1" s="8" t="s">
        <v>784</v>
      </c>
      <c r="R1" s="8" t="s">
        <v>749</v>
      </c>
      <c r="S1" t="s">
        <v>150</v>
      </c>
      <c r="T1" t="s">
        <v>785</v>
      </c>
    </row>
    <row r="2" spans="1:20">
      <c r="A2" t="s">
        <v>750</v>
      </c>
      <c r="B2" t="s">
        <v>649</v>
      </c>
      <c r="C2" t="s">
        <v>684</v>
      </c>
      <c r="D2" s="244">
        <v>0</v>
      </c>
      <c r="E2">
        <v>0</v>
      </c>
      <c r="F2">
        <v>0</v>
      </c>
      <c r="G2">
        <v>0</v>
      </c>
      <c r="H2">
        <v>0</v>
      </c>
      <c r="I2">
        <v>0</v>
      </c>
      <c r="J2" t="str">
        <f>A2</f>
        <v>Reporting Alias</v>
      </c>
      <c r="K2" t="str">
        <f t="shared" ref="K2:Q17" si="0">B2</f>
        <v>UoM</v>
      </c>
      <c r="L2" t="str">
        <f t="shared" si="0"/>
        <v>Primary Criterion</v>
      </c>
      <c r="M2" s="21">
        <f t="shared" si="0"/>
        <v>0</v>
      </c>
      <c r="N2" s="8">
        <f t="shared" si="0"/>
        <v>0</v>
      </c>
      <c r="O2" s="8">
        <f t="shared" si="0"/>
        <v>0</v>
      </c>
      <c r="P2" s="8">
        <f t="shared" si="0"/>
        <v>0</v>
      </c>
      <c r="Q2" s="8">
        <f>H2</f>
        <v>0</v>
      </c>
      <c r="R2" s="8">
        <f>I2</f>
        <v>0</v>
      </c>
      <c r="S2" s="8" t="str">
        <f>VLOOKUP(J2,'GHG Factors FY21'!A:B,2,FALSE)</f>
        <v>Energy Category</v>
      </c>
      <c r="T2" s="8" t="str">
        <f>VLOOKUP(ReformFY21[[#This Row],[Reporting Alias]],'Entities FY21'!B:B,1,FALSE)</f>
        <v>Reporting Alias</v>
      </c>
    </row>
    <row r="3" spans="1:20">
      <c r="A3" t="s">
        <v>685</v>
      </c>
      <c r="B3" t="s">
        <v>685</v>
      </c>
      <c r="C3" t="s">
        <v>685</v>
      </c>
      <c r="D3" s="244"/>
      <c r="E3"/>
      <c r="F3"/>
      <c r="G3"/>
      <c r="H3"/>
      <c r="I3"/>
      <c r="J3" t="str">
        <f t="shared" ref="J3:Q44" si="1">A3</f>
        <v>(blank)</v>
      </c>
      <c r="K3" t="str">
        <f t="shared" si="0"/>
        <v>(blank)</v>
      </c>
      <c r="L3" t="str">
        <f t="shared" si="0"/>
        <v>(blank)</v>
      </c>
      <c r="M3" s="21">
        <f t="shared" si="0"/>
        <v>0</v>
      </c>
      <c r="N3" s="8">
        <f t="shared" si="0"/>
        <v>0</v>
      </c>
      <c r="O3" s="8">
        <f t="shared" si="0"/>
        <v>0</v>
      </c>
      <c r="P3" s="8">
        <f t="shared" si="0"/>
        <v>0</v>
      </c>
      <c r="Q3" s="8">
        <f t="shared" si="0"/>
        <v>0</v>
      </c>
      <c r="R3" s="8">
        <f t="shared" ref="R3:R66" si="2">I3</f>
        <v>0</v>
      </c>
      <c r="S3" s="8"/>
      <c r="T3" s="8" t="e">
        <f>VLOOKUP(ReformFY21[[#This Row],[Reporting Alias]],'Entities FY21'!B:B,1,FALSE)</f>
        <v>#N/A</v>
      </c>
    </row>
    <row r="4" spans="1:20">
      <c r="A4" t="s">
        <v>786</v>
      </c>
      <c r="B4" t="s">
        <v>787</v>
      </c>
      <c r="C4" t="s">
        <v>686</v>
      </c>
      <c r="D4" s="244">
        <v>11.571999999999999</v>
      </c>
      <c r="E4">
        <v>446.67919999999998</v>
      </c>
      <c r="F4">
        <v>31450.682472000004</v>
      </c>
      <c r="G4">
        <v>0</v>
      </c>
      <c r="H4">
        <v>1608.04512</v>
      </c>
      <c r="I4">
        <v>33058.727592000003</v>
      </c>
      <c r="J4" t="str">
        <f t="shared" si="1"/>
        <v>Estimates Transport Diesel ACT</v>
      </c>
      <c r="K4" t="str">
        <f t="shared" si="0"/>
        <v>kL</v>
      </c>
      <c r="L4" t="str">
        <f t="shared" si="0"/>
        <v>BBB</v>
      </c>
      <c r="M4" s="21">
        <f t="shared" si="0"/>
        <v>11.571999999999999</v>
      </c>
      <c r="N4" s="8">
        <f t="shared" si="0"/>
        <v>446.67919999999998</v>
      </c>
      <c r="O4" s="8">
        <f t="shared" si="0"/>
        <v>31450.682472000004</v>
      </c>
      <c r="P4" s="8">
        <f t="shared" si="0"/>
        <v>0</v>
      </c>
      <c r="Q4" s="8">
        <f t="shared" si="0"/>
        <v>1608.04512</v>
      </c>
      <c r="R4" s="8">
        <f t="shared" si="2"/>
        <v>33058.727592000003</v>
      </c>
      <c r="S4" s="8" t="str">
        <f>VLOOKUP(J4,'GHG Factors FY21'!A:B,2,FALSE)</f>
        <v>Estimates - Transport</v>
      </c>
      <c r="T4" s="8" t="str">
        <f>VLOOKUP(ReformFY21[[#This Row],[Reporting Alias]],'Entities FY21'!B:B,1,FALSE)</f>
        <v>Estimates Transport Diesel ACT</v>
      </c>
    </row>
    <row r="5" spans="1:20">
      <c r="A5" t="s">
        <v>788</v>
      </c>
      <c r="B5" t="s">
        <v>787</v>
      </c>
      <c r="C5" t="s">
        <v>686</v>
      </c>
      <c r="D5" s="244">
        <v>101.00722989999997</v>
      </c>
      <c r="E5">
        <v>3898.8790741399989</v>
      </c>
      <c r="F5">
        <v>274520.07561019738</v>
      </c>
      <c r="G5">
        <v>0</v>
      </c>
      <c r="H5">
        <v>14035.964666903996</v>
      </c>
      <c r="I5">
        <v>288556.04027710139</v>
      </c>
      <c r="J5" t="str">
        <f t="shared" si="1"/>
        <v>Estimates Transport Diesel NSW</v>
      </c>
      <c r="K5" t="str">
        <f t="shared" si="0"/>
        <v>kL</v>
      </c>
      <c r="L5" t="str">
        <f t="shared" si="0"/>
        <v>BBB</v>
      </c>
      <c r="M5" s="21">
        <f t="shared" si="0"/>
        <v>101.00722989999997</v>
      </c>
      <c r="N5" s="8">
        <f t="shared" si="0"/>
        <v>3898.8790741399989</v>
      </c>
      <c r="O5" s="8">
        <f t="shared" si="0"/>
        <v>274520.07561019738</v>
      </c>
      <c r="P5" s="8">
        <f t="shared" si="0"/>
        <v>0</v>
      </c>
      <c r="Q5" s="8">
        <f t="shared" si="0"/>
        <v>14035.964666903996</v>
      </c>
      <c r="R5" s="8">
        <f t="shared" si="2"/>
        <v>288556.04027710139</v>
      </c>
      <c r="S5" s="8" t="str">
        <f>VLOOKUP(J5,'GHG Factors FY21'!A:B,2,FALSE)</f>
        <v>Estimates - Transport</v>
      </c>
      <c r="T5" s="8" t="str">
        <f>VLOOKUP(ReformFY21[[#This Row],[Reporting Alias]],'Entities FY21'!B:B,1,FALSE)</f>
        <v>Estimates Transport Diesel NSW</v>
      </c>
    </row>
    <row r="6" spans="1:20">
      <c r="A6" t="s">
        <v>789</v>
      </c>
      <c r="B6" t="s">
        <v>787</v>
      </c>
      <c r="C6" t="s">
        <v>686</v>
      </c>
      <c r="D6" s="244">
        <v>22.600999999999999</v>
      </c>
      <c r="E6">
        <v>872.39859999999999</v>
      </c>
      <c r="F6">
        <v>61425.585426000005</v>
      </c>
      <c r="G6">
        <v>0</v>
      </c>
      <c r="H6">
        <v>3140.6349599999999</v>
      </c>
      <c r="I6">
        <v>64566.220386000008</v>
      </c>
      <c r="J6" t="str">
        <f t="shared" si="1"/>
        <v>Estimates Transport Diesel QLD</v>
      </c>
      <c r="K6" t="str">
        <f t="shared" si="0"/>
        <v>kL</v>
      </c>
      <c r="L6" t="str">
        <f t="shared" si="0"/>
        <v>BBB</v>
      </c>
      <c r="M6" s="21">
        <f t="shared" si="0"/>
        <v>22.600999999999999</v>
      </c>
      <c r="N6" s="8">
        <f t="shared" si="0"/>
        <v>872.39859999999999</v>
      </c>
      <c r="O6" s="8">
        <f t="shared" si="0"/>
        <v>61425.585426000005</v>
      </c>
      <c r="P6" s="8">
        <f t="shared" si="0"/>
        <v>0</v>
      </c>
      <c r="Q6" s="8">
        <f t="shared" si="0"/>
        <v>3140.6349599999999</v>
      </c>
      <c r="R6" s="8">
        <f t="shared" si="2"/>
        <v>64566.220386000008</v>
      </c>
      <c r="S6" s="8" t="str">
        <f>VLOOKUP(J6,'GHG Factors FY21'!A:B,2,FALSE)</f>
        <v>Estimates - Transport</v>
      </c>
      <c r="T6" s="8" t="str">
        <f>VLOOKUP(ReformFY21[[#This Row],[Reporting Alias]],'Entities FY21'!B:B,1,FALSE)</f>
        <v>Estimates Transport Diesel QLD</v>
      </c>
    </row>
    <row r="7" spans="1:20">
      <c r="A7" t="s">
        <v>790</v>
      </c>
      <c r="B7" t="s">
        <v>787</v>
      </c>
      <c r="C7" t="s">
        <v>686</v>
      </c>
      <c r="D7" s="244">
        <v>36.962000000000003</v>
      </c>
      <c r="E7">
        <v>1426.7332000000001</v>
      </c>
      <c r="F7">
        <v>100456.28461200002</v>
      </c>
      <c r="G7">
        <v>0</v>
      </c>
      <c r="H7">
        <v>5136.239520000001</v>
      </c>
      <c r="I7">
        <v>105592.52413200002</v>
      </c>
      <c r="J7" t="str">
        <f t="shared" si="1"/>
        <v>Estimates Transport Diesel VIC</v>
      </c>
      <c r="K7" t="str">
        <f t="shared" si="0"/>
        <v>kL</v>
      </c>
      <c r="L7" t="str">
        <f t="shared" si="0"/>
        <v>BBB</v>
      </c>
      <c r="M7" s="21">
        <f t="shared" si="0"/>
        <v>36.962000000000003</v>
      </c>
      <c r="N7" s="8">
        <f t="shared" si="0"/>
        <v>1426.7332000000001</v>
      </c>
      <c r="O7" s="8">
        <f t="shared" si="0"/>
        <v>100456.28461200002</v>
      </c>
      <c r="P7" s="8">
        <f t="shared" si="0"/>
        <v>0</v>
      </c>
      <c r="Q7" s="8">
        <f t="shared" si="0"/>
        <v>5136.239520000001</v>
      </c>
      <c r="R7" s="8">
        <f t="shared" si="2"/>
        <v>105592.52413200002</v>
      </c>
      <c r="S7" s="8" t="str">
        <f>VLOOKUP(J7,'GHG Factors FY21'!A:B,2,FALSE)</f>
        <v>Estimates - Transport</v>
      </c>
      <c r="T7" s="8" t="str">
        <f>VLOOKUP(ReformFY21[[#This Row],[Reporting Alias]],'Entities FY21'!B:B,1,FALSE)</f>
        <v>Estimates Transport Diesel VIC</v>
      </c>
    </row>
    <row r="8" spans="1:20">
      <c r="A8" t="s">
        <v>791</v>
      </c>
      <c r="B8" t="s">
        <v>787</v>
      </c>
      <c r="C8" t="s">
        <v>686</v>
      </c>
      <c r="D8" s="244">
        <v>20.841799999999999</v>
      </c>
      <c r="E8">
        <v>804.49347999999998</v>
      </c>
      <c r="F8">
        <v>56644.385926800009</v>
      </c>
      <c r="G8">
        <v>0</v>
      </c>
      <c r="H8">
        <v>2896.176528</v>
      </c>
      <c r="I8">
        <v>59540.562454800005</v>
      </c>
      <c r="J8" t="str">
        <f t="shared" si="1"/>
        <v>Estimates Transport Diesel WA</v>
      </c>
      <c r="K8" t="str">
        <f t="shared" si="0"/>
        <v>kL</v>
      </c>
      <c r="L8" t="str">
        <f t="shared" si="0"/>
        <v>BBB</v>
      </c>
      <c r="M8" s="21">
        <f t="shared" si="0"/>
        <v>20.841799999999999</v>
      </c>
      <c r="N8" s="8">
        <f t="shared" si="0"/>
        <v>804.49347999999998</v>
      </c>
      <c r="O8" s="8">
        <f t="shared" si="0"/>
        <v>56644.385926800009</v>
      </c>
      <c r="P8" s="8">
        <f t="shared" si="0"/>
        <v>0</v>
      </c>
      <c r="Q8" s="8">
        <f t="shared" si="0"/>
        <v>2896.176528</v>
      </c>
      <c r="R8" s="8">
        <f t="shared" si="2"/>
        <v>59540.562454800005</v>
      </c>
      <c r="S8" s="8" t="str">
        <f>VLOOKUP(J8,'GHG Factors FY21'!A:B,2,FALSE)</f>
        <v>Estimates - Transport</v>
      </c>
      <c r="T8" s="8" t="str">
        <f>VLOOKUP(ReformFY21[[#This Row],[Reporting Alias]],'Entities FY21'!B:B,1,FALSE)</f>
        <v>Estimates Transport Diesel WA</v>
      </c>
    </row>
    <row r="9" spans="1:20">
      <c r="A9" t="s">
        <v>792</v>
      </c>
      <c r="B9" t="s">
        <v>787</v>
      </c>
      <c r="C9" t="s">
        <v>686</v>
      </c>
      <c r="D9" s="244">
        <v>22.584440000000001</v>
      </c>
      <c r="E9">
        <v>772.38784800000008</v>
      </c>
      <c r="F9">
        <v>52228.866281760005</v>
      </c>
      <c r="G9">
        <v>0</v>
      </c>
      <c r="H9">
        <v>2780.5962528000005</v>
      </c>
      <c r="I9">
        <v>55009.462534560007</v>
      </c>
      <c r="J9" t="str">
        <f t="shared" si="1"/>
        <v>Estimates Transport Petrol NSW</v>
      </c>
      <c r="K9" t="str">
        <f t="shared" si="0"/>
        <v>kL</v>
      </c>
      <c r="L9" t="str">
        <f t="shared" si="0"/>
        <v>BBB</v>
      </c>
      <c r="M9" s="21">
        <f t="shared" si="0"/>
        <v>22.584440000000001</v>
      </c>
      <c r="N9" s="8">
        <f t="shared" si="0"/>
        <v>772.38784800000008</v>
      </c>
      <c r="O9" s="8">
        <f t="shared" si="0"/>
        <v>52228.866281760005</v>
      </c>
      <c r="P9" s="8">
        <f t="shared" si="0"/>
        <v>0</v>
      </c>
      <c r="Q9" s="8">
        <f t="shared" si="0"/>
        <v>2780.5962528000005</v>
      </c>
      <c r="R9" s="8">
        <f t="shared" si="2"/>
        <v>55009.462534560007</v>
      </c>
      <c r="S9" s="8" t="str">
        <f>VLOOKUP(J9,'GHG Factors FY21'!A:B,2,FALSE)</f>
        <v>Estimates - Transport</v>
      </c>
      <c r="T9" s="8" t="str">
        <f>VLOOKUP(ReformFY21[[#This Row],[Reporting Alias]],'Entities FY21'!B:B,1,FALSE)</f>
        <v>Estimates Transport Petrol NSW</v>
      </c>
    </row>
    <row r="10" spans="1:20">
      <c r="A10" t="s">
        <v>793</v>
      </c>
      <c r="B10" t="s">
        <v>787</v>
      </c>
      <c r="C10" t="s">
        <v>686</v>
      </c>
      <c r="D10" s="244">
        <v>7.4206799999999991</v>
      </c>
      <c r="E10">
        <v>253.78725599999999</v>
      </c>
      <c r="F10">
        <v>17161.094250720002</v>
      </c>
      <c r="G10">
        <v>0</v>
      </c>
      <c r="H10">
        <v>913.63412159999996</v>
      </c>
      <c r="I10">
        <v>18074.728372320002</v>
      </c>
      <c r="J10" t="str">
        <f t="shared" si="1"/>
        <v>Estimates Transport Petrol QLD</v>
      </c>
      <c r="K10" t="str">
        <f t="shared" si="0"/>
        <v>kL</v>
      </c>
      <c r="L10" t="str">
        <f t="shared" si="0"/>
        <v>BBB</v>
      </c>
      <c r="M10" s="21">
        <f t="shared" si="0"/>
        <v>7.4206799999999991</v>
      </c>
      <c r="N10" s="8">
        <f t="shared" si="0"/>
        <v>253.78725599999999</v>
      </c>
      <c r="O10" s="8">
        <f t="shared" si="0"/>
        <v>17161.094250720002</v>
      </c>
      <c r="P10" s="8">
        <f t="shared" si="0"/>
        <v>0</v>
      </c>
      <c r="Q10" s="8">
        <f t="shared" si="0"/>
        <v>913.63412159999996</v>
      </c>
      <c r="R10" s="8">
        <f t="shared" si="2"/>
        <v>18074.728372320002</v>
      </c>
      <c r="S10" s="8" t="str">
        <f>VLOOKUP(J10,'GHG Factors FY21'!A:B,2,FALSE)</f>
        <v>Estimates - Transport</v>
      </c>
      <c r="T10" s="8" t="str">
        <f>VLOOKUP(ReformFY21[[#This Row],[Reporting Alias]],'Entities FY21'!B:B,1,FALSE)</f>
        <v>Estimates Transport Petrol QLD</v>
      </c>
    </row>
    <row r="11" spans="1:20">
      <c r="A11" t="s">
        <v>794</v>
      </c>
      <c r="B11" t="s">
        <v>787</v>
      </c>
      <c r="C11" t="s">
        <v>686</v>
      </c>
      <c r="D11" s="244">
        <v>15.856159999999999</v>
      </c>
      <c r="E11">
        <v>542.28067199999998</v>
      </c>
      <c r="F11">
        <v>36669.01904064</v>
      </c>
      <c r="G11">
        <v>0</v>
      </c>
      <c r="H11">
        <v>1952.2104191999999</v>
      </c>
      <c r="I11">
        <v>38621.229459839997</v>
      </c>
      <c r="J11" t="str">
        <f t="shared" si="1"/>
        <v>Estimates Transport Petrol VIC</v>
      </c>
      <c r="K11" t="str">
        <f t="shared" si="0"/>
        <v>kL</v>
      </c>
      <c r="L11" t="str">
        <f t="shared" si="0"/>
        <v>BBB</v>
      </c>
      <c r="M11" s="21">
        <f t="shared" si="0"/>
        <v>15.856159999999999</v>
      </c>
      <c r="N11" s="8">
        <f t="shared" si="0"/>
        <v>542.28067199999998</v>
      </c>
      <c r="O11" s="8">
        <f t="shared" si="0"/>
        <v>36669.01904064</v>
      </c>
      <c r="P11" s="8">
        <f t="shared" si="0"/>
        <v>0</v>
      </c>
      <c r="Q11" s="8">
        <f t="shared" si="0"/>
        <v>1952.2104191999999</v>
      </c>
      <c r="R11" s="8">
        <f t="shared" si="2"/>
        <v>38621.229459839997</v>
      </c>
      <c r="S11" s="8" t="str">
        <f>VLOOKUP(J11,'GHG Factors FY21'!A:B,2,FALSE)</f>
        <v>Estimates - Transport</v>
      </c>
      <c r="T11" s="8" t="str">
        <f>VLOOKUP(ReformFY21[[#This Row],[Reporting Alias]],'Entities FY21'!B:B,1,FALSE)</f>
        <v>Estimates Transport Petrol VIC</v>
      </c>
    </row>
    <row r="12" spans="1:20">
      <c r="A12" t="s">
        <v>795</v>
      </c>
      <c r="B12" t="s">
        <v>787</v>
      </c>
      <c r="C12" t="s">
        <v>686</v>
      </c>
      <c r="D12" s="244">
        <v>2.8568399999999996</v>
      </c>
      <c r="E12">
        <v>97.703927999999991</v>
      </c>
      <c r="F12">
        <v>6606.7396113599998</v>
      </c>
      <c r="G12">
        <v>0</v>
      </c>
      <c r="H12">
        <v>351.73414079999998</v>
      </c>
      <c r="I12">
        <v>6958.47375216</v>
      </c>
      <c r="J12" t="str">
        <f t="shared" si="1"/>
        <v>Estimates Transport Petrol WA</v>
      </c>
      <c r="K12" t="str">
        <f t="shared" si="0"/>
        <v>kL</v>
      </c>
      <c r="L12" t="str">
        <f t="shared" si="0"/>
        <v>BBB</v>
      </c>
      <c r="M12" s="21">
        <f t="shared" si="0"/>
        <v>2.8568399999999996</v>
      </c>
      <c r="N12" s="8">
        <f t="shared" si="0"/>
        <v>97.703927999999991</v>
      </c>
      <c r="O12" s="8">
        <f t="shared" si="0"/>
        <v>6606.7396113599998</v>
      </c>
      <c r="P12" s="8">
        <f t="shared" si="0"/>
        <v>0</v>
      </c>
      <c r="Q12" s="8">
        <f t="shared" si="0"/>
        <v>351.73414079999998</v>
      </c>
      <c r="R12" s="8">
        <f t="shared" si="2"/>
        <v>6958.47375216</v>
      </c>
      <c r="S12" s="8" t="str">
        <f>VLOOKUP(J12,'GHG Factors FY21'!A:B,2,FALSE)</f>
        <v>Estimates - Transport</v>
      </c>
      <c r="T12" s="8" t="str">
        <f>VLOOKUP(ReformFY21[[#This Row],[Reporting Alias]],'Entities FY21'!B:B,1,FALSE)</f>
        <v>Estimates Transport Petrol WA</v>
      </c>
    </row>
    <row r="13" spans="1:20">
      <c r="A13" t="s">
        <v>796</v>
      </c>
      <c r="B13" t="s">
        <v>663</v>
      </c>
      <c r="C13" t="s">
        <v>104</v>
      </c>
      <c r="D13" s="244">
        <v>0</v>
      </c>
      <c r="E13">
        <v>0</v>
      </c>
      <c r="F13">
        <v>0</v>
      </c>
      <c r="G13">
        <v>0</v>
      </c>
      <c r="H13">
        <v>0</v>
      </c>
      <c r="I13">
        <v>0</v>
      </c>
      <c r="J13" t="str">
        <f t="shared" si="1"/>
        <v>BCA on Telstra sites for removal ACT</v>
      </c>
      <c r="K13" t="str">
        <f t="shared" si="0"/>
        <v>kWh</v>
      </c>
      <c r="L13" t="str">
        <f t="shared" si="0"/>
        <v>N/A</v>
      </c>
      <c r="M13" s="21">
        <f t="shared" si="0"/>
        <v>0</v>
      </c>
      <c r="N13" s="8">
        <f t="shared" si="0"/>
        <v>0</v>
      </c>
      <c r="O13" s="8">
        <f t="shared" si="0"/>
        <v>0</v>
      </c>
      <c r="P13" s="8">
        <f t="shared" si="0"/>
        <v>0</v>
      </c>
      <c r="Q13" s="8">
        <f t="shared" si="0"/>
        <v>0</v>
      </c>
      <c r="R13" s="8">
        <f t="shared" si="2"/>
        <v>0</v>
      </c>
      <c r="S13" s="8" t="str">
        <f>VLOOKUP(J13,'GHG Factors FY21'!A:B,2,FALSE)</f>
        <v>Electricity</v>
      </c>
      <c r="T13" s="8" t="str">
        <f>VLOOKUP(ReformFY21[[#This Row],[Reporting Alias]],'Entities FY21'!B:B,1,FALSE)</f>
        <v>BCA on Telstra sites for removal ACT</v>
      </c>
    </row>
    <row r="14" spans="1:20">
      <c r="A14" t="s">
        <v>797</v>
      </c>
      <c r="B14" t="s">
        <v>663</v>
      </c>
      <c r="C14" t="s">
        <v>104</v>
      </c>
      <c r="D14" s="244">
        <v>-244823.99959999998</v>
      </c>
      <c r="E14">
        <v>-881.36639855999988</v>
      </c>
      <c r="F14">
        <v>0</v>
      </c>
      <c r="G14">
        <v>-198307.43967600001</v>
      </c>
      <c r="H14">
        <v>-22034.159963999999</v>
      </c>
      <c r="I14">
        <v>-220341.59964</v>
      </c>
      <c r="J14" t="str">
        <f t="shared" si="1"/>
        <v>BCA on Telstra sites for removal NSW</v>
      </c>
      <c r="K14" t="str">
        <f t="shared" si="0"/>
        <v>kWh</v>
      </c>
      <c r="L14" t="str">
        <f t="shared" si="0"/>
        <v>N/A</v>
      </c>
      <c r="M14" s="21">
        <f t="shared" si="0"/>
        <v>-244823.99959999998</v>
      </c>
      <c r="N14" s="8">
        <f t="shared" si="0"/>
        <v>-881.36639855999988</v>
      </c>
      <c r="O14" s="8">
        <f t="shared" si="0"/>
        <v>0</v>
      </c>
      <c r="P14" s="8">
        <f t="shared" si="0"/>
        <v>-198307.43967600001</v>
      </c>
      <c r="Q14" s="8">
        <f t="shared" si="0"/>
        <v>-22034.159963999999</v>
      </c>
      <c r="R14" s="8">
        <f t="shared" si="2"/>
        <v>-220341.59964</v>
      </c>
      <c r="S14" s="8" t="str">
        <f>VLOOKUP(J14,'GHG Factors FY21'!A:B,2,FALSE)</f>
        <v>Electricity</v>
      </c>
      <c r="T14" s="8" t="str">
        <f>VLOOKUP(ReformFY21[[#This Row],[Reporting Alias]],'Entities FY21'!B:B,1,FALSE)</f>
        <v>BCA on Telstra sites for removal NSW</v>
      </c>
    </row>
    <row r="15" spans="1:20">
      <c r="A15" t="s">
        <v>798</v>
      </c>
      <c r="B15" t="s">
        <v>663</v>
      </c>
      <c r="C15" t="s">
        <v>104</v>
      </c>
      <c r="D15" s="244">
        <v>-196328.99980000002</v>
      </c>
      <c r="E15">
        <v>-706.78439928</v>
      </c>
      <c r="F15">
        <v>0</v>
      </c>
      <c r="G15">
        <v>-121723.97987600001</v>
      </c>
      <c r="H15">
        <v>-13743.029986000003</v>
      </c>
      <c r="I15">
        <v>-135467.00986200001</v>
      </c>
      <c r="J15" t="str">
        <f t="shared" si="1"/>
        <v>BCA on Telstra sites for removal NT</v>
      </c>
      <c r="K15" t="str">
        <f t="shared" si="0"/>
        <v>kWh</v>
      </c>
      <c r="L15" t="str">
        <f t="shared" si="0"/>
        <v>N/A</v>
      </c>
      <c r="M15" s="21">
        <f t="shared" si="0"/>
        <v>-196328.99980000002</v>
      </c>
      <c r="N15" s="8">
        <f t="shared" si="0"/>
        <v>-706.78439928</v>
      </c>
      <c r="O15" s="8">
        <f t="shared" si="0"/>
        <v>0</v>
      </c>
      <c r="P15" s="8">
        <f t="shared" si="0"/>
        <v>-121723.97987600001</v>
      </c>
      <c r="Q15" s="8">
        <f t="shared" si="0"/>
        <v>-13743.029986000003</v>
      </c>
      <c r="R15" s="8">
        <f t="shared" si="2"/>
        <v>-135467.00986200001</v>
      </c>
      <c r="S15" s="8" t="str">
        <f>VLOOKUP(J15,'GHG Factors FY21'!A:B,2,FALSE)</f>
        <v>Electricity</v>
      </c>
      <c r="T15" s="8" t="str">
        <f>VLOOKUP(ReformFY21[[#This Row],[Reporting Alias]],'Entities FY21'!B:B,1,FALSE)</f>
        <v>BCA on Telstra sites for removal NT</v>
      </c>
    </row>
    <row r="16" spans="1:20">
      <c r="A16" t="s">
        <v>799</v>
      </c>
      <c r="B16" t="s">
        <v>663</v>
      </c>
      <c r="C16" t="s">
        <v>104</v>
      </c>
      <c r="D16" s="244">
        <v>-346876.00040000002</v>
      </c>
      <c r="E16">
        <v>-1248.75360144</v>
      </c>
      <c r="F16">
        <v>0</v>
      </c>
      <c r="G16">
        <v>-280969.56032400002</v>
      </c>
      <c r="H16">
        <v>-41625.120048000004</v>
      </c>
      <c r="I16">
        <v>-322594.68037200003</v>
      </c>
      <c r="J16" t="str">
        <f t="shared" si="1"/>
        <v>BCA on Telstra sites for removal QLD</v>
      </c>
      <c r="K16" t="str">
        <f t="shared" si="0"/>
        <v>kWh</v>
      </c>
      <c r="L16" t="str">
        <f t="shared" si="0"/>
        <v>N/A</v>
      </c>
      <c r="M16" s="21">
        <f t="shared" si="0"/>
        <v>-346876.00040000002</v>
      </c>
      <c r="N16" s="8">
        <f t="shared" si="0"/>
        <v>-1248.75360144</v>
      </c>
      <c r="O16" s="8">
        <f t="shared" si="0"/>
        <v>0</v>
      </c>
      <c r="P16" s="8">
        <f t="shared" si="0"/>
        <v>-280969.56032400002</v>
      </c>
      <c r="Q16" s="8">
        <f t="shared" si="0"/>
        <v>-41625.120048000004</v>
      </c>
      <c r="R16" s="8">
        <f t="shared" si="2"/>
        <v>-322594.68037200003</v>
      </c>
      <c r="S16" s="8" t="str">
        <f>VLOOKUP(J16,'GHG Factors FY21'!A:B,2,FALSE)</f>
        <v>Electricity</v>
      </c>
      <c r="T16" s="8" t="str">
        <f>VLOOKUP(ReformFY21[[#This Row],[Reporting Alias]],'Entities FY21'!B:B,1,FALSE)</f>
        <v>BCA on Telstra sites for removal QLD</v>
      </c>
    </row>
    <row r="17" spans="1:20">
      <c r="A17" t="s">
        <v>800</v>
      </c>
      <c r="B17" t="s">
        <v>663</v>
      </c>
      <c r="C17" t="s">
        <v>104</v>
      </c>
      <c r="D17" s="244">
        <v>-225433.99979999999</v>
      </c>
      <c r="E17">
        <v>-811.56239927999991</v>
      </c>
      <c r="F17">
        <v>0</v>
      </c>
      <c r="G17">
        <v>-96936.619913999995</v>
      </c>
      <c r="H17">
        <v>-20289.059981999999</v>
      </c>
      <c r="I17">
        <v>-117225.67989599999</v>
      </c>
      <c r="J17" t="str">
        <f t="shared" si="1"/>
        <v>BCA on Telstra sites for removal SA</v>
      </c>
      <c r="K17" t="str">
        <f t="shared" si="0"/>
        <v>kWh</v>
      </c>
      <c r="L17" t="str">
        <f t="shared" si="0"/>
        <v>N/A</v>
      </c>
      <c r="M17" s="21">
        <f t="shared" si="0"/>
        <v>-225433.99979999999</v>
      </c>
      <c r="N17" s="8">
        <f t="shared" si="0"/>
        <v>-811.56239927999991</v>
      </c>
      <c r="O17" s="8">
        <f t="shared" si="0"/>
        <v>0</v>
      </c>
      <c r="P17" s="8">
        <f t="shared" si="0"/>
        <v>-96936.619913999995</v>
      </c>
      <c r="Q17" s="8">
        <f t="shared" si="0"/>
        <v>-20289.059981999999</v>
      </c>
      <c r="R17" s="8">
        <f t="shared" si="2"/>
        <v>-117225.67989599999</v>
      </c>
      <c r="S17" s="8" t="str">
        <f>VLOOKUP(J17,'GHG Factors FY21'!A:B,2,FALSE)</f>
        <v>Electricity</v>
      </c>
      <c r="T17" s="8" t="str">
        <f>VLOOKUP(ReformFY21[[#This Row],[Reporting Alias]],'Entities FY21'!B:B,1,FALSE)</f>
        <v>BCA on Telstra sites for removal SA</v>
      </c>
    </row>
    <row r="18" spans="1:20">
      <c r="A18" t="s">
        <v>801</v>
      </c>
      <c r="B18" t="s">
        <v>663</v>
      </c>
      <c r="C18" t="s">
        <v>104</v>
      </c>
      <c r="D18" s="244">
        <v>-113095.99979999999</v>
      </c>
      <c r="E18">
        <v>-407.14559927999994</v>
      </c>
      <c r="F18">
        <v>0</v>
      </c>
      <c r="G18">
        <v>-19226.319965999999</v>
      </c>
      <c r="H18">
        <v>-2261.9199960000001</v>
      </c>
      <c r="I18">
        <v>-21488.239962</v>
      </c>
      <c r="J18" t="str">
        <f t="shared" si="1"/>
        <v>BCA on Telstra sites for removal TAS</v>
      </c>
      <c r="K18" t="str">
        <f t="shared" si="1"/>
        <v>kWh</v>
      </c>
      <c r="L18" t="str">
        <f t="shared" si="1"/>
        <v>N/A</v>
      </c>
      <c r="M18" s="21">
        <f t="shared" si="1"/>
        <v>-113095.99979999999</v>
      </c>
      <c r="N18" s="8">
        <f t="shared" si="1"/>
        <v>-407.14559927999994</v>
      </c>
      <c r="O18" s="8">
        <f t="shared" si="1"/>
        <v>0</v>
      </c>
      <c r="P18" s="8">
        <f t="shared" si="1"/>
        <v>-19226.319965999999</v>
      </c>
      <c r="Q18" s="8">
        <f t="shared" si="1"/>
        <v>-2261.9199960000001</v>
      </c>
      <c r="R18" s="8">
        <f t="shared" si="2"/>
        <v>-21488.239962</v>
      </c>
      <c r="S18" s="8" t="str">
        <f>VLOOKUP(J18,'GHG Factors FY21'!A:B,2,FALSE)</f>
        <v>Electricity</v>
      </c>
      <c r="T18" s="8" t="str">
        <f>VLOOKUP(ReformFY21[[#This Row],[Reporting Alias]],'Entities FY21'!B:B,1,FALSE)</f>
        <v>BCA on Telstra sites for removal TAS</v>
      </c>
    </row>
    <row r="19" spans="1:20">
      <c r="A19" t="s">
        <v>802</v>
      </c>
      <c r="B19" t="s">
        <v>663</v>
      </c>
      <c r="C19" t="s">
        <v>104</v>
      </c>
      <c r="D19" s="244">
        <v>-198912.9999</v>
      </c>
      <c r="E19">
        <v>-716.08679963999998</v>
      </c>
      <c r="F19">
        <v>0</v>
      </c>
      <c r="G19">
        <v>-194934.739902</v>
      </c>
      <c r="H19">
        <v>-21880.429989</v>
      </c>
      <c r="I19">
        <v>-216815.169891</v>
      </c>
      <c r="J19" t="str">
        <f t="shared" si="1"/>
        <v>BCA on Telstra sites for removal VIC</v>
      </c>
      <c r="K19" t="str">
        <f t="shared" si="1"/>
        <v>kWh</v>
      </c>
      <c r="L19" t="str">
        <f t="shared" si="1"/>
        <v>N/A</v>
      </c>
      <c r="M19" s="21">
        <f t="shared" si="1"/>
        <v>-198912.9999</v>
      </c>
      <c r="N19" s="8">
        <f t="shared" si="1"/>
        <v>-716.08679963999998</v>
      </c>
      <c r="O19" s="8">
        <f t="shared" si="1"/>
        <v>0</v>
      </c>
      <c r="P19" s="8">
        <f t="shared" si="1"/>
        <v>-194934.739902</v>
      </c>
      <c r="Q19" s="8">
        <f t="shared" si="1"/>
        <v>-21880.429989</v>
      </c>
      <c r="R19" s="8">
        <f t="shared" si="2"/>
        <v>-216815.169891</v>
      </c>
      <c r="S19" s="8" t="str">
        <f>VLOOKUP(J19,'GHG Factors FY21'!A:B,2,FALSE)</f>
        <v>Electricity</v>
      </c>
      <c r="T19" s="8" t="str">
        <f>VLOOKUP(ReformFY21[[#This Row],[Reporting Alias]],'Entities FY21'!B:B,1,FALSE)</f>
        <v>BCA on Telstra sites for removal VIC</v>
      </c>
    </row>
    <row r="20" spans="1:20">
      <c r="A20" t="s">
        <v>803</v>
      </c>
      <c r="B20" t="s">
        <v>663</v>
      </c>
      <c r="C20" t="s">
        <v>104</v>
      </c>
      <c r="D20" s="244">
        <v>-163068.00020000001</v>
      </c>
      <c r="E20">
        <v>-587.04480072000001</v>
      </c>
      <c r="F20">
        <v>0</v>
      </c>
      <c r="G20">
        <v>-110886.24013600001</v>
      </c>
      <c r="H20">
        <v>-3261.3600040000001</v>
      </c>
      <c r="I20">
        <v>-114147.60014000001</v>
      </c>
      <c r="J20" t="str">
        <f t="shared" si="1"/>
        <v>BCA on Telstra sites for removal WA</v>
      </c>
      <c r="K20" t="str">
        <f t="shared" si="1"/>
        <v>kWh</v>
      </c>
      <c r="L20" t="str">
        <f t="shared" si="1"/>
        <v>N/A</v>
      </c>
      <c r="M20" s="21">
        <f t="shared" si="1"/>
        <v>-163068.00020000001</v>
      </c>
      <c r="N20" s="8">
        <f t="shared" si="1"/>
        <v>-587.04480072000001</v>
      </c>
      <c r="O20" s="8">
        <f t="shared" si="1"/>
        <v>0</v>
      </c>
      <c r="P20" s="8">
        <f t="shared" si="1"/>
        <v>-110886.24013600001</v>
      </c>
      <c r="Q20" s="8">
        <f t="shared" si="1"/>
        <v>-3261.3600040000001</v>
      </c>
      <c r="R20" s="8">
        <f t="shared" si="2"/>
        <v>-114147.60014000001</v>
      </c>
      <c r="S20" s="8" t="str">
        <f>VLOOKUP(J20,'GHG Factors FY21'!A:B,2,FALSE)</f>
        <v>Electricity</v>
      </c>
      <c r="T20" s="8" t="str">
        <f>VLOOKUP(ReformFY21[[#This Row],[Reporting Alias]],'Entities FY21'!B:B,1,FALSE)</f>
        <v>BCA on Telstra sites for removal WA</v>
      </c>
    </row>
    <row r="21" spans="1:20">
      <c r="A21" t="s">
        <v>804</v>
      </c>
      <c r="B21" t="s">
        <v>663</v>
      </c>
      <c r="C21" t="s">
        <v>104</v>
      </c>
      <c r="D21" s="244">
        <v>-1160245.3832</v>
      </c>
      <c r="E21">
        <v>-4176.8833795199998</v>
      </c>
      <c r="F21">
        <v>0</v>
      </c>
      <c r="G21">
        <v>-939798.76039200008</v>
      </c>
      <c r="H21">
        <v>-104422.08448799999</v>
      </c>
      <c r="I21">
        <v>-1044220.8448800001</v>
      </c>
      <c r="J21" t="str">
        <f t="shared" si="1"/>
        <v>NBN Co Removal ACT</v>
      </c>
      <c r="K21" t="str">
        <f t="shared" si="1"/>
        <v>kWh</v>
      </c>
      <c r="L21" t="str">
        <f t="shared" si="1"/>
        <v>N/A</v>
      </c>
      <c r="M21" s="21">
        <f t="shared" si="1"/>
        <v>-1160245.3832</v>
      </c>
      <c r="N21" s="8">
        <f t="shared" si="1"/>
        <v>-4176.8833795199998</v>
      </c>
      <c r="O21" s="8">
        <f t="shared" si="1"/>
        <v>0</v>
      </c>
      <c r="P21" s="8">
        <f t="shared" si="1"/>
        <v>-939798.76039200008</v>
      </c>
      <c r="Q21" s="8">
        <f t="shared" si="1"/>
        <v>-104422.08448799999</v>
      </c>
      <c r="R21" s="8">
        <f t="shared" si="2"/>
        <v>-1044220.8448800001</v>
      </c>
      <c r="S21" s="8" t="str">
        <f>VLOOKUP(J21,'GHG Factors FY21'!A:B,2,FALSE)</f>
        <v>Electricity</v>
      </c>
      <c r="T21" s="8" t="str">
        <f>VLOOKUP(ReformFY21[[#This Row],[Reporting Alias]],'Entities FY21'!B:B,1,FALSE)</f>
        <v>NBN Co Removal ACT</v>
      </c>
    </row>
    <row r="22" spans="1:20">
      <c r="A22" t="s">
        <v>805</v>
      </c>
      <c r="B22" t="s">
        <v>663</v>
      </c>
      <c r="C22" t="s">
        <v>104</v>
      </c>
      <c r="D22" s="244">
        <v>-25180391.490000006</v>
      </c>
      <c r="E22">
        <v>-90649.409364000021</v>
      </c>
      <c r="F22">
        <v>0</v>
      </c>
      <c r="G22">
        <v>-20396117.106900007</v>
      </c>
      <c r="H22">
        <v>-2266235.2341000005</v>
      </c>
      <c r="I22">
        <v>-22662352.341000006</v>
      </c>
      <c r="J22" t="str">
        <f t="shared" si="1"/>
        <v>NBN Co Removal NSW</v>
      </c>
      <c r="K22" t="str">
        <f t="shared" si="1"/>
        <v>kWh</v>
      </c>
      <c r="L22" t="str">
        <f t="shared" si="1"/>
        <v>N/A</v>
      </c>
      <c r="M22" s="21">
        <f t="shared" si="1"/>
        <v>-25180391.490000006</v>
      </c>
      <c r="N22" s="8">
        <f t="shared" si="1"/>
        <v>-90649.409364000021</v>
      </c>
      <c r="O22" s="8">
        <f t="shared" si="1"/>
        <v>0</v>
      </c>
      <c r="P22" s="8">
        <f t="shared" si="1"/>
        <v>-20396117.106900007</v>
      </c>
      <c r="Q22" s="8">
        <f t="shared" si="1"/>
        <v>-2266235.2341000005</v>
      </c>
      <c r="R22" s="8">
        <f t="shared" si="2"/>
        <v>-22662352.341000006</v>
      </c>
      <c r="S22" s="8" t="str">
        <f>VLOOKUP(J22,'GHG Factors FY21'!A:B,2,FALSE)</f>
        <v>Electricity</v>
      </c>
      <c r="T22" s="8" t="str">
        <f>VLOOKUP(ReformFY21[[#This Row],[Reporting Alias]],'Entities FY21'!B:B,1,FALSE)</f>
        <v>NBN Co Removal NSW</v>
      </c>
    </row>
    <row r="23" spans="1:20">
      <c r="A23" t="s">
        <v>806</v>
      </c>
      <c r="B23" t="s">
        <v>663</v>
      </c>
      <c r="C23" t="s">
        <v>104</v>
      </c>
      <c r="D23" s="244">
        <v>-788271.81990000012</v>
      </c>
      <c r="E23">
        <v>-2837.7785516400004</v>
      </c>
      <c r="F23">
        <v>0</v>
      </c>
      <c r="G23">
        <v>-488728.52833800006</v>
      </c>
      <c r="H23">
        <v>-55179.027393000011</v>
      </c>
      <c r="I23">
        <v>-543907.55573100003</v>
      </c>
      <c r="J23" t="str">
        <f t="shared" si="1"/>
        <v>NBN Co Removal NT</v>
      </c>
      <c r="K23" t="str">
        <f t="shared" si="1"/>
        <v>kWh</v>
      </c>
      <c r="L23" t="str">
        <f t="shared" si="1"/>
        <v>N/A</v>
      </c>
      <c r="M23" s="21">
        <f t="shared" si="1"/>
        <v>-788271.81990000012</v>
      </c>
      <c r="N23" s="8">
        <f t="shared" si="1"/>
        <v>-2837.7785516400004</v>
      </c>
      <c r="O23" s="8">
        <f t="shared" si="1"/>
        <v>0</v>
      </c>
      <c r="P23" s="8">
        <f t="shared" si="1"/>
        <v>-488728.52833800006</v>
      </c>
      <c r="Q23" s="8">
        <f t="shared" si="1"/>
        <v>-55179.027393000011</v>
      </c>
      <c r="R23" s="8">
        <f t="shared" si="2"/>
        <v>-543907.55573100003</v>
      </c>
      <c r="S23" s="8" t="str">
        <f>VLOOKUP(J23,'GHG Factors FY21'!A:B,2,FALSE)</f>
        <v>Electricity</v>
      </c>
      <c r="T23" s="8" t="str">
        <f>VLOOKUP(ReformFY21[[#This Row],[Reporting Alias]],'Entities FY21'!B:B,1,FALSE)</f>
        <v>NBN Co Removal NT</v>
      </c>
    </row>
    <row r="24" spans="1:20">
      <c r="A24" t="s">
        <v>807</v>
      </c>
      <c r="B24" t="s">
        <v>663</v>
      </c>
      <c r="C24" t="s">
        <v>104</v>
      </c>
      <c r="D24" s="244">
        <v>-15329808.899499999</v>
      </c>
      <c r="E24">
        <v>-55187.312038199998</v>
      </c>
      <c r="F24">
        <v>0</v>
      </c>
      <c r="G24">
        <v>-12417145.208595</v>
      </c>
      <c r="H24">
        <v>-1839577.0679399997</v>
      </c>
      <c r="I24">
        <v>-14256722.276535001</v>
      </c>
      <c r="J24" t="str">
        <f t="shared" si="1"/>
        <v>NBN Co Removal QLD</v>
      </c>
      <c r="K24" t="str">
        <f t="shared" si="1"/>
        <v>kWh</v>
      </c>
      <c r="L24" t="str">
        <f t="shared" si="1"/>
        <v>N/A</v>
      </c>
      <c r="M24" s="21">
        <f t="shared" si="1"/>
        <v>-15329808.899499999</v>
      </c>
      <c r="N24" s="8">
        <f t="shared" si="1"/>
        <v>-55187.312038199998</v>
      </c>
      <c r="O24" s="8">
        <f t="shared" si="1"/>
        <v>0</v>
      </c>
      <c r="P24" s="8">
        <f t="shared" si="1"/>
        <v>-12417145.208595</v>
      </c>
      <c r="Q24" s="8">
        <f t="shared" si="1"/>
        <v>-1839577.0679399997</v>
      </c>
      <c r="R24" s="8">
        <f t="shared" si="2"/>
        <v>-14256722.276535001</v>
      </c>
      <c r="S24" s="8" t="str">
        <f>VLOOKUP(J24,'GHG Factors FY21'!A:B,2,FALSE)</f>
        <v>Electricity</v>
      </c>
      <c r="T24" s="8" t="str">
        <f>VLOOKUP(ReformFY21[[#This Row],[Reporting Alias]],'Entities FY21'!B:B,1,FALSE)</f>
        <v>NBN Co Removal QLD</v>
      </c>
    </row>
    <row r="25" spans="1:20">
      <c r="A25" t="s">
        <v>808</v>
      </c>
      <c r="B25" t="s">
        <v>663</v>
      </c>
      <c r="C25" t="s">
        <v>104</v>
      </c>
      <c r="D25" s="244">
        <v>-5628388.4004000006</v>
      </c>
      <c r="E25">
        <v>-20262.198241440001</v>
      </c>
      <c r="F25">
        <v>0</v>
      </c>
      <c r="G25">
        <v>-2420207.012172</v>
      </c>
      <c r="H25">
        <v>-506554.95603600005</v>
      </c>
      <c r="I25">
        <v>-2926761.9682080001</v>
      </c>
      <c r="J25" t="str">
        <f t="shared" si="1"/>
        <v>NBN Co Removal SA</v>
      </c>
      <c r="K25" t="str">
        <f t="shared" si="1"/>
        <v>kWh</v>
      </c>
      <c r="L25" t="str">
        <f t="shared" si="1"/>
        <v>N/A</v>
      </c>
      <c r="M25" s="21">
        <f t="shared" si="1"/>
        <v>-5628388.4004000006</v>
      </c>
      <c r="N25" s="8">
        <f t="shared" si="1"/>
        <v>-20262.198241440001</v>
      </c>
      <c r="O25" s="8">
        <f t="shared" si="1"/>
        <v>0</v>
      </c>
      <c r="P25" s="8">
        <f t="shared" si="1"/>
        <v>-2420207.012172</v>
      </c>
      <c r="Q25" s="8">
        <f t="shared" si="1"/>
        <v>-506554.95603600005</v>
      </c>
      <c r="R25" s="8">
        <f t="shared" si="2"/>
        <v>-2926761.9682080001</v>
      </c>
      <c r="S25" s="8" t="str">
        <f>VLOOKUP(J25,'GHG Factors FY21'!A:B,2,FALSE)</f>
        <v>Electricity</v>
      </c>
      <c r="T25" s="8" t="str">
        <f>VLOOKUP(ReformFY21[[#This Row],[Reporting Alias]],'Entities FY21'!B:B,1,FALSE)</f>
        <v>NBN Co Removal SA</v>
      </c>
    </row>
    <row r="26" spans="1:20">
      <c r="A26" t="s">
        <v>809</v>
      </c>
      <c r="B26" t="s">
        <v>663</v>
      </c>
      <c r="C26" t="s">
        <v>104</v>
      </c>
      <c r="D26" s="244">
        <v>-2282765.173</v>
      </c>
      <c r="E26">
        <v>-8217.9546227999999</v>
      </c>
      <c r="F26">
        <v>0</v>
      </c>
      <c r="G26">
        <v>-388070.07941000001</v>
      </c>
      <c r="H26">
        <v>-45655.303460000003</v>
      </c>
      <c r="I26">
        <v>-433725.38287000003</v>
      </c>
      <c r="J26" t="str">
        <f t="shared" si="1"/>
        <v>NBN Co Removal TAS</v>
      </c>
      <c r="K26" t="str">
        <f t="shared" si="1"/>
        <v>kWh</v>
      </c>
      <c r="L26" t="str">
        <f t="shared" si="1"/>
        <v>N/A</v>
      </c>
      <c r="M26" s="21">
        <f t="shared" si="1"/>
        <v>-2282765.173</v>
      </c>
      <c r="N26" s="8">
        <f t="shared" si="1"/>
        <v>-8217.9546227999999</v>
      </c>
      <c r="O26" s="8">
        <f t="shared" si="1"/>
        <v>0</v>
      </c>
      <c r="P26" s="8">
        <f t="shared" si="1"/>
        <v>-388070.07941000001</v>
      </c>
      <c r="Q26" s="8">
        <f t="shared" si="1"/>
        <v>-45655.303460000003</v>
      </c>
      <c r="R26" s="8">
        <f t="shared" si="2"/>
        <v>-433725.38287000003</v>
      </c>
      <c r="S26" s="8" t="str">
        <f>VLOOKUP(J26,'GHG Factors FY21'!A:B,2,FALSE)</f>
        <v>Electricity</v>
      </c>
      <c r="T26" s="8" t="str">
        <f>VLOOKUP(ReformFY21[[#This Row],[Reporting Alias]],'Entities FY21'!B:B,1,FALSE)</f>
        <v>NBN Co Removal TAS</v>
      </c>
    </row>
    <row r="27" spans="1:20">
      <c r="A27" t="s">
        <v>810</v>
      </c>
      <c r="B27" t="s">
        <v>663</v>
      </c>
      <c r="C27" t="s">
        <v>104</v>
      </c>
      <c r="D27" s="244">
        <v>-19548747.833499998</v>
      </c>
      <c r="E27">
        <v>-70375.492200599983</v>
      </c>
      <c r="F27">
        <v>0</v>
      </c>
      <c r="G27">
        <v>-19157772.876829997</v>
      </c>
      <c r="H27">
        <v>-2150362.2616849998</v>
      </c>
      <c r="I27">
        <v>-21308135.138514996</v>
      </c>
      <c r="J27" t="str">
        <f t="shared" si="1"/>
        <v>NBN Co Removal VIC</v>
      </c>
      <c r="K27" t="str">
        <f t="shared" si="1"/>
        <v>kWh</v>
      </c>
      <c r="L27" t="str">
        <f t="shared" si="1"/>
        <v>N/A</v>
      </c>
      <c r="M27" s="21">
        <f t="shared" si="1"/>
        <v>-19548747.833499998</v>
      </c>
      <c r="N27" s="8">
        <f t="shared" si="1"/>
        <v>-70375.492200599983</v>
      </c>
      <c r="O27" s="8">
        <f t="shared" si="1"/>
        <v>0</v>
      </c>
      <c r="P27" s="8">
        <f t="shared" si="1"/>
        <v>-19157772.876829997</v>
      </c>
      <c r="Q27" s="8">
        <f t="shared" si="1"/>
        <v>-2150362.2616849998</v>
      </c>
      <c r="R27" s="8">
        <f t="shared" si="2"/>
        <v>-21308135.138514996</v>
      </c>
      <c r="S27" s="8" t="str">
        <f>VLOOKUP(J27,'GHG Factors FY21'!A:B,2,FALSE)</f>
        <v>Electricity</v>
      </c>
      <c r="T27" s="8" t="str">
        <f>VLOOKUP(ReformFY21[[#This Row],[Reporting Alias]],'Entities FY21'!B:B,1,FALSE)</f>
        <v>NBN Co Removal VIC</v>
      </c>
    </row>
    <row r="28" spans="1:20">
      <c r="A28" t="s">
        <v>811</v>
      </c>
      <c r="B28" t="s">
        <v>663</v>
      </c>
      <c r="C28" t="s">
        <v>104</v>
      </c>
      <c r="D28" s="244">
        <v>-7055148.1730000004</v>
      </c>
      <c r="E28">
        <v>-25398.533422799999</v>
      </c>
      <c r="F28">
        <v>0</v>
      </c>
      <c r="G28">
        <v>-4797500.7576400004</v>
      </c>
      <c r="H28">
        <v>-141102.96346</v>
      </c>
      <c r="I28">
        <v>-4938603.7211000007</v>
      </c>
      <c r="J28" t="str">
        <f t="shared" si="1"/>
        <v>NBN Co Removal WA</v>
      </c>
      <c r="K28" t="str">
        <f t="shared" si="1"/>
        <v>kWh</v>
      </c>
      <c r="L28" t="str">
        <f t="shared" si="1"/>
        <v>N/A</v>
      </c>
      <c r="M28" s="21">
        <f t="shared" si="1"/>
        <v>-7055148.1730000004</v>
      </c>
      <c r="N28" s="8">
        <f t="shared" si="1"/>
        <v>-25398.533422799999</v>
      </c>
      <c r="O28" s="8">
        <f t="shared" si="1"/>
        <v>0</v>
      </c>
      <c r="P28" s="8">
        <f t="shared" si="1"/>
        <v>-4797500.7576400004</v>
      </c>
      <c r="Q28" s="8">
        <f t="shared" si="1"/>
        <v>-141102.96346</v>
      </c>
      <c r="R28" s="8">
        <f t="shared" si="2"/>
        <v>-4938603.7211000007</v>
      </c>
      <c r="S28" s="8" t="str">
        <f>VLOOKUP(J28,'GHG Factors FY21'!A:B,2,FALSE)</f>
        <v>Electricity</v>
      </c>
      <c r="T28" s="8" t="str">
        <f>VLOOKUP(ReformFY21[[#This Row],[Reporting Alias]],'Entities FY21'!B:B,1,FALSE)</f>
        <v>NBN Co Removal WA</v>
      </c>
    </row>
    <row r="29" spans="1:20">
      <c r="A29" t="s">
        <v>812</v>
      </c>
      <c r="B29" t="s">
        <v>663</v>
      </c>
      <c r="C29" t="s">
        <v>104</v>
      </c>
      <c r="D29" s="244">
        <v>0</v>
      </c>
      <c r="E29">
        <v>0</v>
      </c>
      <c r="F29">
        <v>0</v>
      </c>
      <c r="G29">
        <v>0</v>
      </c>
      <c r="H29">
        <v>0</v>
      </c>
      <c r="I29">
        <v>0</v>
      </c>
      <c r="J29" t="str">
        <f t="shared" si="1"/>
        <v>Telstra services on BCA Sites ACT</v>
      </c>
      <c r="K29" t="str">
        <f t="shared" si="1"/>
        <v>kWh</v>
      </c>
      <c r="L29" t="str">
        <f t="shared" si="1"/>
        <v>N/A</v>
      </c>
      <c r="M29" s="21">
        <f t="shared" si="1"/>
        <v>0</v>
      </c>
      <c r="N29" s="8">
        <f t="shared" si="1"/>
        <v>0</v>
      </c>
      <c r="O29" s="8">
        <f t="shared" si="1"/>
        <v>0</v>
      </c>
      <c r="P29" s="8">
        <f t="shared" si="1"/>
        <v>0</v>
      </c>
      <c r="Q29" s="8">
        <f t="shared" si="1"/>
        <v>0</v>
      </c>
      <c r="R29" s="8">
        <f t="shared" si="2"/>
        <v>0</v>
      </c>
      <c r="S29" s="8" t="str">
        <f>VLOOKUP(J29,'GHG Factors FY21'!A:B,2,FALSE)</f>
        <v>Electricity</v>
      </c>
      <c r="T29" s="8" t="str">
        <f>VLOOKUP(ReformFY21[[#This Row],[Reporting Alias]],'Entities FY21'!B:B,1,FALSE)</f>
        <v>Telstra services on BCA Sites ACT</v>
      </c>
    </row>
    <row r="30" spans="1:20">
      <c r="A30" t="s">
        <v>813</v>
      </c>
      <c r="B30" t="s">
        <v>663</v>
      </c>
      <c r="C30" t="s">
        <v>104</v>
      </c>
      <c r="D30" s="244">
        <v>879335.93046640581</v>
      </c>
      <c r="E30">
        <v>3165.6093496790609</v>
      </c>
      <c r="F30">
        <v>0</v>
      </c>
      <c r="G30">
        <v>712262.10367778875</v>
      </c>
      <c r="H30">
        <v>79140.233741976524</v>
      </c>
      <c r="I30">
        <v>791402.3374197653</v>
      </c>
      <c r="J30" t="str">
        <f t="shared" si="1"/>
        <v>Telstra services on BCA Sites NSW</v>
      </c>
      <c r="K30" t="str">
        <f t="shared" si="1"/>
        <v>kWh</v>
      </c>
      <c r="L30" t="str">
        <f t="shared" si="1"/>
        <v>N/A</v>
      </c>
      <c r="M30" s="21">
        <f t="shared" si="1"/>
        <v>879335.93046640581</v>
      </c>
      <c r="N30" s="8">
        <f t="shared" si="1"/>
        <v>3165.6093496790609</v>
      </c>
      <c r="O30" s="8">
        <f t="shared" si="1"/>
        <v>0</v>
      </c>
      <c r="P30" s="8">
        <f t="shared" si="1"/>
        <v>712262.10367778875</v>
      </c>
      <c r="Q30" s="8">
        <f t="shared" si="1"/>
        <v>79140.233741976524</v>
      </c>
      <c r="R30" s="8">
        <f t="shared" si="2"/>
        <v>791402.3374197653</v>
      </c>
      <c r="S30" s="8" t="str">
        <f>VLOOKUP(J30,'GHG Factors FY21'!A:B,2,FALSE)</f>
        <v>Electricity</v>
      </c>
      <c r="T30" s="8" t="str">
        <f>VLOOKUP(ReformFY21[[#This Row],[Reporting Alias]],'Entities FY21'!B:B,1,FALSE)</f>
        <v>Telstra services on BCA Sites NSW</v>
      </c>
    </row>
    <row r="31" spans="1:20">
      <c r="A31" t="s">
        <v>814</v>
      </c>
      <c r="B31" t="s">
        <v>663</v>
      </c>
      <c r="C31" t="s">
        <v>104</v>
      </c>
      <c r="D31" s="244">
        <v>19301.337913846153</v>
      </c>
      <c r="E31">
        <v>69.484816489846153</v>
      </c>
      <c r="F31">
        <v>0</v>
      </c>
      <c r="G31">
        <v>11966.829506584614</v>
      </c>
      <c r="H31">
        <v>1351.0936539692309</v>
      </c>
      <c r="I31">
        <v>13317.923160553844</v>
      </c>
      <c r="J31" t="str">
        <f t="shared" si="1"/>
        <v>Telstra services on BCA Sites NT</v>
      </c>
      <c r="K31" t="str">
        <f t="shared" si="1"/>
        <v>kWh</v>
      </c>
      <c r="L31" t="str">
        <f t="shared" si="1"/>
        <v>N/A</v>
      </c>
      <c r="M31" s="21">
        <f t="shared" si="1"/>
        <v>19301.337913846153</v>
      </c>
      <c r="N31" s="8">
        <f t="shared" si="1"/>
        <v>69.484816489846153</v>
      </c>
      <c r="O31" s="8">
        <f t="shared" si="1"/>
        <v>0</v>
      </c>
      <c r="P31" s="8">
        <f t="shared" si="1"/>
        <v>11966.829506584614</v>
      </c>
      <c r="Q31" s="8">
        <f t="shared" si="1"/>
        <v>1351.0936539692309</v>
      </c>
      <c r="R31" s="8">
        <f t="shared" si="2"/>
        <v>13317.923160553844</v>
      </c>
      <c r="S31" s="8" t="str">
        <f>VLOOKUP(J31,'GHG Factors FY21'!A:B,2,FALSE)</f>
        <v>Electricity</v>
      </c>
      <c r="T31" s="8" t="str">
        <f>VLOOKUP(ReformFY21[[#This Row],[Reporting Alias]],'Entities FY21'!B:B,1,FALSE)</f>
        <v>Telstra services on BCA Sites NT</v>
      </c>
    </row>
    <row r="32" spans="1:20">
      <c r="A32" t="s">
        <v>815</v>
      </c>
      <c r="B32" t="s">
        <v>663</v>
      </c>
      <c r="C32" t="s">
        <v>104</v>
      </c>
      <c r="D32" s="244">
        <v>355695.11463636975</v>
      </c>
      <c r="E32">
        <v>1280.5024126909311</v>
      </c>
      <c r="F32">
        <v>0</v>
      </c>
      <c r="G32">
        <v>288113.0428554595</v>
      </c>
      <c r="H32">
        <v>42683.413756364367</v>
      </c>
      <c r="I32">
        <v>330796.45661182387</v>
      </c>
      <c r="J32" t="str">
        <f t="shared" si="1"/>
        <v>Telstra services on BCA Sites QLD</v>
      </c>
      <c r="K32" t="str">
        <f t="shared" si="1"/>
        <v>kWh</v>
      </c>
      <c r="L32" t="str">
        <f t="shared" si="1"/>
        <v>N/A</v>
      </c>
      <c r="M32" s="21">
        <f t="shared" si="1"/>
        <v>355695.11463636975</v>
      </c>
      <c r="N32" s="8">
        <f t="shared" si="1"/>
        <v>1280.5024126909311</v>
      </c>
      <c r="O32" s="8">
        <f t="shared" si="1"/>
        <v>0</v>
      </c>
      <c r="P32" s="8">
        <f t="shared" si="1"/>
        <v>288113.0428554595</v>
      </c>
      <c r="Q32" s="8">
        <f t="shared" si="1"/>
        <v>42683.413756364367</v>
      </c>
      <c r="R32" s="8">
        <f t="shared" si="2"/>
        <v>330796.45661182387</v>
      </c>
      <c r="S32" s="8" t="str">
        <f>VLOOKUP(J32,'GHG Factors FY21'!A:B,2,FALSE)</f>
        <v>Electricity</v>
      </c>
      <c r="T32" s="8" t="str">
        <f>VLOOKUP(ReformFY21[[#This Row],[Reporting Alias]],'Entities FY21'!B:B,1,FALSE)</f>
        <v>Telstra services on BCA Sites QLD</v>
      </c>
    </row>
    <row r="33" spans="1:20">
      <c r="A33" t="s">
        <v>816</v>
      </c>
      <c r="B33" t="s">
        <v>663</v>
      </c>
      <c r="C33" t="s">
        <v>104</v>
      </c>
      <c r="D33" s="244">
        <v>130244.99399999998</v>
      </c>
      <c r="E33">
        <v>468.88197839999992</v>
      </c>
      <c r="F33">
        <v>0</v>
      </c>
      <c r="G33">
        <v>56005.347419999991</v>
      </c>
      <c r="H33">
        <v>11722.049459999998</v>
      </c>
      <c r="I33">
        <v>67727.396879999986</v>
      </c>
      <c r="J33" t="str">
        <f t="shared" si="1"/>
        <v>Telstra services on BCA Sites SA</v>
      </c>
      <c r="K33" t="str">
        <f t="shared" si="1"/>
        <v>kWh</v>
      </c>
      <c r="L33" t="str">
        <f t="shared" si="1"/>
        <v>N/A</v>
      </c>
      <c r="M33" s="21">
        <f t="shared" si="1"/>
        <v>130244.99399999998</v>
      </c>
      <c r="N33" s="8">
        <f t="shared" si="1"/>
        <v>468.88197839999992</v>
      </c>
      <c r="O33" s="8">
        <f t="shared" si="1"/>
        <v>0</v>
      </c>
      <c r="P33" s="8">
        <f t="shared" si="1"/>
        <v>56005.347419999991</v>
      </c>
      <c r="Q33" s="8">
        <f t="shared" si="1"/>
        <v>11722.049459999998</v>
      </c>
      <c r="R33" s="8">
        <f t="shared" si="2"/>
        <v>67727.396879999986</v>
      </c>
      <c r="S33" s="8" t="str">
        <f>VLOOKUP(J33,'GHG Factors FY21'!A:B,2,FALSE)</f>
        <v>Electricity</v>
      </c>
      <c r="T33" s="8" t="str">
        <f>VLOOKUP(ReformFY21[[#This Row],[Reporting Alias]],'Entities FY21'!B:B,1,FALSE)</f>
        <v>Telstra services on BCA Sites SA</v>
      </c>
    </row>
    <row r="34" spans="1:20">
      <c r="A34" t="s">
        <v>817</v>
      </c>
      <c r="B34" t="s">
        <v>663</v>
      </c>
      <c r="C34" t="s">
        <v>104</v>
      </c>
      <c r="D34" s="244">
        <v>50305.967405882358</v>
      </c>
      <c r="E34">
        <v>181.10148266117648</v>
      </c>
      <c r="F34">
        <v>0</v>
      </c>
      <c r="G34">
        <v>8552.0144590000018</v>
      </c>
      <c r="H34">
        <v>1006.1193481176472</v>
      </c>
      <c r="I34">
        <v>9558.1338071176488</v>
      </c>
      <c r="J34" t="str">
        <f t="shared" si="1"/>
        <v>Telstra services on BCA Sites TAS</v>
      </c>
      <c r="K34" t="str">
        <f t="shared" si="1"/>
        <v>kWh</v>
      </c>
      <c r="L34" t="str">
        <f t="shared" si="1"/>
        <v>N/A</v>
      </c>
      <c r="M34" s="21">
        <f t="shared" si="1"/>
        <v>50305.967405882358</v>
      </c>
      <c r="N34" s="8">
        <f t="shared" si="1"/>
        <v>181.10148266117648</v>
      </c>
      <c r="O34" s="8">
        <f t="shared" si="1"/>
        <v>0</v>
      </c>
      <c r="P34" s="8">
        <f t="shared" si="1"/>
        <v>8552.0144590000018</v>
      </c>
      <c r="Q34" s="8">
        <f t="shared" si="1"/>
        <v>1006.1193481176472</v>
      </c>
      <c r="R34" s="8">
        <f t="shared" si="2"/>
        <v>9558.1338071176488</v>
      </c>
      <c r="S34" s="8" t="str">
        <f>VLOOKUP(J34,'GHG Factors FY21'!A:B,2,FALSE)</f>
        <v>Electricity</v>
      </c>
      <c r="T34" s="8" t="str">
        <f>VLOOKUP(ReformFY21[[#This Row],[Reporting Alias]],'Entities FY21'!B:B,1,FALSE)</f>
        <v>Telstra services on BCA Sites TAS</v>
      </c>
    </row>
    <row r="35" spans="1:20">
      <c r="A35" t="s">
        <v>818</v>
      </c>
      <c r="B35" t="s">
        <v>663</v>
      </c>
      <c r="C35" t="s">
        <v>104</v>
      </c>
      <c r="D35" s="244">
        <v>510705.33473094652</v>
      </c>
      <c r="E35">
        <v>1838.5392050314074</v>
      </c>
      <c r="F35">
        <v>0</v>
      </c>
      <c r="G35">
        <v>500491.22803632758</v>
      </c>
      <c r="H35">
        <v>56177.586820404118</v>
      </c>
      <c r="I35">
        <v>556668.81485673168</v>
      </c>
      <c r="J35" t="str">
        <f t="shared" si="1"/>
        <v>Telstra services on BCA Sites VIC</v>
      </c>
      <c r="K35" t="str">
        <f t="shared" si="1"/>
        <v>kWh</v>
      </c>
      <c r="L35" t="str">
        <f t="shared" si="1"/>
        <v>N/A</v>
      </c>
      <c r="M35" s="21">
        <f t="shared" si="1"/>
        <v>510705.33473094652</v>
      </c>
      <c r="N35" s="8">
        <f t="shared" si="1"/>
        <v>1838.5392050314074</v>
      </c>
      <c r="O35" s="8">
        <f t="shared" si="1"/>
        <v>0</v>
      </c>
      <c r="P35" s="8">
        <f t="shared" si="1"/>
        <v>500491.22803632758</v>
      </c>
      <c r="Q35" s="8">
        <f t="shared" si="1"/>
        <v>56177.586820404118</v>
      </c>
      <c r="R35" s="8">
        <f t="shared" si="2"/>
        <v>556668.81485673168</v>
      </c>
      <c r="S35" s="8" t="str">
        <f>VLOOKUP(J35,'GHG Factors FY21'!A:B,2,FALSE)</f>
        <v>Electricity</v>
      </c>
      <c r="T35" s="8" t="str">
        <f>VLOOKUP(ReformFY21[[#This Row],[Reporting Alias]],'Entities FY21'!B:B,1,FALSE)</f>
        <v>Telstra services on BCA Sites VIC</v>
      </c>
    </row>
    <row r="36" spans="1:20">
      <c r="A36" t="s">
        <v>819</v>
      </c>
      <c r="B36" t="s">
        <v>663</v>
      </c>
      <c r="C36" t="s">
        <v>104</v>
      </c>
      <c r="D36" s="244">
        <v>365415.06917622831</v>
      </c>
      <c r="E36">
        <v>1315.494249034422</v>
      </c>
      <c r="F36">
        <v>0</v>
      </c>
      <c r="G36">
        <v>248482.24703983526</v>
      </c>
      <c r="H36">
        <v>7308.3013835245665</v>
      </c>
      <c r="I36">
        <v>255790.54842335984</v>
      </c>
      <c r="J36" t="str">
        <f t="shared" si="1"/>
        <v>Telstra services on BCA Sites WA</v>
      </c>
      <c r="K36" t="str">
        <f t="shared" si="1"/>
        <v>kWh</v>
      </c>
      <c r="L36" t="str">
        <f t="shared" si="1"/>
        <v>N/A</v>
      </c>
      <c r="M36" s="21">
        <f t="shared" si="1"/>
        <v>365415.06917622831</v>
      </c>
      <c r="N36" s="8">
        <f t="shared" si="1"/>
        <v>1315.494249034422</v>
      </c>
      <c r="O36" s="8">
        <f t="shared" si="1"/>
        <v>0</v>
      </c>
      <c r="P36" s="8">
        <f t="shared" si="1"/>
        <v>248482.24703983526</v>
      </c>
      <c r="Q36" s="8">
        <f t="shared" si="1"/>
        <v>7308.3013835245665</v>
      </c>
      <c r="R36" s="8">
        <f t="shared" si="2"/>
        <v>255790.54842335984</v>
      </c>
      <c r="S36" s="8" t="str">
        <f>VLOOKUP(J36,'GHG Factors FY21'!A:B,2,FALSE)</f>
        <v>Electricity</v>
      </c>
      <c r="T36" s="8" t="str">
        <f>VLOOKUP(ReformFY21[[#This Row],[Reporting Alias]],'Entities FY21'!B:B,1,FALSE)</f>
        <v>Telstra services on BCA Sites WA</v>
      </c>
    </row>
    <row r="37" spans="1:20">
      <c r="A37" t="s">
        <v>820</v>
      </c>
      <c r="B37" t="s">
        <v>663</v>
      </c>
      <c r="C37" t="s">
        <v>104</v>
      </c>
      <c r="D37" s="244">
        <v>77837.450657894733</v>
      </c>
      <c r="E37">
        <v>280.21482236842104</v>
      </c>
      <c r="F37">
        <v>0</v>
      </c>
      <c r="G37">
        <v>63048.335032894734</v>
      </c>
      <c r="H37">
        <v>7005.3705592105262</v>
      </c>
      <c r="I37">
        <v>70053.705592105267</v>
      </c>
      <c r="J37" t="str">
        <f t="shared" si="1"/>
        <v>Estimates Electricity ACT</v>
      </c>
      <c r="K37" t="str">
        <f t="shared" si="1"/>
        <v>kWh</v>
      </c>
      <c r="L37" t="str">
        <f t="shared" si="1"/>
        <v>N/A</v>
      </c>
      <c r="M37" s="21">
        <f t="shared" si="1"/>
        <v>77837.450657894733</v>
      </c>
      <c r="N37" s="8">
        <f t="shared" si="1"/>
        <v>280.21482236842104</v>
      </c>
      <c r="O37" s="8">
        <f t="shared" si="1"/>
        <v>0</v>
      </c>
      <c r="P37" s="8">
        <f t="shared" si="1"/>
        <v>63048.335032894734</v>
      </c>
      <c r="Q37" s="8">
        <f t="shared" si="1"/>
        <v>7005.3705592105262</v>
      </c>
      <c r="R37" s="8">
        <f t="shared" si="2"/>
        <v>70053.705592105267</v>
      </c>
      <c r="S37" s="8" t="str">
        <f>VLOOKUP(J37,'GHG Factors FY21'!A:B,2,FALSE)</f>
        <v>Estimates - Elec</v>
      </c>
      <c r="T37" s="8" t="str">
        <f>VLOOKUP(ReformFY21[[#This Row],[Reporting Alias]],'Entities FY21'!B:B,1,FALSE)</f>
        <v>Estimates Electricity ACT</v>
      </c>
    </row>
    <row r="38" spans="1:20">
      <c r="A38" t="s">
        <v>821</v>
      </c>
      <c r="B38" t="s">
        <v>663</v>
      </c>
      <c r="C38" t="s">
        <v>104</v>
      </c>
      <c r="D38" s="244">
        <v>402138.0311842105</v>
      </c>
      <c r="E38">
        <v>1447.6969122631579</v>
      </c>
      <c r="F38">
        <v>0</v>
      </c>
      <c r="G38">
        <v>325731.80525921052</v>
      </c>
      <c r="H38">
        <v>36192.422806578943</v>
      </c>
      <c r="I38">
        <v>361924.22806578944</v>
      </c>
      <c r="J38" t="str">
        <f t="shared" si="1"/>
        <v>Estimates Electricity NSW</v>
      </c>
      <c r="K38" t="str">
        <f t="shared" si="1"/>
        <v>kWh</v>
      </c>
      <c r="L38" t="str">
        <f t="shared" si="1"/>
        <v>N/A</v>
      </c>
      <c r="M38" s="21">
        <f t="shared" si="1"/>
        <v>402138.0311842105</v>
      </c>
      <c r="N38" s="8">
        <f t="shared" si="1"/>
        <v>1447.6969122631579</v>
      </c>
      <c r="O38" s="8">
        <f t="shared" si="1"/>
        <v>0</v>
      </c>
      <c r="P38" s="8">
        <f t="shared" si="1"/>
        <v>325731.80525921052</v>
      </c>
      <c r="Q38" s="8">
        <f t="shared" si="1"/>
        <v>36192.422806578943</v>
      </c>
      <c r="R38" s="8">
        <f t="shared" si="2"/>
        <v>361924.22806578944</v>
      </c>
      <c r="S38" s="8" t="str">
        <f>VLOOKUP(J38,'GHG Factors FY21'!A:B,2,FALSE)</f>
        <v>Estimates - Elec</v>
      </c>
      <c r="T38" s="8" t="str">
        <f>VLOOKUP(ReformFY21[[#This Row],[Reporting Alias]],'Entities FY21'!B:B,1,FALSE)</f>
        <v>Estimates Electricity NSW</v>
      </c>
    </row>
    <row r="39" spans="1:20">
      <c r="A39" t="s">
        <v>822</v>
      </c>
      <c r="B39" t="s">
        <v>663</v>
      </c>
      <c r="C39" t="s">
        <v>104</v>
      </c>
      <c r="D39" s="244">
        <v>72552.465789473688</v>
      </c>
      <c r="E39">
        <v>261.18887684210529</v>
      </c>
      <c r="F39">
        <v>0</v>
      </c>
      <c r="G39">
        <v>58767.497289473693</v>
      </c>
      <c r="H39">
        <v>8706.2958947368425</v>
      </c>
      <c r="I39">
        <v>67473.793184210532</v>
      </c>
      <c r="J39" t="str">
        <f t="shared" si="1"/>
        <v>Estimates Electricity QLD</v>
      </c>
      <c r="K39" t="str">
        <f t="shared" si="1"/>
        <v>kWh</v>
      </c>
      <c r="L39" t="str">
        <f t="shared" si="1"/>
        <v>N/A</v>
      </c>
      <c r="M39" s="21">
        <f t="shared" si="1"/>
        <v>72552.465789473688</v>
      </c>
      <c r="N39" s="8">
        <f t="shared" si="1"/>
        <v>261.18887684210529</v>
      </c>
      <c r="O39" s="8">
        <f t="shared" si="1"/>
        <v>0</v>
      </c>
      <c r="P39" s="8">
        <f t="shared" si="1"/>
        <v>58767.497289473693</v>
      </c>
      <c r="Q39" s="8">
        <f t="shared" si="1"/>
        <v>8706.2958947368425</v>
      </c>
      <c r="R39" s="8">
        <f t="shared" si="2"/>
        <v>67473.793184210532</v>
      </c>
      <c r="S39" s="8" t="str">
        <f>VLOOKUP(J39,'GHG Factors FY21'!A:B,2,FALSE)</f>
        <v>Estimates - Elec</v>
      </c>
      <c r="T39" s="8" t="str">
        <f>VLOOKUP(ReformFY21[[#This Row],[Reporting Alias]],'Entities FY21'!B:B,1,FALSE)</f>
        <v>Estimates Electricity QLD</v>
      </c>
    </row>
    <row r="40" spans="1:20">
      <c r="A40" t="s">
        <v>823</v>
      </c>
      <c r="B40" t="s">
        <v>663</v>
      </c>
      <c r="C40" t="s">
        <v>104</v>
      </c>
      <c r="D40" s="244">
        <v>7344.0740000000005</v>
      </c>
      <c r="E40">
        <v>26.438666400000002</v>
      </c>
      <c r="F40">
        <v>0</v>
      </c>
      <c r="G40">
        <v>3157.9518200000002</v>
      </c>
      <c r="H40">
        <v>660.96666000000005</v>
      </c>
      <c r="I40">
        <v>3818.9184800000003</v>
      </c>
      <c r="J40" t="str">
        <f t="shared" si="1"/>
        <v>Estimates Electricity SA</v>
      </c>
      <c r="K40" t="str">
        <f t="shared" si="1"/>
        <v>kWh</v>
      </c>
      <c r="L40" t="str">
        <f t="shared" si="1"/>
        <v>N/A</v>
      </c>
      <c r="M40" s="21">
        <f t="shared" si="1"/>
        <v>7344.0740000000005</v>
      </c>
      <c r="N40" s="8">
        <f t="shared" si="1"/>
        <v>26.438666400000002</v>
      </c>
      <c r="O40" s="8">
        <f t="shared" si="1"/>
        <v>0</v>
      </c>
      <c r="P40" s="8">
        <f t="shared" si="1"/>
        <v>3157.9518200000002</v>
      </c>
      <c r="Q40" s="8">
        <f t="shared" si="1"/>
        <v>660.96666000000005</v>
      </c>
      <c r="R40" s="8">
        <f t="shared" si="2"/>
        <v>3818.9184800000003</v>
      </c>
      <c r="S40" s="8" t="str">
        <f>VLOOKUP(J40,'GHG Factors FY21'!A:B,2,FALSE)</f>
        <v>Estimates - Elec</v>
      </c>
      <c r="T40" s="8" t="str">
        <f>VLOOKUP(ReformFY21[[#This Row],[Reporting Alias]],'Entities FY21'!B:B,1,FALSE)</f>
        <v>Estimates Electricity SA</v>
      </c>
    </row>
    <row r="41" spans="1:20">
      <c r="A41" t="s">
        <v>824</v>
      </c>
      <c r="B41" t="s">
        <v>663</v>
      </c>
      <c r="C41" t="s">
        <v>104</v>
      </c>
      <c r="D41" s="244">
        <v>650385.60624834325</v>
      </c>
      <c r="E41">
        <v>2341.3881824940358</v>
      </c>
      <c r="F41">
        <v>0</v>
      </c>
      <c r="G41">
        <v>637377.89412337635</v>
      </c>
      <c r="H41">
        <v>71542.41668731776</v>
      </c>
      <c r="I41">
        <v>708920.31081069412</v>
      </c>
      <c r="J41" t="str">
        <f t="shared" si="1"/>
        <v>Estimates Electricity VIC</v>
      </c>
      <c r="K41" t="str">
        <f t="shared" si="1"/>
        <v>kWh</v>
      </c>
      <c r="L41" t="str">
        <f t="shared" si="1"/>
        <v>N/A</v>
      </c>
      <c r="M41" s="21">
        <f t="shared" si="1"/>
        <v>650385.60624834325</v>
      </c>
      <c r="N41" s="8">
        <f t="shared" si="1"/>
        <v>2341.3881824940358</v>
      </c>
      <c r="O41" s="8">
        <f t="shared" si="1"/>
        <v>0</v>
      </c>
      <c r="P41" s="8">
        <f t="shared" si="1"/>
        <v>637377.89412337635</v>
      </c>
      <c r="Q41" s="8">
        <f t="shared" si="1"/>
        <v>71542.41668731776</v>
      </c>
      <c r="R41" s="8">
        <f t="shared" si="2"/>
        <v>708920.31081069412</v>
      </c>
      <c r="S41" s="8" t="str">
        <f>VLOOKUP(J41,'GHG Factors FY21'!A:B,2,FALSE)</f>
        <v>Estimates - Elec</v>
      </c>
      <c r="T41" s="8" t="str">
        <f>VLOOKUP(ReformFY21[[#This Row],[Reporting Alias]],'Entities FY21'!B:B,1,FALSE)</f>
        <v>Estimates Electricity VIC</v>
      </c>
    </row>
    <row r="42" spans="1:20">
      <c r="A42" t="s">
        <v>825</v>
      </c>
      <c r="B42" t="s">
        <v>663</v>
      </c>
      <c r="C42" t="s">
        <v>104</v>
      </c>
      <c r="D42" s="244">
        <v>38829.60317460318</v>
      </c>
      <c r="E42">
        <v>139.78657142857145</v>
      </c>
      <c r="F42">
        <v>0</v>
      </c>
      <c r="G42">
        <v>26404.130158730164</v>
      </c>
      <c r="H42">
        <v>776.59206349206363</v>
      </c>
      <c r="I42">
        <v>27180.722222222226</v>
      </c>
      <c r="J42" t="str">
        <f t="shared" si="1"/>
        <v>Estimates Electricity WA</v>
      </c>
      <c r="K42" t="str">
        <f t="shared" si="1"/>
        <v>kWh</v>
      </c>
      <c r="L42" t="str">
        <f t="shared" si="1"/>
        <v>N/A</v>
      </c>
      <c r="M42" s="21">
        <f t="shared" si="1"/>
        <v>38829.60317460318</v>
      </c>
      <c r="N42" s="8">
        <f t="shared" si="1"/>
        <v>139.78657142857145</v>
      </c>
      <c r="O42" s="8">
        <f t="shared" si="1"/>
        <v>0</v>
      </c>
      <c r="P42" s="8">
        <f t="shared" si="1"/>
        <v>26404.130158730164</v>
      </c>
      <c r="Q42" s="8">
        <f t="shared" si="1"/>
        <v>776.59206349206363</v>
      </c>
      <c r="R42" s="8">
        <f t="shared" si="2"/>
        <v>27180.722222222226</v>
      </c>
      <c r="S42" s="8" t="str">
        <f>VLOOKUP(J42,'GHG Factors FY21'!A:B,2,FALSE)</f>
        <v>Estimates - Elec</v>
      </c>
      <c r="T42" s="8" t="str">
        <f>VLOOKUP(ReformFY21[[#This Row],[Reporting Alias]],'Entities FY21'!B:B,1,FALSE)</f>
        <v>Estimates Electricity WA</v>
      </c>
    </row>
    <row r="43" spans="1:20">
      <c r="A43" t="s">
        <v>826</v>
      </c>
      <c r="B43" t="s">
        <v>669</v>
      </c>
      <c r="C43" t="s">
        <v>686</v>
      </c>
      <c r="D43" s="244">
        <v>639.7719201509625</v>
      </c>
      <c r="E43">
        <v>639.7719201509625</v>
      </c>
      <c r="F43">
        <v>32967.4470453791</v>
      </c>
      <c r="G43">
        <v>0</v>
      </c>
      <c r="H43">
        <v>2495.1104885887535</v>
      </c>
      <c r="I43">
        <v>35462.557533967854</v>
      </c>
      <c r="J43" t="str">
        <f t="shared" si="1"/>
        <v>Estimates Non-transport Gas VIC</v>
      </c>
      <c r="K43" t="str">
        <f t="shared" si="1"/>
        <v>GJ</v>
      </c>
      <c r="L43" t="str">
        <f t="shared" si="1"/>
        <v>BBB</v>
      </c>
      <c r="M43" s="21">
        <f t="shared" si="1"/>
        <v>639.7719201509625</v>
      </c>
      <c r="N43" s="8">
        <f t="shared" si="1"/>
        <v>639.7719201509625</v>
      </c>
      <c r="O43" s="8">
        <f t="shared" si="1"/>
        <v>32967.4470453791</v>
      </c>
      <c r="P43" s="8">
        <f t="shared" si="1"/>
        <v>0</v>
      </c>
      <c r="Q43" s="8">
        <f t="shared" si="1"/>
        <v>2495.1104885887535</v>
      </c>
      <c r="R43" s="8">
        <f t="shared" si="2"/>
        <v>35462.557533967854</v>
      </c>
      <c r="S43" s="8" t="str">
        <f>VLOOKUP(J43,'GHG Factors FY21'!A:B,2,FALSE)</f>
        <v>Estimates - Gas</v>
      </c>
      <c r="T43" s="8" t="str">
        <f>VLOOKUP(ReformFY21[[#This Row],[Reporting Alias]],'Entities FY21'!B:B,1,FALSE)</f>
        <v>Estimates Non-transport Gas VIC</v>
      </c>
    </row>
    <row r="44" spans="1:20">
      <c r="A44" t="s">
        <v>827</v>
      </c>
      <c r="B44" t="s">
        <v>787</v>
      </c>
      <c r="C44" t="s">
        <v>686</v>
      </c>
      <c r="D44" s="244">
        <v>6.2278100999999984</v>
      </c>
      <c r="E44">
        <v>240.39346985999995</v>
      </c>
      <c r="F44">
        <v>16875.621584171997</v>
      </c>
      <c r="G44">
        <v>0</v>
      </c>
      <c r="H44">
        <v>865.41649149599982</v>
      </c>
      <c r="I44">
        <v>17741.038075667995</v>
      </c>
      <c r="J44" t="str">
        <f t="shared" si="1"/>
        <v>Estimates Non-transport Diesel NSW</v>
      </c>
      <c r="K44" t="str">
        <f t="shared" si="1"/>
        <v>kL</v>
      </c>
      <c r="L44" t="str">
        <f t="shared" si="1"/>
        <v>BBB</v>
      </c>
      <c r="M44" s="21">
        <f t="shared" si="1"/>
        <v>6.2278100999999984</v>
      </c>
      <c r="N44" s="8">
        <f t="shared" si="1"/>
        <v>240.39346985999995</v>
      </c>
      <c r="O44" s="8">
        <f t="shared" si="1"/>
        <v>16875.621584171997</v>
      </c>
      <c r="P44" s="8">
        <f t="shared" ref="P44:Q107" si="3">G44</f>
        <v>0</v>
      </c>
      <c r="Q44" s="8">
        <f t="shared" si="3"/>
        <v>865.41649149599982</v>
      </c>
      <c r="R44" s="8">
        <f t="shared" si="2"/>
        <v>17741.038075667995</v>
      </c>
      <c r="S44" s="8" t="str">
        <f>VLOOKUP(J44,'GHG Factors FY21'!A:B,2,FALSE)</f>
        <v>Genset</v>
      </c>
      <c r="T44" s="8" t="str">
        <f>VLOOKUP(ReformFY21[[#This Row],[Reporting Alias]],'Entities FY21'!B:B,1,FALSE)</f>
        <v>Estimates Non-transport Diesel NSW</v>
      </c>
    </row>
    <row r="45" spans="1:20">
      <c r="A45" t="s">
        <v>828</v>
      </c>
      <c r="B45" t="s">
        <v>787</v>
      </c>
      <c r="C45" t="s">
        <v>686</v>
      </c>
      <c r="D45" s="244">
        <v>0</v>
      </c>
      <c r="E45">
        <v>0</v>
      </c>
      <c r="F45">
        <v>0</v>
      </c>
      <c r="G45">
        <v>0</v>
      </c>
      <c r="H45">
        <v>0</v>
      </c>
      <c r="I45">
        <v>0</v>
      </c>
      <c r="J45" t="str">
        <f t="shared" ref="J45:O87" si="4">A45</f>
        <v>Avis Hire Cars TNA Diesel post 04 ACT</v>
      </c>
      <c r="K45" t="str">
        <f t="shared" si="4"/>
        <v>kL</v>
      </c>
      <c r="L45" t="str">
        <f t="shared" si="4"/>
        <v>BBB</v>
      </c>
      <c r="M45" s="21">
        <f t="shared" si="4"/>
        <v>0</v>
      </c>
      <c r="N45" s="8">
        <f t="shared" si="4"/>
        <v>0</v>
      </c>
      <c r="O45" s="8">
        <f t="shared" si="4"/>
        <v>0</v>
      </c>
      <c r="P45" s="8">
        <f t="shared" si="3"/>
        <v>0</v>
      </c>
      <c r="Q45" s="8">
        <f t="shared" si="3"/>
        <v>0</v>
      </c>
      <c r="R45" s="8">
        <f t="shared" si="2"/>
        <v>0</v>
      </c>
      <c r="S45" s="8" t="str">
        <f>VLOOKUP(J45,'GHG Factors FY21'!A:B,2,FALSE)</f>
        <v>Fleet</v>
      </c>
      <c r="T45" s="8" t="str">
        <f>VLOOKUP(ReformFY21[[#This Row],[Reporting Alias]],'Entities FY21'!B:B,1,FALSE)</f>
        <v>Avis Hire Cars TNA Diesel post 04 ACT</v>
      </c>
    </row>
    <row r="46" spans="1:20">
      <c r="A46" t="s">
        <v>829</v>
      </c>
      <c r="B46" t="s">
        <v>787</v>
      </c>
      <c r="C46" t="s">
        <v>686</v>
      </c>
      <c r="D46" s="244">
        <v>9.1600000000000015E-2</v>
      </c>
      <c r="E46">
        <v>3.5357600000000007</v>
      </c>
      <c r="F46">
        <v>249.30643760000007</v>
      </c>
      <c r="G46">
        <v>0</v>
      </c>
      <c r="H46">
        <v>12.728736000000003</v>
      </c>
      <c r="I46">
        <v>262.03517360000006</v>
      </c>
      <c r="J46" t="str">
        <f t="shared" si="4"/>
        <v>Avis Hire Cars TNA Diesel post 04 NSW</v>
      </c>
      <c r="K46" t="str">
        <f t="shared" si="4"/>
        <v>kL</v>
      </c>
      <c r="L46" t="str">
        <f t="shared" si="4"/>
        <v>BBB</v>
      </c>
      <c r="M46" s="21">
        <f t="shared" si="4"/>
        <v>9.1600000000000015E-2</v>
      </c>
      <c r="N46" s="8">
        <f t="shared" si="4"/>
        <v>3.5357600000000007</v>
      </c>
      <c r="O46" s="8">
        <f t="shared" si="4"/>
        <v>249.30643760000007</v>
      </c>
      <c r="P46" s="8">
        <f t="shared" si="3"/>
        <v>0</v>
      </c>
      <c r="Q46" s="8">
        <f t="shared" si="3"/>
        <v>12.728736000000003</v>
      </c>
      <c r="R46" s="8">
        <f t="shared" si="2"/>
        <v>262.03517360000006</v>
      </c>
      <c r="S46" s="8" t="str">
        <f>VLOOKUP(J46,'GHG Factors FY21'!A:B,2,FALSE)</f>
        <v>Fleet</v>
      </c>
      <c r="T46" s="8" t="str">
        <f>VLOOKUP(ReformFY21[[#This Row],[Reporting Alias]],'Entities FY21'!B:B,1,FALSE)</f>
        <v>Avis Hire Cars TNA Diesel post 04 NSW</v>
      </c>
    </row>
    <row r="47" spans="1:20">
      <c r="A47" t="s">
        <v>830</v>
      </c>
      <c r="B47" t="s">
        <v>787</v>
      </c>
      <c r="C47" t="s">
        <v>686</v>
      </c>
      <c r="D47" s="244">
        <v>0.45657799999999993</v>
      </c>
      <c r="E47">
        <v>17.623910799999997</v>
      </c>
      <c r="F47">
        <v>1242.6619505079998</v>
      </c>
      <c r="G47">
        <v>0</v>
      </c>
      <c r="H47">
        <v>63.446078879999995</v>
      </c>
      <c r="I47">
        <v>1306.1080293879997</v>
      </c>
      <c r="J47" t="str">
        <f t="shared" si="4"/>
        <v>Avis Hire Cars TNA Diesel post 04 NT</v>
      </c>
      <c r="K47" t="str">
        <f t="shared" si="4"/>
        <v>kL</v>
      </c>
      <c r="L47" t="str">
        <f t="shared" si="4"/>
        <v>BBB</v>
      </c>
      <c r="M47" s="21">
        <f t="shared" si="4"/>
        <v>0.45657799999999993</v>
      </c>
      <c r="N47" s="8">
        <f t="shared" si="4"/>
        <v>17.623910799999997</v>
      </c>
      <c r="O47" s="8">
        <f t="shared" si="4"/>
        <v>1242.6619505079998</v>
      </c>
      <c r="P47" s="8">
        <f t="shared" si="3"/>
        <v>0</v>
      </c>
      <c r="Q47" s="8">
        <f t="shared" si="3"/>
        <v>63.446078879999995</v>
      </c>
      <c r="R47" s="8">
        <f t="shared" si="2"/>
        <v>1306.1080293879997</v>
      </c>
      <c r="S47" s="8" t="str">
        <f>VLOOKUP(J47,'GHG Factors FY21'!A:B,2,FALSE)</f>
        <v>Fleet</v>
      </c>
      <c r="T47" s="8" t="str">
        <f>VLOOKUP(ReformFY21[[#This Row],[Reporting Alias]],'Entities FY21'!B:B,1,FALSE)</f>
        <v>Avis Hire Cars TNA Diesel post 04 NT</v>
      </c>
    </row>
    <row r="48" spans="1:20">
      <c r="A48" t="s">
        <v>831</v>
      </c>
      <c r="B48" t="s">
        <v>787</v>
      </c>
      <c r="C48" t="s">
        <v>686</v>
      </c>
      <c r="D48" s="244">
        <v>0.34904000000000002</v>
      </c>
      <c r="E48">
        <v>13.472944000000002</v>
      </c>
      <c r="F48">
        <v>949.97728144000018</v>
      </c>
      <c r="G48">
        <v>0</v>
      </c>
      <c r="H48">
        <v>48.502598400000011</v>
      </c>
      <c r="I48">
        <v>998.47987984000019</v>
      </c>
      <c r="J48" t="str">
        <f t="shared" si="4"/>
        <v>Avis Hire Cars TNA Diesel post 04 QLD</v>
      </c>
      <c r="K48" t="str">
        <f t="shared" si="4"/>
        <v>kL</v>
      </c>
      <c r="L48" t="str">
        <f t="shared" si="4"/>
        <v>BBB</v>
      </c>
      <c r="M48" s="21">
        <f t="shared" si="4"/>
        <v>0.34904000000000002</v>
      </c>
      <c r="N48" s="8">
        <f t="shared" si="4"/>
        <v>13.472944000000002</v>
      </c>
      <c r="O48" s="8">
        <f t="shared" si="4"/>
        <v>949.97728144000018</v>
      </c>
      <c r="P48" s="8">
        <f t="shared" si="3"/>
        <v>0</v>
      </c>
      <c r="Q48" s="8">
        <f t="shared" si="3"/>
        <v>48.502598400000011</v>
      </c>
      <c r="R48" s="8">
        <f t="shared" si="2"/>
        <v>998.47987984000019</v>
      </c>
      <c r="S48" s="8" t="str">
        <f>VLOOKUP(J48,'GHG Factors FY21'!A:B,2,FALSE)</f>
        <v>Fleet</v>
      </c>
      <c r="T48" s="8" t="str">
        <f>VLOOKUP(ReformFY21[[#This Row],[Reporting Alias]],'Entities FY21'!B:B,1,FALSE)</f>
        <v>Avis Hire Cars TNA Diesel post 04 QLD</v>
      </c>
    </row>
    <row r="49" spans="1:20">
      <c r="A49" t="s">
        <v>832</v>
      </c>
      <c r="B49" t="s">
        <v>787</v>
      </c>
      <c r="C49" t="s">
        <v>686</v>
      </c>
      <c r="D49" s="244">
        <v>0.314222</v>
      </c>
      <c r="E49">
        <v>12.1289692</v>
      </c>
      <c r="F49">
        <v>855.21361829200009</v>
      </c>
      <c r="G49">
        <v>0</v>
      </c>
      <c r="H49">
        <v>43.664289119999999</v>
      </c>
      <c r="I49">
        <v>898.87790741200013</v>
      </c>
      <c r="J49" t="str">
        <f t="shared" si="4"/>
        <v>Avis Hire Cars TNA Diesel post 04 SA</v>
      </c>
      <c r="K49" t="str">
        <f t="shared" si="4"/>
        <v>kL</v>
      </c>
      <c r="L49" t="str">
        <f t="shared" si="4"/>
        <v>BBB</v>
      </c>
      <c r="M49" s="21">
        <f t="shared" si="4"/>
        <v>0.314222</v>
      </c>
      <c r="N49" s="8">
        <f t="shared" si="4"/>
        <v>12.1289692</v>
      </c>
      <c r="O49" s="8">
        <f t="shared" si="4"/>
        <v>855.21361829200009</v>
      </c>
      <c r="P49" s="8">
        <f t="shared" si="3"/>
        <v>0</v>
      </c>
      <c r="Q49" s="8">
        <f t="shared" si="3"/>
        <v>43.664289119999999</v>
      </c>
      <c r="R49" s="8">
        <f t="shared" si="2"/>
        <v>898.87790741200013</v>
      </c>
      <c r="S49" s="8" t="str">
        <f>VLOOKUP(J49,'GHG Factors FY21'!A:B,2,FALSE)</f>
        <v>Fleet</v>
      </c>
      <c r="T49" s="8" t="str">
        <f>VLOOKUP(ReformFY21[[#This Row],[Reporting Alias]],'Entities FY21'!B:B,1,FALSE)</f>
        <v>Avis Hire Cars TNA Diesel post 04 SA</v>
      </c>
    </row>
    <row r="50" spans="1:20">
      <c r="A50" t="s">
        <v>833</v>
      </c>
      <c r="B50" t="s">
        <v>787</v>
      </c>
      <c r="C50" t="s">
        <v>686</v>
      </c>
      <c r="D50" s="244">
        <v>0.55135999999999996</v>
      </c>
      <c r="E50">
        <v>21.282495999999998</v>
      </c>
      <c r="F50">
        <v>1500.6287929600001</v>
      </c>
      <c r="G50">
        <v>0</v>
      </c>
      <c r="H50">
        <v>76.616985599999992</v>
      </c>
      <c r="I50">
        <v>1577.24577856</v>
      </c>
      <c r="J50" t="str">
        <f t="shared" si="4"/>
        <v>Avis Hire Cars TNA Diesel post 04 TAS</v>
      </c>
      <c r="K50" t="str">
        <f t="shared" si="4"/>
        <v>kL</v>
      </c>
      <c r="L50" t="str">
        <f t="shared" si="4"/>
        <v>BBB</v>
      </c>
      <c r="M50" s="21">
        <f t="shared" si="4"/>
        <v>0.55135999999999996</v>
      </c>
      <c r="N50" s="8">
        <f t="shared" si="4"/>
        <v>21.282495999999998</v>
      </c>
      <c r="O50" s="8">
        <f t="shared" si="4"/>
        <v>1500.6287929600001</v>
      </c>
      <c r="P50" s="8">
        <f t="shared" si="3"/>
        <v>0</v>
      </c>
      <c r="Q50" s="8">
        <f t="shared" si="3"/>
        <v>76.616985599999992</v>
      </c>
      <c r="R50" s="8">
        <f t="shared" si="2"/>
        <v>1577.24577856</v>
      </c>
      <c r="S50" s="8" t="str">
        <f>VLOOKUP(J50,'GHG Factors FY21'!A:B,2,FALSE)</f>
        <v>Fleet</v>
      </c>
      <c r="T50" s="8" t="str">
        <f>VLOOKUP(ReformFY21[[#This Row],[Reporting Alias]],'Entities FY21'!B:B,1,FALSE)</f>
        <v>Avis Hire Cars TNA Diesel post 04 TAS</v>
      </c>
    </row>
    <row r="51" spans="1:20">
      <c r="A51" t="s">
        <v>834</v>
      </c>
      <c r="B51" t="s">
        <v>787</v>
      </c>
      <c r="C51" t="s">
        <v>686</v>
      </c>
      <c r="D51" s="244">
        <v>0.23023999999999997</v>
      </c>
      <c r="E51">
        <v>8.8872640000000001</v>
      </c>
      <c r="F51">
        <v>626.64098464000006</v>
      </c>
      <c r="G51">
        <v>0</v>
      </c>
      <c r="H51">
        <v>31.994150400000002</v>
      </c>
      <c r="I51">
        <v>658.63513504000002</v>
      </c>
      <c r="J51" t="str">
        <f t="shared" si="4"/>
        <v>Avis Hire Cars TNA Diesel post 04 VIC</v>
      </c>
      <c r="K51" t="str">
        <f t="shared" si="4"/>
        <v>kL</v>
      </c>
      <c r="L51" t="str">
        <f t="shared" si="4"/>
        <v>BBB</v>
      </c>
      <c r="M51" s="21">
        <f t="shared" si="4"/>
        <v>0.23023999999999997</v>
      </c>
      <c r="N51" s="8">
        <f t="shared" si="4"/>
        <v>8.8872640000000001</v>
      </c>
      <c r="O51" s="8">
        <f t="shared" si="4"/>
        <v>626.64098464000006</v>
      </c>
      <c r="P51" s="8">
        <f t="shared" si="3"/>
        <v>0</v>
      </c>
      <c r="Q51" s="8">
        <f t="shared" si="3"/>
        <v>31.994150400000002</v>
      </c>
      <c r="R51" s="8">
        <f t="shared" si="2"/>
        <v>658.63513504000002</v>
      </c>
      <c r="S51" s="8" t="str">
        <f>VLOOKUP(J51,'GHG Factors FY21'!A:B,2,FALSE)</f>
        <v>Fleet</v>
      </c>
      <c r="T51" s="8" t="str">
        <f>VLOOKUP(ReformFY21[[#This Row],[Reporting Alias]],'Entities FY21'!B:B,1,FALSE)</f>
        <v>Avis Hire Cars TNA Diesel post 04 VIC</v>
      </c>
    </row>
    <row r="52" spans="1:20">
      <c r="A52" t="s">
        <v>835</v>
      </c>
      <c r="B52" t="s">
        <v>787</v>
      </c>
      <c r="C52" t="s">
        <v>686</v>
      </c>
      <c r="D52" s="244">
        <v>0.11432</v>
      </c>
      <c r="E52">
        <v>4.4127520000000002</v>
      </c>
      <c r="F52">
        <v>311.14314352000002</v>
      </c>
      <c r="G52">
        <v>0</v>
      </c>
      <c r="H52">
        <v>15.885907200000002</v>
      </c>
      <c r="I52">
        <v>327.02905072000004</v>
      </c>
      <c r="J52" t="str">
        <f t="shared" si="4"/>
        <v>Avis Hire Cars TNA Diesel post 04 WA</v>
      </c>
      <c r="K52" t="str">
        <f t="shared" si="4"/>
        <v>kL</v>
      </c>
      <c r="L52" t="str">
        <f t="shared" si="4"/>
        <v>BBB</v>
      </c>
      <c r="M52" s="21">
        <f t="shared" si="4"/>
        <v>0.11432</v>
      </c>
      <c r="N52" s="8">
        <f t="shared" si="4"/>
        <v>4.4127520000000002</v>
      </c>
      <c r="O52" s="8">
        <f t="shared" si="4"/>
        <v>311.14314352000002</v>
      </c>
      <c r="P52" s="8">
        <f t="shared" si="3"/>
        <v>0</v>
      </c>
      <c r="Q52" s="8">
        <f t="shared" si="3"/>
        <v>15.885907200000002</v>
      </c>
      <c r="R52" s="8">
        <f t="shared" si="2"/>
        <v>327.02905072000004</v>
      </c>
      <c r="S52" s="8" t="str">
        <f>VLOOKUP(J52,'GHG Factors FY21'!A:B,2,FALSE)</f>
        <v>Fleet</v>
      </c>
      <c r="T52" s="8" t="str">
        <f>VLOOKUP(ReformFY21[[#This Row],[Reporting Alias]],'Entities FY21'!B:B,1,FALSE)</f>
        <v>Avis Hire Cars TNA Diesel post 04 WA</v>
      </c>
    </row>
    <row r="53" spans="1:20">
      <c r="A53" t="s">
        <v>836</v>
      </c>
      <c r="B53" t="s">
        <v>787</v>
      </c>
      <c r="C53" t="s">
        <v>686</v>
      </c>
      <c r="D53" s="244">
        <v>1.209829</v>
      </c>
      <c r="E53">
        <v>41.376151800000002</v>
      </c>
      <c r="F53">
        <v>2797.8553847160006</v>
      </c>
      <c r="G53">
        <v>0</v>
      </c>
      <c r="H53">
        <v>148.95414648000002</v>
      </c>
      <c r="I53">
        <v>2946.8095311960005</v>
      </c>
      <c r="J53" t="str">
        <f t="shared" si="4"/>
        <v>Avis Hire Cars TNA Petrol post 04 ACT</v>
      </c>
      <c r="K53" t="str">
        <f t="shared" si="4"/>
        <v>kL</v>
      </c>
      <c r="L53" t="str">
        <f t="shared" si="4"/>
        <v>BBB</v>
      </c>
      <c r="M53" s="21">
        <f t="shared" si="4"/>
        <v>1.209829</v>
      </c>
      <c r="N53" s="8">
        <f t="shared" si="4"/>
        <v>41.376151800000002</v>
      </c>
      <c r="O53" s="8">
        <f t="shared" si="4"/>
        <v>2797.8553847160006</v>
      </c>
      <c r="P53" s="8">
        <f t="shared" si="3"/>
        <v>0</v>
      </c>
      <c r="Q53" s="8">
        <f t="shared" si="3"/>
        <v>148.95414648000002</v>
      </c>
      <c r="R53" s="8">
        <f t="shared" si="2"/>
        <v>2946.8095311960005</v>
      </c>
      <c r="S53" s="8" t="str">
        <f>VLOOKUP(J53,'GHG Factors FY21'!A:B,2,FALSE)</f>
        <v>Fleet</v>
      </c>
      <c r="T53" s="8" t="str">
        <f>VLOOKUP(ReformFY21[[#This Row],[Reporting Alias]],'Entities FY21'!B:B,1,FALSE)</f>
        <v>Avis Hire Cars TNA Petrol post 04 ACT</v>
      </c>
    </row>
    <row r="54" spans="1:20">
      <c r="A54" t="s">
        <v>837</v>
      </c>
      <c r="B54" t="s">
        <v>787</v>
      </c>
      <c r="C54" t="s">
        <v>686</v>
      </c>
      <c r="D54" s="244">
        <v>3.523282</v>
      </c>
      <c r="E54">
        <v>120.49624440000001</v>
      </c>
      <c r="F54">
        <v>8147.9560463280013</v>
      </c>
      <c r="G54">
        <v>0</v>
      </c>
      <c r="H54">
        <v>433.78647984000003</v>
      </c>
      <c r="I54">
        <v>8581.7425261680019</v>
      </c>
      <c r="J54" t="str">
        <f t="shared" si="4"/>
        <v>Avis Hire Cars TNA Petrol post 04 NSW</v>
      </c>
      <c r="K54" t="str">
        <f t="shared" si="4"/>
        <v>kL</v>
      </c>
      <c r="L54" t="str">
        <f t="shared" si="4"/>
        <v>BBB</v>
      </c>
      <c r="M54" s="21">
        <f t="shared" si="4"/>
        <v>3.523282</v>
      </c>
      <c r="N54" s="8">
        <f t="shared" si="4"/>
        <v>120.49624440000001</v>
      </c>
      <c r="O54" s="8">
        <f t="shared" si="4"/>
        <v>8147.9560463280013</v>
      </c>
      <c r="P54" s="8">
        <f t="shared" si="3"/>
        <v>0</v>
      </c>
      <c r="Q54" s="8">
        <f t="shared" si="3"/>
        <v>433.78647984000003</v>
      </c>
      <c r="R54" s="8">
        <f t="shared" si="2"/>
        <v>8581.7425261680019</v>
      </c>
      <c r="S54" s="8" t="str">
        <f>VLOOKUP(J54,'GHG Factors FY21'!A:B,2,FALSE)</f>
        <v>Fleet</v>
      </c>
      <c r="T54" s="8" t="str">
        <f>VLOOKUP(ReformFY21[[#This Row],[Reporting Alias]],'Entities FY21'!B:B,1,FALSE)</f>
        <v>Avis Hire Cars TNA Petrol post 04 NSW</v>
      </c>
    </row>
    <row r="55" spans="1:20">
      <c r="A55" t="s">
        <v>838</v>
      </c>
      <c r="B55" t="s">
        <v>787</v>
      </c>
      <c r="C55" t="s">
        <v>686</v>
      </c>
      <c r="D55" s="244">
        <v>1.0454600000000001</v>
      </c>
      <c r="E55">
        <v>35.754732000000004</v>
      </c>
      <c r="F55">
        <v>2417.7349778400003</v>
      </c>
      <c r="G55">
        <v>0</v>
      </c>
      <c r="H55">
        <v>128.71703520000003</v>
      </c>
      <c r="I55">
        <v>2546.4520130400001</v>
      </c>
      <c r="J55" t="str">
        <f t="shared" si="4"/>
        <v>Avis Hire Cars TNA Petrol post 04 NT</v>
      </c>
      <c r="K55" t="str">
        <f t="shared" si="4"/>
        <v>kL</v>
      </c>
      <c r="L55" t="str">
        <f t="shared" si="4"/>
        <v>BBB</v>
      </c>
      <c r="M55" s="21">
        <f t="shared" si="4"/>
        <v>1.0454600000000001</v>
      </c>
      <c r="N55" s="8">
        <f t="shared" si="4"/>
        <v>35.754732000000004</v>
      </c>
      <c r="O55" s="8">
        <f t="shared" si="4"/>
        <v>2417.7349778400003</v>
      </c>
      <c r="P55" s="8">
        <f t="shared" si="3"/>
        <v>0</v>
      </c>
      <c r="Q55" s="8">
        <f t="shared" si="3"/>
        <v>128.71703520000003</v>
      </c>
      <c r="R55" s="8">
        <f t="shared" si="2"/>
        <v>2546.4520130400001</v>
      </c>
      <c r="S55" s="8" t="str">
        <f>VLOOKUP(J55,'GHG Factors FY21'!A:B,2,FALSE)</f>
        <v>Fleet</v>
      </c>
      <c r="T55" s="8" t="str">
        <f>VLOOKUP(ReformFY21[[#This Row],[Reporting Alias]],'Entities FY21'!B:B,1,FALSE)</f>
        <v>Avis Hire Cars TNA Petrol post 04 NT</v>
      </c>
    </row>
    <row r="56" spans="1:20">
      <c r="A56" t="s">
        <v>839</v>
      </c>
      <c r="B56" t="s">
        <v>787</v>
      </c>
      <c r="C56" t="s">
        <v>686</v>
      </c>
      <c r="D56" s="244">
        <v>8.4273975181472274</v>
      </c>
      <c r="E56">
        <v>288.2169951206352</v>
      </c>
      <c r="F56">
        <v>19489.233210057355</v>
      </c>
      <c r="G56">
        <v>0</v>
      </c>
      <c r="H56">
        <v>1037.5811824342868</v>
      </c>
      <c r="I56">
        <v>20526.81439249164</v>
      </c>
      <c r="J56" t="str">
        <f t="shared" si="4"/>
        <v>Avis Hire Cars TNA Petrol post 04 QLD</v>
      </c>
      <c r="K56" t="str">
        <f t="shared" si="4"/>
        <v>kL</v>
      </c>
      <c r="L56" t="str">
        <f t="shared" si="4"/>
        <v>BBB</v>
      </c>
      <c r="M56" s="21">
        <f t="shared" si="4"/>
        <v>8.4273975181472274</v>
      </c>
      <c r="N56" s="8">
        <f t="shared" si="4"/>
        <v>288.2169951206352</v>
      </c>
      <c r="O56" s="8">
        <f t="shared" si="4"/>
        <v>19489.233210057355</v>
      </c>
      <c r="P56" s="8">
        <f t="shared" si="3"/>
        <v>0</v>
      </c>
      <c r="Q56" s="8">
        <f t="shared" si="3"/>
        <v>1037.5811824342868</v>
      </c>
      <c r="R56" s="8">
        <f t="shared" si="2"/>
        <v>20526.81439249164</v>
      </c>
      <c r="S56" s="8" t="str">
        <f>VLOOKUP(J56,'GHG Factors FY21'!A:B,2,FALSE)</f>
        <v>Fleet</v>
      </c>
      <c r="T56" s="8" t="str">
        <f>VLOOKUP(ReformFY21[[#This Row],[Reporting Alias]],'Entities FY21'!B:B,1,FALSE)</f>
        <v>Avis Hire Cars TNA Petrol post 04 QLD</v>
      </c>
    </row>
    <row r="57" spans="1:20">
      <c r="A57" t="s">
        <v>840</v>
      </c>
      <c r="B57" t="s">
        <v>787</v>
      </c>
      <c r="C57" t="s">
        <v>686</v>
      </c>
      <c r="D57" s="244">
        <v>1.8659700000000004</v>
      </c>
      <c r="E57">
        <v>63.816174000000018</v>
      </c>
      <c r="F57">
        <v>4315.2496858800014</v>
      </c>
      <c r="G57">
        <v>0</v>
      </c>
      <c r="H57">
        <v>229.73822640000006</v>
      </c>
      <c r="I57">
        <v>4544.9879122800012</v>
      </c>
      <c r="J57" t="str">
        <f t="shared" si="4"/>
        <v>Avis Hire Cars TNA Petrol post 04 SA</v>
      </c>
      <c r="K57" t="str">
        <f t="shared" si="4"/>
        <v>kL</v>
      </c>
      <c r="L57" t="str">
        <f t="shared" si="4"/>
        <v>BBB</v>
      </c>
      <c r="M57" s="21">
        <f t="shared" si="4"/>
        <v>1.8659700000000004</v>
      </c>
      <c r="N57" s="8">
        <f t="shared" si="4"/>
        <v>63.816174000000018</v>
      </c>
      <c r="O57" s="8">
        <f t="shared" si="4"/>
        <v>4315.2496858800014</v>
      </c>
      <c r="P57" s="8">
        <f t="shared" si="3"/>
        <v>0</v>
      </c>
      <c r="Q57" s="8">
        <f t="shared" si="3"/>
        <v>229.73822640000006</v>
      </c>
      <c r="R57" s="8">
        <f t="shared" si="2"/>
        <v>4544.9879122800012</v>
      </c>
      <c r="S57" s="8" t="str">
        <f>VLOOKUP(J57,'GHG Factors FY21'!A:B,2,FALSE)</f>
        <v>Fleet</v>
      </c>
      <c r="T57" s="8" t="str">
        <f>VLOOKUP(ReformFY21[[#This Row],[Reporting Alias]],'Entities FY21'!B:B,1,FALSE)</f>
        <v>Avis Hire Cars TNA Petrol post 04 SA</v>
      </c>
    </row>
    <row r="58" spans="1:20">
      <c r="A58" t="s">
        <v>841</v>
      </c>
      <c r="B58" t="s">
        <v>787</v>
      </c>
      <c r="C58" t="s">
        <v>686</v>
      </c>
      <c r="D58" s="244">
        <v>3.6508249999999993</v>
      </c>
      <c r="E58">
        <v>124.85821499999999</v>
      </c>
      <c r="F58">
        <v>8442.9124983000002</v>
      </c>
      <c r="G58">
        <v>0</v>
      </c>
      <c r="H58">
        <v>449.48957399999995</v>
      </c>
      <c r="I58">
        <v>8892.4020722999994</v>
      </c>
      <c r="J58" t="str">
        <f t="shared" si="4"/>
        <v>Avis Hire Cars TNA Petrol post 04 TAS</v>
      </c>
      <c r="K58" t="str">
        <f t="shared" si="4"/>
        <v>kL</v>
      </c>
      <c r="L58" t="str">
        <f t="shared" si="4"/>
        <v>BBB</v>
      </c>
      <c r="M58" s="21">
        <f t="shared" si="4"/>
        <v>3.6508249999999993</v>
      </c>
      <c r="N58" s="8">
        <f t="shared" si="4"/>
        <v>124.85821499999999</v>
      </c>
      <c r="O58" s="8">
        <f t="shared" si="4"/>
        <v>8442.9124983000002</v>
      </c>
      <c r="P58" s="8">
        <f t="shared" si="3"/>
        <v>0</v>
      </c>
      <c r="Q58" s="8">
        <f t="shared" si="3"/>
        <v>449.48957399999995</v>
      </c>
      <c r="R58" s="8">
        <f t="shared" si="2"/>
        <v>8892.4020722999994</v>
      </c>
      <c r="S58" s="8" t="str">
        <f>VLOOKUP(J58,'GHG Factors FY21'!A:B,2,FALSE)</f>
        <v>Fleet</v>
      </c>
      <c r="T58" s="8" t="str">
        <f>VLOOKUP(ReformFY21[[#This Row],[Reporting Alias]],'Entities FY21'!B:B,1,FALSE)</f>
        <v>Avis Hire Cars TNA Petrol post 04 TAS</v>
      </c>
    </row>
    <row r="59" spans="1:20">
      <c r="A59" t="s">
        <v>842</v>
      </c>
      <c r="B59" t="s">
        <v>787</v>
      </c>
      <c r="C59" t="s">
        <v>686</v>
      </c>
      <c r="D59" s="244">
        <v>9.5476029999999987</v>
      </c>
      <c r="E59">
        <v>326.52802259999999</v>
      </c>
      <c r="F59">
        <v>22079.824888211999</v>
      </c>
      <c r="G59">
        <v>0</v>
      </c>
      <c r="H59">
        <v>1175.50088136</v>
      </c>
      <c r="I59">
        <v>23255.325769571999</v>
      </c>
      <c r="J59" t="str">
        <f t="shared" si="4"/>
        <v>Avis Hire Cars TNA Petrol post 04 VIC</v>
      </c>
      <c r="K59" t="str">
        <f t="shared" si="4"/>
        <v>kL</v>
      </c>
      <c r="L59" t="str">
        <f t="shared" si="4"/>
        <v>BBB</v>
      </c>
      <c r="M59" s="21">
        <f t="shared" si="4"/>
        <v>9.5476029999999987</v>
      </c>
      <c r="N59" s="8">
        <f t="shared" si="4"/>
        <v>326.52802259999999</v>
      </c>
      <c r="O59" s="8">
        <f t="shared" si="4"/>
        <v>22079.824888211999</v>
      </c>
      <c r="P59" s="8">
        <f t="shared" si="3"/>
        <v>0</v>
      </c>
      <c r="Q59" s="8">
        <f t="shared" si="3"/>
        <v>1175.50088136</v>
      </c>
      <c r="R59" s="8">
        <f t="shared" si="2"/>
        <v>23255.325769571999</v>
      </c>
      <c r="S59" s="8" t="str">
        <f>VLOOKUP(J59,'GHG Factors FY21'!A:B,2,FALSE)</f>
        <v>Fleet</v>
      </c>
      <c r="T59" s="8" t="str">
        <f>VLOOKUP(ReformFY21[[#This Row],[Reporting Alias]],'Entities FY21'!B:B,1,FALSE)</f>
        <v>Avis Hire Cars TNA Petrol post 04 VIC</v>
      </c>
    </row>
    <row r="60" spans="1:20">
      <c r="A60" t="s">
        <v>843</v>
      </c>
      <c r="B60" t="s">
        <v>787</v>
      </c>
      <c r="C60" t="s">
        <v>686</v>
      </c>
      <c r="D60" s="244">
        <v>2.0584378000000001</v>
      </c>
      <c r="E60">
        <v>70.398572760000008</v>
      </c>
      <c r="F60">
        <v>4760.3514900312011</v>
      </c>
      <c r="G60">
        <v>0</v>
      </c>
      <c r="H60">
        <v>253.43486193600003</v>
      </c>
      <c r="I60">
        <v>5013.786351967201</v>
      </c>
      <c r="J60" t="str">
        <f t="shared" si="4"/>
        <v>Avis Hire Cars TNA Petrol post 04 WA</v>
      </c>
      <c r="K60" t="str">
        <f t="shared" si="4"/>
        <v>kL</v>
      </c>
      <c r="L60" t="str">
        <f t="shared" si="4"/>
        <v>BBB</v>
      </c>
      <c r="M60" s="21">
        <f t="shared" si="4"/>
        <v>2.0584378000000001</v>
      </c>
      <c r="N60" s="8">
        <f t="shared" si="4"/>
        <v>70.398572760000008</v>
      </c>
      <c r="O60" s="8">
        <f t="shared" si="4"/>
        <v>4760.3514900312011</v>
      </c>
      <c r="P60" s="8">
        <f t="shared" si="3"/>
        <v>0</v>
      </c>
      <c r="Q60" s="8">
        <f t="shared" si="3"/>
        <v>253.43486193600003</v>
      </c>
      <c r="R60" s="8">
        <f t="shared" si="2"/>
        <v>5013.786351967201</v>
      </c>
      <c r="S60" s="8" t="str">
        <f>VLOOKUP(J60,'GHG Factors FY21'!A:B,2,FALSE)</f>
        <v>Fleet</v>
      </c>
      <c r="T60" s="8" t="str">
        <f>VLOOKUP(ReformFY21[[#This Row],[Reporting Alias]],'Entities FY21'!B:B,1,FALSE)</f>
        <v>Avis Hire Cars TNA Petrol post 04 WA</v>
      </c>
    </row>
    <row r="61" spans="1:20">
      <c r="A61" t="s">
        <v>844</v>
      </c>
      <c r="B61" t="s">
        <v>787</v>
      </c>
      <c r="C61" t="s">
        <v>695</v>
      </c>
      <c r="D61" s="244">
        <v>0.75054999999999994</v>
      </c>
      <c r="E61">
        <v>28.971229999999998</v>
      </c>
      <c r="F61">
        <v>2039.5745920000002</v>
      </c>
      <c r="G61">
        <v>0</v>
      </c>
      <c r="H61">
        <v>104.29642799999999</v>
      </c>
      <c r="I61">
        <v>2143.87102</v>
      </c>
      <c r="J61" t="str">
        <f t="shared" si="4"/>
        <v>Telstra FLEET Diesel 04 or earlier NSW A</v>
      </c>
      <c r="K61" t="str">
        <f t="shared" si="4"/>
        <v>kL</v>
      </c>
      <c r="L61" t="str">
        <f t="shared" si="4"/>
        <v>A</v>
      </c>
      <c r="M61" s="21">
        <f t="shared" si="4"/>
        <v>0.75054999999999994</v>
      </c>
      <c r="N61" s="8">
        <f t="shared" si="4"/>
        <v>28.971229999999998</v>
      </c>
      <c r="O61" s="8">
        <f t="shared" si="4"/>
        <v>2039.5745920000002</v>
      </c>
      <c r="P61" s="8">
        <f t="shared" si="3"/>
        <v>0</v>
      </c>
      <c r="Q61" s="8">
        <f t="shared" si="3"/>
        <v>104.29642799999999</v>
      </c>
      <c r="R61" s="8">
        <f t="shared" si="2"/>
        <v>2143.87102</v>
      </c>
      <c r="S61" s="8" t="str">
        <f>VLOOKUP(J61,'GHG Factors FY21'!A:B,2,FALSE)</f>
        <v>Fleet</v>
      </c>
      <c r="T61" s="8" t="str">
        <f>VLOOKUP(ReformFY21[[#This Row],[Reporting Alias]],'Entities FY21'!B:B,1,FALSE)</f>
        <v>Telstra FLEET Diesel 04 or earlier NSW A</v>
      </c>
    </row>
    <row r="62" spans="1:20">
      <c r="A62" t="s">
        <v>845</v>
      </c>
      <c r="B62" t="s">
        <v>787</v>
      </c>
      <c r="C62" t="s">
        <v>695</v>
      </c>
      <c r="D62" s="244">
        <v>0.36635590000000001</v>
      </c>
      <c r="E62">
        <v>14.141337740000001</v>
      </c>
      <c r="F62">
        <v>995.55017689600015</v>
      </c>
      <c r="G62">
        <v>0</v>
      </c>
      <c r="H62">
        <v>50.908815864000005</v>
      </c>
      <c r="I62">
        <v>1046.4589927600002</v>
      </c>
      <c r="J62" t="str">
        <f t="shared" si="4"/>
        <v>Telstra FLEET Diesel 04 or earlier QLD A</v>
      </c>
      <c r="K62" t="str">
        <f t="shared" si="4"/>
        <v>kL</v>
      </c>
      <c r="L62" t="str">
        <f t="shared" si="4"/>
        <v>A</v>
      </c>
      <c r="M62" s="21">
        <f t="shared" si="4"/>
        <v>0.36635590000000001</v>
      </c>
      <c r="N62" s="8">
        <f t="shared" si="4"/>
        <v>14.141337740000001</v>
      </c>
      <c r="O62" s="8">
        <f t="shared" si="4"/>
        <v>995.55017689600015</v>
      </c>
      <c r="P62" s="8">
        <f t="shared" si="3"/>
        <v>0</v>
      </c>
      <c r="Q62" s="8">
        <f t="shared" si="3"/>
        <v>50.908815864000005</v>
      </c>
      <c r="R62" s="8">
        <f t="shared" si="2"/>
        <v>1046.4589927600002</v>
      </c>
      <c r="S62" s="8" t="str">
        <f>VLOOKUP(J62,'GHG Factors FY21'!A:B,2,FALSE)</f>
        <v>Fleet</v>
      </c>
      <c r="T62" s="8" t="str">
        <f>VLOOKUP(ReformFY21[[#This Row],[Reporting Alias]],'Entities FY21'!B:B,1,FALSE)</f>
        <v>Telstra FLEET Diesel 04 or earlier QLD A</v>
      </c>
    </row>
    <row r="63" spans="1:20">
      <c r="A63" t="s">
        <v>846</v>
      </c>
      <c r="B63" t="s">
        <v>787</v>
      </c>
      <c r="C63" t="s">
        <v>695</v>
      </c>
      <c r="D63" s="244">
        <v>1.8733007000000002</v>
      </c>
      <c r="E63">
        <v>72.309407020000009</v>
      </c>
      <c r="F63">
        <v>5090.5822542080014</v>
      </c>
      <c r="G63">
        <v>0</v>
      </c>
      <c r="H63">
        <v>260.31386527200004</v>
      </c>
      <c r="I63">
        <v>5350.8961194800013</v>
      </c>
      <c r="J63" t="str">
        <f t="shared" si="4"/>
        <v>Telstra FLEET Diesel 04 or earlier SA A</v>
      </c>
      <c r="K63" t="str">
        <f t="shared" si="4"/>
        <v>kL</v>
      </c>
      <c r="L63" t="str">
        <f t="shared" si="4"/>
        <v>A</v>
      </c>
      <c r="M63" s="21">
        <f t="shared" si="4"/>
        <v>1.8733007000000002</v>
      </c>
      <c r="N63" s="8">
        <f t="shared" si="4"/>
        <v>72.309407020000009</v>
      </c>
      <c r="O63" s="8">
        <f t="shared" si="4"/>
        <v>5090.5822542080014</v>
      </c>
      <c r="P63" s="8">
        <f t="shared" si="3"/>
        <v>0</v>
      </c>
      <c r="Q63" s="8">
        <f t="shared" si="3"/>
        <v>260.31386527200004</v>
      </c>
      <c r="R63" s="8">
        <f t="shared" si="2"/>
        <v>5350.8961194800013</v>
      </c>
      <c r="S63" s="8" t="str">
        <f>VLOOKUP(J63,'GHG Factors FY21'!A:B,2,FALSE)</f>
        <v>Fleet</v>
      </c>
      <c r="T63" s="8" t="str">
        <f>VLOOKUP(ReformFY21[[#This Row],[Reporting Alias]],'Entities FY21'!B:B,1,FALSE)</f>
        <v>Telstra FLEET Diesel 04 or earlier SA A</v>
      </c>
    </row>
    <row r="64" spans="1:20">
      <c r="A64" t="s">
        <v>847</v>
      </c>
      <c r="B64" t="s">
        <v>787</v>
      </c>
      <c r="C64" t="s">
        <v>695</v>
      </c>
      <c r="D64" s="244">
        <v>6.7170000000000007E-2</v>
      </c>
      <c r="E64">
        <v>2.5927620000000005</v>
      </c>
      <c r="F64">
        <v>182.53044480000005</v>
      </c>
      <c r="G64">
        <v>0</v>
      </c>
      <c r="H64">
        <v>9.333943200000002</v>
      </c>
      <c r="I64">
        <v>191.86438800000005</v>
      </c>
      <c r="J64" t="str">
        <f t="shared" si="4"/>
        <v>Telstra FLEET Diesel 04 or earlier TAS A</v>
      </c>
      <c r="K64" t="str">
        <f t="shared" si="4"/>
        <v>kL</v>
      </c>
      <c r="L64" t="str">
        <f t="shared" si="4"/>
        <v>A</v>
      </c>
      <c r="M64" s="21">
        <f t="shared" si="4"/>
        <v>6.7170000000000007E-2</v>
      </c>
      <c r="N64" s="8">
        <f t="shared" si="4"/>
        <v>2.5927620000000005</v>
      </c>
      <c r="O64" s="8">
        <f t="shared" si="4"/>
        <v>182.53044480000005</v>
      </c>
      <c r="P64" s="8">
        <f t="shared" si="3"/>
        <v>0</v>
      </c>
      <c r="Q64" s="8">
        <f t="shared" si="3"/>
        <v>9.333943200000002</v>
      </c>
      <c r="R64" s="8">
        <f t="shared" si="2"/>
        <v>191.86438800000005</v>
      </c>
      <c r="S64" s="8" t="str">
        <f>VLOOKUP(J64,'GHG Factors FY21'!A:B,2,FALSE)</f>
        <v>Fleet</v>
      </c>
      <c r="T64" s="8" t="str">
        <f>VLOOKUP(ReformFY21[[#This Row],[Reporting Alias]],'Entities FY21'!B:B,1,FALSE)</f>
        <v>Telstra FLEET Diesel 04 or earlier TAS A</v>
      </c>
    </row>
    <row r="65" spans="1:20">
      <c r="A65" t="s">
        <v>848</v>
      </c>
      <c r="B65" t="s">
        <v>787</v>
      </c>
      <c r="C65" t="s">
        <v>695</v>
      </c>
      <c r="D65" s="244">
        <v>3.2911149999999996</v>
      </c>
      <c r="E65">
        <v>127.03703899999999</v>
      </c>
      <c r="F65">
        <v>8943.407545600001</v>
      </c>
      <c r="G65">
        <v>0</v>
      </c>
      <c r="H65">
        <v>457.3333404</v>
      </c>
      <c r="I65">
        <v>9400.7408860000014</v>
      </c>
      <c r="J65" t="str">
        <f t="shared" si="4"/>
        <v>Telstra FLEET Diesel 04 or earlier VIC A</v>
      </c>
      <c r="K65" t="str">
        <f t="shared" si="4"/>
        <v>kL</v>
      </c>
      <c r="L65" t="str">
        <f t="shared" si="4"/>
        <v>A</v>
      </c>
      <c r="M65" s="21">
        <f t="shared" si="4"/>
        <v>3.2911149999999996</v>
      </c>
      <c r="N65" s="8">
        <f t="shared" si="4"/>
        <v>127.03703899999999</v>
      </c>
      <c r="O65" s="8">
        <f t="shared" si="4"/>
        <v>8943.407545600001</v>
      </c>
      <c r="P65" s="8">
        <f t="shared" si="3"/>
        <v>0</v>
      </c>
      <c r="Q65" s="8">
        <f t="shared" si="3"/>
        <v>457.3333404</v>
      </c>
      <c r="R65" s="8">
        <f t="shared" si="2"/>
        <v>9400.7408860000014</v>
      </c>
      <c r="S65" s="8" t="str">
        <f>VLOOKUP(J65,'GHG Factors FY21'!A:B,2,FALSE)</f>
        <v>Fleet</v>
      </c>
      <c r="T65" s="8" t="str">
        <f>VLOOKUP(ReformFY21[[#This Row],[Reporting Alias]],'Entities FY21'!B:B,1,FALSE)</f>
        <v>Telstra FLEET Diesel 04 or earlier VIC A</v>
      </c>
    </row>
    <row r="66" spans="1:20">
      <c r="A66" t="s">
        <v>849</v>
      </c>
      <c r="B66" t="s">
        <v>787</v>
      </c>
      <c r="C66" t="s">
        <v>695</v>
      </c>
      <c r="D66" s="244">
        <v>0</v>
      </c>
      <c r="E66">
        <v>0</v>
      </c>
      <c r="F66">
        <v>0</v>
      </c>
      <c r="G66">
        <v>0</v>
      </c>
      <c r="H66">
        <v>0</v>
      </c>
      <c r="I66">
        <v>0</v>
      </c>
      <c r="J66" t="str">
        <f t="shared" si="4"/>
        <v>Telstra FLEET Diesel 04 or earlier WA A</v>
      </c>
      <c r="K66" t="str">
        <f t="shared" si="4"/>
        <v>kL</v>
      </c>
      <c r="L66" t="str">
        <f t="shared" si="4"/>
        <v>A</v>
      </c>
      <c r="M66" s="21">
        <f t="shared" si="4"/>
        <v>0</v>
      </c>
      <c r="N66" s="8">
        <f t="shared" si="4"/>
        <v>0</v>
      </c>
      <c r="O66" s="8">
        <f t="shared" si="4"/>
        <v>0</v>
      </c>
      <c r="P66" s="8">
        <f t="shared" si="3"/>
        <v>0</v>
      </c>
      <c r="Q66" s="8">
        <f t="shared" si="3"/>
        <v>0</v>
      </c>
      <c r="R66" s="8">
        <f t="shared" si="2"/>
        <v>0</v>
      </c>
      <c r="S66" s="8" t="str">
        <f>VLOOKUP(J66,'GHG Factors FY21'!A:B,2,FALSE)</f>
        <v>Fleet</v>
      </c>
      <c r="T66" s="8" t="str">
        <f>VLOOKUP(ReformFY21[[#This Row],[Reporting Alias]],'Entities FY21'!B:B,1,FALSE)</f>
        <v>Telstra FLEET Diesel 04 or earlier WA A</v>
      </c>
    </row>
    <row r="67" spans="1:20">
      <c r="A67" t="s">
        <v>850</v>
      </c>
      <c r="B67" t="s">
        <v>787</v>
      </c>
      <c r="C67" t="s">
        <v>695</v>
      </c>
      <c r="D67" s="244">
        <v>145.77691000000002</v>
      </c>
      <c r="E67">
        <v>5626.9887260000005</v>
      </c>
      <c r="F67">
        <v>396196.27619766007</v>
      </c>
      <c r="G67">
        <v>0</v>
      </c>
      <c r="H67">
        <v>20257.159413600002</v>
      </c>
      <c r="I67">
        <v>416453.43561126007</v>
      </c>
      <c r="J67" t="str">
        <f t="shared" si="4"/>
        <v>Telstra FLEET Diesel post 04 ACT A</v>
      </c>
      <c r="K67" t="str">
        <f t="shared" si="4"/>
        <v>kL</v>
      </c>
      <c r="L67" t="str">
        <f t="shared" si="4"/>
        <v>A</v>
      </c>
      <c r="M67" s="21">
        <f t="shared" si="4"/>
        <v>145.77691000000002</v>
      </c>
      <c r="N67" s="8">
        <f t="shared" si="4"/>
        <v>5626.9887260000005</v>
      </c>
      <c r="O67" s="8">
        <f t="shared" si="4"/>
        <v>396196.27619766007</v>
      </c>
      <c r="P67" s="8">
        <f t="shared" si="3"/>
        <v>0</v>
      </c>
      <c r="Q67" s="8">
        <f t="shared" si="3"/>
        <v>20257.159413600002</v>
      </c>
      <c r="R67" s="8">
        <f t="shared" ref="R67:R130" si="5">I67</f>
        <v>416453.43561126007</v>
      </c>
      <c r="S67" s="8" t="str">
        <f>VLOOKUP(J67,'GHG Factors FY21'!A:B,2,FALSE)</f>
        <v>Fleet</v>
      </c>
      <c r="T67" s="8" t="str">
        <f>VLOOKUP(ReformFY21[[#This Row],[Reporting Alias]],'Entities FY21'!B:B,1,FALSE)</f>
        <v>Telstra FLEET Diesel post 04 ACT A</v>
      </c>
    </row>
    <row r="68" spans="1:20">
      <c r="A68" t="s">
        <v>851</v>
      </c>
      <c r="B68" t="s">
        <v>787</v>
      </c>
      <c r="C68" t="s">
        <v>695</v>
      </c>
      <c r="D68" s="244">
        <v>2643.4545899999998</v>
      </c>
      <c r="E68">
        <v>102037.34717399999</v>
      </c>
      <c r="F68">
        <v>7184449.6145213405</v>
      </c>
      <c r="G68">
        <v>0</v>
      </c>
      <c r="H68">
        <v>367334.44982639997</v>
      </c>
      <c r="I68">
        <v>7551784.0643477403</v>
      </c>
      <c r="J68" t="str">
        <f t="shared" si="4"/>
        <v>Telstra FLEET Diesel post 04 NSW A</v>
      </c>
      <c r="K68" t="str">
        <f t="shared" si="4"/>
        <v>kL</v>
      </c>
      <c r="L68" t="str">
        <f t="shared" si="4"/>
        <v>A</v>
      </c>
      <c r="M68" s="21">
        <f t="shared" si="4"/>
        <v>2643.4545899999998</v>
      </c>
      <c r="N68" s="8">
        <f t="shared" si="4"/>
        <v>102037.34717399999</v>
      </c>
      <c r="O68" s="8">
        <f t="shared" si="4"/>
        <v>7184449.6145213405</v>
      </c>
      <c r="P68" s="8">
        <f t="shared" si="3"/>
        <v>0</v>
      </c>
      <c r="Q68" s="8">
        <f t="shared" si="3"/>
        <v>367334.44982639997</v>
      </c>
      <c r="R68" s="8">
        <f t="shared" si="5"/>
        <v>7551784.0643477403</v>
      </c>
      <c r="S68" s="8" t="str">
        <f>VLOOKUP(J68,'GHG Factors FY21'!A:B,2,FALSE)</f>
        <v>Fleet</v>
      </c>
      <c r="T68" s="8" t="str">
        <f>VLOOKUP(ReformFY21[[#This Row],[Reporting Alias]],'Entities FY21'!B:B,1,FALSE)</f>
        <v>Telstra FLEET Diesel post 04 NSW A</v>
      </c>
    </row>
    <row r="69" spans="1:20">
      <c r="A69" t="s">
        <v>852</v>
      </c>
      <c r="B69" t="s">
        <v>787</v>
      </c>
      <c r="C69" t="s">
        <v>695</v>
      </c>
      <c r="D69" s="244">
        <v>228.71070299999997</v>
      </c>
      <c r="E69">
        <v>8828.2331357999992</v>
      </c>
      <c r="F69">
        <v>621595.89509167802</v>
      </c>
      <c r="G69">
        <v>0</v>
      </c>
      <c r="H69">
        <v>31781.639288879996</v>
      </c>
      <c r="I69">
        <v>653377.53438055806</v>
      </c>
      <c r="J69" t="str">
        <f t="shared" si="4"/>
        <v>Telstra FLEET Diesel post 04 NT A</v>
      </c>
      <c r="K69" t="str">
        <f t="shared" si="4"/>
        <v>kL</v>
      </c>
      <c r="L69" t="str">
        <f t="shared" si="4"/>
        <v>A</v>
      </c>
      <c r="M69" s="21">
        <f t="shared" si="4"/>
        <v>228.71070299999997</v>
      </c>
      <c r="N69" s="8">
        <f t="shared" si="4"/>
        <v>8828.2331357999992</v>
      </c>
      <c r="O69" s="8">
        <f t="shared" si="4"/>
        <v>621595.89509167802</v>
      </c>
      <c r="P69" s="8">
        <f t="shared" si="3"/>
        <v>0</v>
      </c>
      <c r="Q69" s="8">
        <f t="shared" si="3"/>
        <v>31781.639288879996</v>
      </c>
      <c r="R69" s="8">
        <f t="shared" si="5"/>
        <v>653377.53438055806</v>
      </c>
      <c r="S69" s="8" t="str">
        <f>VLOOKUP(J69,'GHG Factors FY21'!A:B,2,FALSE)</f>
        <v>Fleet</v>
      </c>
      <c r="T69" s="8" t="str">
        <f>VLOOKUP(ReformFY21[[#This Row],[Reporting Alias]],'Entities FY21'!B:B,1,FALSE)</f>
        <v>Telstra FLEET Diesel post 04 NT A</v>
      </c>
    </row>
    <row r="70" spans="1:20">
      <c r="A70" t="s">
        <v>853</v>
      </c>
      <c r="B70" t="s">
        <v>787</v>
      </c>
      <c r="C70" t="s">
        <v>695</v>
      </c>
      <c r="D70" s="244">
        <v>1782.0954999999999</v>
      </c>
      <c r="E70">
        <v>68788.886299999998</v>
      </c>
      <c r="F70">
        <v>4843425.484383001</v>
      </c>
      <c r="G70">
        <v>0</v>
      </c>
      <c r="H70">
        <v>247639.99067999999</v>
      </c>
      <c r="I70">
        <v>5091065.4750630008</v>
      </c>
      <c r="J70" t="str">
        <f t="shared" si="4"/>
        <v>Telstra FLEET Diesel post 04 QLD A</v>
      </c>
      <c r="K70" t="str">
        <f t="shared" si="4"/>
        <v>kL</v>
      </c>
      <c r="L70" t="str">
        <f t="shared" si="4"/>
        <v>A</v>
      </c>
      <c r="M70" s="21">
        <f t="shared" si="4"/>
        <v>1782.0954999999999</v>
      </c>
      <c r="N70" s="8">
        <f t="shared" si="4"/>
        <v>68788.886299999998</v>
      </c>
      <c r="O70" s="8">
        <f t="shared" si="4"/>
        <v>4843425.484383001</v>
      </c>
      <c r="P70" s="8">
        <f t="shared" si="3"/>
        <v>0</v>
      </c>
      <c r="Q70" s="8">
        <f t="shared" si="3"/>
        <v>247639.99067999999</v>
      </c>
      <c r="R70" s="8">
        <f t="shared" si="5"/>
        <v>5091065.4750630008</v>
      </c>
      <c r="S70" s="8" t="str">
        <f>VLOOKUP(J70,'GHG Factors FY21'!A:B,2,FALSE)</f>
        <v>Fleet</v>
      </c>
      <c r="T70" s="8" t="str">
        <f>VLOOKUP(ReformFY21[[#This Row],[Reporting Alias]],'Entities FY21'!B:B,1,FALSE)</f>
        <v>Telstra FLEET Diesel post 04 QLD A</v>
      </c>
    </row>
    <row r="71" spans="1:20">
      <c r="A71" t="s">
        <v>854</v>
      </c>
      <c r="B71" t="s">
        <v>787</v>
      </c>
      <c r="C71" t="s">
        <v>695</v>
      </c>
      <c r="D71" s="244">
        <v>628.02482000000009</v>
      </c>
      <c r="E71">
        <v>24241.758052000005</v>
      </c>
      <c r="F71">
        <v>1706862.1844413206</v>
      </c>
      <c r="G71">
        <v>0</v>
      </c>
      <c r="H71">
        <v>87270.328987200017</v>
      </c>
      <c r="I71">
        <v>1794132.5134285206</v>
      </c>
      <c r="J71" t="str">
        <f t="shared" si="4"/>
        <v>Telstra FLEET Diesel post 04 SA A</v>
      </c>
      <c r="K71" t="str">
        <f t="shared" si="4"/>
        <v>kL</v>
      </c>
      <c r="L71" t="str">
        <f t="shared" si="4"/>
        <v>A</v>
      </c>
      <c r="M71" s="21">
        <f t="shared" si="4"/>
        <v>628.02482000000009</v>
      </c>
      <c r="N71" s="8">
        <f t="shared" si="4"/>
        <v>24241.758052000005</v>
      </c>
      <c r="O71" s="8">
        <f t="shared" si="4"/>
        <v>1706862.1844413206</v>
      </c>
      <c r="P71" s="8">
        <f t="shared" si="3"/>
        <v>0</v>
      </c>
      <c r="Q71" s="8">
        <f t="shared" si="3"/>
        <v>87270.328987200017</v>
      </c>
      <c r="R71" s="8">
        <f t="shared" si="5"/>
        <v>1794132.5134285206</v>
      </c>
      <c r="S71" s="8" t="str">
        <f>VLOOKUP(J71,'GHG Factors FY21'!A:B,2,FALSE)</f>
        <v>Fleet</v>
      </c>
      <c r="T71" s="8" t="str">
        <f>VLOOKUP(ReformFY21[[#This Row],[Reporting Alias]],'Entities FY21'!B:B,1,FALSE)</f>
        <v>Telstra FLEET Diesel post 04 SA A</v>
      </c>
    </row>
    <row r="72" spans="1:20">
      <c r="A72" t="s">
        <v>855</v>
      </c>
      <c r="B72" t="s">
        <v>787</v>
      </c>
      <c r="C72" t="s">
        <v>695</v>
      </c>
      <c r="D72" s="244">
        <v>320.18827000000005</v>
      </c>
      <c r="E72">
        <v>12359.267222000002</v>
      </c>
      <c r="F72">
        <v>870216.00510102033</v>
      </c>
      <c r="G72">
        <v>0</v>
      </c>
      <c r="H72">
        <v>44493.361999200009</v>
      </c>
      <c r="I72">
        <v>914709.36710022029</v>
      </c>
      <c r="J72" t="str">
        <f t="shared" si="4"/>
        <v>Telstra FLEET Diesel post 04 TAS A</v>
      </c>
      <c r="K72" t="str">
        <f t="shared" si="4"/>
        <v>kL</v>
      </c>
      <c r="L72" t="str">
        <f t="shared" si="4"/>
        <v>A</v>
      </c>
      <c r="M72" s="21">
        <f t="shared" si="4"/>
        <v>320.18827000000005</v>
      </c>
      <c r="N72" s="8">
        <f t="shared" si="4"/>
        <v>12359.267222000002</v>
      </c>
      <c r="O72" s="8">
        <f t="shared" si="4"/>
        <v>870216.00510102033</v>
      </c>
      <c r="P72" s="8">
        <f t="shared" si="3"/>
        <v>0</v>
      </c>
      <c r="Q72" s="8">
        <f t="shared" si="3"/>
        <v>44493.361999200009</v>
      </c>
      <c r="R72" s="8">
        <f t="shared" si="5"/>
        <v>914709.36710022029</v>
      </c>
      <c r="S72" s="8" t="str">
        <f>VLOOKUP(J72,'GHG Factors FY21'!A:B,2,FALSE)</f>
        <v>Fleet</v>
      </c>
      <c r="T72" s="8" t="str">
        <f>VLOOKUP(ReformFY21[[#This Row],[Reporting Alias]],'Entities FY21'!B:B,1,FALSE)</f>
        <v>Telstra FLEET Diesel post 04 TAS A</v>
      </c>
    </row>
    <row r="73" spans="1:20">
      <c r="A73" t="s">
        <v>856</v>
      </c>
      <c r="B73" t="s">
        <v>787</v>
      </c>
      <c r="C73" t="s">
        <v>695</v>
      </c>
      <c r="D73" s="244">
        <v>1660.22154</v>
      </c>
      <c r="E73">
        <v>64084.551444000004</v>
      </c>
      <c r="F73">
        <v>4512193.2671720413</v>
      </c>
      <c r="G73">
        <v>0</v>
      </c>
      <c r="H73">
        <v>230704.38519840001</v>
      </c>
      <c r="I73">
        <v>4742897.6523704417</v>
      </c>
      <c r="J73" t="str">
        <f t="shared" si="4"/>
        <v>Telstra FLEET Diesel post 04 VIC A</v>
      </c>
      <c r="K73" t="str">
        <f t="shared" si="4"/>
        <v>kL</v>
      </c>
      <c r="L73" t="str">
        <f t="shared" si="4"/>
        <v>A</v>
      </c>
      <c r="M73" s="21">
        <f t="shared" si="4"/>
        <v>1660.22154</v>
      </c>
      <c r="N73" s="8">
        <f t="shared" si="4"/>
        <v>64084.551444000004</v>
      </c>
      <c r="O73" s="8">
        <f t="shared" si="4"/>
        <v>4512193.2671720413</v>
      </c>
      <c r="P73" s="8">
        <f t="shared" si="3"/>
        <v>0</v>
      </c>
      <c r="Q73" s="8">
        <f t="shared" si="3"/>
        <v>230704.38519840001</v>
      </c>
      <c r="R73" s="8">
        <f t="shared" si="5"/>
        <v>4742897.6523704417</v>
      </c>
      <c r="S73" s="8" t="str">
        <f>VLOOKUP(J73,'GHG Factors FY21'!A:B,2,FALSE)</f>
        <v>Fleet</v>
      </c>
      <c r="T73" s="8" t="str">
        <f>VLOOKUP(ReformFY21[[#This Row],[Reporting Alias]],'Entities FY21'!B:B,1,FALSE)</f>
        <v>Telstra FLEET Diesel post 04 VIC A</v>
      </c>
    </row>
    <row r="74" spans="1:20">
      <c r="A74" t="s">
        <v>857</v>
      </c>
      <c r="B74" t="s">
        <v>787</v>
      </c>
      <c r="C74" t="s">
        <v>695</v>
      </c>
      <c r="D74" s="244">
        <v>930.21676000000002</v>
      </c>
      <c r="E74">
        <v>35906.366936000006</v>
      </c>
      <c r="F74">
        <v>2528167.2959637609</v>
      </c>
      <c r="G74">
        <v>0</v>
      </c>
      <c r="H74">
        <v>129262.92096960002</v>
      </c>
      <c r="I74">
        <v>2657430.2169333608</v>
      </c>
      <c r="J74" t="str">
        <f t="shared" si="4"/>
        <v>Telstra FLEET Diesel post 04 WA A</v>
      </c>
      <c r="K74" t="str">
        <f t="shared" si="4"/>
        <v>kL</v>
      </c>
      <c r="L74" t="str">
        <f t="shared" si="4"/>
        <v>A</v>
      </c>
      <c r="M74" s="21">
        <f t="shared" si="4"/>
        <v>930.21676000000002</v>
      </c>
      <c r="N74" s="8">
        <f t="shared" si="4"/>
        <v>35906.366936000006</v>
      </c>
      <c r="O74" s="8">
        <f t="shared" si="4"/>
        <v>2528167.2959637609</v>
      </c>
      <c r="P74" s="8">
        <f t="shared" si="3"/>
        <v>0</v>
      </c>
      <c r="Q74" s="8">
        <f t="shared" si="3"/>
        <v>129262.92096960002</v>
      </c>
      <c r="R74" s="8">
        <f t="shared" si="5"/>
        <v>2657430.2169333608</v>
      </c>
      <c r="S74" s="8" t="str">
        <f>VLOOKUP(J74,'GHG Factors FY21'!A:B,2,FALSE)</f>
        <v>Fleet</v>
      </c>
      <c r="T74" s="8" t="str">
        <f>VLOOKUP(ReformFY21[[#This Row],[Reporting Alias]],'Entities FY21'!B:B,1,FALSE)</f>
        <v>Telstra FLEET Diesel post 04 WA A</v>
      </c>
    </row>
    <row r="75" spans="1:20">
      <c r="A75" t="s">
        <v>858</v>
      </c>
      <c r="B75" t="s">
        <v>787</v>
      </c>
      <c r="C75" t="s">
        <v>695</v>
      </c>
      <c r="D75" s="244">
        <v>0.34324199999999994</v>
      </c>
      <c r="E75">
        <v>8.0318627999999972</v>
      </c>
      <c r="F75">
        <v>3.2127451199999992</v>
      </c>
      <c r="G75">
        <v>0</v>
      </c>
      <c r="H75">
        <v>0</v>
      </c>
      <c r="I75">
        <v>3.2127451199999992</v>
      </c>
      <c r="J75" t="str">
        <f t="shared" si="4"/>
        <v>Telstra FLEET Ethanol post 04 ACT A</v>
      </c>
      <c r="K75" t="str">
        <f t="shared" si="4"/>
        <v>kL</v>
      </c>
      <c r="L75" t="str">
        <f t="shared" si="4"/>
        <v>A</v>
      </c>
      <c r="M75" s="21">
        <f t="shared" si="4"/>
        <v>0.34324199999999994</v>
      </c>
      <c r="N75" s="8">
        <f t="shared" si="4"/>
        <v>8.0318627999999972</v>
      </c>
      <c r="O75" s="8">
        <f t="shared" si="4"/>
        <v>3.2127451199999992</v>
      </c>
      <c r="P75" s="8">
        <f t="shared" si="3"/>
        <v>0</v>
      </c>
      <c r="Q75" s="8">
        <f t="shared" si="3"/>
        <v>0</v>
      </c>
      <c r="R75" s="8">
        <f t="shared" si="5"/>
        <v>3.2127451199999992</v>
      </c>
      <c r="S75" s="8" t="str">
        <f>VLOOKUP(J75,'GHG Factors FY21'!A:B,2,FALSE)</f>
        <v>Fleet</v>
      </c>
      <c r="T75" s="8" t="str">
        <f>VLOOKUP(ReformFY21[[#This Row],[Reporting Alias]],'Entities FY21'!B:B,1,FALSE)</f>
        <v>Telstra FLEET Ethanol post 04 ACT A</v>
      </c>
    </row>
    <row r="76" spans="1:20">
      <c r="A76" t="s">
        <v>859</v>
      </c>
      <c r="B76" t="s">
        <v>787</v>
      </c>
      <c r="C76" t="s">
        <v>695</v>
      </c>
      <c r="D76" s="244">
        <v>13.911406000000003</v>
      </c>
      <c r="E76">
        <v>325.52690040000005</v>
      </c>
      <c r="F76">
        <v>130.21076016000004</v>
      </c>
      <c r="G76">
        <v>0</v>
      </c>
      <c r="H76">
        <v>0</v>
      </c>
      <c r="I76">
        <v>130.21076016000004</v>
      </c>
      <c r="J76" t="str">
        <f t="shared" si="4"/>
        <v>Telstra FLEET Ethanol post 04 NSW A</v>
      </c>
      <c r="K76" t="str">
        <f t="shared" si="4"/>
        <v>kL</v>
      </c>
      <c r="L76" t="str">
        <f t="shared" si="4"/>
        <v>A</v>
      </c>
      <c r="M76" s="21">
        <f t="shared" si="4"/>
        <v>13.911406000000003</v>
      </c>
      <c r="N76" s="8">
        <f t="shared" si="4"/>
        <v>325.52690040000005</v>
      </c>
      <c r="O76" s="8">
        <f t="shared" si="4"/>
        <v>130.21076016000004</v>
      </c>
      <c r="P76" s="8">
        <f t="shared" si="3"/>
        <v>0</v>
      </c>
      <c r="Q76" s="8">
        <f t="shared" si="3"/>
        <v>0</v>
      </c>
      <c r="R76" s="8">
        <f t="shared" si="5"/>
        <v>130.21076016000004</v>
      </c>
      <c r="S76" s="8" t="str">
        <f>VLOOKUP(J76,'GHG Factors FY21'!A:B,2,FALSE)</f>
        <v>Fleet</v>
      </c>
      <c r="T76" s="8" t="str">
        <f>VLOOKUP(ReformFY21[[#This Row],[Reporting Alias]],'Entities FY21'!B:B,1,FALSE)</f>
        <v>Telstra FLEET Ethanol post 04 NSW A</v>
      </c>
    </row>
    <row r="77" spans="1:20">
      <c r="A77" t="s">
        <v>860</v>
      </c>
      <c r="B77" t="s">
        <v>787</v>
      </c>
      <c r="C77" t="s">
        <v>695</v>
      </c>
      <c r="D77" s="244">
        <v>1.856193</v>
      </c>
      <c r="E77">
        <v>43.434916199999996</v>
      </c>
      <c r="F77">
        <v>17.37396648</v>
      </c>
      <c r="G77">
        <v>0</v>
      </c>
      <c r="H77">
        <v>0</v>
      </c>
      <c r="I77">
        <v>17.37396648</v>
      </c>
      <c r="J77" t="str">
        <f t="shared" si="4"/>
        <v>Telstra FLEET Ethanol post 04 QLD A</v>
      </c>
      <c r="K77" t="str">
        <f t="shared" si="4"/>
        <v>kL</v>
      </c>
      <c r="L77" t="str">
        <f t="shared" si="4"/>
        <v>A</v>
      </c>
      <c r="M77" s="21">
        <f t="shared" si="4"/>
        <v>1.856193</v>
      </c>
      <c r="N77" s="8">
        <f t="shared" si="4"/>
        <v>43.434916199999996</v>
      </c>
      <c r="O77" s="8">
        <f t="shared" si="4"/>
        <v>17.37396648</v>
      </c>
      <c r="P77" s="8">
        <f t="shared" si="3"/>
        <v>0</v>
      </c>
      <c r="Q77" s="8">
        <f t="shared" si="3"/>
        <v>0</v>
      </c>
      <c r="R77" s="8">
        <f t="shared" si="5"/>
        <v>17.37396648</v>
      </c>
      <c r="S77" s="8" t="str">
        <f>VLOOKUP(J77,'GHG Factors FY21'!A:B,2,FALSE)</f>
        <v>Fleet</v>
      </c>
      <c r="T77" s="8" t="str">
        <f>VLOOKUP(ReformFY21[[#This Row],[Reporting Alias]],'Entities FY21'!B:B,1,FALSE)</f>
        <v>Telstra FLEET Ethanol post 04 QLD A</v>
      </c>
    </row>
    <row r="78" spans="1:20">
      <c r="A78" t="s">
        <v>861</v>
      </c>
      <c r="B78" t="s">
        <v>787</v>
      </c>
      <c r="C78" t="s">
        <v>695</v>
      </c>
      <c r="D78" s="244">
        <v>0</v>
      </c>
      <c r="E78">
        <v>0</v>
      </c>
      <c r="F78">
        <v>0</v>
      </c>
      <c r="G78">
        <v>0</v>
      </c>
      <c r="H78">
        <v>0</v>
      </c>
      <c r="I78">
        <v>0</v>
      </c>
      <c r="J78" t="str">
        <f t="shared" si="4"/>
        <v>Telstra FLEET Ethanol post 04 SA A</v>
      </c>
      <c r="K78" t="str">
        <f t="shared" si="4"/>
        <v>kL</v>
      </c>
      <c r="L78" t="str">
        <f t="shared" si="4"/>
        <v>A</v>
      </c>
      <c r="M78" s="21">
        <f t="shared" si="4"/>
        <v>0</v>
      </c>
      <c r="N78" s="8">
        <f t="shared" si="4"/>
        <v>0</v>
      </c>
      <c r="O78" s="8">
        <f t="shared" si="4"/>
        <v>0</v>
      </c>
      <c r="P78" s="8">
        <f t="shared" si="3"/>
        <v>0</v>
      </c>
      <c r="Q78" s="8">
        <f t="shared" si="3"/>
        <v>0</v>
      </c>
      <c r="R78" s="8">
        <f t="shared" si="5"/>
        <v>0</v>
      </c>
      <c r="S78" s="8" t="str">
        <f>VLOOKUP(J78,'GHG Factors FY21'!A:B,2,FALSE)</f>
        <v>Fleet</v>
      </c>
      <c r="T78" s="8" t="str">
        <f>VLOOKUP(ReformFY21[[#This Row],[Reporting Alias]],'Entities FY21'!B:B,1,FALSE)</f>
        <v>Telstra FLEET Ethanol post 04 SA A</v>
      </c>
    </row>
    <row r="79" spans="1:20">
      <c r="A79" t="s">
        <v>862</v>
      </c>
      <c r="B79" t="s">
        <v>787</v>
      </c>
      <c r="C79" t="s">
        <v>695</v>
      </c>
      <c r="D79" s="244">
        <v>0</v>
      </c>
      <c r="E79">
        <v>0</v>
      </c>
      <c r="F79">
        <v>0</v>
      </c>
      <c r="G79">
        <v>0</v>
      </c>
      <c r="H79">
        <v>0</v>
      </c>
      <c r="I79">
        <v>0</v>
      </c>
      <c r="J79" t="str">
        <f t="shared" si="4"/>
        <v>Telstra FLEET Ethanol post 04 TAS A</v>
      </c>
      <c r="K79" t="str">
        <f t="shared" si="4"/>
        <v>kL</v>
      </c>
      <c r="L79" t="str">
        <f t="shared" si="4"/>
        <v>A</v>
      </c>
      <c r="M79" s="21">
        <f t="shared" si="4"/>
        <v>0</v>
      </c>
      <c r="N79" s="8">
        <f t="shared" si="4"/>
        <v>0</v>
      </c>
      <c r="O79" s="8">
        <f t="shared" si="4"/>
        <v>0</v>
      </c>
      <c r="P79" s="8">
        <f t="shared" si="3"/>
        <v>0</v>
      </c>
      <c r="Q79" s="8">
        <f t="shared" si="3"/>
        <v>0</v>
      </c>
      <c r="R79" s="8">
        <f t="shared" si="5"/>
        <v>0</v>
      </c>
      <c r="S79" s="8" t="str">
        <f>VLOOKUP(J79,'GHG Factors FY21'!A:B,2,FALSE)</f>
        <v>Fleet</v>
      </c>
      <c r="T79" s="8" t="str">
        <f>VLOOKUP(ReformFY21[[#This Row],[Reporting Alias]],'Entities FY21'!B:B,1,FALSE)</f>
        <v>Telstra FLEET Ethanol post 04 TAS A</v>
      </c>
    </row>
    <row r="80" spans="1:20">
      <c r="A80" t="s">
        <v>863</v>
      </c>
      <c r="B80" t="s">
        <v>787</v>
      </c>
      <c r="C80" t="s">
        <v>695</v>
      </c>
      <c r="D80" s="244">
        <v>7.4894000000000002E-2</v>
      </c>
      <c r="E80">
        <v>1.7525195999999998</v>
      </c>
      <c r="F80">
        <v>0.70100783999999994</v>
      </c>
      <c r="G80">
        <v>0</v>
      </c>
      <c r="H80">
        <v>0</v>
      </c>
      <c r="I80">
        <v>0.70100783999999994</v>
      </c>
      <c r="J80" t="str">
        <f t="shared" si="4"/>
        <v>Telstra FLEET Ethanol post 04 VIC A</v>
      </c>
      <c r="K80" t="str">
        <f t="shared" si="4"/>
        <v>kL</v>
      </c>
      <c r="L80" t="str">
        <f t="shared" si="4"/>
        <v>A</v>
      </c>
      <c r="M80" s="21">
        <f t="shared" si="4"/>
        <v>7.4894000000000002E-2</v>
      </c>
      <c r="N80" s="8">
        <f t="shared" si="4"/>
        <v>1.7525195999999998</v>
      </c>
      <c r="O80" s="8">
        <f t="shared" si="4"/>
        <v>0.70100783999999994</v>
      </c>
      <c r="P80" s="8">
        <f t="shared" si="3"/>
        <v>0</v>
      </c>
      <c r="Q80" s="8">
        <f t="shared" si="3"/>
        <v>0</v>
      </c>
      <c r="R80" s="8">
        <f t="shared" si="5"/>
        <v>0.70100783999999994</v>
      </c>
      <c r="S80" s="8" t="str">
        <f>VLOOKUP(J80,'GHG Factors FY21'!A:B,2,FALSE)</f>
        <v>Fleet</v>
      </c>
      <c r="T80" s="8" t="str">
        <f>VLOOKUP(ReformFY21[[#This Row],[Reporting Alias]],'Entities FY21'!B:B,1,FALSE)</f>
        <v>Telstra FLEET Ethanol post 04 VIC A</v>
      </c>
    </row>
    <row r="81" spans="1:20">
      <c r="A81" t="s">
        <v>864</v>
      </c>
      <c r="B81" t="s">
        <v>787</v>
      </c>
      <c r="C81" t="s">
        <v>695</v>
      </c>
      <c r="D81" s="244">
        <v>0.87494140000000009</v>
      </c>
      <c r="E81">
        <v>22.923464680000002</v>
      </c>
      <c r="F81">
        <v>1398.3313454800002</v>
      </c>
      <c r="G81">
        <v>0</v>
      </c>
      <c r="H81">
        <v>82.524472848000016</v>
      </c>
      <c r="I81">
        <v>1480.8558183280002</v>
      </c>
      <c r="J81" t="str">
        <f t="shared" si="4"/>
        <v>Telstra FLEET LPG post 04 NSW A</v>
      </c>
      <c r="K81" t="str">
        <f t="shared" si="4"/>
        <v>kL</v>
      </c>
      <c r="L81" t="str">
        <f t="shared" si="4"/>
        <v>A</v>
      </c>
      <c r="M81" s="21">
        <f t="shared" si="4"/>
        <v>0.87494140000000009</v>
      </c>
      <c r="N81" s="8">
        <f t="shared" si="4"/>
        <v>22.923464680000002</v>
      </c>
      <c r="O81" s="8">
        <f t="shared" si="4"/>
        <v>1398.3313454800002</v>
      </c>
      <c r="P81" s="8">
        <f t="shared" si="3"/>
        <v>0</v>
      </c>
      <c r="Q81" s="8">
        <f t="shared" si="3"/>
        <v>82.524472848000016</v>
      </c>
      <c r="R81" s="8">
        <f t="shared" si="5"/>
        <v>1480.8558183280002</v>
      </c>
      <c r="S81" s="8" t="str">
        <f>VLOOKUP(J81,'GHG Factors FY21'!A:B,2,FALSE)</f>
        <v>Fleet</v>
      </c>
      <c r="T81" s="8" t="str">
        <f>VLOOKUP(ReformFY21[[#This Row],[Reporting Alias]],'Entities FY21'!B:B,1,FALSE)</f>
        <v>Telstra FLEET LPG post 04 NSW A</v>
      </c>
    </row>
    <row r="82" spans="1:20">
      <c r="A82" t="s">
        <v>865</v>
      </c>
      <c r="B82" t="s">
        <v>787</v>
      </c>
      <c r="C82" t="s">
        <v>695</v>
      </c>
      <c r="D82" s="244">
        <v>0</v>
      </c>
      <c r="E82">
        <v>0</v>
      </c>
      <c r="F82">
        <v>0</v>
      </c>
      <c r="G82">
        <v>0</v>
      </c>
      <c r="H82">
        <v>0</v>
      </c>
      <c r="I82">
        <v>0</v>
      </c>
      <c r="J82" t="str">
        <f t="shared" si="4"/>
        <v>Telstra FLEET LPG post 04 QLD A</v>
      </c>
      <c r="K82" t="str">
        <f t="shared" si="4"/>
        <v>kL</v>
      </c>
      <c r="L82" t="str">
        <f t="shared" si="4"/>
        <v>A</v>
      </c>
      <c r="M82" s="21">
        <f t="shared" si="4"/>
        <v>0</v>
      </c>
      <c r="N82" s="8">
        <f t="shared" si="4"/>
        <v>0</v>
      </c>
      <c r="O82" s="8">
        <f t="shared" si="4"/>
        <v>0</v>
      </c>
      <c r="P82" s="8">
        <f t="shared" si="3"/>
        <v>0</v>
      </c>
      <c r="Q82" s="8">
        <f t="shared" si="3"/>
        <v>0</v>
      </c>
      <c r="R82" s="8">
        <f t="shared" si="5"/>
        <v>0</v>
      </c>
      <c r="S82" s="8" t="str">
        <f>VLOOKUP(J82,'GHG Factors FY21'!A:B,2,FALSE)</f>
        <v>Fleet</v>
      </c>
      <c r="T82" s="8" t="str">
        <f>VLOOKUP(ReformFY21[[#This Row],[Reporting Alias]],'Entities FY21'!B:B,1,FALSE)</f>
        <v>Telstra FLEET LPG post 04 QLD A</v>
      </c>
    </row>
    <row r="83" spans="1:20">
      <c r="A83" t="s">
        <v>866</v>
      </c>
      <c r="B83" t="s">
        <v>787</v>
      </c>
      <c r="C83" t="s">
        <v>695</v>
      </c>
      <c r="D83" s="244">
        <v>0</v>
      </c>
      <c r="E83">
        <v>0</v>
      </c>
      <c r="F83">
        <v>0</v>
      </c>
      <c r="G83">
        <v>0</v>
      </c>
      <c r="H83">
        <v>0</v>
      </c>
      <c r="I83">
        <v>0</v>
      </c>
      <c r="J83" t="str">
        <f t="shared" si="4"/>
        <v>Telstra FLEET LPG post 04 SA A</v>
      </c>
      <c r="K83" t="str">
        <f t="shared" si="4"/>
        <v>kL</v>
      </c>
      <c r="L83" t="str">
        <f t="shared" si="4"/>
        <v>A</v>
      </c>
      <c r="M83" s="21">
        <f t="shared" si="4"/>
        <v>0</v>
      </c>
      <c r="N83" s="8">
        <f t="shared" si="4"/>
        <v>0</v>
      </c>
      <c r="O83" s="8">
        <f t="shared" si="4"/>
        <v>0</v>
      </c>
      <c r="P83" s="8">
        <f t="shared" si="3"/>
        <v>0</v>
      </c>
      <c r="Q83" s="8">
        <f t="shared" si="3"/>
        <v>0</v>
      </c>
      <c r="R83" s="8">
        <f t="shared" si="5"/>
        <v>0</v>
      </c>
      <c r="S83" s="8" t="str">
        <f>VLOOKUP(J83,'GHG Factors FY21'!A:B,2,FALSE)</f>
        <v>Fleet</v>
      </c>
      <c r="T83" s="8" t="str">
        <f>VLOOKUP(ReformFY21[[#This Row],[Reporting Alias]],'Entities FY21'!B:B,1,FALSE)</f>
        <v>Telstra FLEET LPG post 04 SA A</v>
      </c>
    </row>
    <row r="84" spans="1:20">
      <c r="A84" t="s">
        <v>867</v>
      </c>
      <c r="B84" t="s">
        <v>787</v>
      </c>
      <c r="C84" t="s">
        <v>695</v>
      </c>
      <c r="D84" s="244">
        <v>0</v>
      </c>
      <c r="E84">
        <v>0</v>
      </c>
      <c r="F84">
        <v>0</v>
      </c>
      <c r="G84">
        <v>0</v>
      </c>
      <c r="H84">
        <v>0</v>
      </c>
      <c r="I84">
        <v>0</v>
      </c>
      <c r="J84" t="str">
        <f t="shared" si="4"/>
        <v>Telstra FLEET LPG post 04 VIC A</v>
      </c>
      <c r="K84" t="str">
        <f t="shared" si="4"/>
        <v>kL</v>
      </c>
      <c r="L84" t="str">
        <f t="shared" si="4"/>
        <v>A</v>
      </c>
      <c r="M84" s="21">
        <f t="shared" si="4"/>
        <v>0</v>
      </c>
      <c r="N84" s="8">
        <f t="shared" si="4"/>
        <v>0</v>
      </c>
      <c r="O84" s="8">
        <f t="shared" si="4"/>
        <v>0</v>
      </c>
      <c r="P84" s="8">
        <f t="shared" si="3"/>
        <v>0</v>
      </c>
      <c r="Q84" s="8">
        <f t="shared" si="3"/>
        <v>0</v>
      </c>
      <c r="R84" s="8">
        <f t="shared" si="5"/>
        <v>0</v>
      </c>
      <c r="S84" s="8" t="str">
        <f>VLOOKUP(J84,'GHG Factors FY21'!A:B,2,FALSE)</f>
        <v>Fleet</v>
      </c>
      <c r="T84" s="8" t="str">
        <f>VLOOKUP(ReformFY21[[#This Row],[Reporting Alias]],'Entities FY21'!B:B,1,FALSE)</f>
        <v>Telstra FLEET LPG post 04 VIC A</v>
      </c>
    </row>
    <row r="85" spans="1:20">
      <c r="A85" t="s">
        <v>868</v>
      </c>
      <c r="B85" t="s">
        <v>787</v>
      </c>
      <c r="C85" t="s">
        <v>695</v>
      </c>
      <c r="D85" s="244">
        <v>0.245786</v>
      </c>
      <c r="E85">
        <v>8.4058812000000014</v>
      </c>
      <c r="F85">
        <v>585.04933152000001</v>
      </c>
      <c r="G85">
        <v>0</v>
      </c>
      <c r="H85">
        <v>30.261172320000007</v>
      </c>
      <c r="I85">
        <v>615.31050384000002</v>
      </c>
      <c r="J85" t="str">
        <f t="shared" si="4"/>
        <v>Telstra FLEET Petrol 04 or earlier VIC A</v>
      </c>
      <c r="K85" t="str">
        <f t="shared" si="4"/>
        <v>kL</v>
      </c>
      <c r="L85" t="str">
        <f t="shared" si="4"/>
        <v>A</v>
      </c>
      <c r="M85" s="21">
        <f t="shared" si="4"/>
        <v>0.245786</v>
      </c>
      <c r="N85" s="8">
        <f t="shared" si="4"/>
        <v>8.4058812000000014</v>
      </c>
      <c r="O85" s="8">
        <f t="shared" si="4"/>
        <v>585.04933152000001</v>
      </c>
      <c r="P85" s="8">
        <f t="shared" si="3"/>
        <v>0</v>
      </c>
      <c r="Q85" s="8">
        <f t="shared" si="3"/>
        <v>30.261172320000007</v>
      </c>
      <c r="R85" s="8">
        <f t="shared" si="5"/>
        <v>615.31050384000002</v>
      </c>
      <c r="S85" s="8" t="str">
        <f>VLOOKUP(J85,'GHG Factors FY21'!A:B,2,FALSE)</f>
        <v>Fleet</v>
      </c>
      <c r="T85" s="8" t="str">
        <f>VLOOKUP(ReformFY21[[#This Row],[Reporting Alias]],'Entities FY21'!B:B,1,FALSE)</f>
        <v>Telstra FLEET Petrol 04 or earlier VIC A</v>
      </c>
    </row>
    <row r="86" spans="1:20">
      <c r="A86" t="s">
        <v>869</v>
      </c>
      <c r="B86" t="s">
        <v>787</v>
      </c>
      <c r="C86" t="s">
        <v>695</v>
      </c>
      <c r="D86" s="244">
        <v>10.671328000000001</v>
      </c>
      <c r="E86">
        <v>364.95941760000005</v>
      </c>
      <c r="F86">
        <v>24678.555818112007</v>
      </c>
      <c r="G86">
        <v>0</v>
      </c>
      <c r="H86">
        <v>1313.8539033600002</v>
      </c>
      <c r="I86">
        <v>25992.409721472006</v>
      </c>
      <c r="J86" t="str">
        <f t="shared" si="4"/>
        <v>Telstra FLEET Petrol post 04 ACT A</v>
      </c>
      <c r="K86" t="str">
        <f t="shared" si="4"/>
        <v>kL</v>
      </c>
      <c r="L86" t="str">
        <f t="shared" si="4"/>
        <v>A</v>
      </c>
      <c r="M86" s="21">
        <f t="shared" si="4"/>
        <v>10.671328000000001</v>
      </c>
      <c r="N86" s="8">
        <f t="shared" si="4"/>
        <v>364.95941760000005</v>
      </c>
      <c r="O86" s="8">
        <f t="shared" si="4"/>
        <v>24678.555818112007</v>
      </c>
      <c r="P86" s="8">
        <f t="shared" si="3"/>
        <v>0</v>
      </c>
      <c r="Q86" s="8">
        <f t="shared" si="3"/>
        <v>1313.8539033600002</v>
      </c>
      <c r="R86" s="8">
        <f t="shared" si="5"/>
        <v>25992.409721472006</v>
      </c>
      <c r="S86" s="8" t="str">
        <f>VLOOKUP(J86,'GHG Factors FY21'!A:B,2,FALSE)</f>
        <v>Fleet</v>
      </c>
      <c r="T86" s="8" t="str">
        <f>VLOOKUP(ReformFY21[[#This Row],[Reporting Alias]],'Entities FY21'!B:B,1,FALSE)</f>
        <v>Telstra FLEET Petrol post 04 ACT A</v>
      </c>
    </row>
    <row r="87" spans="1:20">
      <c r="A87" t="s">
        <v>870</v>
      </c>
      <c r="B87" t="s">
        <v>787</v>
      </c>
      <c r="C87" t="s">
        <v>695</v>
      </c>
      <c r="D87" s="244">
        <v>237.36921399999997</v>
      </c>
      <c r="E87">
        <v>8118.0271187999997</v>
      </c>
      <c r="F87">
        <v>548940.99377325596</v>
      </c>
      <c r="G87">
        <v>0</v>
      </c>
      <c r="H87">
        <v>29224.897627679999</v>
      </c>
      <c r="I87">
        <v>578165.89140093594</v>
      </c>
      <c r="J87" t="str">
        <f t="shared" si="4"/>
        <v>Telstra FLEET Petrol post 04 NSW A</v>
      </c>
      <c r="K87" t="str">
        <f t="shared" si="4"/>
        <v>kL</v>
      </c>
      <c r="L87" t="str">
        <f t="shared" si="4"/>
        <v>A</v>
      </c>
      <c r="M87" s="21">
        <f t="shared" ref="M87:Q139" si="6">D87</f>
        <v>237.36921399999997</v>
      </c>
      <c r="N87" s="8">
        <f t="shared" si="6"/>
        <v>8118.0271187999997</v>
      </c>
      <c r="O87" s="8">
        <f t="shared" si="6"/>
        <v>548940.99377325596</v>
      </c>
      <c r="P87" s="8">
        <f t="shared" si="3"/>
        <v>0</v>
      </c>
      <c r="Q87" s="8">
        <f t="shared" si="3"/>
        <v>29224.897627679999</v>
      </c>
      <c r="R87" s="8">
        <f t="shared" si="5"/>
        <v>578165.89140093594</v>
      </c>
      <c r="S87" s="8" t="str">
        <f>VLOOKUP(J87,'GHG Factors FY21'!A:B,2,FALSE)</f>
        <v>Fleet</v>
      </c>
      <c r="T87" s="8" t="str">
        <f>VLOOKUP(ReformFY21[[#This Row],[Reporting Alias]],'Entities FY21'!B:B,1,FALSE)</f>
        <v>Telstra FLEET Petrol post 04 NSW A</v>
      </c>
    </row>
    <row r="88" spans="1:20">
      <c r="A88" t="s">
        <v>871</v>
      </c>
      <c r="B88" t="s">
        <v>787</v>
      </c>
      <c r="C88" t="s">
        <v>695</v>
      </c>
      <c r="D88" s="244">
        <v>6.8618399999999999</v>
      </c>
      <c r="E88">
        <v>234.67492800000002</v>
      </c>
      <c r="F88">
        <v>15868.718631360003</v>
      </c>
      <c r="G88">
        <v>0</v>
      </c>
      <c r="H88">
        <v>844.82974080000008</v>
      </c>
      <c r="I88">
        <v>16713.548372160003</v>
      </c>
      <c r="J88" t="str">
        <f t="shared" ref="J88:Q150" si="7">A88</f>
        <v>Telstra FLEET Petrol post 04 NT A</v>
      </c>
      <c r="K88" t="str">
        <f t="shared" si="7"/>
        <v>kL</v>
      </c>
      <c r="L88" t="str">
        <f t="shared" si="7"/>
        <v>A</v>
      </c>
      <c r="M88" s="21">
        <f t="shared" si="6"/>
        <v>6.8618399999999999</v>
      </c>
      <c r="N88" s="8">
        <f t="shared" si="6"/>
        <v>234.67492800000002</v>
      </c>
      <c r="O88" s="8">
        <f t="shared" si="6"/>
        <v>15868.718631360003</v>
      </c>
      <c r="P88" s="8">
        <f t="shared" si="3"/>
        <v>0</v>
      </c>
      <c r="Q88" s="8">
        <f t="shared" si="3"/>
        <v>844.82974080000008</v>
      </c>
      <c r="R88" s="8">
        <f t="shared" si="5"/>
        <v>16713.548372160003</v>
      </c>
      <c r="S88" s="8" t="str">
        <f>VLOOKUP(J88,'GHG Factors FY21'!A:B,2,FALSE)</f>
        <v>Fleet</v>
      </c>
      <c r="T88" s="8" t="str">
        <f>VLOOKUP(ReformFY21[[#This Row],[Reporting Alias]],'Entities FY21'!B:B,1,FALSE)</f>
        <v>Telstra FLEET Petrol post 04 NT A</v>
      </c>
    </row>
    <row r="89" spans="1:20">
      <c r="A89" t="s">
        <v>872</v>
      </c>
      <c r="B89" t="s">
        <v>787</v>
      </c>
      <c r="C89" t="s">
        <v>695</v>
      </c>
      <c r="D89" s="244">
        <v>99.741937000000007</v>
      </c>
      <c r="E89">
        <v>3411.1742454000005</v>
      </c>
      <c r="F89">
        <v>230663.60247394803</v>
      </c>
      <c r="G89">
        <v>0</v>
      </c>
      <c r="H89">
        <v>12280.227283440003</v>
      </c>
      <c r="I89">
        <v>242943.82975738804</v>
      </c>
      <c r="J89" t="str">
        <f t="shared" si="7"/>
        <v>Telstra FLEET Petrol post 04 QLD A</v>
      </c>
      <c r="K89" t="str">
        <f t="shared" si="7"/>
        <v>kL</v>
      </c>
      <c r="L89" t="str">
        <f t="shared" si="7"/>
        <v>A</v>
      </c>
      <c r="M89" s="21">
        <f t="shared" si="6"/>
        <v>99.741937000000007</v>
      </c>
      <c r="N89" s="8">
        <f t="shared" si="6"/>
        <v>3411.1742454000005</v>
      </c>
      <c r="O89" s="8">
        <f t="shared" si="6"/>
        <v>230663.60247394803</v>
      </c>
      <c r="P89" s="8">
        <f t="shared" si="3"/>
        <v>0</v>
      </c>
      <c r="Q89" s="8">
        <f t="shared" si="3"/>
        <v>12280.227283440003</v>
      </c>
      <c r="R89" s="8">
        <f t="shared" si="5"/>
        <v>242943.82975738804</v>
      </c>
      <c r="S89" s="8" t="str">
        <f>VLOOKUP(J89,'GHG Factors FY21'!A:B,2,FALSE)</f>
        <v>Fleet</v>
      </c>
      <c r="T89" s="8" t="str">
        <f>VLOOKUP(ReformFY21[[#This Row],[Reporting Alias]],'Entities FY21'!B:B,1,FALSE)</f>
        <v>Telstra FLEET Petrol post 04 QLD A</v>
      </c>
    </row>
    <row r="90" spans="1:20">
      <c r="A90" t="s">
        <v>873</v>
      </c>
      <c r="B90" t="s">
        <v>787</v>
      </c>
      <c r="C90" t="s">
        <v>695</v>
      </c>
      <c r="D90" s="244">
        <v>49.040910000000004</v>
      </c>
      <c r="E90">
        <v>1677.1991220000002</v>
      </c>
      <c r="F90">
        <v>113412.20462964002</v>
      </c>
      <c r="G90">
        <v>0</v>
      </c>
      <c r="H90">
        <v>6037.916839200001</v>
      </c>
      <c r="I90">
        <v>119450.12146884002</v>
      </c>
      <c r="J90" t="str">
        <f t="shared" si="7"/>
        <v>Telstra FLEET Petrol post 04 SA A</v>
      </c>
      <c r="K90" t="str">
        <f t="shared" si="7"/>
        <v>kL</v>
      </c>
      <c r="L90" t="str">
        <f t="shared" si="7"/>
        <v>A</v>
      </c>
      <c r="M90" s="21">
        <f t="shared" si="6"/>
        <v>49.040910000000004</v>
      </c>
      <c r="N90" s="8">
        <f t="shared" si="6"/>
        <v>1677.1991220000002</v>
      </c>
      <c r="O90" s="8">
        <f t="shared" si="6"/>
        <v>113412.20462964002</v>
      </c>
      <c r="P90" s="8">
        <f t="shared" si="3"/>
        <v>0</v>
      </c>
      <c r="Q90" s="8">
        <f t="shared" si="3"/>
        <v>6037.916839200001</v>
      </c>
      <c r="R90" s="8">
        <f t="shared" si="5"/>
        <v>119450.12146884002</v>
      </c>
      <c r="S90" s="8" t="str">
        <f>VLOOKUP(J90,'GHG Factors FY21'!A:B,2,FALSE)</f>
        <v>Fleet</v>
      </c>
      <c r="T90" s="8" t="str">
        <f>VLOOKUP(ReformFY21[[#This Row],[Reporting Alias]],'Entities FY21'!B:B,1,FALSE)</f>
        <v>Telstra FLEET Petrol post 04 SA A</v>
      </c>
    </row>
    <row r="91" spans="1:20">
      <c r="A91" t="s">
        <v>874</v>
      </c>
      <c r="B91" t="s">
        <v>787</v>
      </c>
      <c r="C91" t="s">
        <v>695</v>
      </c>
      <c r="D91" s="244">
        <v>22.046290000000003</v>
      </c>
      <c r="E91">
        <v>753.9831180000001</v>
      </c>
      <c r="F91">
        <v>50984.338439160012</v>
      </c>
      <c r="G91">
        <v>0</v>
      </c>
      <c r="H91">
        <v>2714.3392248000005</v>
      </c>
      <c r="I91">
        <v>53698.677663960014</v>
      </c>
      <c r="J91" t="str">
        <f t="shared" si="7"/>
        <v>Telstra FLEET Petrol post 04 TAS A</v>
      </c>
      <c r="K91" t="str">
        <f t="shared" si="7"/>
        <v>kL</v>
      </c>
      <c r="L91" t="str">
        <f t="shared" si="7"/>
        <v>A</v>
      </c>
      <c r="M91" s="21">
        <f t="shared" si="6"/>
        <v>22.046290000000003</v>
      </c>
      <c r="N91" s="8">
        <f t="shared" si="6"/>
        <v>753.9831180000001</v>
      </c>
      <c r="O91" s="8">
        <f t="shared" si="6"/>
        <v>50984.338439160012</v>
      </c>
      <c r="P91" s="8">
        <f t="shared" si="3"/>
        <v>0</v>
      </c>
      <c r="Q91" s="8">
        <f t="shared" si="3"/>
        <v>2714.3392248000005</v>
      </c>
      <c r="R91" s="8">
        <f t="shared" si="5"/>
        <v>53698.677663960014</v>
      </c>
      <c r="S91" s="8" t="str">
        <f>VLOOKUP(J91,'GHG Factors FY21'!A:B,2,FALSE)</f>
        <v>Fleet</v>
      </c>
      <c r="T91" s="8" t="str">
        <f>VLOOKUP(ReformFY21[[#This Row],[Reporting Alias]],'Entities FY21'!B:B,1,FALSE)</f>
        <v>Telstra FLEET Petrol post 04 TAS A</v>
      </c>
    </row>
    <row r="92" spans="1:20">
      <c r="A92" t="s">
        <v>875</v>
      </c>
      <c r="B92" t="s">
        <v>787</v>
      </c>
      <c r="C92" t="s">
        <v>695</v>
      </c>
      <c r="D92" s="244">
        <v>214.70667599999999</v>
      </c>
      <c r="E92">
        <v>7342.9683192000002</v>
      </c>
      <c r="F92">
        <v>496531.51774430403</v>
      </c>
      <c r="G92">
        <v>0</v>
      </c>
      <c r="H92">
        <v>26434.685949120001</v>
      </c>
      <c r="I92">
        <v>522966.203693424</v>
      </c>
      <c r="J92" t="str">
        <f t="shared" si="7"/>
        <v>Telstra FLEET Petrol post 04 VIC A</v>
      </c>
      <c r="K92" t="str">
        <f t="shared" si="7"/>
        <v>kL</v>
      </c>
      <c r="L92" t="str">
        <f t="shared" si="7"/>
        <v>A</v>
      </c>
      <c r="M92" s="21">
        <f t="shared" si="6"/>
        <v>214.70667599999999</v>
      </c>
      <c r="N92" s="8">
        <f t="shared" si="6"/>
        <v>7342.9683192000002</v>
      </c>
      <c r="O92" s="8">
        <f t="shared" si="6"/>
        <v>496531.51774430403</v>
      </c>
      <c r="P92" s="8">
        <f t="shared" si="3"/>
        <v>0</v>
      </c>
      <c r="Q92" s="8">
        <f t="shared" si="3"/>
        <v>26434.685949120001</v>
      </c>
      <c r="R92" s="8">
        <f t="shared" si="5"/>
        <v>522966.203693424</v>
      </c>
      <c r="S92" s="8" t="str">
        <f>VLOOKUP(J92,'GHG Factors FY21'!A:B,2,FALSE)</f>
        <v>Fleet</v>
      </c>
      <c r="T92" s="8" t="str">
        <f>VLOOKUP(ReformFY21[[#This Row],[Reporting Alias]],'Entities FY21'!B:B,1,FALSE)</f>
        <v>Telstra FLEET Petrol post 04 VIC A</v>
      </c>
    </row>
    <row r="93" spans="1:20">
      <c r="A93" t="s">
        <v>876</v>
      </c>
      <c r="B93" t="s">
        <v>787</v>
      </c>
      <c r="C93" t="s">
        <v>695</v>
      </c>
      <c r="D93" s="244">
        <v>50.174939999999999</v>
      </c>
      <c r="E93">
        <v>1715.9829480000001</v>
      </c>
      <c r="F93">
        <v>116034.76694376001</v>
      </c>
      <c r="G93">
        <v>0</v>
      </c>
      <c r="H93">
        <v>6177.5386128</v>
      </c>
      <c r="I93">
        <v>122212.30555656001</v>
      </c>
      <c r="J93" t="str">
        <f t="shared" si="7"/>
        <v>Telstra FLEET Petrol post 04 WA A</v>
      </c>
      <c r="K93" t="str">
        <f t="shared" si="7"/>
        <v>kL</v>
      </c>
      <c r="L93" t="str">
        <f t="shared" si="7"/>
        <v>A</v>
      </c>
      <c r="M93" s="21">
        <f>D93</f>
        <v>50.174939999999999</v>
      </c>
      <c r="N93" s="8">
        <f t="shared" si="6"/>
        <v>1715.9829480000001</v>
      </c>
      <c r="O93" s="8">
        <f t="shared" si="6"/>
        <v>116034.76694376001</v>
      </c>
      <c r="P93" s="8">
        <f t="shared" si="3"/>
        <v>0</v>
      </c>
      <c r="Q93" s="8">
        <f t="shared" si="3"/>
        <v>6177.5386128</v>
      </c>
      <c r="R93" s="8">
        <f t="shared" si="5"/>
        <v>122212.30555656001</v>
      </c>
      <c r="S93" s="8" t="str">
        <f>VLOOKUP(J93,'GHG Factors FY21'!A:B,2,FALSE)</f>
        <v>Fleet</v>
      </c>
      <c r="T93" s="8" t="str">
        <f>VLOOKUP(ReformFY21[[#This Row],[Reporting Alias]],'Entities FY21'!B:B,1,FALSE)</f>
        <v>Telstra FLEET Petrol post 04 WA A</v>
      </c>
    </row>
    <row r="94" spans="1:20">
      <c r="A94" t="s">
        <v>877</v>
      </c>
      <c r="B94" t="s">
        <v>787</v>
      </c>
      <c r="C94" t="s">
        <v>686</v>
      </c>
      <c r="D94" s="244">
        <v>56.253999999999998</v>
      </c>
      <c r="E94">
        <v>2171.4043999999999</v>
      </c>
      <c r="F94">
        <v>152432.58888</v>
      </c>
      <c r="G94">
        <v>0</v>
      </c>
      <c r="H94">
        <v>7817.05584</v>
      </c>
      <c r="I94">
        <v>160249.64471999998</v>
      </c>
      <c r="J94" t="str">
        <f t="shared" si="7"/>
        <v>Diesel Generators Data Centres NSW ST LEONARDS</v>
      </c>
      <c r="K94" t="str">
        <f t="shared" si="7"/>
        <v>kL</v>
      </c>
      <c r="L94" t="str">
        <f t="shared" si="7"/>
        <v>BBB</v>
      </c>
      <c r="M94" s="21">
        <f t="shared" si="6"/>
        <v>56.253999999999998</v>
      </c>
      <c r="N94" s="8">
        <f t="shared" si="6"/>
        <v>2171.4043999999999</v>
      </c>
      <c r="O94" s="8">
        <f t="shared" si="6"/>
        <v>152432.58888</v>
      </c>
      <c r="P94" s="8">
        <f t="shared" si="3"/>
        <v>0</v>
      </c>
      <c r="Q94" s="8">
        <f t="shared" si="3"/>
        <v>7817.05584</v>
      </c>
      <c r="R94" s="8">
        <f t="shared" si="5"/>
        <v>160249.64471999998</v>
      </c>
      <c r="S94" s="8" t="str">
        <f>VLOOKUP(J94,'GHG Factors FY21'!A:B,2,FALSE)</f>
        <v>Genset</v>
      </c>
      <c r="T94" s="8" t="str">
        <f>VLOOKUP(ReformFY21[[#This Row],[Reporting Alias]],'Entities FY21'!B:B,1,FALSE)</f>
        <v>Diesel Generators Data Centres NSW ST LEONARDS</v>
      </c>
    </row>
    <row r="95" spans="1:20">
      <c r="A95" t="s">
        <v>878</v>
      </c>
      <c r="B95" t="s">
        <v>787</v>
      </c>
      <c r="C95" t="s">
        <v>686</v>
      </c>
      <c r="D95" s="244">
        <v>28.414000000000001</v>
      </c>
      <c r="E95">
        <v>1096.7804000000001</v>
      </c>
      <c r="F95">
        <v>76993.984080000009</v>
      </c>
      <c r="G95">
        <v>0</v>
      </c>
      <c r="H95">
        <v>3948.4094400000004</v>
      </c>
      <c r="I95">
        <v>80942.393520000012</v>
      </c>
      <c r="J95" t="str">
        <f t="shared" si="7"/>
        <v>Diesel Generators Data Centres VIC CLAYTON</v>
      </c>
      <c r="K95" t="str">
        <f t="shared" si="7"/>
        <v>kL</v>
      </c>
      <c r="L95" t="str">
        <f t="shared" si="7"/>
        <v>BBB</v>
      </c>
      <c r="M95" s="21">
        <f t="shared" si="6"/>
        <v>28.414000000000001</v>
      </c>
      <c r="N95" s="8">
        <f t="shared" si="6"/>
        <v>1096.7804000000001</v>
      </c>
      <c r="O95" s="8">
        <f t="shared" si="6"/>
        <v>76993.984080000009</v>
      </c>
      <c r="P95" s="8">
        <f t="shared" si="3"/>
        <v>0</v>
      </c>
      <c r="Q95" s="8">
        <f t="shared" si="3"/>
        <v>3948.4094400000004</v>
      </c>
      <c r="R95" s="8">
        <f t="shared" si="5"/>
        <v>80942.393520000012</v>
      </c>
      <c r="S95" s="8" t="str">
        <f>VLOOKUP(J95,'GHG Factors FY21'!A:B,2,FALSE)</f>
        <v>Genset</v>
      </c>
      <c r="T95" s="8" t="str">
        <f>VLOOKUP(ReformFY21[[#This Row],[Reporting Alias]],'Entities FY21'!B:B,1,FALSE)</f>
        <v>Diesel Generators Data Centres VIC CLAYTON</v>
      </c>
    </row>
    <row r="96" spans="1:20">
      <c r="A96" t="s">
        <v>879</v>
      </c>
      <c r="B96" t="s">
        <v>787</v>
      </c>
      <c r="C96" t="s">
        <v>686</v>
      </c>
      <c r="D96" s="244">
        <v>0</v>
      </c>
      <c r="E96">
        <v>0</v>
      </c>
      <c r="F96">
        <v>0</v>
      </c>
      <c r="G96">
        <v>0</v>
      </c>
      <c r="H96">
        <v>0</v>
      </c>
      <c r="I96">
        <v>0</v>
      </c>
      <c r="J96" t="str">
        <f t="shared" si="7"/>
        <v>Diesel Generators Data Centres NSW</v>
      </c>
      <c r="K96" t="str">
        <f t="shared" si="7"/>
        <v>kL</v>
      </c>
      <c r="L96" t="str">
        <f t="shared" si="7"/>
        <v>BBB</v>
      </c>
      <c r="M96" s="21">
        <f t="shared" si="6"/>
        <v>0</v>
      </c>
      <c r="N96" s="8">
        <f t="shared" si="6"/>
        <v>0</v>
      </c>
      <c r="O96" s="8">
        <f t="shared" si="6"/>
        <v>0</v>
      </c>
      <c r="P96" s="8">
        <f t="shared" si="3"/>
        <v>0</v>
      </c>
      <c r="Q96" s="8">
        <f t="shared" si="3"/>
        <v>0</v>
      </c>
      <c r="R96" s="8">
        <f t="shared" si="5"/>
        <v>0</v>
      </c>
      <c r="S96" s="8" t="str">
        <f>VLOOKUP(J96,'GHG Factors FY21'!A:B,2,FALSE)</f>
        <v>Genset</v>
      </c>
      <c r="T96" s="8" t="str">
        <f>VLOOKUP(ReformFY21[[#This Row],[Reporting Alias]],'Entities FY21'!B:B,1,FALSE)</f>
        <v>Diesel Generators Data Centres NSW</v>
      </c>
    </row>
    <row r="97" spans="1:20">
      <c r="A97" t="s">
        <v>880</v>
      </c>
      <c r="B97" t="s">
        <v>787</v>
      </c>
      <c r="C97" t="s">
        <v>695</v>
      </c>
      <c r="D97" s="244">
        <v>3.38618</v>
      </c>
      <c r="E97">
        <v>130.706548</v>
      </c>
      <c r="F97">
        <v>9097.1757407999994</v>
      </c>
      <c r="G97">
        <v>0</v>
      </c>
      <c r="H97">
        <v>470.54357279999999</v>
      </c>
      <c r="I97">
        <v>9567.7193135999987</v>
      </c>
      <c r="J97" t="str">
        <f t="shared" si="7"/>
        <v>Stationary Diesel LeasePlan NSW</v>
      </c>
      <c r="K97" t="str">
        <f t="shared" si="7"/>
        <v>kL</v>
      </c>
      <c r="L97" t="str">
        <f t="shared" si="7"/>
        <v>A</v>
      </c>
      <c r="M97" s="5">
        <f t="shared" si="6"/>
        <v>3.38618</v>
      </c>
      <c r="N97" s="5">
        <f t="shared" si="6"/>
        <v>130.706548</v>
      </c>
      <c r="O97" s="5">
        <f t="shared" si="6"/>
        <v>9097.1757407999994</v>
      </c>
      <c r="P97" s="8">
        <f t="shared" si="3"/>
        <v>0</v>
      </c>
      <c r="Q97" s="8">
        <f t="shared" si="3"/>
        <v>470.54357279999999</v>
      </c>
      <c r="R97" s="8">
        <f t="shared" si="5"/>
        <v>9567.7193135999987</v>
      </c>
      <c r="S97" s="8" t="str">
        <f>VLOOKUP(J97,'GHG Factors FY21'!A:B,2,FALSE)</f>
        <v>Fleet Stationary</v>
      </c>
      <c r="T97" s="8" t="str">
        <f>VLOOKUP(ReformFY21[[#This Row],[Reporting Alias]],'Entities FY21'!B:B,1,FALSE)</f>
        <v>Stationary Diesel LeasePlan NSW</v>
      </c>
    </row>
    <row r="98" spans="1:20">
      <c r="A98" t="s">
        <v>881</v>
      </c>
      <c r="B98" t="s">
        <v>787</v>
      </c>
      <c r="C98" t="s">
        <v>695</v>
      </c>
      <c r="D98" s="244">
        <v>0</v>
      </c>
      <c r="E98">
        <v>0</v>
      </c>
      <c r="F98">
        <v>0</v>
      </c>
      <c r="G98">
        <v>0</v>
      </c>
      <c r="H98">
        <v>0</v>
      </c>
      <c r="I98">
        <v>0</v>
      </c>
      <c r="J98" t="str">
        <f t="shared" si="7"/>
        <v>Stationary Diesel LeasePlan NT</v>
      </c>
      <c r="K98" t="str">
        <f t="shared" si="7"/>
        <v>kL</v>
      </c>
      <c r="L98" t="str">
        <f t="shared" si="7"/>
        <v>A</v>
      </c>
      <c r="M98" s="5">
        <f t="shared" si="6"/>
        <v>0</v>
      </c>
      <c r="N98" s="5">
        <f t="shared" si="6"/>
        <v>0</v>
      </c>
      <c r="O98" s="5">
        <f t="shared" si="6"/>
        <v>0</v>
      </c>
      <c r="P98" s="8">
        <f t="shared" si="3"/>
        <v>0</v>
      </c>
      <c r="Q98" s="8">
        <f t="shared" si="3"/>
        <v>0</v>
      </c>
      <c r="R98" s="8">
        <f t="shared" si="5"/>
        <v>0</v>
      </c>
      <c r="S98" s="8" t="str">
        <f>VLOOKUP(J98,'GHG Factors FY21'!A:B,2,FALSE)</f>
        <v>Fleet Stationary</v>
      </c>
      <c r="T98" s="8" t="str">
        <f>VLOOKUP(ReformFY21[[#This Row],[Reporting Alias]],'Entities FY21'!B:B,1,FALSE)</f>
        <v>Stationary Diesel LeasePlan NT</v>
      </c>
    </row>
    <row r="99" spans="1:20">
      <c r="A99" t="s">
        <v>882</v>
      </c>
      <c r="B99" t="s">
        <v>787</v>
      </c>
      <c r="C99" t="s">
        <v>695</v>
      </c>
      <c r="D99" s="244">
        <v>65.845309999999998</v>
      </c>
      <c r="E99">
        <v>2541.6289660000002</v>
      </c>
      <c r="F99">
        <v>176897.37603360001</v>
      </c>
      <c r="G99">
        <v>0</v>
      </c>
      <c r="H99">
        <v>9149.8642776000015</v>
      </c>
      <c r="I99">
        <v>186047.2403112</v>
      </c>
      <c r="J99" t="str">
        <f t="shared" si="7"/>
        <v>Stationary Diesel LeasePlan QLD</v>
      </c>
      <c r="K99" t="str">
        <f t="shared" si="7"/>
        <v>kL</v>
      </c>
      <c r="L99" t="str">
        <f t="shared" si="7"/>
        <v>A</v>
      </c>
      <c r="M99" s="5">
        <f t="shared" si="6"/>
        <v>65.845309999999998</v>
      </c>
      <c r="N99" s="5">
        <f t="shared" si="6"/>
        <v>2541.6289660000002</v>
      </c>
      <c r="O99" s="5">
        <f t="shared" si="6"/>
        <v>176897.37603360001</v>
      </c>
      <c r="P99" s="8">
        <f t="shared" si="3"/>
        <v>0</v>
      </c>
      <c r="Q99" s="8">
        <f t="shared" si="3"/>
        <v>9149.8642776000015</v>
      </c>
      <c r="R99" s="8">
        <f t="shared" si="5"/>
        <v>186047.2403112</v>
      </c>
      <c r="S99" s="8" t="str">
        <f>VLOOKUP(J99,'GHG Factors FY21'!A:B,2,FALSE)</f>
        <v>Fleet Stationary</v>
      </c>
      <c r="T99" s="8" t="str">
        <f>VLOOKUP(ReformFY21[[#This Row],[Reporting Alias]],'Entities FY21'!B:B,1,FALSE)</f>
        <v>Stationary Diesel LeasePlan QLD</v>
      </c>
    </row>
    <row r="100" spans="1:20">
      <c r="A100" t="s">
        <v>883</v>
      </c>
      <c r="B100" t="s">
        <v>787</v>
      </c>
      <c r="C100" t="s">
        <v>695</v>
      </c>
      <c r="D100" s="244">
        <v>13.261990000000001</v>
      </c>
      <c r="E100">
        <v>511.91281400000003</v>
      </c>
      <c r="F100">
        <v>35629.131854400002</v>
      </c>
      <c r="G100">
        <v>0</v>
      </c>
      <c r="H100">
        <v>1842.8861304000002</v>
      </c>
      <c r="I100">
        <v>37472.017984800004</v>
      </c>
      <c r="J100" t="str">
        <f t="shared" si="7"/>
        <v>Stationary Diesel LeasePlan SA</v>
      </c>
      <c r="K100" t="str">
        <f t="shared" si="7"/>
        <v>kL</v>
      </c>
      <c r="L100" t="str">
        <f t="shared" si="7"/>
        <v>A</v>
      </c>
      <c r="M100" s="5">
        <f t="shared" si="6"/>
        <v>13.261990000000001</v>
      </c>
      <c r="N100" s="5">
        <f t="shared" si="6"/>
        <v>511.91281400000003</v>
      </c>
      <c r="O100" s="5">
        <f t="shared" si="6"/>
        <v>35629.131854400002</v>
      </c>
      <c r="P100" s="8">
        <f t="shared" si="3"/>
        <v>0</v>
      </c>
      <c r="Q100" s="8">
        <f t="shared" si="3"/>
        <v>1842.8861304000002</v>
      </c>
      <c r="R100" s="8">
        <f t="shared" si="5"/>
        <v>37472.017984800004</v>
      </c>
      <c r="S100" s="8" t="str">
        <f>VLOOKUP(J100,'GHG Factors FY21'!A:B,2,FALSE)</f>
        <v>Fleet Stationary</v>
      </c>
      <c r="T100" s="8" t="str">
        <f>VLOOKUP(ReformFY21[[#This Row],[Reporting Alias]],'Entities FY21'!B:B,1,FALSE)</f>
        <v>Stationary Diesel LeasePlan SA</v>
      </c>
    </row>
    <row r="101" spans="1:20">
      <c r="A101" t="s">
        <v>884</v>
      </c>
      <c r="B101" t="s">
        <v>787</v>
      </c>
      <c r="C101" t="s">
        <v>695</v>
      </c>
      <c r="D101" s="244">
        <v>2.8001900000000002</v>
      </c>
      <c r="E101">
        <v>108.08733400000001</v>
      </c>
      <c r="F101">
        <v>7522.8784464</v>
      </c>
      <c r="G101">
        <v>0</v>
      </c>
      <c r="H101">
        <v>389.11440240000007</v>
      </c>
      <c r="I101">
        <v>7911.9928488000005</v>
      </c>
      <c r="J101" t="str">
        <f t="shared" si="7"/>
        <v>Stationary Diesel LeasePlan TAS</v>
      </c>
      <c r="K101" t="str">
        <f t="shared" si="7"/>
        <v>kL</v>
      </c>
      <c r="L101" t="str">
        <f t="shared" si="7"/>
        <v>A</v>
      </c>
      <c r="M101" s="5">
        <f t="shared" si="6"/>
        <v>2.8001900000000002</v>
      </c>
      <c r="N101" s="5">
        <f t="shared" si="6"/>
        <v>108.08733400000001</v>
      </c>
      <c r="O101" s="5">
        <f t="shared" si="6"/>
        <v>7522.8784464</v>
      </c>
      <c r="P101" s="8">
        <f t="shared" si="3"/>
        <v>0</v>
      </c>
      <c r="Q101" s="8">
        <f t="shared" si="3"/>
        <v>389.11440240000007</v>
      </c>
      <c r="R101" s="8">
        <f t="shared" si="5"/>
        <v>7911.9928488000005</v>
      </c>
      <c r="S101" s="8" t="str">
        <f>VLOOKUP(J101,'GHG Factors FY21'!A:B,2,FALSE)</f>
        <v>Fleet Stationary</v>
      </c>
      <c r="T101" s="8" t="str">
        <f>VLOOKUP(ReformFY21[[#This Row],[Reporting Alias]],'Entities FY21'!B:B,1,FALSE)</f>
        <v>Stationary Diesel LeasePlan TAS</v>
      </c>
    </row>
    <row r="102" spans="1:20">
      <c r="A102" t="s">
        <v>885</v>
      </c>
      <c r="B102" t="s">
        <v>787</v>
      </c>
      <c r="C102" t="s">
        <v>695</v>
      </c>
      <c r="D102" s="244">
        <v>2.6652499999999999</v>
      </c>
      <c r="E102">
        <v>102.87864999999999</v>
      </c>
      <c r="F102">
        <v>7160.3540399999993</v>
      </c>
      <c r="G102">
        <v>0</v>
      </c>
      <c r="H102">
        <v>370.36313999999999</v>
      </c>
      <c r="I102">
        <v>7530.7171799999996</v>
      </c>
      <c r="J102" t="str">
        <f t="shared" si="7"/>
        <v>Stationary Diesel LeasePlan VIC</v>
      </c>
      <c r="K102" t="str">
        <f t="shared" si="7"/>
        <v>kL</v>
      </c>
      <c r="L102" t="str">
        <f t="shared" si="7"/>
        <v>A</v>
      </c>
      <c r="M102" s="5">
        <f t="shared" si="6"/>
        <v>2.6652499999999999</v>
      </c>
      <c r="N102" s="5">
        <f t="shared" si="6"/>
        <v>102.87864999999999</v>
      </c>
      <c r="O102" s="5">
        <f t="shared" si="6"/>
        <v>7160.3540399999993</v>
      </c>
      <c r="P102" s="8">
        <f t="shared" si="3"/>
        <v>0</v>
      </c>
      <c r="Q102" s="8">
        <f t="shared" si="3"/>
        <v>370.36313999999999</v>
      </c>
      <c r="R102" s="8">
        <f t="shared" si="5"/>
        <v>7530.7171799999996</v>
      </c>
      <c r="S102" s="8" t="str">
        <f>VLOOKUP(J102,'GHG Factors FY21'!A:B,2,FALSE)</f>
        <v>Fleet Stationary</v>
      </c>
      <c r="T102" s="8" t="str">
        <f>VLOOKUP(ReformFY21[[#This Row],[Reporting Alias]],'Entities FY21'!B:B,1,FALSE)</f>
        <v>Stationary Diesel LeasePlan VIC</v>
      </c>
    </row>
    <row r="103" spans="1:20">
      <c r="A103" t="s">
        <v>886</v>
      </c>
      <c r="B103" t="s">
        <v>787</v>
      </c>
      <c r="C103" t="s">
        <v>695</v>
      </c>
      <c r="D103" s="244">
        <v>6.4907999999999992</v>
      </c>
      <c r="E103">
        <v>250.54487999999998</v>
      </c>
      <c r="F103">
        <v>17437.923647999996</v>
      </c>
      <c r="G103">
        <v>0</v>
      </c>
      <c r="H103">
        <v>901.96156799999994</v>
      </c>
      <c r="I103">
        <v>18339.885215999995</v>
      </c>
      <c r="J103" t="str">
        <f t="shared" si="7"/>
        <v>Stationary Diesel LeasePlan WA</v>
      </c>
      <c r="K103" t="str">
        <f t="shared" si="7"/>
        <v>kL</v>
      </c>
      <c r="L103" t="str">
        <f t="shared" si="7"/>
        <v>A</v>
      </c>
      <c r="M103" s="5">
        <f t="shared" si="6"/>
        <v>6.4907999999999992</v>
      </c>
      <c r="N103" s="5">
        <f t="shared" si="6"/>
        <v>250.54487999999998</v>
      </c>
      <c r="O103" s="5">
        <f t="shared" si="6"/>
        <v>17437.923647999996</v>
      </c>
      <c r="P103" s="8">
        <f t="shared" si="3"/>
        <v>0</v>
      </c>
      <c r="Q103" s="8">
        <f t="shared" si="3"/>
        <v>901.96156799999994</v>
      </c>
      <c r="R103" s="8">
        <f t="shared" si="5"/>
        <v>18339.885215999995</v>
      </c>
      <c r="S103" s="8" t="str">
        <f>VLOOKUP(J103,'GHG Factors FY21'!A:B,2,FALSE)</f>
        <v>Fleet Stationary</v>
      </c>
      <c r="T103" s="8" t="str">
        <f>VLOOKUP(ReformFY21[[#This Row],[Reporting Alias]],'Entities FY21'!B:B,1,FALSE)</f>
        <v>Stationary Diesel LeasePlan WA</v>
      </c>
    </row>
    <row r="104" spans="1:20">
      <c r="A104" t="s">
        <v>887</v>
      </c>
      <c r="B104" t="s">
        <v>787</v>
      </c>
      <c r="C104" t="s">
        <v>695</v>
      </c>
      <c r="D104" s="244">
        <v>4.7020000000000013E-2</v>
      </c>
      <c r="E104">
        <v>1.1002680000000002</v>
      </c>
      <c r="F104">
        <v>76.578652800000015</v>
      </c>
      <c r="G104">
        <v>0</v>
      </c>
      <c r="H104">
        <v>0</v>
      </c>
      <c r="I104">
        <v>76.578652800000015</v>
      </c>
      <c r="J104" t="str">
        <f t="shared" si="7"/>
        <v>Stationary Ethanol LeasePlan QLD</v>
      </c>
      <c r="K104" t="str">
        <f t="shared" si="7"/>
        <v>kL</v>
      </c>
      <c r="L104" t="str">
        <f t="shared" si="7"/>
        <v>A</v>
      </c>
      <c r="M104" s="5">
        <f t="shared" si="6"/>
        <v>4.7020000000000013E-2</v>
      </c>
      <c r="N104" s="5">
        <f t="shared" si="6"/>
        <v>1.1002680000000002</v>
      </c>
      <c r="O104" s="5">
        <f t="shared" si="6"/>
        <v>76.578652800000015</v>
      </c>
      <c r="P104" s="8">
        <f t="shared" si="3"/>
        <v>0</v>
      </c>
      <c r="Q104" s="8">
        <f t="shared" si="3"/>
        <v>0</v>
      </c>
      <c r="R104" s="8">
        <f t="shared" si="5"/>
        <v>76.578652800000015</v>
      </c>
      <c r="S104" s="8" t="str">
        <f>VLOOKUP(J104,'GHG Factors FY21'!A:B,2,FALSE)</f>
        <v>Fleet Stationary</v>
      </c>
      <c r="T104" s="8" t="str">
        <f>VLOOKUP(ReformFY21[[#This Row],[Reporting Alias]],'Entities FY21'!B:B,1,FALSE)</f>
        <v>Stationary Ethanol LeasePlan QLD</v>
      </c>
    </row>
    <row r="105" spans="1:20">
      <c r="A105" t="s">
        <v>888</v>
      </c>
      <c r="B105" t="s">
        <v>787</v>
      </c>
      <c r="C105" t="s">
        <v>695</v>
      </c>
      <c r="D105" s="244">
        <v>0.100231</v>
      </c>
      <c r="E105">
        <v>3.4279002000000003</v>
      </c>
      <c r="F105">
        <v>238.58185392000001</v>
      </c>
      <c r="G105">
        <v>0</v>
      </c>
      <c r="H105">
        <v>12.340440720000002</v>
      </c>
      <c r="I105">
        <v>250.92229464000002</v>
      </c>
      <c r="J105" t="str">
        <f t="shared" si="7"/>
        <v>Stationary Petrol LeasePlan NSW</v>
      </c>
      <c r="K105" t="str">
        <f t="shared" si="7"/>
        <v>kL</v>
      </c>
      <c r="L105" t="str">
        <f t="shared" si="7"/>
        <v>A</v>
      </c>
      <c r="M105" s="5">
        <f t="shared" si="6"/>
        <v>0.100231</v>
      </c>
      <c r="N105" s="5">
        <f t="shared" si="6"/>
        <v>3.4279002000000003</v>
      </c>
      <c r="O105" s="5">
        <f t="shared" si="6"/>
        <v>238.58185392000001</v>
      </c>
      <c r="P105" s="8">
        <f t="shared" si="3"/>
        <v>0</v>
      </c>
      <c r="Q105" s="8">
        <f t="shared" si="3"/>
        <v>12.340440720000002</v>
      </c>
      <c r="R105" s="8">
        <f t="shared" si="5"/>
        <v>250.92229464000002</v>
      </c>
      <c r="S105" s="8" t="str">
        <f>VLOOKUP(J105,'GHG Factors FY21'!A:B,2,FALSE)</f>
        <v>Fleet Stationary</v>
      </c>
      <c r="T105" s="8" t="str">
        <f>VLOOKUP(ReformFY21[[#This Row],[Reporting Alias]],'Entities FY21'!B:B,1,FALSE)</f>
        <v>Stationary Petrol LeasePlan NSW</v>
      </c>
    </row>
    <row r="106" spans="1:20">
      <c r="A106" t="s">
        <v>889</v>
      </c>
      <c r="B106" t="s">
        <v>787</v>
      </c>
      <c r="C106" t="s">
        <v>695</v>
      </c>
      <c r="D106" s="244">
        <v>1.8675700000000002</v>
      </c>
      <c r="E106">
        <v>63.870894000000014</v>
      </c>
      <c r="F106">
        <v>4445.4142224000007</v>
      </c>
      <c r="G106">
        <v>0</v>
      </c>
      <c r="H106">
        <v>229.93521840000005</v>
      </c>
      <c r="I106">
        <v>4675.3494408000006</v>
      </c>
      <c r="J106" t="str">
        <f t="shared" si="7"/>
        <v>Stationary Petrol LeasePlan QLD</v>
      </c>
      <c r="K106" t="str">
        <f t="shared" si="7"/>
        <v>kL</v>
      </c>
      <c r="L106" t="str">
        <f t="shared" si="7"/>
        <v>A</v>
      </c>
      <c r="M106" s="5">
        <f t="shared" si="6"/>
        <v>1.8675700000000002</v>
      </c>
      <c r="N106" s="5">
        <f t="shared" si="6"/>
        <v>63.870894000000014</v>
      </c>
      <c r="O106" s="5">
        <f t="shared" si="6"/>
        <v>4445.4142224000007</v>
      </c>
      <c r="P106" s="8">
        <f t="shared" si="3"/>
        <v>0</v>
      </c>
      <c r="Q106" s="8">
        <f t="shared" si="3"/>
        <v>229.93521840000005</v>
      </c>
      <c r="R106" s="8">
        <f t="shared" si="5"/>
        <v>4675.3494408000006</v>
      </c>
      <c r="S106" s="8" t="str">
        <f>VLOOKUP(J106,'GHG Factors FY21'!A:B,2,FALSE)</f>
        <v>Fleet Stationary</v>
      </c>
      <c r="T106" s="8" t="str">
        <f>VLOOKUP(ReformFY21[[#This Row],[Reporting Alias]],'Entities FY21'!B:B,1,FALSE)</f>
        <v>Stationary Petrol LeasePlan QLD</v>
      </c>
    </row>
    <row r="107" spans="1:20">
      <c r="A107" t="s">
        <v>890</v>
      </c>
      <c r="B107" t="s">
        <v>787</v>
      </c>
      <c r="C107" t="s">
        <v>695</v>
      </c>
      <c r="D107" s="244">
        <v>5.8773400000000003E-2</v>
      </c>
      <c r="E107">
        <v>2.0100502800000002</v>
      </c>
      <c r="F107">
        <v>139.899499488</v>
      </c>
      <c r="G107">
        <v>0</v>
      </c>
      <c r="H107">
        <v>7.2361810080000009</v>
      </c>
      <c r="I107">
        <v>147.13568049599999</v>
      </c>
      <c r="J107" t="str">
        <f t="shared" si="7"/>
        <v>Stationary Petrol LeasePlan TAS</v>
      </c>
      <c r="K107" t="str">
        <f t="shared" si="7"/>
        <v>kL</v>
      </c>
      <c r="L107" t="str">
        <f t="shared" si="7"/>
        <v>A</v>
      </c>
      <c r="M107" s="5">
        <f t="shared" si="6"/>
        <v>5.8773400000000003E-2</v>
      </c>
      <c r="N107" s="5">
        <f t="shared" si="6"/>
        <v>2.0100502800000002</v>
      </c>
      <c r="O107" s="5">
        <f t="shared" si="6"/>
        <v>139.899499488</v>
      </c>
      <c r="P107" s="8">
        <f t="shared" si="3"/>
        <v>0</v>
      </c>
      <c r="Q107" s="8">
        <f t="shared" si="3"/>
        <v>7.2361810080000009</v>
      </c>
      <c r="R107" s="8">
        <f t="shared" si="5"/>
        <v>147.13568049599999</v>
      </c>
      <c r="S107" s="8" t="str">
        <f>VLOOKUP(J107,'GHG Factors FY21'!A:B,2,FALSE)</f>
        <v>Fleet Stationary</v>
      </c>
      <c r="T107" s="8" t="str">
        <f>VLOOKUP(ReformFY21[[#This Row],[Reporting Alias]],'Entities FY21'!B:B,1,FALSE)</f>
        <v>Stationary Petrol LeasePlan TAS</v>
      </c>
    </row>
    <row r="108" spans="1:20">
      <c r="A108" t="s">
        <v>891</v>
      </c>
      <c r="B108" t="s">
        <v>787</v>
      </c>
      <c r="C108" t="s">
        <v>695</v>
      </c>
      <c r="D108" s="244">
        <v>0.23545000000000002</v>
      </c>
      <c r="E108">
        <v>8.0523900000000008</v>
      </c>
      <c r="F108">
        <v>560.44634400000007</v>
      </c>
      <c r="G108">
        <v>0</v>
      </c>
      <c r="H108">
        <v>28.988604000000002</v>
      </c>
      <c r="I108">
        <v>589.43494800000008</v>
      </c>
      <c r="J108" t="str">
        <f t="shared" si="7"/>
        <v>Stationary Petrol LeasePlan VIC</v>
      </c>
      <c r="K108" t="str">
        <f t="shared" si="7"/>
        <v>kL</v>
      </c>
      <c r="L108" t="str">
        <f t="shared" si="7"/>
        <v>A</v>
      </c>
      <c r="M108" s="5">
        <f t="shared" si="6"/>
        <v>0.23545000000000002</v>
      </c>
      <c r="N108" s="5">
        <f t="shared" si="6"/>
        <v>8.0523900000000008</v>
      </c>
      <c r="O108" s="5">
        <f t="shared" si="6"/>
        <v>560.44634400000007</v>
      </c>
      <c r="P108" s="8">
        <f t="shared" si="6"/>
        <v>0</v>
      </c>
      <c r="Q108" s="8">
        <f t="shared" si="6"/>
        <v>28.988604000000002</v>
      </c>
      <c r="R108" s="8">
        <f t="shared" si="5"/>
        <v>589.43494800000008</v>
      </c>
      <c r="S108" s="8" t="str">
        <f>VLOOKUP(J108,'GHG Factors FY21'!A:B,2,FALSE)</f>
        <v>Fleet Stationary</v>
      </c>
      <c r="T108" s="8" t="str">
        <f>VLOOKUP(ReformFY21[[#This Row],[Reporting Alias]],'Entities FY21'!B:B,1,FALSE)</f>
        <v>Stationary Petrol LeasePlan VIC</v>
      </c>
    </row>
    <row r="109" spans="1:20">
      <c r="A109" t="s">
        <v>892</v>
      </c>
      <c r="B109" t="s">
        <v>787</v>
      </c>
      <c r="C109" t="s">
        <v>686</v>
      </c>
      <c r="D109" s="244">
        <v>9.9307329871008392</v>
      </c>
      <c r="E109">
        <v>383.32629330209238</v>
      </c>
      <c r="F109">
        <v>26909.505789806884</v>
      </c>
      <c r="G109">
        <v>0</v>
      </c>
      <c r="H109">
        <v>1379.9746558875327</v>
      </c>
      <c r="I109">
        <v>28289.480445694418</v>
      </c>
      <c r="J109" t="str">
        <f t="shared" si="7"/>
        <v>Diesel Generators Network Visionstream ACT</v>
      </c>
      <c r="K109" t="str">
        <f t="shared" si="7"/>
        <v>kL</v>
      </c>
      <c r="L109" t="str">
        <f t="shared" si="7"/>
        <v>BBB</v>
      </c>
      <c r="M109" s="21">
        <f t="shared" si="6"/>
        <v>9.9307329871008392</v>
      </c>
      <c r="N109" s="8">
        <f t="shared" si="6"/>
        <v>383.32629330209238</v>
      </c>
      <c r="O109" s="8">
        <f t="shared" si="6"/>
        <v>26909.505789806884</v>
      </c>
      <c r="P109" s="8">
        <f t="shared" si="6"/>
        <v>0</v>
      </c>
      <c r="Q109" s="8">
        <f t="shared" si="6"/>
        <v>1379.9746558875327</v>
      </c>
      <c r="R109" s="8">
        <f t="shared" si="5"/>
        <v>28289.480445694418</v>
      </c>
      <c r="S109" s="8" t="str">
        <f>VLOOKUP(J109,'GHG Factors FY21'!A:B,2,FALSE)</f>
        <v>Genset</v>
      </c>
      <c r="T109" s="8" t="str">
        <f>VLOOKUP(ReformFY21[[#This Row],[Reporting Alias]],'Entities FY21'!B:B,1,FALSE)</f>
        <v>Diesel Generators Network Visionstream ACT</v>
      </c>
    </row>
    <row r="110" spans="1:20">
      <c r="A110" t="s">
        <v>893</v>
      </c>
      <c r="B110" t="s">
        <v>787</v>
      </c>
      <c r="C110" t="s">
        <v>686</v>
      </c>
      <c r="D110" s="244">
        <v>451.15084051097512</v>
      </c>
      <c r="E110">
        <v>17414.422443723641</v>
      </c>
      <c r="F110">
        <v>1222492.4555493996</v>
      </c>
      <c r="G110">
        <v>0</v>
      </c>
      <c r="H110">
        <v>62691.92079740511</v>
      </c>
      <c r="I110">
        <v>1285184.3763468047</v>
      </c>
      <c r="J110" t="str">
        <f t="shared" si="7"/>
        <v>Diesel Generators Network Visionstream NSW</v>
      </c>
      <c r="K110" t="str">
        <f t="shared" si="7"/>
        <v>kL</v>
      </c>
      <c r="L110" t="str">
        <f t="shared" si="7"/>
        <v>BBB</v>
      </c>
      <c r="M110" s="21">
        <f t="shared" si="6"/>
        <v>451.15084051097512</v>
      </c>
      <c r="N110" s="8">
        <f t="shared" si="6"/>
        <v>17414.422443723641</v>
      </c>
      <c r="O110" s="8">
        <f t="shared" si="6"/>
        <v>1222492.4555493996</v>
      </c>
      <c r="P110" s="8">
        <f t="shared" si="6"/>
        <v>0</v>
      </c>
      <c r="Q110" s="8">
        <f t="shared" si="6"/>
        <v>62691.92079740511</v>
      </c>
      <c r="R110" s="8">
        <f t="shared" si="5"/>
        <v>1285184.3763468047</v>
      </c>
      <c r="S110" s="8" t="str">
        <f>VLOOKUP(J110,'GHG Factors FY21'!A:B,2,FALSE)</f>
        <v>Genset</v>
      </c>
      <c r="T110" s="8" t="str">
        <f>VLOOKUP(ReformFY21[[#This Row],[Reporting Alias]],'Entities FY21'!B:B,1,FALSE)</f>
        <v>Diesel Generators Network Visionstream NSW</v>
      </c>
    </row>
    <row r="111" spans="1:20">
      <c r="A111" t="s">
        <v>894</v>
      </c>
      <c r="B111" t="s">
        <v>787</v>
      </c>
      <c r="C111" t="s">
        <v>686</v>
      </c>
      <c r="D111" s="244">
        <v>16.273727671357694</v>
      </c>
      <c r="E111">
        <v>628.16588811440704</v>
      </c>
      <c r="F111">
        <v>44097.245345631374</v>
      </c>
      <c r="G111">
        <v>0</v>
      </c>
      <c r="H111">
        <v>2261.3971972118652</v>
      </c>
      <c r="I111">
        <v>46358.642542843241</v>
      </c>
      <c r="J111" t="str">
        <f t="shared" si="7"/>
        <v>Diesel Generators Network Visionstream NT</v>
      </c>
      <c r="K111" t="str">
        <f t="shared" si="7"/>
        <v>kL</v>
      </c>
      <c r="L111" t="str">
        <f t="shared" si="7"/>
        <v>BBB</v>
      </c>
      <c r="M111" s="21">
        <f t="shared" si="6"/>
        <v>16.273727671357694</v>
      </c>
      <c r="N111" s="8">
        <f t="shared" si="6"/>
        <v>628.16588811440704</v>
      </c>
      <c r="O111" s="8">
        <f t="shared" si="6"/>
        <v>44097.245345631374</v>
      </c>
      <c r="P111" s="8">
        <f t="shared" si="6"/>
        <v>0</v>
      </c>
      <c r="Q111" s="8">
        <f t="shared" si="6"/>
        <v>2261.3971972118652</v>
      </c>
      <c r="R111" s="8">
        <f t="shared" si="5"/>
        <v>46358.642542843241</v>
      </c>
      <c r="S111" s="8" t="str">
        <f>VLOOKUP(J111,'GHG Factors FY21'!A:B,2,FALSE)</f>
        <v>Genset</v>
      </c>
      <c r="T111" s="8" t="str">
        <f>VLOOKUP(ReformFY21[[#This Row],[Reporting Alias]],'Entities FY21'!B:B,1,FALSE)</f>
        <v>Diesel Generators Network Visionstream NT</v>
      </c>
    </row>
    <row r="112" spans="1:20">
      <c r="A112" t="s">
        <v>895</v>
      </c>
      <c r="B112" t="s">
        <v>787</v>
      </c>
      <c r="C112" t="s">
        <v>686</v>
      </c>
      <c r="D112" s="244">
        <v>123.66688665848372</v>
      </c>
      <c r="E112">
        <v>4773.5418250174716</v>
      </c>
      <c r="F112">
        <v>335102.63611622649</v>
      </c>
      <c r="G112">
        <v>0</v>
      </c>
      <c r="H112">
        <v>17184.750570062897</v>
      </c>
      <c r="I112">
        <v>352287.38668628939</v>
      </c>
      <c r="J112" t="str">
        <f t="shared" si="7"/>
        <v>Diesel Generators Network Visionstream QLD</v>
      </c>
      <c r="K112" t="str">
        <f t="shared" si="7"/>
        <v>kL</v>
      </c>
      <c r="L112" t="str">
        <f t="shared" si="7"/>
        <v>BBB</v>
      </c>
      <c r="M112" s="21">
        <f t="shared" si="6"/>
        <v>123.66688665848372</v>
      </c>
      <c r="N112" s="8">
        <f t="shared" si="6"/>
        <v>4773.5418250174716</v>
      </c>
      <c r="O112" s="8">
        <f t="shared" si="6"/>
        <v>335102.63611622649</v>
      </c>
      <c r="P112" s="8">
        <f t="shared" si="6"/>
        <v>0</v>
      </c>
      <c r="Q112" s="8">
        <f t="shared" si="6"/>
        <v>17184.750570062897</v>
      </c>
      <c r="R112" s="8">
        <f t="shared" si="5"/>
        <v>352287.38668628939</v>
      </c>
      <c r="S112" s="8" t="str">
        <f>VLOOKUP(J112,'GHG Factors FY21'!A:B,2,FALSE)</f>
        <v>Genset</v>
      </c>
      <c r="T112" s="8" t="str">
        <f>VLOOKUP(ReformFY21[[#This Row],[Reporting Alias]],'Entities FY21'!B:B,1,FALSE)</f>
        <v>Diesel Generators Network Visionstream QLD</v>
      </c>
    </row>
    <row r="113" spans="1:20">
      <c r="A113" t="s">
        <v>896</v>
      </c>
      <c r="B113" t="s">
        <v>787</v>
      </c>
      <c r="C113" t="s">
        <v>686</v>
      </c>
      <c r="D113" s="244">
        <v>37.967194291182167</v>
      </c>
      <c r="E113">
        <v>1465.5336996396318</v>
      </c>
      <c r="F113">
        <v>102880.46571470215</v>
      </c>
      <c r="G113">
        <v>0</v>
      </c>
      <c r="H113">
        <v>5275.9213187026744</v>
      </c>
      <c r="I113">
        <v>108156.38703340483</v>
      </c>
      <c r="J113" t="str">
        <f t="shared" si="7"/>
        <v>Diesel Generators Network Visionstream SA</v>
      </c>
      <c r="K113" t="str">
        <f t="shared" si="7"/>
        <v>kL</v>
      </c>
      <c r="L113" t="str">
        <f t="shared" si="7"/>
        <v>BBB</v>
      </c>
      <c r="M113" s="21">
        <f t="shared" si="6"/>
        <v>37.967194291182167</v>
      </c>
      <c r="N113" s="8">
        <f t="shared" si="6"/>
        <v>1465.5336996396318</v>
      </c>
      <c r="O113" s="8">
        <f t="shared" si="6"/>
        <v>102880.46571470215</v>
      </c>
      <c r="P113" s="8">
        <f t="shared" si="6"/>
        <v>0</v>
      </c>
      <c r="Q113" s="8">
        <f t="shared" si="6"/>
        <v>5275.9213187026744</v>
      </c>
      <c r="R113" s="8">
        <f t="shared" si="5"/>
        <v>108156.38703340483</v>
      </c>
      <c r="S113" s="8" t="str">
        <f>VLOOKUP(J113,'GHG Factors FY21'!A:B,2,FALSE)</f>
        <v>Genset</v>
      </c>
      <c r="T113" s="8" t="str">
        <f>VLOOKUP(ReformFY21[[#This Row],[Reporting Alias]],'Entities FY21'!B:B,1,FALSE)</f>
        <v>Diesel Generators Network Visionstream SA</v>
      </c>
    </row>
    <row r="114" spans="1:20">
      <c r="A114" t="s">
        <v>897</v>
      </c>
      <c r="B114" t="s">
        <v>787</v>
      </c>
      <c r="C114" t="s">
        <v>686</v>
      </c>
      <c r="D114" s="244">
        <v>20.250371753101401</v>
      </c>
      <c r="E114">
        <v>781.66434966971406</v>
      </c>
      <c r="F114">
        <v>54872.837346813933</v>
      </c>
      <c r="G114">
        <v>0</v>
      </c>
      <c r="H114">
        <v>2813.9916588109709</v>
      </c>
      <c r="I114">
        <v>57686.829005624902</v>
      </c>
      <c r="J114" t="str">
        <f t="shared" si="7"/>
        <v>Diesel Generators Network Visionstream TAS</v>
      </c>
      <c r="K114" t="str">
        <f t="shared" si="7"/>
        <v>kL</v>
      </c>
      <c r="L114" t="str">
        <f t="shared" si="7"/>
        <v>BBB</v>
      </c>
      <c r="M114" s="21">
        <f t="shared" si="6"/>
        <v>20.250371753101401</v>
      </c>
      <c r="N114" s="8">
        <f t="shared" si="6"/>
        <v>781.66434966971406</v>
      </c>
      <c r="O114" s="8">
        <f t="shared" si="6"/>
        <v>54872.837346813933</v>
      </c>
      <c r="P114" s="8">
        <f t="shared" si="6"/>
        <v>0</v>
      </c>
      <c r="Q114" s="8">
        <f t="shared" si="6"/>
        <v>2813.9916588109709</v>
      </c>
      <c r="R114" s="8">
        <f t="shared" si="5"/>
        <v>57686.829005624902</v>
      </c>
      <c r="S114" s="8" t="str">
        <f>VLOOKUP(J114,'GHG Factors FY21'!A:B,2,FALSE)</f>
        <v>Genset</v>
      </c>
      <c r="T114" s="8" t="str">
        <f>VLOOKUP(ReformFY21[[#This Row],[Reporting Alias]],'Entities FY21'!B:B,1,FALSE)</f>
        <v>Diesel Generators Network Visionstream TAS</v>
      </c>
    </row>
    <row r="115" spans="1:20">
      <c r="A115" t="s">
        <v>898</v>
      </c>
      <c r="B115" t="s">
        <v>787</v>
      </c>
      <c r="C115" t="s">
        <v>686</v>
      </c>
      <c r="D115" s="244">
        <v>253.1294340335063</v>
      </c>
      <c r="E115">
        <v>9770.7961536933435</v>
      </c>
      <c r="F115">
        <v>685909.88998927269</v>
      </c>
      <c r="G115">
        <v>0</v>
      </c>
      <c r="H115">
        <v>35174.86615329604</v>
      </c>
      <c r="I115">
        <v>721084.75614256877</v>
      </c>
      <c r="J115" t="str">
        <f t="shared" si="7"/>
        <v>Diesel Generators Network Visionstream VIC</v>
      </c>
      <c r="K115" t="str">
        <f t="shared" si="7"/>
        <v>kL</v>
      </c>
      <c r="L115" t="str">
        <f t="shared" si="7"/>
        <v>BBB</v>
      </c>
      <c r="M115" s="21">
        <f t="shared" si="6"/>
        <v>253.1294340335063</v>
      </c>
      <c r="N115" s="8">
        <f t="shared" si="6"/>
        <v>9770.7961536933435</v>
      </c>
      <c r="O115" s="8">
        <f t="shared" si="6"/>
        <v>685909.88998927269</v>
      </c>
      <c r="P115" s="8">
        <f t="shared" si="6"/>
        <v>0</v>
      </c>
      <c r="Q115" s="8">
        <f t="shared" si="6"/>
        <v>35174.86615329604</v>
      </c>
      <c r="R115" s="8">
        <f t="shared" si="5"/>
        <v>721084.75614256877</v>
      </c>
      <c r="S115" s="8" t="str">
        <f>VLOOKUP(J115,'GHG Factors FY21'!A:B,2,FALSE)</f>
        <v>Genset</v>
      </c>
      <c r="T115" s="8" t="str">
        <f>VLOOKUP(ReformFY21[[#This Row],[Reporting Alias]],'Entities FY21'!B:B,1,FALSE)</f>
        <v>Diesel Generators Network Visionstream VIC</v>
      </c>
    </row>
    <row r="116" spans="1:20">
      <c r="A116" t="s">
        <v>899</v>
      </c>
      <c r="B116" t="s">
        <v>787</v>
      </c>
      <c r="C116" t="s">
        <v>686</v>
      </c>
      <c r="D116" s="244">
        <v>176.37835832619746</v>
      </c>
      <c r="E116">
        <v>6808.2046313912224</v>
      </c>
      <c r="F116">
        <v>477935.96512366383</v>
      </c>
      <c r="G116">
        <v>0</v>
      </c>
      <c r="H116">
        <v>24509.536673008402</v>
      </c>
      <c r="I116">
        <v>502445.50179667224</v>
      </c>
      <c r="J116" t="str">
        <f t="shared" si="7"/>
        <v>Diesel Generators Network Visionstream WA</v>
      </c>
      <c r="K116" t="str">
        <f t="shared" si="7"/>
        <v>kL</v>
      </c>
      <c r="L116" t="str">
        <f t="shared" si="7"/>
        <v>BBB</v>
      </c>
      <c r="M116" s="21">
        <f t="shared" si="6"/>
        <v>176.37835832619746</v>
      </c>
      <c r="N116" s="8">
        <f t="shared" si="6"/>
        <v>6808.2046313912224</v>
      </c>
      <c r="O116" s="8">
        <f t="shared" si="6"/>
        <v>477935.96512366383</v>
      </c>
      <c r="P116" s="8">
        <f t="shared" si="6"/>
        <v>0</v>
      </c>
      <c r="Q116" s="8">
        <f t="shared" si="6"/>
        <v>24509.536673008402</v>
      </c>
      <c r="R116" s="8">
        <f t="shared" si="5"/>
        <v>502445.50179667224</v>
      </c>
      <c r="S116" s="8" t="str">
        <f>VLOOKUP(J116,'GHG Factors FY21'!A:B,2,FALSE)</f>
        <v>Genset</v>
      </c>
      <c r="T116" s="8" t="str">
        <f>VLOOKUP(ReformFY21[[#This Row],[Reporting Alias]],'Entities FY21'!B:B,1,FALSE)</f>
        <v>Diesel Generators Network Visionstream WA</v>
      </c>
    </row>
    <row r="117" spans="1:20">
      <c r="A117" t="s">
        <v>900</v>
      </c>
      <c r="B117" t="s">
        <v>787</v>
      </c>
      <c r="C117" t="s">
        <v>686</v>
      </c>
      <c r="D117" s="244">
        <v>0</v>
      </c>
      <c r="E117">
        <v>0</v>
      </c>
      <c r="F117">
        <v>0</v>
      </c>
      <c r="G117">
        <v>0</v>
      </c>
      <c r="H117">
        <v>0</v>
      </c>
      <c r="I117">
        <v>0</v>
      </c>
      <c r="J117" t="str">
        <f t="shared" si="7"/>
        <v>LPG Generators Network Visionstream ACT</v>
      </c>
      <c r="K117" t="str">
        <f t="shared" si="7"/>
        <v>kL</v>
      </c>
      <c r="L117" t="str">
        <f t="shared" si="7"/>
        <v>BBB</v>
      </c>
      <c r="M117" s="21">
        <f t="shared" si="6"/>
        <v>0</v>
      </c>
      <c r="N117" s="8">
        <f t="shared" si="6"/>
        <v>0</v>
      </c>
      <c r="O117" s="8">
        <f t="shared" si="6"/>
        <v>0</v>
      </c>
      <c r="P117" s="8">
        <f t="shared" si="6"/>
        <v>0</v>
      </c>
      <c r="Q117" s="8">
        <f t="shared" si="6"/>
        <v>0</v>
      </c>
      <c r="R117" s="8">
        <f t="shared" si="5"/>
        <v>0</v>
      </c>
      <c r="S117" s="8" t="str">
        <f>VLOOKUP(J117,'GHG Factors FY21'!A:B,2,FALSE)</f>
        <v>Genset</v>
      </c>
      <c r="T117" s="8" t="str">
        <f>VLOOKUP(ReformFY21[[#This Row],[Reporting Alias]],'Entities FY21'!B:B,1,FALSE)</f>
        <v>LPG Generators Network Visionstream ACT</v>
      </c>
    </row>
    <row r="118" spans="1:20">
      <c r="A118" t="s">
        <v>901</v>
      </c>
      <c r="B118" t="s">
        <v>787</v>
      </c>
      <c r="C118" t="s">
        <v>686</v>
      </c>
      <c r="D118" s="244">
        <v>0</v>
      </c>
      <c r="E118">
        <v>0</v>
      </c>
      <c r="F118">
        <v>0</v>
      </c>
      <c r="G118">
        <v>0</v>
      </c>
      <c r="H118">
        <v>0</v>
      </c>
      <c r="I118">
        <v>0</v>
      </c>
      <c r="J118" t="str">
        <f t="shared" si="7"/>
        <v>LPG Generators Network Visionstream NSW</v>
      </c>
      <c r="K118" t="str">
        <f t="shared" si="7"/>
        <v>kL</v>
      </c>
      <c r="L118" t="str">
        <f t="shared" si="7"/>
        <v>BBB</v>
      </c>
      <c r="M118" s="21">
        <f t="shared" si="6"/>
        <v>0</v>
      </c>
      <c r="N118" s="8">
        <f t="shared" si="6"/>
        <v>0</v>
      </c>
      <c r="O118" s="8">
        <f t="shared" si="6"/>
        <v>0</v>
      </c>
      <c r="P118" s="8">
        <f t="shared" si="6"/>
        <v>0</v>
      </c>
      <c r="Q118" s="8">
        <f t="shared" si="6"/>
        <v>0</v>
      </c>
      <c r="R118" s="8">
        <f t="shared" si="5"/>
        <v>0</v>
      </c>
      <c r="S118" s="8" t="str">
        <f>VLOOKUP(J118,'GHG Factors FY21'!A:B,2,FALSE)</f>
        <v>Genset</v>
      </c>
      <c r="T118" s="8" t="str">
        <f>VLOOKUP(ReformFY21[[#This Row],[Reporting Alias]],'Entities FY21'!B:B,1,FALSE)</f>
        <v>LPG Generators Network Visionstream NSW</v>
      </c>
    </row>
    <row r="119" spans="1:20">
      <c r="A119" t="s">
        <v>902</v>
      </c>
      <c r="B119" t="s">
        <v>787</v>
      </c>
      <c r="C119" t="s">
        <v>686</v>
      </c>
      <c r="D119" s="244">
        <v>0</v>
      </c>
      <c r="E119">
        <v>0</v>
      </c>
      <c r="F119">
        <v>0</v>
      </c>
      <c r="G119">
        <v>0</v>
      </c>
      <c r="H119">
        <v>0</v>
      </c>
      <c r="I119">
        <v>0</v>
      </c>
      <c r="J119" t="str">
        <f t="shared" si="7"/>
        <v>LPG Generators Network Visionstream VIC</v>
      </c>
      <c r="K119" t="str">
        <f t="shared" si="7"/>
        <v>kL</v>
      </c>
      <c r="L119" t="str">
        <f t="shared" si="7"/>
        <v>BBB</v>
      </c>
      <c r="M119" s="21">
        <f t="shared" si="6"/>
        <v>0</v>
      </c>
      <c r="N119" s="8">
        <f t="shared" si="6"/>
        <v>0</v>
      </c>
      <c r="O119" s="8">
        <f t="shared" si="6"/>
        <v>0</v>
      </c>
      <c r="P119" s="8">
        <f t="shared" si="6"/>
        <v>0</v>
      </c>
      <c r="Q119" s="8">
        <f t="shared" si="6"/>
        <v>0</v>
      </c>
      <c r="R119" s="8">
        <f t="shared" si="5"/>
        <v>0</v>
      </c>
      <c r="S119" s="8" t="str">
        <f>VLOOKUP(J119,'GHG Factors FY21'!A:B,2,FALSE)</f>
        <v>Genset</v>
      </c>
      <c r="T119" s="8" t="str">
        <f>VLOOKUP(ReformFY21[[#This Row],[Reporting Alias]],'Entities FY21'!B:B,1,FALSE)</f>
        <v>LPG Generators Network Visionstream VIC</v>
      </c>
    </row>
    <row r="120" spans="1:20">
      <c r="A120" t="s">
        <v>903</v>
      </c>
      <c r="B120" t="s">
        <v>787</v>
      </c>
      <c r="C120" t="s">
        <v>686</v>
      </c>
      <c r="D120" s="244">
        <v>0</v>
      </c>
      <c r="E120">
        <v>0</v>
      </c>
      <c r="F120">
        <v>0</v>
      </c>
      <c r="G120">
        <v>0</v>
      </c>
      <c r="H120">
        <v>0</v>
      </c>
      <c r="I120">
        <v>0</v>
      </c>
      <c r="J120" t="str">
        <f t="shared" si="7"/>
        <v>LPG Generators Network Visionstream QLD</v>
      </c>
      <c r="K120" t="str">
        <f t="shared" si="7"/>
        <v>kL</v>
      </c>
      <c r="L120" t="str">
        <f t="shared" si="7"/>
        <v>BBB</v>
      </c>
      <c r="M120" s="21">
        <f t="shared" si="6"/>
        <v>0</v>
      </c>
      <c r="N120" s="8">
        <f t="shared" si="6"/>
        <v>0</v>
      </c>
      <c r="O120" s="8">
        <f t="shared" si="6"/>
        <v>0</v>
      </c>
      <c r="P120" s="8">
        <f t="shared" si="6"/>
        <v>0</v>
      </c>
      <c r="Q120" s="8">
        <f t="shared" si="6"/>
        <v>0</v>
      </c>
      <c r="R120" s="8">
        <f t="shared" si="5"/>
        <v>0</v>
      </c>
      <c r="S120" s="8" t="str">
        <f>VLOOKUP(J120,'GHG Factors FY21'!A:B,2,FALSE)</f>
        <v>Genset</v>
      </c>
      <c r="T120" s="8" t="str">
        <f>VLOOKUP(ReformFY21[[#This Row],[Reporting Alias]],'Entities FY21'!B:B,1,FALSE)</f>
        <v>LPG Generators Network Visionstream QLD</v>
      </c>
    </row>
    <row r="121" spans="1:20">
      <c r="A121" t="s">
        <v>904</v>
      </c>
      <c r="B121" t="s">
        <v>787</v>
      </c>
      <c r="C121" t="s">
        <v>686</v>
      </c>
      <c r="D121" s="244">
        <v>0</v>
      </c>
      <c r="E121">
        <v>0</v>
      </c>
      <c r="F121">
        <v>0</v>
      </c>
      <c r="G121">
        <v>0</v>
      </c>
      <c r="H121">
        <v>0</v>
      </c>
      <c r="I121">
        <v>0</v>
      </c>
      <c r="J121" t="str">
        <f t="shared" si="7"/>
        <v>LPG Generators Network Visionstream WA</v>
      </c>
      <c r="K121" t="str">
        <f t="shared" si="7"/>
        <v>kL</v>
      </c>
      <c r="L121" t="str">
        <f t="shared" si="7"/>
        <v>BBB</v>
      </c>
      <c r="M121" s="21">
        <f t="shared" si="6"/>
        <v>0</v>
      </c>
      <c r="N121" s="8">
        <f t="shared" si="6"/>
        <v>0</v>
      </c>
      <c r="O121" s="8">
        <f t="shared" si="6"/>
        <v>0</v>
      </c>
      <c r="P121" s="8">
        <f t="shared" si="6"/>
        <v>0</v>
      </c>
      <c r="Q121" s="8">
        <f t="shared" si="6"/>
        <v>0</v>
      </c>
      <c r="R121" s="8">
        <f t="shared" si="5"/>
        <v>0</v>
      </c>
      <c r="S121" s="8" t="str">
        <f>VLOOKUP(J121,'GHG Factors FY21'!A:B,2,FALSE)</f>
        <v>Genset</v>
      </c>
      <c r="T121" s="8" t="str">
        <f>VLOOKUP(ReformFY21[[#This Row],[Reporting Alias]],'Entities FY21'!B:B,1,FALSE)</f>
        <v>LPG Generators Network Visionstream WA</v>
      </c>
    </row>
    <row r="122" spans="1:20">
      <c r="A122" t="s">
        <v>905</v>
      </c>
      <c r="B122" t="s">
        <v>787</v>
      </c>
      <c r="C122" t="s">
        <v>686</v>
      </c>
      <c r="D122" s="244">
        <v>0</v>
      </c>
      <c r="E122">
        <v>0</v>
      </c>
      <c r="F122">
        <v>0</v>
      </c>
      <c r="G122">
        <v>0</v>
      </c>
      <c r="H122">
        <v>0</v>
      </c>
      <c r="I122">
        <v>0</v>
      </c>
      <c r="J122" t="str">
        <f t="shared" si="7"/>
        <v>LPG Generators Network Visionstream SA</v>
      </c>
      <c r="K122" t="str">
        <f t="shared" si="7"/>
        <v>kL</v>
      </c>
      <c r="L122" t="str">
        <f t="shared" si="7"/>
        <v>BBB</v>
      </c>
      <c r="M122" s="21">
        <f t="shared" si="6"/>
        <v>0</v>
      </c>
      <c r="N122" s="8">
        <f t="shared" si="6"/>
        <v>0</v>
      </c>
      <c r="O122" s="8">
        <f t="shared" si="6"/>
        <v>0</v>
      </c>
      <c r="P122" s="8">
        <f t="shared" si="6"/>
        <v>0</v>
      </c>
      <c r="Q122" s="8">
        <f t="shared" si="6"/>
        <v>0</v>
      </c>
      <c r="R122" s="8">
        <f t="shared" si="5"/>
        <v>0</v>
      </c>
      <c r="S122" s="8" t="str">
        <f>VLOOKUP(J122,'GHG Factors FY21'!A:B,2,FALSE)</f>
        <v>Genset</v>
      </c>
      <c r="T122" s="8" t="str">
        <f>VLOOKUP(ReformFY21[[#This Row],[Reporting Alias]],'Entities FY21'!B:B,1,FALSE)</f>
        <v>LPG Generators Network Visionstream SA</v>
      </c>
    </row>
    <row r="123" spans="1:20">
      <c r="A123" t="s">
        <v>906</v>
      </c>
      <c r="B123" t="s">
        <v>787</v>
      </c>
      <c r="C123" t="s">
        <v>686</v>
      </c>
      <c r="D123" s="244">
        <v>0</v>
      </c>
      <c r="E123">
        <v>0</v>
      </c>
      <c r="F123">
        <v>0</v>
      </c>
      <c r="G123">
        <v>0</v>
      </c>
      <c r="H123">
        <v>0</v>
      </c>
      <c r="I123">
        <v>0</v>
      </c>
      <c r="J123" t="str">
        <f t="shared" si="7"/>
        <v>LPG Generators Network Visionstream TAS</v>
      </c>
      <c r="K123" t="str">
        <f t="shared" si="7"/>
        <v>kL</v>
      </c>
      <c r="L123" t="str">
        <f t="shared" si="7"/>
        <v>BBB</v>
      </c>
      <c r="M123" s="21">
        <f t="shared" si="6"/>
        <v>0</v>
      </c>
      <c r="N123" s="8">
        <f t="shared" si="6"/>
        <v>0</v>
      </c>
      <c r="O123" s="8">
        <f t="shared" si="6"/>
        <v>0</v>
      </c>
      <c r="P123" s="8">
        <f t="shared" si="6"/>
        <v>0</v>
      </c>
      <c r="Q123" s="8">
        <f t="shared" si="6"/>
        <v>0</v>
      </c>
      <c r="R123" s="8">
        <f t="shared" si="5"/>
        <v>0</v>
      </c>
      <c r="S123" s="8" t="str">
        <f>VLOOKUP(J123,'GHG Factors FY21'!A:B,2,FALSE)</f>
        <v>Genset</v>
      </c>
      <c r="T123" s="8" t="str">
        <f>VLOOKUP(ReformFY21[[#This Row],[Reporting Alias]],'Entities FY21'!B:B,1,FALSE)</f>
        <v>LPG Generators Network Visionstream TAS</v>
      </c>
    </row>
    <row r="124" spans="1:20">
      <c r="A124" t="s">
        <v>907</v>
      </c>
      <c r="B124" t="s">
        <v>787</v>
      </c>
      <c r="C124" t="s">
        <v>686</v>
      </c>
      <c r="D124" s="244">
        <v>0</v>
      </c>
      <c r="E124">
        <v>0</v>
      </c>
      <c r="F124">
        <v>0</v>
      </c>
      <c r="G124">
        <v>0</v>
      </c>
      <c r="H124">
        <v>0</v>
      </c>
      <c r="I124">
        <v>0</v>
      </c>
      <c r="J124" t="str">
        <f t="shared" si="7"/>
        <v>LPG Generators Network Visionstream NT</v>
      </c>
      <c r="K124" t="str">
        <f t="shared" si="7"/>
        <v>kL</v>
      </c>
      <c r="L124" t="str">
        <f t="shared" si="7"/>
        <v>BBB</v>
      </c>
      <c r="M124" s="21">
        <f t="shared" si="6"/>
        <v>0</v>
      </c>
      <c r="N124" s="8">
        <f t="shared" si="6"/>
        <v>0</v>
      </c>
      <c r="O124" s="8">
        <f t="shared" si="6"/>
        <v>0</v>
      </c>
      <c r="P124" s="8">
        <f t="shared" si="6"/>
        <v>0</v>
      </c>
      <c r="Q124" s="8">
        <f t="shared" si="6"/>
        <v>0</v>
      </c>
      <c r="R124" s="8">
        <f t="shared" si="5"/>
        <v>0</v>
      </c>
      <c r="S124" s="8" t="str">
        <f>VLOOKUP(J124,'GHG Factors FY21'!A:B,2,FALSE)</f>
        <v>Genset</v>
      </c>
      <c r="T124" s="8" t="str">
        <f>VLOOKUP(ReformFY21[[#This Row],[Reporting Alias]],'Entities FY21'!B:B,1,FALSE)</f>
        <v>LPG Generators Network Visionstream NT</v>
      </c>
    </row>
    <row r="125" spans="1:20">
      <c r="A125" t="s">
        <v>908</v>
      </c>
      <c r="B125" t="s">
        <v>787</v>
      </c>
      <c r="C125" t="s">
        <v>686</v>
      </c>
      <c r="D125" s="244">
        <v>0</v>
      </c>
      <c r="E125">
        <v>0</v>
      </c>
      <c r="F125">
        <v>0</v>
      </c>
      <c r="G125">
        <v>0</v>
      </c>
      <c r="H125">
        <v>0</v>
      </c>
      <c r="I125">
        <v>0</v>
      </c>
      <c r="J125" t="str">
        <f t="shared" si="7"/>
        <v>Petrol Generators Network Visionstream ACT</v>
      </c>
      <c r="K125" t="str">
        <f t="shared" si="7"/>
        <v>kL</v>
      </c>
      <c r="L125" t="str">
        <f t="shared" si="7"/>
        <v>BBB</v>
      </c>
      <c r="M125" s="21">
        <f t="shared" si="6"/>
        <v>0</v>
      </c>
      <c r="N125" s="8">
        <f t="shared" si="6"/>
        <v>0</v>
      </c>
      <c r="O125" s="8">
        <f t="shared" si="6"/>
        <v>0</v>
      </c>
      <c r="P125" s="8">
        <f t="shared" si="6"/>
        <v>0</v>
      </c>
      <c r="Q125" s="8">
        <f t="shared" si="6"/>
        <v>0</v>
      </c>
      <c r="R125" s="8">
        <f t="shared" si="5"/>
        <v>0</v>
      </c>
      <c r="S125" s="8" t="str">
        <f>VLOOKUP(J125,'GHG Factors FY21'!A:B,2,FALSE)</f>
        <v>Genset</v>
      </c>
      <c r="T125" s="8" t="str">
        <f>VLOOKUP(ReformFY21[[#This Row],[Reporting Alias]],'Entities FY21'!B:B,1,FALSE)</f>
        <v>Petrol Generators Network Visionstream ACT</v>
      </c>
    </row>
    <row r="126" spans="1:20">
      <c r="A126" t="s">
        <v>909</v>
      </c>
      <c r="B126" t="s">
        <v>787</v>
      </c>
      <c r="C126" t="s">
        <v>686</v>
      </c>
      <c r="D126" s="244">
        <v>0</v>
      </c>
      <c r="E126">
        <v>0</v>
      </c>
      <c r="F126">
        <v>0</v>
      </c>
      <c r="G126">
        <v>0</v>
      </c>
      <c r="H126">
        <v>0</v>
      </c>
      <c r="I126">
        <v>0</v>
      </c>
      <c r="J126" t="str">
        <f t="shared" si="7"/>
        <v>Petrol Generators Network Visionstream NSW</v>
      </c>
      <c r="K126" t="str">
        <f t="shared" si="7"/>
        <v>kL</v>
      </c>
      <c r="L126" t="str">
        <f t="shared" si="7"/>
        <v>BBB</v>
      </c>
      <c r="M126" s="21">
        <f t="shared" si="6"/>
        <v>0</v>
      </c>
      <c r="N126" s="8">
        <f t="shared" si="6"/>
        <v>0</v>
      </c>
      <c r="O126" s="8">
        <f t="shared" si="6"/>
        <v>0</v>
      </c>
      <c r="P126" s="8">
        <f t="shared" si="6"/>
        <v>0</v>
      </c>
      <c r="Q126" s="8">
        <f t="shared" si="6"/>
        <v>0</v>
      </c>
      <c r="R126" s="8">
        <f t="shared" si="5"/>
        <v>0</v>
      </c>
      <c r="S126" s="8" t="str">
        <f>VLOOKUP(J126,'GHG Factors FY21'!A:B,2,FALSE)</f>
        <v>Genset</v>
      </c>
      <c r="T126" s="8" t="str">
        <f>VLOOKUP(ReformFY21[[#This Row],[Reporting Alias]],'Entities FY21'!B:B,1,FALSE)</f>
        <v>Petrol Generators Network Visionstream NSW</v>
      </c>
    </row>
    <row r="127" spans="1:20">
      <c r="A127" t="s">
        <v>910</v>
      </c>
      <c r="B127" t="s">
        <v>787</v>
      </c>
      <c r="C127" t="s">
        <v>686</v>
      </c>
      <c r="D127" s="244">
        <v>0</v>
      </c>
      <c r="E127">
        <v>0</v>
      </c>
      <c r="F127">
        <v>0</v>
      </c>
      <c r="G127">
        <v>0</v>
      </c>
      <c r="H127">
        <v>0</v>
      </c>
      <c r="I127">
        <v>0</v>
      </c>
      <c r="J127" t="str">
        <f t="shared" si="7"/>
        <v>Petrol Generators Network Visionstream NT</v>
      </c>
      <c r="K127" t="str">
        <f t="shared" si="7"/>
        <v>kL</v>
      </c>
      <c r="L127" t="str">
        <f t="shared" si="7"/>
        <v>BBB</v>
      </c>
      <c r="M127" s="21">
        <f t="shared" si="6"/>
        <v>0</v>
      </c>
      <c r="N127" s="8">
        <f t="shared" si="6"/>
        <v>0</v>
      </c>
      <c r="O127" s="8">
        <f t="shared" si="6"/>
        <v>0</v>
      </c>
      <c r="P127" s="8">
        <f t="shared" si="6"/>
        <v>0</v>
      </c>
      <c r="Q127" s="8">
        <f t="shared" si="6"/>
        <v>0</v>
      </c>
      <c r="R127" s="8">
        <f t="shared" si="5"/>
        <v>0</v>
      </c>
      <c r="S127" s="8" t="str">
        <f>VLOOKUP(J127,'GHG Factors FY21'!A:B,2,FALSE)</f>
        <v>Genset</v>
      </c>
      <c r="T127" s="8" t="str">
        <f>VLOOKUP(ReformFY21[[#This Row],[Reporting Alias]],'Entities FY21'!B:B,1,FALSE)</f>
        <v>Petrol Generators Network Visionstream NT</v>
      </c>
    </row>
    <row r="128" spans="1:20">
      <c r="A128" t="s">
        <v>911</v>
      </c>
      <c r="B128" t="s">
        <v>787</v>
      </c>
      <c r="C128" t="s">
        <v>686</v>
      </c>
      <c r="D128" s="244">
        <v>0</v>
      </c>
      <c r="E128">
        <v>0</v>
      </c>
      <c r="F128">
        <v>0</v>
      </c>
      <c r="G128">
        <v>0</v>
      </c>
      <c r="H128">
        <v>0</v>
      </c>
      <c r="I128">
        <v>0</v>
      </c>
      <c r="J128" t="str">
        <f t="shared" si="7"/>
        <v>Petrol Generators Network Visionstream QLD</v>
      </c>
      <c r="K128" t="str">
        <f t="shared" si="7"/>
        <v>kL</v>
      </c>
      <c r="L128" t="str">
        <f t="shared" si="7"/>
        <v>BBB</v>
      </c>
      <c r="M128" s="21">
        <f t="shared" si="6"/>
        <v>0</v>
      </c>
      <c r="N128" s="8">
        <f t="shared" si="6"/>
        <v>0</v>
      </c>
      <c r="O128" s="8">
        <f t="shared" si="6"/>
        <v>0</v>
      </c>
      <c r="P128" s="8">
        <f t="shared" si="6"/>
        <v>0</v>
      </c>
      <c r="Q128" s="8">
        <f t="shared" si="6"/>
        <v>0</v>
      </c>
      <c r="R128" s="8">
        <f t="shared" si="5"/>
        <v>0</v>
      </c>
      <c r="S128" s="8" t="str">
        <f>VLOOKUP(J128,'GHG Factors FY21'!A:B,2,FALSE)</f>
        <v>Genset</v>
      </c>
      <c r="T128" s="8" t="str">
        <f>VLOOKUP(ReformFY21[[#This Row],[Reporting Alias]],'Entities FY21'!B:B,1,FALSE)</f>
        <v>Petrol Generators Network Visionstream QLD</v>
      </c>
    </row>
    <row r="129" spans="1:20">
      <c r="A129" t="s">
        <v>912</v>
      </c>
      <c r="B129" t="s">
        <v>787</v>
      </c>
      <c r="C129" t="s">
        <v>686</v>
      </c>
      <c r="D129" s="244">
        <v>0</v>
      </c>
      <c r="E129">
        <v>0</v>
      </c>
      <c r="F129">
        <v>0</v>
      </c>
      <c r="G129">
        <v>0</v>
      </c>
      <c r="H129">
        <v>0</v>
      </c>
      <c r="I129">
        <v>0</v>
      </c>
      <c r="J129" t="str">
        <f t="shared" si="7"/>
        <v>Petrol Generators Network Visionstream SA</v>
      </c>
      <c r="K129" t="str">
        <f t="shared" si="7"/>
        <v>kL</v>
      </c>
      <c r="L129" t="str">
        <f t="shared" si="7"/>
        <v>BBB</v>
      </c>
      <c r="M129" s="21">
        <f t="shared" si="6"/>
        <v>0</v>
      </c>
      <c r="N129" s="8">
        <f t="shared" si="6"/>
        <v>0</v>
      </c>
      <c r="O129" s="8">
        <f t="shared" si="6"/>
        <v>0</v>
      </c>
      <c r="P129" s="8">
        <f t="shared" si="6"/>
        <v>0</v>
      </c>
      <c r="Q129" s="8">
        <f t="shared" si="6"/>
        <v>0</v>
      </c>
      <c r="R129" s="8">
        <f t="shared" si="5"/>
        <v>0</v>
      </c>
      <c r="S129" s="8" t="str">
        <f>VLOOKUP(J129,'GHG Factors FY21'!A:B,2,FALSE)</f>
        <v>Genset</v>
      </c>
      <c r="T129" s="8" t="str">
        <f>VLOOKUP(ReformFY21[[#This Row],[Reporting Alias]],'Entities FY21'!B:B,1,FALSE)</f>
        <v>Petrol Generators Network Visionstream SA</v>
      </c>
    </row>
    <row r="130" spans="1:20">
      <c r="A130" t="s">
        <v>913</v>
      </c>
      <c r="B130" t="s">
        <v>787</v>
      </c>
      <c r="C130" t="s">
        <v>686</v>
      </c>
      <c r="D130" s="244">
        <v>0</v>
      </c>
      <c r="E130">
        <v>0</v>
      </c>
      <c r="F130">
        <v>0</v>
      </c>
      <c r="G130">
        <v>0</v>
      </c>
      <c r="H130">
        <v>0</v>
      </c>
      <c r="I130">
        <v>0</v>
      </c>
      <c r="J130" t="str">
        <f t="shared" si="7"/>
        <v>Petrol Generators Network Visionstream TAS</v>
      </c>
      <c r="K130" t="str">
        <f t="shared" si="7"/>
        <v>kL</v>
      </c>
      <c r="L130" t="str">
        <f t="shared" si="7"/>
        <v>BBB</v>
      </c>
      <c r="M130" s="21">
        <f t="shared" si="6"/>
        <v>0</v>
      </c>
      <c r="N130" s="8">
        <f t="shared" si="6"/>
        <v>0</v>
      </c>
      <c r="O130" s="8">
        <f t="shared" si="6"/>
        <v>0</v>
      </c>
      <c r="P130" s="8">
        <f t="shared" si="6"/>
        <v>0</v>
      </c>
      <c r="Q130" s="8">
        <f t="shared" si="6"/>
        <v>0</v>
      </c>
      <c r="R130" s="8">
        <f t="shared" si="5"/>
        <v>0</v>
      </c>
      <c r="S130" s="8" t="str">
        <f>VLOOKUP(J130,'GHG Factors FY21'!A:B,2,FALSE)</f>
        <v>Genset</v>
      </c>
      <c r="T130" s="8" t="str">
        <f>VLOOKUP(ReformFY21[[#This Row],[Reporting Alias]],'Entities FY21'!B:B,1,FALSE)</f>
        <v>Petrol Generators Network Visionstream TAS</v>
      </c>
    </row>
    <row r="131" spans="1:20">
      <c r="A131" t="s">
        <v>914</v>
      </c>
      <c r="B131" t="s">
        <v>787</v>
      </c>
      <c r="C131" t="s">
        <v>686</v>
      </c>
      <c r="D131" s="244">
        <v>0</v>
      </c>
      <c r="E131">
        <v>0</v>
      </c>
      <c r="F131">
        <v>0</v>
      </c>
      <c r="G131">
        <v>0</v>
      </c>
      <c r="H131">
        <v>0</v>
      </c>
      <c r="I131">
        <v>0</v>
      </c>
      <c r="J131" t="str">
        <f t="shared" si="7"/>
        <v>Petrol Generators Network Visionstream VIC</v>
      </c>
      <c r="K131" t="str">
        <f t="shared" si="7"/>
        <v>kL</v>
      </c>
      <c r="L131" t="str">
        <f t="shared" si="7"/>
        <v>BBB</v>
      </c>
      <c r="M131" s="21">
        <f t="shared" si="6"/>
        <v>0</v>
      </c>
      <c r="N131" s="8">
        <f t="shared" si="6"/>
        <v>0</v>
      </c>
      <c r="O131" s="8">
        <f t="shared" si="6"/>
        <v>0</v>
      </c>
      <c r="P131" s="8">
        <f t="shared" si="6"/>
        <v>0</v>
      </c>
      <c r="Q131" s="8">
        <f t="shared" si="6"/>
        <v>0</v>
      </c>
      <c r="R131" s="8">
        <f t="shared" ref="R131:R194" si="8">I131</f>
        <v>0</v>
      </c>
      <c r="S131" s="8" t="str">
        <f>VLOOKUP(J131,'GHG Factors FY21'!A:B,2,FALSE)</f>
        <v>Genset</v>
      </c>
      <c r="T131" s="8" t="str">
        <f>VLOOKUP(ReformFY21[[#This Row],[Reporting Alias]],'Entities FY21'!B:B,1,FALSE)</f>
        <v>Petrol Generators Network Visionstream VIC</v>
      </c>
    </row>
    <row r="132" spans="1:20">
      <c r="A132" t="s">
        <v>915</v>
      </c>
      <c r="B132" t="s">
        <v>787</v>
      </c>
      <c r="C132" t="s">
        <v>686</v>
      </c>
      <c r="D132" s="244">
        <v>0</v>
      </c>
      <c r="E132">
        <v>0</v>
      </c>
      <c r="F132">
        <v>0</v>
      </c>
      <c r="G132">
        <v>0</v>
      </c>
      <c r="H132">
        <v>0</v>
      </c>
      <c r="I132">
        <v>0</v>
      </c>
      <c r="J132" t="str">
        <f t="shared" si="7"/>
        <v>Petrol Generators Network Visionstream WA</v>
      </c>
      <c r="K132" t="str">
        <f t="shared" si="7"/>
        <v>kL</v>
      </c>
      <c r="L132" t="str">
        <f t="shared" si="7"/>
        <v>BBB</v>
      </c>
      <c r="M132" s="21">
        <f t="shared" si="6"/>
        <v>0</v>
      </c>
      <c r="N132" s="8">
        <f t="shared" si="6"/>
        <v>0</v>
      </c>
      <c r="O132" s="8">
        <f t="shared" si="6"/>
        <v>0</v>
      </c>
      <c r="P132" s="8">
        <f t="shared" si="6"/>
        <v>0</v>
      </c>
      <c r="Q132" s="8">
        <f t="shared" si="6"/>
        <v>0</v>
      </c>
      <c r="R132" s="8">
        <f t="shared" si="8"/>
        <v>0</v>
      </c>
      <c r="S132" s="8" t="str">
        <f>VLOOKUP(J132,'GHG Factors FY21'!A:B,2,FALSE)</f>
        <v>Genset</v>
      </c>
      <c r="T132" s="8" t="str">
        <f>VLOOKUP(ReformFY21[[#This Row],[Reporting Alias]],'Entities FY21'!B:B,1,FALSE)</f>
        <v>Petrol Generators Network Visionstream WA</v>
      </c>
    </row>
    <row r="133" spans="1:20">
      <c r="A133" t="s">
        <v>916</v>
      </c>
      <c r="B133" t="s">
        <v>787</v>
      </c>
      <c r="C133" t="s">
        <v>686</v>
      </c>
      <c r="D133" s="244">
        <v>0</v>
      </c>
      <c r="E133">
        <v>0</v>
      </c>
      <c r="F133">
        <v>0</v>
      </c>
      <c r="G133">
        <v>0</v>
      </c>
      <c r="H133">
        <v>0</v>
      </c>
      <c r="I133">
        <v>0</v>
      </c>
      <c r="J133" t="str">
        <f t="shared" si="7"/>
        <v>Other Grounds Portable Gensets etc Diesel ACT</v>
      </c>
      <c r="K133" t="str">
        <f t="shared" si="7"/>
        <v>kL</v>
      </c>
      <c r="L133" t="str">
        <f t="shared" si="7"/>
        <v>BBB</v>
      </c>
      <c r="M133" s="21">
        <f t="shared" si="6"/>
        <v>0</v>
      </c>
      <c r="N133" s="8">
        <f t="shared" si="6"/>
        <v>0</v>
      </c>
      <c r="O133" s="8">
        <f t="shared" si="6"/>
        <v>0</v>
      </c>
      <c r="P133" s="8">
        <f t="shared" si="6"/>
        <v>0</v>
      </c>
      <c r="Q133" s="8">
        <f t="shared" si="6"/>
        <v>0</v>
      </c>
      <c r="R133" s="8">
        <f t="shared" si="8"/>
        <v>0</v>
      </c>
      <c r="S133" s="8" t="str">
        <f>VLOOKUP(J133,'GHG Factors FY21'!A:B,2,FALSE)</f>
        <v>Genset</v>
      </c>
      <c r="T133" s="8" t="str">
        <f>VLOOKUP(ReformFY21[[#This Row],[Reporting Alias]],'Entities FY21'!B:B,1,FALSE)</f>
        <v>Other Grounds Portable Gensets etc Diesel ACT</v>
      </c>
    </row>
    <row r="134" spans="1:20">
      <c r="A134" t="s">
        <v>917</v>
      </c>
      <c r="B134" t="s">
        <v>787</v>
      </c>
      <c r="C134" t="s">
        <v>686</v>
      </c>
      <c r="D134" s="244">
        <v>0</v>
      </c>
      <c r="E134">
        <v>0</v>
      </c>
      <c r="F134">
        <v>0</v>
      </c>
      <c r="G134">
        <v>0</v>
      </c>
      <c r="H134">
        <v>0</v>
      </c>
      <c r="I134">
        <v>0</v>
      </c>
      <c r="J134" t="str">
        <f t="shared" si="7"/>
        <v>Other Grounds Portable Gensets etc Diesel NSW</v>
      </c>
      <c r="K134" t="str">
        <f t="shared" si="7"/>
        <v>kL</v>
      </c>
      <c r="L134" t="str">
        <f t="shared" si="7"/>
        <v>BBB</v>
      </c>
      <c r="M134" s="21">
        <f t="shared" si="6"/>
        <v>0</v>
      </c>
      <c r="N134" s="8">
        <f t="shared" si="6"/>
        <v>0</v>
      </c>
      <c r="O134" s="8">
        <f t="shared" si="6"/>
        <v>0</v>
      </c>
      <c r="P134" s="8">
        <f t="shared" si="6"/>
        <v>0</v>
      </c>
      <c r="Q134" s="8">
        <f t="shared" si="6"/>
        <v>0</v>
      </c>
      <c r="R134" s="8">
        <f t="shared" si="8"/>
        <v>0</v>
      </c>
      <c r="S134" s="8" t="str">
        <f>VLOOKUP(J134,'GHG Factors FY21'!A:B,2,FALSE)</f>
        <v>Genset</v>
      </c>
      <c r="T134" s="8" t="str">
        <f>VLOOKUP(ReformFY21[[#This Row],[Reporting Alias]],'Entities FY21'!B:B,1,FALSE)</f>
        <v>Other Grounds Portable Gensets etc Diesel NSW</v>
      </c>
    </row>
    <row r="135" spans="1:20">
      <c r="A135" t="s">
        <v>918</v>
      </c>
      <c r="B135" t="s">
        <v>787</v>
      </c>
      <c r="C135" t="s">
        <v>686</v>
      </c>
      <c r="D135" s="244">
        <v>0</v>
      </c>
      <c r="E135">
        <v>0</v>
      </c>
      <c r="F135">
        <v>0</v>
      </c>
      <c r="G135">
        <v>0</v>
      </c>
      <c r="H135">
        <v>0</v>
      </c>
      <c r="I135">
        <v>0</v>
      </c>
      <c r="J135" t="str">
        <f t="shared" si="7"/>
        <v>Other Grounds Portable Gensets etc Diesel NT</v>
      </c>
      <c r="K135" t="str">
        <f t="shared" si="7"/>
        <v>kL</v>
      </c>
      <c r="L135" t="str">
        <f t="shared" si="7"/>
        <v>BBB</v>
      </c>
      <c r="M135" s="21">
        <f t="shared" si="6"/>
        <v>0</v>
      </c>
      <c r="N135" s="8">
        <f t="shared" si="6"/>
        <v>0</v>
      </c>
      <c r="O135" s="8">
        <f t="shared" si="6"/>
        <v>0</v>
      </c>
      <c r="P135" s="8">
        <f t="shared" si="6"/>
        <v>0</v>
      </c>
      <c r="Q135" s="8">
        <f t="shared" si="6"/>
        <v>0</v>
      </c>
      <c r="R135" s="8">
        <f t="shared" si="8"/>
        <v>0</v>
      </c>
      <c r="S135" s="8" t="str">
        <f>VLOOKUP(J135,'GHG Factors FY21'!A:B,2,FALSE)</f>
        <v>Genset</v>
      </c>
      <c r="T135" s="8" t="str">
        <f>VLOOKUP(ReformFY21[[#This Row],[Reporting Alias]],'Entities FY21'!B:B,1,FALSE)</f>
        <v>Other Grounds Portable Gensets etc Diesel NT</v>
      </c>
    </row>
    <row r="136" spans="1:20">
      <c r="A136" t="s">
        <v>919</v>
      </c>
      <c r="B136" t="s">
        <v>787</v>
      </c>
      <c r="C136" t="s">
        <v>686</v>
      </c>
      <c r="D136" s="244">
        <v>0</v>
      </c>
      <c r="E136">
        <v>0</v>
      </c>
      <c r="F136">
        <v>0</v>
      </c>
      <c r="G136">
        <v>0</v>
      </c>
      <c r="H136">
        <v>0</v>
      </c>
      <c r="I136">
        <v>0</v>
      </c>
      <c r="J136" t="str">
        <f t="shared" si="7"/>
        <v>Other Grounds Portable Gensets etc Diesel QLD</v>
      </c>
      <c r="K136" t="str">
        <f t="shared" si="7"/>
        <v>kL</v>
      </c>
      <c r="L136" t="str">
        <f t="shared" si="7"/>
        <v>BBB</v>
      </c>
      <c r="M136" s="21">
        <f t="shared" si="6"/>
        <v>0</v>
      </c>
      <c r="N136" s="8">
        <f t="shared" si="6"/>
        <v>0</v>
      </c>
      <c r="O136" s="8">
        <f t="shared" si="6"/>
        <v>0</v>
      </c>
      <c r="P136" s="8">
        <f t="shared" si="6"/>
        <v>0</v>
      </c>
      <c r="Q136" s="8">
        <f t="shared" si="6"/>
        <v>0</v>
      </c>
      <c r="R136" s="8">
        <f t="shared" si="8"/>
        <v>0</v>
      </c>
      <c r="S136" s="8" t="str">
        <f>VLOOKUP(J136,'GHG Factors FY21'!A:B,2,FALSE)</f>
        <v>Genset</v>
      </c>
      <c r="T136" s="8" t="str">
        <f>VLOOKUP(ReformFY21[[#This Row],[Reporting Alias]],'Entities FY21'!B:B,1,FALSE)</f>
        <v>Other Grounds Portable Gensets etc Diesel QLD</v>
      </c>
    </row>
    <row r="137" spans="1:20">
      <c r="A137" t="s">
        <v>920</v>
      </c>
      <c r="B137" t="s">
        <v>787</v>
      </c>
      <c r="C137" t="s">
        <v>686</v>
      </c>
      <c r="D137" s="244">
        <v>0</v>
      </c>
      <c r="E137">
        <v>0</v>
      </c>
      <c r="F137">
        <v>0</v>
      </c>
      <c r="G137">
        <v>0</v>
      </c>
      <c r="H137">
        <v>0</v>
      </c>
      <c r="I137">
        <v>0</v>
      </c>
      <c r="J137" t="str">
        <f t="shared" si="7"/>
        <v>Other Grounds Portable Gensets etc Diesel SA</v>
      </c>
      <c r="K137" t="str">
        <f t="shared" si="7"/>
        <v>kL</v>
      </c>
      <c r="L137" t="str">
        <f t="shared" si="7"/>
        <v>BBB</v>
      </c>
      <c r="M137" s="21">
        <f t="shared" si="6"/>
        <v>0</v>
      </c>
      <c r="N137" s="8">
        <f t="shared" si="6"/>
        <v>0</v>
      </c>
      <c r="O137" s="8">
        <f t="shared" si="6"/>
        <v>0</v>
      </c>
      <c r="P137" s="8">
        <f t="shared" si="6"/>
        <v>0</v>
      </c>
      <c r="Q137" s="8">
        <f t="shared" si="6"/>
        <v>0</v>
      </c>
      <c r="R137" s="8">
        <f t="shared" si="8"/>
        <v>0</v>
      </c>
      <c r="S137" s="8" t="str">
        <f>VLOOKUP(J137,'GHG Factors FY21'!A:B,2,FALSE)</f>
        <v>Genset</v>
      </c>
      <c r="T137" s="8" t="str">
        <f>VLOOKUP(ReformFY21[[#This Row],[Reporting Alias]],'Entities FY21'!B:B,1,FALSE)</f>
        <v>Other Grounds Portable Gensets etc Diesel SA</v>
      </c>
    </row>
    <row r="138" spans="1:20">
      <c r="A138" t="s">
        <v>921</v>
      </c>
      <c r="B138" t="s">
        <v>787</v>
      </c>
      <c r="C138" t="s">
        <v>686</v>
      </c>
      <c r="D138" s="244">
        <v>0</v>
      </c>
      <c r="E138">
        <v>0</v>
      </c>
      <c r="F138">
        <v>0</v>
      </c>
      <c r="G138">
        <v>0</v>
      </c>
      <c r="H138">
        <v>0</v>
      </c>
      <c r="I138">
        <v>0</v>
      </c>
      <c r="J138" t="str">
        <f t="shared" si="7"/>
        <v>Other Grounds Portable Gensets etc Diesel TAS</v>
      </c>
      <c r="K138" t="str">
        <f t="shared" si="7"/>
        <v>kL</v>
      </c>
      <c r="L138" t="str">
        <f t="shared" si="7"/>
        <v>BBB</v>
      </c>
      <c r="M138" s="21">
        <f t="shared" si="6"/>
        <v>0</v>
      </c>
      <c r="N138" s="8">
        <f t="shared" si="6"/>
        <v>0</v>
      </c>
      <c r="O138" s="8">
        <f t="shared" si="6"/>
        <v>0</v>
      </c>
      <c r="P138" s="8">
        <f t="shared" si="6"/>
        <v>0</v>
      </c>
      <c r="Q138" s="8">
        <f t="shared" si="6"/>
        <v>0</v>
      </c>
      <c r="R138" s="8">
        <f t="shared" si="8"/>
        <v>0</v>
      </c>
      <c r="S138" s="8" t="str">
        <f>VLOOKUP(J138,'GHG Factors FY21'!A:B,2,FALSE)</f>
        <v>Genset</v>
      </c>
      <c r="T138" s="8" t="str">
        <f>VLOOKUP(ReformFY21[[#This Row],[Reporting Alias]],'Entities FY21'!B:B,1,FALSE)</f>
        <v>Other Grounds Portable Gensets etc Diesel TAS</v>
      </c>
    </row>
    <row r="139" spans="1:20">
      <c r="A139" t="s">
        <v>922</v>
      </c>
      <c r="B139" t="s">
        <v>787</v>
      </c>
      <c r="C139" t="s">
        <v>686</v>
      </c>
      <c r="D139" s="244">
        <v>0</v>
      </c>
      <c r="E139">
        <v>0</v>
      </c>
      <c r="F139">
        <v>0</v>
      </c>
      <c r="G139">
        <v>0</v>
      </c>
      <c r="H139">
        <v>0</v>
      </c>
      <c r="I139">
        <v>0</v>
      </c>
      <c r="J139" t="str">
        <f t="shared" si="7"/>
        <v>Other Grounds Portable Gensets etc Diesel VIC</v>
      </c>
      <c r="K139" t="str">
        <f t="shared" si="7"/>
        <v>kL</v>
      </c>
      <c r="L139" t="str">
        <f t="shared" si="7"/>
        <v>BBB</v>
      </c>
      <c r="M139" s="21">
        <f t="shared" si="6"/>
        <v>0</v>
      </c>
      <c r="N139" s="8">
        <f t="shared" si="6"/>
        <v>0</v>
      </c>
      <c r="O139" s="8">
        <f t="shared" si="6"/>
        <v>0</v>
      </c>
      <c r="P139" s="8">
        <f t="shared" si="6"/>
        <v>0</v>
      </c>
      <c r="Q139" s="8">
        <f t="shared" si="6"/>
        <v>0</v>
      </c>
      <c r="R139" s="8">
        <f t="shared" si="8"/>
        <v>0</v>
      </c>
      <c r="S139" s="8" t="str">
        <f>VLOOKUP(J139,'GHG Factors FY21'!A:B,2,FALSE)</f>
        <v>Genset</v>
      </c>
      <c r="T139" s="8" t="str">
        <f>VLOOKUP(ReformFY21[[#This Row],[Reporting Alias]],'Entities FY21'!B:B,1,FALSE)</f>
        <v>Other Grounds Portable Gensets etc Diesel VIC</v>
      </c>
    </row>
    <row r="140" spans="1:20">
      <c r="A140" t="s">
        <v>923</v>
      </c>
      <c r="B140" t="s">
        <v>787</v>
      </c>
      <c r="C140" t="s">
        <v>686</v>
      </c>
      <c r="D140" s="244">
        <v>0</v>
      </c>
      <c r="E140">
        <v>0</v>
      </c>
      <c r="F140">
        <v>0</v>
      </c>
      <c r="G140">
        <v>0</v>
      </c>
      <c r="H140">
        <v>0</v>
      </c>
      <c r="I140">
        <v>0</v>
      </c>
      <c r="J140" t="str">
        <f t="shared" si="7"/>
        <v>Other Grounds Portable Gensets etc Diesel WA</v>
      </c>
      <c r="K140" t="str">
        <f t="shared" si="7"/>
        <v>kL</v>
      </c>
      <c r="L140" t="str">
        <f t="shared" si="7"/>
        <v>BBB</v>
      </c>
      <c r="M140" s="21">
        <f t="shared" si="7"/>
        <v>0</v>
      </c>
      <c r="N140" s="8">
        <f t="shared" si="7"/>
        <v>0</v>
      </c>
      <c r="O140" s="8">
        <f t="shared" si="7"/>
        <v>0</v>
      </c>
      <c r="P140" s="8">
        <f t="shared" si="7"/>
        <v>0</v>
      </c>
      <c r="Q140" s="8">
        <f t="shared" si="7"/>
        <v>0</v>
      </c>
      <c r="R140" s="8">
        <f t="shared" si="8"/>
        <v>0</v>
      </c>
      <c r="S140" s="8" t="str">
        <f>VLOOKUP(J140,'GHG Factors FY21'!A:B,2,FALSE)</f>
        <v>Genset</v>
      </c>
      <c r="T140" s="8" t="str">
        <f>VLOOKUP(ReformFY21[[#This Row],[Reporting Alias]],'Entities FY21'!B:B,1,FALSE)</f>
        <v>Other Grounds Portable Gensets etc Diesel WA</v>
      </c>
    </row>
    <row r="141" spans="1:20">
      <c r="A141" t="s">
        <v>924</v>
      </c>
      <c r="B141" t="s">
        <v>787</v>
      </c>
      <c r="C141" t="s">
        <v>686</v>
      </c>
      <c r="D141" s="244">
        <v>0</v>
      </c>
      <c r="E141">
        <v>0</v>
      </c>
      <c r="F141">
        <v>0</v>
      </c>
      <c r="G141">
        <v>0</v>
      </c>
      <c r="H141">
        <v>0</v>
      </c>
      <c r="I141">
        <v>0</v>
      </c>
      <c r="J141" t="str">
        <f t="shared" si="7"/>
        <v>Other Grounds Portable Gensets etc LPG ACT</v>
      </c>
      <c r="K141" t="str">
        <f t="shared" si="7"/>
        <v>kL</v>
      </c>
      <c r="L141" t="str">
        <f t="shared" si="7"/>
        <v>BBB</v>
      </c>
      <c r="M141" s="21">
        <f t="shared" si="7"/>
        <v>0</v>
      </c>
      <c r="N141" s="8">
        <f t="shared" si="7"/>
        <v>0</v>
      </c>
      <c r="O141" s="8">
        <f t="shared" si="7"/>
        <v>0</v>
      </c>
      <c r="P141" s="8">
        <f t="shared" si="7"/>
        <v>0</v>
      </c>
      <c r="Q141" s="8">
        <f t="shared" si="7"/>
        <v>0</v>
      </c>
      <c r="R141" s="8">
        <f t="shared" si="8"/>
        <v>0</v>
      </c>
      <c r="S141" s="8" t="str">
        <f>VLOOKUP(J141,'GHG Factors FY21'!A:B,2,FALSE)</f>
        <v>Genset</v>
      </c>
      <c r="T141" s="8" t="str">
        <f>VLOOKUP(ReformFY21[[#This Row],[Reporting Alias]],'Entities FY21'!B:B,1,FALSE)</f>
        <v>Other Grounds Portable Gensets etc LPG ACT</v>
      </c>
    </row>
    <row r="142" spans="1:20">
      <c r="A142" t="s">
        <v>925</v>
      </c>
      <c r="B142" t="s">
        <v>787</v>
      </c>
      <c r="C142" t="s">
        <v>686</v>
      </c>
      <c r="D142" s="244">
        <v>0</v>
      </c>
      <c r="E142">
        <v>0</v>
      </c>
      <c r="F142">
        <v>0</v>
      </c>
      <c r="G142">
        <v>0</v>
      </c>
      <c r="H142">
        <v>0</v>
      </c>
      <c r="I142">
        <v>0</v>
      </c>
      <c r="J142" t="str">
        <f t="shared" si="7"/>
        <v>Other Grounds Portable Gensets etc LPG NSW</v>
      </c>
      <c r="K142" t="str">
        <f t="shared" si="7"/>
        <v>kL</v>
      </c>
      <c r="L142" t="str">
        <f t="shared" si="7"/>
        <v>BBB</v>
      </c>
      <c r="M142" s="21">
        <f t="shared" si="7"/>
        <v>0</v>
      </c>
      <c r="N142" s="8">
        <f t="shared" si="7"/>
        <v>0</v>
      </c>
      <c r="O142" s="8">
        <f t="shared" si="7"/>
        <v>0</v>
      </c>
      <c r="P142" s="8">
        <f t="shared" si="7"/>
        <v>0</v>
      </c>
      <c r="Q142" s="8">
        <f t="shared" si="7"/>
        <v>0</v>
      </c>
      <c r="R142" s="8">
        <f t="shared" si="8"/>
        <v>0</v>
      </c>
      <c r="S142" s="8" t="str">
        <f>VLOOKUP(J142,'GHG Factors FY21'!A:B,2,FALSE)</f>
        <v>Genset</v>
      </c>
      <c r="T142" s="8" t="str">
        <f>VLOOKUP(ReformFY21[[#This Row],[Reporting Alias]],'Entities FY21'!B:B,1,FALSE)</f>
        <v>Other Grounds Portable Gensets etc LPG NSW</v>
      </c>
    </row>
    <row r="143" spans="1:20">
      <c r="A143" t="s">
        <v>926</v>
      </c>
      <c r="B143" t="s">
        <v>787</v>
      </c>
      <c r="C143" t="s">
        <v>686</v>
      </c>
      <c r="D143" s="244">
        <v>0</v>
      </c>
      <c r="E143">
        <v>0</v>
      </c>
      <c r="F143">
        <v>0</v>
      </c>
      <c r="G143">
        <v>0</v>
      </c>
      <c r="H143">
        <v>0</v>
      </c>
      <c r="I143">
        <v>0</v>
      </c>
      <c r="J143" t="str">
        <f t="shared" si="7"/>
        <v>Other Grounds Portable Gensets etc LPG VIC</v>
      </c>
      <c r="K143" t="str">
        <f t="shared" si="7"/>
        <v>kL</v>
      </c>
      <c r="L143" t="str">
        <f t="shared" si="7"/>
        <v>BBB</v>
      </c>
      <c r="M143" s="21">
        <f t="shared" si="7"/>
        <v>0</v>
      </c>
      <c r="N143" s="8">
        <f t="shared" si="7"/>
        <v>0</v>
      </c>
      <c r="O143" s="8">
        <f t="shared" si="7"/>
        <v>0</v>
      </c>
      <c r="P143" s="8">
        <f t="shared" si="7"/>
        <v>0</v>
      </c>
      <c r="Q143" s="8">
        <f t="shared" si="7"/>
        <v>0</v>
      </c>
      <c r="R143" s="8">
        <f t="shared" si="8"/>
        <v>0</v>
      </c>
      <c r="S143" s="8" t="str">
        <f>VLOOKUP(J143,'GHG Factors FY21'!A:B,2,FALSE)</f>
        <v>Genset</v>
      </c>
      <c r="T143" s="8" t="str">
        <f>VLOOKUP(ReformFY21[[#This Row],[Reporting Alias]],'Entities FY21'!B:B,1,FALSE)</f>
        <v>Other Grounds Portable Gensets etc LPG VIC</v>
      </c>
    </row>
    <row r="144" spans="1:20">
      <c r="A144" t="s">
        <v>927</v>
      </c>
      <c r="B144" t="s">
        <v>787</v>
      </c>
      <c r="C144" t="s">
        <v>686</v>
      </c>
      <c r="D144" s="244">
        <v>0</v>
      </c>
      <c r="E144">
        <v>0</v>
      </c>
      <c r="F144">
        <v>0</v>
      </c>
      <c r="G144">
        <v>0</v>
      </c>
      <c r="H144">
        <v>0</v>
      </c>
      <c r="I144">
        <v>0</v>
      </c>
      <c r="J144" t="str">
        <f t="shared" si="7"/>
        <v>Other Grounds Portable Gensets etc LPG QLD</v>
      </c>
      <c r="K144" t="str">
        <f t="shared" si="7"/>
        <v>kL</v>
      </c>
      <c r="L144" t="str">
        <f t="shared" si="7"/>
        <v>BBB</v>
      </c>
      <c r="M144" s="21">
        <f t="shared" si="7"/>
        <v>0</v>
      </c>
      <c r="N144" s="8">
        <f t="shared" si="7"/>
        <v>0</v>
      </c>
      <c r="O144" s="8">
        <f t="shared" si="7"/>
        <v>0</v>
      </c>
      <c r="P144" s="8">
        <f t="shared" si="7"/>
        <v>0</v>
      </c>
      <c r="Q144" s="8">
        <f t="shared" si="7"/>
        <v>0</v>
      </c>
      <c r="R144" s="8">
        <f t="shared" si="8"/>
        <v>0</v>
      </c>
      <c r="S144" s="8" t="str">
        <f>VLOOKUP(J144,'GHG Factors FY21'!A:B,2,FALSE)</f>
        <v>Genset</v>
      </c>
      <c r="T144" s="8" t="str">
        <f>VLOOKUP(ReformFY21[[#This Row],[Reporting Alias]],'Entities FY21'!B:B,1,FALSE)</f>
        <v>Other Grounds Portable Gensets etc LPG QLD</v>
      </c>
    </row>
    <row r="145" spans="1:20">
      <c r="A145" t="s">
        <v>928</v>
      </c>
      <c r="B145" t="s">
        <v>787</v>
      </c>
      <c r="C145" t="s">
        <v>686</v>
      </c>
      <c r="D145" s="244">
        <v>0</v>
      </c>
      <c r="E145">
        <v>0</v>
      </c>
      <c r="F145">
        <v>0</v>
      </c>
      <c r="G145">
        <v>0</v>
      </c>
      <c r="H145">
        <v>0</v>
      </c>
      <c r="I145">
        <v>0</v>
      </c>
      <c r="J145" t="str">
        <f t="shared" si="7"/>
        <v>Other Grounds Portable Gensets etc LPG WA</v>
      </c>
      <c r="K145" t="str">
        <f t="shared" si="7"/>
        <v>kL</v>
      </c>
      <c r="L145" t="str">
        <f t="shared" si="7"/>
        <v>BBB</v>
      </c>
      <c r="M145" s="21">
        <f t="shared" si="7"/>
        <v>0</v>
      </c>
      <c r="N145" s="8">
        <f t="shared" si="7"/>
        <v>0</v>
      </c>
      <c r="O145" s="8">
        <f t="shared" si="7"/>
        <v>0</v>
      </c>
      <c r="P145" s="8">
        <f t="shared" si="7"/>
        <v>0</v>
      </c>
      <c r="Q145" s="8">
        <f t="shared" si="7"/>
        <v>0</v>
      </c>
      <c r="R145" s="8">
        <f t="shared" si="8"/>
        <v>0</v>
      </c>
      <c r="S145" s="8" t="str">
        <f>VLOOKUP(J145,'GHG Factors FY21'!A:B,2,FALSE)</f>
        <v>Genset</v>
      </c>
      <c r="T145" s="8" t="str">
        <f>VLOOKUP(ReformFY21[[#This Row],[Reporting Alias]],'Entities FY21'!B:B,1,FALSE)</f>
        <v>Other Grounds Portable Gensets etc LPG WA</v>
      </c>
    </row>
    <row r="146" spans="1:20">
      <c r="A146" t="s">
        <v>929</v>
      </c>
      <c r="B146" t="s">
        <v>787</v>
      </c>
      <c r="C146" t="s">
        <v>686</v>
      </c>
      <c r="D146" s="244">
        <v>0</v>
      </c>
      <c r="E146">
        <v>0</v>
      </c>
      <c r="F146">
        <v>0</v>
      </c>
      <c r="G146">
        <v>0</v>
      </c>
      <c r="H146">
        <v>0</v>
      </c>
      <c r="I146">
        <v>0</v>
      </c>
      <c r="J146" t="str">
        <f t="shared" si="7"/>
        <v>Other Grounds Portable Gensets etc LPG SA</v>
      </c>
      <c r="K146" t="str">
        <f t="shared" si="7"/>
        <v>kL</v>
      </c>
      <c r="L146" t="str">
        <f t="shared" si="7"/>
        <v>BBB</v>
      </c>
      <c r="M146" s="21">
        <f t="shared" si="7"/>
        <v>0</v>
      </c>
      <c r="N146" s="8">
        <f t="shared" si="7"/>
        <v>0</v>
      </c>
      <c r="O146" s="8">
        <f t="shared" si="7"/>
        <v>0</v>
      </c>
      <c r="P146" s="8">
        <f t="shared" si="7"/>
        <v>0</v>
      </c>
      <c r="Q146" s="8">
        <f t="shared" si="7"/>
        <v>0</v>
      </c>
      <c r="R146" s="8">
        <f t="shared" si="8"/>
        <v>0</v>
      </c>
      <c r="S146" s="8" t="str">
        <f>VLOOKUP(J146,'GHG Factors FY21'!A:B,2,FALSE)</f>
        <v>Genset</v>
      </c>
      <c r="T146" s="8" t="str">
        <f>VLOOKUP(ReformFY21[[#This Row],[Reporting Alias]],'Entities FY21'!B:B,1,FALSE)</f>
        <v>Other Grounds Portable Gensets etc LPG SA</v>
      </c>
    </row>
    <row r="147" spans="1:20">
      <c r="A147" t="s">
        <v>930</v>
      </c>
      <c r="B147" t="s">
        <v>787</v>
      </c>
      <c r="C147" t="s">
        <v>686</v>
      </c>
      <c r="D147" s="244">
        <v>0</v>
      </c>
      <c r="E147">
        <v>0</v>
      </c>
      <c r="F147">
        <v>0</v>
      </c>
      <c r="G147">
        <v>0</v>
      </c>
      <c r="H147">
        <v>0</v>
      </c>
      <c r="I147">
        <v>0</v>
      </c>
      <c r="J147" t="str">
        <f t="shared" si="7"/>
        <v>Other Grounds Portable Gensets etc LPG TAS</v>
      </c>
      <c r="K147" t="str">
        <f t="shared" si="7"/>
        <v>kL</v>
      </c>
      <c r="L147" t="str">
        <f t="shared" si="7"/>
        <v>BBB</v>
      </c>
      <c r="M147" s="21">
        <f t="shared" si="7"/>
        <v>0</v>
      </c>
      <c r="N147" s="8">
        <f t="shared" si="7"/>
        <v>0</v>
      </c>
      <c r="O147" s="8">
        <f t="shared" si="7"/>
        <v>0</v>
      </c>
      <c r="P147" s="8">
        <f t="shared" si="7"/>
        <v>0</v>
      </c>
      <c r="Q147" s="8">
        <f t="shared" si="7"/>
        <v>0</v>
      </c>
      <c r="R147" s="8">
        <f t="shared" si="8"/>
        <v>0</v>
      </c>
      <c r="S147" s="8" t="str">
        <f>VLOOKUP(J147,'GHG Factors FY21'!A:B,2,FALSE)</f>
        <v>Genset</v>
      </c>
      <c r="T147" s="8" t="str">
        <f>VLOOKUP(ReformFY21[[#This Row],[Reporting Alias]],'Entities FY21'!B:B,1,FALSE)</f>
        <v>Other Grounds Portable Gensets etc LPG TAS</v>
      </c>
    </row>
    <row r="148" spans="1:20">
      <c r="A148" t="s">
        <v>931</v>
      </c>
      <c r="B148" t="s">
        <v>787</v>
      </c>
      <c r="C148" t="s">
        <v>686</v>
      </c>
      <c r="D148" s="244">
        <v>0</v>
      </c>
      <c r="E148">
        <v>0</v>
      </c>
      <c r="F148">
        <v>0</v>
      </c>
      <c r="G148">
        <v>0</v>
      </c>
      <c r="H148">
        <v>0</v>
      </c>
      <c r="I148">
        <v>0</v>
      </c>
      <c r="J148" t="str">
        <f t="shared" si="7"/>
        <v>Other Grounds Portable Gensets etc LPG NT</v>
      </c>
      <c r="K148" t="str">
        <f t="shared" si="7"/>
        <v>kL</v>
      </c>
      <c r="L148" t="str">
        <f t="shared" si="7"/>
        <v>BBB</v>
      </c>
      <c r="M148" s="21">
        <f t="shared" si="7"/>
        <v>0</v>
      </c>
      <c r="N148" s="8">
        <f t="shared" si="7"/>
        <v>0</v>
      </c>
      <c r="O148" s="8">
        <f t="shared" si="7"/>
        <v>0</v>
      </c>
      <c r="P148" s="8">
        <f t="shared" si="7"/>
        <v>0</v>
      </c>
      <c r="Q148" s="8">
        <f t="shared" si="7"/>
        <v>0</v>
      </c>
      <c r="R148" s="8">
        <f t="shared" si="8"/>
        <v>0</v>
      </c>
      <c r="S148" s="8" t="str">
        <f>VLOOKUP(J148,'GHG Factors FY21'!A:B,2,FALSE)</f>
        <v>Genset</v>
      </c>
      <c r="T148" s="8" t="str">
        <f>VLOOKUP(ReformFY21[[#This Row],[Reporting Alias]],'Entities FY21'!B:B,1,FALSE)</f>
        <v>Other Grounds Portable Gensets etc LPG NT</v>
      </c>
    </row>
    <row r="149" spans="1:20">
      <c r="A149" t="s">
        <v>932</v>
      </c>
      <c r="B149" t="s">
        <v>787</v>
      </c>
      <c r="C149" t="s">
        <v>686</v>
      </c>
      <c r="D149" s="244">
        <v>0</v>
      </c>
      <c r="E149">
        <v>0</v>
      </c>
      <c r="F149">
        <v>0</v>
      </c>
      <c r="G149">
        <v>0</v>
      </c>
      <c r="H149">
        <v>0</v>
      </c>
      <c r="I149">
        <v>0</v>
      </c>
      <c r="J149" t="str">
        <f t="shared" si="7"/>
        <v>Other Grounds Portable Gensets etc Petrol ACT</v>
      </c>
      <c r="K149" t="str">
        <f t="shared" si="7"/>
        <v>kL</v>
      </c>
      <c r="L149" t="str">
        <f t="shared" si="7"/>
        <v>BBB</v>
      </c>
      <c r="M149" s="21">
        <f t="shared" si="7"/>
        <v>0</v>
      </c>
      <c r="N149" s="8">
        <f t="shared" si="7"/>
        <v>0</v>
      </c>
      <c r="O149" s="8">
        <f t="shared" si="7"/>
        <v>0</v>
      </c>
      <c r="P149" s="8">
        <f t="shared" si="7"/>
        <v>0</v>
      </c>
      <c r="Q149" s="8">
        <f t="shared" si="7"/>
        <v>0</v>
      </c>
      <c r="R149" s="8">
        <f t="shared" si="8"/>
        <v>0</v>
      </c>
      <c r="S149" s="8" t="str">
        <f>VLOOKUP(J149,'GHG Factors FY21'!A:B,2,FALSE)</f>
        <v>Genset</v>
      </c>
      <c r="T149" s="8" t="str">
        <f>VLOOKUP(ReformFY21[[#This Row],[Reporting Alias]],'Entities FY21'!B:B,1,FALSE)</f>
        <v>Other Grounds Portable Gensets etc Petrol ACT</v>
      </c>
    </row>
    <row r="150" spans="1:20">
      <c r="A150" t="s">
        <v>933</v>
      </c>
      <c r="B150" t="s">
        <v>787</v>
      </c>
      <c r="C150" t="s">
        <v>686</v>
      </c>
      <c r="D150" s="244">
        <v>0.93127905958239754</v>
      </c>
      <c r="E150">
        <v>31.849743837717998</v>
      </c>
      <c r="F150">
        <v>2159.4126321972808</v>
      </c>
      <c r="G150">
        <v>0</v>
      </c>
      <c r="H150">
        <v>114.6590778157848</v>
      </c>
      <c r="I150">
        <v>2274.0717100130655</v>
      </c>
      <c r="J150" t="str">
        <f t="shared" si="7"/>
        <v>Other Grounds Portable Gensets etc Petrol NSW</v>
      </c>
      <c r="K150" t="str">
        <f t="shared" si="7"/>
        <v>kL</v>
      </c>
      <c r="L150" t="str">
        <f t="shared" si="7"/>
        <v>BBB</v>
      </c>
      <c r="M150" s="21">
        <f t="shared" si="7"/>
        <v>0.93127905958239754</v>
      </c>
      <c r="N150" s="8">
        <f t="shared" si="7"/>
        <v>31.849743837717998</v>
      </c>
      <c r="O150" s="8">
        <f t="shared" si="7"/>
        <v>2159.4126321972808</v>
      </c>
      <c r="P150" s="8">
        <f t="shared" si="7"/>
        <v>0</v>
      </c>
      <c r="Q150" s="8">
        <f t="shared" si="7"/>
        <v>114.6590778157848</v>
      </c>
      <c r="R150" s="8">
        <f t="shared" si="8"/>
        <v>2274.0717100130655</v>
      </c>
      <c r="S150" s="8" t="str">
        <f>VLOOKUP(J150,'GHG Factors FY21'!A:B,2,FALSE)</f>
        <v>Genset</v>
      </c>
      <c r="T150" s="8" t="str">
        <f>VLOOKUP(ReformFY21[[#This Row],[Reporting Alias]],'Entities FY21'!B:B,1,FALSE)</f>
        <v>Other Grounds Portable Gensets etc Petrol NSW</v>
      </c>
    </row>
    <row r="151" spans="1:20">
      <c r="A151" t="s">
        <v>934</v>
      </c>
      <c r="B151" t="s">
        <v>787</v>
      </c>
      <c r="C151" t="s">
        <v>686</v>
      </c>
      <c r="D151" s="244">
        <v>0.01</v>
      </c>
      <c r="E151">
        <v>0.34200000000000003</v>
      </c>
      <c r="F151">
        <v>23.187600000000007</v>
      </c>
      <c r="G151">
        <v>0</v>
      </c>
      <c r="H151">
        <v>1.2312000000000001</v>
      </c>
      <c r="I151">
        <v>24.418800000000008</v>
      </c>
      <c r="J151" t="str">
        <f t="shared" ref="J151:Q179" si="9">A151</f>
        <v>Other Grounds Portable Gensets etc Petrol NT</v>
      </c>
      <c r="K151" t="str">
        <f t="shared" si="9"/>
        <v>kL</v>
      </c>
      <c r="L151" t="str">
        <f t="shared" si="9"/>
        <v>BBB</v>
      </c>
      <c r="M151" s="21">
        <f t="shared" si="9"/>
        <v>0.01</v>
      </c>
      <c r="N151" s="8">
        <f t="shared" si="9"/>
        <v>0.34200000000000003</v>
      </c>
      <c r="O151" s="8">
        <f t="shared" si="9"/>
        <v>23.187600000000007</v>
      </c>
      <c r="P151" s="8">
        <f t="shared" si="9"/>
        <v>0</v>
      </c>
      <c r="Q151" s="8">
        <f t="shared" si="9"/>
        <v>1.2312000000000001</v>
      </c>
      <c r="R151" s="8">
        <f t="shared" si="8"/>
        <v>24.418800000000008</v>
      </c>
      <c r="S151" s="8" t="str">
        <f>VLOOKUP(J151,'GHG Factors FY21'!A:B,2,FALSE)</f>
        <v>Genset</v>
      </c>
      <c r="T151" s="8" t="str">
        <f>VLOOKUP(ReformFY21[[#This Row],[Reporting Alias]],'Entities FY21'!B:B,1,FALSE)</f>
        <v>Other Grounds Portable Gensets etc Petrol NT</v>
      </c>
    </row>
    <row r="152" spans="1:20">
      <c r="A152" t="s">
        <v>935</v>
      </c>
      <c r="B152" t="s">
        <v>787</v>
      </c>
      <c r="C152" t="s">
        <v>686</v>
      </c>
      <c r="D152" s="244">
        <v>0.4333243204748915</v>
      </c>
      <c r="E152">
        <v>14.819691760241291</v>
      </c>
      <c r="F152">
        <v>1004.7751013443597</v>
      </c>
      <c r="G152">
        <v>0</v>
      </c>
      <c r="H152">
        <v>53.350890336868652</v>
      </c>
      <c r="I152">
        <v>1058.1259916812282</v>
      </c>
      <c r="J152" t="str">
        <f t="shared" si="9"/>
        <v>Other Grounds Portable Gensets etc Petrol QLD</v>
      </c>
      <c r="K152" t="str">
        <f t="shared" si="9"/>
        <v>kL</v>
      </c>
      <c r="L152" t="str">
        <f t="shared" si="9"/>
        <v>BBB</v>
      </c>
      <c r="M152" s="21">
        <f t="shared" si="9"/>
        <v>0.4333243204748915</v>
      </c>
      <c r="N152" s="8">
        <f t="shared" si="9"/>
        <v>14.819691760241291</v>
      </c>
      <c r="O152" s="8">
        <f t="shared" si="9"/>
        <v>1004.7751013443597</v>
      </c>
      <c r="P152" s="8">
        <f t="shared" si="9"/>
        <v>0</v>
      </c>
      <c r="Q152" s="8">
        <f t="shared" si="9"/>
        <v>53.350890336868652</v>
      </c>
      <c r="R152" s="8">
        <f t="shared" si="8"/>
        <v>1058.1259916812282</v>
      </c>
      <c r="S152" s="8" t="str">
        <f>VLOOKUP(J152,'GHG Factors FY21'!A:B,2,FALSE)</f>
        <v>Genset</v>
      </c>
      <c r="T152" s="8" t="str">
        <f>VLOOKUP(ReformFY21[[#This Row],[Reporting Alias]],'Entities FY21'!B:B,1,FALSE)</f>
        <v>Other Grounds Portable Gensets etc Petrol QLD</v>
      </c>
    </row>
    <row r="153" spans="1:20">
      <c r="A153" t="s">
        <v>936</v>
      </c>
      <c r="B153" t="s">
        <v>787</v>
      </c>
      <c r="C153" t="s">
        <v>686</v>
      </c>
      <c r="D153" s="244">
        <v>9.69E-2</v>
      </c>
      <c r="E153">
        <v>3.3139800000000004</v>
      </c>
      <c r="F153">
        <v>224.68784400000007</v>
      </c>
      <c r="G153">
        <v>0</v>
      </c>
      <c r="H153">
        <v>11.930328000000001</v>
      </c>
      <c r="I153">
        <v>236.61817200000007</v>
      </c>
      <c r="J153" t="str">
        <f t="shared" si="9"/>
        <v>Other Grounds Portable Gensets etc Petrol SA</v>
      </c>
      <c r="K153" t="str">
        <f t="shared" si="9"/>
        <v>kL</v>
      </c>
      <c r="L153" t="str">
        <f t="shared" si="9"/>
        <v>BBB</v>
      </c>
      <c r="M153" s="21">
        <f t="shared" si="9"/>
        <v>9.69E-2</v>
      </c>
      <c r="N153" s="8">
        <f t="shared" si="9"/>
        <v>3.3139800000000004</v>
      </c>
      <c r="O153" s="8">
        <f t="shared" si="9"/>
        <v>224.68784400000007</v>
      </c>
      <c r="P153" s="8">
        <f t="shared" si="9"/>
        <v>0</v>
      </c>
      <c r="Q153" s="8">
        <f t="shared" si="9"/>
        <v>11.930328000000001</v>
      </c>
      <c r="R153" s="8">
        <f t="shared" si="8"/>
        <v>236.61817200000007</v>
      </c>
      <c r="S153" s="8" t="str">
        <f>VLOOKUP(J153,'GHG Factors FY21'!A:B,2,FALSE)</f>
        <v>Genset</v>
      </c>
      <c r="T153" s="8" t="str">
        <f>VLOOKUP(ReformFY21[[#This Row],[Reporting Alias]],'Entities FY21'!B:B,1,FALSE)</f>
        <v>Other Grounds Portable Gensets etc Petrol SA</v>
      </c>
    </row>
    <row r="154" spans="1:20">
      <c r="A154" t="s">
        <v>937</v>
      </c>
      <c r="B154" t="s">
        <v>787</v>
      </c>
      <c r="C154" t="s">
        <v>686</v>
      </c>
      <c r="D154" s="244">
        <v>0.36368791695971503</v>
      </c>
      <c r="E154">
        <v>12.438126760022255</v>
      </c>
      <c r="F154">
        <v>843.3049943295091</v>
      </c>
      <c r="G154">
        <v>0</v>
      </c>
      <c r="H154">
        <v>44.777256336080121</v>
      </c>
      <c r="I154">
        <v>888.08225066558919</v>
      </c>
      <c r="J154" t="str">
        <f t="shared" si="9"/>
        <v>Other Grounds Portable Gensets etc Petrol TAS</v>
      </c>
      <c r="K154" t="str">
        <f t="shared" si="9"/>
        <v>kL</v>
      </c>
      <c r="L154" t="str">
        <f t="shared" si="9"/>
        <v>BBB</v>
      </c>
      <c r="M154" s="21">
        <f t="shared" si="9"/>
        <v>0.36368791695971503</v>
      </c>
      <c r="N154" s="8">
        <f t="shared" si="9"/>
        <v>12.438126760022255</v>
      </c>
      <c r="O154" s="8">
        <f t="shared" si="9"/>
        <v>843.3049943295091</v>
      </c>
      <c r="P154" s="8">
        <f t="shared" si="9"/>
        <v>0</v>
      </c>
      <c r="Q154" s="8">
        <f t="shared" si="9"/>
        <v>44.777256336080121</v>
      </c>
      <c r="R154" s="8">
        <f t="shared" si="8"/>
        <v>888.08225066558919</v>
      </c>
      <c r="S154" s="8" t="str">
        <f>VLOOKUP(J154,'GHG Factors FY21'!A:B,2,FALSE)</f>
        <v>Genset</v>
      </c>
      <c r="T154" s="8" t="str">
        <f>VLOOKUP(ReformFY21[[#This Row],[Reporting Alias]],'Entities FY21'!B:B,1,FALSE)</f>
        <v>Other Grounds Portable Gensets etc Petrol TAS</v>
      </c>
    </row>
    <row r="155" spans="1:20">
      <c r="A155" t="s">
        <v>938</v>
      </c>
      <c r="B155" t="s">
        <v>787</v>
      </c>
      <c r="C155" t="s">
        <v>686</v>
      </c>
      <c r="D155" s="244">
        <v>0.7654604466407805</v>
      </c>
      <c r="E155">
        <v>26.178747275114695</v>
      </c>
      <c r="F155">
        <v>1774.9190652527766</v>
      </c>
      <c r="G155">
        <v>0</v>
      </c>
      <c r="H155">
        <v>94.243490190412899</v>
      </c>
      <c r="I155">
        <v>1869.1625554431894</v>
      </c>
      <c r="J155" t="str">
        <f t="shared" si="9"/>
        <v>Other Grounds Portable Gensets etc Petrol VIC</v>
      </c>
      <c r="K155" t="str">
        <f t="shared" si="9"/>
        <v>kL</v>
      </c>
      <c r="L155" t="str">
        <f t="shared" si="9"/>
        <v>BBB</v>
      </c>
      <c r="M155" s="21">
        <f t="shared" si="9"/>
        <v>0.7654604466407805</v>
      </c>
      <c r="N155" s="8">
        <f t="shared" si="9"/>
        <v>26.178747275114695</v>
      </c>
      <c r="O155" s="8">
        <f t="shared" si="9"/>
        <v>1774.9190652527766</v>
      </c>
      <c r="P155" s="8">
        <f t="shared" si="9"/>
        <v>0</v>
      </c>
      <c r="Q155" s="8">
        <f t="shared" si="9"/>
        <v>94.243490190412899</v>
      </c>
      <c r="R155" s="8">
        <f t="shared" si="8"/>
        <v>1869.1625554431894</v>
      </c>
      <c r="S155" s="8" t="str">
        <f>VLOOKUP(J155,'GHG Factors FY21'!A:B,2,FALSE)</f>
        <v>Genset</v>
      </c>
      <c r="T155" s="8" t="str">
        <f>VLOOKUP(ReformFY21[[#This Row],[Reporting Alias]],'Entities FY21'!B:B,1,FALSE)</f>
        <v>Other Grounds Portable Gensets etc Petrol VIC</v>
      </c>
    </row>
    <row r="156" spans="1:20">
      <c r="A156" t="s">
        <v>939</v>
      </c>
      <c r="B156" t="s">
        <v>787</v>
      </c>
      <c r="C156" t="s">
        <v>686</v>
      </c>
      <c r="D156" s="244">
        <v>18.127644394960651</v>
      </c>
      <c r="E156">
        <v>619.96543830765427</v>
      </c>
      <c r="F156">
        <v>42033.656717258964</v>
      </c>
      <c r="G156">
        <v>0</v>
      </c>
      <c r="H156">
        <v>2231.8755779075555</v>
      </c>
      <c r="I156">
        <v>44265.532295166522</v>
      </c>
      <c r="J156" t="str">
        <f t="shared" si="9"/>
        <v>Other Grounds Portable Gensets etc Petrol WA</v>
      </c>
      <c r="K156" t="str">
        <f t="shared" si="9"/>
        <v>kL</v>
      </c>
      <c r="L156" t="str">
        <f t="shared" si="9"/>
        <v>BBB</v>
      </c>
      <c r="M156" s="21">
        <f t="shared" si="9"/>
        <v>18.127644394960651</v>
      </c>
      <c r="N156" s="8">
        <f t="shared" si="9"/>
        <v>619.96543830765427</v>
      </c>
      <c r="O156" s="8">
        <f t="shared" si="9"/>
        <v>42033.656717258964</v>
      </c>
      <c r="P156" s="8">
        <f t="shared" si="9"/>
        <v>0</v>
      </c>
      <c r="Q156" s="8">
        <f t="shared" si="9"/>
        <v>2231.8755779075555</v>
      </c>
      <c r="R156" s="8">
        <f t="shared" si="8"/>
        <v>44265.532295166522</v>
      </c>
      <c r="S156" s="8" t="str">
        <f>VLOOKUP(J156,'GHG Factors FY21'!A:B,2,FALSE)</f>
        <v>Genset</v>
      </c>
      <c r="T156" s="8" t="str">
        <f>VLOOKUP(ReformFY21[[#This Row],[Reporting Alias]],'Entities FY21'!B:B,1,FALSE)</f>
        <v>Other Grounds Portable Gensets etc Petrol WA</v>
      </c>
    </row>
    <row r="157" spans="1:20">
      <c r="A157" t="s">
        <v>940</v>
      </c>
      <c r="B157" t="s">
        <v>787</v>
      </c>
      <c r="C157" t="s">
        <v>686</v>
      </c>
      <c r="D157" s="244">
        <v>0.46300010000000003</v>
      </c>
      <c r="E157">
        <v>17.87180386</v>
      </c>
      <c r="F157">
        <v>1254.6006309720001</v>
      </c>
      <c r="G157">
        <v>0</v>
      </c>
      <c r="H157">
        <v>64.338493896000003</v>
      </c>
      <c r="I157">
        <v>1318.9391248680001</v>
      </c>
      <c r="J157" t="str">
        <f t="shared" si="9"/>
        <v>Diesel Generators NON-Network COMMERCIAL JLL ACT</v>
      </c>
      <c r="K157" t="str">
        <f t="shared" si="9"/>
        <v>kL</v>
      </c>
      <c r="L157" t="str">
        <f t="shared" si="9"/>
        <v>BBB</v>
      </c>
      <c r="M157" s="21">
        <f t="shared" si="9"/>
        <v>0.46300010000000003</v>
      </c>
      <c r="N157" s="8">
        <f t="shared" si="9"/>
        <v>17.87180386</v>
      </c>
      <c r="O157" s="8">
        <f t="shared" si="9"/>
        <v>1254.6006309720001</v>
      </c>
      <c r="P157" s="8">
        <f t="shared" si="9"/>
        <v>0</v>
      </c>
      <c r="Q157" s="8">
        <f t="shared" si="9"/>
        <v>64.338493896000003</v>
      </c>
      <c r="R157" s="8">
        <f t="shared" si="8"/>
        <v>1318.9391248680001</v>
      </c>
      <c r="S157" s="8" t="str">
        <f>VLOOKUP(J157,'GHG Factors FY21'!A:B,2,FALSE)</f>
        <v>Genset</v>
      </c>
      <c r="T157" s="8" t="str">
        <f>VLOOKUP(ReformFY21[[#This Row],[Reporting Alias]],'Entities FY21'!B:B,1,FALSE)</f>
        <v>Diesel Generators NON-Network COMMERCIAL JLL ACT</v>
      </c>
    </row>
    <row r="158" spans="1:20">
      <c r="A158" t="s">
        <v>941</v>
      </c>
      <c r="B158" t="s">
        <v>787</v>
      </c>
      <c r="C158" t="s">
        <v>686</v>
      </c>
      <c r="D158" s="244">
        <v>0.43199969999999999</v>
      </c>
      <c r="E158">
        <v>16.675188420000001</v>
      </c>
      <c r="F158">
        <v>1170.5982270840002</v>
      </c>
      <c r="G158">
        <v>0</v>
      </c>
      <c r="H158">
        <v>60.030678312000006</v>
      </c>
      <c r="I158">
        <v>1230.6289053960002</v>
      </c>
      <c r="J158" t="str">
        <f t="shared" si="9"/>
        <v>Diesel Generators NON-Network COMMERCIAL JLL NSW</v>
      </c>
      <c r="K158" t="str">
        <f t="shared" si="9"/>
        <v>kL</v>
      </c>
      <c r="L158" t="str">
        <f t="shared" si="9"/>
        <v>BBB</v>
      </c>
      <c r="M158" s="21">
        <f t="shared" si="9"/>
        <v>0.43199969999999999</v>
      </c>
      <c r="N158" s="8">
        <f t="shared" si="9"/>
        <v>16.675188420000001</v>
      </c>
      <c r="O158" s="8">
        <f t="shared" si="9"/>
        <v>1170.5982270840002</v>
      </c>
      <c r="P158" s="8">
        <f t="shared" si="9"/>
        <v>0</v>
      </c>
      <c r="Q158" s="8">
        <f t="shared" si="9"/>
        <v>60.030678312000006</v>
      </c>
      <c r="R158" s="8">
        <f t="shared" si="8"/>
        <v>1230.6289053960002</v>
      </c>
      <c r="S158" s="8" t="str">
        <f>VLOOKUP(J158,'GHG Factors FY21'!A:B,2,FALSE)</f>
        <v>Genset</v>
      </c>
      <c r="T158" s="8" t="str">
        <f>VLOOKUP(ReformFY21[[#This Row],[Reporting Alias]],'Entities FY21'!B:B,1,FALSE)</f>
        <v>Diesel Generators NON-Network COMMERCIAL JLL NSW</v>
      </c>
    </row>
    <row r="159" spans="1:20">
      <c r="A159" t="s">
        <v>942</v>
      </c>
      <c r="B159" t="s">
        <v>787</v>
      </c>
      <c r="C159" t="s">
        <v>686</v>
      </c>
      <c r="D159" s="244">
        <v>0</v>
      </c>
      <c r="E159">
        <v>0</v>
      </c>
      <c r="F159">
        <v>0</v>
      </c>
      <c r="G159">
        <v>0</v>
      </c>
      <c r="H159">
        <v>0</v>
      </c>
      <c r="I159">
        <v>0</v>
      </c>
      <c r="J159" t="str">
        <f t="shared" si="9"/>
        <v>Diesel Generators NON-Network COMMERCIAL JLL NT</v>
      </c>
      <c r="K159" t="str">
        <f t="shared" si="9"/>
        <v>kL</v>
      </c>
      <c r="L159" t="str">
        <f t="shared" si="9"/>
        <v>BBB</v>
      </c>
      <c r="M159" s="21">
        <f t="shared" si="9"/>
        <v>0</v>
      </c>
      <c r="N159" s="8">
        <f t="shared" si="9"/>
        <v>0</v>
      </c>
      <c r="O159" s="8">
        <f t="shared" si="9"/>
        <v>0</v>
      </c>
      <c r="P159" s="8">
        <f t="shared" si="9"/>
        <v>0</v>
      </c>
      <c r="Q159" s="8">
        <f t="shared" si="9"/>
        <v>0</v>
      </c>
      <c r="R159" s="8">
        <f t="shared" si="8"/>
        <v>0</v>
      </c>
      <c r="S159" s="8" t="str">
        <f>VLOOKUP(J159,'GHG Factors FY21'!A:B,2,FALSE)</f>
        <v>Genset</v>
      </c>
      <c r="T159" s="8" t="str">
        <f>VLOOKUP(ReformFY21[[#This Row],[Reporting Alias]],'Entities FY21'!B:B,1,FALSE)</f>
        <v>Diesel Generators NON-Network COMMERCIAL JLL NT</v>
      </c>
    </row>
    <row r="160" spans="1:20">
      <c r="A160" t="s">
        <v>943</v>
      </c>
      <c r="B160" t="s">
        <v>787</v>
      </c>
      <c r="C160" t="s">
        <v>686</v>
      </c>
      <c r="D160" s="244">
        <v>0.68999960000000005</v>
      </c>
      <c r="E160">
        <v>26.633984560000002</v>
      </c>
      <c r="F160">
        <v>1869.7057161120001</v>
      </c>
      <c r="G160">
        <v>0</v>
      </c>
      <c r="H160">
        <v>95.882344416000009</v>
      </c>
      <c r="I160">
        <v>1965.5880605280001</v>
      </c>
      <c r="J160" t="str">
        <f t="shared" si="9"/>
        <v>Diesel Generators NON-Network COMMERCIAL JLL QLD</v>
      </c>
      <c r="K160" t="str">
        <f t="shared" si="9"/>
        <v>kL</v>
      </c>
      <c r="L160" t="str">
        <f t="shared" si="9"/>
        <v>BBB</v>
      </c>
      <c r="M160" s="21">
        <f t="shared" si="9"/>
        <v>0.68999960000000005</v>
      </c>
      <c r="N160" s="8">
        <f t="shared" si="9"/>
        <v>26.633984560000002</v>
      </c>
      <c r="O160" s="8">
        <f t="shared" si="9"/>
        <v>1869.7057161120001</v>
      </c>
      <c r="P160" s="8">
        <f t="shared" si="9"/>
        <v>0</v>
      </c>
      <c r="Q160" s="8">
        <f t="shared" si="9"/>
        <v>95.882344416000009</v>
      </c>
      <c r="R160" s="8">
        <f t="shared" si="8"/>
        <v>1965.5880605280001</v>
      </c>
      <c r="S160" s="8" t="str">
        <f>VLOOKUP(J160,'GHG Factors FY21'!A:B,2,FALSE)</f>
        <v>Genset</v>
      </c>
      <c r="T160" s="8" t="str">
        <f>VLOOKUP(ReformFY21[[#This Row],[Reporting Alias]],'Entities FY21'!B:B,1,FALSE)</f>
        <v>Diesel Generators NON-Network COMMERCIAL JLL QLD</v>
      </c>
    </row>
    <row r="161" spans="1:20">
      <c r="A161" t="s">
        <v>944</v>
      </c>
      <c r="B161" t="s">
        <v>787</v>
      </c>
      <c r="C161" t="s">
        <v>686</v>
      </c>
      <c r="D161" s="244">
        <v>8.6999799999999988E-2</v>
      </c>
      <c r="E161">
        <v>3.3581922799999995</v>
      </c>
      <c r="F161">
        <v>235.74509805599996</v>
      </c>
      <c r="G161">
        <v>0</v>
      </c>
      <c r="H161">
        <v>12.089492207999998</v>
      </c>
      <c r="I161">
        <v>247.83459026399996</v>
      </c>
      <c r="J161" t="str">
        <f t="shared" si="9"/>
        <v>Diesel Generators NON-Network COMMERCIAL JLL SA</v>
      </c>
      <c r="K161" t="str">
        <f t="shared" si="9"/>
        <v>kL</v>
      </c>
      <c r="L161" t="str">
        <f t="shared" si="9"/>
        <v>BBB</v>
      </c>
      <c r="M161" s="21">
        <f t="shared" si="9"/>
        <v>8.6999799999999988E-2</v>
      </c>
      <c r="N161" s="8">
        <f t="shared" si="9"/>
        <v>3.3581922799999995</v>
      </c>
      <c r="O161" s="8">
        <f t="shared" si="9"/>
        <v>235.74509805599996</v>
      </c>
      <c r="P161" s="8">
        <f t="shared" si="9"/>
        <v>0</v>
      </c>
      <c r="Q161" s="8">
        <f t="shared" si="9"/>
        <v>12.089492207999998</v>
      </c>
      <c r="R161" s="8">
        <f t="shared" si="8"/>
        <v>247.83459026399996</v>
      </c>
      <c r="S161" s="8" t="str">
        <f>VLOOKUP(J161,'GHG Factors FY21'!A:B,2,FALSE)</f>
        <v>Genset</v>
      </c>
      <c r="T161" s="8" t="str">
        <f>VLOOKUP(ReformFY21[[#This Row],[Reporting Alias]],'Entities FY21'!B:B,1,FALSE)</f>
        <v>Diesel Generators NON-Network COMMERCIAL JLL SA</v>
      </c>
    </row>
    <row r="162" spans="1:20">
      <c r="A162" t="s">
        <v>945</v>
      </c>
      <c r="B162" t="s">
        <v>787</v>
      </c>
      <c r="C162" t="s">
        <v>686</v>
      </c>
      <c r="D162" s="244">
        <v>0</v>
      </c>
      <c r="E162">
        <v>0</v>
      </c>
      <c r="F162">
        <v>0</v>
      </c>
      <c r="G162">
        <v>0</v>
      </c>
      <c r="H162">
        <v>0</v>
      </c>
      <c r="I162">
        <v>0</v>
      </c>
      <c r="J162" t="str">
        <f t="shared" si="9"/>
        <v>Diesel Generators NON-Network COMMERCIAL JLL TAS</v>
      </c>
      <c r="K162" t="str">
        <f t="shared" si="9"/>
        <v>kL</v>
      </c>
      <c r="L162" t="str">
        <f t="shared" si="9"/>
        <v>BBB</v>
      </c>
      <c r="M162" s="21">
        <f t="shared" si="9"/>
        <v>0</v>
      </c>
      <c r="N162" s="8">
        <f t="shared" si="9"/>
        <v>0</v>
      </c>
      <c r="O162" s="8">
        <f t="shared" si="9"/>
        <v>0</v>
      </c>
      <c r="P162" s="8">
        <f t="shared" si="9"/>
        <v>0</v>
      </c>
      <c r="Q162" s="8">
        <f t="shared" si="9"/>
        <v>0</v>
      </c>
      <c r="R162" s="8">
        <f t="shared" si="8"/>
        <v>0</v>
      </c>
      <c r="S162" s="8" t="str">
        <f>VLOOKUP(J162,'GHG Factors FY21'!A:B,2,FALSE)</f>
        <v>Genset</v>
      </c>
      <c r="T162" s="8" t="str">
        <f>VLOOKUP(ReformFY21[[#This Row],[Reporting Alias]],'Entities FY21'!B:B,1,FALSE)</f>
        <v>Diesel Generators NON-Network COMMERCIAL JLL TAS</v>
      </c>
    </row>
    <row r="163" spans="1:20">
      <c r="A163" t="s">
        <v>946</v>
      </c>
      <c r="B163" t="s">
        <v>787</v>
      </c>
      <c r="C163" t="s">
        <v>686</v>
      </c>
      <c r="D163" s="244">
        <v>0.1899999</v>
      </c>
      <c r="E163">
        <v>7.33399614</v>
      </c>
      <c r="F163">
        <v>514.84652902800008</v>
      </c>
      <c r="G163">
        <v>0</v>
      </c>
      <c r="H163">
        <v>26.402386104000001</v>
      </c>
      <c r="I163">
        <v>541.24891513200009</v>
      </c>
      <c r="J163" t="str">
        <f t="shared" si="9"/>
        <v>Diesel Generators NON-Network COMMERCIAL JLL VIC</v>
      </c>
      <c r="K163" t="str">
        <f t="shared" si="9"/>
        <v>kL</v>
      </c>
      <c r="L163" t="str">
        <f t="shared" si="9"/>
        <v>BBB</v>
      </c>
      <c r="M163" s="21">
        <f t="shared" si="9"/>
        <v>0.1899999</v>
      </c>
      <c r="N163" s="8">
        <f t="shared" si="9"/>
        <v>7.33399614</v>
      </c>
      <c r="O163" s="8">
        <f t="shared" si="9"/>
        <v>514.84652902800008</v>
      </c>
      <c r="P163" s="8">
        <f t="shared" si="9"/>
        <v>0</v>
      </c>
      <c r="Q163" s="8">
        <f t="shared" si="9"/>
        <v>26.402386104000001</v>
      </c>
      <c r="R163" s="8">
        <f t="shared" si="8"/>
        <v>541.24891513200009</v>
      </c>
      <c r="S163" s="8" t="str">
        <f>VLOOKUP(J163,'GHG Factors FY21'!A:B,2,FALSE)</f>
        <v>Genset</v>
      </c>
      <c r="T163" s="8" t="str">
        <f>VLOOKUP(ReformFY21[[#This Row],[Reporting Alias]],'Entities FY21'!B:B,1,FALSE)</f>
        <v>Diesel Generators NON-Network COMMERCIAL JLL VIC</v>
      </c>
    </row>
    <row r="164" spans="1:20">
      <c r="A164" t="s">
        <v>947</v>
      </c>
      <c r="B164" t="s">
        <v>787</v>
      </c>
      <c r="C164" t="s">
        <v>686</v>
      </c>
      <c r="D164" s="244">
        <v>0</v>
      </c>
      <c r="E164">
        <v>0</v>
      </c>
      <c r="F164">
        <v>0</v>
      </c>
      <c r="G164">
        <v>0</v>
      </c>
      <c r="H164">
        <v>0</v>
      </c>
      <c r="I164">
        <v>0</v>
      </c>
      <c r="J164" t="str">
        <f t="shared" si="9"/>
        <v>Diesel Generators NON-Network COMMERCIAL JLL WA</v>
      </c>
      <c r="K164" t="str">
        <f t="shared" si="9"/>
        <v>kL</v>
      </c>
      <c r="L164" t="str">
        <f t="shared" si="9"/>
        <v>BBB</v>
      </c>
      <c r="M164" s="21">
        <f t="shared" si="9"/>
        <v>0</v>
      </c>
      <c r="N164" s="8">
        <f t="shared" si="9"/>
        <v>0</v>
      </c>
      <c r="O164" s="8">
        <f t="shared" si="9"/>
        <v>0</v>
      </c>
      <c r="P164" s="8">
        <f t="shared" si="9"/>
        <v>0</v>
      </c>
      <c r="Q164" s="8">
        <f t="shared" si="9"/>
        <v>0</v>
      </c>
      <c r="R164" s="8">
        <f t="shared" si="8"/>
        <v>0</v>
      </c>
      <c r="S164" s="8" t="str">
        <f>VLOOKUP(J164,'GHG Factors FY21'!A:B,2,FALSE)</f>
        <v>Genset</v>
      </c>
      <c r="T164" s="8" t="str">
        <f>VLOOKUP(ReformFY21[[#This Row],[Reporting Alias]],'Entities FY21'!B:B,1,FALSE)</f>
        <v>Diesel Generators NON-Network COMMERCIAL JLL WA</v>
      </c>
    </row>
    <row r="165" spans="1:20">
      <c r="A165" t="s">
        <v>948</v>
      </c>
      <c r="B165" t="s">
        <v>787</v>
      </c>
      <c r="C165" t="s">
        <v>686</v>
      </c>
      <c r="D165" s="244">
        <v>0</v>
      </c>
      <c r="E165">
        <v>0</v>
      </c>
      <c r="F165">
        <v>0</v>
      </c>
      <c r="G165">
        <v>0</v>
      </c>
      <c r="H165">
        <v>0</v>
      </c>
      <c r="I165">
        <v>0</v>
      </c>
      <c r="J165" t="str">
        <f t="shared" si="9"/>
        <v>LPG Generators NON-Network COMMERCIAL JLL ACT</v>
      </c>
      <c r="K165" t="str">
        <f t="shared" si="9"/>
        <v>kL</v>
      </c>
      <c r="L165" t="str">
        <f t="shared" si="9"/>
        <v>BBB</v>
      </c>
      <c r="M165" s="21">
        <f t="shared" si="9"/>
        <v>0</v>
      </c>
      <c r="N165" s="8">
        <f t="shared" si="9"/>
        <v>0</v>
      </c>
      <c r="O165" s="8">
        <f t="shared" si="9"/>
        <v>0</v>
      </c>
      <c r="P165" s="8">
        <f t="shared" si="9"/>
        <v>0</v>
      </c>
      <c r="Q165" s="8">
        <f t="shared" si="9"/>
        <v>0</v>
      </c>
      <c r="R165" s="8">
        <f t="shared" si="8"/>
        <v>0</v>
      </c>
      <c r="S165" s="8" t="str">
        <f>VLOOKUP(J165,'GHG Factors FY21'!A:B,2,FALSE)</f>
        <v>Genset</v>
      </c>
      <c r="T165" s="8" t="str">
        <f>VLOOKUP(ReformFY21[[#This Row],[Reporting Alias]],'Entities FY21'!B:B,1,FALSE)</f>
        <v>LPG Generators NON-Network COMMERCIAL JLL ACT</v>
      </c>
    </row>
    <row r="166" spans="1:20">
      <c r="A166" t="s">
        <v>949</v>
      </c>
      <c r="B166" t="s">
        <v>787</v>
      </c>
      <c r="C166" t="s">
        <v>686</v>
      </c>
      <c r="D166" s="244">
        <v>0</v>
      </c>
      <c r="E166">
        <v>0</v>
      </c>
      <c r="F166">
        <v>0</v>
      </c>
      <c r="G166">
        <v>0</v>
      </c>
      <c r="H166">
        <v>0</v>
      </c>
      <c r="I166">
        <v>0</v>
      </c>
      <c r="J166" t="str">
        <f t="shared" si="9"/>
        <v>LPG Generators NON-Network COMMERCIAL JLL NSW</v>
      </c>
      <c r="K166" t="str">
        <f t="shared" si="9"/>
        <v>kL</v>
      </c>
      <c r="L166" t="str">
        <f t="shared" si="9"/>
        <v>BBB</v>
      </c>
      <c r="M166" s="21">
        <f t="shared" si="9"/>
        <v>0</v>
      </c>
      <c r="N166" s="8">
        <f t="shared" si="9"/>
        <v>0</v>
      </c>
      <c r="O166" s="8">
        <f t="shared" si="9"/>
        <v>0</v>
      </c>
      <c r="P166" s="8">
        <f t="shared" si="9"/>
        <v>0</v>
      </c>
      <c r="Q166" s="8">
        <f t="shared" si="9"/>
        <v>0</v>
      </c>
      <c r="R166" s="8">
        <f t="shared" si="8"/>
        <v>0</v>
      </c>
      <c r="S166" s="8" t="str">
        <f>VLOOKUP(J166,'GHG Factors FY21'!A:B,2,FALSE)</f>
        <v>Genset</v>
      </c>
      <c r="T166" s="8" t="str">
        <f>VLOOKUP(ReformFY21[[#This Row],[Reporting Alias]],'Entities FY21'!B:B,1,FALSE)</f>
        <v>LPG Generators NON-Network COMMERCIAL JLL NSW</v>
      </c>
    </row>
    <row r="167" spans="1:20">
      <c r="A167" t="s">
        <v>950</v>
      </c>
      <c r="B167" t="s">
        <v>787</v>
      </c>
      <c r="C167" t="s">
        <v>686</v>
      </c>
      <c r="D167" s="244">
        <v>0</v>
      </c>
      <c r="E167">
        <v>0</v>
      </c>
      <c r="F167">
        <v>0</v>
      </c>
      <c r="G167">
        <v>0</v>
      </c>
      <c r="H167">
        <v>0</v>
      </c>
      <c r="I167">
        <v>0</v>
      </c>
      <c r="J167" t="str">
        <f t="shared" si="9"/>
        <v>LPG Generators NON-Network COMMERCIAL JLL NT</v>
      </c>
      <c r="K167" t="str">
        <f t="shared" si="9"/>
        <v>kL</v>
      </c>
      <c r="L167" t="str">
        <f t="shared" si="9"/>
        <v>BBB</v>
      </c>
      <c r="M167" s="21">
        <f t="shared" si="9"/>
        <v>0</v>
      </c>
      <c r="N167" s="8">
        <f t="shared" si="9"/>
        <v>0</v>
      </c>
      <c r="O167" s="8">
        <f t="shared" si="9"/>
        <v>0</v>
      </c>
      <c r="P167" s="8">
        <f t="shared" si="9"/>
        <v>0</v>
      </c>
      <c r="Q167" s="8">
        <f t="shared" si="9"/>
        <v>0</v>
      </c>
      <c r="R167" s="8">
        <f t="shared" si="8"/>
        <v>0</v>
      </c>
      <c r="S167" s="8" t="str">
        <f>VLOOKUP(J167,'GHG Factors FY21'!A:B,2,FALSE)</f>
        <v>Genset</v>
      </c>
      <c r="T167" s="8" t="str">
        <f>VLOOKUP(ReformFY21[[#This Row],[Reporting Alias]],'Entities FY21'!B:B,1,FALSE)</f>
        <v>LPG Generators NON-Network COMMERCIAL JLL NT</v>
      </c>
    </row>
    <row r="168" spans="1:20">
      <c r="A168" t="s">
        <v>951</v>
      </c>
      <c r="B168" t="s">
        <v>787</v>
      </c>
      <c r="C168" t="s">
        <v>686</v>
      </c>
      <c r="D168" s="244">
        <v>0</v>
      </c>
      <c r="E168">
        <v>0</v>
      </c>
      <c r="F168">
        <v>0</v>
      </c>
      <c r="G168">
        <v>0</v>
      </c>
      <c r="H168">
        <v>0</v>
      </c>
      <c r="I168">
        <v>0</v>
      </c>
      <c r="J168" t="str">
        <f t="shared" si="9"/>
        <v>LPG Generators NON-Network COMMERCIAL JLL QLD</v>
      </c>
      <c r="K168" t="str">
        <f t="shared" si="9"/>
        <v>kL</v>
      </c>
      <c r="L168" t="str">
        <f t="shared" si="9"/>
        <v>BBB</v>
      </c>
      <c r="M168" s="21">
        <f t="shared" si="9"/>
        <v>0</v>
      </c>
      <c r="N168" s="8">
        <f t="shared" si="9"/>
        <v>0</v>
      </c>
      <c r="O168" s="8">
        <f t="shared" si="9"/>
        <v>0</v>
      </c>
      <c r="P168" s="8">
        <f t="shared" si="9"/>
        <v>0</v>
      </c>
      <c r="Q168" s="8">
        <f t="shared" si="9"/>
        <v>0</v>
      </c>
      <c r="R168" s="8">
        <f t="shared" si="8"/>
        <v>0</v>
      </c>
      <c r="S168" s="8" t="str">
        <f>VLOOKUP(J168,'GHG Factors FY21'!A:B,2,FALSE)</f>
        <v>Genset</v>
      </c>
      <c r="T168" s="8" t="str">
        <f>VLOOKUP(ReformFY21[[#This Row],[Reporting Alias]],'Entities FY21'!B:B,1,FALSE)</f>
        <v>LPG Generators NON-Network COMMERCIAL JLL QLD</v>
      </c>
    </row>
    <row r="169" spans="1:20">
      <c r="A169" t="s">
        <v>952</v>
      </c>
      <c r="B169" t="s">
        <v>787</v>
      </c>
      <c r="C169" t="s">
        <v>686</v>
      </c>
      <c r="D169" s="244">
        <v>0</v>
      </c>
      <c r="E169">
        <v>0</v>
      </c>
      <c r="F169">
        <v>0</v>
      </c>
      <c r="G169">
        <v>0</v>
      </c>
      <c r="H169">
        <v>0</v>
      </c>
      <c r="I169">
        <v>0</v>
      </c>
      <c r="J169" t="str">
        <f t="shared" si="9"/>
        <v>LPG Generators NON-Network COMMERCIAL JLL SA</v>
      </c>
      <c r="K169" t="str">
        <f t="shared" si="9"/>
        <v>kL</v>
      </c>
      <c r="L169" t="str">
        <f t="shared" si="9"/>
        <v>BBB</v>
      </c>
      <c r="M169" s="21">
        <f t="shared" si="9"/>
        <v>0</v>
      </c>
      <c r="N169" s="8">
        <f t="shared" si="9"/>
        <v>0</v>
      </c>
      <c r="O169" s="8">
        <f t="shared" si="9"/>
        <v>0</v>
      </c>
      <c r="P169" s="8">
        <f t="shared" si="9"/>
        <v>0</v>
      </c>
      <c r="Q169" s="8">
        <f t="shared" si="9"/>
        <v>0</v>
      </c>
      <c r="R169" s="8">
        <f t="shared" si="8"/>
        <v>0</v>
      </c>
      <c r="S169" s="8" t="str">
        <f>VLOOKUP(J169,'GHG Factors FY21'!A:B,2,FALSE)</f>
        <v>Genset</v>
      </c>
      <c r="T169" s="8" t="str">
        <f>VLOOKUP(ReformFY21[[#This Row],[Reporting Alias]],'Entities FY21'!B:B,1,FALSE)</f>
        <v>LPG Generators NON-Network COMMERCIAL JLL SA</v>
      </c>
    </row>
    <row r="170" spans="1:20">
      <c r="A170" t="s">
        <v>953</v>
      </c>
      <c r="B170" t="s">
        <v>787</v>
      </c>
      <c r="C170" t="s">
        <v>686</v>
      </c>
      <c r="D170" s="244">
        <v>0</v>
      </c>
      <c r="E170">
        <v>0</v>
      </c>
      <c r="F170">
        <v>0</v>
      </c>
      <c r="G170">
        <v>0</v>
      </c>
      <c r="H170">
        <v>0</v>
      </c>
      <c r="I170">
        <v>0</v>
      </c>
      <c r="J170" t="str">
        <f t="shared" si="9"/>
        <v>LPG Generators NON-Network COMMERCIAL JLL TAS</v>
      </c>
      <c r="K170" t="str">
        <f t="shared" si="9"/>
        <v>kL</v>
      </c>
      <c r="L170" t="str">
        <f t="shared" si="9"/>
        <v>BBB</v>
      </c>
      <c r="M170" s="21">
        <f t="shared" si="9"/>
        <v>0</v>
      </c>
      <c r="N170" s="8">
        <f t="shared" si="9"/>
        <v>0</v>
      </c>
      <c r="O170" s="8">
        <f t="shared" si="9"/>
        <v>0</v>
      </c>
      <c r="P170" s="8">
        <f t="shared" si="9"/>
        <v>0</v>
      </c>
      <c r="Q170" s="8">
        <f t="shared" si="9"/>
        <v>0</v>
      </c>
      <c r="R170" s="8">
        <f t="shared" si="8"/>
        <v>0</v>
      </c>
      <c r="S170" s="8" t="str">
        <f>VLOOKUP(J170,'GHG Factors FY21'!A:B,2,FALSE)</f>
        <v>Genset</v>
      </c>
      <c r="T170" s="8" t="str">
        <f>VLOOKUP(ReformFY21[[#This Row],[Reporting Alias]],'Entities FY21'!B:B,1,FALSE)</f>
        <v>LPG Generators NON-Network COMMERCIAL JLL TAS</v>
      </c>
    </row>
    <row r="171" spans="1:20">
      <c r="A171" t="s">
        <v>954</v>
      </c>
      <c r="B171" t="s">
        <v>787</v>
      </c>
      <c r="C171" t="s">
        <v>686</v>
      </c>
      <c r="D171" s="244">
        <v>0</v>
      </c>
      <c r="E171">
        <v>0</v>
      </c>
      <c r="F171">
        <v>0</v>
      </c>
      <c r="G171">
        <v>0</v>
      </c>
      <c r="H171">
        <v>0</v>
      </c>
      <c r="I171">
        <v>0</v>
      </c>
      <c r="J171" t="str">
        <f t="shared" si="9"/>
        <v>LPG Generators NON-Network COMMERCIAL JLL VIC</v>
      </c>
      <c r="K171" t="str">
        <f t="shared" si="9"/>
        <v>kL</v>
      </c>
      <c r="L171" t="str">
        <f t="shared" si="9"/>
        <v>BBB</v>
      </c>
      <c r="M171" s="21">
        <f t="shared" si="9"/>
        <v>0</v>
      </c>
      <c r="N171" s="8">
        <f t="shared" si="9"/>
        <v>0</v>
      </c>
      <c r="O171" s="8">
        <f t="shared" si="9"/>
        <v>0</v>
      </c>
      <c r="P171" s="8">
        <f t="shared" si="9"/>
        <v>0</v>
      </c>
      <c r="Q171" s="8">
        <f t="shared" si="9"/>
        <v>0</v>
      </c>
      <c r="R171" s="8">
        <f t="shared" si="8"/>
        <v>0</v>
      </c>
      <c r="S171" s="8" t="str">
        <f>VLOOKUP(J171,'GHG Factors FY21'!A:B,2,FALSE)</f>
        <v>Genset</v>
      </c>
      <c r="T171" s="8" t="str">
        <f>VLOOKUP(ReformFY21[[#This Row],[Reporting Alias]],'Entities FY21'!B:B,1,FALSE)</f>
        <v>LPG Generators NON-Network COMMERCIAL JLL VIC</v>
      </c>
    </row>
    <row r="172" spans="1:20">
      <c r="A172" t="s">
        <v>955</v>
      </c>
      <c r="B172" t="s">
        <v>787</v>
      </c>
      <c r="C172" t="s">
        <v>686</v>
      </c>
      <c r="D172" s="244">
        <v>0</v>
      </c>
      <c r="E172">
        <v>0</v>
      </c>
      <c r="F172">
        <v>0</v>
      </c>
      <c r="G172">
        <v>0</v>
      </c>
      <c r="H172">
        <v>0</v>
      </c>
      <c r="I172">
        <v>0</v>
      </c>
      <c r="J172" t="str">
        <f t="shared" si="9"/>
        <v>LPG Generators NON-Network COMMERCIAL JLL WA</v>
      </c>
      <c r="K172" t="str">
        <f t="shared" si="9"/>
        <v>kL</v>
      </c>
      <c r="L172" t="str">
        <f t="shared" si="9"/>
        <v>BBB</v>
      </c>
      <c r="M172" s="21">
        <f t="shared" si="9"/>
        <v>0</v>
      </c>
      <c r="N172" s="8">
        <f t="shared" si="9"/>
        <v>0</v>
      </c>
      <c r="O172" s="8">
        <f t="shared" si="9"/>
        <v>0</v>
      </c>
      <c r="P172" s="8">
        <f t="shared" si="9"/>
        <v>0</v>
      </c>
      <c r="Q172" s="8">
        <f t="shared" si="9"/>
        <v>0</v>
      </c>
      <c r="R172" s="8">
        <f t="shared" si="8"/>
        <v>0</v>
      </c>
      <c r="S172" s="8" t="str">
        <f>VLOOKUP(J172,'GHG Factors FY21'!A:B,2,FALSE)</f>
        <v>Genset</v>
      </c>
      <c r="T172" s="8" t="str">
        <f>VLOOKUP(ReformFY21[[#This Row],[Reporting Alias]],'Entities FY21'!B:B,1,FALSE)</f>
        <v>LPG Generators NON-Network COMMERCIAL JLL WA</v>
      </c>
    </row>
    <row r="173" spans="1:20">
      <c r="A173" t="s">
        <v>956</v>
      </c>
      <c r="B173" t="s">
        <v>787</v>
      </c>
      <c r="C173" t="s">
        <v>686</v>
      </c>
      <c r="D173" s="244">
        <v>0.57964539999999998</v>
      </c>
      <c r="E173">
        <v>22.374312440000001</v>
      </c>
      <c r="F173">
        <v>1570.6767332880002</v>
      </c>
      <c r="G173">
        <v>0</v>
      </c>
      <c r="H173">
        <v>80.547524784000004</v>
      </c>
      <c r="I173">
        <v>1651.2242580720001</v>
      </c>
      <c r="J173" t="str">
        <f t="shared" si="9"/>
        <v>Pitwater fuel Diesel NSW</v>
      </c>
      <c r="K173" t="str">
        <f t="shared" si="9"/>
        <v>kL</v>
      </c>
      <c r="L173" t="str">
        <f t="shared" si="9"/>
        <v>BBB</v>
      </c>
      <c r="M173" s="21">
        <f t="shared" si="9"/>
        <v>0.57964539999999998</v>
      </c>
      <c r="N173" s="8">
        <f t="shared" si="9"/>
        <v>22.374312440000001</v>
      </c>
      <c r="O173" s="8">
        <f t="shared" si="9"/>
        <v>1570.6767332880002</v>
      </c>
      <c r="P173" s="8">
        <f t="shared" si="9"/>
        <v>0</v>
      </c>
      <c r="Q173" s="8">
        <f t="shared" si="9"/>
        <v>80.547524784000004</v>
      </c>
      <c r="R173" s="8">
        <f t="shared" si="8"/>
        <v>1651.2242580720001</v>
      </c>
      <c r="S173" s="8" t="str">
        <f>VLOOKUP(J173,'GHG Factors FY21'!A:B,2,FALSE)</f>
        <v>Pitwater</v>
      </c>
      <c r="T173" s="8" t="str">
        <f>VLOOKUP(ReformFY21[[#This Row],[Reporting Alias]],'Entities FY21'!B:B,1,FALSE)</f>
        <v>Pitwater fuel Diesel NSW</v>
      </c>
    </row>
    <row r="174" spans="1:20">
      <c r="A174" t="s">
        <v>957</v>
      </c>
      <c r="B174" t="s">
        <v>787</v>
      </c>
      <c r="C174" t="s">
        <v>686</v>
      </c>
      <c r="D174" s="244">
        <v>0</v>
      </c>
      <c r="E174">
        <v>0</v>
      </c>
      <c r="F174">
        <v>0</v>
      </c>
      <c r="G174">
        <v>0</v>
      </c>
      <c r="H174">
        <v>0</v>
      </c>
      <c r="I174">
        <v>0</v>
      </c>
      <c r="J174" t="str">
        <f t="shared" si="9"/>
        <v>Pitwater fuel Diesel NT</v>
      </c>
      <c r="K174" t="str">
        <f t="shared" si="9"/>
        <v>kL</v>
      </c>
      <c r="L174" t="str">
        <f t="shared" si="9"/>
        <v>BBB</v>
      </c>
      <c r="M174" s="21">
        <f t="shared" si="9"/>
        <v>0</v>
      </c>
      <c r="N174" s="8">
        <f t="shared" si="9"/>
        <v>0</v>
      </c>
      <c r="O174" s="8">
        <f t="shared" si="9"/>
        <v>0</v>
      </c>
      <c r="P174" s="8">
        <f t="shared" si="9"/>
        <v>0</v>
      </c>
      <c r="Q174" s="8">
        <f t="shared" si="9"/>
        <v>0</v>
      </c>
      <c r="R174" s="8">
        <f t="shared" si="8"/>
        <v>0</v>
      </c>
      <c r="S174" s="8" t="str">
        <f>VLOOKUP(J174,'GHG Factors FY21'!A:B,2,FALSE)</f>
        <v>Pitwater</v>
      </c>
      <c r="T174" s="8" t="str">
        <f>VLOOKUP(ReformFY21[[#This Row],[Reporting Alias]],'Entities FY21'!B:B,1,FALSE)</f>
        <v>Pitwater fuel Diesel NT</v>
      </c>
    </row>
    <row r="175" spans="1:20">
      <c r="A175" t="s">
        <v>958</v>
      </c>
      <c r="B175" t="s">
        <v>787</v>
      </c>
      <c r="C175" t="s">
        <v>686</v>
      </c>
      <c r="D175" s="244">
        <v>4.4689399999999997E-2</v>
      </c>
      <c r="E175">
        <v>1.7250108399999999</v>
      </c>
      <c r="F175">
        <v>121.09576096799999</v>
      </c>
      <c r="G175">
        <v>0</v>
      </c>
      <c r="H175">
        <v>6.2100390240000003</v>
      </c>
      <c r="I175">
        <v>127.30579999199999</v>
      </c>
      <c r="J175" t="str">
        <f t="shared" si="9"/>
        <v>Pitwater fuel Diesel QLD</v>
      </c>
      <c r="K175" t="str">
        <f t="shared" si="9"/>
        <v>kL</v>
      </c>
      <c r="L175" t="str">
        <f t="shared" si="9"/>
        <v>BBB</v>
      </c>
      <c r="M175" s="21">
        <f t="shared" si="9"/>
        <v>4.4689399999999997E-2</v>
      </c>
      <c r="N175" s="8">
        <f t="shared" si="9"/>
        <v>1.7250108399999999</v>
      </c>
      <c r="O175" s="8">
        <f t="shared" si="9"/>
        <v>121.09576096799999</v>
      </c>
      <c r="P175" s="8">
        <f t="shared" si="9"/>
        <v>0</v>
      </c>
      <c r="Q175" s="8">
        <f t="shared" si="9"/>
        <v>6.2100390240000003</v>
      </c>
      <c r="R175" s="8">
        <f t="shared" si="8"/>
        <v>127.30579999199999</v>
      </c>
      <c r="S175" s="8" t="str">
        <f>VLOOKUP(J175,'GHG Factors FY21'!A:B,2,FALSE)</f>
        <v>Pitwater</v>
      </c>
      <c r="T175" s="8" t="str">
        <f>VLOOKUP(ReformFY21[[#This Row],[Reporting Alias]],'Entities FY21'!B:B,1,FALSE)</f>
        <v>Pitwater fuel Diesel QLD</v>
      </c>
    </row>
    <row r="176" spans="1:20">
      <c r="A176" t="s">
        <v>959</v>
      </c>
      <c r="B176" t="s">
        <v>787</v>
      </c>
      <c r="C176" t="s">
        <v>686</v>
      </c>
      <c r="D176" s="244">
        <v>0.17353250000000003</v>
      </c>
      <c r="E176">
        <v>6.6983545000000015</v>
      </c>
      <c r="F176">
        <v>470.2244859000001</v>
      </c>
      <c r="G176">
        <v>0</v>
      </c>
      <c r="H176">
        <v>24.114076200000007</v>
      </c>
      <c r="I176">
        <v>494.3385621000001</v>
      </c>
      <c r="J176" t="str">
        <f t="shared" si="9"/>
        <v>Pitwater fuel Diesel SA</v>
      </c>
      <c r="K176" t="str">
        <f t="shared" si="9"/>
        <v>kL</v>
      </c>
      <c r="L176" t="str">
        <f t="shared" si="9"/>
        <v>BBB</v>
      </c>
      <c r="M176" s="21">
        <f t="shared" si="9"/>
        <v>0.17353250000000003</v>
      </c>
      <c r="N176" s="8">
        <f t="shared" si="9"/>
        <v>6.6983545000000015</v>
      </c>
      <c r="O176" s="8">
        <f t="shared" si="9"/>
        <v>470.2244859000001</v>
      </c>
      <c r="P176" s="8">
        <f t="shared" si="9"/>
        <v>0</v>
      </c>
      <c r="Q176" s="8">
        <f t="shared" si="9"/>
        <v>24.114076200000007</v>
      </c>
      <c r="R176" s="8">
        <f t="shared" si="8"/>
        <v>494.3385621000001</v>
      </c>
      <c r="S176" s="8" t="str">
        <f>VLOOKUP(J176,'GHG Factors FY21'!A:B,2,FALSE)</f>
        <v>Pitwater</v>
      </c>
      <c r="T176" s="8" t="str">
        <f>VLOOKUP(ReformFY21[[#This Row],[Reporting Alias]],'Entities FY21'!B:B,1,FALSE)</f>
        <v>Pitwater fuel Diesel SA</v>
      </c>
    </row>
    <row r="177" spans="1:20">
      <c r="A177" t="s">
        <v>960</v>
      </c>
      <c r="B177" t="s">
        <v>787</v>
      </c>
      <c r="C177" t="s">
        <v>686</v>
      </c>
      <c r="D177" s="244">
        <v>5.2300000000000003E-3</v>
      </c>
      <c r="E177">
        <v>0.20187800000000003</v>
      </c>
      <c r="F177">
        <v>14.171835600000003</v>
      </c>
      <c r="G177">
        <v>0</v>
      </c>
      <c r="H177">
        <v>0.7267608000000001</v>
      </c>
      <c r="I177">
        <v>14.898596400000002</v>
      </c>
      <c r="J177" t="str">
        <f t="shared" si="9"/>
        <v>Pitwater fuel Diesel TAS</v>
      </c>
      <c r="K177" t="str">
        <f t="shared" si="9"/>
        <v>kL</v>
      </c>
      <c r="L177" t="str">
        <f t="shared" si="9"/>
        <v>BBB</v>
      </c>
      <c r="M177" s="21">
        <f t="shared" si="9"/>
        <v>5.2300000000000003E-3</v>
      </c>
      <c r="N177" s="8">
        <f t="shared" si="9"/>
        <v>0.20187800000000003</v>
      </c>
      <c r="O177" s="8">
        <f t="shared" si="9"/>
        <v>14.171835600000003</v>
      </c>
      <c r="P177" s="8">
        <f t="shared" si="9"/>
        <v>0</v>
      </c>
      <c r="Q177" s="8">
        <f t="shared" si="9"/>
        <v>0.7267608000000001</v>
      </c>
      <c r="R177" s="8">
        <f t="shared" si="8"/>
        <v>14.898596400000002</v>
      </c>
      <c r="S177" s="8" t="str">
        <f>VLOOKUP(J177,'GHG Factors FY21'!A:B,2,FALSE)</f>
        <v>Pitwater</v>
      </c>
      <c r="T177" s="8" t="str">
        <f>VLOOKUP(ReformFY21[[#This Row],[Reporting Alias]],'Entities FY21'!B:B,1,FALSE)</f>
        <v>Pitwater fuel Diesel TAS</v>
      </c>
    </row>
    <row r="178" spans="1:20">
      <c r="A178" t="s">
        <v>961</v>
      </c>
      <c r="B178" t="s">
        <v>787</v>
      </c>
      <c r="C178" t="s">
        <v>686</v>
      </c>
      <c r="D178" s="244">
        <v>0.21015020000000001</v>
      </c>
      <c r="E178">
        <v>8.1117977200000002</v>
      </c>
      <c r="F178">
        <v>569.44819994400007</v>
      </c>
      <c r="G178">
        <v>0</v>
      </c>
      <c r="H178">
        <v>29.202471792000001</v>
      </c>
      <c r="I178">
        <v>598.65067173600005</v>
      </c>
      <c r="J178" t="str">
        <f t="shared" si="9"/>
        <v>Pitwater fuel Diesel VIC</v>
      </c>
      <c r="K178" t="str">
        <f t="shared" si="9"/>
        <v>kL</v>
      </c>
      <c r="L178" t="str">
        <f t="shared" si="9"/>
        <v>BBB</v>
      </c>
      <c r="M178" s="21">
        <f t="shared" si="9"/>
        <v>0.21015020000000001</v>
      </c>
      <c r="N178" s="8">
        <f t="shared" si="9"/>
        <v>8.1117977200000002</v>
      </c>
      <c r="O178" s="8">
        <f t="shared" si="9"/>
        <v>569.44819994400007</v>
      </c>
      <c r="P178" s="8">
        <f t="shared" si="9"/>
        <v>0</v>
      </c>
      <c r="Q178" s="8">
        <f t="shared" si="9"/>
        <v>29.202471792000001</v>
      </c>
      <c r="R178" s="8">
        <f t="shared" si="8"/>
        <v>598.65067173600005</v>
      </c>
      <c r="S178" s="8" t="str">
        <f>VLOOKUP(J178,'GHG Factors FY21'!A:B,2,FALSE)</f>
        <v>Pitwater</v>
      </c>
      <c r="T178" s="8" t="str">
        <f>VLOOKUP(ReformFY21[[#This Row],[Reporting Alias]],'Entities FY21'!B:B,1,FALSE)</f>
        <v>Pitwater fuel Diesel VIC</v>
      </c>
    </row>
    <row r="179" spans="1:20">
      <c r="A179" t="s">
        <v>962</v>
      </c>
      <c r="B179" t="s">
        <v>787</v>
      </c>
      <c r="C179" t="s">
        <v>686</v>
      </c>
      <c r="D179" s="244">
        <v>0</v>
      </c>
      <c r="E179">
        <v>0</v>
      </c>
      <c r="F179">
        <v>0</v>
      </c>
      <c r="G179">
        <v>0</v>
      </c>
      <c r="H179">
        <v>0</v>
      </c>
      <c r="I179">
        <v>0</v>
      </c>
      <c r="J179" t="str">
        <f t="shared" si="9"/>
        <v>Pitwater fuel Diesel WA</v>
      </c>
      <c r="K179" t="str">
        <f t="shared" si="9"/>
        <v>kL</v>
      </c>
      <c r="L179" t="str">
        <f t="shared" si="9"/>
        <v>BBB</v>
      </c>
      <c r="M179" s="21">
        <f t="shared" ref="M179:Q221" si="10">D179</f>
        <v>0</v>
      </c>
      <c r="N179" s="8">
        <f t="shared" si="10"/>
        <v>0</v>
      </c>
      <c r="O179" s="8">
        <f t="shared" si="10"/>
        <v>0</v>
      </c>
      <c r="P179" s="8">
        <f t="shared" si="10"/>
        <v>0</v>
      </c>
      <c r="Q179" s="8">
        <f t="shared" si="10"/>
        <v>0</v>
      </c>
      <c r="R179" s="8">
        <f t="shared" si="8"/>
        <v>0</v>
      </c>
      <c r="S179" s="8" t="str">
        <f>VLOOKUP(J179,'GHG Factors FY21'!A:B,2,FALSE)</f>
        <v>Pitwater</v>
      </c>
      <c r="T179" s="8" t="str">
        <f>VLOOKUP(ReformFY21[[#This Row],[Reporting Alias]],'Entities FY21'!B:B,1,FALSE)</f>
        <v>Pitwater fuel Diesel WA</v>
      </c>
    </row>
    <row r="180" spans="1:20">
      <c r="A180" t="s">
        <v>963</v>
      </c>
      <c r="B180" t="s">
        <v>787</v>
      </c>
      <c r="C180" t="s">
        <v>686</v>
      </c>
      <c r="D180" s="244">
        <v>0.55479040000000013</v>
      </c>
      <c r="E180">
        <v>21.414909440000006</v>
      </c>
      <c r="F180">
        <v>1503.3266426880004</v>
      </c>
      <c r="G180">
        <v>0</v>
      </c>
      <c r="H180">
        <v>77.09367398400002</v>
      </c>
      <c r="I180">
        <v>1580.4203166720004</v>
      </c>
      <c r="J180" t="str">
        <f t="shared" ref="J180:O243" si="11">A180</f>
        <v>FST Grounds maintenance fuel Diesel ACT</v>
      </c>
      <c r="K180" t="str">
        <f t="shared" si="11"/>
        <v>kL</v>
      </c>
      <c r="L180" t="str">
        <f t="shared" si="11"/>
        <v>BBB</v>
      </c>
      <c r="M180" s="21">
        <f t="shared" si="10"/>
        <v>0.55479040000000013</v>
      </c>
      <c r="N180" s="5">
        <f t="shared" si="10"/>
        <v>21.414909440000006</v>
      </c>
      <c r="O180" s="8">
        <f t="shared" si="10"/>
        <v>1503.3266426880004</v>
      </c>
      <c r="P180" s="8">
        <f t="shared" si="10"/>
        <v>0</v>
      </c>
      <c r="Q180" s="8">
        <f t="shared" si="10"/>
        <v>77.09367398400002</v>
      </c>
      <c r="R180" s="8">
        <f t="shared" si="8"/>
        <v>1580.4203166720004</v>
      </c>
      <c r="S180" s="8" t="str">
        <f>VLOOKUP(J180,'GHG Factors FY21'!A:B,2,FALSE)</f>
        <v>Grounds Maintenance</v>
      </c>
      <c r="T180" s="8" t="str">
        <f>VLOOKUP(ReformFY21[[#This Row],[Reporting Alias]],'Entities FY21'!B:B,1,FALSE)</f>
        <v>FST Grounds maintenance fuel Diesel ACT</v>
      </c>
    </row>
    <row r="181" spans="1:20">
      <c r="A181" t="s">
        <v>964</v>
      </c>
      <c r="B181" t="s">
        <v>787</v>
      </c>
      <c r="C181" t="s">
        <v>686</v>
      </c>
      <c r="D181" s="244">
        <v>22.875150200000004</v>
      </c>
      <c r="E181">
        <v>882.98079772000017</v>
      </c>
      <c r="F181">
        <v>61985.251999944012</v>
      </c>
      <c r="G181">
        <v>0</v>
      </c>
      <c r="H181">
        <v>3178.7308717920005</v>
      </c>
      <c r="I181">
        <v>65163.982871736014</v>
      </c>
      <c r="J181" t="str">
        <f t="shared" si="11"/>
        <v>FST Grounds maintenance fuel Diesel NSW</v>
      </c>
      <c r="K181" t="str">
        <f t="shared" si="11"/>
        <v>kL</v>
      </c>
      <c r="L181" t="str">
        <f t="shared" si="11"/>
        <v>BBB</v>
      </c>
      <c r="M181" s="21">
        <f t="shared" si="10"/>
        <v>22.875150200000004</v>
      </c>
      <c r="N181" s="5">
        <f t="shared" si="10"/>
        <v>882.98079772000017</v>
      </c>
      <c r="O181" s="8">
        <f t="shared" si="10"/>
        <v>61985.251999944012</v>
      </c>
      <c r="P181" s="8">
        <f t="shared" si="10"/>
        <v>0</v>
      </c>
      <c r="Q181" s="8">
        <f t="shared" si="10"/>
        <v>3178.7308717920005</v>
      </c>
      <c r="R181" s="8">
        <f t="shared" si="8"/>
        <v>65163.982871736014</v>
      </c>
      <c r="S181" s="8" t="str">
        <f>VLOOKUP(J181,'GHG Factors FY21'!A:B,2,FALSE)</f>
        <v>Grounds Maintenance</v>
      </c>
      <c r="T181" s="8" t="str">
        <f>VLOOKUP(ReformFY21[[#This Row],[Reporting Alias]],'Entities FY21'!B:B,1,FALSE)</f>
        <v>FST Grounds maintenance fuel Diesel NSW</v>
      </c>
    </row>
    <row r="182" spans="1:20">
      <c r="A182" t="s">
        <v>965</v>
      </c>
      <c r="B182" t="s">
        <v>787</v>
      </c>
      <c r="C182" t="s">
        <v>686</v>
      </c>
      <c r="D182" s="244">
        <v>1.1978001999999999</v>
      </c>
      <c r="E182">
        <v>46.235087719999996</v>
      </c>
      <c r="F182">
        <v>3245.7031579439999</v>
      </c>
      <c r="G182">
        <v>0</v>
      </c>
      <c r="H182">
        <v>166.44631579199998</v>
      </c>
      <c r="I182">
        <v>3412.1494737359999</v>
      </c>
      <c r="J182" t="str">
        <f t="shared" si="11"/>
        <v>FST Grounds maintenance fuel Diesel NT</v>
      </c>
      <c r="K182" t="str">
        <f t="shared" si="11"/>
        <v>kL</v>
      </c>
      <c r="L182" t="str">
        <f t="shared" si="11"/>
        <v>BBB</v>
      </c>
      <c r="M182" s="21">
        <f t="shared" si="10"/>
        <v>1.1978001999999999</v>
      </c>
      <c r="N182" s="5">
        <f t="shared" si="10"/>
        <v>46.235087719999996</v>
      </c>
      <c r="O182" s="8">
        <f t="shared" si="10"/>
        <v>3245.7031579439999</v>
      </c>
      <c r="P182" s="8">
        <f t="shared" si="10"/>
        <v>0</v>
      </c>
      <c r="Q182" s="8">
        <f t="shared" si="10"/>
        <v>166.44631579199998</v>
      </c>
      <c r="R182" s="8">
        <f t="shared" si="8"/>
        <v>3412.1494737359999</v>
      </c>
      <c r="S182" s="8" t="str">
        <f>VLOOKUP(J182,'GHG Factors FY21'!A:B,2,FALSE)</f>
        <v>Grounds Maintenance</v>
      </c>
      <c r="T182" s="8" t="str">
        <f>VLOOKUP(ReformFY21[[#This Row],[Reporting Alias]],'Entities FY21'!B:B,1,FALSE)</f>
        <v>FST Grounds maintenance fuel Diesel NT</v>
      </c>
    </row>
    <row r="183" spans="1:20">
      <c r="A183" t="s">
        <v>966</v>
      </c>
      <c r="B183" t="s">
        <v>787</v>
      </c>
      <c r="C183" t="s">
        <v>686</v>
      </c>
      <c r="D183" s="244">
        <v>19.458909800000001</v>
      </c>
      <c r="E183">
        <v>751.11391828000001</v>
      </c>
      <c r="F183">
        <v>52728.197063256004</v>
      </c>
      <c r="G183">
        <v>0</v>
      </c>
      <c r="H183">
        <v>2704.0101058079999</v>
      </c>
      <c r="I183">
        <v>55432.207169064</v>
      </c>
      <c r="J183" t="str">
        <f t="shared" si="11"/>
        <v>FST Grounds maintenance fuel Diesel QLD</v>
      </c>
      <c r="K183" t="str">
        <f t="shared" si="11"/>
        <v>kL</v>
      </c>
      <c r="L183" t="str">
        <f t="shared" si="11"/>
        <v>BBB</v>
      </c>
      <c r="M183" s="21">
        <f t="shared" si="10"/>
        <v>19.458909800000001</v>
      </c>
      <c r="N183" s="5">
        <f t="shared" si="10"/>
        <v>751.11391828000001</v>
      </c>
      <c r="O183" s="8">
        <f t="shared" si="10"/>
        <v>52728.197063256004</v>
      </c>
      <c r="P183" s="8">
        <f t="shared" si="10"/>
        <v>0</v>
      </c>
      <c r="Q183" s="8">
        <f t="shared" si="10"/>
        <v>2704.0101058079999</v>
      </c>
      <c r="R183" s="8">
        <f t="shared" si="8"/>
        <v>55432.207169064</v>
      </c>
      <c r="S183" s="8" t="str">
        <f>VLOOKUP(J183,'GHG Factors FY21'!A:B,2,FALSE)</f>
        <v>Grounds Maintenance</v>
      </c>
      <c r="T183" s="8" t="str">
        <f>VLOOKUP(ReformFY21[[#This Row],[Reporting Alias]],'Entities FY21'!B:B,1,FALSE)</f>
        <v>FST Grounds maintenance fuel Diesel QLD</v>
      </c>
    </row>
    <row r="184" spans="1:20">
      <c r="A184" t="s">
        <v>967</v>
      </c>
      <c r="B184" t="s">
        <v>787</v>
      </c>
      <c r="C184" t="s">
        <v>686</v>
      </c>
      <c r="D184" s="244">
        <v>9.9487403000000008</v>
      </c>
      <c r="E184">
        <v>384.02137558000004</v>
      </c>
      <c r="F184">
        <v>26958.300565716003</v>
      </c>
      <c r="G184">
        <v>0</v>
      </c>
      <c r="H184">
        <v>1382.4769520880002</v>
      </c>
      <c r="I184">
        <v>28340.777517804003</v>
      </c>
      <c r="J184" t="str">
        <f t="shared" si="11"/>
        <v>FST Grounds maintenance fuel Diesel SA</v>
      </c>
      <c r="K184" t="str">
        <f t="shared" si="11"/>
        <v>kL</v>
      </c>
      <c r="L184" t="str">
        <f t="shared" si="11"/>
        <v>BBB</v>
      </c>
      <c r="M184" s="21">
        <f t="shared" si="10"/>
        <v>9.9487403000000008</v>
      </c>
      <c r="N184" s="5">
        <f t="shared" si="10"/>
        <v>384.02137558000004</v>
      </c>
      <c r="O184" s="8">
        <f t="shared" si="10"/>
        <v>26958.300565716003</v>
      </c>
      <c r="P184" s="8">
        <f t="shared" si="10"/>
        <v>0</v>
      </c>
      <c r="Q184" s="8">
        <f t="shared" si="10"/>
        <v>1382.4769520880002</v>
      </c>
      <c r="R184" s="8">
        <f t="shared" si="8"/>
        <v>28340.777517804003</v>
      </c>
      <c r="S184" s="8" t="str">
        <f>VLOOKUP(J184,'GHG Factors FY21'!A:B,2,FALSE)</f>
        <v>Grounds Maintenance</v>
      </c>
      <c r="T184" s="8" t="str">
        <f>VLOOKUP(ReformFY21[[#This Row],[Reporting Alias]],'Entities FY21'!B:B,1,FALSE)</f>
        <v>FST Grounds maintenance fuel Diesel SA</v>
      </c>
    </row>
    <row r="185" spans="1:20">
      <c r="A185" t="s">
        <v>968</v>
      </c>
      <c r="B185" t="s">
        <v>787</v>
      </c>
      <c r="C185" t="s">
        <v>686</v>
      </c>
      <c r="D185" s="244">
        <v>33.699159799999997</v>
      </c>
      <c r="E185">
        <v>1300.78756828</v>
      </c>
      <c r="F185">
        <v>91315.287293255999</v>
      </c>
      <c r="G185">
        <v>0</v>
      </c>
      <c r="H185">
        <v>4682.8352458079999</v>
      </c>
      <c r="I185">
        <v>95998.122539064003</v>
      </c>
      <c r="J185" t="str">
        <f t="shared" si="11"/>
        <v>FST Grounds maintenance fuel Diesel VIC</v>
      </c>
      <c r="K185" t="str">
        <f t="shared" si="11"/>
        <v>kL</v>
      </c>
      <c r="L185" t="str">
        <f t="shared" si="11"/>
        <v>BBB</v>
      </c>
      <c r="M185" s="21">
        <f t="shared" si="10"/>
        <v>33.699159799999997</v>
      </c>
      <c r="N185" s="5">
        <f t="shared" si="10"/>
        <v>1300.78756828</v>
      </c>
      <c r="O185" s="8">
        <f t="shared" si="10"/>
        <v>91315.287293255999</v>
      </c>
      <c r="P185" s="8">
        <f t="shared" si="10"/>
        <v>0</v>
      </c>
      <c r="Q185" s="8">
        <f t="shared" si="10"/>
        <v>4682.8352458079999</v>
      </c>
      <c r="R185" s="8">
        <f t="shared" si="8"/>
        <v>95998.122539064003</v>
      </c>
      <c r="S185" s="8" t="str">
        <f>VLOOKUP(J185,'GHG Factors FY21'!A:B,2,FALSE)</f>
        <v>Grounds Maintenance</v>
      </c>
      <c r="T185" s="8" t="str">
        <f>VLOOKUP(ReformFY21[[#This Row],[Reporting Alias]],'Entities FY21'!B:B,1,FALSE)</f>
        <v>FST Grounds maintenance fuel Diesel VIC</v>
      </c>
    </row>
    <row r="186" spans="1:20">
      <c r="A186" t="s">
        <v>969</v>
      </c>
      <c r="B186" t="s">
        <v>787</v>
      </c>
      <c r="C186" t="s">
        <v>686</v>
      </c>
      <c r="D186" s="244">
        <v>16.239150300000002</v>
      </c>
      <c r="E186">
        <v>626.83120158000008</v>
      </c>
      <c r="F186">
        <v>44003.550350916004</v>
      </c>
      <c r="G186">
        <v>0</v>
      </c>
      <c r="H186">
        <v>2256.5923256880005</v>
      </c>
      <c r="I186">
        <v>46260.142676604002</v>
      </c>
      <c r="J186" t="str">
        <f t="shared" si="11"/>
        <v>FST Grounds maintenance fuel Diesel WA</v>
      </c>
      <c r="K186" t="str">
        <f t="shared" si="11"/>
        <v>kL</v>
      </c>
      <c r="L186" t="str">
        <f t="shared" si="11"/>
        <v>BBB</v>
      </c>
      <c r="M186" s="21">
        <f t="shared" si="10"/>
        <v>16.239150300000002</v>
      </c>
      <c r="N186" s="5">
        <f t="shared" si="10"/>
        <v>626.83120158000008</v>
      </c>
      <c r="O186" s="8">
        <f t="shared" si="10"/>
        <v>44003.550350916004</v>
      </c>
      <c r="P186" s="8">
        <f t="shared" si="10"/>
        <v>0</v>
      </c>
      <c r="Q186" s="8">
        <f t="shared" si="10"/>
        <v>2256.5923256880005</v>
      </c>
      <c r="R186" s="8">
        <f t="shared" si="8"/>
        <v>46260.142676604002</v>
      </c>
      <c r="S186" s="8" t="str">
        <f>VLOOKUP(J186,'GHG Factors FY21'!A:B,2,FALSE)</f>
        <v>Grounds Maintenance</v>
      </c>
      <c r="T186" s="8" t="str">
        <f>VLOOKUP(ReformFY21[[#This Row],[Reporting Alias]],'Entities FY21'!B:B,1,FALSE)</f>
        <v>FST Grounds maintenance fuel Diesel WA</v>
      </c>
    </row>
    <row r="187" spans="1:20">
      <c r="A187" t="s">
        <v>970</v>
      </c>
      <c r="B187" t="s">
        <v>787</v>
      </c>
      <c r="C187" t="s">
        <v>686</v>
      </c>
      <c r="D187" s="244">
        <v>0.47476020000000002</v>
      </c>
      <c r="E187">
        <v>16.236798840000002</v>
      </c>
      <c r="F187">
        <v>1100.8549613520004</v>
      </c>
      <c r="G187">
        <v>0</v>
      </c>
      <c r="H187">
        <v>58.452475824000011</v>
      </c>
      <c r="I187">
        <v>1159.3074371760003</v>
      </c>
      <c r="J187" t="str">
        <f t="shared" si="11"/>
        <v>FST Grounds maintenance fuel Petrol ACT</v>
      </c>
      <c r="K187" t="str">
        <f t="shared" si="11"/>
        <v>kL</v>
      </c>
      <c r="L187" t="str">
        <f t="shared" si="11"/>
        <v>BBB</v>
      </c>
      <c r="M187" s="21">
        <f t="shared" si="10"/>
        <v>0.47476020000000002</v>
      </c>
      <c r="N187" s="5">
        <f t="shared" si="10"/>
        <v>16.236798840000002</v>
      </c>
      <c r="O187" s="8">
        <f t="shared" si="10"/>
        <v>1100.8549613520004</v>
      </c>
      <c r="P187" s="8">
        <f t="shared" si="10"/>
        <v>0</v>
      </c>
      <c r="Q187" s="8">
        <f t="shared" si="10"/>
        <v>58.452475824000011</v>
      </c>
      <c r="R187" s="8">
        <f t="shared" si="8"/>
        <v>1159.3074371760003</v>
      </c>
      <c r="S187" s="8" t="str">
        <f>VLOOKUP(J187,'GHG Factors FY21'!A:B,2,FALSE)</f>
        <v>Grounds Maintenance</v>
      </c>
      <c r="T187" s="8" t="str">
        <f>VLOOKUP(ReformFY21[[#This Row],[Reporting Alias]],'Entities FY21'!B:B,1,FALSE)</f>
        <v>FST Grounds maintenance fuel Petrol ACT</v>
      </c>
    </row>
    <row r="188" spans="1:20">
      <c r="A188" t="s">
        <v>971</v>
      </c>
      <c r="B188" t="s">
        <v>787</v>
      </c>
      <c r="C188" t="s">
        <v>686</v>
      </c>
      <c r="D188" s="244">
        <v>19.575559800000001</v>
      </c>
      <c r="E188">
        <v>669.48414516000003</v>
      </c>
      <c r="F188">
        <v>45391.025041848006</v>
      </c>
      <c r="G188">
        <v>0</v>
      </c>
      <c r="H188">
        <v>2410.1429225760003</v>
      </c>
      <c r="I188">
        <v>47801.167964424007</v>
      </c>
      <c r="J188" t="str">
        <f t="shared" si="11"/>
        <v>FST Grounds maintenance fuel Petrol NSW</v>
      </c>
      <c r="K188" t="str">
        <f t="shared" si="11"/>
        <v>kL</v>
      </c>
      <c r="L188" t="str">
        <f t="shared" si="11"/>
        <v>BBB</v>
      </c>
      <c r="M188" s="21">
        <f t="shared" si="10"/>
        <v>19.575559800000001</v>
      </c>
      <c r="N188" s="5">
        <f t="shared" si="10"/>
        <v>669.48414516000003</v>
      </c>
      <c r="O188" s="8">
        <f t="shared" si="10"/>
        <v>45391.025041848006</v>
      </c>
      <c r="P188" s="8">
        <f t="shared" si="10"/>
        <v>0</v>
      </c>
      <c r="Q188" s="8">
        <f t="shared" si="10"/>
        <v>2410.1429225760003</v>
      </c>
      <c r="R188" s="8">
        <f t="shared" si="8"/>
        <v>47801.167964424007</v>
      </c>
      <c r="S188" s="8" t="str">
        <f>VLOOKUP(J188,'GHG Factors FY21'!A:B,2,FALSE)</f>
        <v>Grounds Maintenance</v>
      </c>
      <c r="T188" s="8" t="str">
        <f>VLOOKUP(ReformFY21[[#This Row],[Reporting Alias]],'Entities FY21'!B:B,1,FALSE)</f>
        <v>FST Grounds maintenance fuel Petrol NSW</v>
      </c>
    </row>
    <row r="189" spans="1:20">
      <c r="A189" t="s">
        <v>972</v>
      </c>
      <c r="B189" t="s">
        <v>787</v>
      </c>
      <c r="C189" t="s">
        <v>686</v>
      </c>
      <c r="D189" s="244">
        <v>1.3512497999999999</v>
      </c>
      <c r="E189">
        <v>46.212743160000002</v>
      </c>
      <c r="F189">
        <v>3133.2239862480005</v>
      </c>
      <c r="G189">
        <v>0</v>
      </c>
      <c r="H189">
        <v>166.36587537600002</v>
      </c>
      <c r="I189">
        <v>3299.5898616240006</v>
      </c>
      <c r="J189" t="str">
        <f t="shared" si="11"/>
        <v>FST Grounds maintenance fuel Petrol NT</v>
      </c>
      <c r="K189" t="str">
        <f t="shared" si="11"/>
        <v>kL</v>
      </c>
      <c r="L189" t="str">
        <f t="shared" si="11"/>
        <v>BBB</v>
      </c>
      <c r="M189" s="21">
        <f t="shared" si="10"/>
        <v>1.3512497999999999</v>
      </c>
      <c r="N189" s="5">
        <f t="shared" si="10"/>
        <v>46.212743160000002</v>
      </c>
      <c r="O189" s="8">
        <f t="shared" si="10"/>
        <v>3133.2239862480005</v>
      </c>
      <c r="P189" s="8">
        <f t="shared" si="10"/>
        <v>0</v>
      </c>
      <c r="Q189" s="8">
        <f t="shared" si="10"/>
        <v>166.36587537600002</v>
      </c>
      <c r="R189" s="8">
        <f t="shared" si="8"/>
        <v>3299.5898616240006</v>
      </c>
      <c r="S189" s="8" t="str">
        <f>VLOOKUP(J189,'GHG Factors FY21'!A:B,2,FALSE)</f>
        <v>Grounds Maintenance</v>
      </c>
      <c r="T189" s="8" t="str">
        <f>VLOOKUP(ReformFY21[[#This Row],[Reporting Alias]],'Entities FY21'!B:B,1,FALSE)</f>
        <v>FST Grounds maintenance fuel Petrol NT</v>
      </c>
    </row>
    <row r="190" spans="1:20">
      <c r="A190" t="s">
        <v>973</v>
      </c>
      <c r="B190" t="s">
        <v>787</v>
      </c>
      <c r="C190" t="s">
        <v>686</v>
      </c>
      <c r="D190" s="244">
        <v>27.170869800000002</v>
      </c>
      <c r="E190">
        <v>929.24374716000011</v>
      </c>
      <c r="F190">
        <v>63002.726057448017</v>
      </c>
      <c r="G190">
        <v>0</v>
      </c>
      <c r="H190">
        <v>3345.2774897760005</v>
      </c>
      <c r="I190">
        <v>66348.003547224012</v>
      </c>
      <c r="J190" t="str">
        <f t="shared" si="11"/>
        <v>FST Grounds maintenance fuel Petrol QLD</v>
      </c>
      <c r="K190" t="str">
        <f t="shared" si="11"/>
        <v>kL</v>
      </c>
      <c r="L190" t="str">
        <f t="shared" si="11"/>
        <v>BBB</v>
      </c>
      <c r="M190" s="21">
        <f t="shared" si="10"/>
        <v>27.170869800000002</v>
      </c>
      <c r="N190" s="5">
        <f t="shared" si="10"/>
        <v>929.24374716000011</v>
      </c>
      <c r="O190" s="8">
        <f t="shared" si="10"/>
        <v>63002.726057448017</v>
      </c>
      <c r="P190" s="8">
        <f t="shared" si="10"/>
        <v>0</v>
      </c>
      <c r="Q190" s="8">
        <f t="shared" si="10"/>
        <v>3345.2774897760005</v>
      </c>
      <c r="R190" s="8">
        <f t="shared" si="8"/>
        <v>66348.003547224012</v>
      </c>
      <c r="S190" s="8" t="str">
        <f>VLOOKUP(J190,'GHG Factors FY21'!A:B,2,FALSE)</f>
        <v>Grounds Maintenance</v>
      </c>
      <c r="T190" s="8" t="str">
        <f>VLOOKUP(ReformFY21[[#This Row],[Reporting Alias]],'Entities FY21'!B:B,1,FALSE)</f>
        <v>FST Grounds maintenance fuel Petrol QLD</v>
      </c>
    </row>
    <row r="191" spans="1:20">
      <c r="A191" t="s">
        <v>974</v>
      </c>
      <c r="B191" t="s">
        <v>787</v>
      </c>
      <c r="C191" t="s">
        <v>686</v>
      </c>
      <c r="D191" s="244">
        <v>12.377029800000001</v>
      </c>
      <c r="E191">
        <v>423.29441916000007</v>
      </c>
      <c r="F191">
        <v>28699.36161904801</v>
      </c>
      <c r="G191">
        <v>0</v>
      </c>
      <c r="H191">
        <v>1523.8599089760003</v>
      </c>
      <c r="I191">
        <v>30223.221528024009</v>
      </c>
      <c r="J191" t="str">
        <f t="shared" si="11"/>
        <v>FST Grounds maintenance fuel Petrol SA</v>
      </c>
      <c r="K191" t="str">
        <f t="shared" si="11"/>
        <v>kL</v>
      </c>
      <c r="L191" t="str">
        <f t="shared" si="11"/>
        <v>BBB</v>
      </c>
      <c r="M191" s="21">
        <f t="shared" si="10"/>
        <v>12.377029800000001</v>
      </c>
      <c r="N191" s="5">
        <f t="shared" si="10"/>
        <v>423.29441916000007</v>
      </c>
      <c r="O191" s="8">
        <f t="shared" si="10"/>
        <v>28699.36161904801</v>
      </c>
      <c r="P191" s="8">
        <f t="shared" si="10"/>
        <v>0</v>
      </c>
      <c r="Q191" s="8">
        <f t="shared" si="10"/>
        <v>1523.8599089760003</v>
      </c>
      <c r="R191" s="8">
        <f t="shared" si="8"/>
        <v>30223.221528024009</v>
      </c>
      <c r="S191" s="8" t="str">
        <f>VLOOKUP(J191,'GHG Factors FY21'!A:B,2,FALSE)</f>
        <v>Grounds Maintenance</v>
      </c>
      <c r="T191" s="8" t="str">
        <f>VLOOKUP(ReformFY21[[#This Row],[Reporting Alias]],'Entities FY21'!B:B,1,FALSE)</f>
        <v>FST Grounds maintenance fuel Petrol SA</v>
      </c>
    </row>
    <row r="192" spans="1:20">
      <c r="A192" t="s">
        <v>975</v>
      </c>
      <c r="B192" t="s">
        <v>787</v>
      </c>
      <c r="C192" t="s">
        <v>686</v>
      </c>
      <c r="D192" s="244">
        <v>1.5357201000000003</v>
      </c>
      <c r="E192">
        <v>52.521627420000016</v>
      </c>
      <c r="F192">
        <v>3560.9663390760015</v>
      </c>
      <c r="G192">
        <v>0</v>
      </c>
      <c r="H192">
        <v>189.07785871200005</v>
      </c>
      <c r="I192">
        <v>3750.0441977880014</v>
      </c>
      <c r="J192" t="str">
        <f t="shared" si="11"/>
        <v>FST Grounds maintenance fuel Petrol TAS</v>
      </c>
      <c r="K192" t="str">
        <f t="shared" si="11"/>
        <v>kL</v>
      </c>
      <c r="L192" t="str">
        <f t="shared" si="11"/>
        <v>BBB</v>
      </c>
      <c r="M192" s="21">
        <f t="shared" si="10"/>
        <v>1.5357201000000003</v>
      </c>
      <c r="N192" s="5">
        <f t="shared" si="10"/>
        <v>52.521627420000016</v>
      </c>
      <c r="O192" s="8">
        <f t="shared" si="10"/>
        <v>3560.9663390760015</v>
      </c>
      <c r="P192" s="8">
        <f t="shared" si="10"/>
        <v>0</v>
      </c>
      <c r="Q192" s="8">
        <f t="shared" si="10"/>
        <v>189.07785871200005</v>
      </c>
      <c r="R192" s="8">
        <f t="shared" si="8"/>
        <v>3750.0441977880014</v>
      </c>
      <c r="S192" s="8" t="str">
        <f>VLOOKUP(J192,'GHG Factors FY21'!A:B,2,FALSE)</f>
        <v>Grounds Maintenance</v>
      </c>
      <c r="T192" s="8" t="str">
        <f>VLOOKUP(ReformFY21[[#This Row],[Reporting Alias]],'Entities FY21'!B:B,1,FALSE)</f>
        <v>FST Grounds maintenance fuel Petrol TAS</v>
      </c>
    </row>
    <row r="193" spans="1:20">
      <c r="A193" t="s">
        <v>976</v>
      </c>
      <c r="B193" t="s">
        <v>787</v>
      </c>
      <c r="C193" t="s">
        <v>686</v>
      </c>
      <c r="D193" s="244">
        <v>41.039729999999999</v>
      </c>
      <c r="E193">
        <v>1403.5587660000001</v>
      </c>
      <c r="F193">
        <v>95161.284334800017</v>
      </c>
      <c r="G193">
        <v>0</v>
      </c>
      <c r="H193">
        <v>5052.8115576000009</v>
      </c>
      <c r="I193">
        <v>100214.09589240002</v>
      </c>
      <c r="J193" t="str">
        <f t="shared" si="11"/>
        <v>FST Grounds maintenance fuel Petrol VIC</v>
      </c>
      <c r="K193" t="str">
        <f t="shared" si="11"/>
        <v>kL</v>
      </c>
      <c r="L193" t="str">
        <f t="shared" si="11"/>
        <v>BBB</v>
      </c>
      <c r="M193" s="21">
        <f t="shared" si="10"/>
        <v>41.039729999999999</v>
      </c>
      <c r="N193" s="5">
        <f t="shared" si="10"/>
        <v>1403.5587660000001</v>
      </c>
      <c r="O193" s="8">
        <f t="shared" si="10"/>
        <v>95161.284334800017</v>
      </c>
      <c r="P193" s="8">
        <f t="shared" si="10"/>
        <v>0</v>
      </c>
      <c r="Q193" s="8">
        <f t="shared" si="10"/>
        <v>5052.8115576000009</v>
      </c>
      <c r="R193" s="8">
        <f t="shared" si="8"/>
        <v>100214.09589240002</v>
      </c>
      <c r="S193" s="8" t="str">
        <f>VLOOKUP(J193,'GHG Factors FY21'!A:B,2,FALSE)</f>
        <v>Grounds Maintenance</v>
      </c>
      <c r="T193" s="8" t="str">
        <f>VLOOKUP(ReformFY21[[#This Row],[Reporting Alias]],'Entities FY21'!B:B,1,FALSE)</f>
        <v>FST Grounds maintenance fuel Petrol VIC</v>
      </c>
    </row>
    <row r="194" spans="1:20">
      <c r="A194" t="s">
        <v>977</v>
      </c>
      <c r="B194" t="s">
        <v>787</v>
      </c>
      <c r="C194" t="s">
        <v>686</v>
      </c>
      <c r="D194" s="244">
        <v>13.831900000000001</v>
      </c>
      <c r="E194">
        <v>473.0509800000001</v>
      </c>
      <c r="F194">
        <v>32072.856444000012</v>
      </c>
      <c r="G194">
        <v>0</v>
      </c>
      <c r="H194">
        <v>1702.9835280000004</v>
      </c>
      <c r="I194">
        <v>33775.839972000009</v>
      </c>
      <c r="J194" t="str">
        <f t="shared" si="11"/>
        <v>FST Grounds maintenance fuel Petrol WA</v>
      </c>
      <c r="K194" t="str">
        <f t="shared" si="11"/>
        <v>kL</v>
      </c>
      <c r="L194" t="str">
        <f t="shared" si="11"/>
        <v>BBB</v>
      </c>
      <c r="M194" s="21">
        <f t="shared" si="10"/>
        <v>13.831900000000001</v>
      </c>
      <c r="N194" s="5">
        <f t="shared" si="10"/>
        <v>473.0509800000001</v>
      </c>
      <c r="O194" s="8">
        <f t="shared" si="10"/>
        <v>32072.856444000012</v>
      </c>
      <c r="P194" s="8">
        <f t="shared" si="10"/>
        <v>0</v>
      </c>
      <c r="Q194" s="8">
        <f t="shared" si="10"/>
        <v>1702.9835280000004</v>
      </c>
      <c r="R194" s="8">
        <f t="shared" si="8"/>
        <v>33775.839972000009</v>
      </c>
      <c r="S194" s="8" t="str">
        <f>VLOOKUP(J194,'GHG Factors FY21'!A:B,2,FALSE)</f>
        <v>Grounds Maintenance</v>
      </c>
      <c r="T194" s="8" t="str">
        <f>VLOOKUP(ReformFY21[[#This Row],[Reporting Alias]],'Entities FY21'!B:B,1,FALSE)</f>
        <v>FST Grounds maintenance fuel Petrol WA</v>
      </c>
    </row>
    <row r="195" spans="1:20">
      <c r="A195" t="s">
        <v>978</v>
      </c>
      <c r="B195" t="s">
        <v>663</v>
      </c>
      <c r="C195" t="s">
        <v>686</v>
      </c>
      <c r="D195" s="244">
        <v>55930.706000000006</v>
      </c>
      <c r="E195">
        <v>201.35054160000001</v>
      </c>
      <c r="F195">
        <v>0</v>
      </c>
      <c r="G195">
        <v>0</v>
      </c>
      <c r="H195">
        <v>0</v>
      </c>
      <c r="I195">
        <v>0</v>
      </c>
      <c r="J195" t="str">
        <f t="shared" si="11"/>
        <v>Solar Generation ACT</v>
      </c>
      <c r="K195" t="str">
        <f t="shared" si="11"/>
        <v>kWh</v>
      </c>
      <c r="L195" t="str">
        <f t="shared" si="11"/>
        <v>BBB</v>
      </c>
      <c r="M195" s="21">
        <f t="shared" si="10"/>
        <v>55930.706000000006</v>
      </c>
      <c r="N195" s="8">
        <f t="shared" si="10"/>
        <v>201.35054160000001</v>
      </c>
      <c r="O195" s="8">
        <f t="shared" si="10"/>
        <v>0</v>
      </c>
      <c r="P195" s="8">
        <f t="shared" si="10"/>
        <v>0</v>
      </c>
      <c r="Q195" s="8">
        <f t="shared" si="10"/>
        <v>0</v>
      </c>
      <c r="R195" s="8">
        <f t="shared" ref="R195:R258" si="12">I195</f>
        <v>0</v>
      </c>
      <c r="S195" s="8" t="str">
        <f>VLOOKUP(J195,'GHG Factors FY21'!A:B,2,FALSE)</f>
        <v>Solar</v>
      </c>
      <c r="T195" s="8" t="str">
        <f>VLOOKUP(ReformFY21[[#This Row],[Reporting Alias]],'Entities FY21'!B:B,1,FALSE)</f>
        <v>Solar Generation ACT</v>
      </c>
    </row>
    <row r="196" spans="1:20">
      <c r="A196" t="s">
        <v>979</v>
      </c>
      <c r="B196" t="s">
        <v>663</v>
      </c>
      <c r="C196" t="s">
        <v>686</v>
      </c>
      <c r="D196" s="244">
        <v>1014981.8930000027</v>
      </c>
      <c r="E196">
        <v>3653.9348148000095</v>
      </c>
      <c r="F196">
        <v>0</v>
      </c>
      <c r="G196">
        <v>0</v>
      </c>
      <c r="H196">
        <v>0</v>
      </c>
      <c r="I196">
        <v>0</v>
      </c>
      <c r="J196" t="str">
        <f t="shared" si="11"/>
        <v>Solar Generation NSW</v>
      </c>
      <c r="K196" t="str">
        <f t="shared" si="11"/>
        <v>kWh</v>
      </c>
      <c r="L196" t="str">
        <f t="shared" si="11"/>
        <v>BBB</v>
      </c>
      <c r="M196" s="21">
        <f t="shared" si="10"/>
        <v>1014981.8930000027</v>
      </c>
      <c r="N196" s="8">
        <f t="shared" si="10"/>
        <v>3653.9348148000095</v>
      </c>
      <c r="O196" s="8">
        <f t="shared" si="10"/>
        <v>0</v>
      </c>
      <c r="P196" s="8">
        <f t="shared" si="10"/>
        <v>0</v>
      </c>
      <c r="Q196" s="8">
        <f t="shared" si="10"/>
        <v>0</v>
      </c>
      <c r="R196" s="8">
        <f t="shared" si="12"/>
        <v>0</v>
      </c>
      <c r="S196" s="8" t="str">
        <f>VLOOKUP(J196,'GHG Factors FY21'!A:B,2,FALSE)</f>
        <v>Solar</v>
      </c>
      <c r="T196" s="8" t="str">
        <f>VLOOKUP(ReformFY21[[#This Row],[Reporting Alias]],'Entities FY21'!B:B,1,FALSE)</f>
        <v>Solar Generation NSW</v>
      </c>
    </row>
    <row r="197" spans="1:20">
      <c r="A197" t="s">
        <v>980</v>
      </c>
      <c r="B197" t="s">
        <v>663</v>
      </c>
      <c r="C197" t="s">
        <v>686</v>
      </c>
      <c r="D197" s="244">
        <v>1491084.953999998</v>
      </c>
      <c r="E197">
        <v>5367.9058343999932</v>
      </c>
      <c r="F197">
        <v>0</v>
      </c>
      <c r="G197">
        <v>0</v>
      </c>
      <c r="H197">
        <v>0</v>
      </c>
      <c r="I197">
        <v>0</v>
      </c>
      <c r="J197" t="str">
        <f t="shared" si="11"/>
        <v>Solar Generation NT</v>
      </c>
      <c r="K197" t="str">
        <f t="shared" si="11"/>
        <v>kWh</v>
      </c>
      <c r="L197" t="str">
        <f t="shared" si="11"/>
        <v>BBB</v>
      </c>
      <c r="M197" s="21">
        <f t="shared" si="10"/>
        <v>1491084.953999998</v>
      </c>
      <c r="N197" s="8">
        <f t="shared" si="10"/>
        <v>5367.9058343999932</v>
      </c>
      <c r="O197" s="8">
        <f t="shared" si="10"/>
        <v>0</v>
      </c>
      <c r="P197" s="8">
        <f t="shared" si="10"/>
        <v>0</v>
      </c>
      <c r="Q197" s="8">
        <f t="shared" si="10"/>
        <v>0</v>
      </c>
      <c r="R197" s="8">
        <f t="shared" si="12"/>
        <v>0</v>
      </c>
      <c r="S197" s="8" t="str">
        <f>VLOOKUP(J197,'GHG Factors FY21'!A:B,2,FALSE)</f>
        <v>Solar</v>
      </c>
      <c r="T197" s="8" t="str">
        <f>VLOOKUP(ReformFY21[[#This Row],[Reporting Alias]],'Entities FY21'!B:B,1,FALSE)</f>
        <v>Solar Generation NT</v>
      </c>
    </row>
    <row r="198" spans="1:20">
      <c r="A198" t="s">
        <v>981</v>
      </c>
      <c r="B198" t="s">
        <v>663</v>
      </c>
      <c r="C198" t="s">
        <v>686</v>
      </c>
      <c r="D198" s="244">
        <v>2851749.3266666858</v>
      </c>
      <c r="E198">
        <v>10266.297576000068</v>
      </c>
      <c r="F198">
        <v>0</v>
      </c>
      <c r="G198">
        <v>0</v>
      </c>
      <c r="H198">
        <v>0</v>
      </c>
      <c r="I198">
        <v>0</v>
      </c>
      <c r="J198" t="str">
        <f t="shared" si="11"/>
        <v>Solar Generation QLD</v>
      </c>
      <c r="K198" t="str">
        <f t="shared" si="11"/>
        <v>kWh</v>
      </c>
      <c r="L198" t="str">
        <f t="shared" si="11"/>
        <v>BBB</v>
      </c>
      <c r="M198" s="21">
        <f t="shared" si="10"/>
        <v>2851749.3266666858</v>
      </c>
      <c r="N198" s="8">
        <f t="shared" si="10"/>
        <v>10266.297576000068</v>
      </c>
      <c r="O198" s="8">
        <f t="shared" si="10"/>
        <v>0</v>
      </c>
      <c r="P198" s="8">
        <f t="shared" si="10"/>
        <v>0</v>
      </c>
      <c r="Q198" s="8">
        <f t="shared" si="10"/>
        <v>0</v>
      </c>
      <c r="R198" s="8">
        <f t="shared" si="12"/>
        <v>0</v>
      </c>
      <c r="S198" s="8" t="str">
        <f>VLOOKUP(J198,'GHG Factors FY21'!A:B,2,FALSE)</f>
        <v>Solar</v>
      </c>
      <c r="T198" s="8" t="str">
        <f>VLOOKUP(ReformFY21[[#This Row],[Reporting Alias]],'Entities FY21'!B:B,1,FALSE)</f>
        <v>Solar Generation QLD</v>
      </c>
    </row>
    <row r="199" spans="1:20">
      <c r="A199" t="s">
        <v>982</v>
      </c>
      <c r="B199" t="s">
        <v>663</v>
      </c>
      <c r="C199" t="s">
        <v>686</v>
      </c>
      <c r="D199" s="244">
        <v>667433.51999999851</v>
      </c>
      <c r="E199">
        <v>2402.7606719999944</v>
      </c>
      <c r="F199">
        <v>0</v>
      </c>
      <c r="G199">
        <v>0</v>
      </c>
      <c r="H199">
        <v>0</v>
      </c>
      <c r="I199">
        <v>0</v>
      </c>
      <c r="J199" t="str">
        <f t="shared" si="11"/>
        <v>Solar Generation SA</v>
      </c>
      <c r="K199" t="str">
        <f t="shared" si="11"/>
        <v>kWh</v>
      </c>
      <c r="L199" t="str">
        <f t="shared" si="11"/>
        <v>BBB</v>
      </c>
      <c r="M199" s="21">
        <f t="shared" si="10"/>
        <v>667433.51999999851</v>
      </c>
      <c r="N199" s="8">
        <f t="shared" si="10"/>
        <v>2402.7606719999944</v>
      </c>
      <c r="O199" s="8">
        <f t="shared" si="10"/>
        <v>0</v>
      </c>
      <c r="P199" s="8">
        <f t="shared" si="10"/>
        <v>0</v>
      </c>
      <c r="Q199" s="8">
        <f t="shared" si="10"/>
        <v>0</v>
      </c>
      <c r="R199" s="8">
        <f t="shared" si="12"/>
        <v>0</v>
      </c>
      <c r="S199" s="8" t="str">
        <f>VLOOKUP(J199,'GHG Factors FY21'!A:B,2,FALSE)</f>
        <v>Solar</v>
      </c>
      <c r="T199" s="8" t="str">
        <f>VLOOKUP(ReformFY21[[#This Row],[Reporting Alias]],'Entities FY21'!B:B,1,FALSE)</f>
        <v>Solar Generation SA</v>
      </c>
    </row>
    <row r="200" spans="1:20">
      <c r="A200" t="s">
        <v>983</v>
      </c>
      <c r="B200" t="s">
        <v>663</v>
      </c>
      <c r="C200" t="s">
        <v>686</v>
      </c>
      <c r="D200" s="244">
        <v>17561.69999999999</v>
      </c>
      <c r="E200">
        <v>63.222119999999961</v>
      </c>
      <c r="F200">
        <v>0</v>
      </c>
      <c r="G200">
        <v>0</v>
      </c>
      <c r="H200">
        <v>0</v>
      </c>
      <c r="I200">
        <v>0</v>
      </c>
      <c r="J200" t="str">
        <f t="shared" si="11"/>
        <v>Solar Generation TAS</v>
      </c>
      <c r="K200" t="str">
        <f t="shared" si="11"/>
        <v>kWh</v>
      </c>
      <c r="L200" t="str">
        <f t="shared" si="11"/>
        <v>BBB</v>
      </c>
      <c r="M200" s="21">
        <f t="shared" si="10"/>
        <v>17561.69999999999</v>
      </c>
      <c r="N200" s="8">
        <f t="shared" si="10"/>
        <v>63.222119999999961</v>
      </c>
      <c r="O200" s="8">
        <f t="shared" si="10"/>
        <v>0</v>
      </c>
      <c r="P200" s="8">
        <f t="shared" si="10"/>
        <v>0</v>
      </c>
      <c r="Q200" s="8">
        <f t="shared" si="10"/>
        <v>0</v>
      </c>
      <c r="R200" s="8">
        <f t="shared" si="12"/>
        <v>0</v>
      </c>
      <c r="S200" s="8" t="str">
        <f>VLOOKUP(J200,'GHG Factors FY21'!A:B,2,FALSE)</f>
        <v>Solar</v>
      </c>
      <c r="T200" s="8" t="str">
        <f>VLOOKUP(ReformFY21[[#This Row],[Reporting Alias]],'Entities FY21'!B:B,1,FALSE)</f>
        <v>Solar Generation TAS</v>
      </c>
    </row>
    <row r="201" spans="1:20">
      <c r="A201" t="s">
        <v>984</v>
      </c>
      <c r="B201" t="s">
        <v>663</v>
      </c>
      <c r="C201" t="s">
        <v>686</v>
      </c>
      <c r="D201" s="244">
        <v>980290.9625599999</v>
      </c>
      <c r="E201">
        <v>3529.0474652159996</v>
      </c>
      <c r="F201">
        <v>0</v>
      </c>
      <c r="G201">
        <v>0</v>
      </c>
      <c r="H201">
        <v>0</v>
      </c>
      <c r="I201">
        <v>0</v>
      </c>
      <c r="J201" t="str">
        <f t="shared" si="11"/>
        <v>Solar Generation VIC</v>
      </c>
      <c r="K201" t="str">
        <f t="shared" si="11"/>
        <v>kWh</v>
      </c>
      <c r="L201" t="str">
        <f t="shared" si="11"/>
        <v>BBB</v>
      </c>
      <c r="M201" s="21">
        <f t="shared" si="10"/>
        <v>980290.9625599999</v>
      </c>
      <c r="N201" s="8">
        <f t="shared" si="10"/>
        <v>3529.0474652159996</v>
      </c>
      <c r="O201" s="8">
        <f t="shared" si="10"/>
        <v>0</v>
      </c>
      <c r="P201" s="8">
        <f t="shared" si="10"/>
        <v>0</v>
      </c>
      <c r="Q201" s="8">
        <f t="shared" si="10"/>
        <v>0</v>
      </c>
      <c r="R201" s="8">
        <f t="shared" si="12"/>
        <v>0</v>
      </c>
      <c r="S201" s="8" t="str">
        <f>VLOOKUP(J201,'GHG Factors FY21'!A:B,2,FALSE)</f>
        <v>Solar</v>
      </c>
      <c r="T201" s="8" t="str">
        <f>VLOOKUP(ReformFY21[[#This Row],[Reporting Alias]],'Entities FY21'!B:B,1,FALSE)</f>
        <v>Solar Generation VIC</v>
      </c>
    </row>
    <row r="202" spans="1:20">
      <c r="A202" t="s">
        <v>985</v>
      </c>
      <c r="B202" t="s">
        <v>663</v>
      </c>
      <c r="C202" t="s">
        <v>686</v>
      </c>
      <c r="D202" s="244">
        <v>3338585.8770000166</v>
      </c>
      <c r="E202">
        <v>12018.90915720006</v>
      </c>
      <c r="F202">
        <v>0</v>
      </c>
      <c r="G202">
        <v>0</v>
      </c>
      <c r="H202">
        <v>0</v>
      </c>
      <c r="I202">
        <v>0</v>
      </c>
      <c r="J202" t="str">
        <f t="shared" si="11"/>
        <v>Solar Generation WA</v>
      </c>
      <c r="K202" t="str">
        <f t="shared" si="11"/>
        <v>kWh</v>
      </c>
      <c r="L202" t="str">
        <f t="shared" si="11"/>
        <v>BBB</v>
      </c>
      <c r="M202" s="21">
        <f t="shared" si="10"/>
        <v>3338585.8770000166</v>
      </c>
      <c r="N202" s="8">
        <f t="shared" si="10"/>
        <v>12018.90915720006</v>
      </c>
      <c r="O202" s="8">
        <f t="shared" si="10"/>
        <v>0</v>
      </c>
      <c r="P202" s="8">
        <f t="shared" si="10"/>
        <v>0</v>
      </c>
      <c r="Q202" s="8">
        <f t="shared" si="10"/>
        <v>0</v>
      </c>
      <c r="R202" s="8">
        <f t="shared" si="12"/>
        <v>0</v>
      </c>
      <c r="S202" s="8" t="str">
        <f>VLOOKUP(J202,'GHG Factors FY21'!A:B,2,FALSE)</f>
        <v>Solar</v>
      </c>
      <c r="T202" s="8" t="str">
        <f>VLOOKUP(ReformFY21[[#This Row],[Reporting Alias]],'Entities FY21'!B:B,1,FALSE)</f>
        <v>Solar Generation WA</v>
      </c>
    </row>
    <row r="203" spans="1:20">
      <c r="A203" t="s">
        <v>986</v>
      </c>
      <c r="B203" t="s">
        <v>663</v>
      </c>
      <c r="C203" t="s">
        <v>104</v>
      </c>
      <c r="D203" s="244">
        <v>2011702.3574999999</v>
      </c>
      <c r="E203">
        <v>7242.128487</v>
      </c>
      <c r="F203">
        <v>0</v>
      </c>
      <c r="G203">
        <v>1629478.9095749999</v>
      </c>
      <c r="H203">
        <v>181053.21217499999</v>
      </c>
      <c r="I203">
        <v>1810532.1217499999</v>
      </c>
      <c r="J203" t="str">
        <f t="shared" si="11"/>
        <v>DC ACT</v>
      </c>
      <c r="K203" t="str">
        <f t="shared" si="11"/>
        <v>kWh</v>
      </c>
      <c r="L203" t="str">
        <f t="shared" si="11"/>
        <v>N/A</v>
      </c>
      <c r="M203" s="8">
        <f t="shared" si="10"/>
        <v>2011702.3574999999</v>
      </c>
      <c r="N203" s="8">
        <f t="shared" si="10"/>
        <v>7242.128487</v>
      </c>
      <c r="O203" s="8">
        <f t="shared" si="10"/>
        <v>0</v>
      </c>
      <c r="P203" s="8">
        <f t="shared" si="10"/>
        <v>1629478.9095749999</v>
      </c>
      <c r="Q203" s="8">
        <f t="shared" si="10"/>
        <v>181053.21217499999</v>
      </c>
      <c r="R203" s="8">
        <f t="shared" si="12"/>
        <v>1810532.1217499999</v>
      </c>
      <c r="S203" s="8" t="str">
        <f>VLOOKUP(J203,'GHG Factors FY21'!A:B,2,FALSE)</f>
        <v>Electricity</v>
      </c>
      <c r="T203" s="8" t="str">
        <f>VLOOKUP(ReformFY21[[#This Row],[Reporting Alias]],'Entities FY21'!B:B,1,FALSE)</f>
        <v>DC ACT</v>
      </c>
    </row>
    <row r="204" spans="1:20">
      <c r="A204" t="s">
        <v>987</v>
      </c>
      <c r="B204" t="s">
        <v>663</v>
      </c>
      <c r="C204" t="s">
        <v>104</v>
      </c>
      <c r="D204" s="244">
        <v>27473994.162800003</v>
      </c>
      <c r="E204">
        <v>98906.378986080003</v>
      </c>
      <c r="F204">
        <v>0</v>
      </c>
      <c r="G204">
        <v>22253935.271868005</v>
      </c>
      <c r="H204">
        <v>2472659.4746520002</v>
      </c>
      <c r="I204">
        <v>24726594.746520005</v>
      </c>
      <c r="J204" t="str">
        <f t="shared" si="11"/>
        <v>DC NSW</v>
      </c>
      <c r="K204" t="str">
        <f t="shared" si="11"/>
        <v>kWh</v>
      </c>
      <c r="L204" t="str">
        <f t="shared" si="11"/>
        <v>N/A</v>
      </c>
      <c r="M204" s="8">
        <f t="shared" si="10"/>
        <v>27473994.162800003</v>
      </c>
      <c r="N204" s="8">
        <f t="shared" si="10"/>
        <v>98906.378986080003</v>
      </c>
      <c r="O204" s="8">
        <f t="shared" si="10"/>
        <v>0</v>
      </c>
      <c r="P204" s="8">
        <f t="shared" si="10"/>
        <v>22253935.271868005</v>
      </c>
      <c r="Q204" s="8">
        <f t="shared" si="10"/>
        <v>2472659.4746520002</v>
      </c>
      <c r="R204" s="8">
        <f t="shared" si="12"/>
        <v>24726594.746520005</v>
      </c>
      <c r="S204" s="8" t="str">
        <f>VLOOKUP(J204,'GHG Factors FY21'!A:B,2,FALSE)</f>
        <v>Electricity</v>
      </c>
      <c r="T204" s="8" t="str">
        <f>VLOOKUP(ReformFY21[[#This Row],[Reporting Alias]],'Entities FY21'!B:B,1,FALSE)</f>
        <v>DC NSW</v>
      </c>
    </row>
    <row r="205" spans="1:20">
      <c r="A205" t="s">
        <v>988</v>
      </c>
      <c r="B205" t="s">
        <v>663</v>
      </c>
      <c r="C205" t="s">
        <v>104</v>
      </c>
      <c r="D205" s="244">
        <v>0</v>
      </c>
      <c r="E205">
        <v>0</v>
      </c>
      <c r="F205">
        <v>0</v>
      </c>
      <c r="G205">
        <v>0</v>
      </c>
      <c r="H205">
        <v>0</v>
      </c>
      <c r="I205">
        <v>0</v>
      </c>
      <c r="J205" t="str">
        <f t="shared" si="11"/>
        <v>DC NT</v>
      </c>
      <c r="K205" t="str">
        <f t="shared" si="11"/>
        <v>kWh</v>
      </c>
      <c r="L205" t="str">
        <f t="shared" si="11"/>
        <v>N/A</v>
      </c>
      <c r="M205" s="8">
        <f t="shared" si="10"/>
        <v>0</v>
      </c>
      <c r="N205" s="8">
        <f t="shared" si="10"/>
        <v>0</v>
      </c>
      <c r="O205" s="8">
        <f t="shared" si="10"/>
        <v>0</v>
      </c>
      <c r="P205" s="8">
        <f t="shared" si="10"/>
        <v>0</v>
      </c>
      <c r="Q205" s="8">
        <f t="shared" si="10"/>
        <v>0</v>
      </c>
      <c r="R205" s="8">
        <f t="shared" si="12"/>
        <v>0</v>
      </c>
      <c r="S205" s="8" t="str">
        <f>VLOOKUP(J205,'GHG Factors FY21'!A:B,2,FALSE)</f>
        <v>Electricity</v>
      </c>
      <c r="T205" s="8" t="str">
        <f>VLOOKUP(ReformFY21[[#This Row],[Reporting Alias]],'Entities FY21'!B:B,1,FALSE)</f>
        <v>DC NT</v>
      </c>
    </row>
    <row r="206" spans="1:20">
      <c r="A206" t="s">
        <v>989</v>
      </c>
      <c r="B206" t="s">
        <v>663</v>
      </c>
      <c r="C206" t="s">
        <v>104</v>
      </c>
      <c r="D206" s="244">
        <v>0</v>
      </c>
      <c r="E206">
        <v>0</v>
      </c>
      <c r="F206">
        <v>0</v>
      </c>
      <c r="G206">
        <v>0</v>
      </c>
      <c r="H206">
        <v>0</v>
      </c>
      <c r="I206">
        <v>0</v>
      </c>
      <c r="J206" t="str">
        <f t="shared" si="11"/>
        <v>DC QLD</v>
      </c>
      <c r="K206" t="str">
        <f t="shared" si="11"/>
        <v>kWh</v>
      </c>
      <c r="L206" t="str">
        <f t="shared" si="11"/>
        <v>N/A</v>
      </c>
      <c r="M206" s="8">
        <f t="shared" si="10"/>
        <v>0</v>
      </c>
      <c r="N206" s="8">
        <f t="shared" si="10"/>
        <v>0</v>
      </c>
      <c r="O206" s="8">
        <f t="shared" si="10"/>
        <v>0</v>
      </c>
      <c r="P206" s="8">
        <f t="shared" si="10"/>
        <v>0</v>
      </c>
      <c r="Q206" s="8">
        <f t="shared" si="10"/>
        <v>0</v>
      </c>
      <c r="R206" s="8">
        <f t="shared" si="12"/>
        <v>0</v>
      </c>
      <c r="S206" s="8" t="str">
        <f>VLOOKUP(J206,'GHG Factors FY21'!A:B,2,FALSE)</f>
        <v>Electricity</v>
      </c>
      <c r="T206" s="8" t="str">
        <f>VLOOKUP(ReformFY21[[#This Row],[Reporting Alias]],'Entities FY21'!B:B,1,FALSE)</f>
        <v>DC QLD</v>
      </c>
    </row>
    <row r="207" spans="1:20">
      <c r="A207" t="s">
        <v>990</v>
      </c>
      <c r="B207" t="s">
        <v>663</v>
      </c>
      <c r="C207" t="s">
        <v>104</v>
      </c>
      <c r="D207" s="244">
        <v>0</v>
      </c>
      <c r="E207">
        <v>0</v>
      </c>
      <c r="F207">
        <v>0</v>
      </c>
      <c r="G207">
        <v>0</v>
      </c>
      <c r="H207">
        <v>0</v>
      </c>
      <c r="I207">
        <v>0</v>
      </c>
      <c r="J207" t="str">
        <f t="shared" si="11"/>
        <v>DC SA</v>
      </c>
      <c r="K207" t="str">
        <f t="shared" si="11"/>
        <v>kWh</v>
      </c>
      <c r="L207" t="str">
        <f t="shared" si="11"/>
        <v>N/A</v>
      </c>
      <c r="M207" s="8">
        <f t="shared" si="10"/>
        <v>0</v>
      </c>
      <c r="N207" s="8">
        <f t="shared" si="10"/>
        <v>0</v>
      </c>
      <c r="O207" s="8">
        <f t="shared" si="10"/>
        <v>0</v>
      </c>
      <c r="P207" s="8">
        <f t="shared" si="10"/>
        <v>0</v>
      </c>
      <c r="Q207" s="8">
        <f t="shared" si="10"/>
        <v>0</v>
      </c>
      <c r="R207" s="8">
        <f t="shared" si="12"/>
        <v>0</v>
      </c>
      <c r="S207" s="8" t="str">
        <f>VLOOKUP(J207,'GHG Factors FY21'!A:B,2,FALSE)</f>
        <v>Electricity</v>
      </c>
      <c r="T207" s="8" t="str">
        <f>VLOOKUP(ReformFY21[[#This Row],[Reporting Alias]],'Entities FY21'!B:B,1,FALSE)</f>
        <v>DC SA</v>
      </c>
    </row>
    <row r="208" spans="1:20">
      <c r="A208" t="s">
        <v>991</v>
      </c>
      <c r="B208" t="s">
        <v>663</v>
      </c>
      <c r="C208" t="s">
        <v>104</v>
      </c>
      <c r="D208" s="244">
        <v>0</v>
      </c>
      <c r="E208">
        <v>0</v>
      </c>
      <c r="F208">
        <v>0</v>
      </c>
      <c r="G208">
        <v>0</v>
      </c>
      <c r="H208">
        <v>0</v>
      </c>
      <c r="I208">
        <v>0</v>
      </c>
      <c r="J208" t="str">
        <f t="shared" si="11"/>
        <v>DC TAS</v>
      </c>
      <c r="K208" t="str">
        <f t="shared" si="11"/>
        <v>kWh</v>
      </c>
      <c r="L208" t="str">
        <f t="shared" si="11"/>
        <v>N/A</v>
      </c>
      <c r="M208" s="8">
        <f t="shared" si="10"/>
        <v>0</v>
      </c>
      <c r="N208" s="8">
        <f t="shared" si="10"/>
        <v>0</v>
      </c>
      <c r="O208" s="8">
        <f t="shared" si="10"/>
        <v>0</v>
      </c>
      <c r="P208" s="8">
        <f t="shared" si="10"/>
        <v>0</v>
      </c>
      <c r="Q208" s="8">
        <f t="shared" si="10"/>
        <v>0</v>
      </c>
      <c r="R208" s="8">
        <f t="shared" si="12"/>
        <v>0</v>
      </c>
      <c r="S208" s="8" t="str">
        <f>VLOOKUP(J208,'GHG Factors FY21'!A:B,2,FALSE)</f>
        <v>Electricity</v>
      </c>
      <c r="T208" s="8" t="str">
        <f>VLOOKUP(ReformFY21[[#This Row],[Reporting Alias]],'Entities FY21'!B:B,1,FALSE)</f>
        <v>DC TAS</v>
      </c>
    </row>
    <row r="209" spans="1:20">
      <c r="A209" t="s">
        <v>992</v>
      </c>
      <c r="B209" t="s">
        <v>663</v>
      </c>
      <c r="C209" t="s">
        <v>104</v>
      </c>
      <c r="D209" s="244">
        <v>41352143.156999998</v>
      </c>
      <c r="E209">
        <v>148867.71536519998</v>
      </c>
      <c r="F209">
        <v>0</v>
      </c>
      <c r="G209">
        <v>40525100.293859996</v>
      </c>
      <c r="H209">
        <v>4548735.7472700002</v>
      </c>
      <c r="I209">
        <v>45073836.041129999</v>
      </c>
      <c r="J209" t="str">
        <f t="shared" si="11"/>
        <v>DC VIC</v>
      </c>
      <c r="K209" t="str">
        <f t="shared" si="11"/>
        <v>kWh</v>
      </c>
      <c r="L209" t="str">
        <f t="shared" si="11"/>
        <v>N/A</v>
      </c>
      <c r="M209" s="8">
        <f t="shared" si="10"/>
        <v>41352143.156999998</v>
      </c>
      <c r="N209" s="8">
        <f t="shared" si="10"/>
        <v>148867.71536519998</v>
      </c>
      <c r="O209" s="8">
        <f t="shared" si="10"/>
        <v>0</v>
      </c>
      <c r="P209" s="8">
        <f t="shared" si="10"/>
        <v>40525100.293859996</v>
      </c>
      <c r="Q209" s="8">
        <f t="shared" si="10"/>
        <v>4548735.7472700002</v>
      </c>
      <c r="R209" s="8">
        <f t="shared" si="12"/>
        <v>45073836.041129999</v>
      </c>
      <c r="S209" s="8" t="str">
        <f>VLOOKUP(J209,'GHG Factors FY21'!A:B,2,FALSE)</f>
        <v>Electricity</v>
      </c>
      <c r="T209" s="8" t="str">
        <f>VLOOKUP(ReformFY21[[#This Row],[Reporting Alias]],'Entities FY21'!B:B,1,FALSE)</f>
        <v>DC VIC</v>
      </c>
    </row>
    <row r="210" spans="1:20">
      <c r="A210" t="s">
        <v>993</v>
      </c>
      <c r="B210" t="s">
        <v>663</v>
      </c>
      <c r="C210" t="s">
        <v>104</v>
      </c>
      <c r="D210" s="244">
        <v>0</v>
      </c>
      <c r="E210">
        <v>0</v>
      </c>
      <c r="F210">
        <v>0</v>
      </c>
      <c r="G210">
        <v>0</v>
      </c>
      <c r="H210">
        <v>0</v>
      </c>
      <c r="I210">
        <v>0</v>
      </c>
      <c r="J210" t="str">
        <f t="shared" si="11"/>
        <v>DC WA</v>
      </c>
      <c r="K210" t="str">
        <f t="shared" si="11"/>
        <v>kWh</v>
      </c>
      <c r="L210" t="str">
        <f t="shared" si="11"/>
        <v>N/A</v>
      </c>
      <c r="M210" s="8">
        <f t="shared" si="10"/>
        <v>0</v>
      </c>
      <c r="N210" s="8">
        <f t="shared" si="10"/>
        <v>0</v>
      </c>
      <c r="O210" s="8">
        <f t="shared" si="10"/>
        <v>0</v>
      </c>
      <c r="P210" s="8">
        <f t="shared" si="10"/>
        <v>0</v>
      </c>
      <c r="Q210" s="8">
        <f t="shared" si="10"/>
        <v>0</v>
      </c>
      <c r="R210" s="8">
        <f t="shared" si="12"/>
        <v>0</v>
      </c>
      <c r="S210" s="8" t="str">
        <f>VLOOKUP(J210,'GHG Factors FY21'!A:B,2,FALSE)</f>
        <v>Electricity</v>
      </c>
      <c r="T210" s="8" t="str">
        <f>VLOOKUP(ReformFY21[[#This Row],[Reporting Alias]],'Entities FY21'!B:B,1,FALSE)</f>
        <v>DC WA</v>
      </c>
    </row>
    <row r="211" spans="1:20">
      <c r="A211" t="s">
        <v>994</v>
      </c>
      <c r="B211" t="s">
        <v>663</v>
      </c>
      <c r="C211" t="s">
        <v>104</v>
      </c>
      <c r="D211" s="244">
        <v>2208961.8330999999</v>
      </c>
      <c r="E211">
        <v>7952.2625991599998</v>
      </c>
      <c r="F211">
        <v>0</v>
      </c>
      <c r="G211">
        <v>1789259.0848110002</v>
      </c>
      <c r="H211">
        <v>198806.56497899999</v>
      </c>
      <c r="I211">
        <v>1988065.6497900002</v>
      </c>
      <c r="J211" t="str">
        <f t="shared" si="11"/>
        <v>Offices ACT</v>
      </c>
      <c r="K211" t="str">
        <f t="shared" si="11"/>
        <v>kWh</v>
      </c>
      <c r="L211" t="str">
        <f t="shared" si="11"/>
        <v>N/A</v>
      </c>
      <c r="M211" s="8">
        <f t="shared" si="10"/>
        <v>2208961.8330999999</v>
      </c>
      <c r="N211" s="8">
        <f t="shared" si="10"/>
        <v>7952.2625991599998</v>
      </c>
      <c r="O211" s="8">
        <f t="shared" si="10"/>
        <v>0</v>
      </c>
      <c r="P211" s="8">
        <f t="shared" si="10"/>
        <v>1789259.0848110002</v>
      </c>
      <c r="Q211" s="8">
        <f t="shared" si="10"/>
        <v>198806.56497899999</v>
      </c>
      <c r="R211" s="8">
        <f t="shared" si="12"/>
        <v>1988065.6497900002</v>
      </c>
      <c r="S211" s="8" t="str">
        <f>VLOOKUP(J211,'GHG Factors FY21'!A:B,2,FALSE)</f>
        <v>Electricity</v>
      </c>
      <c r="T211" s="8" t="str">
        <f>VLOOKUP(ReformFY21[[#This Row],[Reporting Alias]],'Entities FY21'!B:B,1,FALSE)</f>
        <v>Offices ACT</v>
      </c>
    </row>
    <row r="212" spans="1:20">
      <c r="A212" t="s">
        <v>995</v>
      </c>
      <c r="B212" t="s">
        <v>663</v>
      </c>
      <c r="C212" t="s">
        <v>104</v>
      </c>
      <c r="D212" s="244">
        <v>4655224.6900000004</v>
      </c>
      <c r="E212">
        <v>16758.808884000002</v>
      </c>
      <c r="F212">
        <v>0</v>
      </c>
      <c r="G212">
        <v>3770731.9989000005</v>
      </c>
      <c r="H212">
        <v>418970.22210000001</v>
      </c>
      <c r="I212">
        <v>4189702.2210000004</v>
      </c>
      <c r="J212" t="str">
        <f t="shared" si="11"/>
        <v>Offices NSW</v>
      </c>
      <c r="K212" t="str">
        <f t="shared" si="11"/>
        <v>kWh</v>
      </c>
      <c r="L212" t="str">
        <f t="shared" si="11"/>
        <v>N/A</v>
      </c>
      <c r="M212" s="8">
        <f t="shared" si="10"/>
        <v>4655224.6900000004</v>
      </c>
      <c r="N212" s="8">
        <f t="shared" si="10"/>
        <v>16758.808884000002</v>
      </c>
      <c r="O212" s="8">
        <f t="shared" si="10"/>
        <v>0</v>
      </c>
      <c r="P212" s="8">
        <f t="shared" si="10"/>
        <v>3770731.9989000005</v>
      </c>
      <c r="Q212" s="8">
        <f t="shared" si="10"/>
        <v>418970.22210000001</v>
      </c>
      <c r="R212" s="8">
        <f t="shared" si="12"/>
        <v>4189702.2210000004</v>
      </c>
      <c r="S212" s="8" t="str">
        <f>VLOOKUP(J212,'GHG Factors FY21'!A:B,2,FALSE)</f>
        <v>Electricity</v>
      </c>
      <c r="T212" s="8" t="str">
        <f>VLOOKUP(ReformFY21[[#This Row],[Reporting Alias]],'Entities FY21'!B:B,1,FALSE)</f>
        <v>Offices NSW</v>
      </c>
    </row>
    <row r="213" spans="1:20">
      <c r="A213" t="s">
        <v>996</v>
      </c>
      <c r="B213" t="s">
        <v>663</v>
      </c>
      <c r="C213" t="s">
        <v>104</v>
      </c>
      <c r="D213" s="244">
        <v>109896.26500000001</v>
      </c>
      <c r="E213">
        <v>395.62655400000006</v>
      </c>
      <c r="F213">
        <v>0</v>
      </c>
      <c r="G213">
        <v>68135.684300000008</v>
      </c>
      <c r="H213">
        <v>7692.7385500000019</v>
      </c>
      <c r="I213">
        <v>75828.422850000003</v>
      </c>
      <c r="J213" t="str">
        <f t="shared" si="11"/>
        <v>Offices NT</v>
      </c>
      <c r="K213" t="str">
        <f t="shared" si="11"/>
        <v>kWh</v>
      </c>
      <c r="L213" t="str">
        <f t="shared" si="11"/>
        <v>N/A</v>
      </c>
      <c r="M213" s="8">
        <f t="shared" si="10"/>
        <v>109896.26500000001</v>
      </c>
      <c r="N213" s="8">
        <f t="shared" si="10"/>
        <v>395.62655400000006</v>
      </c>
      <c r="O213" s="8">
        <f t="shared" si="10"/>
        <v>0</v>
      </c>
      <c r="P213" s="8">
        <f t="shared" si="10"/>
        <v>68135.684300000008</v>
      </c>
      <c r="Q213" s="8">
        <f t="shared" si="10"/>
        <v>7692.7385500000019</v>
      </c>
      <c r="R213" s="8">
        <f t="shared" si="12"/>
        <v>75828.422850000003</v>
      </c>
      <c r="S213" s="8" t="str">
        <f>VLOOKUP(J213,'GHG Factors FY21'!A:B,2,FALSE)</f>
        <v>Electricity</v>
      </c>
      <c r="T213" s="8" t="str">
        <f>VLOOKUP(ReformFY21[[#This Row],[Reporting Alias]],'Entities FY21'!B:B,1,FALSE)</f>
        <v>Offices NT</v>
      </c>
    </row>
    <row r="214" spans="1:20">
      <c r="A214" t="s">
        <v>997</v>
      </c>
      <c r="B214" t="s">
        <v>663</v>
      </c>
      <c r="C214" t="s">
        <v>104</v>
      </c>
      <c r="D214" s="244">
        <v>3091087.2818000005</v>
      </c>
      <c r="E214">
        <v>11127.914214480001</v>
      </c>
      <c r="F214">
        <v>0</v>
      </c>
      <c r="G214">
        <v>2503780.6982580004</v>
      </c>
      <c r="H214">
        <v>370930.47381600004</v>
      </c>
      <c r="I214">
        <v>2874711.1720740004</v>
      </c>
      <c r="J214" t="str">
        <f t="shared" si="11"/>
        <v>Offices QLD</v>
      </c>
      <c r="K214" t="str">
        <f t="shared" si="11"/>
        <v>kWh</v>
      </c>
      <c r="L214" t="str">
        <f t="shared" si="11"/>
        <v>N/A</v>
      </c>
      <c r="M214" s="8">
        <f t="shared" si="10"/>
        <v>3091087.2818000005</v>
      </c>
      <c r="N214" s="8">
        <f t="shared" si="10"/>
        <v>11127.914214480001</v>
      </c>
      <c r="O214" s="8">
        <f t="shared" si="10"/>
        <v>0</v>
      </c>
      <c r="P214" s="8">
        <f t="shared" si="10"/>
        <v>2503780.6982580004</v>
      </c>
      <c r="Q214" s="8">
        <f t="shared" si="10"/>
        <v>370930.47381600004</v>
      </c>
      <c r="R214" s="8">
        <f t="shared" si="12"/>
        <v>2874711.1720740004</v>
      </c>
      <c r="S214" s="8" t="str">
        <f>VLOOKUP(J214,'GHG Factors FY21'!A:B,2,FALSE)</f>
        <v>Electricity</v>
      </c>
      <c r="T214" s="8" t="str">
        <f>VLOOKUP(ReformFY21[[#This Row],[Reporting Alias]],'Entities FY21'!B:B,1,FALSE)</f>
        <v>Offices QLD</v>
      </c>
    </row>
    <row r="215" spans="1:20">
      <c r="A215" t="s">
        <v>998</v>
      </c>
      <c r="B215" t="s">
        <v>663</v>
      </c>
      <c r="C215" t="s">
        <v>104</v>
      </c>
      <c r="D215" s="244">
        <v>958428.99939999986</v>
      </c>
      <c r="E215">
        <v>3450.3443978399996</v>
      </c>
      <c r="F215">
        <v>0</v>
      </c>
      <c r="G215">
        <v>412124.46974199993</v>
      </c>
      <c r="H215">
        <v>86258.609945999982</v>
      </c>
      <c r="I215">
        <v>498383.07968799991</v>
      </c>
      <c r="J215" t="str">
        <f t="shared" si="11"/>
        <v>Offices SA</v>
      </c>
      <c r="K215" t="str">
        <f t="shared" si="11"/>
        <v>kWh</v>
      </c>
      <c r="L215" t="str">
        <f t="shared" si="11"/>
        <v>N/A</v>
      </c>
      <c r="M215" s="8">
        <f t="shared" si="10"/>
        <v>958428.99939999986</v>
      </c>
      <c r="N215" s="8">
        <f t="shared" si="10"/>
        <v>3450.3443978399996</v>
      </c>
      <c r="O215" s="8">
        <f t="shared" si="10"/>
        <v>0</v>
      </c>
      <c r="P215" s="8">
        <f t="shared" si="10"/>
        <v>412124.46974199993</v>
      </c>
      <c r="Q215" s="8">
        <f t="shared" si="10"/>
        <v>86258.609945999982</v>
      </c>
      <c r="R215" s="8">
        <f t="shared" si="12"/>
        <v>498383.07968799991</v>
      </c>
      <c r="S215" s="8" t="str">
        <f>VLOOKUP(J215,'GHG Factors FY21'!A:B,2,FALSE)</f>
        <v>Electricity</v>
      </c>
      <c r="T215" s="8" t="str">
        <f>VLOOKUP(ReformFY21[[#This Row],[Reporting Alias]],'Entities FY21'!B:B,1,FALSE)</f>
        <v>Offices SA</v>
      </c>
    </row>
    <row r="216" spans="1:20">
      <c r="A216" t="s">
        <v>999</v>
      </c>
      <c r="B216" t="s">
        <v>663</v>
      </c>
      <c r="C216" t="s">
        <v>104</v>
      </c>
      <c r="D216" s="244">
        <v>590027.58399999992</v>
      </c>
      <c r="E216">
        <v>2124.0993023999995</v>
      </c>
      <c r="F216">
        <v>0</v>
      </c>
      <c r="G216">
        <v>100304.68927999999</v>
      </c>
      <c r="H216">
        <v>11800.551679999999</v>
      </c>
      <c r="I216">
        <v>112105.24096</v>
      </c>
      <c r="J216" t="str">
        <f t="shared" si="11"/>
        <v>Offices TAS</v>
      </c>
      <c r="K216" t="str">
        <f t="shared" si="11"/>
        <v>kWh</v>
      </c>
      <c r="L216" t="str">
        <f t="shared" si="11"/>
        <v>N/A</v>
      </c>
      <c r="M216" s="8">
        <f t="shared" si="10"/>
        <v>590027.58399999992</v>
      </c>
      <c r="N216" s="8">
        <f t="shared" si="10"/>
        <v>2124.0993023999995</v>
      </c>
      <c r="O216" s="8">
        <f t="shared" si="10"/>
        <v>0</v>
      </c>
      <c r="P216" s="8">
        <f t="shared" si="10"/>
        <v>100304.68927999999</v>
      </c>
      <c r="Q216" s="8">
        <f t="shared" si="10"/>
        <v>11800.551679999999</v>
      </c>
      <c r="R216" s="8">
        <f t="shared" si="12"/>
        <v>112105.24096</v>
      </c>
      <c r="S216" s="8" t="str">
        <f>VLOOKUP(J216,'GHG Factors FY21'!A:B,2,FALSE)</f>
        <v>Electricity</v>
      </c>
      <c r="T216" s="8" t="str">
        <f>VLOOKUP(ReformFY21[[#This Row],[Reporting Alias]],'Entities FY21'!B:B,1,FALSE)</f>
        <v>Offices TAS</v>
      </c>
    </row>
    <row r="217" spans="1:20">
      <c r="A217" t="s">
        <v>1000</v>
      </c>
      <c r="B217" t="s">
        <v>663</v>
      </c>
      <c r="C217" t="s">
        <v>104</v>
      </c>
      <c r="D217" s="244">
        <v>12923450.24</v>
      </c>
      <c r="E217">
        <v>46524.420864</v>
      </c>
      <c r="F217">
        <v>0</v>
      </c>
      <c r="G217">
        <v>12664981.235199999</v>
      </c>
      <c r="H217">
        <v>1421579.5264000001</v>
      </c>
      <c r="I217">
        <v>14086560.761599999</v>
      </c>
      <c r="J217" t="str">
        <f t="shared" si="11"/>
        <v>Offices VIC</v>
      </c>
      <c r="K217" t="str">
        <f t="shared" si="11"/>
        <v>kWh</v>
      </c>
      <c r="L217" t="str">
        <f t="shared" si="11"/>
        <v>N/A</v>
      </c>
      <c r="M217" s="8">
        <f t="shared" si="10"/>
        <v>12923450.24</v>
      </c>
      <c r="N217" s="8">
        <f t="shared" si="10"/>
        <v>46524.420864</v>
      </c>
      <c r="O217" s="8">
        <f t="shared" si="10"/>
        <v>0</v>
      </c>
      <c r="P217" s="8">
        <f t="shared" si="10"/>
        <v>12664981.235199999</v>
      </c>
      <c r="Q217" s="8">
        <f t="shared" si="10"/>
        <v>1421579.5264000001</v>
      </c>
      <c r="R217" s="8">
        <f t="shared" si="12"/>
        <v>14086560.761599999</v>
      </c>
      <c r="S217" s="8" t="str">
        <f>VLOOKUP(J217,'GHG Factors FY21'!A:B,2,FALSE)</f>
        <v>Electricity</v>
      </c>
      <c r="T217" s="8" t="str">
        <f>VLOOKUP(ReformFY21[[#This Row],[Reporting Alias]],'Entities FY21'!B:B,1,FALSE)</f>
        <v>Offices VIC</v>
      </c>
    </row>
    <row r="218" spans="1:20">
      <c r="A218" t="s">
        <v>1001</v>
      </c>
      <c r="B218" t="s">
        <v>663</v>
      </c>
      <c r="C218" t="s">
        <v>104</v>
      </c>
      <c r="D218" s="244">
        <v>331097.65870000003</v>
      </c>
      <c r="E218">
        <v>1191.9515713200001</v>
      </c>
      <c r="F218">
        <v>0</v>
      </c>
      <c r="G218">
        <v>225146.40791600003</v>
      </c>
      <c r="H218">
        <v>6621.9531740000011</v>
      </c>
      <c r="I218">
        <v>231768.36109000002</v>
      </c>
      <c r="J218" t="str">
        <f t="shared" si="11"/>
        <v>Offices WA</v>
      </c>
      <c r="K218" t="str">
        <f t="shared" si="11"/>
        <v>kWh</v>
      </c>
      <c r="L218" t="str">
        <f t="shared" si="11"/>
        <v>N/A</v>
      </c>
      <c r="M218" s="8">
        <f t="shared" si="10"/>
        <v>331097.65870000003</v>
      </c>
      <c r="N218" s="8">
        <f t="shared" si="10"/>
        <v>1191.9515713200001</v>
      </c>
      <c r="O218" s="8">
        <f t="shared" si="10"/>
        <v>0</v>
      </c>
      <c r="P218" s="8">
        <f t="shared" si="10"/>
        <v>225146.40791600003</v>
      </c>
      <c r="Q218" s="8">
        <f t="shared" si="10"/>
        <v>6621.9531740000011</v>
      </c>
      <c r="R218" s="8">
        <f t="shared" si="12"/>
        <v>231768.36109000002</v>
      </c>
      <c r="S218" s="8" t="str">
        <f>VLOOKUP(J218,'GHG Factors FY21'!A:B,2,FALSE)</f>
        <v>Electricity</v>
      </c>
      <c r="T218" s="8" t="str">
        <f>VLOOKUP(ReformFY21[[#This Row],[Reporting Alias]],'Entities FY21'!B:B,1,FALSE)</f>
        <v>Offices WA</v>
      </c>
    </row>
    <row r="219" spans="1:20">
      <c r="A219" t="s">
        <v>1002</v>
      </c>
      <c r="B219" t="s">
        <v>663</v>
      </c>
      <c r="C219" t="s">
        <v>104</v>
      </c>
      <c r="D219" s="244">
        <v>48.941000000000003</v>
      </c>
      <c r="E219">
        <v>0.1761876</v>
      </c>
      <c r="F219">
        <v>0</v>
      </c>
      <c r="G219">
        <v>39.642210000000006</v>
      </c>
      <c r="H219">
        <v>4.4046900000000004</v>
      </c>
      <c r="I219">
        <v>44.046900000000008</v>
      </c>
      <c r="J219" t="str">
        <f t="shared" si="11"/>
        <v>Residences ACT</v>
      </c>
      <c r="K219" t="str">
        <f t="shared" si="11"/>
        <v>kWh</v>
      </c>
      <c r="L219" t="str">
        <f t="shared" si="11"/>
        <v>N/A</v>
      </c>
      <c r="M219" s="8">
        <f t="shared" si="10"/>
        <v>48.941000000000003</v>
      </c>
      <c r="N219" s="8">
        <f t="shared" si="10"/>
        <v>0.1761876</v>
      </c>
      <c r="O219" s="8">
        <f t="shared" si="10"/>
        <v>0</v>
      </c>
      <c r="P219" s="8">
        <f t="shared" si="10"/>
        <v>39.642210000000006</v>
      </c>
      <c r="Q219" s="8">
        <f t="shared" si="10"/>
        <v>4.4046900000000004</v>
      </c>
      <c r="R219" s="8">
        <f t="shared" si="12"/>
        <v>44.046900000000008</v>
      </c>
      <c r="S219" s="8" t="str">
        <f>VLOOKUP(J219,'GHG Factors FY21'!A:B,2,FALSE)</f>
        <v>Electricity</v>
      </c>
      <c r="T219" s="8" t="str">
        <f>VLOOKUP(ReformFY21[[#This Row],[Reporting Alias]],'Entities FY21'!B:B,1,FALSE)</f>
        <v>Residences ACT</v>
      </c>
    </row>
    <row r="220" spans="1:20">
      <c r="A220" t="s">
        <v>1003</v>
      </c>
      <c r="B220" t="s">
        <v>663</v>
      </c>
      <c r="C220" t="s">
        <v>104</v>
      </c>
      <c r="D220" s="244">
        <v>0</v>
      </c>
      <c r="E220">
        <v>0</v>
      </c>
      <c r="F220">
        <v>0</v>
      </c>
      <c r="G220">
        <v>0</v>
      </c>
      <c r="H220">
        <v>0</v>
      </c>
      <c r="I220">
        <v>0</v>
      </c>
      <c r="J220" t="str">
        <f t="shared" si="11"/>
        <v>Residences NSW</v>
      </c>
      <c r="K220" t="str">
        <f t="shared" si="11"/>
        <v>kWh</v>
      </c>
      <c r="L220" t="str">
        <f t="shared" si="11"/>
        <v>N/A</v>
      </c>
      <c r="M220" s="8">
        <f t="shared" si="10"/>
        <v>0</v>
      </c>
      <c r="N220" s="8">
        <f t="shared" si="10"/>
        <v>0</v>
      </c>
      <c r="O220" s="8">
        <f t="shared" si="10"/>
        <v>0</v>
      </c>
      <c r="P220" s="8">
        <f t="shared" si="10"/>
        <v>0</v>
      </c>
      <c r="Q220" s="8">
        <f t="shared" si="10"/>
        <v>0</v>
      </c>
      <c r="R220" s="8">
        <f t="shared" si="12"/>
        <v>0</v>
      </c>
      <c r="S220" s="8" t="str">
        <f>VLOOKUP(J220,'GHG Factors FY21'!A:B,2,FALSE)</f>
        <v>Electricity</v>
      </c>
      <c r="T220" s="8" t="str">
        <f>VLOOKUP(ReformFY21[[#This Row],[Reporting Alias]],'Entities FY21'!B:B,1,FALSE)</f>
        <v>Residences NSW</v>
      </c>
    </row>
    <row r="221" spans="1:20">
      <c r="A221" t="s">
        <v>1004</v>
      </c>
      <c r="B221" t="s">
        <v>663</v>
      </c>
      <c r="C221" t="s">
        <v>104</v>
      </c>
      <c r="D221" s="244">
        <v>0</v>
      </c>
      <c r="E221">
        <v>0</v>
      </c>
      <c r="F221">
        <v>0</v>
      </c>
      <c r="G221">
        <v>0</v>
      </c>
      <c r="H221">
        <v>0</v>
      </c>
      <c r="I221">
        <v>0</v>
      </c>
      <c r="J221" t="str">
        <f t="shared" si="11"/>
        <v>Residences NT</v>
      </c>
      <c r="K221" t="str">
        <f t="shared" si="11"/>
        <v>kWh</v>
      </c>
      <c r="L221" t="str">
        <f t="shared" si="11"/>
        <v>N/A</v>
      </c>
      <c r="M221" s="8">
        <f t="shared" si="10"/>
        <v>0</v>
      </c>
      <c r="N221" s="8">
        <f t="shared" si="10"/>
        <v>0</v>
      </c>
      <c r="O221" s="8">
        <f t="shared" si="10"/>
        <v>0</v>
      </c>
      <c r="P221" s="8">
        <f t="shared" ref="P221:Q280" si="13">G221</f>
        <v>0</v>
      </c>
      <c r="Q221" s="8">
        <f t="shared" si="13"/>
        <v>0</v>
      </c>
      <c r="R221" s="8">
        <f t="shared" si="12"/>
        <v>0</v>
      </c>
      <c r="S221" s="8" t="str">
        <f>VLOOKUP(J221,'GHG Factors FY21'!A:B,2,FALSE)</f>
        <v>Electricity</v>
      </c>
      <c r="T221" s="8" t="str">
        <f>VLOOKUP(ReformFY21[[#This Row],[Reporting Alias]],'Entities FY21'!B:B,1,FALSE)</f>
        <v>Residences NT</v>
      </c>
    </row>
    <row r="222" spans="1:20">
      <c r="A222" t="s">
        <v>1005</v>
      </c>
      <c r="B222" t="s">
        <v>663</v>
      </c>
      <c r="C222" t="s">
        <v>104</v>
      </c>
      <c r="D222" s="244">
        <v>43090.295699999995</v>
      </c>
      <c r="E222">
        <v>155.12506451999997</v>
      </c>
      <c r="F222">
        <v>0</v>
      </c>
      <c r="G222">
        <v>34903.139516999996</v>
      </c>
      <c r="H222">
        <v>5170.8354839999993</v>
      </c>
      <c r="I222">
        <v>40073.975000999999</v>
      </c>
      <c r="J222" t="str">
        <f t="shared" si="11"/>
        <v>Residences QLD</v>
      </c>
      <c r="K222" t="str">
        <f t="shared" si="11"/>
        <v>kWh</v>
      </c>
      <c r="L222" t="str">
        <f t="shared" si="11"/>
        <v>N/A</v>
      </c>
      <c r="M222" s="8">
        <f t="shared" si="11"/>
        <v>43090.295699999995</v>
      </c>
      <c r="N222" s="8">
        <f t="shared" si="11"/>
        <v>155.12506451999997</v>
      </c>
      <c r="O222" s="8">
        <f t="shared" si="11"/>
        <v>0</v>
      </c>
      <c r="P222" s="8">
        <f t="shared" si="13"/>
        <v>34903.139516999996</v>
      </c>
      <c r="Q222" s="8">
        <f t="shared" si="13"/>
        <v>5170.8354839999993</v>
      </c>
      <c r="R222" s="8">
        <f t="shared" si="12"/>
        <v>40073.975000999999</v>
      </c>
      <c r="S222" s="8" t="str">
        <f>VLOOKUP(J222,'GHG Factors FY21'!A:B,2,FALSE)</f>
        <v>Electricity</v>
      </c>
      <c r="T222" s="8" t="str">
        <f>VLOOKUP(ReformFY21[[#This Row],[Reporting Alias]],'Entities FY21'!B:B,1,FALSE)</f>
        <v>Residences QLD</v>
      </c>
    </row>
    <row r="223" spans="1:20">
      <c r="A223" t="s">
        <v>1006</v>
      </c>
      <c r="B223" t="s">
        <v>663</v>
      </c>
      <c r="C223" t="s">
        <v>104</v>
      </c>
      <c r="D223" s="244">
        <v>0</v>
      </c>
      <c r="E223">
        <v>0</v>
      </c>
      <c r="F223">
        <v>0</v>
      </c>
      <c r="G223">
        <v>0</v>
      </c>
      <c r="H223">
        <v>0</v>
      </c>
      <c r="I223">
        <v>0</v>
      </c>
      <c r="J223" t="str">
        <f t="shared" si="11"/>
        <v>Residences SA</v>
      </c>
      <c r="K223" t="str">
        <f t="shared" si="11"/>
        <v>kWh</v>
      </c>
      <c r="L223" t="str">
        <f t="shared" si="11"/>
        <v>N/A</v>
      </c>
      <c r="M223" s="8">
        <f t="shared" si="11"/>
        <v>0</v>
      </c>
      <c r="N223" s="8">
        <f t="shared" si="11"/>
        <v>0</v>
      </c>
      <c r="O223" s="8">
        <f t="shared" si="11"/>
        <v>0</v>
      </c>
      <c r="P223" s="8">
        <f t="shared" si="13"/>
        <v>0</v>
      </c>
      <c r="Q223" s="8">
        <f t="shared" si="13"/>
        <v>0</v>
      </c>
      <c r="R223" s="8">
        <f t="shared" si="12"/>
        <v>0</v>
      </c>
      <c r="S223" s="8" t="str">
        <f>VLOOKUP(J223,'GHG Factors FY21'!A:B,2,FALSE)</f>
        <v>Electricity</v>
      </c>
      <c r="T223" s="8" t="str">
        <f>VLOOKUP(ReformFY21[[#This Row],[Reporting Alias]],'Entities FY21'!B:B,1,FALSE)</f>
        <v>Residences SA</v>
      </c>
    </row>
    <row r="224" spans="1:20">
      <c r="A224" t="s">
        <v>1007</v>
      </c>
      <c r="B224" t="s">
        <v>663</v>
      </c>
      <c r="C224" t="s">
        <v>104</v>
      </c>
      <c r="D224" s="244">
        <v>0</v>
      </c>
      <c r="E224">
        <v>0</v>
      </c>
      <c r="F224">
        <v>0</v>
      </c>
      <c r="G224">
        <v>0</v>
      </c>
      <c r="H224">
        <v>0</v>
      </c>
      <c r="I224">
        <v>0</v>
      </c>
      <c r="J224" t="str">
        <f t="shared" si="11"/>
        <v>Residences TAS</v>
      </c>
      <c r="K224" t="str">
        <f t="shared" si="11"/>
        <v>kWh</v>
      </c>
      <c r="L224" t="str">
        <f t="shared" si="11"/>
        <v>N/A</v>
      </c>
      <c r="M224" s="8">
        <f t="shared" si="11"/>
        <v>0</v>
      </c>
      <c r="N224" s="8">
        <f t="shared" si="11"/>
        <v>0</v>
      </c>
      <c r="O224" s="8">
        <f t="shared" si="11"/>
        <v>0</v>
      </c>
      <c r="P224" s="8">
        <f t="shared" si="13"/>
        <v>0</v>
      </c>
      <c r="Q224" s="8">
        <f t="shared" si="13"/>
        <v>0</v>
      </c>
      <c r="R224" s="8">
        <f t="shared" si="12"/>
        <v>0</v>
      </c>
      <c r="S224" s="8" t="str">
        <f>VLOOKUP(J224,'GHG Factors FY21'!A:B,2,FALSE)</f>
        <v>Electricity</v>
      </c>
      <c r="T224" s="8" t="str">
        <f>VLOOKUP(ReformFY21[[#This Row],[Reporting Alias]],'Entities FY21'!B:B,1,FALSE)</f>
        <v>Residences TAS</v>
      </c>
    </row>
    <row r="225" spans="1:20">
      <c r="A225" t="s">
        <v>1008</v>
      </c>
      <c r="B225" t="s">
        <v>663</v>
      </c>
      <c r="C225" t="s">
        <v>104</v>
      </c>
      <c r="D225" s="244">
        <v>0</v>
      </c>
      <c r="E225">
        <v>0</v>
      </c>
      <c r="F225">
        <v>0</v>
      </c>
      <c r="G225">
        <v>0</v>
      </c>
      <c r="H225">
        <v>0</v>
      </c>
      <c r="I225">
        <v>0</v>
      </c>
      <c r="J225" t="str">
        <f t="shared" si="11"/>
        <v>Residences VIC</v>
      </c>
      <c r="K225" t="str">
        <f t="shared" si="11"/>
        <v>kWh</v>
      </c>
      <c r="L225" t="str">
        <f t="shared" si="11"/>
        <v>N/A</v>
      </c>
      <c r="M225" s="8">
        <f t="shared" si="11"/>
        <v>0</v>
      </c>
      <c r="N225" s="8">
        <f t="shared" si="11"/>
        <v>0</v>
      </c>
      <c r="O225" s="8">
        <f t="shared" si="11"/>
        <v>0</v>
      </c>
      <c r="P225" s="8">
        <f t="shared" si="13"/>
        <v>0</v>
      </c>
      <c r="Q225" s="8">
        <f t="shared" si="13"/>
        <v>0</v>
      </c>
      <c r="R225" s="8">
        <f t="shared" si="12"/>
        <v>0</v>
      </c>
      <c r="S225" s="8" t="str">
        <f>VLOOKUP(J225,'GHG Factors FY21'!A:B,2,FALSE)</f>
        <v>Electricity</v>
      </c>
      <c r="T225" s="8" t="str">
        <f>VLOOKUP(ReformFY21[[#This Row],[Reporting Alias]],'Entities FY21'!B:B,1,FALSE)</f>
        <v>Residences VIC</v>
      </c>
    </row>
    <row r="226" spans="1:20">
      <c r="A226" t="s">
        <v>1009</v>
      </c>
      <c r="B226" t="s">
        <v>663</v>
      </c>
      <c r="C226" t="s">
        <v>104</v>
      </c>
      <c r="D226" s="244">
        <v>28456.728200000001</v>
      </c>
      <c r="E226">
        <v>102.44422152</v>
      </c>
      <c r="F226">
        <v>0</v>
      </c>
      <c r="G226">
        <v>19350.575176000002</v>
      </c>
      <c r="H226">
        <v>569.13456400000007</v>
      </c>
      <c r="I226">
        <v>19919.709740000002</v>
      </c>
      <c r="J226" t="str">
        <f t="shared" si="11"/>
        <v>Residences WA</v>
      </c>
      <c r="K226" t="str">
        <f t="shared" si="11"/>
        <v>kWh</v>
      </c>
      <c r="L226" t="str">
        <f t="shared" si="11"/>
        <v>N/A</v>
      </c>
      <c r="M226" s="8">
        <f t="shared" si="11"/>
        <v>28456.728200000001</v>
      </c>
      <c r="N226" s="8">
        <f t="shared" si="11"/>
        <v>102.44422152</v>
      </c>
      <c r="O226" s="8">
        <f t="shared" si="11"/>
        <v>0</v>
      </c>
      <c r="P226" s="8">
        <f t="shared" si="13"/>
        <v>19350.575176000002</v>
      </c>
      <c r="Q226" s="8">
        <f t="shared" si="13"/>
        <v>569.13456400000007</v>
      </c>
      <c r="R226" s="8">
        <f t="shared" si="12"/>
        <v>19919.709740000002</v>
      </c>
      <c r="S226" s="8" t="str">
        <f>VLOOKUP(J226,'GHG Factors FY21'!A:B,2,FALSE)</f>
        <v>Electricity</v>
      </c>
      <c r="T226" s="8" t="str">
        <f>VLOOKUP(ReformFY21[[#This Row],[Reporting Alias]],'Entities FY21'!B:B,1,FALSE)</f>
        <v>Residences WA</v>
      </c>
    </row>
    <row r="227" spans="1:20">
      <c r="A227" t="s">
        <v>1010</v>
      </c>
      <c r="B227" t="s">
        <v>663</v>
      </c>
      <c r="C227" t="s">
        <v>104</v>
      </c>
      <c r="D227" s="244">
        <v>55711.078600000001</v>
      </c>
      <c r="E227">
        <v>200.55988296000001</v>
      </c>
      <c r="F227">
        <v>0</v>
      </c>
      <c r="G227">
        <v>45125.973666000005</v>
      </c>
      <c r="H227">
        <v>5013.9970739999999</v>
      </c>
      <c r="I227">
        <v>50139.970740000004</v>
      </c>
      <c r="J227" t="str">
        <f t="shared" si="11"/>
        <v>Retail ACT</v>
      </c>
      <c r="K227" t="str">
        <f t="shared" si="11"/>
        <v>kWh</v>
      </c>
      <c r="L227" t="str">
        <f t="shared" si="11"/>
        <v>N/A</v>
      </c>
      <c r="M227" s="8">
        <f t="shared" si="11"/>
        <v>55711.078600000001</v>
      </c>
      <c r="N227" s="8">
        <f t="shared" si="11"/>
        <v>200.55988296000001</v>
      </c>
      <c r="O227" s="8">
        <f t="shared" si="11"/>
        <v>0</v>
      </c>
      <c r="P227" s="8">
        <f t="shared" si="13"/>
        <v>45125.973666000005</v>
      </c>
      <c r="Q227" s="8">
        <f t="shared" si="13"/>
        <v>5013.9970739999999</v>
      </c>
      <c r="R227" s="8">
        <f t="shared" si="12"/>
        <v>50139.970740000004</v>
      </c>
      <c r="S227" s="8" t="str">
        <f>VLOOKUP(J227,'GHG Factors FY21'!A:B,2,FALSE)</f>
        <v>Electricity</v>
      </c>
      <c r="T227" s="8" t="str">
        <f>VLOOKUP(ReformFY21[[#This Row],[Reporting Alias]],'Entities FY21'!B:B,1,FALSE)</f>
        <v>Retail ACT</v>
      </c>
    </row>
    <row r="228" spans="1:20">
      <c r="A228" t="s">
        <v>1011</v>
      </c>
      <c r="B228" t="s">
        <v>663</v>
      </c>
      <c r="C228" t="s">
        <v>104</v>
      </c>
      <c r="D228" s="244">
        <v>1730964.8966817702</v>
      </c>
      <c r="E228">
        <v>6231.473628054373</v>
      </c>
      <c r="F228">
        <v>0</v>
      </c>
      <c r="G228">
        <v>1402081.5663122339</v>
      </c>
      <c r="H228">
        <v>155786.84070135932</v>
      </c>
      <c r="I228">
        <v>1557868.4070135932</v>
      </c>
      <c r="J228" t="str">
        <f t="shared" si="11"/>
        <v>Retail NSW</v>
      </c>
      <c r="K228" t="str">
        <f t="shared" si="11"/>
        <v>kWh</v>
      </c>
      <c r="L228" t="str">
        <f t="shared" si="11"/>
        <v>N/A</v>
      </c>
      <c r="M228" s="8">
        <f t="shared" si="11"/>
        <v>1730964.8966817702</v>
      </c>
      <c r="N228" s="8">
        <f t="shared" si="11"/>
        <v>6231.473628054373</v>
      </c>
      <c r="O228" s="8">
        <f t="shared" si="11"/>
        <v>0</v>
      </c>
      <c r="P228" s="8">
        <f t="shared" si="13"/>
        <v>1402081.5663122339</v>
      </c>
      <c r="Q228" s="8">
        <f t="shared" si="13"/>
        <v>155786.84070135932</v>
      </c>
      <c r="R228" s="8">
        <f t="shared" si="12"/>
        <v>1557868.4070135932</v>
      </c>
      <c r="S228" s="8" t="str">
        <f>VLOOKUP(J228,'GHG Factors FY21'!A:B,2,FALSE)</f>
        <v>Electricity</v>
      </c>
      <c r="T228" s="8" t="str">
        <f>VLOOKUP(ReformFY21[[#This Row],[Reporting Alias]],'Entities FY21'!B:B,1,FALSE)</f>
        <v>Retail NSW</v>
      </c>
    </row>
    <row r="229" spans="1:20">
      <c r="A229" t="s">
        <v>1012</v>
      </c>
      <c r="B229" t="s">
        <v>663</v>
      </c>
      <c r="C229" t="s">
        <v>104</v>
      </c>
      <c r="D229" s="244">
        <v>21296.261000000002</v>
      </c>
      <c r="E229">
        <v>76.666539600000007</v>
      </c>
      <c r="F229">
        <v>0</v>
      </c>
      <c r="G229">
        <v>13203.681820000002</v>
      </c>
      <c r="H229">
        <v>1490.7382700000003</v>
      </c>
      <c r="I229">
        <v>14694.420090000001</v>
      </c>
      <c r="J229" t="str">
        <f t="shared" si="11"/>
        <v>Retail NT</v>
      </c>
      <c r="K229" t="str">
        <f t="shared" si="11"/>
        <v>kWh</v>
      </c>
      <c r="L229" t="str">
        <f t="shared" si="11"/>
        <v>N/A</v>
      </c>
      <c r="M229" s="8">
        <f t="shared" si="11"/>
        <v>21296.261000000002</v>
      </c>
      <c r="N229" s="8">
        <f t="shared" si="11"/>
        <v>76.666539600000007</v>
      </c>
      <c r="O229" s="8">
        <f t="shared" si="11"/>
        <v>0</v>
      </c>
      <c r="P229" s="8">
        <f t="shared" si="13"/>
        <v>13203.681820000002</v>
      </c>
      <c r="Q229" s="8">
        <f t="shared" si="13"/>
        <v>1490.7382700000003</v>
      </c>
      <c r="R229" s="8">
        <f t="shared" si="12"/>
        <v>14694.420090000001</v>
      </c>
      <c r="S229" s="8" t="str">
        <f>VLOOKUP(J229,'GHG Factors FY21'!A:B,2,FALSE)</f>
        <v>Electricity</v>
      </c>
      <c r="T229" s="8" t="str">
        <f>VLOOKUP(ReformFY21[[#This Row],[Reporting Alias]],'Entities FY21'!B:B,1,FALSE)</f>
        <v>Retail NT</v>
      </c>
    </row>
    <row r="230" spans="1:20">
      <c r="A230" t="s">
        <v>1013</v>
      </c>
      <c r="B230" t="s">
        <v>663</v>
      </c>
      <c r="C230" t="s">
        <v>104</v>
      </c>
      <c r="D230" s="244">
        <v>560219.57620000001</v>
      </c>
      <c r="E230">
        <v>2016.7904743199999</v>
      </c>
      <c r="F230">
        <v>0</v>
      </c>
      <c r="G230">
        <v>453777.85672200006</v>
      </c>
      <c r="H230">
        <v>67226.349143999993</v>
      </c>
      <c r="I230">
        <v>521004.20586600003</v>
      </c>
      <c r="J230" t="str">
        <f t="shared" si="11"/>
        <v>Retail QLD</v>
      </c>
      <c r="K230" t="str">
        <f t="shared" si="11"/>
        <v>kWh</v>
      </c>
      <c r="L230" t="str">
        <f t="shared" si="11"/>
        <v>N/A</v>
      </c>
      <c r="M230" s="8">
        <f t="shared" si="11"/>
        <v>560219.57620000001</v>
      </c>
      <c r="N230" s="8">
        <f t="shared" si="11"/>
        <v>2016.7904743199999</v>
      </c>
      <c r="O230" s="8">
        <f t="shared" si="11"/>
        <v>0</v>
      </c>
      <c r="P230" s="8">
        <f t="shared" si="13"/>
        <v>453777.85672200006</v>
      </c>
      <c r="Q230" s="8">
        <f t="shared" si="13"/>
        <v>67226.349143999993</v>
      </c>
      <c r="R230" s="8">
        <f t="shared" si="12"/>
        <v>521004.20586600003</v>
      </c>
      <c r="S230" s="8" t="str">
        <f>VLOOKUP(J230,'GHG Factors FY21'!A:B,2,FALSE)</f>
        <v>Electricity</v>
      </c>
      <c r="T230" s="8" t="str">
        <f>VLOOKUP(ReformFY21[[#This Row],[Reporting Alias]],'Entities FY21'!B:B,1,FALSE)</f>
        <v>Retail QLD</v>
      </c>
    </row>
    <row r="231" spans="1:20">
      <c r="A231" t="s">
        <v>1014</v>
      </c>
      <c r="B231" t="s">
        <v>663</v>
      </c>
      <c r="C231" t="s">
        <v>104</v>
      </c>
      <c r="D231" s="244">
        <v>194619.56630000001</v>
      </c>
      <c r="E231">
        <v>700.63043868</v>
      </c>
      <c r="F231">
        <v>0</v>
      </c>
      <c r="G231">
        <v>83686.413509000005</v>
      </c>
      <c r="H231">
        <v>17515.760966999998</v>
      </c>
      <c r="I231">
        <v>101202.174476</v>
      </c>
      <c r="J231" t="str">
        <f t="shared" si="11"/>
        <v>Retail SA</v>
      </c>
      <c r="K231" t="str">
        <f t="shared" si="11"/>
        <v>kWh</v>
      </c>
      <c r="L231" t="str">
        <f t="shared" si="11"/>
        <v>N/A</v>
      </c>
      <c r="M231" s="8">
        <f t="shared" si="11"/>
        <v>194619.56630000001</v>
      </c>
      <c r="N231" s="8">
        <f t="shared" si="11"/>
        <v>700.63043868</v>
      </c>
      <c r="O231" s="8">
        <f t="shared" si="11"/>
        <v>0</v>
      </c>
      <c r="P231" s="8">
        <f t="shared" si="13"/>
        <v>83686.413509000005</v>
      </c>
      <c r="Q231" s="8">
        <f t="shared" si="13"/>
        <v>17515.760966999998</v>
      </c>
      <c r="R231" s="8">
        <f t="shared" si="12"/>
        <v>101202.174476</v>
      </c>
      <c r="S231" s="8" t="str">
        <f>VLOOKUP(J231,'GHG Factors FY21'!A:B,2,FALSE)</f>
        <v>Electricity</v>
      </c>
      <c r="T231" s="8" t="str">
        <f>VLOOKUP(ReformFY21[[#This Row],[Reporting Alias]],'Entities FY21'!B:B,1,FALSE)</f>
        <v>Retail SA</v>
      </c>
    </row>
    <row r="232" spans="1:20">
      <c r="A232" t="s">
        <v>1015</v>
      </c>
      <c r="B232" t="s">
        <v>663</v>
      </c>
      <c r="C232" t="s">
        <v>104</v>
      </c>
      <c r="D232" s="244">
        <v>84161.480299999996</v>
      </c>
      <c r="E232">
        <v>302.98132907999997</v>
      </c>
      <c r="F232">
        <v>0</v>
      </c>
      <c r="G232">
        <v>14307.451650999999</v>
      </c>
      <c r="H232">
        <v>1683.2296059999999</v>
      </c>
      <c r="I232">
        <v>15990.681257</v>
      </c>
      <c r="J232" t="str">
        <f t="shared" si="11"/>
        <v>Retail TAS</v>
      </c>
      <c r="K232" t="str">
        <f t="shared" si="11"/>
        <v>kWh</v>
      </c>
      <c r="L232" t="str">
        <f t="shared" si="11"/>
        <v>N/A</v>
      </c>
      <c r="M232" s="8">
        <f t="shared" si="11"/>
        <v>84161.480299999996</v>
      </c>
      <c r="N232" s="8">
        <f t="shared" si="11"/>
        <v>302.98132907999997</v>
      </c>
      <c r="O232" s="8">
        <f t="shared" si="11"/>
        <v>0</v>
      </c>
      <c r="P232" s="8">
        <f t="shared" si="13"/>
        <v>14307.451650999999</v>
      </c>
      <c r="Q232" s="8">
        <f t="shared" si="13"/>
        <v>1683.2296059999999</v>
      </c>
      <c r="R232" s="8">
        <f t="shared" si="12"/>
        <v>15990.681257</v>
      </c>
      <c r="S232" s="8" t="str">
        <f>VLOOKUP(J232,'GHG Factors FY21'!A:B,2,FALSE)</f>
        <v>Electricity</v>
      </c>
      <c r="T232" s="8" t="str">
        <f>VLOOKUP(ReformFY21[[#This Row],[Reporting Alias]],'Entities FY21'!B:B,1,FALSE)</f>
        <v>Retail TAS</v>
      </c>
    </row>
    <row r="233" spans="1:20">
      <c r="A233" t="s">
        <v>1016</v>
      </c>
      <c r="B233" t="s">
        <v>663</v>
      </c>
      <c r="C233" t="s">
        <v>104</v>
      </c>
      <c r="D233" s="244">
        <v>1425253.9988000002</v>
      </c>
      <c r="E233">
        <v>5130.9143956800008</v>
      </c>
      <c r="F233">
        <v>0</v>
      </c>
      <c r="G233">
        <v>1396748.9188240001</v>
      </c>
      <c r="H233">
        <v>156777.93986800002</v>
      </c>
      <c r="I233">
        <v>1553526.8586920002</v>
      </c>
      <c r="J233" t="str">
        <f t="shared" si="11"/>
        <v>Retail VIC</v>
      </c>
      <c r="K233" t="str">
        <f t="shared" si="11"/>
        <v>kWh</v>
      </c>
      <c r="L233" t="str">
        <f t="shared" si="11"/>
        <v>N/A</v>
      </c>
      <c r="M233" s="8">
        <f t="shared" si="11"/>
        <v>1425253.9988000002</v>
      </c>
      <c r="N233" s="8">
        <f t="shared" si="11"/>
        <v>5130.9143956800008</v>
      </c>
      <c r="O233" s="8">
        <f t="shared" si="11"/>
        <v>0</v>
      </c>
      <c r="P233" s="8">
        <f t="shared" si="13"/>
        <v>1396748.9188240001</v>
      </c>
      <c r="Q233" s="8">
        <f t="shared" si="13"/>
        <v>156777.93986800002</v>
      </c>
      <c r="R233" s="8">
        <f t="shared" si="12"/>
        <v>1553526.8586920002</v>
      </c>
      <c r="S233" s="8" t="str">
        <f>VLOOKUP(J233,'GHG Factors FY21'!A:B,2,FALSE)</f>
        <v>Electricity</v>
      </c>
      <c r="T233" s="8" t="str">
        <f>VLOOKUP(ReformFY21[[#This Row],[Reporting Alias]],'Entities FY21'!B:B,1,FALSE)</f>
        <v>Retail VIC</v>
      </c>
    </row>
    <row r="234" spans="1:20">
      <c r="A234" t="s">
        <v>1017</v>
      </c>
      <c r="B234" t="s">
        <v>663</v>
      </c>
      <c r="C234" t="s">
        <v>104</v>
      </c>
      <c r="D234" s="244">
        <v>249285.09072245943</v>
      </c>
      <c r="E234">
        <v>897.42632660085394</v>
      </c>
      <c r="F234">
        <v>0</v>
      </c>
      <c r="G234">
        <v>169513.86169127241</v>
      </c>
      <c r="H234">
        <v>4985.7018144491885</v>
      </c>
      <c r="I234">
        <v>174499.5635057216</v>
      </c>
      <c r="J234" t="str">
        <f t="shared" si="11"/>
        <v>Retail WA</v>
      </c>
      <c r="K234" t="str">
        <f t="shared" si="11"/>
        <v>kWh</v>
      </c>
      <c r="L234" t="str">
        <f t="shared" si="11"/>
        <v>N/A</v>
      </c>
      <c r="M234" s="8">
        <f t="shared" si="11"/>
        <v>249285.09072245943</v>
      </c>
      <c r="N234" s="8">
        <f t="shared" si="11"/>
        <v>897.42632660085394</v>
      </c>
      <c r="O234" s="8">
        <f t="shared" si="11"/>
        <v>0</v>
      </c>
      <c r="P234" s="8">
        <f t="shared" si="13"/>
        <v>169513.86169127241</v>
      </c>
      <c r="Q234" s="8">
        <f t="shared" si="13"/>
        <v>4985.7018144491885</v>
      </c>
      <c r="R234" s="8">
        <f t="shared" si="12"/>
        <v>174499.5635057216</v>
      </c>
      <c r="S234" s="8" t="str">
        <f>VLOOKUP(J234,'GHG Factors FY21'!A:B,2,FALSE)</f>
        <v>Electricity</v>
      </c>
      <c r="T234" s="8" t="str">
        <f>VLOOKUP(ReformFY21[[#This Row],[Reporting Alias]],'Entities FY21'!B:B,1,FALSE)</f>
        <v>Retail WA</v>
      </c>
    </row>
    <row r="235" spans="1:20">
      <c r="A235" t="s">
        <v>705</v>
      </c>
      <c r="B235" t="s">
        <v>663</v>
      </c>
      <c r="C235" t="s">
        <v>104</v>
      </c>
      <c r="D235" s="244">
        <v>40063690.008000001</v>
      </c>
      <c r="E235">
        <v>144229.2840288</v>
      </c>
      <c r="F235">
        <v>0</v>
      </c>
      <c r="G235">
        <v>32451588.906480003</v>
      </c>
      <c r="H235">
        <v>3605732.10072</v>
      </c>
      <c r="I235">
        <v>36057321.007200003</v>
      </c>
      <c r="J235" t="str">
        <f t="shared" si="11"/>
        <v>SLDC</v>
      </c>
      <c r="K235" t="str">
        <f t="shared" si="11"/>
        <v>kWh</v>
      </c>
      <c r="L235" t="str">
        <f t="shared" si="11"/>
        <v>N/A</v>
      </c>
      <c r="M235" s="8">
        <f t="shared" si="11"/>
        <v>40063690.008000001</v>
      </c>
      <c r="N235" s="8">
        <f t="shared" si="11"/>
        <v>144229.2840288</v>
      </c>
      <c r="O235" s="8">
        <f t="shared" si="11"/>
        <v>0</v>
      </c>
      <c r="P235" s="8">
        <f t="shared" si="13"/>
        <v>32451588.906480003</v>
      </c>
      <c r="Q235" s="8">
        <f t="shared" si="13"/>
        <v>3605732.10072</v>
      </c>
      <c r="R235" s="8">
        <f t="shared" si="12"/>
        <v>36057321.007200003</v>
      </c>
      <c r="S235" s="8" t="str">
        <f>VLOOKUP(J235,'GHG Factors FY21'!A:B,2,FALSE)</f>
        <v>Electricity</v>
      </c>
      <c r="T235" s="8" t="str">
        <f>VLOOKUP(ReformFY21[[#This Row],[Reporting Alias]],'Entities FY21'!B:B,1,FALSE)</f>
        <v>SLDC</v>
      </c>
    </row>
    <row r="236" spans="1:20">
      <c r="A236" t="s">
        <v>1018</v>
      </c>
      <c r="B236" t="s">
        <v>663</v>
      </c>
      <c r="C236" t="s">
        <v>104</v>
      </c>
      <c r="D236" s="244">
        <v>34244630.4089211</v>
      </c>
      <c r="E236">
        <v>123280.66947211596</v>
      </c>
      <c r="F236">
        <v>0</v>
      </c>
      <c r="G236">
        <v>27738150.631226093</v>
      </c>
      <c r="H236">
        <v>3082016.7368028988</v>
      </c>
      <c r="I236">
        <v>30820167.368028991</v>
      </c>
      <c r="J236" t="str">
        <f t="shared" si="11"/>
        <v>TNA ACT</v>
      </c>
      <c r="K236" t="str">
        <f t="shared" si="11"/>
        <v>kWh</v>
      </c>
      <c r="L236" t="str">
        <f t="shared" si="11"/>
        <v>N/A</v>
      </c>
      <c r="M236" s="8">
        <f t="shared" si="11"/>
        <v>34244630.4089211</v>
      </c>
      <c r="N236" s="8">
        <f t="shared" si="11"/>
        <v>123280.66947211596</v>
      </c>
      <c r="O236" s="8">
        <f t="shared" si="11"/>
        <v>0</v>
      </c>
      <c r="P236" s="8">
        <f t="shared" si="13"/>
        <v>27738150.631226093</v>
      </c>
      <c r="Q236" s="8">
        <f t="shared" si="13"/>
        <v>3082016.7368028988</v>
      </c>
      <c r="R236" s="8">
        <f t="shared" si="12"/>
        <v>30820167.368028991</v>
      </c>
      <c r="S236" s="8" t="str">
        <f>VLOOKUP(J236,'GHG Factors FY21'!A:B,2,FALSE)</f>
        <v>Electricity</v>
      </c>
      <c r="T236" s="8" t="str">
        <f>VLOOKUP(ReformFY21[[#This Row],[Reporting Alias]],'Entities FY21'!B:B,1,FALSE)</f>
        <v>TNA ACT</v>
      </c>
    </row>
    <row r="237" spans="1:20">
      <c r="A237" t="s">
        <v>1019</v>
      </c>
      <c r="B237" t="s">
        <v>663</v>
      </c>
      <c r="C237" t="s">
        <v>104</v>
      </c>
      <c r="D237" s="244">
        <v>413349909.00840777</v>
      </c>
      <c r="E237">
        <v>1488059.672430268</v>
      </c>
      <c r="F237">
        <v>0</v>
      </c>
      <c r="G237">
        <v>334813426.29681033</v>
      </c>
      <c r="H237">
        <v>37201491.810756698</v>
      </c>
      <c r="I237">
        <v>372014918.10756701</v>
      </c>
      <c r="J237" t="str">
        <f t="shared" si="11"/>
        <v>TNA NSW</v>
      </c>
      <c r="K237" t="str">
        <f t="shared" si="11"/>
        <v>kWh</v>
      </c>
      <c r="L237" t="str">
        <f t="shared" si="11"/>
        <v>N/A</v>
      </c>
      <c r="M237" s="8">
        <f t="shared" si="11"/>
        <v>413349909.00840777</v>
      </c>
      <c r="N237" s="8">
        <f t="shared" si="11"/>
        <v>1488059.672430268</v>
      </c>
      <c r="O237" s="8">
        <f t="shared" si="11"/>
        <v>0</v>
      </c>
      <c r="P237" s="8">
        <f t="shared" si="13"/>
        <v>334813426.29681033</v>
      </c>
      <c r="Q237" s="8">
        <f t="shared" si="13"/>
        <v>37201491.810756698</v>
      </c>
      <c r="R237" s="8">
        <f t="shared" si="12"/>
        <v>372014918.10756701</v>
      </c>
      <c r="S237" s="8" t="str">
        <f>VLOOKUP(J237,'GHG Factors FY21'!A:B,2,FALSE)</f>
        <v>Electricity</v>
      </c>
      <c r="T237" s="8" t="str">
        <f>VLOOKUP(ReformFY21[[#This Row],[Reporting Alias]],'Entities FY21'!B:B,1,FALSE)</f>
        <v>TNA NSW</v>
      </c>
    </row>
    <row r="238" spans="1:20">
      <c r="A238" t="s">
        <v>1020</v>
      </c>
      <c r="B238" t="s">
        <v>663</v>
      </c>
      <c r="C238" t="s">
        <v>104</v>
      </c>
      <c r="D238" s="244">
        <v>259260326.53119314</v>
      </c>
      <c r="E238">
        <v>933337.17551229522</v>
      </c>
      <c r="F238">
        <v>0</v>
      </c>
      <c r="G238">
        <v>210000864.49026644</v>
      </c>
      <c r="H238">
        <v>31111239.183743175</v>
      </c>
      <c r="I238">
        <v>241112103.67400962</v>
      </c>
      <c r="J238" t="str">
        <f t="shared" si="11"/>
        <v>TNA QLD</v>
      </c>
      <c r="K238" t="str">
        <f t="shared" si="11"/>
        <v>kWh</v>
      </c>
      <c r="L238" t="str">
        <f t="shared" si="11"/>
        <v>N/A</v>
      </c>
      <c r="M238" s="8">
        <f t="shared" si="11"/>
        <v>259260326.53119314</v>
      </c>
      <c r="N238" s="8">
        <f t="shared" si="11"/>
        <v>933337.17551229522</v>
      </c>
      <c r="O238" s="8">
        <f t="shared" si="11"/>
        <v>0</v>
      </c>
      <c r="P238" s="8">
        <f t="shared" si="13"/>
        <v>210000864.49026644</v>
      </c>
      <c r="Q238" s="8">
        <f t="shared" si="13"/>
        <v>31111239.183743175</v>
      </c>
      <c r="R238" s="8">
        <f t="shared" si="12"/>
        <v>241112103.67400962</v>
      </c>
      <c r="S238" s="8" t="str">
        <f>VLOOKUP(J238,'GHG Factors FY21'!A:B,2,FALSE)</f>
        <v>Electricity</v>
      </c>
      <c r="T238" s="8" t="str">
        <f>VLOOKUP(ReformFY21[[#This Row],[Reporting Alias]],'Entities FY21'!B:B,1,FALSE)</f>
        <v>TNA QLD</v>
      </c>
    </row>
    <row r="239" spans="1:20">
      <c r="A239" t="s">
        <v>1021</v>
      </c>
      <c r="B239" t="s">
        <v>663</v>
      </c>
      <c r="C239" t="s">
        <v>104</v>
      </c>
      <c r="D239" s="244">
        <v>92592604.639523253</v>
      </c>
      <c r="E239">
        <v>333333.37670228368</v>
      </c>
      <c r="F239">
        <v>0</v>
      </c>
      <c r="G239">
        <v>39814819.994994998</v>
      </c>
      <c r="H239">
        <v>8333334.4175570924</v>
      </c>
      <c r="I239">
        <v>48148154.412552088</v>
      </c>
      <c r="J239" t="str">
        <f t="shared" si="11"/>
        <v>TNA SA</v>
      </c>
      <c r="K239" t="str">
        <f t="shared" si="11"/>
        <v>kWh</v>
      </c>
      <c r="L239" t="str">
        <f t="shared" si="11"/>
        <v>N/A</v>
      </c>
      <c r="M239" s="8">
        <f t="shared" si="11"/>
        <v>92592604.639523253</v>
      </c>
      <c r="N239" s="8">
        <f t="shared" si="11"/>
        <v>333333.37670228368</v>
      </c>
      <c r="O239" s="8">
        <f t="shared" si="11"/>
        <v>0</v>
      </c>
      <c r="P239" s="8">
        <f t="shared" si="13"/>
        <v>39814819.994994998</v>
      </c>
      <c r="Q239" s="8">
        <f t="shared" si="13"/>
        <v>8333334.4175570924</v>
      </c>
      <c r="R239" s="8">
        <f t="shared" si="12"/>
        <v>48148154.412552088</v>
      </c>
      <c r="S239" s="8" t="str">
        <f>VLOOKUP(J239,'GHG Factors FY21'!A:B,2,FALSE)</f>
        <v>Electricity</v>
      </c>
      <c r="T239" s="8" t="str">
        <f>VLOOKUP(ReformFY21[[#This Row],[Reporting Alias]],'Entities FY21'!B:B,1,FALSE)</f>
        <v>TNA SA</v>
      </c>
    </row>
    <row r="240" spans="1:20">
      <c r="A240" t="s">
        <v>1022</v>
      </c>
      <c r="B240" t="s">
        <v>663</v>
      </c>
      <c r="C240" t="s">
        <v>104</v>
      </c>
      <c r="D240" s="244">
        <v>25671551.718824834</v>
      </c>
      <c r="E240">
        <v>92417.586187769397</v>
      </c>
      <c r="F240">
        <v>0</v>
      </c>
      <c r="G240">
        <v>4364163.7922002217</v>
      </c>
      <c r="H240">
        <v>513431.03437649668</v>
      </c>
      <c r="I240">
        <v>4877594.8265767181</v>
      </c>
      <c r="J240" t="str">
        <f t="shared" si="11"/>
        <v>TNA TAS</v>
      </c>
      <c r="K240" t="str">
        <f t="shared" si="11"/>
        <v>kWh</v>
      </c>
      <c r="L240" t="str">
        <f t="shared" si="11"/>
        <v>N/A</v>
      </c>
      <c r="M240" s="8">
        <f t="shared" si="11"/>
        <v>25671551.718824834</v>
      </c>
      <c r="N240" s="8">
        <f t="shared" si="11"/>
        <v>92417.586187769397</v>
      </c>
      <c r="O240" s="8">
        <f t="shared" si="11"/>
        <v>0</v>
      </c>
      <c r="P240" s="8">
        <f t="shared" si="13"/>
        <v>4364163.7922002217</v>
      </c>
      <c r="Q240" s="8">
        <f t="shared" si="13"/>
        <v>513431.03437649668</v>
      </c>
      <c r="R240" s="8">
        <f t="shared" si="12"/>
        <v>4877594.8265767181</v>
      </c>
      <c r="S240" s="8" t="str">
        <f>VLOOKUP(J240,'GHG Factors FY21'!A:B,2,FALSE)</f>
        <v>Electricity</v>
      </c>
      <c r="T240" s="8" t="str">
        <f>VLOOKUP(ReformFY21[[#This Row],[Reporting Alias]],'Entities FY21'!B:B,1,FALSE)</f>
        <v>TNA TAS</v>
      </c>
    </row>
    <row r="241" spans="1:20">
      <c r="A241" t="s">
        <v>1023</v>
      </c>
      <c r="B241" t="s">
        <v>663</v>
      </c>
      <c r="C241" t="s">
        <v>104</v>
      </c>
      <c r="D241" s="244">
        <v>303046392.9443925</v>
      </c>
      <c r="E241">
        <v>1090967.0145998129</v>
      </c>
      <c r="F241">
        <v>0</v>
      </c>
      <c r="G241">
        <v>296985465.08550465</v>
      </c>
      <c r="H241">
        <v>33335103.223883174</v>
      </c>
      <c r="I241">
        <v>330320568.3093878</v>
      </c>
      <c r="J241" t="str">
        <f t="shared" si="11"/>
        <v>TNA VIC</v>
      </c>
      <c r="K241" t="str">
        <f t="shared" si="11"/>
        <v>kWh</v>
      </c>
      <c r="L241" t="str">
        <f t="shared" si="11"/>
        <v>N/A</v>
      </c>
      <c r="M241" s="8">
        <f t="shared" si="11"/>
        <v>303046392.9443925</v>
      </c>
      <c r="N241" s="8">
        <f t="shared" si="11"/>
        <v>1090967.0145998129</v>
      </c>
      <c r="O241" s="8">
        <f t="shared" si="11"/>
        <v>0</v>
      </c>
      <c r="P241" s="8">
        <f t="shared" si="13"/>
        <v>296985465.08550465</v>
      </c>
      <c r="Q241" s="8">
        <f t="shared" si="13"/>
        <v>33335103.223883174</v>
      </c>
      <c r="R241" s="8">
        <f t="shared" si="12"/>
        <v>330320568.3093878</v>
      </c>
      <c r="S241" s="8" t="str">
        <f>VLOOKUP(J241,'GHG Factors FY21'!A:B,2,FALSE)</f>
        <v>Electricity</v>
      </c>
      <c r="T241" s="8" t="str">
        <f>VLOOKUP(ReformFY21[[#This Row],[Reporting Alias]],'Entities FY21'!B:B,1,FALSE)</f>
        <v>TNA VIC</v>
      </c>
    </row>
    <row r="242" spans="1:20">
      <c r="A242" t="s">
        <v>1024</v>
      </c>
      <c r="B242" t="s">
        <v>663</v>
      </c>
      <c r="C242" t="s">
        <v>104</v>
      </c>
      <c r="D242" s="244">
        <v>135044062.72708139</v>
      </c>
      <c r="E242">
        <v>486158.62581749301</v>
      </c>
      <c r="F242">
        <v>0</v>
      </c>
      <c r="G242">
        <v>91829962.654415354</v>
      </c>
      <c r="H242">
        <v>2700881.2545416276</v>
      </c>
      <c r="I242">
        <v>94530843.908956975</v>
      </c>
      <c r="J242" t="str">
        <f t="shared" si="11"/>
        <v>TNA WA</v>
      </c>
      <c r="K242" t="str">
        <f t="shared" si="11"/>
        <v>kWh</v>
      </c>
      <c r="L242" t="str">
        <f t="shared" si="11"/>
        <v>N/A</v>
      </c>
      <c r="M242" s="8">
        <f t="shared" si="11"/>
        <v>135044062.72708139</v>
      </c>
      <c r="N242" s="8">
        <f t="shared" si="11"/>
        <v>486158.62581749301</v>
      </c>
      <c r="O242" s="8">
        <f t="shared" si="11"/>
        <v>0</v>
      </c>
      <c r="P242" s="8">
        <f t="shared" si="13"/>
        <v>91829962.654415354</v>
      </c>
      <c r="Q242" s="8">
        <f t="shared" si="13"/>
        <v>2700881.2545416276</v>
      </c>
      <c r="R242" s="8">
        <f t="shared" si="12"/>
        <v>94530843.908956975</v>
      </c>
      <c r="S242" s="8" t="str">
        <f>VLOOKUP(J242,'GHG Factors FY21'!A:B,2,FALSE)</f>
        <v>Electricity</v>
      </c>
      <c r="T242" s="8" t="str">
        <f>VLOOKUP(ReformFY21[[#This Row],[Reporting Alias]],'Entities FY21'!B:B,1,FALSE)</f>
        <v>TNA WA</v>
      </c>
    </row>
    <row r="243" spans="1:20">
      <c r="A243" t="s">
        <v>1025</v>
      </c>
      <c r="B243" t="s">
        <v>670</v>
      </c>
      <c r="C243" t="s">
        <v>695</v>
      </c>
      <c r="D243" s="244">
        <v>6097.7156000000004</v>
      </c>
      <c r="E243">
        <v>6.0977156000000008</v>
      </c>
      <c r="F243">
        <v>314.21528486800003</v>
      </c>
      <c r="G243">
        <v>0</v>
      </c>
      <c r="H243">
        <v>78.050759680000013</v>
      </c>
      <c r="I243">
        <v>392.26604454800002</v>
      </c>
      <c r="J243" t="str">
        <f t="shared" si="11"/>
        <v>TNA Gas NSW A</v>
      </c>
      <c r="K243" t="str">
        <f t="shared" si="11"/>
        <v>MJ</v>
      </c>
      <c r="L243" t="str">
        <f t="shared" si="11"/>
        <v>A</v>
      </c>
      <c r="M243" s="8">
        <f t="shared" ref="M243:O280" si="14">D243</f>
        <v>6097.7156000000004</v>
      </c>
      <c r="N243" s="8">
        <f t="shared" si="14"/>
        <v>6.0977156000000008</v>
      </c>
      <c r="O243" s="8">
        <f t="shared" si="14"/>
        <v>314.21528486800003</v>
      </c>
      <c r="P243" s="8">
        <f t="shared" si="13"/>
        <v>0</v>
      </c>
      <c r="Q243" s="8">
        <f t="shared" si="13"/>
        <v>78.050759680000013</v>
      </c>
      <c r="R243" s="8">
        <f t="shared" si="12"/>
        <v>392.26604454800002</v>
      </c>
      <c r="S243" s="8" t="str">
        <f>VLOOKUP(J243,'GHG Factors FY21'!A:B,2,FALSE)</f>
        <v>Natural Gas</v>
      </c>
      <c r="T243" s="8" t="str">
        <f>VLOOKUP(ReformFY21[[#This Row],[Reporting Alias]],'Entities FY21'!B:B,1,FALSE)</f>
        <v>TNA Gas NSW A</v>
      </c>
    </row>
    <row r="244" spans="1:20">
      <c r="A244" t="s">
        <v>1026</v>
      </c>
      <c r="B244" t="s">
        <v>670</v>
      </c>
      <c r="C244" t="s">
        <v>686</v>
      </c>
      <c r="D244" s="244">
        <v>1669.8690000000001</v>
      </c>
      <c r="E244">
        <v>1.6698690000000003</v>
      </c>
      <c r="F244">
        <v>86.048349570000013</v>
      </c>
      <c r="G244">
        <v>0</v>
      </c>
      <c r="H244">
        <v>21.374323200000006</v>
      </c>
      <c r="I244">
        <v>107.42267277000002</v>
      </c>
      <c r="J244" t="str">
        <f t="shared" ref="J244:L280" si="15">A244</f>
        <v>TNA Gas NSW BBB</v>
      </c>
      <c r="K244" t="str">
        <f t="shared" si="15"/>
        <v>MJ</v>
      </c>
      <c r="L244" t="str">
        <f t="shared" si="15"/>
        <v>BBB</v>
      </c>
      <c r="M244" s="21">
        <f t="shared" si="14"/>
        <v>1669.8690000000001</v>
      </c>
      <c r="N244" s="8">
        <f t="shared" si="14"/>
        <v>1.6698690000000003</v>
      </c>
      <c r="O244" s="8">
        <f t="shared" si="14"/>
        <v>86.048349570000013</v>
      </c>
      <c r="P244" s="8">
        <f t="shared" si="13"/>
        <v>0</v>
      </c>
      <c r="Q244" s="8">
        <f t="shared" si="13"/>
        <v>21.374323200000006</v>
      </c>
      <c r="R244" s="8">
        <f t="shared" si="12"/>
        <v>107.42267277000002</v>
      </c>
      <c r="S244" s="8" t="str">
        <f>VLOOKUP(J244,'GHG Factors FY21'!A:B,2,FALSE)</f>
        <v>Natural Gas</v>
      </c>
      <c r="T244" s="8" t="str">
        <f>VLOOKUP(ReformFY21[[#This Row],[Reporting Alias]],'Entities FY21'!B:B,1,FALSE)</f>
        <v>TNA Gas NSW BBB</v>
      </c>
    </row>
    <row r="245" spans="1:20">
      <c r="A245" t="s">
        <v>1027</v>
      </c>
      <c r="B245" t="s">
        <v>670</v>
      </c>
      <c r="C245" t="s">
        <v>695</v>
      </c>
      <c r="D245" s="244">
        <v>0</v>
      </c>
      <c r="E245">
        <v>0</v>
      </c>
      <c r="F245">
        <v>0</v>
      </c>
      <c r="G245">
        <v>0</v>
      </c>
      <c r="H245">
        <v>0</v>
      </c>
      <c r="I245">
        <v>0</v>
      </c>
      <c r="J245" t="str">
        <f t="shared" si="15"/>
        <v>TNA Gas SA A</v>
      </c>
      <c r="K245" t="str">
        <f t="shared" si="15"/>
        <v>MJ</v>
      </c>
      <c r="L245" t="str">
        <f t="shared" si="15"/>
        <v>A</v>
      </c>
      <c r="M245" s="21">
        <f t="shared" si="14"/>
        <v>0</v>
      </c>
      <c r="N245" s="8">
        <f t="shared" si="14"/>
        <v>0</v>
      </c>
      <c r="O245" s="8">
        <f t="shared" si="14"/>
        <v>0</v>
      </c>
      <c r="P245" s="8">
        <f t="shared" si="13"/>
        <v>0</v>
      </c>
      <c r="Q245" s="8">
        <f t="shared" si="13"/>
        <v>0</v>
      </c>
      <c r="R245" s="8">
        <f t="shared" si="12"/>
        <v>0</v>
      </c>
      <c r="S245" s="8" t="str">
        <f>VLOOKUP(J245,'GHG Factors FY21'!A:B,2,FALSE)</f>
        <v>Natural Gas</v>
      </c>
      <c r="T245" s="8" t="str">
        <f>VLOOKUP(ReformFY21[[#This Row],[Reporting Alias]],'Entities FY21'!B:B,1,FALSE)</f>
        <v>TNA Gas SA A</v>
      </c>
    </row>
    <row r="246" spans="1:20">
      <c r="A246" t="s">
        <v>1028</v>
      </c>
      <c r="B246" t="s">
        <v>670</v>
      </c>
      <c r="C246" t="s">
        <v>686</v>
      </c>
      <c r="D246" s="244">
        <v>0</v>
      </c>
      <c r="E246">
        <v>0</v>
      </c>
      <c r="F246">
        <v>0</v>
      </c>
      <c r="G246">
        <v>0</v>
      </c>
      <c r="H246">
        <v>0</v>
      </c>
      <c r="I246">
        <v>0</v>
      </c>
      <c r="J246" t="str">
        <f t="shared" si="15"/>
        <v>TNA Gas SA BBB</v>
      </c>
      <c r="K246" t="str">
        <f t="shared" si="15"/>
        <v>MJ</v>
      </c>
      <c r="L246" t="str">
        <f t="shared" si="15"/>
        <v>BBB</v>
      </c>
      <c r="M246" s="21">
        <f t="shared" si="14"/>
        <v>0</v>
      </c>
      <c r="N246" s="8">
        <f t="shared" si="14"/>
        <v>0</v>
      </c>
      <c r="O246" s="8">
        <f t="shared" si="14"/>
        <v>0</v>
      </c>
      <c r="P246" s="8">
        <f t="shared" si="13"/>
        <v>0</v>
      </c>
      <c r="Q246" s="8">
        <f t="shared" si="13"/>
        <v>0</v>
      </c>
      <c r="R246" s="8">
        <f t="shared" si="12"/>
        <v>0</v>
      </c>
      <c r="S246" s="8" t="str">
        <f>VLOOKUP(J246,'GHG Factors FY21'!A:B,2,FALSE)</f>
        <v>Natural Gas</v>
      </c>
      <c r="T246" s="8" t="str">
        <f>VLOOKUP(ReformFY21[[#This Row],[Reporting Alias]],'Entities FY21'!B:B,1,FALSE)</f>
        <v>TNA Gas SA BBB</v>
      </c>
    </row>
    <row r="247" spans="1:20">
      <c r="A247" t="s">
        <v>1029</v>
      </c>
      <c r="B247" t="s">
        <v>670</v>
      </c>
      <c r="C247" t="s">
        <v>695</v>
      </c>
      <c r="D247" s="244">
        <v>3409196.9224999994</v>
      </c>
      <c r="E247">
        <v>3409.1969224999993</v>
      </c>
      <c r="F247">
        <v>175675.91741642496</v>
      </c>
      <c r="G247">
        <v>0</v>
      </c>
      <c r="H247">
        <v>13295.867997749998</v>
      </c>
      <c r="I247">
        <v>188971.78541417496</v>
      </c>
      <c r="J247" t="str">
        <f t="shared" si="15"/>
        <v>TNA Gas VIC A</v>
      </c>
      <c r="K247" t="str">
        <f t="shared" si="15"/>
        <v>MJ</v>
      </c>
      <c r="L247" t="str">
        <f t="shared" si="15"/>
        <v>A</v>
      </c>
      <c r="M247" s="21">
        <f t="shared" si="14"/>
        <v>3409196.9224999994</v>
      </c>
      <c r="N247" s="8">
        <f t="shared" si="14"/>
        <v>3409.1969224999993</v>
      </c>
      <c r="O247" s="8">
        <f t="shared" si="14"/>
        <v>175675.91741642496</v>
      </c>
      <c r="P247" s="8">
        <f t="shared" si="13"/>
        <v>0</v>
      </c>
      <c r="Q247" s="8">
        <f t="shared" si="13"/>
        <v>13295.867997749998</v>
      </c>
      <c r="R247" s="8">
        <f t="shared" si="12"/>
        <v>188971.78541417496</v>
      </c>
      <c r="S247" s="8" t="str">
        <f>VLOOKUP(J247,'GHG Factors FY21'!A:B,2,FALSE)</f>
        <v>Natural Gas</v>
      </c>
      <c r="T247" s="8" t="str">
        <f>VLOOKUP(ReformFY21[[#This Row],[Reporting Alias]],'Entities FY21'!B:B,1,FALSE)</f>
        <v>TNA Gas VIC A</v>
      </c>
    </row>
    <row r="248" spans="1:20">
      <c r="A248" t="s">
        <v>1030</v>
      </c>
      <c r="B248" t="s">
        <v>670</v>
      </c>
      <c r="C248" t="s">
        <v>686</v>
      </c>
      <c r="D248" s="244">
        <v>1332450.0844000003</v>
      </c>
      <c r="E248">
        <v>1332.4500844000004</v>
      </c>
      <c r="F248">
        <v>68661.15284913202</v>
      </c>
      <c r="G248">
        <v>0</v>
      </c>
      <c r="H248">
        <v>5196.5553291600017</v>
      </c>
      <c r="I248">
        <v>73857.708178292029</v>
      </c>
      <c r="J248" t="str">
        <f t="shared" si="15"/>
        <v>TNA Gas VIC BBB</v>
      </c>
      <c r="K248" t="str">
        <f t="shared" si="15"/>
        <v>MJ</v>
      </c>
      <c r="L248" t="str">
        <f t="shared" si="15"/>
        <v>BBB</v>
      </c>
      <c r="M248" s="21">
        <f t="shared" si="14"/>
        <v>1332450.0844000003</v>
      </c>
      <c r="N248" s="8">
        <f t="shared" si="14"/>
        <v>1332.4500844000004</v>
      </c>
      <c r="O248" s="8">
        <f t="shared" si="14"/>
        <v>68661.15284913202</v>
      </c>
      <c r="P248" s="8">
        <f t="shared" si="13"/>
        <v>0</v>
      </c>
      <c r="Q248" s="8">
        <f t="shared" si="13"/>
        <v>5196.5553291600017</v>
      </c>
      <c r="R248" s="8">
        <f t="shared" si="12"/>
        <v>73857.708178292029</v>
      </c>
      <c r="S248" s="8" t="str">
        <f>VLOOKUP(J248,'GHG Factors FY21'!A:B,2,FALSE)</f>
        <v>Natural Gas</v>
      </c>
      <c r="T248" s="8" t="str">
        <f>VLOOKUP(ReformFY21[[#This Row],[Reporting Alias]],'Entities FY21'!B:B,1,FALSE)</f>
        <v>TNA Gas VIC BBB</v>
      </c>
    </row>
    <row r="249" spans="1:20">
      <c r="A249" t="s">
        <v>1031</v>
      </c>
      <c r="B249" t="s">
        <v>787</v>
      </c>
      <c r="C249" t="s">
        <v>686</v>
      </c>
      <c r="D249" s="244">
        <v>22.187999999999999</v>
      </c>
      <c r="E249">
        <v>856.45679999999993</v>
      </c>
      <c r="F249">
        <v>59609.393279999989</v>
      </c>
      <c r="G249">
        <v>0</v>
      </c>
      <c r="H249">
        <v>3083.2444799999998</v>
      </c>
      <c r="I249">
        <v>62692.637759999991</v>
      </c>
      <c r="J249" t="str">
        <f t="shared" si="15"/>
        <v>Contractor Fuel Diesel ACT</v>
      </c>
      <c r="K249" t="str">
        <f t="shared" si="15"/>
        <v>kL</v>
      </c>
      <c r="L249" t="str">
        <f t="shared" si="15"/>
        <v>BBB</v>
      </c>
      <c r="M249" s="21">
        <f t="shared" si="14"/>
        <v>22.187999999999999</v>
      </c>
      <c r="N249" s="8">
        <f t="shared" si="14"/>
        <v>856.45679999999993</v>
      </c>
      <c r="O249" s="8">
        <f t="shared" si="14"/>
        <v>59609.393279999989</v>
      </c>
      <c r="P249" s="8">
        <f t="shared" si="13"/>
        <v>0</v>
      </c>
      <c r="Q249" s="8">
        <f t="shared" si="13"/>
        <v>3083.2444799999998</v>
      </c>
      <c r="R249" s="8">
        <f t="shared" si="12"/>
        <v>62692.637759999991</v>
      </c>
      <c r="S249" s="8" t="str">
        <f>VLOOKUP(J249,'GHG Factors FY21'!A:B,2,FALSE)</f>
        <v>Contractors</v>
      </c>
      <c r="T249" s="8" t="str">
        <f>VLOOKUP(ReformFY21[[#This Row],[Reporting Alias]],'Entities FY21'!B:B,1,FALSE)</f>
        <v>Contractor Fuel Diesel ACT</v>
      </c>
    </row>
    <row r="250" spans="1:20">
      <c r="A250" t="s">
        <v>1032</v>
      </c>
      <c r="B250" t="s">
        <v>787</v>
      </c>
      <c r="C250" t="s">
        <v>686</v>
      </c>
      <c r="D250" s="244">
        <v>0</v>
      </c>
      <c r="E250">
        <v>0</v>
      </c>
      <c r="F250">
        <v>0</v>
      </c>
      <c r="G250">
        <v>0</v>
      </c>
      <c r="H250">
        <v>0</v>
      </c>
      <c r="I250">
        <v>0</v>
      </c>
      <c r="J250" t="str">
        <f t="shared" si="15"/>
        <v>Contractor Fuel LPG ACT</v>
      </c>
      <c r="K250" t="str">
        <f t="shared" si="15"/>
        <v>kL</v>
      </c>
      <c r="L250" t="str">
        <f t="shared" si="15"/>
        <v>BBB</v>
      </c>
      <c r="M250" s="21">
        <f t="shared" si="14"/>
        <v>0</v>
      </c>
      <c r="N250" s="8">
        <f t="shared" si="14"/>
        <v>0</v>
      </c>
      <c r="O250" s="8">
        <f t="shared" si="14"/>
        <v>0</v>
      </c>
      <c r="P250" s="8">
        <f t="shared" si="13"/>
        <v>0</v>
      </c>
      <c r="Q250" s="8">
        <f t="shared" si="13"/>
        <v>0</v>
      </c>
      <c r="R250" s="8">
        <f t="shared" si="12"/>
        <v>0</v>
      </c>
      <c r="S250" s="8" t="str">
        <f>VLOOKUP(J250,'GHG Factors FY21'!A:B,2,FALSE)</f>
        <v>Contractors</v>
      </c>
      <c r="T250" s="8" t="str">
        <f>VLOOKUP(ReformFY21[[#This Row],[Reporting Alias]],'Entities FY21'!B:B,1,FALSE)</f>
        <v>Contractor Fuel LPG ACT</v>
      </c>
    </row>
    <row r="251" spans="1:20">
      <c r="A251" t="s">
        <v>1033</v>
      </c>
      <c r="B251" t="s">
        <v>787</v>
      </c>
      <c r="C251" t="s">
        <v>686</v>
      </c>
      <c r="D251" s="244">
        <v>0</v>
      </c>
      <c r="E251">
        <v>0</v>
      </c>
      <c r="F251">
        <v>0</v>
      </c>
      <c r="G251">
        <v>0</v>
      </c>
      <c r="H251">
        <v>0</v>
      </c>
      <c r="I251">
        <v>0</v>
      </c>
      <c r="J251" t="str">
        <f t="shared" si="15"/>
        <v>Contractor Fuel Petrol ACT</v>
      </c>
      <c r="K251" t="str">
        <f t="shared" si="15"/>
        <v>kL</v>
      </c>
      <c r="L251" t="str">
        <f t="shared" si="15"/>
        <v>BBB</v>
      </c>
      <c r="M251" s="21">
        <f t="shared" si="14"/>
        <v>0</v>
      </c>
      <c r="N251" s="8">
        <f t="shared" si="14"/>
        <v>0</v>
      </c>
      <c r="O251" s="8">
        <f t="shared" si="14"/>
        <v>0</v>
      </c>
      <c r="P251" s="8">
        <f t="shared" si="13"/>
        <v>0</v>
      </c>
      <c r="Q251" s="8">
        <f t="shared" si="13"/>
        <v>0</v>
      </c>
      <c r="R251" s="8">
        <f t="shared" si="12"/>
        <v>0</v>
      </c>
      <c r="S251" s="8" t="str">
        <f>VLOOKUP(J251,'GHG Factors FY21'!A:B,2,FALSE)</f>
        <v>Contractors</v>
      </c>
      <c r="T251" s="8" t="str">
        <f>VLOOKUP(ReformFY21[[#This Row],[Reporting Alias]],'Entities FY21'!B:B,1,FALSE)</f>
        <v>Contractor Fuel Petrol ACT</v>
      </c>
    </row>
    <row r="252" spans="1:20">
      <c r="A252" t="s">
        <v>1034</v>
      </c>
      <c r="B252" t="s">
        <v>787</v>
      </c>
      <c r="C252" t="s">
        <v>686</v>
      </c>
      <c r="D252" s="244">
        <v>568.77</v>
      </c>
      <c r="E252">
        <v>21954.522000000001</v>
      </c>
      <c r="F252">
        <v>1528034.7312</v>
      </c>
      <c r="G252">
        <v>0</v>
      </c>
      <c r="H252">
        <v>79036.279200000004</v>
      </c>
      <c r="I252">
        <v>1607071.0104</v>
      </c>
      <c r="J252" t="str">
        <f t="shared" si="15"/>
        <v>Contractor Fuel Diesel NSW</v>
      </c>
      <c r="K252" t="str">
        <f t="shared" si="15"/>
        <v>kL</v>
      </c>
      <c r="L252" t="str">
        <f t="shared" si="15"/>
        <v>BBB</v>
      </c>
      <c r="M252" s="21">
        <f t="shared" si="14"/>
        <v>568.77</v>
      </c>
      <c r="N252" s="8">
        <f t="shared" si="14"/>
        <v>21954.522000000001</v>
      </c>
      <c r="O252" s="8">
        <f t="shared" si="14"/>
        <v>1528034.7312</v>
      </c>
      <c r="P252" s="8">
        <f t="shared" si="13"/>
        <v>0</v>
      </c>
      <c r="Q252" s="8">
        <f t="shared" si="13"/>
        <v>79036.279200000004</v>
      </c>
      <c r="R252" s="8">
        <f t="shared" si="12"/>
        <v>1607071.0104</v>
      </c>
      <c r="S252" s="8" t="str">
        <f>VLOOKUP(J252,'GHG Factors FY21'!A:B,2,FALSE)</f>
        <v>Contractors</v>
      </c>
      <c r="T252" s="8" t="str">
        <f>VLOOKUP(ReformFY21[[#This Row],[Reporting Alias]],'Entities FY21'!B:B,1,FALSE)</f>
        <v>Contractor Fuel Diesel NSW</v>
      </c>
    </row>
    <row r="253" spans="1:20">
      <c r="A253" t="s">
        <v>1035</v>
      </c>
      <c r="B253" t="s">
        <v>787</v>
      </c>
      <c r="C253" t="s">
        <v>686</v>
      </c>
      <c r="D253" s="244">
        <v>1.2749999999999999</v>
      </c>
      <c r="E253">
        <v>29.834999999999997</v>
      </c>
      <c r="F253">
        <v>2076.5159999999996</v>
      </c>
      <c r="G253">
        <v>0</v>
      </c>
      <c r="H253">
        <v>0</v>
      </c>
      <c r="I253">
        <v>2076.5159999999996</v>
      </c>
      <c r="J253" t="str">
        <f t="shared" si="15"/>
        <v>Contractor Fuel Ethanol NSW</v>
      </c>
      <c r="K253" t="str">
        <f t="shared" si="15"/>
        <v>kL</v>
      </c>
      <c r="L253" t="str">
        <f t="shared" si="15"/>
        <v>BBB</v>
      </c>
      <c r="M253" s="21">
        <f t="shared" si="14"/>
        <v>1.2749999999999999</v>
      </c>
      <c r="N253" s="8">
        <f t="shared" si="14"/>
        <v>29.834999999999997</v>
      </c>
      <c r="O253" s="8">
        <f t="shared" si="14"/>
        <v>2076.5159999999996</v>
      </c>
      <c r="P253" s="8">
        <f t="shared" si="13"/>
        <v>0</v>
      </c>
      <c r="Q253" s="8">
        <f t="shared" si="13"/>
        <v>0</v>
      </c>
      <c r="R253" s="8">
        <f t="shared" si="12"/>
        <v>2076.5159999999996</v>
      </c>
      <c r="S253" s="8" t="str">
        <f>VLOOKUP(J253,'GHG Factors FY21'!A:B,2,FALSE)</f>
        <v>Contractors</v>
      </c>
      <c r="T253" s="8" t="str">
        <f>VLOOKUP(ReformFY21[[#This Row],[Reporting Alias]],'Entities FY21'!B:B,1,FALSE)</f>
        <v>Contractor Fuel Ethanol NSW</v>
      </c>
    </row>
    <row r="254" spans="1:20">
      <c r="A254" t="s">
        <v>1036</v>
      </c>
      <c r="B254" t="s">
        <v>787</v>
      </c>
      <c r="C254" t="s">
        <v>686</v>
      </c>
      <c r="D254" s="244">
        <v>0</v>
      </c>
      <c r="E254">
        <v>0</v>
      </c>
      <c r="F254">
        <v>0</v>
      </c>
      <c r="G254">
        <v>0</v>
      </c>
      <c r="H254">
        <v>0</v>
      </c>
      <c r="I254">
        <v>0</v>
      </c>
      <c r="J254" t="str">
        <f t="shared" si="15"/>
        <v>Contractor Fuel LPG NSW</v>
      </c>
      <c r="K254" t="str">
        <f t="shared" si="15"/>
        <v>kL</v>
      </c>
      <c r="L254" t="str">
        <f t="shared" si="15"/>
        <v>BBB</v>
      </c>
      <c r="M254" s="21">
        <f t="shared" si="14"/>
        <v>0</v>
      </c>
      <c r="N254" s="8">
        <f t="shared" si="14"/>
        <v>0</v>
      </c>
      <c r="O254" s="8">
        <f t="shared" si="14"/>
        <v>0</v>
      </c>
      <c r="P254" s="8">
        <f t="shared" si="13"/>
        <v>0</v>
      </c>
      <c r="Q254" s="8">
        <f t="shared" si="13"/>
        <v>0</v>
      </c>
      <c r="R254" s="8">
        <f t="shared" si="12"/>
        <v>0</v>
      </c>
      <c r="S254" s="8" t="str">
        <f>VLOOKUP(J254,'GHG Factors FY21'!A:B,2,FALSE)</f>
        <v>Contractors</v>
      </c>
      <c r="T254" s="8" t="str">
        <f>VLOOKUP(ReformFY21[[#This Row],[Reporting Alias]],'Entities FY21'!B:B,1,FALSE)</f>
        <v>Contractor Fuel LPG NSW</v>
      </c>
    </row>
    <row r="255" spans="1:20">
      <c r="A255" t="s">
        <v>1037</v>
      </c>
      <c r="B255" t="s">
        <v>787</v>
      </c>
      <c r="C255" t="s">
        <v>686</v>
      </c>
      <c r="D255" s="244">
        <v>2.2010000000000001</v>
      </c>
      <c r="E255">
        <v>75.274200000000008</v>
      </c>
      <c r="F255">
        <v>5239.0843199999999</v>
      </c>
      <c r="G255">
        <v>0</v>
      </c>
      <c r="H255">
        <v>270.98712000000006</v>
      </c>
      <c r="I255">
        <v>5510.0714399999997</v>
      </c>
      <c r="J255" t="str">
        <f t="shared" si="15"/>
        <v>Contractor Fuel Petrol NSW</v>
      </c>
      <c r="K255" t="str">
        <f t="shared" si="15"/>
        <v>kL</v>
      </c>
      <c r="L255" t="str">
        <f t="shared" si="15"/>
        <v>BBB</v>
      </c>
      <c r="M255" s="21">
        <f t="shared" si="14"/>
        <v>2.2010000000000001</v>
      </c>
      <c r="N255" s="8">
        <f t="shared" si="14"/>
        <v>75.274200000000008</v>
      </c>
      <c r="O255" s="8">
        <f t="shared" si="14"/>
        <v>5239.0843199999999</v>
      </c>
      <c r="P255" s="8">
        <f t="shared" si="13"/>
        <v>0</v>
      </c>
      <c r="Q255" s="8">
        <f t="shared" si="13"/>
        <v>270.98712000000006</v>
      </c>
      <c r="R255" s="8">
        <f t="shared" si="12"/>
        <v>5510.0714399999997</v>
      </c>
      <c r="S255" s="8" t="str">
        <f>VLOOKUP(J255,'GHG Factors FY21'!A:B,2,FALSE)</f>
        <v>Contractors</v>
      </c>
      <c r="T255" s="8" t="str">
        <f>VLOOKUP(ReformFY21[[#This Row],[Reporting Alias]],'Entities FY21'!B:B,1,FALSE)</f>
        <v>Contractor Fuel Petrol NSW</v>
      </c>
    </row>
    <row r="256" spans="1:20">
      <c r="A256" t="s">
        <v>1038</v>
      </c>
      <c r="B256" t="s">
        <v>787</v>
      </c>
      <c r="C256" t="s">
        <v>686</v>
      </c>
      <c r="D256" s="244">
        <v>1.27</v>
      </c>
      <c r="E256">
        <v>49.022000000000006</v>
      </c>
      <c r="F256">
        <v>3411.9312</v>
      </c>
      <c r="G256">
        <v>0</v>
      </c>
      <c r="H256">
        <v>176.47920000000002</v>
      </c>
      <c r="I256">
        <v>3588.4104000000002</v>
      </c>
      <c r="J256" t="str">
        <f t="shared" si="15"/>
        <v>Contractor Fuel Diesel NT</v>
      </c>
      <c r="K256" t="str">
        <f t="shared" si="15"/>
        <v>kL</v>
      </c>
      <c r="L256" t="str">
        <f t="shared" si="15"/>
        <v>BBB</v>
      </c>
      <c r="M256" s="21">
        <f t="shared" si="14"/>
        <v>1.27</v>
      </c>
      <c r="N256" s="8">
        <f t="shared" si="14"/>
        <v>49.022000000000006</v>
      </c>
      <c r="O256" s="8">
        <f t="shared" si="14"/>
        <v>3411.9312</v>
      </c>
      <c r="P256" s="8">
        <f t="shared" si="13"/>
        <v>0</v>
      </c>
      <c r="Q256" s="8">
        <f t="shared" si="13"/>
        <v>176.47920000000002</v>
      </c>
      <c r="R256" s="8">
        <f t="shared" si="12"/>
        <v>3588.4104000000002</v>
      </c>
      <c r="S256" s="8" t="str">
        <f>VLOOKUP(J256,'GHG Factors FY21'!A:B,2,FALSE)</f>
        <v>Contractors</v>
      </c>
      <c r="T256" s="8" t="str">
        <f>VLOOKUP(ReformFY21[[#This Row],[Reporting Alias]],'Entities FY21'!B:B,1,FALSE)</f>
        <v>Contractor Fuel Diesel NT</v>
      </c>
    </row>
    <row r="257" spans="1:20">
      <c r="A257" t="s">
        <v>1039</v>
      </c>
      <c r="B257" t="s">
        <v>787</v>
      </c>
      <c r="C257" t="s">
        <v>686</v>
      </c>
      <c r="D257" s="244">
        <v>0</v>
      </c>
      <c r="E257">
        <v>0</v>
      </c>
      <c r="F257">
        <v>0</v>
      </c>
      <c r="G257">
        <v>0</v>
      </c>
      <c r="H257">
        <v>0</v>
      </c>
      <c r="I257">
        <v>0</v>
      </c>
      <c r="J257" t="str">
        <f t="shared" si="15"/>
        <v>Contractor Fuel LPG NT</v>
      </c>
      <c r="K257" t="str">
        <f t="shared" si="15"/>
        <v>kL</v>
      </c>
      <c r="L257" t="str">
        <f t="shared" si="15"/>
        <v>BBB</v>
      </c>
      <c r="M257" s="21">
        <f t="shared" si="14"/>
        <v>0</v>
      </c>
      <c r="N257" s="8">
        <f t="shared" si="14"/>
        <v>0</v>
      </c>
      <c r="O257" s="8">
        <f t="shared" si="14"/>
        <v>0</v>
      </c>
      <c r="P257" s="8">
        <f t="shared" si="13"/>
        <v>0</v>
      </c>
      <c r="Q257" s="8">
        <f t="shared" si="13"/>
        <v>0</v>
      </c>
      <c r="R257" s="8">
        <f t="shared" si="12"/>
        <v>0</v>
      </c>
      <c r="S257" s="8" t="str">
        <f>VLOOKUP(J257,'GHG Factors FY21'!A:B,2,FALSE)</f>
        <v>Contractors</v>
      </c>
      <c r="T257" s="8" t="str">
        <f>VLOOKUP(ReformFY21[[#This Row],[Reporting Alias]],'Entities FY21'!B:B,1,FALSE)</f>
        <v>Contractor Fuel LPG NT</v>
      </c>
    </row>
    <row r="258" spans="1:20">
      <c r="A258" t="s">
        <v>1040</v>
      </c>
      <c r="B258" t="s">
        <v>787</v>
      </c>
      <c r="C258" t="s">
        <v>686</v>
      </c>
      <c r="D258" s="244">
        <v>0</v>
      </c>
      <c r="E258">
        <v>0</v>
      </c>
      <c r="F258">
        <v>0</v>
      </c>
      <c r="G258">
        <v>0</v>
      </c>
      <c r="H258">
        <v>0</v>
      </c>
      <c r="I258">
        <v>0</v>
      </c>
      <c r="J258" t="str">
        <f t="shared" si="15"/>
        <v>Contractor Fuel Petrol NT</v>
      </c>
      <c r="K258" t="str">
        <f t="shared" si="15"/>
        <v>kL</v>
      </c>
      <c r="L258" t="str">
        <f t="shared" si="15"/>
        <v>BBB</v>
      </c>
      <c r="M258" s="21">
        <f t="shared" si="14"/>
        <v>0</v>
      </c>
      <c r="N258" s="8">
        <f t="shared" si="14"/>
        <v>0</v>
      </c>
      <c r="O258" s="8">
        <f t="shared" si="14"/>
        <v>0</v>
      </c>
      <c r="P258" s="8">
        <f t="shared" si="13"/>
        <v>0</v>
      </c>
      <c r="Q258" s="8">
        <f t="shared" si="13"/>
        <v>0</v>
      </c>
      <c r="R258" s="8">
        <f t="shared" si="12"/>
        <v>0</v>
      </c>
      <c r="S258" s="8" t="str">
        <f>VLOOKUP(J258,'GHG Factors FY21'!A:B,2,FALSE)</f>
        <v>Contractors</v>
      </c>
      <c r="T258" s="8" t="str">
        <f>VLOOKUP(ReformFY21[[#This Row],[Reporting Alias]],'Entities FY21'!B:B,1,FALSE)</f>
        <v>Contractor Fuel Petrol NT</v>
      </c>
    </row>
    <row r="259" spans="1:20">
      <c r="A259" t="s">
        <v>1041</v>
      </c>
      <c r="B259" t="s">
        <v>787</v>
      </c>
      <c r="C259" t="s">
        <v>686</v>
      </c>
      <c r="D259" s="244">
        <v>101.108</v>
      </c>
      <c r="E259">
        <v>3902.7688000000003</v>
      </c>
      <c r="F259">
        <v>271632.70847999997</v>
      </c>
      <c r="G259">
        <v>0</v>
      </c>
      <c r="H259">
        <v>14049.967680000002</v>
      </c>
      <c r="I259">
        <v>285682.67615999997</v>
      </c>
      <c r="J259" t="str">
        <f t="shared" si="15"/>
        <v>Contractor Fuel Diesel QLD</v>
      </c>
      <c r="K259" t="str">
        <f t="shared" si="15"/>
        <v>kL</v>
      </c>
      <c r="L259" t="str">
        <f t="shared" si="15"/>
        <v>BBB</v>
      </c>
      <c r="M259" s="21">
        <f t="shared" si="14"/>
        <v>101.108</v>
      </c>
      <c r="N259" s="8">
        <f t="shared" si="14"/>
        <v>3902.7688000000003</v>
      </c>
      <c r="O259" s="8">
        <f t="shared" si="14"/>
        <v>271632.70847999997</v>
      </c>
      <c r="P259" s="8">
        <f t="shared" si="13"/>
        <v>0</v>
      </c>
      <c r="Q259" s="8">
        <f t="shared" si="13"/>
        <v>14049.967680000002</v>
      </c>
      <c r="R259" s="8">
        <f t="shared" ref="R259:R280" si="16">I259</f>
        <v>285682.67615999997</v>
      </c>
      <c r="S259" s="8" t="str">
        <f>VLOOKUP(J259,'GHG Factors FY21'!A:B,2,FALSE)</f>
        <v>Contractors</v>
      </c>
      <c r="T259" s="8" t="str">
        <f>VLOOKUP(ReformFY21[[#This Row],[Reporting Alias]],'Entities FY21'!B:B,1,FALSE)</f>
        <v>Contractor Fuel Diesel QLD</v>
      </c>
    </row>
    <row r="260" spans="1:20">
      <c r="A260" t="s">
        <v>1042</v>
      </c>
      <c r="B260" t="s">
        <v>787</v>
      </c>
      <c r="C260" t="s">
        <v>686</v>
      </c>
      <c r="D260" s="244">
        <v>0</v>
      </c>
      <c r="E260">
        <v>0</v>
      </c>
      <c r="F260">
        <v>0</v>
      </c>
      <c r="G260">
        <v>0</v>
      </c>
      <c r="H260">
        <v>0</v>
      </c>
      <c r="I260">
        <v>0</v>
      </c>
      <c r="J260" t="str">
        <f t="shared" si="15"/>
        <v>Contractor Fuel Ethanol QLD</v>
      </c>
      <c r="K260" t="str">
        <f t="shared" si="15"/>
        <v>kL</v>
      </c>
      <c r="L260" t="str">
        <f t="shared" si="15"/>
        <v>BBB</v>
      </c>
      <c r="M260" s="21">
        <f t="shared" si="14"/>
        <v>0</v>
      </c>
      <c r="N260" s="8">
        <f t="shared" si="14"/>
        <v>0</v>
      </c>
      <c r="O260" s="8">
        <f t="shared" si="14"/>
        <v>0</v>
      </c>
      <c r="P260" s="8">
        <f t="shared" si="13"/>
        <v>0</v>
      </c>
      <c r="Q260" s="8">
        <f t="shared" si="13"/>
        <v>0</v>
      </c>
      <c r="R260" s="8">
        <f t="shared" si="16"/>
        <v>0</v>
      </c>
      <c r="S260" s="8" t="str">
        <f>VLOOKUP(J260,'GHG Factors FY21'!A:B,2,FALSE)</f>
        <v>Contractors</v>
      </c>
      <c r="T260" s="8" t="str">
        <f>VLOOKUP(ReformFY21[[#This Row],[Reporting Alias]],'Entities FY21'!B:B,1,FALSE)</f>
        <v>Contractor Fuel Ethanol QLD</v>
      </c>
    </row>
    <row r="261" spans="1:20">
      <c r="A261" t="s">
        <v>1043</v>
      </c>
      <c r="B261" t="s">
        <v>787</v>
      </c>
      <c r="C261" t="s">
        <v>686</v>
      </c>
      <c r="D261" s="244">
        <v>0</v>
      </c>
      <c r="E261">
        <v>0</v>
      </c>
      <c r="F261">
        <v>0</v>
      </c>
      <c r="G261">
        <v>0</v>
      </c>
      <c r="H261">
        <v>0</v>
      </c>
      <c r="I261">
        <v>0</v>
      </c>
      <c r="J261" t="str">
        <f t="shared" si="15"/>
        <v>Contractor Fuel LPG QLD</v>
      </c>
      <c r="K261" t="str">
        <f t="shared" si="15"/>
        <v>kL</v>
      </c>
      <c r="L261" t="str">
        <f t="shared" si="15"/>
        <v>BBB</v>
      </c>
      <c r="M261" s="21">
        <f t="shared" si="14"/>
        <v>0</v>
      </c>
      <c r="N261" s="8">
        <f t="shared" si="14"/>
        <v>0</v>
      </c>
      <c r="O261" s="8">
        <f t="shared" si="14"/>
        <v>0</v>
      </c>
      <c r="P261" s="8">
        <f t="shared" si="13"/>
        <v>0</v>
      </c>
      <c r="Q261" s="8">
        <f t="shared" si="13"/>
        <v>0</v>
      </c>
      <c r="R261" s="8">
        <f t="shared" si="16"/>
        <v>0</v>
      </c>
      <c r="S261" s="8" t="str">
        <f>VLOOKUP(J261,'GHG Factors FY21'!A:B,2,FALSE)</f>
        <v>Contractors</v>
      </c>
      <c r="T261" s="8" t="str">
        <f>VLOOKUP(ReformFY21[[#This Row],[Reporting Alias]],'Entities FY21'!B:B,1,FALSE)</f>
        <v>Contractor Fuel LPG QLD</v>
      </c>
    </row>
    <row r="262" spans="1:20">
      <c r="A262" t="s">
        <v>1044</v>
      </c>
      <c r="B262" t="s">
        <v>787</v>
      </c>
      <c r="C262" t="s">
        <v>686</v>
      </c>
      <c r="D262" s="244">
        <v>0.56499999999999995</v>
      </c>
      <c r="E262">
        <v>19.323</v>
      </c>
      <c r="F262">
        <v>1344.8807999999999</v>
      </c>
      <c r="G262">
        <v>0</v>
      </c>
      <c r="H262">
        <v>69.56280000000001</v>
      </c>
      <c r="I262">
        <v>1414.4435999999998</v>
      </c>
      <c r="J262" t="str">
        <f t="shared" si="15"/>
        <v>Contractor Fuel Petrol QLD</v>
      </c>
      <c r="K262" t="str">
        <f t="shared" si="15"/>
        <v>kL</v>
      </c>
      <c r="L262" t="str">
        <f t="shared" si="15"/>
        <v>BBB</v>
      </c>
      <c r="M262" s="21">
        <f t="shared" si="14"/>
        <v>0.56499999999999995</v>
      </c>
      <c r="N262" s="8">
        <f t="shared" si="14"/>
        <v>19.323</v>
      </c>
      <c r="O262" s="8">
        <f t="shared" si="14"/>
        <v>1344.8807999999999</v>
      </c>
      <c r="P262" s="8">
        <f t="shared" si="13"/>
        <v>0</v>
      </c>
      <c r="Q262" s="8">
        <f t="shared" si="13"/>
        <v>69.56280000000001</v>
      </c>
      <c r="R262" s="8">
        <f t="shared" si="16"/>
        <v>1414.4435999999998</v>
      </c>
      <c r="S262" s="8" t="str">
        <f>VLOOKUP(J262,'GHG Factors FY21'!A:B,2,FALSE)</f>
        <v>Contractors</v>
      </c>
      <c r="T262" s="8" t="str">
        <f>VLOOKUP(ReformFY21[[#This Row],[Reporting Alias]],'Entities FY21'!B:B,1,FALSE)</f>
        <v>Contractor Fuel Petrol QLD</v>
      </c>
    </row>
    <row r="263" spans="1:20">
      <c r="A263" t="s">
        <v>1045</v>
      </c>
      <c r="B263" t="s">
        <v>787</v>
      </c>
      <c r="C263" t="s">
        <v>686</v>
      </c>
      <c r="D263" s="244">
        <v>12.291</v>
      </c>
      <c r="E263">
        <v>474.43260000000004</v>
      </c>
      <c r="F263">
        <v>33020.508959999999</v>
      </c>
      <c r="G263">
        <v>0</v>
      </c>
      <c r="H263">
        <v>1707.9573600000001</v>
      </c>
      <c r="I263">
        <v>34728.46632</v>
      </c>
      <c r="J263" t="str">
        <f t="shared" si="15"/>
        <v>Contractor Fuel Diesel SA</v>
      </c>
      <c r="K263" t="str">
        <f t="shared" si="15"/>
        <v>kL</v>
      </c>
      <c r="L263" t="str">
        <f t="shared" si="15"/>
        <v>BBB</v>
      </c>
      <c r="M263" s="21">
        <f t="shared" si="14"/>
        <v>12.291</v>
      </c>
      <c r="N263" s="8">
        <f t="shared" si="14"/>
        <v>474.43260000000004</v>
      </c>
      <c r="O263" s="8">
        <f t="shared" si="14"/>
        <v>33020.508959999999</v>
      </c>
      <c r="P263" s="8">
        <f t="shared" si="13"/>
        <v>0</v>
      </c>
      <c r="Q263" s="8">
        <f t="shared" si="13"/>
        <v>1707.9573600000001</v>
      </c>
      <c r="R263" s="8">
        <f t="shared" si="16"/>
        <v>34728.46632</v>
      </c>
      <c r="S263" s="8" t="str">
        <f>VLOOKUP(J263,'GHG Factors FY21'!A:B,2,FALSE)</f>
        <v>Contractors</v>
      </c>
      <c r="T263" s="8" t="str">
        <f>VLOOKUP(ReformFY21[[#This Row],[Reporting Alias]],'Entities FY21'!B:B,1,FALSE)</f>
        <v>Contractor Fuel Diesel SA</v>
      </c>
    </row>
    <row r="264" spans="1:20">
      <c r="A264" t="s">
        <v>1046</v>
      </c>
      <c r="B264" t="s">
        <v>787</v>
      </c>
      <c r="C264" t="s">
        <v>686</v>
      </c>
      <c r="D264" s="244">
        <v>0</v>
      </c>
      <c r="E264">
        <v>0</v>
      </c>
      <c r="F264">
        <v>0</v>
      </c>
      <c r="G264">
        <v>0</v>
      </c>
      <c r="H264">
        <v>0</v>
      </c>
      <c r="I264">
        <v>0</v>
      </c>
      <c r="J264" t="str">
        <f t="shared" si="15"/>
        <v>Contractor Fuel LPG SA</v>
      </c>
      <c r="K264" t="str">
        <f t="shared" si="15"/>
        <v>kL</v>
      </c>
      <c r="L264" t="str">
        <f t="shared" si="15"/>
        <v>BBB</v>
      </c>
      <c r="M264" s="21">
        <f t="shared" si="14"/>
        <v>0</v>
      </c>
      <c r="N264" s="8">
        <f t="shared" si="14"/>
        <v>0</v>
      </c>
      <c r="O264" s="8">
        <f t="shared" si="14"/>
        <v>0</v>
      </c>
      <c r="P264" s="8">
        <f t="shared" si="13"/>
        <v>0</v>
      </c>
      <c r="Q264" s="8">
        <f t="shared" si="13"/>
        <v>0</v>
      </c>
      <c r="R264" s="8">
        <f t="shared" si="16"/>
        <v>0</v>
      </c>
      <c r="S264" s="8" t="str">
        <f>VLOOKUP(J264,'GHG Factors FY21'!A:B,2,FALSE)</f>
        <v>Contractors</v>
      </c>
      <c r="T264" s="8" t="str">
        <f>VLOOKUP(ReformFY21[[#This Row],[Reporting Alias]],'Entities FY21'!B:B,1,FALSE)</f>
        <v>Contractor Fuel LPG SA</v>
      </c>
    </row>
    <row r="265" spans="1:20">
      <c r="A265" t="s">
        <v>1047</v>
      </c>
      <c r="B265" t="s">
        <v>787</v>
      </c>
      <c r="C265" t="s">
        <v>686</v>
      </c>
      <c r="D265" s="244">
        <v>0.33400000000000002</v>
      </c>
      <c r="E265">
        <v>11.422800000000002</v>
      </c>
      <c r="F265">
        <v>795.02688000000012</v>
      </c>
      <c r="G265">
        <v>0</v>
      </c>
      <c r="H265">
        <v>41.122080000000011</v>
      </c>
      <c r="I265">
        <v>836.1489600000001</v>
      </c>
      <c r="J265" t="str">
        <f t="shared" si="15"/>
        <v>Contractor Fuel Petrol SA</v>
      </c>
      <c r="K265" t="str">
        <f t="shared" si="15"/>
        <v>kL</v>
      </c>
      <c r="L265" t="str">
        <f t="shared" si="15"/>
        <v>BBB</v>
      </c>
      <c r="M265" s="21">
        <f t="shared" si="14"/>
        <v>0.33400000000000002</v>
      </c>
      <c r="N265" s="8">
        <f t="shared" si="14"/>
        <v>11.422800000000002</v>
      </c>
      <c r="O265" s="8">
        <f t="shared" si="14"/>
        <v>795.02688000000012</v>
      </c>
      <c r="P265" s="8">
        <f t="shared" si="13"/>
        <v>0</v>
      </c>
      <c r="Q265" s="8">
        <f t="shared" si="13"/>
        <v>41.122080000000011</v>
      </c>
      <c r="R265" s="8">
        <f t="shared" si="16"/>
        <v>836.1489600000001</v>
      </c>
      <c r="S265" s="8" t="str">
        <f>VLOOKUP(J265,'GHG Factors FY21'!A:B,2,FALSE)</f>
        <v>Contractors</v>
      </c>
      <c r="T265" s="8" t="str">
        <f>VLOOKUP(ReformFY21[[#This Row],[Reporting Alias]],'Entities FY21'!B:B,1,FALSE)</f>
        <v>Contractor Fuel Petrol SA</v>
      </c>
    </row>
    <row r="266" spans="1:20">
      <c r="A266" t="s">
        <v>1048</v>
      </c>
      <c r="B266" t="s">
        <v>787</v>
      </c>
      <c r="C266" t="s">
        <v>686</v>
      </c>
      <c r="D266" s="244">
        <v>18.701000000000001</v>
      </c>
      <c r="E266">
        <v>721.85860000000002</v>
      </c>
      <c r="F266">
        <v>50241.358560000001</v>
      </c>
      <c r="G266">
        <v>0</v>
      </c>
      <c r="H266">
        <v>2598.6909600000004</v>
      </c>
      <c r="I266">
        <v>52840.04952</v>
      </c>
      <c r="J266" t="str">
        <f t="shared" si="15"/>
        <v>Contractor Fuel Diesel TAS</v>
      </c>
      <c r="K266" t="str">
        <f t="shared" si="15"/>
        <v>kL</v>
      </c>
      <c r="L266" t="str">
        <f t="shared" si="15"/>
        <v>BBB</v>
      </c>
      <c r="M266" s="21">
        <f t="shared" si="14"/>
        <v>18.701000000000001</v>
      </c>
      <c r="N266" s="8">
        <f t="shared" si="14"/>
        <v>721.85860000000002</v>
      </c>
      <c r="O266" s="8">
        <f t="shared" si="14"/>
        <v>50241.358560000001</v>
      </c>
      <c r="P266" s="8">
        <f t="shared" si="13"/>
        <v>0</v>
      </c>
      <c r="Q266" s="8">
        <f t="shared" si="13"/>
        <v>2598.6909600000004</v>
      </c>
      <c r="R266" s="8">
        <f t="shared" si="16"/>
        <v>52840.04952</v>
      </c>
      <c r="S266" s="8" t="str">
        <f>VLOOKUP(J266,'GHG Factors FY21'!A:B,2,FALSE)</f>
        <v>Contractors</v>
      </c>
      <c r="T266" s="8" t="str">
        <f>VLOOKUP(ReformFY21[[#This Row],[Reporting Alias]],'Entities FY21'!B:B,1,FALSE)</f>
        <v>Contractor Fuel Diesel TAS</v>
      </c>
    </row>
    <row r="267" spans="1:20">
      <c r="A267" t="s">
        <v>1049</v>
      </c>
      <c r="B267" t="s">
        <v>787</v>
      </c>
      <c r="C267" t="s">
        <v>686</v>
      </c>
      <c r="D267" s="244">
        <v>0</v>
      </c>
      <c r="E267">
        <v>0</v>
      </c>
      <c r="F267">
        <v>0</v>
      </c>
      <c r="G267">
        <v>0</v>
      </c>
      <c r="H267">
        <v>0</v>
      </c>
      <c r="I267">
        <v>0</v>
      </c>
      <c r="J267" t="str">
        <f t="shared" si="15"/>
        <v>Contractor Fuel LPG TAS</v>
      </c>
      <c r="K267" t="str">
        <f t="shared" si="15"/>
        <v>kL</v>
      </c>
      <c r="L267" t="str">
        <f t="shared" si="15"/>
        <v>BBB</v>
      </c>
      <c r="M267" s="21">
        <f t="shared" si="14"/>
        <v>0</v>
      </c>
      <c r="N267" s="8">
        <f t="shared" si="14"/>
        <v>0</v>
      </c>
      <c r="O267" s="8">
        <f t="shared" si="14"/>
        <v>0</v>
      </c>
      <c r="P267" s="8">
        <f t="shared" si="13"/>
        <v>0</v>
      </c>
      <c r="Q267" s="8">
        <f t="shared" si="13"/>
        <v>0</v>
      </c>
      <c r="R267" s="8">
        <f t="shared" si="16"/>
        <v>0</v>
      </c>
      <c r="S267" s="8" t="str">
        <f>VLOOKUP(J267,'GHG Factors FY21'!A:B,2,FALSE)</f>
        <v>Contractors</v>
      </c>
      <c r="T267" s="8" t="str">
        <f>VLOOKUP(ReformFY21[[#This Row],[Reporting Alias]],'Entities FY21'!B:B,1,FALSE)</f>
        <v>Contractor Fuel LPG TAS</v>
      </c>
    </row>
    <row r="268" spans="1:20">
      <c r="A268" t="s">
        <v>1050</v>
      </c>
      <c r="B268" t="s">
        <v>787</v>
      </c>
      <c r="C268" t="s">
        <v>686</v>
      </c>
      <c r="D268" s="244">
        <v>0.42699999999999999</v>
      </c>
      <c r="E268">
        <v>14.603400000000001</v>
      </c>
      <c r="F268">
        <v>1016.3966399999999</v>
      </c>
      <c r="G268">
        <v>0</v>
      </c>
      <c r="H268">
        <v>52.572240000000001</v>
      </c>
      <c r="I268">
        <v>1068.9688799999999</v>
      </c>
      <c r="J268" t="str">
        <f t="shared" si="15"/>
        <v>Contractor Fuel Petrol TAS</v>
      </c>
      <c r="K268" t="str">
        <f t="shared" si="15"/>
        <v>kL</v>
      </c>
      <c r="L268" t="str">
        <f t="shared" si="15"/>
        <v>BBB</v>
      </c>
      <c r="M268" s="21">
        <f t="shared" si="14"/>
        <v>0.42699999999999999</v>
      </c>
      <c r="N268" s="8">
        <f t="shared" si="14"/>
        <v>14.603400000000001</v>
      </c>
      <c r="O268" s="8">
        <f t="shared" si="14"/>
        <v>1016.3966399999999</v>
      </c>
      <c r="P268" s="8">
        <f t="shared" si="13"/>
        <v>0</v>
      </c>
      <c r="Q268" s="8">
        <f t="shared" si="13"/>
        <v>52.572240000000001</v>
      </c>
      <c r="R268" s="8">
        <f t="shared" si="16"/>
        <v>1068.9688799999999</v>
      </c>
      <c r="S268" s="8" t="str">
        <f>VLOOKUP(J268,'GHG Factors FY21'!A:B,2,FALSE)</f>
        <v>Contractors</v>
      </c>
      <c r="T268" s="8" t="str">
        <f>VLOOKUP(ReformFY21[[#This Row],[Reporting Alias]],'Entities FY21'!B:B,1,FALSE)</f>
        <v>Contractor Fuel Petrol TAS</v>
      </c>
    </row>
    <row r="269" spans="1:20">
      <c r="A269" t="s">
        <v>1051</v>
      </c>
      <c r="B269" t="s">
        <v>787</v>
      </c>
      <c r="C269" t="s">
        <v>686</v>
      </c>
      <c r="D269" s="244">
        <v>222.86500000000001</v>
      </c>
      <c r="E269">
        <v>8602.5889999999999</v>
      </c>
      <c r="F269">
        <v>598740.19439999992</v>
      </c>
      <c r="G269">
        <v>0</v>
      </c>
      <c r="H269">
        <v>30969.320400000001</v>
      </c>
      <c r="I269">
        <v>629709.51479999989</v>
      </c>
      <c r="J269" t="str">
        <f t="shared" si="15"/>
        <v>Contractor Fuel Diesel VIC</v>
      </c>
      <c r="K269" t="str">
        <f t="shared" si="15"/>
        <v>kL</v>
      </c>
      <c r="L269" t="str">
        <f t="shared" si="15"/>
        <v>BBB</v>
      </c>
      <c r="M269" s="21">
        <f t="shared" si="14"/>
        <v>222.86500000000001</v>
      </c>
      <c r="N269" s="8">
        <f t="shared" si="14"/>
        <v>8602.5889999999999</v>
      </c>
      <c r="O269" s="8">
        <f t="shared" si="14"/>
        <v>598740.19439999992</v>
      </c>
      <c r="P269" s="8">
        <f t="shared" si="13"/>
        <v>0</v>
      </c>
      <c r="Q269" s="8">
        <f t="shared" si="13"/>
        <v>30969.320400000001</v>
      </c>
      <c r="R269" s="8">
        <f t="shared" si="16"/>
        <v>629709.51479999989</v>
      </c>
      <c r="S269" s="8" t="str">
        <f>VLOOKUP(J269,'GHG Factors FY21'!A:B,2,FALSE)</f>
        <v>Contractors</v>
      </c>
      <c r="T269" s="8" t="str">
        <f>VLOOKUP(ReformFY21[[#This Row],[Reporting Alias]],'Entities FY21'!B:B,1,FALSE)</f>
        <v>Contractor Fuel Diesel VIC</v>
      </c>
    </row>
    <row r="270" spans="1:20">
      <c r="A270" t="s">
        <v>1052</v>
      </c>
      <c r="B270" t="s">
        <v>787</v>
      </c>
      <c r="C270" t="s">
        <v>686</v>
      </c>
      <c r="D270" s="244">
        <v>0</v>
      </c>
      <c r="E270">
        <v>0</v>
      </c>
      <c r="F270">
        <v>0</v>
      </c>
      <c r="G270">
        <v>0</v>
      </c>
      <c r="H270">
        <v>0</v>
      </c>
      <c r="I270">
        <v>0</v>
      </c>
      <c r="J270" t="str">
        <f t="shared" si="15"/>
        <v>Contractor Fuel LPG VIC</v>
      </c>
      <c r="K270" t="str">
        <f t="shared" si="15"/>
        <v>kL</v>
      </c>
      <c r="L270" t="str">
        <f t="shared" si="15"/>
        <v>BBB</v>
      </c>
      <c r="M270" s="21">
        <f t="shared" si="14"/>
        <v>0</v>
      </c>
      <c r="N270" s="8">
        <f t="shared" si="14"/>
        <v>0</v>
      </c>
      <c r="O270" s="8">
        <f t="shared" si="14"/>
        <v>0</v>
      </c>
      <c r="P270" s="8">
        <f t="shared" si="13"/>
        <v>0</v>
      </c>
      <c r="Q270" s="8">
        <f t="shared" si="13"/>
        <v>0</v>
      </c>
      <c r="R270" s="8">
        <f t="shared" si="16"/>
        <v>0</v>
      </c>
      <c r="S270" s="8" t="str">
        <f>VLOOKUP(J270,'GHG Factors FY21'!A:B,2,FALSE)</f>
        <v>Contractors</v>
      </c>
      <c r="T270" s="8" t="str">
        <f>VLOOKUP(ReformFY21[[#This Row],[Reporting Alias]],'Entities FY21'!B:B,1,FALSE)</f>
        <v>Contractor Fuel LPG VIC</v>
      </c>
    </row>
    <row r="271" spans="1:20">
      <c r="A271" t="s">
        <v>1053</v>
      </c>
      <c r="B271" t="s">
        <v>787</v>
      </c>
      <c r="C271" t="s">
        <v>686</v>
      </c>
      <c r="D271" s="244">
        <v>3.3959999999999999</v>
      </c>
      <c r="E271">
        <v>116.14320000000001</v>
      </c>
      <c r="F271">
        <v>8083.5667199999998</v>
      </c>
      <c r="G271">
        <v>0</v>
      </c>
      <c r="H271">
        <v>418.11552000000006</v>
      </c>
      <c r="I271">
        <v>8501.6822400000001</v>
      </c>
      <c r="J271" t="str">
        <f t="shared" si="15"/>
        <v>Contractor Fuel Petrol VIC</v>
      </c>
      <c r="K271" t="str">
        <f t="shared" si="15"/>
        <v>kL</v>
      </c>
      <c r="L271" t="str">
        <f t="shared" si="15"/>
        <v>BBB</v>
      </c>
      <c r="M271" s="21">
        <f t="shared" si="14"/>
        <v>3.3959999999999999</v>
      </c>
      <c r="N271" s="8">
        <f t="shared" si="14"/>
        <v>116.14320000000001</v>
      </c>
      <c r="O271" s="8">
        <f t="shared" si="14"/>
        <v>8083.5667199999998</v>
      </c>
      <c r="P271" s="8">
        <f t="shared" si="13"/>
        <v>0</v>
      </c>
      <c r="Q271" s="8">
        <f t="shared" si="13"/>
        <v>418.11552000000006</v>
      </c>
      <c r="R271" s="8">
        <f t="shared" si="16"/>
        <v>8501.6822400000001</v>
      </c>
      <c r="S271" s="8" t="str">
        <f>VLOOKUP(J271,'GHG Factors FY21'!A:B,2,FALSE)</f>
        <v>Contractors</v>
      </c>
      <c r="T271" s="8" t="str">
        <f>VLOOKUP(ReformFY21[[#This Row],[Reporting Alias]],'Entities FY21'!B:B,1,FALSE)</f>
        <v>Contractor Fuel Petrol VIC</v>
      </c>
    </row>
    <row r="272" spans="1:20">
      <c r="A272" t="s">
        <v>1054</v>
      </c>
      <c r="B272" t="s">
        <v>787</v>
      </c>
      <c r="C272" t="s">
        <v>686</v>
      </c>
      <c r="D272" s="244">
        <v>69.394999999999996</v>
      </c>
      <c r="E272">
        <v>2678.6469999999999</v>
      </c>
      <c r="F272">
        <v>186433.83119999999</v>
      </c>
      <c r="G272">
        <v>0</v>
      </c>
      <c r="H272">
        <v>9643.1291999999994</v>
      </c>
      <c r="I272">
        <v>196076.96039999998</v>
      </c>
      <c r="J272" t="str">
        <f t="shared" si="15"/>
        <v>Contractor Fuel Diesel WA</v>
      </c>
      <c r="K272" t="str">
        <f t="shared" si="15"/>
        <v>kL</v>
      </c>
      <c r="L272" t="str">
        <f t="shared" si="15"/>
        <v>BBB</v>
      </c>
      <c r="M272" s="21">
        <f t="shared" si="14"/>
        <v>69.394999999999996</v>
      </c>
      <c r="N272" s="8">
        <f t="shared" si="14"/>
        <v>2678.6469999999999</v>
      </c>
      <c r="O272" s="8">
        <f t="shared" si="14"/>
        <v>186433.83119999999</v>
      </c>
      <c r="P272" s="8">
        <f t="shared" si="13"/>
        <v>0</v>
      </c>
      <c r="Q272" s="8">
        <f t="shared" si="13"/>
        <v>9643.1291999999994</v>
      </c>
      <c r="R272" s="8">
        <f t="shared" si="16"/>
        <v>196076.96039999998</v>
      </c>
      <c r="S272" s="8" t="str">
        <f>VLOOKUP(J272,'GHG Factors FY21'!A:B,2,FALSE)</f>
        <v>Contractors</v>
      </c>
      <c r="T272" s="8" t="str">
        <f>VLOOKUP(ReformFY21[[#This Row],[Reporting Alias]],'Entities FY21'!B:B,1,FALSE)</f>
        <v>Contractor Fuel Diesel WA</v>
      </c>
    </row>
    <row r="273" spans="1:20">
      <c r="A273" t="s">
        <v>1055</v>
      </c>
      <c r="B273" t="s">
        <v>787</v>
      </c>
      <c r="C273" t="s">
        <v>686</v>
      </c>
      <c r="D273" s="244">
        <v>0</v>
      </c>
      <c r="E273">
        <v>0</v>
      </c>
      <c r="F273">
        <v>0</v>
      </c>
      <c r="G273">
        <v>0</v>
      </c>
      <c r="H273">
        <v>0</v>
      </c>
      <c r="I273">
        <v>0</v>
      </c>
      <c r="J273" t="str">
        <f t="shared" si="15"/>
        <v>Contractor Fuel LPG WA</v>
      </c>
      <c r="K273" t="str">
        <f t="shared" si="15"/>
        <v>kL</v>
      </c>
      <c r="L273" t="str">
        <f t="shared" si="15"/>
        <v>BBB</v>
      </c>
      <c r="M273" s="21">
        <f t="shared" si="14"/>
        <v>0</v>
      </c>
      <c r="N273" s="8">
        <f t="shared" si="14"/>
        <v>0</v>
      </c>
      <c r="O273" s="8">
        <f t="shared" si="14"/>
        <v>0</v>
      </c>
      <c r="P273" s="8">
        <f t="shared" si="13"/>
        <v>0</v>
      </c>
      <c r="Q273" s="8">
        <f t="shared" si="13"/>
        <v>0</v>
      </c>
      <c r="R273" s="8">
        <f t="shared" si="16"/>
        <v>0</v>
      </c>
      <c r="S273" s="8" t="str">
        <f>VLOOKUP(J273,'GHG Factors FY21'!A:B,2,FALSE)</f>
        <v>Contractors</v>
      </c>
      <c r="T273" s="8" t="str">
        <f>VLOOKUP(ReformFY21[[#This Row],[Reporting Alias]],'Entities FY21'!B:B,1,FALSE)</f>
        <v>Contractor Fuel LPG WA</v>
      </c>
    </row>
    <row r="274" spans="1:20">
      <c r="A274" t="s">
        <v>1056</v>
      </c>
      <c r="B274" t="s">
        <v>787</v>
      </c>
      <c r="C274" t="s">
        <v>686</v>
      </c>
      <c r="D274" s="244">
        <v>0.307</v>
      </c>
      <c r="E274">
        <v>10.499400000000001</v>
      </c>
      <c r="F274">
        <v>730.75824</v>
      </c>
      <c r="G274">
        <v>0</v>
      </c>
      <c r="H274">
        <v>37.797840000000008</v>
      </c>
      <c r="I274">
        <v>768.55608000000007</v>
      </c>
      <c r="J274" t="str">
        <f t="shared" si="15"/>
        <v>Contractor Fuel Petrol WA</v>
      </c>
      <c r="K274" t="str">
        <f t="shared" si="15"/>
        <v>kL</v>
      </c>
      <c r="L274" t="str">
        <f t="shared" si="15"/>
        <v>BBB</v>
      </c>
      <c r="M274" s="21">
        <f t="shared" si="14"/>
        <v>0.307</v>
      </c>
      <c r="N274" s="8">
        <f t="shared" si="14"/>
        <v>10.499400000000001</v>
      </c>
      <c r="O274" s="8">
        <f t="shared" si="14"/>
        <v>730.75824</v>
      </c>
      <c r="P274" s="8">
        <f t="shared" si="13"/>
        <v>0</v>
      </c>
      <c r="Q274" s="8">
        <f t="shared" si="13"/>
        <v>37.797840000000008</v>
      </c>
      <c r="R274" s="8">
        <f t="shared" si="16"/>
        <v>768.55608000000007</v>
      </c>
      <c r="S274" s="8" t="str">
        <f>VLOOKUP(J274,'GHG Factors FY21'!A:B,2,FALSE)</f>
        <v>Contractors</v>
      </c>
      <c r="T274" s="8" t="str">
        <f>VLOOKUP(ReformFY21[[#This Row],[Reporting Alias]],'Entities FY21'!B:B,1,FALSE)</f>
        <v>Contractor Fuel Petrol WA</v>
      </c>
    </row>
    <row r="275" spans="1:20">
      <c r="A275" t="s">
        <v>1057</v>
      </c>
      <c r="B275" t="s">
        <v>670</v>
      </c>
      <c r="C275" t="s">
        <v>695</v>
      </c>
      <c r="D275" s="244">
        <v>706570.09830000007</v>
      </c>
      <c r="E275">
        <v>706.57009830000004</v>
      </c>
      <c r="F275">
        <v>36409.557165399005</v>
      </c>
      <c r="G275">
        <v>0</v>
      </c>
      <c r="H275">
        <v>2755.6233833700003</v>
      </c>
      <c r="I275">
        <v>39165.180548769007</v>
      </c>
      <c r="J275" t="str">
        <f t="shared" si="15"/>
        <v>Data Centre Gas VIC A</v>
      </c>
      <c r="K275" t="str">
        <f t="shared" si="15"/>
        <v>MJ</v>
      </c>
      <c r="L275" t="str">
        <f t="shared" si="15"/>
        <v>A</v>
      </c>
      <c r="M275" s="21">
        <f t="shared" si="14"/>
        <v>706570.09830000007</v>
      </c>
      <c r="N275" s="8">
        <f t="shared" si="14"/>
        <v>706.57009830000004</v>
      </c>
      <c r="O275" s="8">
        <f t="shared" si="14"/>
        <v>36409.557165399005</v>
      </c>
      <c r="P275" s="8">
        <f t="shared" si="13"/>
        <v>0</v>
      </c>
      <c r="Q275" s="8">
        <f t="shared" si="13"/>
        <v>2755.6233833700003</v>
      </c>
      <c r="R275" s="8">
        <f t="shared" si="16"/>
        <v>39165.180548769007</v>
      </c>
      <c r="S275" s="8" t="str">
        <f>VLOOKUP(J275,'GHG Factors FY21'!A:B,2,FALSE)</f>
        <v>Natural Gas</v>
      </c>
      <c r="T275" s="8" t="str">
        <f>VLOOKUP(ReformFY21[[#This Row],[Reporting Alias]],'Entities FY21'!B:B,1,FALSE)</f>
        <v>Data Centre Gas VIC A</v>
      </c>
    </row>
    <row r="276" spans="1:20">
      <c r="A276" t="s">
        <v>1058</v>
      </c>
      <c r="B276" t="s">
        <v>670</v>
      </c>
      <c r="C276" t="s">
        <v>695</v>
      </c>
      <c r="D276" s="244">
        <v>0</v>
      </c>
      <c r="E276">
        <v>0</v>
      </c>
      <c r="F276">
        <v>0</v>
      </c>
      <c r="G276">
        <v>0</v>
      </c>
      <c r="H276">
        <v>0</v>
      </c>
      <c r="I276">
        <v>0</v>
      </c>
      <c r="J276" t="str">
        <f t="shared" si="15"/>
        <v>Residence Gas ACT A</v>
      </c>
      <c r="K276" t="str">
        <f t="shared" si="15"/>
        <v>MJ</v>
      </c>
      <c r="L276" t="str">
        <f t="shared" si="15"/>
        <v>A</v>
      </c>
      <c r="M276" s="21">
        <f t="shared" si="14"/>
        <v>0</v>
      </c>
      <c r="N276" s="8">
        <f t="shared" si="14"/>
        <v>0</v>
      </c>
      <c r="O276" s="8">
        <f t="shared" si="14"/>
        <v>0</v>
      </c>
      <c r="P276" s="8">
        <f t="shared" si="13"/>
        <v>0</v>
      </c>
      <c r="Q276" s="8">
        <f t="shared" si="13"/>
        <v>0</v>
      </c>
      <c r="R276" s="8">
        <f t="shared" si="16"/>
        <v>0</v>
      </c>
      <c r="S276" s="8" t="str">
        <f>VLOOKUP(J276,'GHG Factors FY21'!A:B,2,FALSE)</f>
        <v>Natural Gas</v>
      </c>
      <c r="T276" s="8" t="str">
        <f>VLOOKUP(ReformFY21[[#This Row],[Reporting Alias]],'Entities FY21'!B:B,1,FALSE)</f>
        <v>Residence Gas ACT A</v>
      </c>
    </row>
    <row r="277" spans="1:20">
      <c r="A277" t="s">
        <v>1059</v>
      </c>
      <c r="B277" t="s">
        <v>670</v>
      </c>
      <c r="C277" t="s">
        <v>695</v>
      </c>
      <c r="D277" s="244">
        <v>6373531.4940999998</v>
      </c>
      <c r="E277">
        <v>6373.5314940999997</v>
      </c>
      <c r="F277">
        <v>328428.07789097301</v>
      </c>
      <c r="G277">
        <v>0</v>
      </c>
      <c r="H277">
        <v>24856.77282699</v>
      </c>
      <c r="I277">
        <v>353284.85071796301</v>
      </c>
      <c r="J277" t="str">
        <f t="shared" si="15"/>
        <v>Telstra Office Accommodation Gas VIC A</v>
      </c>
      <c r="K277" t="str">
        <f t="shared" si="15"/>
        <v>MJ</v>
      </c>
      <c r="L277" t="str">
        <f t="shared" si="15"/>
        <v>A</v>
      </c>
      <c r="M277" s="21">
        <f t="shared" si="14"/>
        <v>6373531.4940999998</v>
      </c>
      <c r="N277" s="8">
        <f t="shared" si="14"/>
        <v>6373.5314940999997</v>
      </c>
      <c r="O277" s="8">
        <f t="shared" si="14"/>
        <v>328428.07789097301</v>
      </c>
      <c r="P277" s="8">
        <f t="shared" si="13"/>
        <v>0</v>
      </c>
      <c r="Q277" s="8">
        <f t="shared" si="13"/>
        <v>24856.77282699</v>
      </c>
      <c r="R277" s="8">
        <f t="shared" si="16"/>
        <v>353284.85071796301</v>
      </c>
      <c r="S277" s="8" t="str">
        <f>VLOOKUP(J277,'GHG Factors FY21'!A:B,2,FALSE)</f>
        <v>Natural Gas</v>
      </c>
      <c r="T277" s="8" t="str">
        <f>VLOOKUP(ReformFY21[[#This Row],[Reporting Alias]],'Entities FY21'!B:B,1,FALSE)</f>
        <v>Telstra Office Accommodation Gas VIC A</v>
      </c>
    </row>
    <row r="278" spans="1:20">
      <c r="A278" t="s">
        <v>1060</v>
      </c>
      <c r="B278" t="s">
        <v>670</v>
      </c>
      <c r="C278" t="s">
        <v>686</v>
      </c>
      <c r="D278" s="244">
        <v>150712.5276</v>
      </c>
      <c r="E278">
        <v>150.71252760000002</v>
      </c>
      <c r="F278">
        <v>7766.2165472280012</v>
      </c>
      <c r="G278">
        <v>0</v>
      </c>
      <c r="H278">
        <v>587.77885764000007</v>
      </c>
      <c r="I278">
        <v>8353.9954048680011</v>
      </c>
      <c r="J278" t="str">
        <f t="shared" si="15"/>
        <v>Data Centre Gas VIC BBB</v>
      </c>
      <c r="K278" t="str">
        <f t="shared" si="15"/>
        <v>MJ</v>
      </c>
      <c r="L278" t="str">
        <f t="shared" si="15"/>
        <v>BBB</v>
      </c>
      <c r="M278" s="21">
        <f t="shared" si="14"/>
        <v>150712.5276</v>
      </c>
      <c r="N278" s="8">
        <f t="shared" si="14"/>
        <v>150.71252760000002</v>
      </c>
      <c r="O278" s="8">
        <f t="shared" si="14"/>
        <v>7766.2165472280012</v>
      </c>
      <c r="P278" s="8">
        <f t="shared" si="13"/>
        <v>0</v>
      </c>
      <c r="Q278" s="8">
        <f t="shared" si="13"/>
        <v>587.77885764000007</v>
      </c>
      <c r="R278" s="8">
        <f t="shared" si="16"/>
        <v>8353.9954048680011</v>
      </c>
      <c r="S278" s="8" t="str">
        <f>VLOOKUP(J278,'GHG Factors FY21'!A:B,2,FALSE)</f>
        <v>Natural Gas</v>
      </c>
      <c r="T278" s="8" t="str">
        <f>VLOOKUP(ReformFY21[[#This Row],[Reporting Alias]],'Entities FY21'!B:B,1,FALSE)</f>
        <v>Data Centre Gas VIC BBB</v>
      </c>
    </row>
    <row r="279" spans="1:20">
      <c r="A279" t="s">
        <v>1061</v>
      </c>
      <c r="B279" t="s">
        <v>670</v>
      </c>
      <c r="C279" t="s">
        <v>686</v>
      </c>
      <c r="D279" s="244">
        <v>0</v>
      </c>
      <c r="E279">
        <v>0</v>
      </c>
      <c r="F279">
        <v>0</v>
      </c>
      <c r="G279">
        <v>0</v>
      </c>
      <c r="H279">
        <v>0</v>
      </c>
      <c r="I279">
        <v>0</v>
      </c>
      <c r="J279" t="str">
        <f t="shared" si="15"/>
        <v>Residence Gas ACT BBB</v>
      </c>
      <c r="K279" t="str">
        <f t="shared" si="15"/>
        <v>MJ</v>
      </c>
      <c r="L279" t="str">
        <f t="shared" si="15"/>
        <v>BBB</v>
      </c>
      <c r="M279" s="21">
        <f t="shared" si="14"/>
        <v>0</v>
      </c>
      <c r="N279" s="8">
        <f t="shared" si="14"/>
        <v>0</v>
      </c>
      <c r="O279" s="8">
        <f t="shared" si="14"/>
        <v>0</v>
      </c>
      <c r="P279" s="8">
        <f t="shared" si="13"/>
        <v>0</v>
      </c>
      <c r="Q279" s="8">
        <f t="shared" si="13"/>
        <v>0</v>
      </c>
      <c r="R279" s="8">
        <f t="shared" si="16"/>
        <v>0</v>
      </c>
      <c r="S279" s="8" t="str">
        <f>VLOOKUP(J279,'GHG Factors FY21'!A:B,2,FALSE)</f>
        <v>Natural Gas</v>
      </c>
      <c r="T279" s="8" t="str">
        <f>VLOOKUP(ReformFY21[[#This Row],[Reporting Alias]],'Entities FY21'!B:B,1,FALSE)</f>
        <v>Residence Gas ACT BBB</v>
      </c>
    </row>
    <row r="280" spans="1:20">
      <c r="A280" t="s">
        <v>1062</v>
      </c>
      <c r="B280" t="s">
        <v>670</v>
      </c>
      <c r="C280" t="s">
        <v>686</v>
      </c>
      <c r="D280" s="244">
        <v>1587941.2077999997</v>
      </c>
      <c r="E280">
        <v>1587.9412077999998</v>
      </c>
      <c r="F280">
        <v>81826.610437933996</v>
      </c>
      <c r="G280">
        <v>0</v>
      </c>
      <c r="H280">
        <v>6192.9707104199988</v>
      </c>
      <c r="I280">
        <v>88019.581148353987</v>
      </c>
      <c r="J280" t="str">
        <f t="shared" si="15"/>
        <v>Telstra Office Accommodation Gas VIC BBB</v>
      </c>
      <c r="K280" t="str">
        <f t="shared" si="15"/>
        <v>MJ</v>
      </c>
      <c r="L280" t="str">
        <f t="shared" si="15"/>
        <v>BBB</v>
      </c>
      <c r="M280" s="21">
        <f t="shared" si="14"/>
        <v>1587941.2077999997</v>
      </c>
      <c r="N280" s="8">
        <f t="shared" si="14"/>
        <v>1587.9412077999998</v>
      </c>
      <c r="O280" s="8">
        <f t="shared" si="14"/>
        <v>81826.610437933996</v>
      </c>
      <c r="P280" s="8">
        <f t="shared" si="13"/>
        <v>0</v>
      </c>
      <c r="Q280" s="8">
        <f t="shared" si="13"/>
        <v>6192.9707104199988</v>
      </c>
      <c r="R280" s="8">
        <f t="shared" si="16"/>
        <v>88019.581148353987</v>
      </c>
      <c r="S280" s="8" t="str">
        <f>VLOOKUP(J280,'GHG Factors FY21'!A:B,2,FALSE)</f>
        <v>Natural Gas</v>
      </c>
      <c r="T280" s="8" t="str">
        <f>VLOOKUP(ReformFY21[[#This Row],[Reporting Alias]],'Entities FY21'!B:B,1,FALSE)</f>
        <v>Telstra Office Accommodation Gas VIC BBB</v>
      </c>
    </row>
    <row r="281" spans="1:20">
      <c r="A281" t="s">
        <v>1063</v>
      </c>
      <c r="B281" t="s">
        <v>787</v>
      </c>
      <c r="C281" t="s">
        <v>686</v>
      </c>
      <c r="D281" s="244">
        <v>6.6666699999999995E-2</v>
      </c>
      <c r="E281">
        <v>2.28000114</v>
      </c>
      <c r="F281">
        <v>154.58407729200002</v>
      </c>
      <c r="G281">
        <v>0</v>
      </c>
      <c r="H281">
        <v>8.2080041040000005</v>
      </c>
      <c r="I281">
        <v>162.79208139600001</v>
      </c>
      <c r="J281" t="str">
        <f t="shared" ref="J281:J282" si="17">A281</f>
        <v>Grounds maintenance ISS Petrol NT</v>
      </c>
      <c r="K281" t="str">
        <f t="shared" ref="K281:K282" si="18">B281</f>
        <v>kL</v>
      </c>
      <c r="L281" t="str">
        <f t="shared" ref="L281:L282" si="19">C281</f>
        <v>BBB</v>
      </c>
      <c r="M281" s="21">
        <f t="shared" ref="M281:M282" si="20">D281</f>
        <v>6.6666699999999995E-2</v>
      </c>
      <c r="N281" s="8">
        <f t="shared" ref="N281:N282" si="21">E281</f>
        <v>2.28000114</v>
      </c>
      <c r="O281" s="8">
        <f t="shared" ref="O281:O282" si="22">F281</f>
        <v>154.58407729200002</v>
      </c>
      <c r="P281" s="8">
        <f t="shared" ref="P281:P282" si="23">G281</f>
        <v>0</v>
      </c>
      <c r="Q281" s="8">
        <f t="shared" ref="Q281:Q282" si="24">H281</f>
        <v>8.2080041040000005</v>
      </c>
      <c r="R281" s="8">
        <f t="shared" ref="R281:R282" si="25">I281</f>
        <v>162.79208139600001</v>
      </c>
      <c r="S281" s="8" t="str">
        <f>VLOOKUP(J281,'GHG Factors FY21'!A:B,2,FALSE)</f>
        <v>Grounds Maintenance</v>
      </c>
      <c r="T281" s="8" t="str">
        <f>VLOOKUP(ReformFY21[[#This Row],[Reporting Alias]],'Entities FY21'!B:B,1,FALSE)</f>
        <v>Grounds maintenance ISS Petrol NT</v>
      </c>
    </row>
    <row r="282" spans="1:20">
      <c r="A282" t="s">
        <v>1064</v>
      </c>
      <c r="B282" t="s">
        <v>787</v>
      </c>
      <c r="C282" t="s">
        <v>686</v>
      </c>
      <c r="D282" s="244">
        <v>2.1777700000000004E-2</v>
      </c>
      <c r="E282">
        <v>0.7447973400000002</v>
      </c>
      <c r="F282">
        <v>50.497259652000025</v>
      </c>
      <c r="G282">
        <v>0</v>
      </c>
      <c r="H282">
        <v>2.6812704240000009</v>
      </c>
      <c r="I282">
        <v>53.17853007600003</v>
      </c>
      <c r="J282" t="str">
        <f t="shared" si="17"/>
        <v>Grounds maintenance ISS Petrol QLD</v>
      </c>
      <c r="K282" t="str">
        <f t="shared" si="18"/>
        <v>kL</v>
      </c>
      <c r="L282" t="str">
        <f t="shared" si="19"/>
        <v>BBB</v>
      </c>
      <c r="M282" s="8">
        <f t="shared" si="20"/>
        <v>2.1777700000000004E-2</v>
      </c>
      <c r="N282" s="8">
        <f t="shared" si="21"/>
        <v>0.7447973400000002</v>
      </c>
      <c r="O282" s="8">
        <f t="shared" si="22"/>
        <v>50.497259652000025</v>
      </c>
      <c r="P282" s="8">
        <f t="shared" si="23"/>
        <v>0</v>
      </c>
      <c r="Q282" s="8">
        <f t="shared" si="24"/>
        <v>2.6812704240000009</v>
      </c>
      <c r="R282" s="8">
        <f t="shared" si="25"/>
        <v>53.17853007600003</v>
      </c>
      <c r="S282" s="8" t="str">
        <f>VLOOKUP(J282,'GHG Factors FY21'!A:B,2,FALSE)</f>
        <v>Grounds Maintenance</v>
      </c>
      <c r="T282" s="8" t="str">
        <f>VLOOKUP(ReformFY21[[#This Row],[Reporting Alias]],'Entities FY21'!B:B,1,FALSE)</f>
        <v>Grounds maintenance ISS Petrol QLD</v>
      </c>
    </row>
    <row r="283" spans="1:20">
      <c r="A283" t="s">
        <v>1065</v>
      </c>
      <c r="B283" t="s">
        <v>787</v>
      </c>
      <c r="C283" t="s">
        <v>686</v>
      </c>
      <c r="D283" s="244">
        <v>0</v>
      </c>
      <c r="E283">
        <v>0</v>
      </c>
      <c r="F283">
        <v>0</v>
      </c>
      <c r="G283">
        <v>0</v>
      </c>
      <c r="H283">
        <v>0</v>
      </c>
      <c r="I283">
        <v>0</v>
      </c>
      <c r="J283" t="str">
        <f>A283</f>
        <v>Grounds maintenance ISS Petrol WA</v>
      </c>
      <c r="K283" t="str">
        <f t="shared" ref="K283" si="26">B283</f>
        <v>kL</v>
      </c>
      <c r="L283" t="str">
        <f t="shared" ref="L283" si="27">C283</f>
        <v>BBB</v>
      </c>
      <c r="M283" s="21">
        <f t="shared" ref="M283" si="28">D283</f>
        <v>0</v>
      </c>
      <c r="N283" s="5">
        <f t="shared" ref="N283" si="29">E283</f>
        <v>0</v>
      </c>
      <c r="O283" s="8">
        <f t="shared" ref="O283" si="30">F283</f>
        <v>0</v>
      </c>
      <c r="P283" s="8">
        <f t="shared" ref="P283" si="31">G283</f>
        <v>0</v>
      </c>
      <c r="Q283" s="8">
        <f t="shared" ref="Q283" si="32">H283</f>
        <v>0</v>
      </c>
      <c r="R283" s="8">
        <f t="shared" ref="R283" si="33">I283</f>
        <v>0</v>
      </c>
      <c r="S283" s="8" t="str">
        <f>VLOOKUP(J283,'GHG Factors FY21'!A:B,2,FALSE)</f>
        <v>Grounds Maintenance</v>
      </c>
      <c r="T283" s="8" t="str">
        <f>VLOOKUP(ReformFY21[[#This Row],[Reporting Alias]],'Entities FY21'!B:B,1,FALSE)</f>
        <v>Grounds maintenance ISS Petrol WA</v>
      </c>
    </row>
    <row r="284" spans="1:20">
      <c r="A284" t="s">
        <v>1066</v>
      </c>
      <c r="B284" t="s">
        <v>663</v>
      </c>
      <c r="C284" t="s">
        <v>104</v>
      </c>
      <c r="D284" s="244">
        <v>0</v>
      </c>
      <c r="E284">
        <v>0</v>
      </c>
      <c r="F284">
        <v>0</v>
      </c>
      <c r="G284">
        <v>0</v>
      </c>
      <c r="H284">
        <v>0</v>
      </c>
      <c r="I284">
        <v>0</v>
      </c>
      <c r="J284" t="str">
        <f t="shared" ref="J284:J285" si="34">A284</f>
        <v>Brightstar</v>
      </c>
      <c r="K284" t="str">
        <f t="shared" ref="K284:K285" si="35">B284</f>
        <v>kWh</v>
      </c>
      <c r="L284" t="str">
        <f t="shared" ref="L284:L285" si="36">C284</f>
        <v>N/A</v>
      </c>
      <c r="M284" s="21">
        <f t="shared" ref="M284:M285" si="37">D284</f>
        <v>0</v>
      </c>
      <c r="N284" s="5">
        <f t="shared" ref="N284:N285" si="38">E284</f>
        <v>0</v>
      </c>
      <c r="O284" s="8">
        <f t="shared" ref="O284:O285" si="39">F284</f>
        <v>0</v>
      </c>
      <c r="P284" s="8">
        <f t="shared" ref="P284:P285" si="40">G284</f>
        <v>0</v>
      </c>
      <c r="Q284" s="8">
        <f t="shared" ref="Q284:Q285" si="41">H284</f>
        <v>0</v>
      </c>
      <c r="R284" s="8">
        <f t="shared" ref="R284:R285" si="42">I284</f>
        <v>0</v>
      </c>
      <c r="S284" s="8" t="str">
        <f>VLOOKUP(J284,'GHG Factors FY21'!A:B,2,FALSE)</f>
        <v>Electricity</v>
      </c>
      <c r="T284" s="8" t="str">
        <f>VLOOKUP(ReformFY21[[#This Row],[Reporting Alias]],'Entities FY21'!B:B,1,FALSE)</f>
        <v>Brightstar</v>
      </c>
    </row>
    <row r="285" spans="1:20">
      <c r="A285" t="s">
        <v>1067</v>
      </c>
      <c r="B285" t="s">
        <v>787</v>
      </c>
      <c r="C285" t="s">
        <v>686</v>
      </c>
      <c r="D285" s="244">
        <v>0</v>
      </c>
      <c r="E285">
        <v>0</v>
      </c>
      <c r="F285">
        <v>0</v>
      </c>
      <c r="G285">
        <v>0</v>
      </c>
      <c r="H285">
        <v>0</v>
      </c>
      <c r="I285">
        <v>0</v>
      </c>
      <c r="J285" t="str">
        <f t="shared" si="34"/>
        <v>Contractor Fuel Ethanol VIC</v>
      </c>
      <c r="K285" t="str">
        <f t="shared" si="35"/>
        <v>kL</v>
      </c>
      <c r="L285" t="str">
        <f t="shared" si="36"/>
        <v>BBB</v>
      </c>
      <c r="M285" s="21">
        <f t="shared" si="37"/>
        <v>0</v>
      </c>
      <c r="N285" s="5">
        <f t="shared" si="38"/>
        <v>0</v>
      </c>
      <c r="O285" s="8">
        <f t="shared" si="39"/>
        <v>0</v>
      </c>
      <c r="P285" s="8">
        <f t="shared" si="40"/>
        <v>0</v>
      </c>
      <c r="Q285" s="8">
        <f t="shared" si="41"/>
        <v>0</v>
      </c>
      <c r="R285" s="8">
        <f t="shared" si="42"/>
        <v>0</v>
      </c>
      <c r="S285" s="8" t="str">
        <f>VLOOKUP(J285,'GHG Factors FY21'!A:B,2,FALSE)</f>
        <v>Contractors</v>
      </c>
      <c r="T285" s="8" t="str">
        <f>VLOOKUP(ReformFY21[[#This Row],[Reporting Alias]],'Entities FY21'!B:B,1,FALSE)</f>
        <v>Contractor Fuel Ethanol VIC</v>
      </c>
    </row>
    <row r="286" spans="1:20">
      <c r="A286" t="s">
        <v>1068</v>
      </c>
      <c r="B286" t="s">
        <v>787</v>
      </c>
      <c r="C286" t="s">
        <v>686</v>
      </c>
      <c r="D286" s="244">
        <v>4.5983999000000004</v>
      </c>
      <c r="E286">
        <v>157.26527658000003</v>
      </c>
      <c r="F286">
        <v>10662.585752124003</v>
      </c>
      <c r="G286">
        <v>0</v>
      </c>
      <c r="H286">
        <v>566.1549956880001</v>
      </c>
      <c r="I286">
        <v>11228.740747812004</v>
      </c>
      <c r="J286" t="str">
        <f t="shared" ref="J286:J290" si="43">A286</f>
        <v>Grounds maintenance VIVID Petrol QLD</v>
      </c>
      <c r="K286" t="str">
        <f t="shared" ref="K286:K290" si="44">B286</f>
        <v>kL</v>
      </c>
      <c r="L286" t="str">
        <f t="shared" ref="L286:L290" si="45">C286</f>
        <v>BBB</v>
      </c>
      <c r="M286" s="21">
        <f t="shared" ref="M286:M290" si="46">D286</f>
        <v>4.5983999000000004</v>
      </c>
      <c r="N286" s="5">
        <f t="shared" ref="N286:N290" si="47">E286</f>
        <v>157.26527658000003</v>
      </c>
      <c r="O286" s="8">
        <f t="shared" ref="O286:O290" si="48">F286</f>
        <v>10662.585752124003</v>
      </c>
      <c r="P286" s="8">
        <f t="shared" ref="P286:P290" si="49">G286</f>
        <v>0</v>
      </c>
      <c r="Q286" s="8">
        <f t="shared" ref="Q286:Q290" si="50">H286</f>
        <v>566.1549956880001</v>
      </c>
      <c r="R286" s="8">
        <f t="shared" ref="R286:R290" si="51">I286</f>
        <v>11228.740747812004</v>
      </c>
      <c r="S286" s="8" t="str">
        <f>VLOOKUP(J286,'GHG Factors FY21'!A:B,2,FALSE)</f>
        <v>Grounds Maintenance</v>
      </c>
      <c r="T286" s="8" t="str">
        <f>VLOOKUP(ReformFY21[[#This Row],[Reporting Alias]],'Entities FY21'!B:B,1,FALSE)</f>
        <v>Grounds maintenance VIVID Petrol QLD</v>
      </c>
    </row>
    <row r="287" spans="1:20">
      <c r="A287" t="s">
        <v>1069</v>
      </c>
      <c r="B287" t="s">
        <v>787</v>
      </c>
      <c r="C287" t="s">
        <v>686</v>
      </c>
      <c r="D287" s="244">
        <v>0.27839999999999998</v>
      </c>
      <c r="E287">
        <v>9.5212800000000009</v>
      </c>
      <c r="F287">
        <v>645.54278400000021</v>
      </c>
      <c r="G287">
        <v>0</v>
      </c>
      <c r="H287">
        <v>34.276608000000003</v>
      </c>
      <c r="I287">
        <v>679.81939200000022</v>
      </c>
      <c r="J287" t="str">
        <f t="shared" si="43"/>
        <v>Grounds maintenance VIVID Petrol WA</v>
      </c>
      <c r="K287" t="str">
        <f t="shared" si="44"/>
        <v>kL</v>
      </c>
      <c r="L287" t="str">
        <f t="shared" si="45"/>
        <v>BBB</v>
      </c>
      <c r="M287" s="21">
        <f t="shared" si="46"/>
        <v>0.27839999999999998</v>
      </c>
      <c r="N287" s="5">
        <f t="shared" si="47"/>
        <v>9.5212800000000009</v>
      </c>
      <c r="O287" s="8">
        <f t="shared" si="48"/>
        <v>645.54278400000021</v>
      </c>
      <c r="P287" s="8">
        <f t="shared" si="49"/>
        <v>0</v>
      </c>
      <c r="Q287" s="8">
        <f t="shared" si="50"/>
        <v>34.276608000000003</v>
      </c>
      <c r="R287" s="8">
        <f t="shared" si="51"/>
        <v>679.81939200000022</v>
      </c>
      <c r="S287" s="433" t="s">
        <v>571</v>
      </c>
      <c r="T287" s="8" t="str">
        <f>VLOOKUP(ReformFY21[[#This Row],[Reporting Alias]],'Entities FY21'!B:B,1,FALSE)</f>
        <v>Grounds maintenance VIVID Petrol WA</v>
      </c>
    </row>
    <row r="288" spans="1:20">
      <c r="A288" t="s">
        <v>752</v>
      </c>
      <c r="B288" t="s">
        <v>663</v>
      </c>
      <c r="C288" t="s">
        <v>686</v>
      </c>
      <c r="D288" s="244">
        <v>12095703.230562257</v>
      </c>
      <c r="E288">
        <v>43544.531630024125</v>
      </c>
      <c r="F288">
        <v>0</v>
      </c>
      <c r="G288">
        <v>0</v>
      </c>
      <c r="H288">
        <v>6217693.646215409</v>
      </c>
      <c r="I288">
        <v>6217693.646215409</v>
      </c>
      <c r="J288" t="str">
        <f t="shared" si="43"/>
        <v>Cable landing station_elec</v>
      </c>
      <c r="K288" t="str">
        <f t="shared" si="44"/>
        <v>kWh</v>
      </c>
      <c r="L288" t="str">
        <f t="shared" si="45"/>
        <v>BBB</v>
      </c>
      <c r="M288" s="21">
        <f t="shared" si="46"/>
        <v>12095703.230562257</v>
      </c>
      <c r="N288" s="5">
        <f t="shared" si="47"/>
        <v>43544.531630024125</v>
      </c>
      <c r="O288" s="8">
        <f t="shared" si="48"/>
        <v>0</v>
      </c>
      <c r="P288" s="8">
        <f t="shared" si="49"/>
        <v>0</v>
      </c>
      <c r="Q288" s="8">
        <f t="shared" si="50"/>
        <v>6217693.646215409</v>
      </c>
      <c r="R288" s="8">
        <f t="shared" si="51"/>
        <v>6217693.646215409</v>
      </c>
      <c r="S288" s="433" t="s">
        <v>571</v>
      </c>
      <c r="T288" s="8" t="str">
        <f>VLOOKUP(ReformFY21[[#This Row],[Reporting Alias]],'Entities FY21'!B:B,1,FALSE)</f>
        <v>Cable landing station_elec</v>
      </c>
    </row>
    <row r="289" spans="1:20">
      <c r="A289" t="s">
        <v>753</v>
      </c>
      <c r="B289" t="s">
        <v>663</v>
      </c>
      <c r="C289" t="s">
        <v>686</v>
      </c>
      <c r="D289" s="244">
        <v>107088873.38031349</v>
      </c>
      <c r="E289">
        <v>385519.94416912855</v>
      </c>
      <c r="F289">
        <v>0</v>
      </c>
      <c r="G289">
        <v>10856216.780695796</v>
      </c>
      <c r="H289">
        <v>28432025.066822872</v>
      </c>
      <c r="I289">
        <v>39288241.847518668</v>
      </c>
      <c r="J289" t="str">
        <f t="shared" si="43"/>
        <v>Colocation_elec</v>
      </c>
      <c r="K289" t="str">
        <f t="shared" si="44"/>
        <v>kWh</v>
      </c>
      <c r="L289" t="str">
        <f t="shared" si="45"/>
        <v>BBB</v>
      </c>
      <c r="M289" s="21">
        <f t="shared" si="46"/>
        <v>107088873.38031349</v>
      </c>
      <c r="N289" s="5">
        <f t="shared" si="47"/>
        <v>385519.94416912855</v>
      </c>
      <c r="O289" s="8">
        <f t="shared" si="48"/>
        <v>0</v>
      </c>
      <c r="P289" s="8">
        <f t="shared" si="49"/>
        <v>10856216.780695796</v>
      </c>
      <c r="Q289" s="8">
        <f t="shared" si="50"/>
        <v>28432025.066822872</v>
      </c>
      <c r="R289" s="8">
        <f t="shared" si="51"/>
        <v>39288241.847518668</v>
      </c>
      <c r="S289" s="433" t="s">
        <v>571</v>
      </c>
      <c r="T289" s="8" t="str">
        <f>VLOOKUP(ReformFY21[[#This Row],[Reporting Alias]],'Entities FY21'!B:B,1,FALSE)</f>
        <v>Colocation_elec</v>
      </c>
    </row>
    <row r="290" spans="1:20">
      <c r="A290" t="s">
        <v>754</v>
      </c>
      <c r="B290" t="s">
        <v>663</v>
      </c>
      <c r="C290" t="s">
        <v>686</v>
      </c>
      <c r="D290" s="244">
        <v>188090285.22164094</v>
      </c>
      <c r="E290">
        <v>677125.02679790743</v>
      </c>
      <c r="F290">
        <v>0</v>
      </c>
      <c r="G290">
        <v>30348941.615664311</v>
      </c>
      <c r="H290">
        <v>60973664.539981157</v>
      </c>
      <c r="I290">
        <v>91322606.15564546</v>
      </c>
      <c r="J290" t="str">
        <f t="shared" si="43"/>
        <v>Data Centre_elec</v>
      </c>
      <c r="K290" t="str">
        <f t="shared" si="44"/>
        <v>kWh</v>
      </c>
      <c r="L290" t="str">
        <f t="shared" si="45"/>
        <v>BBB</v>
      </c>
      <c r="M290" s="21">
        <f t="shared" si="46"/>
        <v>188090285.22164094</v>
      </c>
      <c r="N290" s="5">
        <f t="shared" si="47"/>
        <v>677125.02679790743</v>
      </c>
      <c r="O290" s="8">
        <f t="shared" si="48"/>
        <v>0</v>
      </c>
      <c r="P290" s="8">
        <f t="shared" si="49"/>
        <v>30348941.615664311</v>
      </c>
      <c r="Q290" s="8">
        <f t="shared" si="50"/>
        <v>60973664.539981157</v>
      </c>
      <c r="R290" s="8">
        <f t="shared" si="51"/>
        <v>91322606.15564546</v>
      </c>
      <c r="S290" s="433" t="s">
        <v>571</v>
      </c>
      <c r="T290" s="8" t="str">
        <f>VLOOKUP(ReformFY21[[#This Row],[Reporting Alias]],'Entities FY21'!B:B,1,FALSE)</f>
        <v>Data Centre_elec</v>
      </c>
    </row>
    <row r="291" spans="1:20">
      <c r="A291" t="s">
        <v>755</v>
      </c>
      <c r="B291" t="s">
        <v>663</v>
      </c>
      <c r="C291" t="s">
        <v>686</v>
      </c>
      <c r="D291" s="244">
        <v>14319615.835764131</v>
      </c>
      <c r="E291">
        <v>51550.617008750865</v>
      </c>
      <c r="F291">
        <v>0</v>
      </c>
      <c r="G291">
        <v>2091946.5045782062</v>
      </c>
      <c r="H291">
        <v>5305166.8602369819</v>
      </c>
      <c r="I291">
        <v>7397113.3648151886</v>
      </c>
      <c r="J291" t="str">
        <f t="shared" ref="J291:J298" si="52">A291</f>
        <v>Office_elec</v>
      </c>
      <c r="K291" t="str">
        <f t="shared" ref="K291:K298" si="53">B291</f>
        <v>kWh</v>
      </c>
      <c r="L291" t="str">
        <f t="shared" ref="L291:L298" si="54">C291</f>
        <v>BBB</v>
      </c>
      <c r="M291" s="21">
        <f t="shared" ref="M291:M298" si="55">D291</f>
        <v>14319615.835764131</v>
      </c>
      <c r="N291" s="5">
        <f t="shared" ref="N291:N298" si="56">E291</f>
        <v>51550.617008750865</v>
      </c>
      <c r="O291" s="8">
        <f t="shared" ref="O291:O298" si="57">F291</f>
        <v>0</v>
      </c>
      <c r="P291" s="8">
        <f t="shared" ref="P291:P298" si="58">G291</f>
        <v>2091946.5045782062</v>
      </c>
      <c r="Q291" s="8">
        <f t="shared" ref="Q291:Q298" si="59">H291</f>
        <v>5305166.8602369819</v>
      </c>
      <c r="R291" s="8">
        <f t="shared" ref="R291:R298" si="60">I291</f>
        <v>7397113.3648151886</v>
      </c>
      <c r="S291" s="433" t="s">
        <v>571</v>
      </c>
      <c r="T291" s="8" t="str">
        <f>VLOOKUP(ReformFY21[[#This Row],[Reporting Alias]],'Entities FY21'!B:B,1,FALSE)</f>
        <v>Office_elec</v>
      </c>
    </row>
    <row r="292" spans="1:20">
      <c r="A292" t="s">
        <v>757</v>
      </c>
      <c r="D292" s="244">
        <v>193283.85133931137</v>
      </c>
      <c r="E292">
        <v>193.28385133931135</v>
      </c>
      <c r="F292">
        <v>0</v>
      </c>
      <c r="G292">
        <v>0</v>
      </c>
      <c r="H292">
        <v>11533.24740941671</v>
      </c>
      <c r="I292">
        <v>11533.24740941671</v>
      </c>
      <c r="J292" t="str">
        <f t="shared" si="52"/>
        <v>Cable landing station_gas</v>
      </c>
      <c r="K292">
        <f t="shared" si="53"/>
        <v>0</v>
      </c>
      <c r="L292">
        <f t="shared" si="54"/>
        <v>0</v>
      </c>
      <c r="M292" s="21">
        <f t="shared" si="55"/>
        <v>193283.85133931137</v>
      </c>
      <c r="N292" s="5">
        <f t="shared" si="56"/>
        <v>193.28385133931135</v>
      </c>
      <c r="O292" s="8">
        <f t="shared" si="57"/>
        <v>0</v>
      </c>
      <c r="P292" s="8">
        <f t="shared" si="58"/>
        <v>0</v>
      </c>
      <c r="Q292" s="8">
        <f t="shared" si="59"/>
        <v>11533.24740941671</v>
      </c>
      <c r="R292" s="8">
        <f t="shared" si="60"/>
        <v>11533.24740941671</v>
      </c>
      <c r="S292" s="433" t="s">
        <v>571</v>
      </c>
      <c r="T292" s="8" t="str">
        <f>VLOOKUP(ReformFY21[[#This Row],[Reporting Alias]],'Entities FY21'!B:B,1,FALSE)</f>
        <v>Cable landing station_gas</v>
      </c>
    </row>
    <row r="293" spans="1:20">
      <c r="A293" t="s">
        <v>758</v>
      </c>
      <c r="B293" t="s">
        <v>670</v>
      </c>
      <c r="C293" t="s">
        <v>686</v>
      </c>
      <c r="D293" s="244">
        <v>1711231.6239898934</v>
      </c>
      <c r="E293">
        <v>1711.2316239898933</v>
      </c>
      <c r="F293">
        <v>24725.735403464623</v>
      </c>
      <c r="G293">
        <v>0</v>
      </c>
      <c r="H293">
        <v>77052.900060337372</v>
      </c>
      <c r="I293">
        <v>101778.635463802</v>
      </c>
      <c r="J293" t="str">
        <f t="shared" si="52"/>
        <v>Colocation_gas</v>
      </c>
      <c r="K293" t="str">
        <f t="shared" si="53"/>
        <v>MJ</v>
      </c>
      <c r="L293" t="str">
        <f t="shared" si="54"/>
        <v>BBB</v>
      </c>
      <c r="M293" s="21">
        <f t="shared" si="55"/>
        <v>1711231.6239898934</v>
      </c>
      <c r="N293" s="5">
        <f t="shared" si="56"/>
        <v>1711.2316239898933</v>
      </c>
      <c r="O293" s="8">
        <f t="shared" si="57"/>
        <v>24725.735403464623</v>
      </c>
      <c r="P293" s="8">
        <f t="shared" si="58"/>
        <v>0</v>
      </c>
      <c r="Q293" s="8">
        <f t="shared" si="59"/>
        <v>77052.900060337372</v>
      </c>
      <c r="R293" s="8">
        <f t="shared" si="60"/>
        <v>101778.635463802</v>
      </c>
      <c r="S293" s="433" t="s">
        <v>571</v>
      </c>
      <c r="T293" s="8" t="str">
        <f>VLOOKUP(ReformFY21[[#This Row],[Reporting Alias]],'Entities FY21'!B:B,1,FALSE)</f>
        <v>Colocation_gas</v>
      </c>
    </row>
    <row r="294" spans="1:20">
      <c r="A294" t="s">
        <v>759</v>
      </c>
      <c r="B294" t="s">
        <v>670</v>
      </c>
      <c r="C294" t="s">
        <v>686</v>
      </c>
      <c r="D294" s="244">
        <v>3005597.4451564336</v>
      </c>
      <c r="E294">
        <v>3005.5974451564334</v>
      </c>
      <c r="F294">
        <v>55408.344823809821</v>
      </c>
      <c r="G294">
        <v>0</v>
      </c>
      <c r="H294">
        <v>111007.09901618111</v>
      </c>
      <c r="I294">
        <v>166415.44383999094</v>
      </c>
      <c r="J294" t="str">
        <f t="shared" si="52"/>
        <v>Data Centre_gas</v>
      </c>
      <c r="K294" t="str">
        <f t="shared" si="53"/>
        <v>MJ</v>
      </c>
      <c r="L294" t="str">
        <f t="shared" si="54"/>
        <v>BBB</v>
      </c>
      <c r="M294" s="21">
        <f t="shared" si="55"/>
        <v>3005597.4451564336</v>
      </c>
      <c r="N294" s="5">
        <f t="shared" si="56"/>
        <v>3005.5974451564334</v>
      </c>
      <c r="O294" s="8">
        <f t="shared" si="57"/>
        <v>55408.344823809821</v>
      </c>
      <c r="P294" s="8">
        <f t="shared" si="58"/>
        <v>0</v>
      </c>
      <c r="Q294" s="8">
        <f t="shared" si="59"/>
        <v>111007.09901618111</v>
      </c>
      <c r="R294" s="8">
        <f t="shared" si="60"/>
        <v>166415.44383999094</v>
      </c>
      <c r="S294" s="433" t="s">
        <v>571</v>
      </c>
      <c r="T294" s="8" t="str">
        <f>VLOOKUP(ReformFY21[[#This Row],[Reporting Alias]],'Entities FY21'!B:B,1,FALSE)</f>
        <v>Data Centre_gas</v>
      </c>
    </row>
    <row r="295" spans="1:20">
      <c r="A295" t="s">
        <v>760</v>
      </c>
      <c r="B295" t="s">
        <v>670</v>
      </c>
      <c r="C295" t="s">
        <v>686</v>
      </c>
      <c r="D295" s="244">
        <v>228820.96606360161</v>
      </c>
      <c r="E295">
        <v>228.82096606360162</v>
      </c>
      <c r="F295">
        <v>3247.6793076868335</v>
      </c>
      <c r="G295">
        <v>0</v>
      </c>
      <c r="H295">
        <v>10260.628703363041</v>
      </c>
      <c r="I295">
        <v>13508.308011049874</v>
      </c>
      <c r="J295" t="str">
        <f t="shared" si="52"/>
        <v>Office_gas</v>
      </c>
      <c r="K295" t="str">
        <f t="shared" si="53"/>
        <v>MJ</v>
      </c>
      <c r="L295" t="str">
        <f t="shared" si="54"/>
        <v>BBB</v>
      </c>
      <c r="M295" s="21">
        <f t="shared" si="55"/>
        <v>228820.96606360161</v>
      </c>
      <c r="N295" s="5">
        <f t="shared" si="56"/>
        <v>228.82096606360162</v>
      </c>
      <c r="O295" s="8">
        <f t="shared" si="57"/>
        <v>3247.6793076868335</v>
      </c>
      <c r="P295" s="8">
        <f t="shared" si="58"/>
        <v>0</v>
      </c>
      <c r="Q295" s="8">
        <f t="shared" si="59"/>
        <v>10260.628703363041</v>
      </c>
      <c r="R295" s="8">
        <f t="shared" si="60"/>
        <v>13508.308011049874</v>
      </c>
      <c r="S295" s="433" t="s">
        <v>571</v>
      </c>
      <c r="T295" s="8" t="str">
        <f>VLOOKUP(ReformFY21[[#This Row],[Reporting Alias]],'Entities FY21'!B:B,1,FALSE)</f>
        <v>Office_gas</v>
      </c>
    </row>
    <row r="296" spans="1:20">
      <c r="A296" t="s">
        <v>762</v>
      </c>
      <c r="B296" t="s">
        <v>673</v>
      </c>
      <c r="C296" t="s">
        <v>686</v>
      </c>
      <c r="D296" s="244">
        <v>15563.443617427743</v>
      </c>
      <c r="E296">
        <v>600.7489236327109</v>
      </c>
      <c r="F296">
        <v>0</v>
      </c>
      <c r="G296">
        <v>0</v>
      </c>
      <c r="H296">
        <v>44335.270564094069</v>
      </c>
      <c r="I296">
        <v>44335.270564094069</v>
      </c>
      <c r="J296" t="str">
        <f t="shared" si="52"/>
        <v>Cable landing station_diesel</v>
      </c>
      <c r="K296" t="str">
        <f t="shared" si="53"/>
        <v>L</v>
      </c>
      <c r="L296" t="str">
        <f t="shared" si="54"/>
        <v>BBB</v>
      </c>
      <c r="M296" s="21">
        <f t="shared" si="55"/>
        <v>15563.443617427743</v>
      </c>
      <c r="N296" s="5">
        <f t="shared" si="56"/>
        <v>600.7489236327109</v>
      </c>
      <c r="O296" s="8">
        <f t="shared" si="57"/>
        <v>0</v>
      </c>
      <c r="P296" s="8">
        <f t="shared" si="58"/>
        <v>0</v>
      </c>
      <c r="Q296" s="8">
        <f t="shared" si="59"/>
        <v>44335.270564094069</v>
      </c>
      <c r="R296" s="8">
        <f t="shared" si="60"/>
        <v>44335.270564094069</v>
      </c>
      <c r="S296" s="433" t="s">
        <v>571</v>
      </c>
      <c r="T296" s="8" t="str">
        <f>VLOOKUP(ReformFY21[[#This Row],[Reporting Alias]],'Entities FY21'!B:B,1,FALSE)</f>
        <v>Cable landing station_diesel</v>
      </c>
    </row>
    <row r="297" spans="1:20">
      <c r="A297" t="s">
        <v>763</v>
      </c>
      <c r="B297" t="s">
        <v>673</v>
      </c>
      <c r="C297" t="s">
        <v>686</v>
      </c>
      <c r="D297" s="244">
        <v>137790.38813528279</v>
      </c>
      <c r="E297">
        <v>5318.7089820219162</v>
      </c>
      <c r="F297">
        <v>104694.43988037863</v>
      </c>
      <c r="G297">
        <v>0</v>
      </c>
      <c r="H297">
        <v>286555.58543752739</v>
      </c>
      <c r="I297">
        <v>391250.02531790605</v>
      </c>
      <c r="J297" t="str">
        <f t="shared" si="52"/>
        <v>Colocation_diesel</v>
      </c>
      <c r="K297" t="str">
        <f t="shared" si="53"/>
        <v>L</v>
      </c>
      <c r="L297" t="str">
        <f t="shared" si="54"/>
        <v>BBB</v>
      </c>
      <c r="M297" s="21">
        <f t="shared" si="55"/>
        <v>137790.38813528279</v>
      </c>
      <c r="N297" s="5">
        <f t="shared" si="56"/>
        <v>5318.7089820219162</v>
      </c>
      <c r="O297" s="8">
        <f t="shared" si="57"/>
        <v>104694.43988037863</v>
      </c>
      <c r="P297" s="8">
        <f t="shared" si="58"/>
        <v>0</v>
      </c>
      <c r="Q297" s="8">
        <f t="shared" si="59"/>
        <v>286555.58543752739</v>
      </c>
      <c r="R297" s="8">
        <f t="shared" si="60"/>
        <v>391250.02531790605</v>
      </c>
      <c r="S297" s="433" t="s">
        <v>571</v>
      </c>
      <c r="T297" s="8" t="str">
        <f>VLOOKUP(ReformFY21[[#This Row],[Reporting Alias]],'Entities FY21'!B:B,1,FALSE)</f>
        <v>Colocation_diesel</v>
      </c>
    </row>
    <row r="298" spans="1:20">
      <c r="A298" t="s">
        <v>764</v>
      </c>
      <c r="B298" t="s">
        <v>673</v>
      </c>
      <c r="C298" t="s">
        <v>686</v>
      </c>
      <c r="D298" s="244">
        <v>185016.680778571</v>
      </c>
      <c r="E298">
        <v>7141.6438780528406</v>
      </c>
      <c r="F298">
        <v>234611.65184250913</v>
      </c>
      <c r="G298">
        <v>0</v>
      </c>
      <c r="H298">
        <v>242742.65313378212</v>
      </c>
      <c r="I298">
        <v>477354.30497629126</v>
      </c>
      <c r="J298" t="str">
        <f t="shared" si="52"/>
        <v>Data Centre_diesel</v>
      </c>
      <c r="K298" t="str">
        <f t="shared" si="53"/>
        <v>L</v>
      </c>
      <c r="L298" t="str">
        <f t="shared" si="54"/>
        <v>BBB</v>
      </c>
      <c r="M298" s="21">
        <f t="shared" si="55"/>
        <v>185016.680778571</v>
      </c>
      <c r="N298" s="5">
        <f t="shared" si="56"/>
        <v>7141.6438780528406</v>
      </c>
      <c r="O298" s="8">
        <f t="shared" si="57"/>
        <v>234611.65184250913</v>
      </c>
      <c r="P298" s="8">
        <f t="shared" si="58"/>
        <v>0</v>
      </c>
      <c r="Q298" s="8">
        <f t="shared" si="59"/>
        <v>242742.65313378212</v>
      </c>
      <c r="R298" s="8">
        <f t="shared" si="60"/>
        <v>477354.30497629126</v>
      </c>
      <c r="S298" s="433" t="s">
        <v>571</v>
      </c>
      <c r="T298" s="8" t="str">
        <f>VLOOKUP(ReformFY21[[#This Row],[Reporting Alias]],'Entities FY21'!B:B,1,FALSE)</f>
        <v>Data Centre_diesel</v>
      </c>
    </row>
    <row r="299" spans="1:20">
      <c r="A299" t="s">
        <v>765</v>
      </c>
      <c r="B299" t="s">
        <v>673</v>
      </c>
      <c r="C299" t="s">
        <v>686</v>
      </c>
      <c r="D299" s="244">
        <v>53393.888473823616</v>
      </c>
      <c r="E299">
        <v>2061.0040950895918</v>
      </c>
      <c r="F299">
        <v>13751.419744697478</v>
      </c>
      <c r="G299">
        <v>0</v>
      </c>
      <c r="H299">
        <v>137791.59632028712</v>
      </c>
      <c r="I299">
        <v>151543.01606498461</v>
      </c>
      <c r="J299" t="str">
        <f t="shared" ref="J299:J306" si="61">A299</f>
        <v>Office_diesel</v>
      </c>
      <c r="K299" t="str">
        <f t="shared" ref="K299:K306" si="62">B299</f>
        <v>L</v>
      </c>
      <c r="L299" t="str">
        <f t="shared" ref="L299:L306" si="63">C299</f>
        <v>BBB</v>
      </c>
      <c r="M299" s="21">
        <f t="shared" ref="M299:M306" si="64">D299</f>
        <v>53393.888473823616</v>
      </c>
      <c r="N299" s="5">
        <f t="shared" ref="N299:N306" si="65">E299</f>
        <v>2061.0040950895918</v>
      </c>
      <c r="O299" s="8">
        <f t="shared" ref="O299:O306" si="66">F299</f>
        <v>13751.419744697478</v>
      </c>
      <c r="P299" s="8">
        <f t="shared" ref="P299:P306" si="67">G299</f>
        <v>0</v>
      </c>
      <c r="Q299" s="8">
        <f t="shared" ref="Q299:Q306" si="68">H299</f>
        <v>137791.59632028712</v>
      </c>
      <c r="R299" s="8">
        <f t="shared" ref="R299:R306" si="69">I299</f>
        <v>151543.01606498461</v>
      </c>
      <c r="S299" s="8" t="e">
        <f>VLOOKUP(J299,'GHG Factors FY21'!A:B,2,FALSE)</f>
        <v>#N/A</v>
      </c>
      <c r="T299" s="8" t="str">
        <f>VLOOKUP(ReformFY21[[#This Row],[Reporting Alias]],'Entities FY21'!B:B,1,FALSE)</f>
        <v>Office_diesel</v>
      </c>
    </row>
    <row r="300" spans="1:20">
      <c r="A300" t="s">
        <v>767</v>
      </c>
      <c r="B300" t="s">
        <v>663</v>
      </c>
      <c r="C300" t="s">
        <v>104</v>
      </c>
      <c r="D300" s="244">
        <v>0</v>
      </c>
      <c r="E300">
        <v>0</v>
      </c>
      <c r="F300">
        <v>0</v>
      </c>
      <c r="G300">
        <v>0</v>
      </c>
      <c r="H300">
        <v>0</v>
      </c>
      <c r="I300">
        <v>0</v>
      </c>
      <c r="J300" t="str">
        <f t="shared" si="61"/>
        <v>JC Decaux Removals ACT</v>
      </c>
      <c r="K300" t="str">
        <f t="shared" si="62"/>
        <v>kWh</v>
      </c>
      <c r="L300" t="str">
        <f t="shared" si="63"/>
        <v>N/A</v>
      </c>
      <c r="M300" s="21">
        <f t="shared" si="64"/>
        <v>0</v>
      </c>
      <c r="N300" s="5">
        <f t="shared" si="65"/>
        <v>0</v>
      </c>
      <c r="O300" s="8">
        <f t="shared" si="66"/>
        <v>0</v>
      </c>
      <c r="P300" s="8">
        <f t="shared" si="67"/>
        <v>0</v>
      </c>
      <c r="Q300" s="8">
        <f t="shared" si="68"/>
        <v>0</v>
      </c>
      <c r="R300" s="8">
        <f t="shared" si="69"/>
        <v>0</v>
      </c>
      <c r="S300" s="8" t="str">
        <f>VLOOKUP(J300,'GHG Factors FY21'!A:B,2,FALSE)</f>
        <v>Electricity</v>
      </c>
      <c r="T300" s="8" t="str">
        <f>VLOOKUP(ReformFY21[[#This Row],[Reporting Alias]],'Entities FY21'!B:B,1,FALSE)</f>
        <v>JC Decaux Removals ACT</v>
      </c>
    </row>
    <row r="301" spans="1:20">
      <c r="A301" t="s">
        <v>768</v>
      </c>
      <c r="B301" t="s">
        <v>663</v>
      </c>
      <c r="C301" t="s">
        <v>104</v>
      </c>
      <c r="D301" s="244">
        <v>-559140.76099999924</v>
      </c>
      <c r="E301">
        <v>-2012.9067395999973</v>
      </c>
      <c r="F301">
        <v>0</v>
      </c>
      <c r="G301">
        <v>-452904.0164099994</v>
      </c>
      <c r="H301">
        <v>0</v>
      </c>
      <c r="I301">
        <v>-452904.0164099994</v>
      </c>
      <c r="J301" t="str">
        <f t="shared" si="61"/>
        <v>JC Decaux Removals NSW</v>
      </c>
      <c r="K301" t="str">
        <f t="shared" si="62"/>
        <v>kWh</v>
      </c>
      <c r="L301" t="str">
        <f t="shared" si="63"/>
        <v>N/A</v>
      </c>
      <c r="M301" s="21">
        <f t="shared" si="64"/>
        <v>-559140.76099999924</v>
      </c>
      <c r="N301" s="5">
        <f t="shared" si="65"/>
        <v>-2012.9067395999973</v>
      </c>
      <c r="O301" s="8">
        <f t="shared" si="66"/>
        <v>0</v>
      </c>
      <c r="P301" s="8">
        <f t="shared" si="67"/>
        <v>-452904.0164099994</v>
      </c>
      <c r="Q301" s="8">
        <f t="shared" si="68"/>
        <v>0</v>
      </c>
      <c r="R301" s="8">
        <f t="shared" si="69"/>
        <v>-452904.0164099994</v>
      </c>
      <c r="S301" s="8" t="str">
        <f>VLOOKUP(J301,'GHG Factors FY21'!A:B,2,FALSE)</f>
        <v>Electricity</v>
      </c>
      <c r="T301" s="8" t="str">
        <f>VLOOKUP(ReformFY21[[#This Row],[Reporting Alias]],'Entities FY21'!B:B,1,FALSE)</f>
        <v>JC Decaux Removals NSW</v>
      </c>
    </row>
    <row r="302" spans="1:20">
      <c r="A302" t="s">
        <v>769</v>
      </c>
      <c r="B302" t="s">
        <v>663</v>
      </c>
      <c r="C302" t="s">
        <v>104</v>
      </c>
      <c r="D302" s="244">
        <v>0</v>
      </c>
      <c r="E302">
        <v>0</v>
      </c>
      <c r="F302">
        <v>0</v>
      </c>
      <c r="G302">
        <v>0</v>
      </c>
      <c r="H302">
        <v>0</v>
      </c>
      <c r="I302">
        <v>0</v>
      </c>
      <c r="J302" t="str">
        <f t="shared" si="61"/>
        <v>JC Decaux Removals NT</v>
      </c>
      <c r="K302" t="str">
        <f t="shared" si="62"/>
        <v>kWh</v>
      </c>
      <c r="L302" t="str">
        <f t="shared" si="63"/>
        <v>N/A</v>
      </c>
      <c r="M302" s="21">
        <f t="shared" si="64"/>
        <v>0</v>
      </c>
      <c r="N302" s="5">
        <f t="shared" si="65"/>
        <v>0</v>
      </c>
      <c r="O302" s="8">
        <f t="shared" si="66"/>
        <v>0</v>
      </c>
      <c r="P302" s="8">
        <f t="shared" si="67"/>
        <v>0</v>
      </c>
      <c r="Q302" s="8">
        <f t="shared" si="68"/>
        <v>0</v>
      </c>
      <c r="R302" s="8">
        <f t="shared" si="69"/>
        <v>0</v>
      </c>
      <c r="S302" s="8" t="str">
        <f>VLOOKUP(J302,'GHG Factors FY21'!A:B,2,FALSE)</f>
        <v>Electricity</v>
      </c>
      <c r="T302" s="8" t="str">
        <f>VLOOKUP(ReformFY21[[#This Row],[Reporting Alias]],'Entities FY21'!B:B,1,FALSE)</f>
        <v>JC Decaux Removals NT</v>
      </c>
    </row>
    <row r="303" spans="1:20">
      <c r="A303" t="s">
        <v>770</v>
      </c>
      <c r="B303" t="s">
        <v>663</v>
      </c>
      <c r="C303" t="s">
        <v>104</v>
      </c>
      <c r="D303" s="244">
        <v>-816554.24599999993</v>
      </c>
      <c r="E303">
        <v>-2939.5952855999994</v>
      </c>
      <c r="F303">
        <v>0</v>
      </c>
      <c r="G303">
        <v>-661408.93926000001</v>
      </c>
      <c r="H303">
        <v>0</v>
      </c>
      <c r="I303">
        <v>-661408.93926000001</v>
      </c>
      <c r="J303" t="str">
        <f t="shared" si="61"/>
        <v>JC Decaux Removals QLD</v>
      </c>
      <c r="K303" t="str">
        <f t="shared" si="62"/>
        <v>kWh</v>
      </c>
      <c r="L303" t="str">
        <f t="shared" si="63"/>
        <v>N/A</v>
      </c>
      <c r="M303" s="21">
        <f t="shared" si="64"/>
        <v>-816554.24599999993</v>
      </c>
      <c r="N303" s="5">
        <f t="shared" si="65"/>
        <v>-2939.5952855999994</v>
      </c>
      <c r="O303" s="8">
        <f t="shared" si="66"/>
        <v>0</v>
      </c>
      <c r="P303" s="8">
        <f t="shared" si="67"/>
        <v>-661408.93926000001</v>
      </c>
      <c r="Q303" s="8">
        <f t="shared" si="68"/>
        <v>0</v>
      </c>
      <c r="R303" s="8">
        <f t="shared" si="69"/>
        <v>-661408.93926000001</v>
      </c>
      <c r="S303" s="8" t="str">
        <f>VLOOKUP(J303,'GHG Factors FY21'!A:B,2,FALSE)</f>
        <v>Electricity</v>
      </c>
      <c r="T303" s="8" t="str">
        <f>VLOOKUP(ReformFY21[[#This Row],[Reporting Alias]],'Entities FY21'!B:B,1,FALSE)</f>
        <v>JC Decaux Removals QLD</v>
      </c>
    </row>
    <row r="304" spans="1:20">
      <c r="A304" t="s">
        <v>771</v>
      </c>
      <c r="B304" t="s">
        <v>663</v>
      </c>
      <c r="C304" t="s">
        <v>104</v>
      </c>
      <c r="D304" s="244">
        <v>-78722.48090310808</v>
      </c>
      <c r="E304">
        <v>-283.40093125118909</v>
      </c>
      <c r="F304">
        <v>0</v>
      </c>
      <c r="G304">
        <v>-33850.666788336472</v>
      </c>
      <c r="H304">
        <v>0</v>
      </c>
      <c r="I304">
        <v>-33850.666788336472</v>
      </c>
      <c r="J304" t="str">
        <f t="shared" si="61"/>
        <v>JC Decaux Removals SA</v>
      </c>
      <c r="K304" t="str">
        <f t="shared" si="62"/>
        <v>kWh</v>
      </c>
      <c r="L304" t="str">
        <f t="shared" si="63"/>
        <v>N/A</v>
      </c>
      <c r="M304" s="21">
        <f t="shared" si="64"/>
        <v>-78722.48090310808</v>
      </c>
      <c r="N304" s="5">
        <f t="shared" si="65"/>
        <v>-283.40093125118909</v>
      </c>
      <c r="O304" s="8">
        <f t="shared" si="66"/>
        <v>0</v>
      </c>
      <c r="P304" s="8">
        <f t="shared" si="67"/>
        <v>-33850.666788336472</v>
      </c>
      <c r="Q304" s="8">
        <f t="shared" si="68"/>
        <v>0</v>
      </c>
      <c r="R304" s="8">
        <f t="shared" si="69"/>
        <v>-33850.666788336472</v>
      </c>
      <c r="S304" s="8" t="str">
        <f>VLOOKUP(J304,'GHG Factors FY21'!A:B,2,FALSE)</f>
        <v>Electricity</v>
      </c>
      <c r="T304" s="8" t="str">
        <f>VLOOKUP(ReformFY21[[#This Row],[Reporting Alias]],'Entities FY21'!B:B,1,FALSE)</f>
        <v>JC Decaux Removals SA</v>
      </c>
    </row>
    <row r="305" spans="1:20">
      <c r="A305" t="s">
        <v>772</v>
      </c>
      <c r="B305" t="s">
        <v>663</v>
      </c>
      <c r="C305" t="s">
        <v>104</v>
      </c>
      <c r="D305" s="244">
        <v>0</v>
      </c>
      <c r="E305">
        <v>0</v>
      </c>
      <c r="F305">
        <v>0</v>
      </c>
      <c r="G305">
        <v>0</v>
      </c>
      <c r="H305">
        <v>0</v>
      </c>
      <c r="I305">
        <v>0</v>
      </c>
      <c r="J305" t="str">
        <f t="shared" si="61"/>
        <v>JC Decaux Removals TAS</v>
      </c>
      <c r="K305" t="str">
        <f t="shared" si="62"/>
        <v>kWh</v>
      </c>
      <c r="L305" t="str">
        <f t="shared" si="63"/>
        <v>N/A</v>
      </c>
      <c r="M305" s="21">
        <f t="shared" si="64"/>
        <v>0</v>
      </c>
      <c r="N305" s="5">
        <f t="shared" si="65"/>
        <v>0</v>
      </c>
      <c r="O305" s="8">
        <f t="shared" si="66"/>
        <v>0</v>
      </c>
      <c r="P305" s="8">
        <f t="shared" si="67"/>
        <v>0</v>
      </c>
      <c r="Q305" s="8">
        <f t="shared" si="68"/>
        <v>0</v>
      </c>
      <c r="R305" s="8">
        <f t="shared" si="69"/>
        <v>0</v>
      </c>
      <c r="S305" s="8" t="str">
        <f>VLOOKUP(J305,'GHG Factors FY21'!A:B,2,FALSE)</f>
        <v>Electricity</v>
      </c>
      <c r="T305" s="8" t="str">
        <f>VLOOKUP(ReformFY21[[#This Row],[Reporting Alias]],'Entities FY21'!B:B,1,FALSE)</f>
        <v>JC Decaux Removals TAS</v>
      </c>
    </row>
    <row r="306" spans="1:20">
      <c r="A306" t="s">
        <v>773</v>
      </c>
      <c r="B306" t="s">
        <v>663</v>
      </c>
      <c r="C306" t="s">
        <v>104</v>
      </c>
      <c r="D306" s="244">
        <v>-115694.90591107099</v>
      </c>
      <c r="E306">
        <v>-416.50166127985557</v>
      </c>
      <c r="F306">
        <v>0</v>
      </c>
      <c r="G306">
        <v>-113381.00779284957</v>
      </c>
      <c r="H306">
        <v>0</v>
      </c>
      <c r="I306">
        <v>-113381.00779284957</v>
      </c>
      <c r="J306" t="str">
        <f t="shared" si="61"/>
        <v>JC Decaux Removals VIC</v>
      </c>
      <c r="K306" t="str">
        <f t="shared" si="62"/>
        <v>kWh</v>
      </c>
      <c r="L306" t="str">
        <f t="shared" si="63"/>
        <v>N/A</v>
      </c>
      <c r="M306" s="21">
        <f t="shared" si="64"/>
        <v>-115694.90591107099</v>
      </c>
      <c r="N306" s="5">
        <f t="shared" si="65"/>
        <v>-416.50166127985557</v>
      </c>
      <c r="O306" s="8">
        <f t="shared" si="66"/>
        <v>0</v>
      </c>
      <c r="P306" s="8">
        <f t="shared" si="67"/>
        <v>-113381.00779284957</v>
      </c>
      <c r="Q306" s="8">
        <f t="shared" si="68"/>
        <v>0</v>
      </c>
      <c r="R306" s="8">
        <f t="shared" si="69"/>
        <v>-113381.00779284957</v>
      </c>
      <c r="S306" s="8" t="str">
        <f>VLOOKUP(J306,'GHG Factors FY21'!A:B,2,FALSE)</f>
        <v>Electricity</v>
      </c>
      <c r="T306" s="8" t="str">
        <f>VLOOKUP(ReformFY21[[#This Row],[Reporting Alias]],'Entities FY21'!B:B,1,FALSE)</f>
        <v>JC Decaux Removals VIC</v>
      </c>
    </row>
    <row r="307" spans="1:20">
      <c r="A307" t="s">
        <v>774</v>
      </c>
      <c r="B307" t="s">
        <v>663</v>
      </c>
      <c r="C307" t="s">
        <v>104</v>
      </c>
      <c r="D307" s="244">
        <v>0</v>
      </c>
      <c r="E307">
        <v>0</v>
      </c>
      <c r="F307">
        <v>0</v>
      </c>
      <c r="G307">
        <v>0</v>
      </c>
      <c r="H307">
        <v>0</v>
      </c>
      <c r="I307">
        <v>0</v>
      </c>
      <c r="J307" t="str">
        <f t="shared" ref="J307:J311" si="70">A307</f>
        <v>JC Decaux Removals WA</v>
      </c>
      <c r="K307" t="str">
        <f t="shared" ref="K307:K311" si="71">B307</f>
        <v>kWh</v>
      </c>
      <c r="L307" t="str">
        <f t="shared" ref="L307:L311" si="72">C307</f>
        <v>N/A</v>
      </c>
      <c r="M307" s="21">
        <f t="shared" ref="M307:M311" si="73">D307</f>
        <v>0</v>
      </c>
      <c r="N307" s="5">
        <f t="shared" ref="N307:N311" si="74">E307</f>
        <v>0</v>
      </c>
      <c r="O307" s="8">
        <f t="shared" ref="O307:O311" si="75">F307</f>
        <v>0</v>
      </c>
      <c r="P307" s="8">
        <f t="shared" ref="P307:P311" si="76">G307</f>
        <v>0</v>
      </c>
      <c r="Q307" s="8">
        <f t="shared" ref="Q307:Q311" si="77">H307</f>
        <v>0</v>
      </c>
      <c r="R307" s="8">
        <f t="shared" ref="R307:R311" si="78">I307</f>
        <v>0</v>
      </c>
      <c r="S307" s="8" t="str">
        <f>VLOOKUP(J307,'GHG Factors FY21'!A:B,2,FALSE)</f>
        <v>Electricity</v>
      </c>
      <c r="T307" s="8" t="str">
        <f>VLOOKUP(ReformFY21[[#This Row],[Reporting Alias]],'Entities FY21'!B:B,1,FALSE)</f>
        <v>JC Decaux Removals WA</v>
      </c>
    </row>
    <row r="308" spans="1:20">
      <c r="A308" t="s">
        <v>1070</v>
      </c>
      <c r="B308" t="s">
        <v>663</v>
      </c>
      <c r="C308" t="s">
        <v>104</v>
      </c>
      <c r="D308" s="244">
        <v>17903439.147560626</v>
      </c>
      <c r="E308">
        <v>64452.380931218249</v>
      </c>
      <c r="F308">
        <v>0</v>
      </c>
      <c r="G308">
        <v>11100132.271487588</v>
      </c>
      <c r="H308">
        <v>1253240.7403292439</v>
      </c>
      <c r="I308">
        <v>12353373.011816831</v>
      </c>
      <c r="J308" t="str">
        <f t="shared" si="70"/>
        <v>TNA NT</v>
      </c>
      <c r="K308" t="str">
        <f t="shared" si="71"/>
        <v>kWh</v>
      </c>
      <c r="L308" t="str">
        <f t="shared" si="72"/>
        <v>N/A</v>
      </c>
      <c r="M308" s="21">
        <f t="shared" si="73"/>
        <v>17903439.147560626</v>
      </c>
      <c r="N308" s="5">
        <f t="shared" si="74"/>
        <v>64452.380931218249</v>
      </c>
      <c r="O308" s="8">
        <f t="shared" si="75"/>
        <v>0</v>
      </c>
      <c r="P308" s="8">
        <f t="shared" si="76"/>
        <v>11100132.271487588</v>
      </c>
      <c r="Q308" s="8">
        <f t="shared" si="77"/>
        <v>1253240.7403292439</v>
      </c>
      <c r="R308" s="8">
        <f t="shared" si="78"/>
        <v>12353373.011816831</v>
      </c>
      <c r="S308" s="8" t="str">
        <f>VLOOKUP(J308,'GHG Factors FY21'!A:B,2,FALSE)</f>
        <v>Electricity</v>
      </c>
      <c r="T308" s="8" t="str">
        <f>VLOOKUP(ReformFY21[[#This Row],[Reporting Alias]],'Entities FY21'!B:B,1,FALSE)</f>
        <v>TNA NT</v>
      </c>
    </row>
    <row r="309" spans="1:20">
      <c r="A309" t="s">
        <v>756</v>
      </c>
      <c r="B309" t="s">
        <v>663</v>
      </c>
      <c r="C309" t="s">
        <v>686</v>
      </c>
      <c r="D309" s="244">
        <v>21938690</v>
      </c>
      <c r="E309">
        <v>78979.284</v>
      </c>
      <c r="F309">
        <v>1</v>
      </c>
      <c r="G309">
        <v>8961954.8650000002</v>
      </c>
      <c r="H309">
        <v>181852.5470783714</v>
      </c>
      <c r="I309">
        <v>9143808.4120783713</v>
      </c>
      <c r="J309" t="str">
        <f t="shared" si="70"/>
        <v>Warehouse_elec</v>
      </c>
      <c r="K309" t="str">
        <f t="shared" si="71"/>
        <v>kWh</v>
      </c>
      <c r="L309" t="str">
        <f t="shared" si="72"/>
        <v>BBB</v>
      </c>
      <c r="M309" s="21">
        <f t="shared" si="73"/>
        <v>21938690</v>
      </c>
      <c r="N309" s="5">
        <f t="shared" si="74"/>
        <v>78979.284</v>
      </c>
      <c r="O309" s="8">
        <f t="shared" si="75"/>
        <v>1</v>
      </c>
      <c r="P309" s="8">
        <f t="shared" si="76"/>
        <v>8961954.8650000002</v>
      </c>
      <c r="Q309" s="8">
        <f t="shared" si="77"/>
        <v>181852.5470783714</v>
      </c>
      <c r="R309" s="8">
        <f t="shared" si="78"/>
        <v>9143808.4120783713</v>
      </c>
      <c r="S309" s="433" t="s">
        <v>571</v>
      </c>
      <c r="T309" s="8" t="str">
        <f>VLOOKUP(ReformFY21[[#This Row],[Reporting Alias]],'Entities FY21'!B:B,1,FALSE)</f>
        <v>Warehouse_elec</v>
      </c>
    </row>
    <row r="310" spans="1:20">
      <c r="A310" t="s">
        <v>761</v>
      </c>
      <c r="B310" t="s">
        <v>670</v>
      </c>
      <c r="C310" t="s">
        <v>686</v>
      </c>
      <c r="D310" s="244">
        <v>350570.31540134159</v>
      </c>
      <c r="E310">
        <v>350.57031540134159</v>
      </c>
      <c r="F310">
        <v>18064.888352631133</v>
      </c>
      <c r="G310">
        <v>1</v>
      </c>
      <c r="H310">
        <v>2853.642367366921</v>
      </c>
      <c r="I310">
        <v>20919.530719998053</v>
      </c>
      <c r="J310" t="str">
        <f t="shared" si="70"/>
        <v>Warehouse_gas</v>
      </c>
      <c r="K310" t="str">
        <f t="shared" si="71"/>
        <v>MJ</v>
      </c>
      <c r="L310" t="str">
        <f t="shared" si="72"/>
        <v>BBB</v>
      </c>
      <c r="M310" s="21">
        <f t="shared" si="73"/>
        <v>350570.31540134159</v>
      </c>
      <c r="N310" s="5">
        <f t="shared" si="74"/>
        <v>350.57031540134159</v>
      </c>
      <c r="O310" s="8">
        <f t="shared" si="75"/>
        <v>18064.888352631133</v>
      </c>
      <c r="P310" s="8">
        <f t="shared" si="76"/>
        <v>1</v>
      </c>
      <c r="Q310" s="8">
        <f t="shared" si="77"/>
        <v>2853.642367366921</v>
      </c>
      <c r="R310" s="8">
        <f t="shared" si="78"/>
        <v>20919.530719998053</v>
      </c>
      <c r="S310" s="433" t="s">
        <v>571</v>
      </c>
      <c r="T310" s="8" t="str">
        <f>VLOOKUP(ReformFY21[[#This Row],[Reporting Alias]],'Entities FY21'!B:B,1,FALSE)</f>
        <v>Warehouse_gas</v>
      </c>
    </row>
    <row r="311" spans="1:20">
      <c r="A311" t="s">
        <v>766</v>
      </c>
      <c r="B311" t="s">
        <v>673</v>
      </c>
      <c r="C311" t="s">
        <v>686</v>
      </c>
      <c r="D311" s="244">
        <v>28228.335165540786</v>
      </c>
      <c r="E311">
        <v>1089.6137373898744</v>
      </c>
      <c r="F311">
        <v>76490.884364769183</v>
      </c>
      <c r="G311">
        <v>1</v>
      </c>
      <c r="H311">
        <v>3922.6094546035474</v>
      </c>
      <c r="I311">
        <v>80414.493819372728</v>
      </c>
      <c r="J311" t="str">
        <f t="shared" si="70"/>
        <v>Warehouse_diesel</v>
      </c>
      <c r="K311" t="str">
        <f t="shared" si="71"/>
        <v>L</v>
      </c>
      <c r="L311" t="str">
        <f t="shared" si="72"/>
        <v>BBB</v>
      </c>
      <c r="M311" s="21">
        <f t="shared" si="73"/>
        <v>28228.335165540786</v>
      </c>
      <c r="N311" s="5">
        <f t="shared" si="74"/>
        <v>1089.6137373898744</v>
      </c>
      <c r="O311" s="8">
        <f t="shared" si="75"/>
        <v>76490.884364769183</v>
      </c>
      <c r="P311" s="8">
        <f t="shared" si="76"/>
        <v>1</v>
      </c>
      <c r="Q311" s="8">
        <f t="shared" si="77"/>
        <v>3922.6094546035474</v>
      </c>
      <c r="R311" s="8">
        <f t="shared" si="78"/>
        <v>80414.493819372728</v>
      </c>
      <c r="S311" s="433" t="s">
        <v>571</v>
      </c>
      <c r="T311" s="8" t="str">
        <f>VLOOKUP(ReformFY21[[#This Row],[Reporting Alias]],'Entities FY21'!B:B,1,FALSE)</f>
        <v>Warehouse_diesel</v>
      </c>
    </row>
    <row r="312" spans="1:20">
      <c r="A312" t="s">
        <v>53</v>
      </c>
      <c r="D312" s="244">
        <v>1718244373.4170508</v>
      </c>
      <c r="E312" s="240">
        <v>6605632.4116550293</v>
      </c>
      <c r="F312" s="240">
        <v>33085437.981461562</v>
      </c>
      <c r="G312" s="240">
        <v>1130583844.2804885</v>
      </c>
      <c r="H312" s="240">
        <v>228095505.95634869</v>
      </c>
      <c r="I312" s="240">
        <v>1391764788.2182994</v>
      </c>
      <c r="M312" s="240">
        <f>SUBTOTAL(9,ReformFY21[Consumption Quantity])</f>
        <v>1718244373.4170508</v>
      </c>
      <c r="N312" s="240">
        <f>SUBTOTAL(9,ReformFY21[Total GJ])</f>
        <v>6605632.4116550293</v>
      </c>
      <c r="O312" s="240">
        <f>SUBTOTAL(9,ReformFY21[Scope 1 kg CO2-e])</f>
        <v>33085437.981461562</v>
      </c>
      <c r="P312" s="240">
        <f>SUBTOTAL(9,ReformFY21[Scope 2 kg CO2-e])</f>
        <v>1130583844.2804885</v>
      </c>
      <c r="Q312" s="240">
        <f>SUBTOTAL(9,ReformFY21[Scope 3 kg CO2-e])</f>
        <v>228095505.95634869</v>
      </c>
      <c r="R312" s="240">
        <f>SUBTOTAL(9,ReformFY21[Total Emissions])</f>
        <v>1391764788.2182994</v>
      </c>
      <c r="S312" s="240"/>
      <c r="T312" s="240"/>
    </row>
  </sheetData>
  <conditionalFormatting sqref="J1:J1048576">
    <cfRule type="duplicateValues" dxfId="575" priority="1"/>
  </conditionalFormatting>
  <pageMargins left="0.7" right="0.7" top="0.75" bottom="0.75" header="0.3" footer="0.3"/>
  <pageSetup paperSize="9" orientation="portrait"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01428-B01A-494F-BA9F-B49C1B4A0233}">
  <sheetPr codeName="Sheet36">
    <tabColor theme="1" tint="-0.499984740745262"/>
    <pageSetUpPr fitToPage="1"/>
  </sheetPr>
  <dimension ref="B1:P152"/>
  <sheetViews>
    <sheetView showGridLines="0" zoomScale="110" zoomScaleNormal="110" workbookViewId="0">
      <selection activeCell="C93" sqref="C93"/>
    </sheetView>
  </sheetViews>
  <sheetFormatPr defaultColWidth="6.8984375" defaultRowHeight="14.4"/>
  <cols>
    <col min="1" max="1" width="7.59765625" style="275" customWidth="1"/>
    <col min="2" max="2" width="24.59765625" style="275" customWidth="1"/>
    <col min="3" max="9" width="16.59765625" style="275" customWidth="1"/>
    <col min="10" max="10" width="13.09765625" style="275" customWidth="1"/>
    <col min="11" max="11" width="12" style="275" bestFit="1" customWidth="1"/>
    <col min="12" max="13" width="9.3984375" style="275" bestFit="1" customWidth="1"/>
    <col min="14" max="16384" width="6.8984375" style="275"/>
  </cols>
  <sheetData>
    <row r="1" spans="2:12" ht="245.1" customHeight="1">
      <c r="B1" s="2028"/>
      <c r="C1" s="2029"/>
      <c r="D1" s="2029"/>
      <c r="E1" s="2029"/>
      <c r="F1" s="2029"/>
      <c r="G1" s="2029"/>
      <c r="H1" s="2029"/>
      <c r="I1" s="2030"/>
      <c r="J1" s="276"/>
    </row>
    <row r="2" spans="2:12" ht="17.399999999999999">
      <c r="B2" s="416"/>
      <c r="C2" s="415"/>
      <c r="D2" s="415"/>
      <c r="E2" s="413"/>
      <c r="F2" s="413"/>
      <c r="G2" s="413"/>
      <c r="H2" s="399"/>
      <c r="I2" s="412"/>
      <c r="J2" s="276"/>
    </row>
    <row r="3" spans="2:12">
      <c r="B3" s="414"/>
      <c r="C3" s="413"/>
      <c r="D3" s="413"/>
      <c r="E3" s="413"/>
      <c r="F3" s="329"/>
      <c r="G3" s="2027"/>
      <c r="H3" s="2027"/>
      <c r="I3" s="412"/>
      <c r="J3" s="276"/>
    </row>
    <row r="4" spans="2:12" ht="20.100000000000001" customHeight="1">
      <c r="B4" s="397" t="s">
        <v>1071</v>
      </c>
      <c r="C4" s="396"/>
      <c r="D4" s="396"/>
      <c r="E4" s="316"/>
      <c r="F4" s="327"/>
      <c r="G4" s="276"/>
      <c r="H4" s="411"/>
      <c r="I4" s="315" t="s">
        <v>1072</v>
      </c>
      <c r="J4" s="276"/>
    </row>
    <row r="5" spans="2:12" ht="15" customHeight="1">
      <c r="B5" s="2025" t="s">
        <v>90</v>
      </c>
      <c r="C5" s="2026"/>
      <c r="D5" s="345"/>
      <c r="E5" s="345"/>
      <c r="F5" s="410"/>
      <c r="G5" s="276"/>
      <c r="H5" s="276"/>
      <c r="I5" s="281"/>
      <c r="J5" s="276"/>
    </row>
    <row r="6" spans="2:12" ht="27" customHeight="1">
      <c r="B6" s="409"/>
      <c r="C6" s="312"/>
      <c r="D6" s="408" t="s">
        <v>92</v>
      </c>
      <c r="E6" s="308" t="s">
        <v>1073</v>
      </c>
      <c r="F6" s="308" t="s">
        <v>94</v>
      </c>
      <c r="G6" s="308" t="s">
        <v>95</v>
      </c>
      <c r="H6" s="308" t="s">
        <v>1074</v>
      </c>
      <c r="I6" s="307" t="s">
        <v>1075</v>
      </c>
      <c r="J6" s="276"/>
      <c r="K6" s="276"/>
    </row>
    <row r="7" spans="2:12" ht="15" customHeight="1">
      <c r="B7" s="325" t="s">
        <v>1076</v>
      </c>
      <c r="C7" s="324"/>
      <c r="D7" s="344">
        <v>1407473.7895167046</v>
      </c>
      <c r="E7" s="323">
        <v>1445612.9411117339</v>
      </c>
      <c r="F7" s="323">
        <v>1498597.0099660777</v>
      </c>
      <c r="G7" s="323">
        <v>1540304.0203268565</v>
      </c>
      <c r="H7" s="323">
        <v>1571066</v>
      </c>
      <c r="I7" s="235">
        <f t="shared" ref="I7:I12" si="0">D7/E7-1</f>
        <v>-2.6382685510340509E-2</v>
      </c>
      <c r="J7" s="276"/>
      <c r="K7" s="276"/>
      <c r="L7" s="388"/>
    </row>
    <row r="8" spans="2:12" ht="20.85" customHeight="1">
      <c r="B8" s="299" t="s">
        <v>98</v>
      </c>
      <c r="C8" s="298"/>
      <c r="D8" s="237">
        <v>50731.773230371407</v>
      </c>
      <c r="E8" s="296">
        <v>55130.796186942534</v>
      </c>
      <c r="F8" s="296">
        <v>52679.941165238975</v>
      </c>
      <c r="G8" s="402">
        <v>50628.437825967056</v>
      </c>
      <c r="H8" s="402">
        <v>52003</v>
      </c>
      <c r="I8" s="238">
        <f t="shared" si="0"/>
        <v>-7.9792480080543737E-2</v>
      </c>
      <c r="J8" s="276"/>
      <c r="K8" s="407"/>
      <c r="L8" s="404"/>
    </row>
    <row r="9" spans="2:12" ht="18" customHeight="1">
      <c r="B9" s="299" t="s">
        <v>99</v>
      </c>
      <c r="C9" s="298"/>
      <c r="D9" s="237">
        <v>1190786.591308444</v>
      </c>
      <c r="E9" s="296">
        <v>1209274.0125270986</v>
      </c>
      <c r="F9" s="296">
        <v>1253462.9688008386</v>
      </c>
      <c r="G9" s="402">
        <v>1288760.5825008894</v>
      </c>
      <c r="H9" s="402">
        <v>1298083</v>
      </c>
      <c r="I9" s="238">
        <f t="shared" si="0"/>
        <v>-1.5288033172911941E-2</v>
      </c>
      <c r="J9" s="406"/>
      <c r="K9" s="276"/>
      <c r="L9" s="404"/>
    </row>
    <row r="10" spans="2:12">
      <c r="B10" s="299" t="s">
        <v>1077</v>
      </c>
      <c r="C10" s="298"/>
      <c r="D10" s="237">
        <v>165955.4249778894</v>
      </c>
      <c r="E10" s="296">
        <v>181208.13239769271</v>
      </c>
      <c r="F10" s="296">
        <v>192454.1</v>
      </c>
      <c r="G10" s="402">
        <v>200915</v>
      </c>
      <c r="H10" s="402">
        <v>220981</v>
      </c>
      <c r="I10" s="238">
        <f t="shared" si="0"/>
        <v>-8.4172311794089905E-2</v>
      </c>
      <c r="J10" s="276"/>
      <c r="K10" s="276"/>
      <c r="L10" s="404"/>
    </row>
    <row r="11" spans="2:12">
      <c r="B11" s="325" t="s">
        <v>1078</v>
      </c>
      <c r="C11" s="324"/>
      <c r="D11" s="344">
        <v>112.37299685974058</v>
      </c>
      <c r="E11" s="323">
        <v>141.84842872692801</v>
      </c>
      <c r="F11" s="323">
        <v>187.15973851612702</v>
      </c>
      <c r="G11" s="323">
        <v>256.44660076637723</v>
      </c>
      <c r="H11" s="323">
        <v>423.00899967016915</v>
      </c>
      <c r="I11" s="235">
        <f t="shared" si="0"/>
        <v>-0.20779526521178804</v>
      </c>
      <c r="J11" s="405"/>
      <c r="K11" s="276"/>
      <c r="L11" s="404"/>
    </row>
    <row r="12" spans="2:12" ht="18.600000000000001" customHeight="1">
      <c r="B12" s="299" t="s">
        <v>172</v>
      </c>
      <c r="C12" s="298"/>
      <c r="D12" s="237">
        <v>12525.017832117233</v>
      </c>
      <c r="E12" s="296">
        <v>10191.251</v>
      </c>
      <c r="F12" s="296">
        <v>8007.0479999999998</v>
      </c>
      <c r="G12" s="402">
        <v>6006.3343234955692</v>
      </c>
      <c r="H12" s="402">
        <v>3714.0250000000001</v>
      </c>
      <c r="I12" s="238">
        <f t="shared" si="0"/>
        <v>0.22899709094764065</v>
      </c>
      <c r="J12" s="276"/>
      <c r="K12" s="276"/>
      <c r="L12" s="404"/>
    </row>
    <row r="13" spans="2:12">
      <c r="B13" s="325" t="s">
        <v>1079</v>
      </c>
      <c r="C13" s="324"/>
      <c r="D13" s="344"/>
      <c r="E13" s="323"/>
      <c r="F13" s="323"/>
      <c r="G13" s="323"/>
      <c r="H13" s="323"/>
      <c r="I13" s="235"/>
      <c r="J13" s="405"/>
      <c r="K13" s="276"/>
      <c r="L13" s="404"/>
    </row>
    <row r="14" spans="2:12" ht="21.75" customHeight="1">
      <c r="B14" s="2035" t="s">
        <v>1080</v>
      </c>
      <c r="C14" s="2036"/>
      <c r="D14" s="403">
        <v>95</v>
      </c>
      <c r="E14" s="296">
        <v>94</v>
      </c>
      <c r="F14" s="296">
        <v>94</v>
      </c>
      <c r="G14" s="402">
        <v>94</v>
      </c>
      <c r="H14" s="402">
        <v>87.2</v>
      </c>
      <c r="I14" s="238">
        <f>D14/E14-1</f>
        <v>1.0638297872340496E-2</v>
      </c>
      <c r="J14" s="276"/>
      <c r="K14" s="276"/>
    </row>
    <row r="15" spans="2:12" ht="23.1" customHeight="1">
      <c r="B15" s="2035" t="s">
        <v>101</v>
      </c>
      <c r="C15" s="2036"/>
      <c r="D15" s="236">
        <v>13747.313616000001</v>
      </c>
      <c r="E15" s="296">
        <v>22761.969109109152</v>
      </c>
      <c r="F15" s="296">
        <v>17345</v>
      </c>
      <c r="G15" s="402">
        <v>33628.60545223685</v>
      </c>
      <c r="H15" s="296">
        <v>35180</v>
      </c>
      <c r="I15" s="250">
        <f>D15/E15-1</f>
        <v>-0.39604023052212822</v>
      </c>
      <c r="J15" s="276"/>
      <c r="K15" s="276"/>
    </row>
    <row r="16" spans="2:12">
      <c r="B16" s="357"/>
      <c r="C16" s="356"/>
      <c r="D16" s="356"/>
      <c r="E16" s="356"/>
      <c r="F16" s="356"/>
      <c r="G16" s="355"/>
      <c r="H16" s="355"/>
      <c r="I16" s="354"/>
      <c r="J16" s="276"/>
    </row>
    <row r="17" spans="2:16" ht="17.100000000000001" customHeight="1">
      <c r="B17" s="287" t="s">
        <v>105</v>
      </c>
      <c r="C17" s="286"/>
      <c r="D17" s="286"/>
      <c r="E17" s="286"/>
      <c r="F17" s="286"/>
      <c r="G17" s="491"/>
      <c r="H17" s="491"/>
      <c r="I17" s="492"/>
      <c r="J17" s="276"/>
    </row>
    <row r="18" spans="2:16" ht="30" customHeight="1">
      <c r="B18" s="2031" t="s">
        <v>1081</v>
      </c>
      <c r="C18" s="2032"/>
      <c r="D18" s="2032"/>
      <c r="E18" s="2032"/>
      <c r="F18" s="2033"/>
      <c r="G18" s="2033"/>
      <c r="H18" s="2033"/>
      <c r="I18" s="2034"/>
      <c r="J18" s="276"/>
    </row>
    <row r="19" spans="2:16" ht="17.100000000000001" customHeight="1">
      <c r="B19" s="401" t="s">
        <v>1082</v>
      </c>
      <c r="C19" s="330"/>
      <c r="D19" s="330"/>
      <c r="E19" s="330"/>
      <c r="F19" s="330"/>
      <c r="G19" s="491"/>
      <c r="H19" s="491"/>
      <c r="I19" s="492"/>
      <c r="J19" s="276"/>
    </row>
    <row r="20" spans="2:16" ht="30" customHeight="1">
      <c r="B20" s="2031" t="s">
        <v>1083</v>
      </c>
      <c r="C20" s="2032"/>
      <c r="D20" s="2032"/>
      <c r="E20" s="2032"/>
      <c r="F20" s="2033"/>
      <c r="G20" s="2033"/>
      <c r="H20" s="2033"/>
      <c r="I20" s="2034"/>
      <c r="J20" s="276"/>
    </row>
    <row r="21" spans="2:16" ht="30" customHeight="1">
      <c r="B21" s="2031" t="s">
        <v>1084</v>
      </c>
      <c r="C21" s="2032"/>
      <c r="D21" s="2032"/>
      <c r="E21" s="2032"/>
      <c r="F21" s="2033"/>
      <c r="G21" s="2033"/>
      <c r="H21" s="2033"/>
      <c r="I21" s="2034"/>
      <c r="J21" s="276"/>
    </row>
    <row r="22" spans="2:16">
      <c r="B22" s="338"/>
      <c r="C22" s="368"/>
      <c r="D22" s="368"/>
      <c r="E22" s="368"/>
      <c r="F22" s="491"/>
      <c r="G22" s="491"/>
      <c r="H22" s="491"/>
      <c r="I22" s="492"/>
      <c r="J22" s="276"/>
    </row>
    <row r="23" spans="2:16">
      <c r="B23" s="400"/>
      <c r="C23" s="399"/>
      <c r="D23" s="399"/>
      <c r="E23" s="399"/>
      <c r="F23" s="399"/>
      <c r="G23" s="399"/>
      <c r="H23" s="399"/>
      <c r="I23" s="398"/>
      <c r="J23" s="276"/>
    </row>
    <row r="24" spans="2:16" ht="20.100000000000001" customHeight="1">
      <c r="B24" s="397" t="s">
        <v>1085</v>
      </c>
      <c r="C24" s="396"/>
      <c r="D24" s="396"/>
      <c r="E24" s="395"/>
      <c r="F24" s="394"/>
      <c r="G24" s="393"/>
      <c r="H24" s="393"/>
      <c r="I24" s="315" t="s">
        <v>1072</v>
      </c>
      <c r="J24" s="276"/>
    </row>
    <row r="25" spans="2:16" ht="15" customHeight="1">
      <c r="B25" s="2025" t="s">
        <v>90</v>
      </c>
      <c r="C25" s="2037"/>
      <c r="D25" s="2037"/>
      <c r="E25" s="2037"/>
      <c r="F25" s="2038"/>
      <c r="G25" s="276"/>
      <c r="H25" s="276"/>
      <c r="I25" s="281"/>
      <c r="J25" s="276"/>
    </row>
    <row r="26" spans="2:16" ht="27" customHeight="1">
      <c r="B26" s="392"/>
      <c r="C26" s="391"/>
      <c r="D26" s="326" t="s">
        <v>92</v>
      </c>
      <c r="E26" s="390" t="s">
        <v>93</v>
      </c>
      <c r="F26" s="390" t="s">
        <v>94</v>
      </c>
      <c r="G26" s="390" t="s">
        <v>95</v>
      </c>
      <c r="H26" s="390" t="s">
        <v>1074</v>
      </c>
      <c r="I26" s="307" t="s">
        <v>1075</v>
      </c>
      <c r="J26" s="276"/>
    </row>
    <row r="27" spans="2:16" ht="14.85" customHeight="1">
      <c r="B27" s="377" t="s">
        <v>113</v>
      </c>
      <c r="C27" s="376"/>
      <c r="D27" s="389"/>
      <c r="E27" s="384"/>
      <c r="F27" s="384"/>
      <c r="G27" s="384"/>
      <c r="H27" s="384"/>
      <c r="I27" s="251"/>
      <c r="J27" s="276"/>
    </row>
    <row r="28" spans="2:16" ht="12.6" customHeight="1">
      <c r="B28" s="383" t="s">
        <v>114</v>
      </c>
      <c r="C28" s="382"/>
      <c r="D28" s="252">
        <v>13700.253153557302</v>
      </c>
      <c r="E28" s="253">
        <v>11815.744710832301</v>
      </c>
      <c r="F28" s="253">
        <v>6247.5046084551441</v>
      </c>
      <c r="G28" s="253">
        <v>6342.5755893588903</v>
      </c>
      <c r="H28" s="253">
        <v>7124.1576510985142</v>
      </c>
      <c r="I28" s="254">
        <f>D28/E28-1</f>
        <v>0.15949129647303084</v>
      </c>
      <c r="J28" s="276"/>
      <c r="L28" s="386"/>
      <c r="M28" s="386"/>
      <c r="N28" s="388"/>
      <c r="O28" s="386"/>
      <c r="P28" s="386"/>
    </row>
    <row r="29" spans="2:16">
      <c r="B29" s="320" t="s">
        <v>115</v>
      </c>
      <c r="C29" s="319"/>
      <c r="D29" s="237">
        <v>1167.2116825822786</v>
      </c>
      <c r="E29" s="255">
        <v>971.75120178203065</v>
      </c>
      <c r="F29" s="255">
        <v>863.14966511718069</v>
      </c>
      <c r="G29" s="255">
        <v>1369.5368676636028</v>
      </c>
      <c r="H29" s="255">
        <v>1641.650876954679</v>
      </c>
      <c r="I29" s="250">
        <f>D29/E29-1</f>
        <v>0.20114251512301284</v>
      </c>
      <c r="J29" s="276"/>
    </row>
    <row r="30" spans="2:16">
      <c r="B30" s="320" t="s">
        <v>116</v>
      </c>
      <c r="C30" s="319"/>
      <c r="D30" s="237">
        <v>12093.647141118738</v>
      </c>
      <c r="E30" s="255">
        <v>10272.078428480723</v>
      </c>
      <c r="F30" s="255">
        <v>4910.1347196406277</v>
      </c>
      <c r="G30" s="255">
        <v>4505.4792302498281</v>
      </c>
      <c r="H30" s="255">
        <v>5197.2947791073129</v>
      </c>
      <c r="I30" s="250">
        <f>D30/E30-1</f>
        <v>0.17733204874949848</v>
      </c>
      <c r="J30" s="276"/>
    </row>
    <row r="31" spans="2:16">
      <c r="B31" s="320" t="s">
        <v>117</v>
      </c>
      <c r="C31" s="319"/>
      <c r="D31" s="237">
        <v>437.49218398744455</v>
      </c>
      <c r="E31" s="255">
        <v>492.0271962137503</v>
      </c>
      <c r="F31" s="255">
        <v>453.68227697013555</v>
      </c>
      <c r="G31" s="255">
        <v>402.9199203142021</v>
      </c>
      <c r="H31" s="255">
        <v>262.42936796536628</v>
      </c>
      <c r="I31" s="250">
        <f>D31/E31-1</f>
        <v>-0.11083739404236959</v>
      </c>
      <c r="J31" s="276"/>
    </row>
    <row r="32" spans="2:16">
      <c r="B32" s="320" t="s">
        <v>118</v>
      </c>
      <c r="C32" s="319"/>
      <c r="D32" s="237">
        <v>1.9021458688415227</v>
      </c>
      <c r="E32" s="255">
        <v>79.887884355798164</v>
      </c>
      <c r="F32" s="255">
        <v>20.537946727200005</v>
      </c>
      <c r="G32" s="255">
        <v>64.639571131257085</v>
      </c>
      <c r="H32" s="255">
        <v>22.782627071155481</v>
      </c>
      <c r="I32" s="250">
        <f>D32/E32-1</f>
        <v>-0.97618980795173016</v>
      </c>
      <c r="J32" s="276"/>
    </row>
    <row r="33" spans="2:16">
      <c r="B33" s="320" t="s">
        <v>119</v>
      </c>
      <c r="C33" s="319"/>
      <c r="D33" s="237" t="s">
        <v>120</v>
      </c>
      <c r="E33" s="300" t="s">
        <v>120</v>
      </c>
      <c r="F33" s="300" t="s">
        <v>120</v>
      </c>
      <c r="G33" s="300" t="s">
        <v>120</v>
      </c>
      <c r="H33" s="300" t="s">
        <v>120</v>
      </c>
      <c r="I33" s="250" t="s">
        <v>120</v>
      </c>
      <c r="J33" s="276"/>
    </row>
    <row r="34" spans="2:16" ht="14.1" customHeight="1">
      <c r="B34" s="383" t="s">
        <v>122</v>
      </c>
      <c r="C34" s="382"/>
      <c r="D34" s="252">
        <v>37031.519718766715</v>
      </c>
      <c r="E34" s="253">
        <v>43315.051053126459</v>
      </c>
      <c r="F34" s="253">
        <v>46432.436551514627</v>
      </c>
      <c r="G34" s="253">
        <v>44285.86221552499</v>
      </c>
      <c r="H34" s="253">
        <v>44878.98659736188</v>
      </c>
      <c r="I34" s="254">
        <f>D34/E34-1</f>
        <v>-0.14506577232594997</v>
      </c>
      <c r="J34" s="387"/>
      <c r="L34" s="386"/>
      <c r="M34" s="386"/>
      <c r="N34" s="386"/>
      <c r="O34" s="386"/>
      <c r="P34" s="386"/>
    </row>
    <row r="35" spans="2:16">
      <c r="B35" s="320" t="s">
        <v>116</v>
      </c>
      <c r="C35" s="319"/>
      <c r="D35" s="237">
        <v>32451.705975792625</v>
      </c>
      <c r="E35" s="296">
        <v>36298.886999785231</v>
      </c>
      <c r="F35" s="296">
        <v>37938.516843723046</v>
      </c>
      <c r="G35" s="296">
        <v>35826.703851039674</v>
      </c>
      <c r="H35" s="296">
        <v>36833.125287665338</v>
      </c>
      <c r="I35" s="250">
        <f>D35/E35-1</f>
        <v>-0.10598619797944131</v>
      </c>
      <c r="J35" s="276"/>
    </row>
    <row r="36" spans="2:16">
      <c r="B36" s="320" t="s">
        <v>117</v>
      </c>
      <c r="C36" s="319"/>
      <c r="D36" s="237">
        <v>4474.0644309571308</v>
      </c>
      <c r="E36" s="296">
        <v>6643.8332649018384</v>
      </c>
      <c r="F36" s="296">
        <v>7677.1006094017821</v>
      </c>
      <c r="G36" s="296">
        <v>7257.7624828963144</v>
      </c>
      <c r="H36" s="296">
        <v>5648.7854188407473</v>
      </c>
      <c r="I36" s="250">
        <f>D36/E36-1</f>
        <v>-0.3265838782269268</v>
      </c>
      <c r="J36" s="276"/>
    </row>
    <row r="37" spans="2:16">
      <c r="B37" s="320" t="s">
        <v>118</v>
      </c>
      <c r="C37" s="319"/>
      <c r="D37" s="237">
        <v>105.38448490079999</v>
      </c>
      <c r="E37" s="296">
        <v>371.76205040939999</v>
      </c>
      <c r="F37" s="296">
        <v>816.20677472460011</v>
      </c>
      <c r="G37" s="296">
        <v>1200.8111858358</v>
      </c>
      <c r="H37" s="296">
        <v>2386.746377633197</v>
      </c>
      <c r="I37" s="250">
        <f>D37/E37-1</f>
        <v>-0.71652705061007116</v>
      </c>
      <c r="J37" s="276"/>
    </row>
    <row r="38" spans="2:16">
      <c r="B38" s="320" t="s">
        <v>119</v>
      </c>
      <c r="C38" s="319"/>
      <c r="D38" s="256">
        <v>0.36482711615999996</v>
      </c>
      <c r="E38" s="257">
        <v>0.56873802998613854</v>
      </c>
      <c r="F38" s="257">
        <v>0.61232366520000014</v>
      </c>
      <c r="G38" s="257">
        <v>0.58469575319999989</v>
      </c>
      <c r="H38" s="257">
        <v>10.329513222600005</v>
      </c>
      <c r="I38" s="250">
        <f>D38/E38-1</f>
        <v>-0.35853222938355001</v>
      </c>
      <c r="J38" s="276"/>
    </row>
    <row r="39" spans="2:16" ht="13.35" customHeight="1">
      <c r="B39" s="377" t="s">
        <v>124</v>
      </c>
      <c r="C39" s="376"/>
      <c r="D39" s="385"/>
      <c r="E39" s="384"/>
      <c r="F39" s="384"/>
      <c r="G39" s="384"/>
      <c r="H39" s="384"/>
      <c r="I39" s="251"/>
      <c r="J39" s="276"/>
    </row>
    <row r="40" spans="2:16" ht="13.35" customHeight="1">
      <c r="B40" s="383" t="s">
        <v>114</v>
      </c>
      <c r="C40" s="382"/>
      <c r="D40" s="381"/>
      <c r="E40" s="373"/>
      <c r="F40" s="373"/>
      <c r="G40" s="373"/>
      <c r="H40" s="373"/>
      <c r="I40" s="258"/>
      <c r="J40" s="276"/>
    </row>
    <row r="41" spans="2:16">
      <c r="B41" s="320" t="s">
        <v>126</v>
      </c>
      <c r="C41" s="319"/>
      <c r="D41" s="237">
        <v>1190786.5913084438</v>
      </c>
      <c r="E41" s="296">
        <v>1209274.0125270986</v>
      </c>
      <c r="F41" s="296">
        <v>1253462.9688008386</v>
      </c>
      <c r="G41" s="296">
        <v>1288760.5825008894</v>
      </c>
      <c r="H41" s="296">
        <v>1298082.548410265</v>
      </c>
      <c r="I41" s="250">
        <f>D41/E41-1</f>
        <v>-1.5288033172912163E-2</v>
      </c>
      <c r="J41" s="380"/>
      <c r="K41" s="379"/>
      <c r="L41" s="378"/>
    </row>
    <row r="42" spans="2:16" ht="16.350000000000001" customHeight="1">
      <c r="B42" s="377" t="s">
        <v>1086</v>
      </c>
      <c r="C42" s="376"/>
      <c r="D42" s="375"/>
      <c r="E42" s="374"/>
      <c r="F42" s="374"/>
      <c r="G42" s="373"/>
      <c r="H42" s="373"/>
      <c r="I42" s="372"/>
      <c r="J42" s="276"/>
    </row>
    <row r="43" spans="2:16">
      <c r="B43" s="320" t="s">
        <v>168</v>
      </c>
      <c r="C43" s="319"/>
      <c r="D43" s="237">
        <v>141117.29447856822</v>
      </c>
      <c r="E43" s="296">
        <v>156086.90227877567</v>
      </c>
      <c r="F43" s="296">
        <v>168236</v>
      </c>
      <c r="G43" s="296">
        <v>173585</v>
      </c>
      <c r="H43" s="296">
        <v>182766</v>
      </c>
      <c r="I43" s="250">
        <f>D43/E43-1</f>
        <v>-9.5905598622690991E-2</v>
      </c>
      <c r="J43" s="276"/>
    </row>
    <row r="44" spans="2:16">
      <c r="B44" s="320" t="s">
        <v>169</v>
      </c>
      <c r="C44" s="319"/>
      <c r="D44" s="237">
        <v>2640.2278516323468</v>
      </c>
      <c r="E44" s="296">
        <v>2874.2301189170312</v>
      </c>
      <c r="F44" s="296">
        <v>2745</v>
      </c>
      <c r="G44" s="296">
        <v>2694</v>
      </c>
      <c r="H44" s="296">
        <v>4030</v>
      </c>
      <c r="I44" s="250">
        <f>D44/E44-1</f>
        <v>-8.1413894365859996E-2</v>
      </c>
      <c r="J44" s="276"/>
    </row>
    <row r="45" spans="2:16">
      <c r="B45" s="320" t="s">
        <v>170</v>
      </c>
      <c r="C45" s="319"/>
      <c r="D45" s="237">
        <v>16929.096377529007</v>
      </c>
      <c r="E45" s="296">
        <v>14717</v>
      </c>
      <c r="F45" s="296">
        <v>14224.6</v>
      </c>
      <c r="G45" s="296">
        <v>17710</v>
      </c>
      <c r="H45" s="296">
        <v>28628</v>
      </c>
      <c r="I45" s="250">
        <f>D45/E45-1</f>
        <v>0.15030892012835539</v>
      </c>
      <c r="J45" s="276"/>
    </row>
    <row r="46" spans="2:16">
      <c r="B46" s="320" t="s">
        <v>171</v>
      </c>
      <c r="C46" s="319"/>
      <c r="D46" s="236">
        <v>5268.8062701599993</v>
      </c>
      <c r="E46" s="296">
        <v>7530</v>
      </c>
      <c r="F46" s="296">
        <v>7248.5</v>
      </c>
      <c r="G46" s="296">
        <v>6926</v>
      </c>
      <c r="H46" s="296">
        <v>5556</v>
      </c>
      <c r="I46" s="250">
        <f>D46/E46-1</f>
        <v>-0.30029133198406388</v>
      </c>
      <c r="J46" s="276"/>
    </row>
    <row r="47" spans="2:16">
      <c r="B47" s="353"/>
      <c r="C47" s="352"/>
      <c r="D47" s="352"/>
      <c r="E47" s="352"/>
      <c r="F47" s="276"/>
      <c r="G47" s="276"/>
      <c r="H47" s="276"/>
      <c r="I47" s="281"/>
    </row>
    <row r="48" spans="2:16">
      <c r="B48" s="353"/>
      <c r="C48" s="352"/>
      <c r="D48" s="352"/>
      <c r="E48" s="352"/>
      <c r="F48" s="276"/>
      <c r="G48" s="276"/>
      <c r="H48" s="276"/>
      <c r="I48" s="281"/>
    </row>
    <row r="49" spans="2:10" ht="20.100000000000001" customHeight="1">
      <c r="B49" s="318" t="s">
        <v>1087</v>
      </c>
      <c r="C49" s="317"/>
      <c r="D49" s="317"/>
      <c r="E49" s="364"/>
      <c r="F49" s="276"/>
      <c r="G49" s="276"/>
      <c r="H49" s="276"/>
      <c r="I49" s="315" t="s">
        <v>1072</v>
      </c>
    </row>
    <row r="50" spans="2:10">
      <c r="B50" s="2025" t="s">
        <v>90</v>
      </c>
      <c r="C50" s="2037"/>
      <c r="D50" s="2037"/>
      <c r="E50" s="2037"/>
      <c r="F50" s="2038"/>
      <c r="G50" s="276"/>
      <c r="H50" s="276"/>
      <c r="I50" s="281"/>
    </row>
    <row r="51" spans="2:10">
      <c r="B51" s="371" t="s">
        <v>150</v>
      </c>
      <c r="C51" s="370"/>
      <c r="D51" s="370" t="s">
        <v>151</v>
      </c>
      <c r="E51" s="369" t="s">
        <v>1088</v>
      </c>
      <c r="G51" s="276"/>
      <c r="H51" s="276"/>
      <c r="I51" s="281"/>
    </row>
    <row r="52" spans="2:10">
      <c r="B52" s="291" t="s">
        <v>1089</v>
      </c>
      <c r="C52" s="368"/>
      <c r="D52" s="286" t="s">
        <v>155</v>
      </c>
      <c r="E52" s="259">
        <v>1097699.8725482651</v>
      </c>
      <c r="G52" s="276"/>
      <c r="H52" s="276"/>
      <c r="I52" s="281"/>
    </row>
    <row r="53" spans="2:10">
      <c r="B53" s="291"/>
      <c r="C53" s="286"/>
      <c r="D53" s="286" t="s">
        <v>156</v>
      </c>
      <c r="E53" s="259">
        <v>68910.194564985402</v>
      </c>
      <c r="G53" s="276"/>
      <c r="H53" s="276"/>
      <c r="I53" s="281"/>
    </row>
    <row r="54" spans="2:10">
      <c r="B54" s="367" t="s">
        <v>157</v>
      </c>
      <c r="C54" s="366"/>
      <c r="D54" s="366" t="s">
        <v>155</v>
      </c>
      <c r="E54" s="260">
        <v>53162.899076499845</v>
      </c>
      <c r="G54" s="276"/>
      <c r="H54" s="276"/>
      <c r="I54" s="281"/>
    </row>
    <row r="55" spans="2:10">
      <c r="B55" s="367"/>
      <c r="C55" s="366"/>
      <c r="D55" s="366" t="s">
        <v>156</v>
      </c>
      <c r="E55" s="260">
        <v>245.59220350544962</v>
      </c>
      <c r="G55" s="276"/>
      <c r="H55" s="276"/>
      <c r="I55" s="281"/>
    </row>
    <row r="56" spans="2:10">
      <c r="B56" s="291" t="s">
        <v>158</v>
      </c>
      <c r="C56" s="286"/>
      <c r="D56" s="286" t="s">
        <v>155</v>
      </c>
      <c r="E56" s="259">
        <v>126139.621205448</v>
      </c>
      <c r="G56" s="276"/>
      <c r="H56" s="276"/>
      <c r="I56" s="281"/>
    </row>
    <row r="57" spans="2:10">
      <c r="B57" s="291"/>
      <c r="C57" s="286"/>
      <c r="D57" s="286" t="s">
        <v>156</v>
      </c>
      <c r="E57" s="259">
        <v>184.89550397319039</v>
      </c>
      <c r="G57" s="276"/>
      <c r="H57" s="276"/>
      <c r="I57" s="281"/>
    </row>
    <row r="58" spans="2:10">
      <c r="B58" s="367" t="s">
        <v>159</v>
      </c>
      <c r="C58" s="366"/>
      <c r="D58" s="366" t="s">
        <v>156</v>
      </c>
      <c r="E58" s="260">
        <v>38932.811766339022</v>
      </c>
      <c r="G58" s="276"/>
      <c r="H58" s="276"/>
      <c r="I58" s="281"/>
    </row>
    <row r="59" spans="2:10">
      <c r="B59" s="291" t="s">
        <v>1090</v>
      </c>
      <c r="C59" s="286"/>
      <c r="D59" s="286" t="s">
        <v>156</v>
      </c>
      <c r="E59" s="259">
        <v>16929.096377529007</v>
      </c>
      <c r="G59" s="276"/>
      <c r="H59" s="276"/>
      <c r="I59" s="281"/>
    </row>
    <row r="60" spans="2:10">
      <c r="B60" s="367" t="s">
        <v>1091</v>
      </c>
      <c r="C60" s="366"/>
      <c r="D60" s="366" t="s">
        <v>1091</v>
      </c>
      <c r="E60" s="260">
        <v>5268.8062701599993</v>
      </c>
      <c r="G60" s="276"/>
      <c r="H60" s="276"/>
      <c r="I60" s="281"/>
    </row>
    <row r="61" spans="2:10">
      <c r="B61" s="365"/>
      <c r="C61" s="364"/>
      <c r="D61" s="364"/>
      <c r="E61" s="364"/>
      <c r="F61" s="276"/>
      <c r="G61" s="276"/>
      <c r="H61" s="276"/>
      <c r="I61" s="281"/>
    </row>
    <row r="62" spans="2:10">
      <c r="B62" s="357"/>
      <c r="C62" s="356"/>
      <c r="D62" s="356"/>
      <c r="E62" s="356"/>
      <c r="F62" s="355"/>
      <c r="G62" s="355"/>
      <c r="H62" s="355"/>
      <c r="I62" s="354"/>
      <c r="J62" s="276"/>
    </row>
    <row r="63" spans="2:10" ht="19.350000000000001" customHeight="1">
      <c r="B63" s="318" t="s">
        <v>131</v>
      </c>
      <c r="C63" s="317"/>
      <c r="D63" s="317"/>
      <c r="E63" s="316"/>
      <c r="F63" s="276"/>
      <c r="G63" s="276"/>
      <c r="I63" s="315" t="s">
        <v>132</v>
      </c>
      <c r="J63" s="276"/>
    </row>
    <row r="64" spans="2:10">
      <c r="B64" s="314" t="s">
        <v>133</v>
      </c>
      <c r="C64" s="313"/>
      <c r="D64" s="313"/>
      <c r="E64" s="312"/>
      <c r="F64" s="276"/>
      <c r="G64" s="276"/>
      <c r="H64" s="276"/>
      <c r="I64" s="281"/>
      <c r="J64" s="276"/>
    </row>
    <row r="65" spans="2:10" ht="27" customHeight="1">
      <c r="B65" s="363"/>
      <c r="C65" s="908"/>
      <c r="D65" s="326" t="s">
        <v>92</v>
      </c>
      <c r="E65" s="308" t="s">
        <v>93</v>
      </c>
      <c r="F65" s="308" t="s">
        <v>94</v>
      </c>
      <c r="G65" s="308" t="s">
        <v>95</v>
      </c>
      <c r="H65" s="308" t="s">
        <v>1074</v>
      </c>
      <c r="I65" s="307" t="s">
        <v>1075</v>
      </c>
      <c r="J65" s="276"/>
    </row>
    <row r="66" spans="2:10" ht="17.850000000000001" customHeight="1">
      <c r="B66" s="325" t="s">
        <v>134</v>
      </c>
      <c r="C66" s="324"/>
      <c r="D66" s="344">
        <v>5885903.5432959273</v>
      </c>
      <c r="E66" s="323">
        <v>6000983.8974163001</v>
      </c>
      <c r="F66" s="323">
        <v>6094922.8586030072</v>
      </c>
      <c r="G66" s="323">
        <v>6097739.6987548564</v>
      </c>
      <c r="H66" s="323">
        <v>6009922</v>
      </c>
      <c r="I66" s="235">
        <f t="shared" ref="I66:I81" si="1">D66/E66-1</f>
        <v>-1.9176914333984496E-2</v>
      </c>
      <c r="J66" s="276"/>
    </row>
    <row r="67" spans="2:10" ht="15.6" customHeight="1">
      <c r="B67" s="325" t="s">
        <v>114</v>
      </c>
      <c r="C67" s="324"/>
      <c r="D67" s="344">
        <v>5356854.7956243297</v>
      </c>
      <c r="E67" s="323">
        <v>5380400.7095750347</v>
      </c>
      <c r="F67" s="323">
        <v>5428398.4349270072</v>
      </c>
      <c r="G67" s="323">
        <v>5461120.7677780567</v>
      </c>
      <c r="H67" s="323">
        <v>5353838</v>
      </c>
      <c r="I67" s="235">
        <f t="shared" si="1"/>
        <v>-4.3762379833164333E-3</v>
      </c>
      <c r="J67" s="276"/>
    </row>
    <row r="68" spans="2:10">
      <c r="B68" s="320" t="s">
        <v>126</v>
      </c>
      <c r="C68" s="319"/>
      <c r="D68" s="237">
        <v>5122210.1351703824</v>
      </c>
      <c r="E68" s="296">
        <v>5176020.2627302445</v>
      </c>
      <c r="F68" s="296">
        <v>5310228.204456971</v>
      </c>
      <c r="G68" s="296">
        <v>5336996.4867206765</v>
      </c>
      <c r="H68" s="296">
        <v>5214988</v>
      </c>
      <c r="I68" s="250">
        <f t="shared" si="1"/>
        <v>-1.0396042679222117E-2</v>
      </c>
      <c r="J68" s="276"/>
    </row>
    <row r="69" spans="2:10" ht="21.6">
      <c r="B69" s="320" t="s">
        <v>135</v>
      </c>
      <c r="C69" s="319"/>
      <c r="D69" s="237">
        <v>33233.973233004261</v>
      </c>
      <c r="E69" s="296">
        <v>30619.686337200234</v>
      </c>
      <c r="F69" s="296">
        <v>24444.452764800139</v>
      </c>
      <c r="G69" s="296">
        <v>26397.317750400187</v>
      </c>
      <c r="H69" s="296">
        <v>27795</v>
      </c>
      <c r="I69" s="250">
        <f t="shared" si="1"/>
        <v>8.5379284000956623E-2</v>
      </c>
      <c r="J69" s="276"/>
    </row>
    <row r="70" spans="2:10">
      <c r="B70" s="320" t="s">
        <v>115</v>
      </c>
      <c r="C70" s="319"/>
      <c r="D70" s="237">
        <v>22651.109694979212</v>
      </c>
      <c r="E70" s="296">
        <v>18857.970149078803</v>
      </c>
      <c r="F70" s="296">
        <v>16750.430140057844</v>
      </c>
      <c r="G70" s="296">
        <v>26577.466867137638</v>
      </c>
      <c r="H70" s="296">
        <v>31982</v>
      </c>
      <c r="I70" s="250">
        <f t="shared" si="1"/>
        <v>0.20114251512301284</v>
      </c>
      <c r="J70" s="276"/>
    </row>
    <row r="71" spans="2:10">
      <c r="B71" s="320" t="s">
        <v>116</v>
      </c>
      <c r="C71" s="319"/>
      <c r="D71" s="237">
        <v>172274.17579941225</v>
      </c>
      <c r="E71" s="296">
        <v>146325.90353961143</v>
      </c>
      <c r="F71" s="296">
        <v>69944.939026219785</v>
      </c>
      <c r="G71" s="296">
        <v>64180.615815524608</v>
      </c>
      <c r="H71" s="296">
        <v>74781</v>
      </c>
      <c r="I71" s="250">
        <f t="shared" si="1"/>
        <v>0.17733204874949871</v>
      </c>
      <c r="J71" s="276"/>
    </row>
    <row r="72" spans="2:10">
      <c r="B72" s="320" t="s">
        <v>117</v>
      </c>
      <c r="C72" s="319"/>
      <c r="D72" s="237">
        <v>6452.6870794608349</v>
      </c>
      <c r="E72" s="322">
        <v>7257.0382922382041</v>
      </c>
      <c r="F72" s="322">
        <v>6691.4790113589306</v>
      </c>
      <c r="G72" s="322">
        <v>5942.7716860501778</v>
      </c>
      <c r="H72" s="296">
        <v>3911</v>
      </c>
      <c r="I72" s="250">
        <f t="shared" si="1"/>
        <v>-0.11083739404236936</v>
      </c>
      <c r="J72" s="276"/>
    </row>
    <row r="73" spans="2:10">
      <c r="B73" s="320" t="s">
        <v>118</v>
      </c>
      <c r="C73" s="319"/>
      <c r="D73" s="237">
        <v>31.388545690454166</v>
      </c>
      <c r="E73" s="322">
        <v>1318.2819200626759</v>
      </c>
      <c r="F73" s="322">
        <v>338.91001200000005</v>
      </c>
      <c r="G73" s="322">
        <v>1026.0308524674874</v>
      </c>
      <c r="H73" s="296">
        <v>380</v>
      </c>
      <c r="I73" s="250">
        <f t="shared" si="1"/>
        <v>-0.97618980795173016</v>
      </c>
      <c r="J73" s="276"/>
    </row>
    <row r="74" spans="2:10">
      <c r="B74" s="320" t="s">
        <v>119</v>
      </c>
      <c r="C74" s="319"/>
      <c r="D74" s="261">
        <v>1.3261014</v>
      </c>
      <c r="E74" s="362">
        <v>1.5666065999999998</v>
      </c>
      <c r="F74" s="362">
        <v>1.9515599999999998E-2</v>
      </c>
      <c r="G74" s="362">
        <v>7.8085799999999983E-2</v>
      </c>
      <c r="H74" s="362">
        <v>0.8</v>
      </c>
      <c r="I74" s="250">
        <f t="shared" si="1"/>
        <v>-0.15351984346293435</v>
      </c>
      <c r="J74" s="276"/>
    </row>
    <row r="75" spans="2:10">
      <c r="B75" s="325" t="s">
        <v>136</v>
      </c>
      <c r="C75" s="324"/>
      <c r="D75" s="262">
        <v>529048.74767159717</v>
      </c>
      <c r="E75" s="323">
        <v>620583.18784126523</v>
      </c>
      <c r="F75" s="323">
        <v>666524.42367600009</v>
      </c>
      <c r="G75" s="323">
        <v>636618.93097680004</v>
      </c>
      <c r="H75" s="323">
        <v>656084</v>
      </c>
      <c r="I75" s="235">
        <f t="shared" si="1"/>
        <v>-0.14749745394823854</v>
      </c>
      <c r="J75" s="276"/>
    </row>
    <row r="76" spans="2:10">
      <c r="B76" s="320" t="s">
        <v>116</v>
      </c>
      <c r="C76" s="319"/>
      <c r="D76" s="237">
        <v>460242.90128310648</v>
      </c>
      <c r="E76" s="296">
        <v>514805.09406819806</v>
      </c>
      <c r="F76" s="296">
        <v>538059.09798199998</v>
      </c>
      <c r="G76" s="296">
        <v>508108.65661999997</v>
      </c>
      <c r="H76" s="296">
        <v>527402</v>
      </c>
      <c r="I76" s="250">
        <f t="shared" si="1"/>
        <v>-0.10598611671442304</v>
      </c>
      <c r="J76" s="276"/>
    </row>
    <row r="77" spans="2:10">
      <c r="B77" s="320" t="s">
        <v>117</v>
      </c>
      <c r="C77" s="319"/>
      <c r="D77" s="237">
        <v>66163.327286090658</v>
      </c>
      <c r="E77" s="296">
        <v>98251.781532101697</v>
      </c>
      <c r="F77" s="296">
        <v>113532.10643700004</v>
      </c>
      <c r="G77" s="296">
        <v>107331.01587450002</v>
      </c>
      <c r="H77" s="296">
        <v>83075</v>
      </c>
      <c r="I77" s="250">
        <f t="shared" si="1"/>
        <v>-0.32659412120203457</v>
      </c>
      <c r="J77" s="276"/>
    </row>
    <row r="78" spans="2:10">
      <c r="B78" s="320" t="s">
        <v>118</v>
      </c>
      <c r="C78" s="361"/>
      <c r="D78" s="237">
        <v>1730.4513119999999</v>
      </c>
      <c r="E78" s="296">
        <v>6104.4671660000004</v>
      </c>
      <c r="F78" s="296">
        <v>13402.410093999999</v>
      </c>
      <c r="G78" s="296">
        <v>19717.753462000004</v>
      </c>
      <c r="H78" s="296">
        <v>39594</v>
      </c>
      <c r="I78" s="250">
        <f t="shared" si="1"/>
        <v>-0.71652705061007127</v>
      </c>
      <c r="J78" s="276"/>
    </row>
    <row r="79" spans="2:10">
      <c r="B79" s="320" t="s">
        <v>119</v>
      </c>
      <c r="C79" s="319"/>
      <c r="D79" s="237">
        <v>912.06779040000004</v>
      </c>
      <c r="E79" s="296">
        <v>1421.8450749653464</v>
      </c>
      <c r="F79" s="296">
        <v>1530.8091630000001</v>
      </c>
      <c r="G79" s="296">
        <v>1461.5050202999996</v>
      </c>
      <c r="H79" s="296">
        <v>6013</v>
      </c>
      <c r="I79" s="250">
        <f t="shared" si="1"/>
        <v>-0.35853222938355001</v>
      </c>
      <c r="J79" s="276"/>
    </row>
    <row r="80" spans="2:10" ht="15" customHeight="1">
      <c r="B80" s="357" t="s">
        <v>137</v>
      </c>
      <c r="C80" s="356"/>
      <c r="D80" s="263">
        <v>48774.952080000003</v>
      </c>
      <c r="E80" s="323">
        <v>83342.333642443831</v>
      </c>
      <c r="F80" s="323">
        <v>64309.860719999997</v>
      </c>
      <c r="G80" s="323">
        <v>123495.54346067883</v>
      </c>
      <c r="H80" s="323">
        <v>114593</v>
      </c>
      <c r="I80" s="235">
        <f t="shared" si="1"/>
        <v>-0.41476378272229786</v>
      </c>
      <c r="J80" s="276"/>
    </row>
    <row r="81" spans="2:10">
      <c r="B81" s="357" t="s">
        <v>138</v>
      </c>
      <c r="C81" s="324"/>
      <c r="D81" s="263">
        <v>65012.787181180749</v>
      </c>
      <c r="E81" s="323">
        <v>103010.4</v>
      </c>
      <c r="F81" s="323">
        <v>156940.19609299104</v>
      </c>
      <c r="G81" s="323"/>
      <c r="H81" s="358">
        <v>5065</v>
      </c>
      <c r="I81" s="235">
        <f t="shared" si="1"/>
        <v>-0.36887161702914706</v>
      </c>
      <c r="J81" s="276"/>
    </row>
    <row r="82" spans="2:10">
      <c r="B82" s="360" t="s">
        <v>139</v>
      </c>
      <c r="C82" s="359"/>
      <c r="D82" s="264" t="s">
        <v>140</v>
      </c>
      <c r="E82" s="323"/>
      <c r="F82" s="323"/>
      <c r="G82" s="323"/>
      <c r="H82" s="358"/>
      <c r="I82" s="235"/>
      <c r="J82" s="276"/>
    </row>
    <row r="83" spans="2:10">
      <c r="B83" s="360" t="s">
        <v>1092</v>
      </c>
      <c r="C83" s="359"/>
      <c r="D83" s="265" t="s">
        <v>1093</v>
      </c>
      <c r="E83" s="323"/>
      <c r="F83" s="323"/>
      <c r="G83" s="323"/>
      <c r="H83" s="358"/>
      <c r="I83" s="235"/>
      <c r="J83" s="276"/>
    </row>
    <row r="84" spans="2:10">
      <c r="B84" s="357"/>
      <c r="C84" s="352"/>
      <c r="D84" s="352"/>
      <c r="E84" s="352"/>
      <c r="F84" s="352"/>
      <c r="G84" s="276"/>
      <c r="H84" s="276"/>
      <c r="I84" s="266"/>
      <c r="J84" s="276"/>
    </row>
    <row r="85" spans="2:10" ht="17.100000000000001" customHeight="1">
      <c r="B85" s="357" t="s">
        <v>127</v>
      </c>
      <c r="C85" s="356"/>
      <c r="D85" s="356"/>
      <c r="E85" s="356"/>
      <c r="F85" s="356"/>
      <c r="G85" s="355"/>
      <c r="H85" s="355"/>
      <c r="I85" s="354"/>
      <c r="J85" s="276"/>
    </row>
    <row r="86" spans="2:10" ht="17.100000000000001" customHeight="1">
      <c r="B86" s="2031" t="s">
        <v>143</v>
      </c>
      <c r="C86" s="2032"/>
      <c r="D86" s="2032"/>
      <c r="E86" s="2032"/>
      <c r="F86" s="2033"/>
      <c r="G86" s="2033"/>
      <c r="H86" s="2033"/>
      <c r="I86" s="2034"/>
      <c r="J86" s="276"/>
    </row>
    <row r="87" spans="2:10" ht="17.100000000000001" customHeight="1">
      <c r="B87" s="2031" t="s">
        <v>1094</v>
      </c>
      <c r="C87" s="2032"/>
      <c r="D87" s="2032"/>
      <c r="E87" s="2032"/>
      <c r="F87" s="2033"/>
      <c r="G87" s="2033"/>
      <c r="H87" s="2033"/>
      <c r="I87" s="2034"/>
      <c r="J87" s="276"/>
    </row>
    <row r="88" spans="2:10" ht="17.100000000000001" customHeight="1">
      <c r="B88" s="2040" t="s">
        <v>1095</v>
      </c>
      <c r="C88" s="2041"/>
      <c r="D88" s="2041"/>
      <c r="E88" s="2041"/>
      <c r="F88" s="2041"/>
      <c r="G88" s="2041"/>
      <c r="H88" s="2041"/>
      <c r="I88" s="2042"/>
      <c r="J88" s="276"/>
    </row>
    <row r="89" spans="2:10" ht="17.100000000000001" customHeight="1">
      <c r="B89" s="287" t="s">
        <v>146</v>
      </c>
      <c r="C89" s="330"/>
      <c r="D89" s="330"/>
      <c r="E89" s="330"/>
      <c r="F89" s="330"/>
      <c r="G89" s="491"/>
      <c r="H89" s="491"/>
      <c r="I89" s="492"/>
      <c r="J89" s="276"/>
    </row>
    <row r="90" spans="2:10" ht="18.600000000000001" customHeight="1">
      <c r="B90" s="164" t="s">
        <v>1096</v>
      </c>
      <c r="C90" s="276"/>
      <c r="D90" s="276"/>
      <c r="E90" s="276"/>
      <c r="F90" s="276"/>
      <c r="G90" s="276"/>
      <c r="H90" s="276"/>
      <c r="I90" s="281"/>
      <c r="J90" s="276"/>
    </row>
    <row r="91" spans="2:10">
      <c r="B91" s="164"/>
      <c r="C91" s="276"/>
      <c r="D91" s="276"/>
      <c r="E91" s="276"/>
      <c r="F91" s="276"/>
      <c r="G91" s="276"/>
      <c r="H91" s="276"/>
      <c r="I91" s="281"/>
      <c r="J91" s="276"/>
    </row>
    <row r="92" spans="2:10">
      <c r="B92" s="353"/>
      <c r="C92" s="352"/>
      <c r="D92" s="352"/>
      <c r="E92" s="352"/>
      <c r="F92" s="352"/>
      <c r="G92" s="276"/>
      <c r="H92" s="276"/>
      <c r="I92" s="281"/>
      <c r="J92" s="276"/>
    </row>
    <row r="93" spans="2:10" ht="20.100000000000001" customHeight="1">
      <c r="B93" s="318" t="s">
        <v>199</v>
      </c>
      <c r="C93" s="317"/>
      <c r="D93" s="317"/>
      <c r="E93" s="316"/>
      <c r="F93" s="329"/>
      <c r="G93" s="276"/>
      <c r="H93" s="276"/>
      <c r="I93" s="315" t="s">
        <v>592</v>
      </c>
      <c r="J93" s="276"/>
    </row>
    <row r="94" spans="2:10">
      <c r="B94" s="907" t="s">
        <v>1097</v>
      </c>
      <c r="C94" s="345"/>
      <c r="D94" s="345"/>
      <c r="E94" s="351"/>
      <c r="F94" s="350"/>
      <c r="G94" s="276"/>
      <c r="H94" s="276"/>
      <c r="I94" s="281"/>
      <c r="J94" s="276"/>
    </row>
    <row r="95" spans="2:10" ht="27" customHeight="1">
      <c r="B95" s="349"/>
      <c r="C95" s="348"/>
      <c r="D95" s="326" t="s">
        <v>92</v>
      </c>
      <c r="E95" s="308" t="s">
        <v>93</v>
      </c>
      <c r="F95" s="308" t="s">
        <v>94</v>
      </c>
      <c r="G95" s="308" t="s">
        <v>95</v>
      </c>
      <c r="H95" s="308" t="s">
        <v>1074</v>
      </c>
      <c r="I95" s="307" t="s">
        <v>1075</v>
      </c>
      <c r="J95" s="276"/>
    </row>
    <row r="96" spans="2:10">
      <c r="B96" s="325" t="s">
        <v>201</v>
      </c>
      <c r="C96" s="324"/>
      <c r="D96" s="344">
        <v>86567327.066097647</v>
      </c>
      <c r="E96" s="323">
        <v>73908445.702636898</v>
      </c>
      <c r="F96" s="323">
        <v>70142808.122068703</v>
      </c>
      <c r="G96" s="323">
        <v>83664847.526481494</v>
      </c>
      <c r="H96" s="323">
        <v>119209019.38383874</v>
      </c>
      <c r="I96" s="235">
        <f>D96/E96-1</f>
        <v>0.17127787282109086</v>
      </c>
      <c r="J96" s="276"/>
    </row>
    <row r="97" spans="2:15">
      <c r="B97" s="325" t="s">
        <v>202</v>
      </c>
      <c r="C97" s="324"/>
      <c r="D97" s="237">
        <v>51291684.617324896</v>
      </c>
      <c r="E97" s="296">
        <v>46566282.933354303</v>
      </c>
      <c r="F97" s="296">
        <v>43894274.957935318</v>
      </c>
      <c r="G97" s="296">
        <v>50480813.716648713</v>
      </c>
      <c r="H97" s="296">
        <v>74443766.76230374</v>
      </c>
      <c r="I97" s="238">
        <f>D97/E97-1</f>
        <v>0.10147689242737257</v>
      </c>
      <c r="J97" s="276"/>
    </row>
    <row r="98" spans="2:15">
      <c r="B98" s="325" t="s">
        <v>203</v>
      </c>
      <c r="C98" s="324"/>
      <c r="D98" s="297">
        <v>35275642.448772758</v>
      </c>
      <c r="E98" s="296">
        <v>27342162.769282594</v>
      </c>
      <c r="F98" s="296">
        <v>26248533.164133385</v>
      </c>
      <c r="G98" s="296">
        <v>33184034</v>
      </c>
      <c r="H98" s="296">
        <v>44765252.621526293</v>
      </c>
      <c r="I98" s="238">
        <f>D98/E98-1</f>
        <v>0.29015552816483803</v>
      </c>
      <c r="J98" s="276"/>
    </row>
    <row r="99" spans="2:15">
      <c r="B99" s="347"/>
      <c r="C99" s="346"/>
      <c r="D99" s="346"/>
      <c r="E99" s="276"/>
      <c r="F99" s="276"/>
      <c r="G99" s="276"/>
      <c r="H99" s="276"/>
      <c r="I99" s="281"/>
      <c r="J99" s="276"/>
    </row>
    <row r="100" spans="2:15">
      <c r="B100" s="282"/>
      <c r="C100" s="276"/>
      <c r="D100" s="276"/>
      <c r="E100" s="276"/>
      <c r="F100" s="276"/>
      <c r="G100" s="276"/>
      <c r="H100" s="276"/>
      <c r="I100" s="281"/>
      <c r="J100" s="276"/>
    </row>
    <row r="101" spans="2:15" ht="20.100000000000001" customHeight="1">
      <c r="B101" s="318" t="s">
        <v>205</v>
      </c>
      <c r="C101" s="317"/>
      <c r="D101" s="329"/>
      <c r="E101" s="276"/>
      <c r="F101" s="276"/>
      <c r="G101" s="276"/>
      <c r="I101" s="315" t="s">
        <v>206</v>
      </c>
      <c r="J101" s="276"/>
    </row>
    <row r="102" spans="2:15">
      <c r="B102" s="907" t="s">
        <v>207</v>
      </c>
      <c r="C102" s="345"/>
      <c r="D102" s="327"/>
      <c r="E102" s="276"/>
      <c r="F102" s="276"/>
      <c r="G102" s="276"/>
      <c r="H102" s="276"/>
      <c r="I102" s="281"/>
      <c r="J102" s="276"/>
    </row>
    <row r="103" spans="2:15" ht="27" customHeight="1">
      <c r="B103" s="311"/>
      <c r="C103" s="310"/>
      <c r="D103" s="326" t="s">
        <v>92</v>
      </c>
      <c r="E103" s="308" t="s">
        <v>93</v>
      </c>
      <c r="F103" s="308" t="s">
        <v>94</v>
      </c>
      <c r="G103" s="308" t="s">
        <v>95</v>
      </c>
      <c r="H103" s="308" t="s">
        <v>1074</v>
      </c>
      <c r="I103" s="307" t="s">
        <v>1075</v>
      </c>
      <c r="J103" s="276"/>
    </row>
    <row r="104" spans="2:15">
      <c r="B104" s="325" t="s">
        <v>208</v>
      </c>
      <c r="C104" s="323"/>
      <c r="D104" s="344">
        <v>9987.9637218999997</v>
      </c>
      <c r="E104" s="323">
        <v>13423.475845599998</v>
      </c>
      <c r="F104" s="323">
        <v>13675.5866379</v>
      </c>
      <c r="G104" s="323">
        <v>15044</v>
      </c>
      <c r="H104" s="323">
        <v>17033</v>
      </c>
      <c r="I104" s="235">
        <f t="shared" ref="I104:I123" si="2">D104/E104-1</f>
        <v>-0.25593312516192335</v>
      </c>
      <c r="J104" s="276"/>
    </row>
    <row r="105" spans="2:15" s="339" customFormat="1">
      <c r="B105" s="338" t="s">
        <v>209</v>
      </c>
      <c r="C105" s="191"/>
      <c r="D105" s="267">
        <v>5597.1838300999989</v>
      </c>
      <c r="E105" s="191">
        <v>7148.3863379000004</v>
      </c>
      <c r="F105" s="341">
        <v>7635.1314973000008</v>
      </c>
      <c r="G105" s="341">
        <v>9712.3706540000021</v>
      </c>
      <c r="H105" s="341">
        <v>11981.704099</v>
      </c>
      <c r="I105" s="268">
        <f t="shared" si="2"/>
        <v>-0.21700037385720006</v>
      </c>
      <c r="J105" s="343"/>
    </row>
    <row r="106" spans="2:15">
      <c r="B106" s="340" t="s">
        <v>210</v>
      </c>
      <c r="C106" s="190"/>
      <c r="D106" s="269">
        <v>2001.8171568999999</v>
      </c>
      <c r="E106" s="190">
        <v>1999.9896635</v>
      </c>
      <c r="F106" s="296">
        <v>2657.9914417999998</v>
      </c>
      <c r="G106" s="296">
        <v>2828.8702700000013</v>
      </c>
      <c r="H106" s="296">
        <v>2413.1087990000001</v>
      </c>
      <c r="I106" s="250">
        <f t="shared" si="2"/>
        <v>9.1375142249572328E-4</v>
      </c>
      <c r="J106" s="276"/>
    </row>
    <row r="107" spans="2:15">
      <c r="B107" s="342" t="s">
        <v>211</v>
      </c>
      <c r="C107" s="190"/>
      <c r="D107" s="269">
        <v>1601.1470934999998</v>
      </c>
      <c r="E107" s="190">
        <v>1840.4082077</v>
      </c>
      <c r="F107" s="296">
        <v>2369.7508726999999</v>
      </c>
      <c r="G107" s="296">
        <v>2241.4581600000001</v>
      </c>
      <c r="H107" s="296">
        <v>2183.6304999999988</v>
      </c>
      <c r="I107" s="250">
        <f t="shared" si="2"/>
        <v>-0.13000437250766794</v>
      </c>
      <c r="J107" s="276"/>
    </row>
    <row r="108" spans="2:15">
      <c r="B108" s="342" t="s">
        <v>212</v>
      </c>
      <c r="C108" s="190"/>
      <c r="D108" s="269">
        <v>390.20330730000001</v>
      </c>
      <c r="E108" s="190">
        <v>143.88327269999999</v>
      </c>
      <c r="F108" s="296">
        <v>138.53730909999999</v>
      </c>
      <c r="G108" s="296">
        <v>190.47364999999999</v>
      </c>
      <c r="H108" s="296">
        <v>198.021919</v>
      </c>
      <c r="I108" s="250">
        <f t="shared" si="2"/>
        <v>1.711943507940517</v>
      </c>
      <c r="J108" s="276"/>
    </row>
    <row r="109" spans="2:15">
      <c r="B109" s="342" t="s">
        <v>213</v>
      </c>
      <c r="C109" s="190"/>
      <c r="D109" s="269">
        <v>10.4667561</v>
      </c>
      <c r="E109" s="190">
        <v>15.698183100000001</v>
      </c>
      <c r="F109" s="296">
        <v>149.70326</v>
      </c>
      <c r="G109" s="296">
        <v>396.93846000000121</v>
      </c>
      <c r="H109" s="296">
        <v>31.456380000001445</v>
      </c>
      <c r="I109" s="250">
        <f t="shared" si="2"/>
        <v>-0.33325047661088891</v>
      </c>
      <c r="J109" s="276"/>
    </row>
    <row r="110" spans="2:15">
      <c r="B110" s="299" t="s">
        <v>222</v>
      </c>
      <c r="C110" s="190"/>
      <c r="D110" s="269">
        <v>609.79411010000013</v>
      </c>
      <c r="E110" s="190">
        <v>1283.2047132</v>
      </c>
      <c r="F110" s="296">
        <v>630.19825000000003</v>
      </c>
      <c r="G110" s="296">
        <v>1340.08132</v>
      </c>
      <c r="H110" s="296">
        <v>5632.5953</v>
      </c>
      <c r="I110" s="250">
        <f t="shared" si="2"/>
        <v>-0.52478813097613852</v>
      </c>
      <c r="J110" s="276"/>
    </row>
    <row r="111" spans="2:15" s="339" customFormat="1">
      <c r="B111" s="320" t="s">
        <v>215</v>
      </c>
      <c r="C111" s="190"/>
      <c r="D111" s="269">
        <f>D112+D113</f>
        <v>2985.51188</v>
      </c>
      <c r="E111" s="190">
        <v>3865.1919611999997</v>
      </c>
      <c r="F111" s="296">
        <v>4346.9418055000006</v>
      </c>
      <c r="G111" s="296">
        <v>5543.4190639999997</v>
      </c>
      <c r="H111" s="296">
        <v>3935.6</v>
      </c>
      <c r="I111" s="250">
        <f t="shared" si="2"/>
        <v>-0.22759026977974239</v>
      </c>
      <c r="J111" s="276"/>
      <c r="K111" s="275"/>
      <c r="L111" s="275"/>
      <c r="M111" s="275"/>
    </row>
    <row r="112" spans="2:15">
      <c r="B112" s="342" t="s">
        <v>216</v>
      </c>
      <c r="C112" s="190"/>
      <c r="D112" s="269">
        <v>2970</v>
      </c>
      <c r="E112" s="190">
        <v>3841.4432471999999</v>
      </c>
      <c r="F112" s="296">
        <v>4327.0848485000006</v>
      </c>
      <c r="G112" s="296">
        <v>5527.4312789999994</v>
      </c>
      <c r="H112" s="296">
        <v>3920</v>
      </c>
      <c r="I112" s="250">
        <f t="shared" si="2"/>
        <v>-0.22685308388590375</v>
      </c>
      <c r="J112" s="276"/>
      <c r="N112" s="339"/>
      <c r="O112" s="339"/>
    </row>
    <row r="113" spans="2:15">
      <c r="B113" s="342" t="s">
        <v>217</v>
      </c>
      <c r="C113" s="187"/>
      <c r="D113" s="270">
        <v>15.511879999999998</v>
      </c>
      <c r="E113" s="189">
        <v>23.748714000000007</v>
      </c>
      <c r="F113" s="189">
        <v>19.856956999999998</v>
      </c>
      <c r="G113" s="322">
        <v>15.987785000000001</v>
      </c>
      <c r="H113" s="322">
        <v>15.6</v>
      </c>
      <c r="I113" s="250">
        <f t="shared" si="2"/>
        <v>-0.34683284324363861</v>
      </c>
      <c r="J113" s="276"/>
      <c r="N113" s="339"/>
      <c r="O113" s="339"/>
    </row>
    <row r="114" spans="2:15">
      <c r="B114" s="338" t="s">
        <v>219</v>
      </c>
      <c r="C114" s="191"/>
      <c r="D114" s="267">
        <v>4390.7798917999989</v>
      </c>
      <c r="E114" s="191">
        <v>6275.0895076999986</v>
      </c>
      <c r="F114" s="341">
        <v>6040.4551405999991</v>
      </c>
      <c r="G114" s="341">
        <v>5331.3998849999998</v>
      </c>
      <c r="H114" s="341">
        <v>5051.2033599999895</v>
      </c>
      <c r="I114" s="268">
        <f t="shared" si="2"/>
        <v>-0.30028410169891795</v>
      </c>
      <c r="J114" s="276"/>
      <c r="N114" s="339"/>
      <c r="O114" s="339"/>
    </row>
    <row r="115" spans="2:15">
      <c r="B115" s="340" t="s">
        <v>210</v>
      </c>
      <c r="C115" s="190"/>
      <c r="D115" s="269">
        <v>4277.2029047999986</v>
      </c>
      <c r="E115" s="190">
        <v>5752.4798485999991</v>
      </c>
      <c r="F115" s="296">
        <v>5604.5987314999993</v>
      </c>
      <c r="G115" s="296">
        <v>4501.5426049999996</v>
      </c>
      <c r="H115" s="296">
        <v>4682.9533599999895</v>
      </c>
      <c r="I115" s="250">
        <f t="shared" si="2"/>
        <v>-0.2564592980119772</v>
      </c>
      <c r="J115" s="276"/>
      <c r="N115" s="339"/>
      <c r="O115" s="339"/>
    </row>
    <row r="116" spans="2:15">
      <c r="B116" s="340" t="s">
        <v>1098</v>
      </c>
      <c r="C116" s="190"/>
      <c r="D116" s="269">
        <v>4188.4112460999986</v>
      </c>
      <c r="E116" s="190">
        <v>5592.3092960999993</v>
      </c>
      <c r="F116" s="296">
        <v>5387.7257344999989</v>
      </c>
      <c r="G116" s="296">
        <v>4404.5621899999996</v>
      </c>
      <c r="H116" s="296">
        <v>4578.5428299999894</v>
      </c>
      <c r="I116" s="250">
        <f t="shared" si="2"/>
        <v>-0.25104084478643918</v>
      </c>
      <c r="J116" s="276"/>
      <c r="N116" s="339"/>
      <c r="O116" s="339"/>
    </row>
    <row r="117" spans="2:15">
      <c r="B117" s="340" t="s">
        <v>1099</v>
      </c>
      <c r="C117" s="190"/>
      <c r="D117" s="269">
        <v>87.959658700000006</v>
      </c>
      <c r="E117" s="190">
        <v>160.17055249999999</v>
      </c>
      <c r="F117" s="296">
        <v>216.872997</v>
      </c>
      <c r="G117" s="296">
        <v>96.980415000000022</v>
      </c>
      <c r="H117" s="296">
        <v>104.41053000000001</v>
      </c>
      <c r="I117" s="250">
        <f t="shared" si="2"/>
        <v>-0.4508375145924528</v>
      </c>
      <c r="J117" s="276"/>
      <c r="N117" s="339"/>
      <c r="O117" s="339"/>
    </row>
    <row r="118" spans="2:15">
      <c r="B118" s="299" t="s">
        <v>222</v>
      </c>
      <c r="C118" s="190"/>
      <c r="D118" s="269">
        <v>113.468987</v>
      </c>
      <c r="E118" s="190">
        <v>517.11465910000004</v>
      </c>
      <c r="F118" s="296">
        <v>430.08890910000002</v>
      </c>
      <c r="G118" s="296">
        <v>824.08228000000008</v>
      </c>
      <c r="H118" s="296">
        <v>364</v>
      </c>
      <c r="I118" s="250">
        <f t="shared" si="2"/>
        <v>-0.78057286715196894</v>
      </c>
      <c r="J118" s="276"/>
    </row>
    <row r="119" spans="2:15">
      <c r="B119" s="299" t="s">
        <v>223</v>
      </c>
      <c r="C119" s="187"/>
      <c r="D119" s="270">
        <v>0.94000000000000006</v>
      </c>
      <c r="E119" s="189">
        <v>5.4950000000000001</v>
      </c>
      <c r="F119" s="189">
        <v>5.7675000000000001</v>
      </c>
      <c r="G119" s="322">
        <v>5.7750000000005457</v>
      </c>
      <c r="H119" s="322">
        <v>4.25</v>
      </c>
      <c r="I119" s="250">
        <f t="shared" si="2"/>
        <v>-0.8289353958143767</v>
      </c>
      <c r="J119" s="276"/>
    </row>
    <row r="120" spans="2:15">
      <c r="B120" s="338" t="s">
        <v>224</v>
      </c>
      <c r="C120" s="188"/>
      <c r="D120" s="271">
        <v>56.039288747388973</v>
      </c>
      <c r="E120" s="188">
        <v>53.25287146281957</v>
      </c>
      <c r="F120" s="337">
        <v>55.83037641793215</v>
      </c>
      <c r="G120" s="337">
        <v>64.559762390321737</v>
      </c>
      <c r="H120" s="337">
        <v>70.344062108847538</v>
      </c>
      <c r="I120" s="268">
        <f t="shared" si="2"/>
        <v>5.2324263612993027E-2</v>
      </c>
      <c r="J120" s="276"/>
    </row>
    <row r="121" spans="2:15">
      <c r="B121" s="335" t="s">
        <v>225</v>
      </c>
      <c r="C121" s="187"/>
      <c r="D121" s="272">
        <v>31.881044131558685</v>
      </c>
      <c r="E121" s="187">
        <v>25.798097759409831</v>
      </c>
      <c r="F121" s="333">
        <v>32.168985585042321</v>
      </c>
      <c r="G121" s="333">
        <v>38.590872277436361</v>
      </c>
      <c r="H121" s="333">
        <f>(H108+H107+H109)/(H108+H107+H109+H116+H117)*100</f>
        <v>34.006308638932033</v>
      </c>
      <c r="I121" s="250">
        <f t="shared" si="2"/>
        <v>0.23579050009336844</v>
      </c>
      <c r="J121" s="276"/>
    </row>
    <row r="122" spans="2:15">
      <c r="B122" s="336" t="s">
        <v>226</v>
      </c>
      <c r="C122" s="187"/>
      <c r="D122" s="272">
        <v>84.311519908181978</v>
      </c>
      <c r="E122" s="187">
        <v>71.276504210507966</v>
      </c>
      <c r="F122" s="333">
        <v>59.436563443334457</v>
      </c>
      <c r="G122" s="333">
        <v>61.921442537893171</v>
      </c>
      <c r="H122" s="333">
        <f>H110/(H110+H118)*100</f>
        <v>93.929888848760569</v>
      </c>
      <c r="I122" s="250">
        <f t="shared" si="2"/>
        <v>0.18287955956953783</v>
      </c>
      <c r="J122" s="276"/>
    </row>
    <row r="123" spans="2:15">
      <c r="B123" s="335" t="s">
        <v>227</v>
      </c>
      <c r="C123" s="186"/>
      <c r="D123" s="273">
        <v>99.968375566501308</v>
      </c>
      <c r="E123" s="186">
        <v>99.858035535937631</v>
      </c>
      <c r="F123" s="334">
        <v>99.867496320218024</v>
      </c>
      <c r="G123" s="334">
        <v>99.895930833677895</v>
      </c>
      <c r="H123" s="333">
        <f>H111/(H111+H119)*100</f>
        <v>99.892127872888565</v>
      </c>
      <c r="I123" s="250">
        <f t="shared" si="2"/>
        <v>1.1049689689115461E-3</v>
      </c>
      <c r="J123" s="276"/>
    </row>
    <row r="124" spans="2:15">
      <c r="B124" s="295"/>
      <c r="C124" s="294"/>
      <c r="D124" s="294"/>
      <c r="E124" s="294"/>
      <c r="F124" s="332"/>
      <c r="G124" s="332"/>
      <c r="H124" s="332"/>
      <c r="I124" s="331"/>
      <c r="J124" s="276"/>
    </row>
    <row r="125" spans="2:15">
      <c r="B125" s="291" t="s">
        <v>127</v>
      </c>
      <c r="C125" s="286"/>
      <c r="D125" s="286"/>
      <c r="E125" s="286"/>
      <c r="F125" s="274"/>
      <c r="G125" s="274"/>
      <c r="H125" s="274"/>
      <c r="I125" s="492"/>
      <c r="J125" s="276"/>
    </row>
    <row r="126" spans="2:15" ht="17.100000000000001" customHeight="1">
      <c r="B126" s="2031" t="s">
        <v>1100</v>
      </c>
      <c r="C126" s="2032"/>
      <c r="D126" s="2032"/>
      <c r="E126" s="2032"/>
      <c r="F126" s="2032"/>
      <c r="G126" s="2032"/>
      <c r="H126" s="2032"/>
      <c r="I126" s="2039"/>
      <c r="J126" s="276"/>
    </row>
    <row r="127" spans="2:15" ht="17.100000000000001" customHeight="1">
      <c r="B127" s="287" t="s">
        <v>229</v>
      </c>
      <c r="C127" s="330"/>
      <c r="D127" s="330"/>
      <c r="E127" s="330"/>
      <c r="F127" s="330"/>
      <c r="G127" s="491"/>
      <c r="H127" s="491"/>
      <c r="I127" s="492"/>
      <c r="J127" s="276"/>
    </row>
    <row r="128" spans="2:15" ht="17.100000000000001" customHeight="1">
      <c r="B128" s="287" t="s">
        <v>1101</v>
      </c>
      <c r="C128" s="330"/>
      <c r="D128" s="330"/>
      <c r="E128" s="330"/>
      <c r="F128" s="330"/>
      <c r="G128" s="491"/>
      <c r="H128" s="491"/>
      <c r="I128" s="492"/>
      <c r="J128" s="276"/>
    </row>
    <row r="129" spans="2:10" ht="17.100000000000001" customHeight="1">
      <c r="B129" s="287" t="s">
        <v>1102</v>
      </c>
      <c r="C129" s="330"/>
      <c r="D129" s="330"/>
      <c r="E129" s="330"/>
      <c r="F129" s="330"/>
      <c r="G129" s="491"/>
      <c r="H129" s="491"/>
      <c r="I129" s="492"/>
      <c r="J129" s="276"/>
    </row>
    <row r="130" spans="2:10" ht="17.100000000000001" customHeight="1">
      <c r="B130" s="287"/>
      <c r="C130" s="330"/>
      <c r="D130" s="330"/>
      <c r="E130" s="330"/>
      <c r="F130" s="330"/>
      <c r="G130" s="491"/>
      <c r="H130" s="491"/>
      <c r="I130" s="492"/>
      <c r="J130" s="276"/>
    </row>
    <row r="131" spans="2:10">
      <c r="B131" s="282"/>
      <c r="C131" s="276"/>
      <c r="D131" s="276"/>
      <c r="E131" s="276"/>
      <c r="F131" s="276"/>
      <c r="G131" s="276"/>
      <c r="H131" s="276"/>
      <c r="I131" s="281"/>
      <c r="J131" s="276"/>
    </row>
    <row r="132" spans="2:10" ht="20.100000000000001" customHeight="1">
      <c r="B132" s="318" t="s">
        <v>233</v>
      </c>
      <c r="C132" s="317"/>
      <c r="D132" s="317"/>
      <c r="E132" s="316"/>
      <c r="F132" s="329"/>
      <c r="G132" s="276"/>
      <c r="H132" s="276"/>
      <c r="I132" s="328"/>
      <c r="J132" s="276"/>
    </row>
    <row r="133" spans="2:10">
      <c r="B133" s="314" t="s">
        <v>207</v>
      </c>
      <c r="C133" s="313"/>
      <c r="D133" s="313"/>
      <c r="E133" s="312"/>
      <c r="F133" s="327"/>
      <c r="G133" s="276"/>
      <c r="H133" s="276"/>
      <c r="I133" s="281"/>
      <c r="J133" s="276"/>
    </row>
    <row r="134" spans="2:10" ht="27" customHeight="1">
      <c r="B134" s="311"/>
      <c r="C134" s="310"/>
      <c r="D134" s="326" t="s">
        <v>92</v>
      </c>
      <c r="E134" s="308" t="s">
        <v>93</v>
      </c>
      <c r="F134" s="308" t="s">
        <v>94</v>
      </c>
      <c r="G134" s="308" t="s">
        <v>95</v>
      </c>
      <c r="H134" s="308" t="s">
        <v>1074</v>
      </c>
      <c r="I134" s="307" t="s">
        <v>1075</v>
      </c>
      <c r="J134" s="276"/>
    </row>
    <row r="135" spans="2:10">
      <c r="B135" s="325" t="s">
        <v>234</v>
      </c>
      <c r="C135" s="324"/>
      <c r="D135" s="262">
        <v>1809.8102849500001</v>
      </c>
      <c r="E135" s="323">
        <v>1453.5481389000001</v>
      </c>
      <c r="F135" s="323">
        <v>1594.2786013</v>
      </c>
      <c r="G135" s="323">
        <v>2003.7035976</v>
      </c>
      <c r="H135" s="323">
        <v>2725.3473008678502</v>
      </c>
      <c r="I135" s="235">
        <f>D135/E135-1</f>
        <v>0.24509827814826135</v>
      </c>
      <c r="J135" s="276"/>
    </row>
    <row r="136" spans="2:10">
      <c r="B136" s="320" t="s">
        <v>1103</v>
      </c>
      <c r="C136" s="319"/>
      <c r="D136" s="237">
        <v>130.55628495000002</v>
      </c>
      <c r="E136" s="255">
        <v>156.27613889999998</v>
      </c>
      <c r="F136" s="255">
        <v>192.87860130000001</v>
      </c>
      <c r="G136" s="322">
        <v>238.15859760000001</v>
      </c>
      <c r="H136" s="300">
        <v>245</v>
      </c>
      <c r="I136" s="238">
        <f>D136/E136-1</f>
        <v>-0.16457953294109673</v>
      </c>
      <c r="J136" s="321"/>
    </row>
    <row r="137" spans="2:10">
      <c r="B137" s="320" t="s">
        <v>1104</v>
      </c>
      <c r="C137" s="319"/>
      <c r="D137" s="237">
        <v>953.25400000000002</v>
      </c>
      <c r="E137" s="296">
        <v>447.17200000000003</v>
      </c>
      <c r="F137" s="296">
        <v>447.2</v>
      </c>
      <c r="G137" s="296">
        <v>636.80499999999995</v>
      </c>
      <c r="H137" s="300">
        <v>1199</v>
      </c>
      <c r="I137" s="238">
        <f>D137/E137-1</f>
        <v>1.1317390176486901</v>
      </c>
      <c r="J137" s="276"/>
    </row>
    <row r="138" spans="2:10">
      <c r="B138" s="320" t="s">
        <v>1105</v>
      </c>
      <c r="C138" s="319"/>
      <c r="D138" s="236">
        <v>726</v>
      </c>
      <c r="E138" s="296">
        <v>850.1</v>
      </c>
      <c r="F138" s="296">
        <v>954.19999999999993</v>
      </c>
      <c r="G138" s="296">
        <v>1128.74</v>
      </c>
      <c r="H138" s="296">
        <v>1281</v>
      </c>
      <c r="I138" s="238">
        <f>D138/E138-1</f>
        <v>-0.14598282554993536</v>
      </c>
      <c r="J138" s="276"/>
    </row>
    <row r="139" spans="2:10">
      <c r="B139" s="291"/>
      <c r="C139" s="286"/>
      <c r="D139" s="286"/>
      <c r="E139" s="286"/>
      <c r="I139" s="284"/>
      <c r="J139" s="276"/>
    </row>
    <row r="140" spans="2:10">
      <c r="B140" s="282"/>
      <c r="C140" s="276"/>
      <c r="D140" s="276"/>
      <c r="E140" s="276"/>
      <c r="F140" s="276"/>
      <c r="G140" s="276"/>
      <c r="H140" s="276"/>
      <c r="I140" s="281"/>
      <c r="J140" s="276"/>
    </row>
    <row r="141" spans="2:10" ht="20.100000000000001" customHeight="1">
      <c r="B141" s="318" t="s">
        <v>238</v>
      </c>
      <c r="C141" s="317"/>
      <c r="D141" s="317"/>
      <c r="E141" s="316"/>
      <c r="F141" s="276"/>
      <c r="G141" s="276"/>
      <c r="I141" s="315" t="s">
        <v>239</v>
      </c>
      <c r="J141" s="276"/>
    </row>
    <row r="142" spans="2:10">
      <c r="B142" s="314" t="s">
        <v>240</v>
      </c>
      <c r="C142" s="313"/>
      <c r="D142" s="313"/>
      <c r="E142" s="312"/>
      <c r="F142" s="276"/>
      <c r="G142" s="276"/>
      <c r="H142" s="276"/>
      <c r="I142" s="281"/>
      <c r="J142" s="276"/>
    </row>
    <row r="143" spans="2:10" ht="27" customHeight="1">
      <c r="B143" s="311"/>
      <c r="C143" s="310"/>
      <c r="D143" s="309" t="s">
        <v>92</v>
      </c>
      <c r="E143" s="308" t="s">
        <v>93</v>
      </c>
      <c r="F143" s="308" t="s">
        <v>94</v>
      </c>
      <c r="G143" s="308" t="s">
        <v>95</v>
      </c>
      <c r="H143" s="308" t="s">
        <v>1074</v>
      </c>
      <c r="I143" s="307" t="s">
        <v>1075</v>
      </c>
      <c r="J143" s="276"/>
    </row>
    <row r="144" spans="2:10">
      <c r="B144" s="306"/>
      <c r="C144" s="305"/>
      <c r="D144" s="304"/>
      <c r="E144" s="303"/>
      <c r="F144" s="303"/>
      <c r="G144" s="303"/>
      <c r="H144" s="303"/>
      <c r="I144" s="302"/>
      <c r="J144" s="276"/>
    </row>
    <row r="145" spans="2:10" ht="21.6">
      <c r="B145" s="299" t="s">
        <v>241</v>
      </c>
      <c r="C145" s="298"/>
      <c r="D145" s="301">
        <v>1063.2442300000027</v>
      </c>
      <c r="E145" s="296">
        <v>1014.9647299999998</v>
      </c>
      <c r="F145" s="296">
        <v>1039.4928199999983</v>
      </c>
      <c r="G145" s="296">
        <v>1054</v>
      </c>
      <c r="H145" s="300">
        <v>1083</v>
      </c>
      <c r="I145" s="238">
        <v>4.7567662769919972E-2</v>
      </c>
      <c r="J145" s="276"/>
    </row>
    <row r="146" spans="2:10" ht="21.6">
      <c r="B146" s="299" t="s">
        <v>243</v>
      </c>
      <c r="C146" s="298"/>
      <c r="D146" s="297">
        <v>990.43068080000012</v>
      </c>
      <c r="E146" s="296">
        <v>2894.2066733000001</v>
      </c>
      <c r="F146" s="296">
        <v>1470.8847270000001</v>
      </c>
      <c r="G146" s="296">
        <v>1992</v>
      </c>
      <c r="H146" s="296">
        <v>3057</v>
      </c>
      <c r="I146" s="238">
        <v>-0.65778854359744043</v>
      </c>
      <c r="J146" s="276"/>
    </row>
    <row r="147" spans="2:10">
      <c r="B147" s="295"/>
      <c r="C147" s="294"/>
      <c r="D147" s="294"/>
      <c r="E147" s="294"/>
      <c r="F147" s="294"/>
      <c r="G147" s="293"/>
      <c r="H147" s="293"/>
      <c r="I147" s="292"/>
      <c r="J147" s="276"/>
    </row>
    <row r="148" spans="2:10" ht="17.100000000000001" customHeight="1">
      <c r="B148" s="291" t="s">
        <v>127</v>
      </c>
      <c r="C148" s="286"/>
      <c r="D148" s="286"/>
      <c r="E148" s="286"/>
      <c r="F148" s="290"/>
      <c r="G148" s="289"/>
      <c r="H148" s="289"/>
      <c r="I148" s="288"/>
      <c r="J148" s="276"/>
    </row>
    <row r="149" spans="2:10" ht="17.100000000000001" customHeight="1">
      <c r="B149" s="287" t="s">
        <v>244</v>
      </c>
      <c r="C149" s="286"/>
      <c r="D149" s="286"/>
      <c r="E149" s="286"/>
      <c r="F149" s="285"/>
      <c r="I149" s="284"/>
      <c r="J149" s="276"/>
    </row>
    <row r="150" spans="2:10" s="283" customFormat="1" ht="17.100000000000001" customHeight="1">
      <c r="B150" s="287" t="s">
        <v>245</v>
      </c>
      <c r="C150" s="286"/>
      <c r="D150" s="286"/>
      <c r="E150" s="286"/>
      <c r="F150" s="285"/>
      <c r="G150" s="275"/>
      <c r="H150" s="275"/>
      <c r="I150" s="284"/>
    </row>
    <row r="151" spans="2:10">
      <c r="B151" s="282"/>
      <c r="C151" s="276"/>
      <c r="D151" s="276"/>
      <c r="E151" s="276"/>
      <c r="F151" s="276"/>
      <c r="G151" s="276"/>
      <c r="H151" s="276"/>
      <c r="I151" s="281"/>
      <c r="J151" s="276"/>
    </row>
    <row r="152" spans="2:10">
      <c r="B152" s="280"/>
      <c r="C152" s="279"/>
      <c r="D152" s="279"/>
      <c r="E152" s="279"/>
      <c r="F152" s="279"/>
      <c r="G152" s="279"/>
      <c r="H152" s="278"/>
      <c r="I152" s="277" t="s">
        <v>1106</v>
      </c>
      <c r="J152" s="276"/>
    </row>
  </sheetData>
  <sheetProtection algorithmName="SHA-512" hashValue="7vmBDpbENmy518pyyuJHQr6GUvyvCqPWx5WHhZPOBcKkkiK8mFF5jopEM4IJolr4Sq1P9QEz16Lz8m/8bKaeZw==" saltValue="7YGRNMi07ZB2WFV7Wysyqg==" spinCount="100000" sheet="1" objects="1" scenarios="1"/>
  <mergeCells count="14">
    <mergeCell ref="B25:F25"/>
    <mergeCell ref="B126:I126"/>
    <mergeCell ref="B86:I86"/>
    <mergeCell ref="B87:I87"/>
    <mergeCell ref="B21:I21"/>
    <mergeCell ref="B88:I88"/>
    <mergeCell ref="B50:F50"/>
    <mergeCell ref="B5:C5"/>
    <mergeCell ref="G3:H3"/>
    <mergeCell ref="B1:I1"/>
    <mergeCell ref="B18:I18"/>
    <mergeCell ref="B20:I20"/>
    <mergeCell ref="B14:C14"/>
    <mergeCell ref="B15:C15"/>
  </mergeCells>
  <pageMargins left="0.7" right="0.7" top="0.75" bottom="0.75" header="0.3" footer="0.3"/>
  <pageSetup paperSize="8" scale="4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940B0-EAD8-477E-B28D-5999182B5876}">
  <sheetPr codeName="Sheet37">
    <tabColor theme="1" tint="-0.499984740745262"/>
  </sheetPr>
  <dimension ref="A1:M65"/>
  <sheetViews>
    <sheetView topLeftCell="C35" workbookViewId="0">
      <selection activeCell="E49" sqref="E49"/>
    </sheetView>
  </sheetViews>
  <sheetFormatPr defaultColWidth="8.8984375" defaultRowHeight="13.8"/>
  <cols>
    <col min="1" max="1" width="27.59765625" bestFit="1" customWidth="1"/>
    <col min="2" max="2" width="17.59765625" bestFit="1" customWidth="1"/>
    <col min="3" max="3" width="31.09765625" bestFit="1" customWidth="1"/>
    <col min="4" max="4" width="31.59765625" bestFit="1" customWidth="1"/>
    <col min="5" max="5" width="21.59765625" bestFit="1" customWidth="1"/>
    <col min="6" max="6" width="30.09765625" bestFit="1" customWidth="1"/>
    <col min="7" max="7" width="14" customWidth="1"/>
    <col min="8" max="10" width="22.09765625" customWidth="1"/>
    <col min="11" max="11" width="18.09765625" bestFit="1" customWidth="1"/>
    <col min="13" max="13" width="10.09765625" bestFit="1" customWidth="1"/>
  </cols>
  <sheetData>
    <row r="1" spans="1:12">
      <c r="A1" s="239" t="s">
        <v>645</v>
      </c>
      <c r="B1" s="239" t="s">
        <v>646</v>
      </c>
      <c r="C1" s="239" t="s">
        <v>647</v>
      </c>
      <c r="D1" s="239" t="s">
        <v>648</v>
      </c>
      <c r="E1" s="239" t="s">
        <v>649</v>
      </c>
      <c r="F1" t="s">
        <v>650</v>
      </c>
      <c r="G1" t="s">
        <v>651</v>
      </c>
      <c r="H1" t="s">
        <v>652</v>
      </c>
      <c r="I1" t="s">
        <v>653</v>
      </c>
      <c r="J1" t="s">
        <v>654</v>
      </c>
      <c r="K1" s="25" t="s">
        <v>1107</v>
      </c>
      <c r="L1" s="428" t="s">
        <v>1108</v>
      </c>
    </row>
    <row r="2" spans="1:12">
      <c r="A2" t="s">
        <v>655</v>
      </c>
      <c r="B2" t="s">
        <v>155</v>
      </c>
      <c r="C2" t="s">
        <v>656</v>
      </c>
      <c r="D2" t="s">
        <v>657</v>
      </c>
      <c r="E2" t="s">
        <v>658</v>
      </c>
      <c r="F2" s="240">
        <v>967.43146016860874</v>
      </c>
      <c r="G2" s="240">
        <v>37342.854362508297</v>
      </c>
      <c r="H2" s="240">
        <v>2621468.3762480826</v>
      </c>
      <c r="I2" s="240">
        <v>0</v>
      </c>
      <c r="J2" s="240">
        <v>134434.2757050299</v>
      </c>
      <c r="K2" s="240">
        <v>2755902.6519531123</v>
      </c>
      <c r="L2" s="428" t="s">
        <v>666</v>
      </c>
    </row>
    <row r="3" spans="1:12">
      <c r="A3" t="s">
        <v>655</v>
      </c>
      <c r="B3" t="s">
        <v>155</v>
      </c>
      <c r="C3" t="s">
        <v>659</v>
      </c>
      <c r="D3" t="s">
        <v>657</v>
      </c>
      <c r="E3" t="s">
        <v>658</v>
      </c>
      <c r="F3" s="240">
        <v>52.136970000000005</v>
      </c>
      <c r="G3" s="240">
        <v>1783.0843740000005</v>
      </c>
      <c r="H3" s="240">
        <v>120893.12055720005</v>
      </c>
      <c r="I3" s="240">
        <v>0</v>
      </c>
      <c r="J3" s="240">
        <v>6419.1037464000019</v>
      </c>
      <c r="K3" s="240">
        <v>127312.22430360004</v>
      </c>
      <c r="L3" s="428" t="s">
        <v>666</v>
      </c>
    </row>
    <row r="4" spans="1:12">
      <c r="A4" t="s">
        <v>655</v>
      </c>
      <c r="B4" t="s">
        <v>155</v>
      </c>
      <c r="C4" t="s">
        <v>660</v>
      </c>
      <c r="D4" t="s">
        <v>657</v>
      </c>
      <c r="E4" t="s">
        <v>658</v>
      </c>
      <c r="F4" s="240">
        <v>1.2213441902900455</v>
      </c>
      <c r="G4" s="240">
        <v>31.388545690454166</v>
      </c>
      <c r="H4" s="240">
        <v>1902.1458688415228</v>
      </c>
      <c r="I4" s="240">
        <v>0</v>
      </c>
      <c r="J4" s="240">
        <v>112.99876448563499</v>
      </c>
      <c r="K4" s="240">
        <v>2015.1446333271579</v>
      </c>
      <c r="L4" s="428" t="s">
        <v>666</v>
      </c>
    </row>
    <row r="5" spans="1:12">
      <c r="A5" t="s">
        <v>655</v>
      </c>
      <c r="B5" t="s">
        <v>661</v>
      </c>
      <c r="C5" t="s">
        <v>155</v>
      </c>
      <c r="D5" t="s">
        <v>662</v>
      </c>
      <c r="E5" t="s">
        <v>663</v>
      </c>
      <c r="F5" s="240">
        <v>1421082123.5122597</v>
      </c>
      <c r="G5" s="240">
        <v>5115895.6446441347</v>
      </c>
      <c r="H5" s="240">
        <v>0</v>
      </c>
      <c r="I5" s="240">
        <v>1190160311.4146252</v>
      </c>
      <c r="J5" s="240">
        <v>141029624.07339364</v>
      </c>
      <c r="K5" s="240">
        <v>1331189935.4880188</v>
      </c>
      <c r="L5" s="428" t="s">
        <v>1109</v>
      </c>
    </row>
    <row r="6" spans="1:12">
      <c r="A6" t="s">
        <v>655</v>
      </c>
      <c r="B6" t="s">
        <v>661</v>
      </c>
      <c r="C6" t="s">
        <v>664</v>
      </c>
      <c r="D6" t="s">
        <v>662</v>
      </c>
      <c r="E6" t="s">
        <v>663</v>
      </c>
      <c r="F6" s="240">
        <v>-9231659.231390072</v>
      </c>
      <c r="G6" s="240">
        <v>-33233.973233004261</v>
      </c>
      <c r="H6" s="240">
        <v>0</v>
      </c>
      <c r="I6" s="240">
        <v>0</v>
      </c>
      <c r="J6" s="240">
        <v>0</v>
      </c>
      <c r="K6" s="240">
        <v>0</v>
      </c>
      <c r="L6" s="428" t="s">
        <v>1109</v>
      </c>
    </row>
    <row r="7" spans="1:12">
      <c r="A7" t="s">
        <v>655</v>
      </c>
      <c r="B7" t="s">
        <v>665</v>
      </c>
      <c r="C7" t="s">
        <v>656</v>
      </c>
      <c r="D7" t="s">
        <v>666</v>
      </c>
      <c r="E7" t="s">
        <v>658</v>
      </c>
      <c r="F7" s="240">
        <v>1816.6165850989626</v>
      </c>
      <c r="G7" s="240">
        <v>70121.40018481994</v>
      </c>
      <c r="H7" s="240">
        <v>4922522.2929743603</v>
      </c>
      <c r="I7" s="240">
        <v>0</v>
      </c>
      <c r="J7" s="240">
        <v>252437.04066535184</v>
      </c>
      <c r="K7" s="240">
        <v>5174959.3336397121</v>
      </c>
      <c r="L7" s="428" t="s">
        <v>666</v>
      </c>
    </row>
    <row r="8" spans="1:12">
      <c r="A8" t="s">
        <v>655</v>
      </c>
      <c r="B8" t="s">
        <v>665</v>
      </c>
      <c r="C8" t="s">
        <v>667</v>
      </c>
      <c r="D8" t="s">
        <v>666</v>
      </c>
      <c r="E8" t="s">
        <v>658</v>
      </c>
      <c r="F8" s="240">
        <v>1.9750797999999998</v>
      </c>
      <c r="G8" s="240">
        <v>46.216867319999992</v>
      </c>
      <c r="H8" s="240">
        <v>12.478554176399999</v>
      </c>
      <c r="I8" s="240">
        <v>0</v>
      </c>
      <c r="J8" s="240">
        <v>0</v>
      </c>
      <c r="K8" s="240">
        <v>12.478554176399999</v>
      </c>
      <c r="L8" s="428" t="s">
        <v>666</v>
      </c>
    </row>
    <row r="9" spans="1:12">
      <c r="A9" t="s">
        <v>655</v>
      </c>
      <c r="B9" t="s">
        <v>665</v>
      </c>
      <c r="C9" t="s">
        <v>659</v>
      </c>
      <c r="D9" t="s">
        <v>666</v>
      </c>
      <c r="E9" t="s">
        <v>658</v>
      </c>
      <c r="F9" s="240">
        <v>344.09400424294836</v>
      </c>
      <c r="G9" s="240">
        <v>11768.014945108836</v>
      </c>
      <c r="H9" s="240">
        <v>797871.41327837878</v>
      </c>
      <c r="I9" s="240">
        <v>0</v>
      </c>
      <c r="J9" s="240">
        <v>42364.853802391808</v>
      </c>
      <c r="K9" s="240">
        <v>840236.26708077057</v>
      </c>
      <c r="L9" s="428" t="s">
        <v>666</v>
      </c>
    </row>
    <row r="10" spans="1:12">
      <c r="A10" t="s">
        <v>655</v>
      </c>
      <c r="B10" t="s">
        <v>665</v>
      </c>
      <c r="C10" t="s">
        <v>660</v>
      </c>
      <c r="D10" t="s">
        <v>666</v>
      </c>
      <c r="E10" t="s">
        <v>658</v>
      </c>
      <c r="F10" s="240">
        <v>4.1139419999999998</v>
      </c>
      <c r="G10" s="240">
        <v>105.7283094</v>
      </c>
      <c r="H10" s="240">
        <v>6407.1355496400001</v>
      </c>
      <c r="I10" s="240">
        <v>0</v>
      </c>
      <c r="J10" s="240">
        <v>380.62191383999999</v>
      </c>
      <c r="K10" s="240">
        <v>6787.7574634800003</v>
      </c>
      <c r="L10" s="428" t="s">
        <v>666</v>
      </c>
    </row>
    <row r="11" spans="1:12">
      <c r="A11" t="s">
        <v>655</v>
      </c>
      <c r="B11" t="s">
        <v>665</v>
      </c>
      <c r="C11" t="s">
        <v>668</v>
      </c>
      <c r="D11" t="s">
        <v>666</v>
      </c>
      <c r="E11" t="s">
        <v>669</v>
      </c>
      <c r="F11" s="240">
        <v>290.66960787921215</v>
      </c>
      <c r="G11" s="240">
        <v>290.66960787921215</v>
      </c>
      <c r="H11" s="240">
        <v>14978.204894015802</v>
      </c>
      <c r="I11" s="240">
        <v>0</v>
      </c>
      <c r="J11" s="240">
        <v>1133.6114707289273</v>
      </c>
      <c r="K11" s="240">
        <v>16111.816364744729</v>
      </c>
      <c r="L11" s="428" t="s">
        <v>666</v>
      </c>
    </row>
    <row r="12" spans="1:12">
      <c r="A12" t="s">
        <v>655</v>
      </c>
      <c r="B12" t="s">
        <v>665</v>
      </c>
      <c r="C12" t="s">
        <v>668</v>
      </c>
      <c r="D12" t="s">
        <v>666</v>
      </c>
      <c r="E12" t="s">
        <v>670</v>
      </c>
      <c r="F12" s="240">
        <v>22270060.434</v>
      </c>
      <c r="G12" s="240">
        <v>22270.060433999999</v>
      </c>
      <c r="H12" s="240">
        <v>1147576.21416402</v>
      </c>
      <c r="I12" s="240">
        <v>0</v>
      </c>
      <c r="J12" s="240">
        <v>93415.988492100005</v>
      </c>
      <c r="K12" s="240">
        <v>1240992.2026561201</v>
      </c>
      <c r="L12" s="428" t="s">
        <v>666</v>
      </c>
    </row>
    <row r="13" spans="1:12">
      <c r="A13" t="s">
        <v>655</v>
      </c>
      <c r="B13" t="s">
        <v>671</v>
      </c>
      <c r="C13" t="s">
        <v>656</v>
      </c>
      <c r="D13" t="s">
        <v>671</v>
      </c>
      <c r="E13" t="s">
        <v>658</v>
      </c>
      <c r="F13" s="240">
        <v>54.387770000000003</v>
      </c>
      <c r="G13" s="240">
        <v>2099.3679219999999</v>
      </c>
      <c r="H13" s="240">
        <v>148005.43850100003</v>
      </c>
      <c r="I13" s="240">
        <v>0</v>
      </c>
      <c r="J13" s="240">
        <v>7557.7245192000009</v>
      </c>
      <c r="K13" s="240">
        <v>155563.16302020004</v>
      </c>
      <c r="L13" s="428" t="str">
        <f>B13</f>
        <v>Transport</v>
      </c>
    </row>
    <row r="14" spans="1:12">
      <c r="A14" t="s">
        <v>655</v>
      </c>
      <c r="B14" t="s">
        <v>671</v>
      </c>
      <c r="C14" t="s">
        <v>656</v>
      </c>
      <c r="D14" t="s">
        <v>672</v>
      </c>
      <c r="E14" t="s">
        <v>658</v>
      </c>
      <c r="F14" s="240">
        <v>11869.003454950944</v>
      </c>
      <c r="G14" s="240">
        <v>458143.53336110647</v>
      </c>
      <c r="H14" s="240">
        <v>32303700.537291624</v>
      </c>
      <c r="I14" s="240">
        <v>0</v>
      </c>
      <c r="J14" s="240">
        <v>1649316.7200999835</v>
      </c>
      <c r="K14" s="240">
        <v>33953017.257391609</v>
      </c>
      <c r="L14" s="428" t="str">
        <f t="shared" ref="L14:L18" si="0">B14</f>
        <v>Transport</v>
      </c>
    </row>
    <row r="15" spans="1:12">
      <c r="A15" t="s">
        <v>655</v>
      </c>
      <c r="B15" t="s">
        <v>671</v>
      </c>
      <c r="C15" t="s">
        <v>667</v>
      </c>
      <c r="D15" t="s">
        <v>672</v>
      </c>
      <c r="E15" t="s">
        <v>658</v>
      </c>
      <c r="F15" s="240">
        <v>38.977256000000004</v>
      </c>
      <c r="G15" s="240">
        <v>912.06779040000004</v>
      </c>
      <c r="H15" s="240">
        <v>364.82711615999995</v>
      </c>
      <c r="I15" s="240">
        <v>0</v>
      </c>
      <c r="J15" s="240">
        <v>0</v>
      </c>
      <c r="K15" s="240">
        <v>364.82711615999995</v>
      </c>
      <c r="L15" s="428" t="str">
        <f t="shared" si="0"/>
        <v>Transport</v>
      </c>
    </row>
    <row r="16" spans="1:12">
      <c r="A16" t="s">
        <v>655</v>
      </c>
      <c r="B16" t="s">
        <v>671</v>
      </c>
      <c r="C16" t="s">
        <v>659</v>
      </c>
      <c r="D16" t="s">
        <v>671</v>
      </c>
      <c r="E16" t="s">
        <v>658</v>
      </c>
      <c r="F16" s="240">
        <v>1.4091299999999998</v>
      </c>
      <c r="G16" s="240">
        <v>48.192245999999997</v>
      </c>
      <c r="H16" s="240">
        <v>3358.9995462000002</v>
      </c>
      <c r="I16" s="240">
        <v>0</v>
      </c>
      <c r="J16" s="240">
        <v>173.4920856</v>
      </c>
      <c r="K16" s="240">
        <v>3532.4916318000001</v>
      </c>
      <c r="L16" s="428" t="str">
        <f t="shared" si="0"/>
        <v>Transport</v>
      </c>
    </row>
    <row r="17" spans="1:13">
      <c r="A17" t="s">
        <v>655</v>
      </c>
      <c r="B17" t="s">
        <v>671</v>
      </c>
      <c r="C17" t="s">
        <v>659</v>
      </c>
      <c r="D17" t="s">
        <v>672</v>
      </c>
      <c r="E17" t="s">
        <v>658</v>
      </c>
      <c r="F17" s="240">
        <v>1933.1910830435866</v>
      </c>
      <c r="G17" s="240">
        <v>66115.135040090652</v>
      </c>
      <c r="H17" s="240">
        <v>4470705.4314109311</v>
      </c>
      <c r="I17" s="240">
        <v>0</v>
      </c>
      <c r="J17" s="240">
        <v>238014.48614432637</v>
      </c>
      <c r="K17" s="240">
        <v>4708719.9175552577</v>
      </c>
      <c r="L17" s="428" t="str">
        <f t="shared" si="0"/>
        <v>Transport</v>
      </c>
    </row>
    <row r="18" spans="1:13">
      <c r="A18" t="s">
        <v>655</v>
      </c>
      <c r="B18" t="s">
        <v>671</v>
      </c>
      <c r="C18" t="s">
        <v>660</v>
      </c>
      <c r="D18" t="s">
        <v>672</v>
      </c>
      <c r="E18" t="s">
        <v>658</v>
      </c>
      <c r="F18" s="240">
        <v>66.047760000000011</v>
      </c>
      <c r="G18" s="240">
        <v>1730.4513119999999</v>
      </c>
      <c r="H18" s="240">
        <v>105384.48490079999</v>
      </c>
      <c r="I18" s="240">
        <v>0</v>
      </c>
      <c r="J18" s="240">
        <v>6229.6247231999996</v>
      </c>
      <c r="K18" s="240">
        <v>111614.10962399999</v>
      </c>
      <c r="L18" s="428" t="str">
        <f t="shared" si="0"/>
        <v>Transport</v>
      </c>
    </row>
    <row r="19" spans="1:13">
      <c r="A19" t="s">
        <v>1110</v>
      </c>
      <c r="F19" s="240">
        <v>1434137965.9903162</v>
      </c>
      <c r="G19" s="240">
        <v>5755469.8367134593</v>
      </c>
      <c r="H19" s="240">
        <v>46665151.100855455</v>
      </c>
      <c r="I19" s="240">
        <v>1190160311.4146252</v>
      </c>
      <c r="J19" s="240">
        <v>143461614.6155262</v>
      </c>
    </row>
    <row r="20" spans="1:13">
      <c r="A20" t="s">
        <v>53</v>
      </c>
      <c r="F20" s="240">
        <v>1434137965.9903162</v>
      </c>
      <c r="G20" s="240">
        <v>5755469.8367134593</v>
      </c>
      <c r="H20" s="240">
        <v>46665151.100855455</v>
      </c>
      <c r="I20" s="240">
        <v>1190160311.4146252</v>
      </c>
      <c r="J20" s="240">
        <v>143461614.6155262</v>
      </c>
      <c r="K20" s="240">
        <v>1380287077.1310067</v>
      </c>
      <c r="M20" s="243">
        <v>1380287.0771310066</v>
      </c>
    </row>
    <row r="21" spans="1:13">
      <c r="F21" s="240"/>
      <c r="G21" s="240"/>
      <c r="H21" s="241"/>
      <c r="I21" s="241"/>
      <c r="J21" s="241"/>
    </row>
    <row r="22" spans="1:13">
      <c r="H22" s="241"/>
    </row>
    <row r="23" spans="1:13">
      <c r="J23" t="s">
        <v>1091</v>
      </c>
      <c r="K23" s="8">
        <v>5268.8062701599993</v>
      </c>
    </row>
    <row r="24" spans="1:13">
      <c r="F24" s="244"/>
      <c r="J24" t="s">
        <v>1111</v>
      </c>
      <c r="K24" s="8">
        <v>16929.096377529007</v>
      </c>
    </row>
    <row r="25" spans="1:13">
      <c r="G25" s="240"/>
    </row>
    <row r="26" spans="1:13">
      <c r="J26" t="s">
        <v>1112</v>
      </c>
      <c r="K26" s="243">
        <v>1402484.9797786956</v>
      </c>
    </row>
    <row r="28" spans="1:13">
      <c r="G28" s="245" t="s">
        <v>1113</v>
      </c>
      <c r="H28" s="247">
        <v>46665.151100855452</v>
      </c>
      <c r="I28" s="248">
        <v>1190160.3114146253</v>
      </c>
      <c r="J28" t="s">
        <v>1114</v>
      </c>
      <c r="K28" s="241">
        <f>(SUM(J2:J18)-J5)/1000</f>
        <v>2431.9905421326457</v>
      </c>
    </row>
    <row r="29" spans="1:13">
      <c r="G29" s="245" t="s">
        <v>1115</v>
      </c>
      <c r="H29" s="246">
        <v>50731.7732303714</v>
      </c>
      <c r="I29" s="246">
        <v>1190786.5913084401</v>
      </c>
    </row>
    <row r="30" spans="1:13">
      <c r="G30" s="25" t="s">
        <v>1116</v>
      </c>
      <c r="H30" s="249">
        <v>-8.0159274367358369E-2</v>
      </c>
      <c r="I30" s="249">
        <v>-5.259379794717578E-4</v>
      </c>
    </row>
    <row r="35" spans="4:7">
      <c r="D35" s="8"/>
      <c r="E35" s="8"/>
      <c r="F35" s="8"/>
    </row>
    <row r="36" spans="4:7">
      <c r="D36" s="8"/>
      <c r="E36" s="8"/>
      <c r="F36" s="8"/>
    </row>
    <row r="37" spans="4:7">
      <c r="D37" s="8" t="s">
        <v>42</v>
      </c>
      <c r="E37" s="8" t="s">
        <v>777</v>
      </c>
      <c r="F37" s="8" t="s">
        <v>779</v>
      </c>
    </row>
    <row r="38" spans="4:7">
      <c r="D38" s="429" t="s">
        <v>666</v>
      </c>
      <c r="E38" s="429">
        <v>9633631.3820887152</v>
      </c>
      <c r="F38" s="429">
        <v>530698.4945603282</v>
      </c>
    </row>
    <row r="39" spans="4:7">
      <c r="D39" s="8" t="s">
        <v>656</v>
      </c>
      <c r="E39" s="8">
        <v>7543990.6692224424</v>
      </c>
      <c r="F39" s="8">
        <v>386871.31637038174</v>
      </c>
    </row>
    <row r="40" spans="4:7">
      <c r="D40" s="8" t="s">
        <v>667</v>
      </c>
      <c r="E40" s="8">
        <v>12.478554176399999</v>
      </c>
      <c r="F40" s="8">
        <v>0</v>
      </c>
    </row>
    <row r="41" spans="4:7">
      <c r="D41" s="8" t="s">
        <v>659</v>
      </c>
      <c r="E41" s="8">
        <v>918764.53383557883</v>
      </c>
      <c r="F41" s="8">
        <v>48783.957548791812</v>
      </c>
    </row>
    <row r="42" spans="4:7">
      <c r="D42" s="8" t="s">
        <v>660</v>
      </c>
      <c r="E42" s="8">
        <v>8309.2814184815234</v>
      </c>
      <c r="F42" s="8">
        <v>493.62067832563497</v>
      </c>
    </row>
    <row r="43" spans="4:7">
      <c r="D43" s="8" t="s">
        <v>668</v>
      </c>
      <c r="E43" s="8">
        <v>1162554.4190580358</v>
      </c>
      <c r="F43" s="8">
        <v>94549.599962828928</v>
      </c>
    </row>
    <row r="44" spans="4:7">
      <c r="D44" s="429" t="s">
        <v>671</v>
      </c>
      <c r="E44" s="429">
        <v>37031519.718766719</v>
      </c>
      <c r="F44" s="429">
        <v>1901292.0475723098</v>
      </c>
      <c r="G44">
        <f>SUM(G45:G48)*1000</f>
        <v>37031519.718766712</v>
      </c>
    </row>
    <row r="45" spans="4:7">
      <c r="D45" s="8" t="s">
        <v>656</v>
      </c>
      <c r="E45" s="8">
        <v>32451705.975792624</v>
      </c>
      <c r="F45" s="8">
        <v>1656874.4446191834</v>
      </c>
      <c r="G45">
        <v>32451.705975792625</v>
      </c>
    </row>
    <row r="46" spans="4:7">
      <c r="D46" s="8" t="s">
        <v>667</v>
      </c>
      <c r="E46" s="8">
        <v>364.82711615999995</v>
      </c>
      <c r="F46" s="8">
        <v>0</v>
      </c>
      <c r="G46">
        <v>0.36482711615999996</v>
      </c>
    </row>
    <row r="47" spans="4:7">
      <c r="D47" s="8" t="s">
        <v>659</v>
      </c>
      <c r="E47" s="8">
        <v>4474064.4309571311</v>
      </c>
      <c r="F47" s="8">
        <v>238187.97822992638</v>
      </c>
      <c r="G47">
        <v>4474.0644309571308</v>
      </c>
    </row>
    <row r="48" spans="4:7">
      <c r="D48" s="8" t="s">
        <v>660</v>
      </c>
      <c r="E48" s="8">
        <v>105384.48490079999</v>
      </c>
      <c r="F48" s="8">
        <v>6229.6247231999996</v>
      </c>
      <c r="G48">
        <v>105.38448490079999</v>
      </c>
    </row>
    <row r="49" spans="4:6">
      <c r="D49" s="429" t="s">
        <v>53</v>
      </c>
      <c r="E49" s="429">
        <v>46665151.100855432</v>
      </c>
      <c r="F49" s="429">
        <v>2431990.5421326384</v>
      </c>
    </row>
    <row r="50" spans="4:6">
      <c r="D50" s="8"/>
      <c r="E50" s="8"/>
      <c r="F50" s="8"/>
    </row>
    <row r="51" spans="4:6">
      <c r="D51" s="8"/>
      <c r="E51" s="8"/>
      <c r="F51" s="8"/>
    </row>
    <row r="52" spans="4:6">
      <c r="D52" s="8" t="s">
        <v>42</v>
      </c>
      <c r="E52" s="8" t="s">
        <v>776</v>
      </c>
      <c r="F52" s="8"/>
    </row>
    <row r="53" spans="4:6">
      <c r="D53" s="429" t="s">
        <v>666</v>
      </c>
      <c r="E53" s="429">
        <v>143759.41763072673</v>
      </c>
    </row>
    <row r="54" spans="4:6">
      <c r="D54" s="8" t="s">
        <v>656</v>
      </c>
      <c r="E54" s="8">
        <v>107464.25454732824</v>
      </c>
      <c r="F54" s="231"/>
    </row>
    <row r="55" spans="4:6">
      <c r="D55" s="8" t="s">
        <v>667</v>
      </c>
      <c r="E55" s="8">
        <v>46.216867319999992</v>
      </c>
      <c r="F55" s="231"/>
    </row>
    <row r="56" spans="4:6">
      <c r="D56" s="8" t="s">
        <v>659</v>
      </c>
      <c r="E56" s="8">
        <v>13551.099319108836</v>
      </c>
      <c r="F56" s="231"/>
    </row>
    <row r="57" spans="4:6">
      <c r="D57" s="8" t="s">
        <v>660</v>
      </c>
      <c r="E57" s="8">
        <v>137.11685509045418</v>
      </c>
      <c r="F57" s="231"/>
    </row>
    <row r="58" spans="4:6">
      <c r="D58" s="8" t="s">
        <v>668</v>
      </c>
      <c r="E58" s="8">
        <v>22560.730041879211</v>
      </c>
      <c r="F58" s="232"/>
    </row>
    <row r="59" spans="4:6">
      <c r="D59" s="429" t="s">
        <v>671</v>
      </c>
      <c r="E59" s="429">
        <v>529048.74767159717</v>
      </c>
      <c r="F59" s="8"/>
    </row>
    <row r="60" spans="4:6">
      <c r="D60" s="8" t="s">
        <v>656</v>
      </c>
      <c r="E60" s="8">
        <v>460242.90128310648</v>
      </c>
      <c r="F60" s="8"/>
    </row>
    <row r="61" spans="4:6">
      <c r="D61" s="8" t="s">
        <v>667</v>
      </c>
      <c r="E61" s="8">
        <v>912.06779040000004</v>
      </c>
      <c r="F61" s="8"/>
    </row>
    <row r="62" spans="4:6">
      <c r="D62" s="8" t="s">
        <v>659</v>
      </c>
      <c r="E62" s="8">
        <v>66163.327286090658</v>
      </c>
      <c r="F62" s="8"/>
    </row>
    <row r="63" spans="4:6">
      <c r="D63" s="8" t="s">
        <v>660</v>
      </c>
      <c r="E63" s="8">
        <v>1730.4513119999999</v>
      </c>
      <c r="F63" s="8"/>
    </row>
    <row r="64" spans="4:6">
      <c r="D64" s="429" t="s">
        <v>53</v>
      </c>
      <c r="E64" s="429">
        <v>672808.16530232399</v>
      </c>
      <c r="F64" s="8"/>
    </row>
    <row r="65" spans="4:6">
      <c r="D65" s="8"/>
      <c r="E65" s="8"/>
      <c r="F65" s="8"/>
    </row>
  </sheetData>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0AF84-C4F2-45DE-BB92-0D9DDD58E3B1}">
  <sheetPr codeName="Sheet38"/>
  <dimension ref="A1:K17"/>
  <sheetViews>
    <sheetView workbookViewId="0">
      <selection activeCell="D3" sqref="D3:D4"/>
    </sheetView>
  </sheetViews>
  <sheetFormatPr defaultColWidth="8.8984375" defaultRowHeight="13.8"/>
  <cols>
    <col min="1" max="3" width="26.09765625" customWidth="1"/>
    <col min="4" max="4" width="19.3984375" customWidth="1"/>
  </cols>
  <sheetData>
    <row r="1" spans="1:11" ht="26.4">
      <c r="A1" s="363"/>
      <c r="B1" s="908"/>
      <c r="C1" s="408" t="s">
        <v>92</v>
      </c>
      <c r="D1" s="419" t="s">
        <v>1117</v>
      </c>
      <c r="E1" s="419" t="s">
        <v>1118</v>
      </c>
      <c r="F1" s="422" t="s">
        <v>9</v>
      </c>
    </row>
    <row r="2" spans="1:11">
      <c r="A2" s="325" t="s">
        <v>1076</v>
      </c>
      <c r="B2" s="324"/>
      <c r="C2" s="344">
        <v>1407473.7895167046</v>
      </c>
      <c r="D2" s="420">
        <f>D3+D4+D5</f>
        <v>1403198.9300776895</v>
      </c>
      <c r="E2" s="420">
        <f>D2-C2</f>
        <v>-4274.8594390151557</v>
      </c>
      <c r="F2" s="427">
        <f>D2/C2-1</f>
        <v>-3.0372568717482729E-3</v>
      </c>
    </row>
    <row r="3" spans="1:11">
      <c r="A3" s="299" t="s">
        <v>98</v>
      </c>
      <c r="B3" s="298"/>
      <c r="C3" s="237">
        <v>50731.773230371407</v>
      </c>
      <c r="D3" s="421">
        <f>'NGER FY19'!H28</f>
        <v>46665.151100855452</v>
      </c>
      <c r="E3" s="421">
        <f t="shared" ref="E3:E12" si="0">D3-C3</f>
        <v>-4066.6221295159557</v>
      </c>
      <c r="F3" s="427">
        <f>D3/C3-1</f>
        <v>-8.015927436735848E-2</v>
      </c>
    </row>
    <row r="4" spans="1:11">
      <c r="A4" s="299" t="s">
        <v>99</v>
      </c>
      <c r="B4" s="298"/>
      <c r="C4" s="237">
        <v>1190786.591308444</v>
      </c>
      <c r="D4" s="237">
        <f>C4</f>
        <v>1190786.591308444</v>
      </c>
      <c r="E4" s="237">
        <f t="shared" si="0"/>
        <v>0</v>
      </c>
      <c r="F4" s="423">
        <f>D4/C4-1</f>
        <v>0</v>
      </c>
    </row>
    <row r="5" spans="1:11">
      <c r="A5" s="299" t="s">
        <v>1077</v>
      </c>
      <c r="B5" s="298"/>
      <c r="C5" s="237">
        <v>165955.4249778894</v>
      </c>
      <c r="D5" s="421">
        <f>SUM(D9:D12)</f>
        <v>165747.18766838987</v>
      </c>
      <c r="E5" s="421">
        <f t="shared" si="0"/>
        <v>-208.23730949952733</v>
      </c>
      <c r="F5" s="427">
        <f>D5/C5-1</f>
        <v>-1.254778561937786E-3</v>
      </c>
    </row>
    <row r="6" spans="1:11">
      <c r="A6" s="325" t="s">
        <v>1078</v>
      </c>
      <c r="B6" s="324"/>
      <c r="C6" s="344">
        <f>C2/C7</f>
        <v>112.37299685974058</v>
      </c>
      <c r="D6" s="344">
        <f>D2/D7</f>
        <v>112.03169120282939</v>
      </c>
      <c r="E6" s="344"/>
      <c r="F6" s="424"/>
    </row>
    <row r="7" spans="1:11">
      <c r="A7" s="299" t="s">
        <v>172</v>
      </c>
      <c r="B7" s="298"/>
      <c r="C7" s="237">
        <v>12525.017832117233</v>
      </c>
      <c r="D7" s="237">
        <f>C7</f>
        <v>12525.017832117233</v>
      </c>
      <c r="E7" s="237">
        <f t="shared" si="0"/>
        <v>0</v>
      </c>
      <c r="F7" s="423">
        <f>D7/C7-1</f>
        <v>0</v>
      </c>
    </row>
    <row r="8" spans="1:11">
      <c r="A8" s="377" t="s">
        <v>1086</v>
      </c>
      <c r="B8" s="376"/>
      <c r="C8" s="375"/>
      <c r="D8" s="375"/>
      <c r="E8" s="375">
        <f t="shared" si="0"/>
        <v>0</v>
      </c>
      <c r="F8" s="425"/>
    </row>
    <row r="9" spans="1:11">
      <c r="A9" s="909" t="s">
        <v>168</v>
      </c>
      <c r="B9" s="418"/>
      <c r="C9" s="237">
        <v>141117.29447856822</v>
      </c>
      <c r="D9" s="237">
        <f>C9</f>
        <v>141117.29447856822</v>
      </c>
      <c r="E9" s="237">
        <f t="shared" si="0"/>
        <v>0</v>
      </c>
      <c r="F9" s="423">
        <f>D9/C9-1</f>
        <v>0</v>
      </c>
    </row>
    <row r="10" spans="1:11">
      <c r="A10" s="909" t="s">
        <v>169</v>
      </c>
      <c r="B10" s="418"/>
      <c r="C10" s="237">
        <v>2640.2278516323468</v>
      </c>
      <c r="D10" s="421">
        <f>'NGER FY19'!K28</f>
        <v>2431.9905421326457</v>
      </c>
      <c r="E10" s="421">
        <f t="shared" si="0"/>
        <v>-208.23730949970104</v>
      </c>
      <c r="F10" s="427">
        <f>D10/C10-1</f>
        <v>-7.8870961599377232E-2</v>
      </c>
    </row>
    <row r="11" spans="1:11">
      <c r="A11" s="909" t="s">
        <v>170</v>
      </c>
      <c r="B11" s="418"/>
      <c r="C11" s="237">
        <v>16929.096377529007</v>
      </c>
      <c r="D11" s="237">
        <f>C11</f>
        <v>16929.096377529007</v>
      </c>
      <c r="E11" s="237">
        <f t="shared" si="0"/>
        <v>0</v>
      </c>
      <c r="F11" s="423">
        <f>D11/C11-1</f>
        <v>0</v>
      </c>
    </row>
    <row r="12" spans="1:11">
      <c r="A12" s="909" t="s">
        <v>171</v>
      </c>
      <c r="B12" s="418"/>
      <c r="C12" s="236">
        <v>5268.8062701599993</v>
      </c>
      <c r="D12" s="236">
        <f>C12</f>
        <v>5268.8062701599993</v>
      </c>
      <c r="E12" s="236">
        <f t="shared" si="0"/>
        <v>0</v>
      </c>
      <c r="F12" s="426">
        <f>D12/C12-1</f>
        <v>0</v>
      </c>
    </row>
    <row r="13" spans="1:11">
      <c r="C13" s="241"/>
    </row>
    <row r="15" spans="1:11">
      <c r="A15" s="2043" t="s">
        <v>1119</v>
      </c>
      <c r="B15" s="2043"/>
      <c r="C15" s="2043"/>
      <c r="D15" s="2043"/>
      <c r="E15" s="2043"/>
      <c r="F15" s="2043"/>
      <c r="G15" s="2043"/>
      <c r="H15" s="2043"/>
      <c r="I15" s="2043"/>
      <c r="J15" s="2043"/>
      <c r="K15" s="2043"/>
    </row>
    <row r="16" spans="1:11">
      <c r="A16" s="2043"/>
      <c r="B16" s="2043"/>
      <c r="C16" s="2043"/>
      <c r="D16" s="2043"/>
      <c r="E16" s="2043"/>
      <c r="F16" s="2043"/>
      <c r="G16" s="2043"/>
      <c r="H16" s="2043"/>
      <c r="I16" s="2043"/>
      <c r="J16" s="2043"/>
      <c r="K16" s="2043"/>
    </row>
    <row r="17" spans="1:11">
      <c r="A17" s="2043"/>
      <c r="B17" s="2043"/>
      <c r="C17" s="2043"/>
      <c r="D17" s="2043"/>
      <c r="E17" s="2043"/>
      <c r="F17" s="2043"/>
      <c r="G17" s="2043"/>
      <c r="H17" s="2043"/>
      <c r="I17" s="2043"/>
      <c r="J17" s="2043"/>
      <c r="K17" s="2043"/>
    </row>
  </sheetData>
  <mergeCells count="1">
    <mergeCell ref="A15:K17"/>
  </mergeCells>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1519E-7106-4598-9F83-489D9E66A5A5}">
  <sheetPr codeName="Sheet39">
    <tabColor rgb="FF00B050"/>
  </sheetPr>
  <dimension ref="B1:AA60"/>
  <sheetViews>
    <sheetView topLeftCell="C1" zoomScale="60" zoomScaleNormal="60" workbookViewId="0">
      <selection activeCell="F33" sqref="F33"/>
    </sheetView>
  </sheetViews>
  <sheetFormatPr defaultColWidth="8.8984375" defaultRowHeight="13.8"/>
  <cols>
    <col min="2" max="2" width="19" bestFit="1" customWidth="1"/>
    <col min="3" max="3" width="30.3984375" bestFit="1" customWidth="1"/>
    <col min="4" max="4" width="28.3984375" bestFit="1" customWidth="1"/>
    <col min="5" max="5" width="29.09765625" bestFit="1" customWidth="1"/>
    <col min="6" max="6" width="27" bestFit="1" customWidth="1"/>
    <col min="7" max="8" width="28.8984375" bestFit="1" customWidth="1"/>
    <col min="9" max="9" width="11.59765625" bestFit="1" customWidth="1"/>
    <col min="10" max="10" width="12.09765625" bestFit="1" customWidth="1"/>
    <col min="11" max="11" width="14.59765625" bestFit="1" customWidth="1"/>
    <col min="12" max="12" width="18.3984375" bestFit="1" customWidth="1"/>
    <col min="13" max="13" width="8.3984375" bestFit="1" customWidth="1"/>
    <col min="14" max="14" width="14.5" bestFit="1" customWidth="1"/>
    <col min="15" max="16" width="8.59765625" bestFit="1" customWidth="1"/>
    <col min="17" max="17" width="4.5" bestFit="1" customWidth="1"/>
    <col min="18" max="18" width="4.59765625" bestFit="1" customWidth="1"/>
    <col min="21" max="21" width="18.3984375" bestFit="1" customWidth="1"/>
    <col min="22" max="22" width="8.3984375" bestFit="1" customWidth="1"/>
    <col min="23" max="23" width="17.3984375" bestFit="1" customWidth="1"/>
    <col min="24" max="25" width="8.59765625" bestFit="1" customWidth="1"/>
    <col min="26" max="26" width="4.5" bestFit="1" customWidth="1"/>
    <col min="27" max="27" width="4.59765625" bestFit="1" customWidth="1"/>
  </cols>
  <sheetData>
    <row r="1" spans="2:27" ht="14.4">
      <c r="B1" s="112" t="s">
        <v>2</v>
      </c>
      <c r="C1" s="727" t="s">
        <v>1120</v>
      </c>
      <c r="L1" s="112" t="s">
        <v>2</v>
      </c>
      <c r="M1" s="111" t="s">
        <v>1121</v>
      </c>
      <c r="N1" t="s">
        <v>1122</v>
      </c>
      <c r="U1" s="112" t="s">
        <v>2</v>
      </c>
      <c r="V1" s="111" t="s">
        <v>3</v>
      </c>
      <c r="W1" t="s">
        <v>1123</v>
      </c>
    </row>
    <row r="3" spans="2:27" ht="27.6">
      <c r="B3" s="102" t="s">
        <v>4</v>
      </c>
      <c r="C3" s="101" t="s">
        <v>5</v>
      </c>
      <c r="D3" s="101" t="s">
        <v>6</v>
      </c>
      <c r="E3" s="101" t="s">
        <v>7</v>
      </c>
      <c r="F3" s="101" t="s">
        <v>8</v>
      </c>
      <c r="G3" s="102" t="s">
        <v>9</v>
      </c>
      <c r="H3" s="102" t="s">
        <v>10</v>
      </c>
      <c r="I3" s="101" t="s">
        <v>1124</v>
      </c>
      <c r="L3" s="102" t="s">
        <v>4</v>
      </c>
      <c r="M3" s="101" t="s">
        <v>5</v>
      </c>
      <c r="N3" s="101" t="s">
        <v>6</v>
      </c>
      <c r="O3" s="101" t="s">
        <v>7</v>
      </c>
      <c r="P3" s="101" t="s">
        <v>8</v>
      </c>
      <c r="Q3" s="102" t="s">
        <v>9</v>
      </c>
      <c r="R3" s="102" t="s">
        <v>10</v>
      </c>
      <c r="U3" s="102" t="s">
        <v>4</v>
      </c>
      <c r="V3" s="101" t="s">
        <v>5</v>
      </c>
      <c r="W3" s="101" t="s">
        <v>6</v>
      </c>
      <c r="X3" s="101" t="s">
        <v>7</v>
      </c>
      <c r="Y3" s="101" t="s">
        <v>8</v>
      </c>
      <c r="Z3" s="102" t="s">
        <v>9</v>
      </c>
      <c r="AA3" s="102" t="s">
        <v>10</v>
      </c>
    </row>
    <row r="4" spans="2:27">
      <c r="B4" s="104" t="s">
        <v>11</v>
      </c>
      <c r="C4" s="103">
        <v>0</v>
      </c>
      <c r="D4" s="103">
        <v>0</v>
      </c>
      <c r="E4" s="103">
        <v>36417.120188768808</v>
      </c>
      <c r="F4" s="106">
        <v>36417.120188768808</v>
      </c>
      <c r="G4" s="109">
        <v>0.23520939104254657</v>
      </c>
      <c r="H4" s="108">
        <v>1</v>
      </c>
      <c r="I4" s="243">
        <f>C4+D4</f>
        <v>0</v>
      </c>
      <c r="L4" s="104" t="s">
        <v>11</v>
      </c>
      <c r="M4" s="103">
        <v>0</v>
      </c>
      <c r="N4" s="103">
        <v>0</v>
      </c>
      <c r="O4" s="103">
        <v>31079.159354564807</v>
      </c>
      <c r="P4" s="106">
        <v>31079.159354564807</v>
      </c>
      <c r="Q4" s="109">
        <v>0.18894135702617501</v>
      </c>
      <c r="R4" s="108">
        <v>2</v>
      </c>
      <c r="U4" s="104" t="s">
        <v>11</v>
      </c>
      <c r="V4" s="103">
        <v>0</v>
      </c>
      <c r="W4" s="103">
        <v>0</v>
      </c>
      <c r="X4" s="103">
        <v>30159.090550252593</v>
      </c>
      <c r="Y4" s="106">
        <v>30159.090550252593</v>
      </c>
      <c r="Z4" s="109">
        <v>0.19057612979554436</v>
      </c>
      <c r="AA4" s="108">
        <v>2</v>
      </c>
    </row>
    <row r="5" spans="2:27">
      <c r="B5" s="104" t="s">
        <v>12</v>
      </c>
      <c r="C5" s="103">
        <v>0</v>
      </c>
      <c r="D5" s="103">
        <v>0</v>
      </c>
      <c r="E5" s="103">
        <v>0</v>
      </c>
      <c r="F5" s="106">
        <v>0</v>
      </c>
      <c r="G5" s="109">
        <v>0</v>
      </c>
      <c r="H5" s="108">
        <v>18</v>
      </c>
      <c r="I5" s="243">
        <f t="shared" ref="I5:I25" si="0">C5+D5</f>
        <v>0</v>
      </c>
      <c r="L5" s="104" t="s">
        <v>12</v>
      </c>
      <c r="M5" s="103">
        <v>0</v>
      </c>
      <c r="N5" s="103">
        <v>0</v>
      </c>
      <c r="O5" s="103">
        <v>0</v>
      </c>
      <c r="P5" s="106">
        <v>0</v>
      </c>
      <c r="Q5" s="109">
        <v>0</v>
      </c>
      <c r="R5" s="108">
        <v>20</v>
      </c>
      <c r="U5" s="104" t="s">
        <v>12</v>
      </c>
      <c r="V5" s="103">
        <v>0</v>
      </c>
      <c r="W5" s="103">
        <v>0</v>
      </c>
      <c r="X5" s="103">
        <v>0</v>
      </c>
      <c r="Y5" s="106">
        <v>0</v>
      </c>
      <c r="Z5" s="109">
        <v>0</v>
      </c>
      <c r="AA5" s="108">
        <v>20</v>
      </c>
    </row>
    <row r="6" spans="2:27">
      <c r="B6" s="104" t="s">
        <v>13</v>
      </c>
      <c r="C6" s="103">
        <v>0</v>
      </c>
      <c r="D6" s="103">
        <v>0</v>
      </c>
      <c r="E6" s="103">
        <v>4.5635646732612276</v>
      </c>
      <c r="F6" s="106">
        <v>4.5635646732612276</v>
      </c>
      <c r="G6" s="109">
        <v>2.9474962935484675E-5</v>
      </c>
      <c r="H6" s="108">
        <v>17</v>
      </c>
      <c r="I6" s="243">
        <f t="shared" si="0"/>
        <v>0</v>
      </c>
      <c r="L6" s="104" t="s">
        <v>13</v>
      </c>
      <c r="M6" s="103">
        <v>0</v>
      </c>
      <c r="N6" s="103">
        <v>0</v>
      </c>
      <c r="O6" s="103">
        <v>5.3613198770654726</v>
      </c>
      <c r="P6" s="106">
        <v>5.3613198770654726</v>
      </c>
      <c r="Q6" s="109">
        <v>3.2593386502758602E-5</v>
      </c>
      <c r="R6" s="108">
        <v>17</v>
      </c>
      <c r="U6" s="104" t="s">
        <v>13</v>
      </c>
      <c r="V6" s="103">
        <v>0</v>
      </c>
      <c r="W6" s="103">
        <v>0</v>
      </c>
      <c r="X6" s="103">
        <v>5.542939581895844</v>
      </c>
      <c r="Y6" s="106">
        <v>5.542939581895844</v>
      </c>
      <c r="Z6" s="109">
        <v>3.502598897828487E-5</v>
      </c>
      <c r="AA6" s="108">
        <v>17</v>
      </c>
    </row>
    <row r="7" spans="2:27">
      <c r="B7" s="104" t="s">
        <v>14</v>
      </c>
      <c r="C7" s="103">
        <v>0</v>
      </c>
      <c r="D7" s="103">
        <v>0</v>
      </c>
      <c r="E7" s="103">
        <v>0</v>
      </c>
      <c r="F7" s="106">
        <v>0</v>
      </c>
      <c r="G7" s="109">
        <v>0</v>
      </c>
      <c r="H7" s="108">
        <v>18</v>
      </c>
      <c r="I7" s="243">
        <f t="shared" si="0"/>
        <v>0</v>
      </c>
      <c r="L7" s="104" t="s">
        <v>14</v>
      </c>
      <c r="M7" s="103">
        <v>0</v>
      </c>
      <c r="N7" s="103">
        <v>0</v>
      </c>
      <c r="O7" s="103">
        <v>2.6451883670724703</v>
      </c>
      <c r="P7" s="106">
        <v>2.6451883670724703</v>
      </c>
      <c r="Q7" s="109">
        <v>1.6081048845715244E-5</v>
      </c>
      <c r="R7" s="108">
        <v>18</v>
      </c>
      <c r="U7" s="104" t="s">
        <v>14</v>
      </c>
      <c r="V7" s="103">
        <v>0</v>
      </c>
      <c r="W7" s="103">
        <v>0</v>
      </c>
      <c r="X7" s="103">
        <v>2.8805452330628372</v>
      </c>
      <c r="Y7" s="106">
        <v>2.8805452330628372</v>
      </c>
      <c r="Z7" s="109">
        <v>1.8202245233602447E-5</v>
      </c>
      <c r="AA7" s="108">
        <v>18</v>
      </c>
    </row>
    <row r="8" spans="2:27">
      <c r="B8" s="104" t="s">
        <v>15</v>
      </c>
      <c r="C8" s="103">
        <v>135.82789782943308</v>
      </c>
      <c r="D8" s="103">
        <v>22060.211034564036</v>
      </c>
      <c r="E8" s="103">
        <v>8971.4652580780203</v>
      </c>
      <c r="F8" s="106">
        <v>31167.504190471489</v>
      </c>
      <c r="G8" s="109">
        <v>0.20130338815801516</v>
      </c>
      <c r="H8" s="108">
        <v>2</v>
      </c>
      <c r="I8" s="243">
        <f t="shared" si="0"/>
        <v>22196.038932393469</v>
      </c>
      <c r="L8" s="104" t="s">
        <v>15</v>
      </c>
      <c r="M8" s="103">
        <v>146.65481132816444</v>
      </c>
      <c r="N8" s="103">
        <v>23818.642111329384</v>
      </c>
      <c r="O8" s="103">
        <v>13698.950144670605</v>
      </c>
      <c r="P8" s="106">
        <v>37664.24706732815</v>
      </c>
      <c r="Q8" s="109">
        <v>0.22897446713676603</v>
      </c>
      <c r="R8" s="108">
        <v>1</v>
      </c>
      <c r="U8" s="104" t="s">
        <v>15</v>
      </c>
      <c r="V8" s="103">
        <v>144.19338181097459</v>
      </c>
      <c r="W8" s="103">
        <v>23418.874055844204</v>
      </c>
      <c r="X8" s="103">
        <v>12690.475502304897</v>
      </c>
      <c r="Y8" s="106">
        <v>36253.542939960076</v>
      </c>
      <c r="Z8" s="109">
        <v>0.22908714350527079</v>
      </c>
      <c r="AA8" s="108">
        <v>1</v>
      </c>
    </row>
    <row r="9" spans="2:27">
      <c r="B9" s="104" t="s">
        <v>16</v>
      </c>
      <c r="C9" s="103">
        <v>0</v>
      </c>
      <c r="D9" s="103">
        <v>0</v>
      </c>
      <c r="E9" s="103">
        <v>866.77947486630956</v>
      </c>
      <c r="F9" s="106">
        <v>866.77947486630956</v>
      </c>
      <c r="G9" s="109">
        <v>5.5983194550995484E-3</v>
      </c>
      <c r="H9" s="108">
        <v>11</v>
      </c>
      <c r="I9" s="243">
        <f t="shared" si="0"/>
        <v>0</v>
      </c>
      <c r="L9" s="104" t="s">
        <v>16</v>
      </c>
      <c r="M9" s="103">
        <v>0</v>
      </c>
      <c r="N9" s="103">
        <v>0</v>
      </c>
      <c r="O9" s="103">
        <v>2967.3597490463594</v>
      </c>
      <c r="P9" s="106">
        <v>2967.3597490463594</v>
      </c>
      <c r="Q9" s="109">
        <v>1.8039644231475065E-2</v>
      </c>
      <c r="R9" s="108">
        <v>10</v>
      </c>
      <c r="U9" s="104" t="s">
        <v>16</v>
      </c>
      <c r="V9" s="103">
        <v>0</v>
      </c>
      <c r="W9" s="103">
        <v>0</v>
      </c>
      <c r="X9" s="103">
        <v>1444.9426091872638</v>
      </c>
      <c r="Y9" s="106">
        <v>1444.9426091872638</v>
      </c>
      <c r="Z9" s="109">
        <v>9.1306324299383814E-3</v>
      </c>
      <c r="AA9" s="108">
        <v>10</v>
      </c>
    </row>
    <row r="10" spans="2:27">
      <c r="B10" s="104" t="s">
        <v>17</v>
      </c>
      <c r="C10" s="103">
        <v>0</v>
      </c>
      <c r="D10" s="103">
        <v>0</v>
      </c>
      <c r="E10" s="103">
        <v>4025.7474808553529</v>
      </c>
      <c r="F10" s="106">
        <v>4025.7474808553529</v>
      </c>
      <c r="G10" s="109">
        <v>2.6001331476921106E-2</v>
      </c>
      <c r="H10" s="108">
        <v>8</v>
      </c>
      <c r="I10" s="243">
        <f t="shared" si="0"/>
        <v>0</v>
      </c>
      <c r="L10" s="104" t="s">
        <v>17</v>
      </c>
      <c r="M10" s="103">
        <v>0</v>
      </c>
      <c r="N10" s="103">
        <v>0</v>
      </c>
      <c r="O10" s="103">
        <v>4054.4098235783968</v>
      </c>
      <c r="P10" s="106">
        <v>4054.4098235783968</v>
      </c>
      <c r="Q10" s="109">
        <v>2.4648211531971272E-2</v>
      </c>
      <c r="R10" s="108">
        <v>9</v>
      </c>
      <c r="U10" s="104" t="s">
        <v>17</v>
      </c>
      <c r="V10" s="103">
        <v>0</v>
      </c>
      <c r="W10" s="103">
        <v>0</v>
      </c>
      <c r="X10" s="103">
        <v>4413.0288329021796</v>
      </c>
      <c r="Y10" s="106">
        <v>4413.0288329021796</v>
      </c>
      <c r="Z10" s="109">
        <v>2.7886051611844827E-2</v>
      </c>
      <c r="AA10" s="108">
        <v>9</v>
      </c>
    </row>
    <row r="11" spans="2:27">
      <c r="B11" s="104" t="s">
        <v>18</v>
      </c>
      <c r="C11" s="103">
        <v>14.867657954596806</v>
      </c>
      <c r="D11" s="103">
        <v>1745.4833939392715</v>
      </c>
      <c r="E11" s="103">
        <v>14642.666644820436</v>
      </c>
      <c r="F11" s="106">
        <v>16403.017696714305</v>
      </c>
      <c r="G11" s="109">
        <v>0.10594313289204439</v>
      </c>
      <c r="H11" s="108">
        <v>5</v>
      </c>
      <c r="I11" s="243">
        <f t="shared" si="0"/>
        <v>1760.3510518938683</v>
      </c>
      <c r="L11" s="104" t="s">
        <v>18</v>
      </c>
      <c r="M11" s="103">
        <v>0</v>
      </c>
      <c r="N11" s="103">
        <v>0</v>
      </c>
      <c r="O11" s="103">
        <v>14060.300687439696</v>
      </c>
      <c r="P11" s="106">
        <v>14060.300687439696</v>
      </c>
      <c r="Q11" s="109">
        <v>8.5477610953808791E-2</v>
      </c>
      <c r="R11" s="108">
        <v>5</v>
      </c>
      <c r="U11" s="104" t="s">
        <v>18</v>
      </c>
      <c r="V11" s="103">
        <v>0</v>
      </c>
      <c r="W11" s="103">
        <v>0</v>
      </c>
      <c r="X11" s="103">
        <v>10747.241736927759</v>
      </c>
      <c r="Y11" s="106">
        <v>10747.241736927759</v>
      </c>
      <c r="Z11" s="109">
        <v>6.7912118662466839E-2</v>
      </c>
      <c r="AA11" s="108">
        <v>6</v>
      </c>
    </row>
    <row r="12" spans="2:27">
      <c r="B12" s="104" t="s">
        <v>19</v>
      </c>
      <c r="C12" s="103">
        <v>0</v>
      </c>
      <c r="D12" s="103">
        <v>0</v>
      </c>
      <c r="E12" s="103">
        <v>125.03732265497685</v>
      </c>
      <c r="F12" s="106">
        <v>125.03732265497685</v>
      </c>
      <c r="G12" s="109">
        <v>8.0758589275649719E-4</v>
      </c>
      <c r="H12" s="108">
        <v>12</v>
      </c>
      <c r="I12" s="243">
        <f t="shared" si="0"/>
        <v>0</v>
      </c>
      <c r="L12" s="104" t="s">
        <v>19</v>
      </c>
      <c r="M12" s="103">
        <v>0</v>
      </c>
      <c r="N12" s="103">
        <v>0</v>
      </c>
      <c r="O12" s="103">
        <v>165.08558337970155</v>
      </c>
      <c r="P12" s="106">
        <v>165.08558337970155</v>
      </c>
      <c r="Q12" s="109">
        <v>1.0036144733958923E-3</v>
      </c>
      <c r="R12" s="108">
        <v>13</v>
      </c>
      <c r="U12" s="104" t="s">
        <v>19</v>
      </c>
      <c r="V12" s="103">
        <v>0</v>
      </c>
      <c r="W12" s="103">
        <v>0</v>
      </c>
      <c r="X12" s="103">
        <v>171.91686222787104</v>
      </c>
      <c r="Y12" s="106">
        <v>171.91686222787104</v>
      </c>
      <c r="Z12" s="109">
        <v>1.0863474213650339E-3</v>
      </c>
      <c r="AA12" s="108">
        <v>13</v>
      </c>
    </row>
    <row r="13" spans="2:27">
      <c r="B13" s="104" t="s">
        <v>20</v>
      </c>
      <c r="C13" s="103">
        <v>0</v>
      </c>
      <c r="D13" s="103">
        <v>0</v>
      </c>
      <c r="E13" s="103">
        <v>34.197850014945132</v>
      </c>
      <c r="F13" s="106">
        <v>34.197850014945132</v>
      </c>
      <c r="G13" s="109">
        <v>2.2087566054880648E-4</v>
      </c>
      <c r="H13" s="108">
        <v>16</v>
      </c>
      <c r="I13" s="243">
        <f t="shared" si="0"/>
        <v>0</v>
      </c>
      <c r="L13" s="104" t="s">
        <v>20</v>
      </c>
      <c r="M13" s="103">
        <v>0</v>
      </c>
      <c r="N13" s="103">
        <v>0</v>
      </c>
      <c r="O13" s="103">
        <v>35.781884666295944</v>
      </c>
      <c r="P13" s="106">
        <v>35.781884666295944</v>
      </c>
      <c r="Q13" s="109">
        <v>2.1753091094502377E-4</v>
      </c>
      <c r="R13" s="108">
        <v>16</v>
      </c>
      <c r="U13" s="104" t="s">
        <v>20</v>
      </c>
      <c r="V13" s="103">
        <v>0</v>
      </c>
      <c r="W13" s="103">
        <v>0</v>
      </c>
      <c r="X13" s="103">
        <v>36.751917580109939</v>
      </c>
      <c r="Y13" s="106">
        <v>36.751917580109939</v>
      </c>
      <c r="Z13" s="109">
        <v>2.3223638668121307E-4</v>
      </c>
      <c r="AA13" s="108">
        <v>16</v>
      </c>
    </row>
    <row r="14" spans="2:27">
      <c r="B14" s="104" t="s">
        <v>21</v>
      </c>
      <c r="C14" s="103">
        <v>0</v>
      </c>
      <c r="D14" s="103">
        <v>0</v>
      </c>
      <c r="E14" s="103">
        <v>62.474894553436783</v>
      </c>
      <c r="F14" s="106">
        <v>62.474894553436783</v>
      </c>
      <c r="G14" s="109">
        <v>4.0351026734653986E-4</v>
      </c>
      <c r="H14" s="108">
        <v>13</v>
      </c>
      <c r="I14" s="243">
        <f t="shared" si="0"/>
        <v>0</v>
      </c>
      <c r="L14" s="104" t="s">
        <v>21</v>
      </c>
      <c r="M14" s="103">
        <v>0</v>
      </c>
      <c r="N14" s="103">
        <v>0</v>
      </c>
      <c r="O14" s="103">
        <v>67.81821733321371</v>
      </c>
      <c r="P14" s="106">
        <v>67.81821733321371</v>
      </c>
      <c r="Q14" s="109">
        <v>4.122912678508929E-4</v>
      </c>
      <c r="R14" s="108">
        <v>14</v>
      </c>
      <c r="U14" s="104" t="s">
        <v>21</v>
      </c>
      <c r="V14" s="103">
        <v>0</v>
      </c>
      <c r="W14" s="103">
        <v>0</v>
      </c>
      <c r="X14" s="103">
        <v>72.430311176872891</v>
      </c>
      <c r="Y14" s="106">
        <v>72.430311176872891</v>
      </c>
      <c r="Z14" s="109">
        <v>4.5768914553226761E-4</v>
      </c>
      <c r="AA14" s="108">
        <v>14</v>
      </c>
    </row>
    <row r="15" spans="2:27">
      <c r="B15" s="104" t="s">
        <v>22</v>
      </c>
      <c r="C15" s="103">
        <v>5.00828323011023</v>
      </c>
      <c r="D15" s="103">
        <v>594.95139292592546</v>
      </c>
      <c r="E15" s="103">
        <v>607.51842117420983</v>
      </c>
      <c r="F15" s="106">
        <v>1207.4780973302454</v>
      </c>
      <c r="G15" s="109">
        <v>7.7988096394796674E-3</v>
      </c>
      <c r="H15" s="108">
        <v>10</v>
      </c>
      <c r="I15" s="243">
        <f t="shared" si="0"/>
        <v>599.9596761560357</v>
      </c>
      <c r="L15" s="104" t="s">
        <v>22</v>
      </c>
      <c r="M15" s="103">
        <v>10.014001429506273</v>
      </c>
      <c r="N15" s="103">
        <v>1189.5980769274179</v>
      </c>
      <c r="O15" s="103">
        <v>47.302490699119438</v>
      </c>
      <c r="P15" s="106">
        <v>1246.9145690560438</v>
      </c>
      <c r="Q15" s="109">
        <v>7.5804409020655793E-3</v>
      </c>
      <c r="R15" s="108">
        <v>11</v>
      </c>
      <c r="U15" s="104" t="s">
        <v>22</v>
      </c>
      <c r="V15" s="103">
        <v>9.8529986096303031</v>
      </c>
      <c r="W15" s="103">
        <v>1170.4719916904007</v>
      </c>
      <c r="X15" s="103">
        <v>46.541972094910435</v>
      </c>
      <c r="Y15" s="106">
        <v>1226.8669623949415</v>
      </c>
      <c r="Z15" s="109">
        <v>7.7526063684730494E-3</v>
      </c>
      <c r="AA15" s="108">
        <v>11</v>
      </c>
    </row>
    <row r="16" spans="2:27">
      <c r="B16" s="104" t="s">
        <v>23</v>
      </c>
      <c r="C16" s="103">
        <v>185.57311546396912</v>
      </c>
      <c r="D16" s="103">
        <v>17588.538881872821</v>
      </c>
      <c r="E16" s="103">
        <v>2703.5447046319846</v>
      </c>
      <c r="F16" s="106">
        <v>20477.656701968775</v>
      </c>
      <c r="G16" s="109">
        <v>0.132260242926453</v>
      </c>
      <c r="H16" s="108">
        <v>4</v>
      </c>
      <c r="I16" s="243">
        <f t="shared" si="0"/>
        <v>17774.111997336789</v>
      </c>
      <c r="L16" s="104" t="s">
        <v>23</v>
      </c>
      <c r="M16" s="103">
        <v>92.485780133762987</v>
      </c>
      <c r="N16" s="103">
        <v>8765.7618714649907</v>
      </c>
      <c r="O16" s="103">
        <v>9475.7622327392965</v>
      </c>
      <c r="P16" s="106">
        <v>18334.009884338047</v>
      </c>
      <c r="Q16" s="109">
        <v>0.11145902203334042</v>
      </c>
      <c r="R16" s="108">
        <v>4</v>
      </c>
      <c r="U16" s="104" t="s">
        <v>23</v>
      </c>
      <c r="V16" s="103">
        <v>100.52789434698849</v>
      </c>
      <c r="W16" s="103">
        <v>9527.9899462490393</v>
      </c>
      <c r="X16" s="103">
        <v>9008.8554927079949</v>
      </c>
      <c r="Y16" s="106">
        <v>18637.373333304022</v>
      </c>
      <c r="Z16" s="109">
        <v>0.11777007909099622</v>
      </c>
      <c r="AA16" s="108">
        <v>4</v>
      </c>
    </row>
    <row r="17" spans="2:27">
      <c r="B17" s="104" t="s">
        <v>24</v>
      </c>
      <c r="C17" s="103">
        <v>0</v>
      </c>
      <c r="D17" s="103">
        <v>0</v>
      </c>
      <c r="E17" s="103">
        <v>0</v>
      </c>
      <c r="F17" s="106">
        <v>0</v>
      </c>
      <c r="G17" s="109">
        <v>0</v>
      </c>
      <c r="H17" s="108">
        <v>18</v>
      </c>
      <c r="I17" s="243">
        <f t="shared" si="0"/>
        <v>0</v>
      </c>
      <c r="L17" s="104" t="s">
        <v>24</v>
      </c>
      <c r="M17" s="103">
        <v>0</v>
      </c>
      <c r="N17" s="103">
        <v>0</v>
      </c>
      <c r="O17" s="103">
        <v>0</v>
      </c>
      <c r="P17" s="106">
        <v>0</v>
      </c>
      <c r="Q17" s="109">
        <v>0</v>
      </c>
      <c r="R17" s="108">
        <v>20</v>
      </c>
      <c r="U17" s="104" t="s">
        <v>24</v>
      </c>
      <c r="V17" s="103">
        <v>0</v>
      </c>
      <c r="W17" s="103">
        <v>0</v>
      </c>
      <c r="X17" s="103">
        <v>0</v>
      </c>
      <c r="Y17" s="106">
        <v>0</v>
      </c>
      <c r="Z17" s="109">
        <v>0</v>
      </c>
      <c r="AA17" s="108">
        <v>20</v>
      </c>
    </row>
    <row r="18" spans="2:27">
      <c r="B18" s="104" t="s">
        <v>25</v>
      </c>
      <c r="C18" s="103">
        <v>0</v>
      </c>
      <c r="D18" s="103">
        <v>0</v>
      </c>
      <c r="E18" s="103">
        <v>5892.3656416718886</v>
      </c>
      <c r="F18" s="106">
        <v>5892.3656416718886</v>
      </c>
      <c r="G18" s="109">
        <v>3.8057367721380082E-2</v>
      </c>
      <c r="H18" s="108">
        <v>7</v>
      </c>
      <c r="I18" s="243">
        <f t="shared" si="0"/>
        <v>0</v>
      </c>
      <c r="L18" s="104" t="s">
        <v>25</v>
      </c>
      <c r="M18" s="103">
        <v>0</v>
      </c>
      <c r="N18" s="103">
        <v>0</v>
      </c>
      <c r="O18" s="103">
        <v>6877.6273235558838</v>
      </c>
      <c r="P18" s="106">
        <v>6877.6273235558838</v>
      </c>
      <c r="Q18" s="109">
        <v>4.1811563331171218E-2</v>
      </c>
      <c r="R18" s="108">
        <v>8</v>
      </c>
      <c r="U18" s="104" t="s">
        <v>25</v>
      </c>
      <c r="V18" s="103">
        <v>0</v>
      </c>
      <c r="W18" s="103">
        <v>0</v>
      </c>
      <c r="X18" s="103">
        <v>5723.0899983797208</v>
      </c>
      <c r="Y18" s="106">
        <v>5723.0899983797208</v>
      </c>
      <c r="Z18" s="109">
        <v>3.6164364457391122E-2</v>
      </c>
      <c r="AA18" s="108">
        <v>8</v>
      </c>
    </row>
    <row r="19" spans="2:27">
      <c r="B19" s="104" t="s">
        <v>26</v>
      </c>
      <c r="C19" s="103">
        <v>0</v>
      </c>
      <c r="D19" s="103">
        <v>0</v>
      </c>
      <c r="E19" s="103">
        <v>0</v>
      </c>
      <c r="F19" s="106">
        <v>0</v>
      </c>
      <c r="G19" s="109">
        <v>0</v>
      </c>
      <c r="H19" s="108">
        <v>18</v>
      </c>
      <c r="I19" s="243">
        <f t="shared" si="0"/>
        <v>0</v>
      </c>
      <c r="L19" s="104" t="s">
        <v>26</v>
      </c>
      <c r="M19" s="103">
        <v>0</v>
      </c>
      <c r="N19" s="103">
        <v>0</v>
      </c>
      <c r="O19" s="103">
        <v>0.26956914462851622</v>
      </c>
      <c r="P19" s="106">
        <v>0.26956914462851622</v>
      </c>
      <c r="Q19" s="109">
        <v>1.6388075178428612E-6</v>
      </c>
      <c r="R19" s="108">
        <v>19</v>
      </c>
      <c r="U19" s="104" t="s">
        <v>26</v>
      </c>
      <c r="V19" s="103">
        <v>0</v>
      </c>
      <c r="W19" s="103">
        <v>0</v>
      </c>
      <c r="X19" s="103">
        <v>0.29355418472518369</v>
      </c>
      <c r="Y19" s="106">
        <v>0.29355418472518369</v>
      </c>
      <c r="Z19" s="109">
        <v>1.8549770364260289E-6</v>
      </c>
      <c r="AA19" s="108">
        <v>19</v>
      </c>
    </row>
    <row r="20" spans="2:27">
      <c r="B20" s="104" t="s">
        <v>27</v>
      </c>
      <c r="C20" s="103">
        <v>0</v>
      </c>
      <c r="D20" s="103">
        <v>0</v>
      </c>
      <c r="E20" s="103">
        <v>3820.894327596583</v>
      </c>
      <c r="F20" s="106">
        <v>3820.894327596583</v>
      </c>
      <c r="G20" s="109">
        <v>2.4678234395620297E-2</v>
      </c>
      <c r="H20" s="108">
        <v>9</v>
      </c>
      <c r="I20" s="243">
        <f t="shared" si="0"/>
        <v>0</v>
      </c>
      <c r="L20" s="104" t="s">
        <v>27</v>
      </c>
      <c r="M20" s="103">
        <v>54.437093085079674</v>
      </c>
      <c r="N20" s="103">
        <v>6428.8804793696218</v>
      </c>
      <c r="O20" s="103">
        <v>1275.541348957433</v>
      </c>
      <c r="P20" s="106">
        <v>7758.8589214121348</v>
      </c>
      <c r="Q20" s="109">
        <v>4.716888629006423E-2</v>
      </c>
      <c r="R20" s="108">
        <v>7</v>
      </c>
      <c r="U20" s="104" t="s">
        <v>27</v>
      </c>
      <c r="V20" s="103">
        <v>59.184738461648188</v>
      </c>
      <c r="W20" s="103">
        <v>6989.5651698009779</v>
      </c>
      <c r="X20" s="103">
        <v>1697.7899969929758</v>
      </c>
      <c r="Y20" s="106">
        <v>8746.5399052556022</v>
      </c>
      <c r="Z20" s="109">
        <v>5.5269628288971702E-2</v>
      </c>
      <c r="AA20" s="108">
        <v>7</v>
      </c>
    </row>
    <row r="21" spans="2:27">
      <c r="B21" s="104" t="s">
        <v>28</v>
      </c>
      <c r="C21" s="103">
        <v>0</v>
      </c>
      <c r="D21" s="103">
        <v>0</v>
      </c>
      <c r="E21" s="103">
        <v>41.756511024454824</v>
      </c>
      <c r="F21" s="106">
        <v>41.756511024454824</v>
      </c>
      <c r="G21" s="109">
        <v>2.6969522793711734E-4</v>
      </c>
      <c r="H21" s="108">
        <v>15</v>
      </c>
      <c r="I21" s="243">
        <f t="shared" si="0"/>
        <v>0</v>
      </c>
      <c r="L21" s="104" t="s">
        <v>28</v>
      </c>
      <c r="M21" s="103">
        <v>0</v>
      </c>
      <c r="N21" s="103">
        <v>0</v>
      </c>
      <c r="O21" s="103">
        <v>46.263674560505251</v>
      </c>
      <c r="P21" s="106">
        <v>46.263674560505251</v>
      </c>
      <c r="Q21" s="109">
        <v>2.8125347126531353E-4</v>
      </c>
      <c r="R21" s="108">
        <v>15</v>
      </c>
      <c r="U21" s="104" t="s">
        <v>28</v>
      </c>
      <c r="V21" s="103">
        <v>0</v>
      </c>
      <c r="W21" s="103">
        <v>0</v>
      </c>
      <c r="X21" s="103">
        <v>50.380006534930743</v>
      </c>
      <c r="Y21" s="106">
        <v>50.380006534930743</v>
      </c>
      <c r="Z21" s="109">
        <v>3.1835265882780144E-4</v>
      </c>
      <c r="AA21" s="108">
        <v>15</v>
      </c>
    </row>
    <row r="22" spans="2:27">
      <c r="B22" s="104" t="s">
        <v>29</v>
      </c>
      <c r="C22" s="103">
        <v>0</v>
      </c>
      <c r="D22" s="103">
        <v>0</v>
      </c>
      <c r="E22" s="103">
        <v>54.742425052505538</v>
      </c>
      <c r="F22" s="106">
        <v>54.742425052505538</v>
      </c>
      <c r="G22" s="109">
        <v>3.5356811285597111E-4</v>
      </c>
      <c r="H22" s="108">
        <v>14</v>
      </c>
      <c r="I22" s="243">
        <f t="shared" si="0"/>
        <v>0</v>
      </c>
      <c r="L22" s="104" t="s">
        <v>29</v>
      </c>
      <c r="M22" s="103">
        <v>0</v>
      </c>
      <c r="N22" s="103">
        <v>0</v>
      </c>
      <c r="O22" s="103">
        <v>350.31341310587754</v>
      </c>
      <c r="P22" s="106">
        <v>350.31341310587754</v>
      </c>
      <c r="Q22" s="109">
        <v>2.1296808868472169E-3</v>
      </c>
      <c r="R22" s="108">
        <v>12</v>
      </c>
      <c r="U22" s="104" t="s">
        <v>29</v>
      </c>
      <c r="V22" s="103">
        <v>0</v>
      </c>
      <c r="W22" s="103">
        <v>0</v>
      </c>
      <c r="X22" s="103">
        <v>381.48271206746233</v>
      </c>
      <c r="Y22" s="106">
        <v>381.48271206746233</v>
      </c>
      <c r="Z22" s="109">
        <v>2.4105998398256103E-3</v>
      </c>
      <c r="AA22" s="108">
        <v>12</v>
      </c>
    </row>
    <row r="23" spans="2:27">
      <c r="B23" s="104" t="s">
        <v>30</v>
      </c>
      <c r="C23" s="103">
        <v>189.65158650591434</v>
      </c>
      <c r="D23" s="103">
        <v>10258.784705047621</v>
      </c>
      <c r="E23" s="103">
        <v>897.95144656925277</v>
      </c>
      <c r="F23" s="106">
        <v>11346.387738122787</v>
      </c>
      <c r="G23" s="109">
        <v>7.3283580266172169E-2</v>
      </c>
      <c r="H23" s="108">
        <v>6</v>
      </c>
      <c r="I23" s="243">
        <f t="shared" si="0"/>
        <v>10448.436291553535</v>
      </c>
      <c r="L23" s="104" t="s">
        <v>30</v>
      </c>
      <c r="M23" s="103">
        <v>194.6420390260474</v>
      </c>
      <c r="N23" s="103">
        <v>10528.732238458901</v>
      </c>
      <c r="O23" s="103">
        <v>1460.467290047769</v>
      </c>
      <c r="P23" s="106">
        <v>12183.841567532718</v>
      </c>
      <c r="Q23" s="109">
        <v>7.4069942925384699E-2</v>
      </c>
      <c r="R23" s="108">
        <v>6</v>
      </c>
      <c r="U23" s="104" t="s">
        <v>30</v>
      </c>
      <c r="V23" s="103">
        <v>118.96397526646624</v>
      </c>
      <c r="W23" s="103">
        <v>10838.2041797945</v>
      </c>
      <c r="X23" s="103">
        <v>1548.5478494444069</v>
      </c>
      <c r="Y23" s="106">
        <v>12505.716004505373</v>
      </c>
      <c r="Z23" s="109">
        <v>7.9023966339093463E-2</v>
      </c>
      <c r="AA23" s="108">
        <v>5</v>
      </c>
    </row>
    <row r="24" spans="2:27">
      <c r="B24" s="104" t="s">
        <v>31</v>
      </c>
      <c r="C24" s="103">
        <v>6.6502735923272327E-2</v>
      </c>
      <c r="D24" s="103">
        <v>11.090357588634264</v>
      </c>
      <c r="E24" s="103">
        <v>22869.631735795308</v>
      </c>
      <c r="F24" s="106">
        <v>22880.788596119866</v>
      </c>
      <c r="G24" s="109">
        <v>0.14778149190188741</v>
      </c>
      <c r="H24" s="108">
        <v>3</v>
      </c>
      <c r="I24" s="243">
        <f t="shared" si="0"/>
        <v>11.156860324557536</v>
      </c>
      <c r="L24" s="104" t="s">
        <v>31</v>
      </c>
      <c r="M24" s="103">
        <v>0</v>
      </c>
      <c r="N24" s="103">
        <v>0</v>
      </c>
      <c r="O24" s="103">
        <v>27590.767111869402</v>
      </c>
      <c r="P24" s="106">
        <v>27590.767111869402</v>
      </c>
      <c r="Q24" s="109">
        <v>0.16773416938460695</v>
      </c>
      <c r="R24" s="108">
        <v>3</v>
      </c>
      <c r="U24" s="104" t="s">
        <v>31</v>
      </c>
      <c r="V24" s="103">
        <v>0</v>
      </c>
      <c r="W24" s="103">
        <v>0</v>
      </c>
      <c r="X24" s="103">
        <v>27673.081680571529</v>
      </c>
      <c r="Y24" s="106">
        <v>27673.081680571529</v>
      </c>
      <c r="Z24" s="109">
        <v>0.17486697078652894</v>
      </c>
      <c r="AA24" s="108">
        <v>3</v>
      </c>
    </row>
    <row r="25" spans="2:27">
      <c r="B25" s="104" t="s">
        <v>32</v>
      </c>
      <c r="C25" s="103">
        <v>0</v>
      </c>
      <c r="D25" s="103">
        <v>0</v>
      </c>
      <c r="E25" s="103">
        <v>0</v>
      </c>
      <c r="F25" s="106">
        <v>0</v>
      </c>
      <c r="G25" s="109">
        <v>0</v>
      </c>
      <c r="H25" s="108">
        <v>18</v>
      </c>
      <c r="I25" s="243">
        <f t="shared" si="0"/>
        <v>0</v>
      </c>
      <c r="L25" s="104" t="s">
        <v>32</v>
      </c>
      <c r="M25" s="103">
        <v>0</v>
      </c>
      <c r="N25" s="103">
        <v>0</v>
      </c>
      <c r="O25" s="103">
        <v>0</v>
      </c>
      <c r="P25" s="106">
        <v>0</v>
      </c>
      <c r="Q25" s="109">
        <v>0</v>
      </c>
      <c r="R25" s="108">
        <v>20</v>
      </c>
      <c r="U25" s="104" t="s">
        <v>32</v>
      </c>
      <c r="V25" s="103">
        <v>0</v>
      </c>
      <c r="W25" s="103">
        <v>0</v>
      </c>
      <c r="X25" s="103">
        <v>0</v>
      </c>
      <c r="Y25" s="106">
        <v>0</v>
      </c>
      <c r="Z25" s="109">
        <v>0</v>
      </c>
      <c r="AA25" s="108">
        <v>20</v>
      </c>
    </row>
    <row r="26" spans="2:27">
      <c r="B26" s="102" t="s">
        <v>33</v>
      </c>
      <c r="C26" s="105">
        <v>530.99504371994681</v>
      </c>
      <c r="D26" s="105">
        <v>52259.059765938306</v>
      </c>
      <c r="E26" s="105">
        <v>102038.45789280174</v>
      </c>
      <c r="F26" s="107">
        <v>154828.51270246002</v>
      </c>
      <c r="G26" s="102"/>
      <c r="H26" s="102"/>
      <c r="I26" s="243">
        <f>SUM(I4:I25)</f>
        <v>52790.05480965825</v>
      </c>
      <c r="L26" s="102" t="s">
        <v>33</v>
      </c>
      <c r="M26" s="105">
        <v>498.23372500256073</v>
      </c>
      <c r="N26" s="105">
        <v>50731.614777550312</v>
      </c>
      <c r="O26" s="105">
        <v>113261.18640760312</v>
      </c>
      <c r="P26" s="107">
        <v>164491.03491015601</v>
      </c>
      <c r="Q26" s="102"/>
      <c r="R26" s="102"/>
      <c r="U26" s="102" t="s">
        <v>33</v>
      </c>
      <c r="V26" s="105">
        <v>432.7229884957078</v>
      </c>
      <c r="W26" s="105">
        <v>51945.105343379117</v>
      </c>
      <c r="X26" s="105">
        <v>105874.36507035317</v>
      </c>
      <c r="Y26" s="107">
        <v>158252.193402228</v>
      </c>
      <c r="Z26" s="102"/>
      <c r="AA26" s="102"/>
    </row>
    <row r="28" spans="2:27" ht="14.4" thickBot="1"/>
    <row r="29" spans="2:27" ht="15" thickBot="1">
      <c r="B29" s="737" t="s">
        <v>1125</v>
      </c>
      <c r="C29" s="738"/>
      <c r="D29" s="738"/>
      <c r="E29" s="738"/>
      <c r="F29" s="738"/>
      <c r="G29" s="738"/>
      <c r="H29" s="738"/>
    </row>
    <row r="30" spans="2:27" ht="14.4" thickBot="1">
      <c r="B30" s="739" t="s">
        <v>1126</v>
      </c>
      <c r="C30" s="740" t="s">
        <v>113</v>
      </c>
      <c r="D30" s="740" t="s">
        <v>124</v>
      </c>
      <c r="E30" s="740" t="s">
        <v>1086</v>
      </c>
      <c r="F30" s="741" t="s">
        <v>33</v>
      </c>
      <c r="G30" s="741" t="s">
        <v>1127</v>
      </c>
      <c r="H30" s="742" t="s">
        <v>1128</v>
      </c>
    </row>
    <row r="31" spans="2:27" ht="14.4" thickBot="1">
      <c r="B31" s="743" t="s">
        <v>1129</v>
      </c>
      <c r="C31" s="744">
        <v>0</v>
      </c>
      <c r="D31" s="744">
        <v>52259.059765938313</v>
      </c>
      <c r="E31" s="744">
        <v>101110.40266033476</v>
      </c>
      <c r="F31" s="745">
        <v>153369.46242627306</v>
      </c>
      <c r="G31" s="746">
        <v>0.99057634636721703</v>
      </c>
      <c r="H31" s="779">
        <v>1</v>
      </c>
    </row>
    <row r="32" spans="2:27" ht="14.4" thickBot="1">
      <c r="B32" s="748" t="s">
        <v>1130</v>
      </c>
      <c r="C32" s="749">
        <v>101.44664788759241</v>
      </c>
      <c r="D32" s="749">
        <v>0</v>
      </c>
      <c r="E32" s="749">
        <v>212.70751755666512</v>
      </c>
      <c r="F32" s="745">
        <v>314.1541654442575</v>
      </c>
      <c r="G32" s="746">
        <v>2.029045942254705E-3</v>
      </c>
      <c r="H32" s="780">
        <v>3</v>
      </c>
    </row>
    <row r="33" spans="2:12" ht="14.4" thickBot="1">
      <c r="B33" s="743" t="s">
        <v>1131</v>
      </c>
      <c r="C33" s="744">
        <v>429.54839583235452</v>
      </c>
      <c r="D33" s="744">
        <v>0</v>
      </c>
      <c r="E33" s="744">
        <v>715.34771491029414</v>
      </c>
      <c r="F33" s="745">
        <v>1144.8961107426487</v>
      </c>
      <c r="G33" s="746">
        <v>7.3946076905281677E-3</v>
      </c>
      <c r="H33" s="779">
        <v>2</v>
      </c>
    </row>
    <row r="34" spans="2:12" ht="14.4" thickBot="1">
      <c r="B34" s="751" t="s">
        <v>234</v>
      </c>
      <c r="C34" s="752">
        <v>530.99504371994692</v>
      </c>
      <c r="D34" s="752">
        <v>52259.059765938313</v>
      </c>
      <c r="E34" s="752">
        <v>102038.45789280173</v>
      </c>
      <c r="F34" s="745">
        <v>154828.51270245999</v>
      </c>
      <c r="G34" s="745">
        <v>1</v>
      </c>
      <c r="H34" s="753"/>
    </row>
    <row r="35" spans="2:12" ht="14.4" thickBot="1">
      <c r="F35" t="b">
        <f>F34=F26</f>
        <v>1</v>
      </c>
    </row>
    <row r="36" spans="2:12" ht="15" thickBot="1">
      <c r="B36" s="737" t="s">
        <v>1132</v>
      </c>
      <c r="C36" s="738"/>
      <c r="D36" s="738"/>
      <c r="E36" s="738"/>
      <c r="F36" s="738"/>
    </row>
    <row r="37" spans="2:12" ht="14.4" thickBot="1">
      <c r="B37" s="739" t="s">
        <v>1126</v>
      </c>
      <c r="C37" s="740" t="s">
        <v>1133</v>
      </c>
      <c r="D37" s="740" t="s">
        <v>649</v>
      </c>
      <c r="E37" s="740" t="s">
        <v>1134</v>
      </c>
      <c r="F37" s="742" t="s">
        <v>49</v>
      </c>
      <c r="H37" s="58" t="s">
        <v>1135</v>
      </c>
      <c r="I37" s="58" t="s">
        <v>1136</v>
      </c>
    </row>
    <row r="38" spans="2:12" ht="14.4" thickBot="1">
      <c r="B38" s="743" t="s">
        <v>155</v>
      </c>
      <c r="C38" s="744" t="s">
        <v>686</v>
      </c>
      <c r="D38" s="744" t="s">
        <v>663</v>
      </c>
      <c r="E38" s="744">
        <v>343533167.66828084</v>
      </c>
      <c r="F38" s="747">
        <v>1236719.4036058111</v>
      </c>
      <c r="H38" s="125">
        <v>3.5999999999999999E-3</v>
      </c>
      <c r="I38" s="125" t="s">
        <v>1137</v>
      </c>
    </row>
    <row r="39" spans="2:12" ht="14.4" thickBot="1">
      <c r="B39" s="748" t="s">
        <v>1138</v>
      </c>
      <c r="C39" s="749" t="s">
        <v>686</v>
      </c>
      <c r="D39" s="749" t="s">
        <v>670</v>
      </c>
      <c r="E39" s="749">
        <v>5489504.2019505808</v>
      </c>
      <c r="F39" s="750">
        <v>5489.5042019505809</v>
      </c>
    </row>
    <row r="40" spans="2:12" ht="14.4" thickBot="1">
      <c r="B40" s="743" t="s">
        <v>35</v>
      </c>
      <c r="C40" s="744" t="s">
        <v>686</v>
      </c>
      <c r="D40" s="744" t="s">
        <v>673</v>
      </c>
      <c r="E40" s="744">
        <v>419992.7361706458</v>
      </c>
      <c r="F40" s="747">
        <v>16211.719616186929</v>
      </c>
      <c r="H40" s="58" t="s">
        <v>1139</v>
      </c>
      <c r="I40" s="58" t="s">
        <v>1136</v>
      </c>
    </row>
    <row r="41" spans="2:12" ht="14.4" thickBot="1">
      <c r="B41" s="751" t="s">
        <v>234</v>
      </c>
      <c r="C41" s="752"/>
      <c r="D41" s="752"/>
      <c r="E41" s="752">
        <v>349442664.6064021</v>
      </c>
      <c r="F41" s="753">
        <v>1258420.6274239486</v>
      </c>
      <c r="H41" s="125">
        <v>38.6</v>
      </c>
      <c r="I41" s="125" t="s">
        <v>1140</v>
      </c>
    </row>
    <row r="43" spans="2:12" ht="14.4" thickBot="1"/>
    <row r="44" spans="2:12" ht="14.4" thickBot="1">
      <c r="B44" s="737" t="s">
        <v>1125</v>
      </c>
    </row>
    <row r="45" spans="2:12">
      <c r="B45" s="764" t="s">
        <v>42</v>
      </c>
      <c r="C45" s="755" t="s">
        <v>1141</v>
      </c>
      <c r="D45" s="756" t="s">
        <v>1142</v>
      </c>
      <c r="E45" s="756" t="s">
        <v>1143</v>
      </c>
      <c r="F45" s="756" t="s">
        <v>1144</v>
      </c>
      <c r="G45" s="756" t="s">
        <v>1145</v>
      </c>
      <c r="H45" s="757" t="s">
        <v>1146</v>
      </c>
      <c r="I45" s="755" t="s">
        <v>1147</v>
      </c>
      <c r="J45" s="756" t="s">
        <v>1148</v>
      </c>
      <c r="K45" s="757" t="s">
        <v>1149</v>
      </c>
      <c r="L45" s="757" t="s">
        <v>234</v>
      </c>
    </row>
    <row r="46" spans="2:12">
      <c r="B46" s="765" t="s">
        <v>38</v>
      </c>
      <c r="C46" s="792">
        <v>0</v>
      </c>
      <c r="D46" s="793">
        <v>6217693.646215409</v>
      </c>
      <c r="E46" s="793">
        <v>0</v>
      </c>
      <c r="F46" s="793">
        <v>11533.24740941671</v>
      </c>
      <c r="G46" s="793">
        <v>0</v>
      </c>
      <c r="H46" s="794">
        <v>44335.270564094069</v>
      </c>
      <c r="I46" s="792">
        <v>0</v>
      </c>
      <c r="J46" s="793">
        <v>0</v>
      </c>
      <c r="K46" s="794">
        <v>6273562.1641889196</v>
      </c>
      <c r="L46" s="794">
        <v>6273562.1641889196</v>
      </c>
    </row>
    <row r="47" spans="2:12">
      <c r="B47" s="765" t="s">
        <v>39</v>
      </c>
      <c r="C47" s="792">
        <v>10856216.780695796</v>
      </c>
      <c r="D47" s="793">
        <v>28432025.066822872</v>
      </c>
      <c r="E47" s="793">
        <v>24725.735403464623</v>
      </c>
      <c r="F47" s="793">
        <v>77052.900060337372</v>
      </c>
      <c r="G47" s="793">
        <v>104694.43988037863</v>
      </c>
      <c r="H47" s="794">
        <v>286555.58543752739</v>
      </c>
      <c r="I47" s="792">
        <v>129420.17528384326</v>
      </c>
      <c r="J47" s="793">
        <v>10856216.780695796</v>
      </c>
      <c r="K47" s="794">
        <v>28795633.552320737</v>
      </c>
      <c r="L47" s="794">
        <v>39781270.508300379</v>
      </c>
    </row>
    <row r="48" spans="2:12">
      <c r="B48" s="765" t="s">
        <v>40</v>
      </c>
      <c r="C48" s="792">
        <v>30348941.615664311</v>
      </c>
      <c r="D48" s="793">
        <v>60973664.539981157</v>
      </c>
      <c r="E48" s="793">
        <v>55408.344823809821</v>
      </c>
      <c r="F48" s="793">
        <v>111007.09901618111</v>
      </c>
      <c r="G48" s="793">
        <v>234611.65184250913</v>
      </c>
      <c r="H48" s="794">
        <v>242742.65313378212</v>
      </c>
      <c r="I48" s="792">
        <v>290019.99666631897</v>
      </c>
      <c r="J48" s="793">
        <v>30348941.615664311</v>
      </c>
      <c r="K48" s="794">
        <v>61327414.292131118</v>
      </c>
      <c r="L48" s="794">
        <v>91966375.904461741</v>
      </c>
    </row>
    <row r="49" spans="2:12">
      <c r="B49" s="765" t="s">
        <v>41</v>
      </c>
      <c r="C49" s="792">
        <v>2091946.5045782062</v>
      </c>
      <c r="D49" s="793">
        <v>5305166.8602369819</v>
      </c>
      <c r="E49" s="793">
        <v>3247.6793076868335</v>
      </c>
      <c r="F49" s="793">
        <v>10260.628703363041</v>
      </c>
      <c r="G49" s="793">
        <v>13751.419744697478</v>
      </c>
      <c r="H49" s="794">
        <v>137791.59632028712</v>
      </c>
      <c r="I49" s="792"/>
      <c r="J49" s="793"/>
      <c r="K49" s="794"/>
      <c r="L49" s="794">
        <v>0</v>
      </c>
    </row>
    <row r="50" spans="2:12">
      <c r="B50" s="765" t="s">
        <v>687</v>
      </c>
      <c r="C50" s="792">
        <v>8961954.8650000002</v>
      </c>
      <c r="D50" s="793">
        <v>181852.5470783714</v>
      </c>
      <c r="E50" s="793">
        <v>18064.888352631133</v>
      </c>
      <c r="F50" s="793">
        <v>2853.642367366921</v>
      </c>
      <c r="G50" s="793">
        <v>76490.884364769183</v>
      </c>
      <c r="H50" s="794">
        <v>3922.6094546035474</v>
      </c>
      <c r="I50" s="792">
        <v>94555.772717400308</v>
      </c>
      <c r="J50" s="793">
        <v>8961954.8650000002</v>
      </c>
      <c r="K50" s="794">
        <v>188628.79890034188</v>
      </c>
      <c r="L50" s="794">
        <v>9245139.4366177414</v>
      </c>
    </row>
    <row r="51" spans="2:12" ht="14.4" thickBot="1">
      <c r="B51" s="766" t="s">
        <v>53</v>
      </c>
      <c r="C51" s="795">
        <v>52259059.765938312</v>
      </c>
      <c r="D51" s="796">
        <v>101110402.6603348</v>
      </c>
      <c r="E51" s="796">
        <v>101446.64788759241</v>
      </c>
      <c r="F51" s="796">
        <v>212707.51755666515</v>
      </c>
      <c r="G51" s="796">
        <v>429548.39583235444</v>
      </c>
      <c r="H51" s="797">
        <v>715347.71491029416</v>
      </c>
      <c r="I51" s="795">
        <v>530995.04371994687</v>
      </c>
      <c r="J51" s="796">
        <v>52259059.765938312</v>
      </c>
      <c r="K51" s="797">
        <v>102038457.89280176</v>
      </c>
      <c r="L51" s="797">
        <v>154828512.70246002</v>
      </c>
    </row>
    <row r="52" spans="2:12">
      <c r="L52" t="b">
        <f>L51/1000=F34</f>
        <v>1</v>
      </c>
    </row>
    <row r="53" spans="2:12" ht="14.4" thickBot="1">
      <c r="B53" s="653" t="s">
        <v>1132</v>
      </c>
    </row>
    <row r="54" spans="2:12">
      <c r="B54" s="755" t="s">
        <v>42</v>
      </c>
      <c r="C54" s="757" t="s">
        <v>1133</v>
      </c>
      <c r="D54" s="755" t="s">
        <v>1150</v>
      </c>
      <c r="E54" s="756" t="s">
        <v>1151</v>
      </c>
      <c r="F54" s="757" t="s">
        <v>1152</v>
      </c>
      <c r="G54" s="755" t="s">
        <v>1153</v>
      </c>
      <c r="H54" s="756" t="s">
        <v>1154</v>
      </c>
      <c r="I54" s="757" t="s">
        <v>1155</v>
      </c>
      <c r="J54" s="757" t="s">
        <v>49</v>
      </c>
    </row>
    <row r="55" spans="2:12">
      <c r="B55" s="767" t="s">
        <v>38</v>
      </c>
      <c r="C55" s="768" t="s">
        <v>686</v>
      </c>
      <c r="D55" s="792">
        <v>12095703.230562257</v>
      </c>
      <c r="E55" s="793">
        <v>193283.85133931137</v>
      </c>
      <c r="F55" s="794">
        <v>15563.443617427743</v>
      </c>
      <c r="G55" s="792">
        <v>43544.531630024125</v>
      </c>
      <c r="H55" s="793">
        <v>193.28385133931135</v>
      </c>
      <c r="I55" s="794">
        <v>600.7489236327109</v>
      </c>
      <c r="J55" s="794">
        <v>44338.564404996148</v>
      </c>
    </row>
    <row r="56" spans="2:12">
      <c r="B56" s="767" t="s">
        <v>39</v>
      </c>
      <c r="C56" s="768" t="s">
        <v>686</v>
      </c>
      <c r="D56" s="792">
        <v>107088873.38031349</v>
      </c>
      <c r="E56" s="793">
        <v>1711231.6239898934</v>
      </c>
      <c r="F56" s="794">
        <v>137790.38813528279</v>
      </c>
      <c r="G56" s="792">
        <v>385519.94416912855</v>
      </c>
      <c r="H56" s="793">
        <v>1711.2316239898933</v>
      </c>
      <c r="I56" s="794">
        <v>5318.7089820219162</v>
      </c>
      <c r="J56" s="794">
        <v>392549.88477514032</v>
      </c>
    </row>
    <row r="57" spans="2:12">
      <c r="B57" s="767" t="s">
        <v>40</v>
      </c>
      <c r="C57" s="768" t="s">
        <v>686</v>
      </c>
      <c r="D57" s="792">
        <v>188090285.22164094</v>
      </c>
      <c r="E57" s="793">
        <v>3005597.4451564336</v>
      </c>
      <c r="F57" s="794">
        <v>185016.680778571</v>
      </c>
      <c r="G57" s="792">
        <v>677125.02679790743</v>
      </c>
      <c r="H57" s="793">
        <v>3005.5974451564334</v>
      </c>
      <c r="I57" s="794">
        <v>7141.6438780528406</v>
      </c>
      <c r="J57" s="794">
        <v>687272.26812111668</v>
      </c>
    </row>
    <row r="58" spans="2:12">
      <c r="B58" s="767" t="s">
        <v>41</v>
      </c>
      <c r="C58" s="768" t="s">
        <v>686</v>
      </c>
      <c r="D58" s="792">
        <v>14319615.835764131</v>
      </c>
      <c r="E58" s="793">
        <v>228820.96606360161</v>
      </c>
      <c r="F58" s="794">
        <v>53393.888473823616</v>
      </c>
      <c r="G58" s="792">
        <v>51550.617008750865</v>
      </c>
      <c r="H58" s="793">
        <v>228.82096606360162</v>
      </c>
      <c r="I58" s="794">
        <v>2061.0040950895918</v>
      </c>
      <c r="J58" s="794">
        <v>53840.442069904057</v>
      </c>
    </row>
    <row r="59" spans="2:12">
      <c r="B59" s="767" t="s">
        <v>687</v>
      </c>
      <c r="C59" s="768" t="s">
        <v>686</v>
      </c>
      <c r="D59" s="792">
        <v>21938690</v>
      </c>
      <c r="E59" s="793">
        <v>350570.31540134159</v>
      </c>
      <c r="F59" s="794">
        <v>28228.335165540786</v>
      </c>
      <c r="G59" s="792">
        <v>78979.284</v>
      </c>
      <c r="H59" s="793">
        <v>350.57031540134159</v>
      </c>
      <c r="I59" s="794">
        <v>1089.6137373898744</v>
      </c>
      <c r="J59" s="794">
        <v>80419.468052791213</v>
      </c>
    </row>
    <row r="60" spans="2:12" ht="14.4" thickBot="1">
      <c r="B60" s="769" t="s">
        <v>53</v>
      </c>
      <c r="C60" s="770"/>
      <c r="D60" s="795">
        <v>343533167.66828078</v>
      </c>
      <c r="E60" s="796">
        <v>5489504.2019505817</v>
      </c>
      <c r="F60" s="797">
        <v>419992.73617064598</v>
      </c>
      <c r="G60" s="795">
        <v>1236719.4036058108</v>
      </c>
      <c r="H60" s="796">
        <v>5489.5042019505809</v>
      </c>
      <c r="I60" s="797">
        <v>16211.719616186936</v>
      </c>
      <c r="J60" s="797">
        <v>1258420.6274239484</v>
      </c>
    </row>
  </sheetData>
  <conditionalFormatting sqref="C4:F25">
    <cfRule type="dataBar" priority="7">
      <dataBar>
        <cfvo type="min"/>
        <cfvo type="max"/>
        <color rgb="FF9ECEEC"/>
      </dataBar>
      <extLst>
        <ext xmlns:x14="http://schemas.microsoft.com/office/spreadsheetml/2009/9/main" uri="{B025F937-C7B1-47D3-B67F-A62EFF666E3E}">
          <x14:id>{526509D6-48C7-4310-BFC7-BB2C91CC9FAE}</x14:id>
        </ext>
      </extLst>
    </cfRule>
  </conditionalFormatting>
  <conditionalFormatting sqref="M4:P25">
    <cfRule type="dataBar" priority="6">
      <dataBar>
        <cfvo type="min"/>
        <cfvo type="max"/>
        <color rgb="FF9ECEEC"/>
      </dataBar>
      <extLst>
        <ext xmlns:x14="http://schemas.microsoft.com/office/spreadsheetml/2009/9/main" uri="{B025F937-C7B1-47D3-B67F-A62EFF666E3E}">
          <x14:id>{3162F8BC-CDAC-4B8A-9E21-5362D10B106A}</x14:id>
        </ext>
      </extLst>
    </cfRule>
  </conditionalFormatting>
  <conditionalFormatting sqref="V4:Y25">
    <cfRule type="dataBar" priority="5">
      <dataBar>
        <cfvo type="min"/>
        <cfvo type="max"/>
        <color rgb="FF9ECEEC"/>
      </dataBar>
      <extLst>
        <ext xmlns:x14="http://schemas.microsoft.com/office/spreadsheetml/2009/9/main" uri="{B025F937-C7B1-47D3-B67F-A62EFF666E3E}">
          <x14:id>{707E873A-CC41-44EE-A998-7F6C7315FBB1}</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526509D6-48C7-4310-BFC7-BB2C91CC9FAE}">
            <x14:dataBar minLength="0" maxLength="100" gradient="0">
              <x14:cfvo type="autoMin"/>
              <x14:cfvo type="autoMax"/>
              <x14:negativeFillColor rgb="FFFF0000"/>
              <x14:axisColor rgb="FF000000"/>
            </x14:dataBar>
          </x14:cfRule>
          <xm:sqref>C4:F25</xm:sqref>
        </x14:conditionalFormatting>
        <x14:conditionalFormatting xmlns:xm="http://schemas.microsoft.com/office/excel/2006/main">
          <x14:cfRule type="dataBar" id="{3162F8BC-CDAC-4B8A-9E21-5362D10B106A}">
            <x14:dataBar minLength="0" maxLength="100" gradient="0">
              <x14:cfvo type="autoMin"/>
              <x14:cfvo type="autoMax"/>
              <x14:negativeFillColor rgb="FFFF0000"/>
              <x14:axisColor rgb="FF000000"/>
            </x14:dataBar>
          </x14:cfRule>
          <xm:sqref>M4:P25</xm:sqref>
        </x14:conditionalFormatting>
        <x14:conditionalFormatting xmlns:xm="http://schemas.microsoft.com/office/excel/2006/main">
          <x14:cfRule type="dataBar" id="{707E873A-CC41-44EE-A998-7F6C7315FBB1}">
            <x14:dataBar minLength="0" maxLength="100" gradient="0">
              <x14:cfvo type="autoMin"/>
              <x14:cfvo type="autoMax"/>
              <x14:negativeFillColor rgb="FFFF0000"/>
              <x14:axisColor rgb="FF000000"/>
            </x14:dataBar>
          </x14:cfRule>
          <xm:sqref>V4:Y25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C5A4-624A-4789-94C4-EC95161264F4}">
  <sheetPr codeName="Sheet44">
    <tabColor rgb="FF00B050"/>
  </sheetPr>
  <dimension ref="B1:AA61"/>
  <sheetViews>
    <sheetView zoomScale="53" workbookViewId="0">
      <selection activeCell="F33" sqref="F33"/>
    </sheetView>
  </sheetViews>
  <sheetFormatPr defaultColWidth="9" defaultRowHeight="13.8"/>
  <cols>
    <col min="2" max="2" width="19" bestFit="1" customWidth="1"/>
    <col min="3" max="3" width="30.3984375" bestFit="1" customWidth="1"/>
    <col min="4" max="4" width="28.3984375" bestFit="1" customWidth="1"/>
    <col min="5" max="5" width="29.09765625" bestFit="1" customWidth="1"/>
    <col min="6" max="6" width="27" bestFit="1" customWidth="1"/>
    <col min="7" max="8" width="28.8984375" bestFit="1" customWidth="1"/>
    <col min="9" max="9" width="12.59765625" bestFit="1" customWidth="1"/>
    <col min="10" max="10" width="12.09765625" bestFit="1" customWidth="1"/>
    <col min="11" max="11" width="14.59765625" bestFit="1" customWidth="1"/>
    <col min="12" max="12" width="18.3984375" bestFit="1" customWidth="1"/>
    <col min="13" max="13" width="8.3984375" bestFit="1" customWidth="1"/>
    <col min="14" max="14" width="14.5" bestFit="1" customWidth="1"/>
    <col min="15" max="16" width="8.59765625" bestFit="1" customWidth="1"/>
    <col min="17" max="17" width="4.5" bestFit="1" customWidth="1"/>
    <col min="18" max="18" width="4.59765625" bestFit="1" customWidth="1"/>
    <col min="21" max="21" width="18.3984375" bestFit="1" customWidth="1"/>
    <col min="22" max="22" width="8.3984375" bestFit="1" customWidth="1"/>
    <col min="23" max="23" width="17.3984375" bestFit="1" customWidth="1"/>
    <col min="24" max="25" width="8.59765625" bestFit="1" customWidth="1"/>
    <col min="26" max="26" width="4.5" bestFit="1" customWidth="1"/>
    <col min="27" max="27" width="4.59765625" bestFit="1" customWidth="1"/>
  </cols>
  <sheetData>
    <row r="1" spans="2:27" ht="14.4">
      <c r="B1" s="781" t="s">
        <v>2</v>
      </c>
      <c r="C1" s="782" t="s">
        <v>3</v>
      </c>
      <c r="D1" s="738"/>
      <c r="E1" s="738"/>
      <c r="F1" s="738"/>
      <c r="G1" s="738"/>
      <c r="H1" s="738"/>
      <c r="L1" s="112" t="s">
        <v>2</v>
      </c>
      <c r="M1" s="111" t="s">
        <v>1121</v>
      </c>
      <c r="N1" t="s">
        <v>1122</v>
      </c>
      <c r="U1" s="112" t="s">
        <v>2</v>
      </c>
      <c r="V1" s="111" t="s">
        <v>3</v>
      </c>
      <c r="W1" t="s">
        <v>1123</v>
      </c>
    </row>
    <row r="2" spans="2:27" ht="14.4">
      <c r="B2" s="738"/>
      <c r="C2" s="738"/>
      <c r="D2" s="738"/>
      <c r="E2" s="738"/>
      <c r="F2" s="738"/>
      <c r="G2" s="738"/>
      <c r="H2" s="738"/>
    </row>
    <row r="3" spans="2:27" ht="28.8">
      <c r="B3" s="783" t="s">
        <v>4</v>
      </c>
      <c r="C3" s="784" t="s">
        <v>5</v>
      </c>
      <c r="D3" s="784" t="s">
        <v>6</v>
      </c>
      <c r="E3" s="784" t="s">
        <v>7</v>
      </c>
      <c r="F3" s="784" t="s">
        <v>8</v>
      </c>
      <c r="G3" s="783" t="s">
        <v>9</v>
      </c>
      <c r="H3" s="783" t="s">
        <v>10</v>
      </c>
      <c r="I3" s="101" t="s">
        <v>1124</v>
      </c>
      <c r="L3" s="102" t="s">
        <v>4</v>
      </c>
      <c r="M3" s="101" t="s">
        <v>5</v>
      </c>
      <c r="N3" s="101" t="s">
        <v>6</v>
      </c>
      <c r="O3" s="101" t="s">
        <v>7</v>
      </c>
      <c r="P3" s="101" t="s">
        <v>8</v>
      </c>
      <c r="Q3" s="102" t="s">
        <v>9</v>
      </c>
      <c r="R3" s="102" t="s">
        <v>10</v>
      </c>
      <c r="U3" s="102" t="s">
        <v>4</v>
      </c>
      <c r="V3" s="101" t="s">
        <v>5</v>
      </c>
      <c r="W3" s="101" t="s">
        <v>6</v>
      </c>
      <c r="X3" s="101" t="s">
        <v>7</v>
      </c>
      <c r="Y3" s="101" t="s">
        <v>8</v>
      </c>
      <c r="Z3" s="102" t="s">
        <v>9</v>
      </c>
      <c r="AA3" s="102" t="s">
        <v>10</v>
      </c>
    </row>
    <row r="4" spans="2:27" ht="14.4">
      <c r="B4" s="785" t="s">
        <v>11</v>
      </c>
      <c r="C4" s="786">
        <v>0</v>
      </c>
      <c r="D4" s="786">
        <v>0</v>
      </c>
      <c r="E4" s="786">
        <v>30506.720829641319</v>
      </c>
      <c r="F4" s="787">
        <v>30506.720829641319</v>
      </c>
      <c r="G4" s="788">
        <v>0.16592892120240735</v>
      </c>
      <c r="H4" s="789">
        <v>3</v>
      </c>
      <c r="I4" s="243">
        <f>C4+D4</f>
        <v>0</v>
      </c>
      <c r="L4" s="104" t="s">
        <v>11</v>
      </c>
      <c r="M4" s="103">
        <v>0</v>
      </c>
      <c r="N4" s="103">
        <v>0</v>
      </c>
      <c r="O4" s="103">
        <v>31079.159354564807</v>
      </c>
      <c r="P4" s="106">
        <v>31079.159354564807</v>
      </c>
      <c r="Q4" s="109">
        <v>0.18894135702617501</v>
      </c>
      <c r="R4" s="108">
        <v>2</v>
      </c>
      <c r="U4" s="104" t="s">
        <v>11</v>
      </c>
      <c r="V4" s="103">
        <v>0</v>
      </c>
      <c r="W4" s="103">
        <v>0</v>
      </c>
      <c r="X4" s="103">
        <v>30159.090550252593</v>
      </c>
      <c r="Y4" s="106">
        <v>30159.090550252593</v>
      </c>
      <c r="Z4" s="109">
        <v>0.19057612979554436</v>
      </c>
      <c r="AA4" s="108">
        <v>2</v>
      </c>
    </row>
    <row r="5" spans="2:27" ht="14.4">
      <c r="B5" s="785" t="s">
        <v>12</v>
      </c>
      <c r="C5" s="786">
        <v>0</v>
      </c>
      <c r="D5" s="786">
        <v>0</v>
      </c>
      <c r="E5" s="786">
        <v>0</v>
      </c>
      <c r="F5" s="787">
        <v>0</v>
      </c>
      <c r="G5" s="788">
        <v>0</v>
      </c>
      <c r="H5" s="789">
        <v>20</v>
      </c>
      <c r="I5" s="243">
        <f t="shared" ref="I5:I25" si="0">C5+D5</f>
        <v>0</v>
      </c>
      <c r="L5" s="104" t="s">
        <v>12</v>
      </c>
      <c r="M5" s="103">
        <v>0</v>
      </c>
      <c r="N5" s="103">
        <v>0</v>
      </c>
      <c r="O5" s="103">
        <v>0</v>
      </c>
      <c r="P5" s="106">
        <v>0</v>
      </c>
      <c r="Q5" s="109">
        <v>0</v>
      </c>
      <c r="R5" s="108">
        <v>20</v>
      </c>
      <c r="U5" s="104" t="s">
        <v>12</v>
      </c>
      <c r="V5" s="103">
        <v>0</v>
      </c>
      <c r="W5" s="103">
        <v>0</v>
      </c>
      <c r="X5" s="103">
        <v>0</v>
      </c>
      <c r="Y5" s="106">
        <v>0</v>
      </c>
      <c r="Z5" s="109">
        <v>0</v>
      </c>
      <c r="AA5" s="108">
        <v>20</v>
      </c>
    </row>
    <row r="6" spans="2:27" ht="14.4">
      <c r="B6" s="785" t="s">
        <v>13</v>
      </c>
      <c r="C6" s="786">
        <v>0</v>
      </c>
      <c r="D6" s="786">
        <v>0</v>
      </c>
      <c r="E6" s="786">
        <v>48.218191291080508</v>
      </c>
      <c r="F6" s="787">
        <v>48.218191291080508</v>
      </c>
      <c r="G6" s="788">
        <v>2.6226327332718347E-4</v>
      </c>
      <c r="H6" s="789">
        <v>16</v>
      </c>
      <c r="I6" s="243">
        <f t="shared" si="0"/>
        <v>0</v>
      </c>
      <c r="L6" s="104" t="s">
        <v>13</v>
      </c>
      <c r="M6" s="103">
        <v>0</v>
      </c>
      <c r="N6" s="103">
        <v>0</v>
      </c>
      <c r="O6" s="103">
        <v>5.3613198770654726</v>
      </c>
      <c r="P6" s="106">
        <v>5.3613198770654726</v>
      </c>
      <c r="Q6" s="109">
        <v>3.2593386502758602E-5</v>
      </c>
      <c r="R6" s="108">
        <v>17</v>
      </c>
      <c r="U6" s="104" t="s">
        <v>13</v>
      </c>
      <c r="V6" s="103">
        <v>0</v>
      </c>
      <c r="W6" s="103">
        <v>0</v>
      </c>
      <c r="X6" s="103">
        <v>5.542939581895844</v>
      </c>
      <c r="Y6" s="106">
        <v>5.542939581895844</v>
      </c>
      <c r="Z6" s="109">
        <v>3.502598897828487E-5</v>
      </c>
      <c r="AA6" s="108">
        <v>17</v>
      </c>
    </row>
    <row r="7" spans="2:27" ht="14.4">
      <c r="B7" s="785" t="s">
        <v>14</v>
      </c>
      <c r="C7" s="786">
        <v>0</v>
      </c>
      <c r="D7" s="786">
        <v>0</v>
      </c>
      <c r="E7" s="786">
        <v>4.0947806053019136</v>
      </c>
      <c r="F7" s="787">
        <v>4.0947806053019136</v>
      </c>
      <c r="G7" s="788">
        <v>2.2271896484466425E-5</v>
      </c>
      <c r="H7" s="789">
        <v>18</v>
      </c>
      <c r="I7" s="243">
        <f t="shared" si="0"/>
        <v>0</v>
      </c>
      <c r="L7" s="104" t="s">
        <v>14</v>
      </c>
      <c r="M7" s="103">
        <v>0</v>
      </c>
      <c r="N7" s="103">
        <v>0</v>
      </c>
      <c r="O7" s="103">
        <v>2.6451883670724703</v>
      </c>
      <c r="P7" s="106">
        <v>2.6451883670724703</v>
      </c>
      <c r="Q7" s="109">
        <v>1.6081048845715244E-5</v>
      </c>
      <c r="R7" s="108">
        <v>18</v>
      </c>
      <c r="U7" s="104" t="s">
        <v>14</v>
      </c>
      <c r="V7" s="103">
        <v>0</v>
      </c>
      <c r="W7" s="103">
        <v>0</v>
      </c>
      <c r="X7" s="103">
        <v>2.8805452330628372</v>
      </c>
      <c r="Y7" s="106">
        <v>2.8805452330628372</v>
      </c>
      <c r="Z7" s="109">
        <v>1.8202245233602447E-5</v>
      </c>
      <c r="AA7" s="108">
        <v>18</v>
      </c>
    </row>
    <row r="8" spans="2:27" ht="14.4">
      <c r="B8" s="785" t="s">
        <v>15</v>
      </c>
      <c r="C8" s="786">
        <v>141.84740930803696</v>
      </c>
      <c r="D8" s="786">
        <v>26642.741614061379</v>
      </c>
      <c r="E8" s="786">
        <v>15621.066541454124</v>
      </c>
      <c r="F8" s="787">
        <v>42405.655564823537</v>
      </c>
      <c r="G8" s="788">
        <v>0.23064834532839434</v>
      </c>
      <c r="H8" s="789">
        <v>1</v>
      </c>
      <c r="I8" s="243">
        <f t="shared" si="0"/>
        <v>26784.589023369415</v>
      </c>
      <c r="L8" s="104" t="s">
        <v>15</v>
      </c>
      <c r="M8" s="103">
        <v>146.65481132816444</v>
      </c>
      <c r="N8" s="103">
        <v>23818.642111329384</v>
      </c>
      <c r="O8" s="103">
        <v>13698.950144670605</v>
      </c>
      <c r="P8" s="106">
        <v>37664.24706732815</v>
      </c>
      <c r="Q8" s="109">
        <v>0.22897446713676603</v>
      </c>
      <c r="R8" s="108">
        <v>1</v>
      </c>
      <c r="U8" s="104" t="s">
        <v>15</v>
      </c>
      <c r="V8" s="103">
        <v>144.19338181097459</v>
      </c>
      <c r="W8" s="103">
        <v>23418.874055844204</v>
      </c>
      <c r="X8" s="103">
        <v>12690.475502304897</v>
      </c>
      <c r="Y8" s="106">
        <v>36253.542939960076</v>
      </c>
      <c r="Z8" s="109">
        <v>0.22908714350527079</v>
      </c>
      <c r="AA8" s="108">
        <v>1</v>
      </c>
    </row>
    <row r="9" spans="2:27" ht="14.4">
      <c r="B9" s="785" t="s">
        <v>16</v>
      </c>
      <c r="C9" s="786">
        <v>0</v>
      </c>
      <c r="D9" s="786">
        <v>0</v>
      </c>
      <c r="E9" s="786">
        <v>2792.5306463157008</v>
      </c>
      <c r="F9" s="787">
        <v>2792.5306463157008</v>
      </c>
      <c r="G9" s="788">
        <v>1.5188836589660875E-2</v>
      </c>
      <c r="H9" s="789">
        <v>10</v>
      </c>
      <c r="I9" s="243">
        <f t="shared" si="0"/>
        <v>0</v>
      </c>
      <c r="L9" s="104" t="s">
        <v>16</v>
      </c>
      <c r="M9" s="103">
        <v>0</v>
      </c>
      <c r="N9" s="103">
        <v>0</v>
      </c>
      <c r="O9" s="103">
        <v>2967.3597490463594</v>
      </c>
      <c r="P9" s="106">
        <v>2967.3597490463594</v>
      </c>
      <c r="Q9" s="109">
        <v>1.8039644231475065E-2</v>
      </c>
      <c r="R9" s="108">
        <v>10</v>
      </c>
      <c r="U9" s="104" t="s">
        <v>16</v>
      </c>
      <c r="V9" s="103">
        <v>0</v>
      </c>
      <c r="W9" s="103">
        <v>0</v>
      </c>
      <c r="X9" s="103">
        <v>1444.9426091872638</v>
      </c>
      <c r="Y9" s="106">
        <v>1444.9426091872638</v>
      </c>
      <c r="Z9" s="109">
        <v>9.1306324299383814E-3</v>
      </c>
      <c r="AA9" s="108">
        <v>10</v>
      </c>
    </row>
    <row r="10" spans="2:27" ht="14.4">
      <c r="B10" s="785" t="s">
        <v>17</v>
      </c>
      <c r="C10" s="786">
        <v>0</v>
      </c>
      <c r="D10" s="786">
        <v>0</v>
      </c>
      <c r="E10" s="786">
        <v>4939.5330561807568</v>
      </c>
      <c r="F10" s="787">
        <v>4939.5330561807568</v>
      </c>
      <c r="G10" s="788">
        <v>2.6866584443233314E-2</v>
      </c>
      <c r="H10" s="789">
        <v>9</v>
      </c>
      <c r="I10" s="243">
        <f t="shared" si="0"/>
        <v>0</v>
      </c>
      <c r="L10" s="104" t="s">
        <v>17</v>
      </c>
      <c r="M10" s="103">
        <v>0</v>
      </c>
      <c r="N10" s="103">
        <v>0</v>
      </c>
      <c r="O10" s="103">
        <v>4054.4098235783968</v>
      </c>
      <c r="P10" s="106">
        <v>4054.4098235783968</v>
      </c>
      <c r="Q10" s="109">
        <v>2.4648211531971272E-2</v>
      </c>
      <c r="R10" s="108">
        <v>9</v>
      </c>
      <c r="U10" s="104" t="s">
        <v>17</v>
      </c>
      <c r="V10" s="103">
        <v>0</v>
      </c>
      <c r="W10" s="103">
        <v>0</v>
      </c>
      <c r="X10" s="103">
        <v>4413.0288329021796</v>
      </c>
      <c r="Y10" s="106">
        <v>4413.0288329021796</v>
      </c>
      <c r="Z10" s="109">
        <v>2.7886051611844827E-2</v>
      </c>
      <c r="AA10" s="108">
        <v>9</v>
      </c>
    </row>
    <row r="11" spans="2:27" ht="14.4">
      <c r="B11" s="785" t="s">
        <v>18</v>
      </c>
      <c r="C11" s="786">
        <v>0</v>
      </c>
      <c r="D11" s="786">
        <v>0</v>
      </c>
      <c r="E11" s="786">
        <v>11288.515333432129</v>
      </c>
      <c r="F11" s="787">
        <v>11288.515333432129</v>
      </c>
      <c r="G11" s="788">
        <v>6.1399295640889431E-2</v>
      </c>
      <c r="H11" s="789">
        <v>7</v>
      </c>
      <c r="I11" s="243">
        <f t="shared" si="0"/>
        <v>0</v>
      </c>
      <c r="L11" s="104" t="s">
        <v>18</v>
      </c>
      <c r="M11" s="103">
        <v>0</v>
      </c>
      <c r="N11" s="103">
        <v>0</v>
      </c>
      <c r="O11" s="103">
        <v>14060.300687439696</v>
      </c>
      <c r="P11" s="106">
        <v>14060.300687439696</v>
      </c>
      <c r="Q11" s="109">
        <v>8.5477610953808791E-2</v>
      </c>
      <c r="R11" s="108">
        <v>5</v>
      </c>
      <c r="U11" s="104" t="s">
        <v>18</v>
      </c>
      <c r="V11" s="103">
        <v>0</v>
      </c>
      <c r="W11" s="103">
        <v>0</v>
      </c>
      <c r="X11" s="103">
        <v>10747.241736927759</v>
      </c>
      <c r="Y11" s="106">
        <v>10747.241736927759</v>
      </c>
      <c r="Z11" s="109">
        <v>6.7912118662466839E-2</v>
      </c>
      <c r="AA11" s="108">
        <v>6</v>
      </c>
    </row>
    <row r="12" spans="2:27" ht="14.4">
      <c r="B12" s="785" t="s">
        <v>19</v>
      </c>
      <c r="C12" s="786">
        <v>0</v>
      </c>
      <c r="D12" s="786">
        <v>0</v>
      </c>
      <c r="E12" s="786">
        <v>174.44236284948306</v>
      </c>
      <c r="F12" s="787">
        <v>174.44236284948306</v>
      </c>
      <c r="G12" s="788">
        <v>9.4880840327780144E-4</v>
      </c>
      <c r="H12" s="789">
        <v>13</v>
      </c>
      <c r="I12" s="243">
        <f t="shared" si="0"/>
        <v>0</v>
      </c>
      <c r="L12" s="104" t="s">
        <v>19</v>
      </c>
      <c r="M12" s="103">
        <v>0</v>
      </c>
      <c r="N12" s="103">
        <v>0</v>
      </c>
      <c r="O12" s="103">
        <v>165.08558337970155</v>
      </c>
      <c r="P12" s="106">
        <v>165.08558337970155</v>
      </c>
      <c r="Q12" s="109">
        <v>1.0036144733958923E-3</v>
      </c>
      <c r="R12" s="108">
        <v>13</v>
      </c>
      <c r="U12" s="104" t="s">
        <v>19</v>
      </c>
      <c r="V12" s="103">
        <v>0</v>
      </c>
      <c r="W12" s="103">
        <v>0</v>
      </c>
      <c r="X12" s="103">
        <v>171.91686222787104</v>
      </c>
      <c r="Y12" s="106">
        <v>171.91686222787104</v>
      </c>
      <c r="Z12" s="109">
        <v>1.0863474213650339E-3</v>
      </c>
      <c r="AA12" s="108">
        <v>13</v>
      </c>
    </row>
    <row r="13" spans="2:27" ht="14.4">
      <c r="B13" s="785" t="s">
        <v>20</v>
      </c>
      <c r="C13" s="786">
        <v>0</v>
      </c>
      <c r="D13" s="786">
        <v>0</v>
      </c>
      <c r="E13" s="786">
        <v>41.34052577280243</v>
      </c>
      <c r="F13" s="787">
        <v>41.34052577280243</v>
      </c>
      <c r="G13" s="788">
        <v>2.2485500430306576E-4</v>
      </c>
      <c r="H13" s="789">
        <v>17</v>
      </c>
      <c r="I13" s="243">
        <f t="shared" si="0"/>
        <v>0</v>
      </c>
      <c r="L13" s="104" t="s">
        <v>20</v>
      </c>
      <c r="M13" s="103">
        <v>0</v>
      </c>
      <c r="N13" s="103">
        <v>0</v>
      </c>
      <c r="O13" s="103">
        <v>35.781884666295944</v>
      </c>
      <c r="P13" s="106">
        <v>35.781884666295944</v>
      </c>
      <c r="Q13" s="109">
        <v>2.1753091094502377E-4</v>
      </c>
      <c r="R13" s="108">
        <v>16</v>
      </c>
      <c r="U13" s="104" t="s">
        <v>20</v>
      </c>
      <c r="V13" s="103">
        <v>0</v>
      </c>
      <c r="W13" s="103">
        <v>0</v>
      </c>
      <c r="X13" s="103">
        <v>36.751917580109939</v>
      </c>
      <c r="Y13" s="106">
        <v>36.751917580109939</v>
      </c>
      <c r="Z13" s="109">
        <v>2.3223638668121307E-4</v>
      </c>
      <c r="AA13" s="108">
        <v>16</v>
      </c>
    </row>
    <row r="14" spans="2:27" ht="14.4">
      <c r="B14" s="785" t="s">
        <v>21</v>
      </c>
      <c r="C14" s="786">
        <v>0</v>
      </c>
      <c r="D14" s="786">
        <v>0</v>
      </c>
      <c r="E14" s="786">
        <v>83.817770005199023</v>
      </c>
      <c r="F14" s="787">
        <v>83.817770005199023</v>
      </c>
      <c r="G14" s="788">
        <v>4.5589272712132697E-4</v>
      </c>
      <c r="H14" s="789">
        <v>14</v>
      </c>
      <c r="I14" s="243">
        <f t="shared" si="0"/>
        <v>0</v>
      </c>
      <c r="L14" s="104" t="s">
        <v>21</v>
      </c>
      <c r="M14" s="103">
        <v>0</v>
      </c>
      <c r="N14" s="103">
        <v>0</v>
      </c>
      <c r="O14" s="103">
        <v>67.81821733321371</v>
      </c>
      <c r="P14" s="106">
        <v>67.81821733321371</v>
      </c>
      <c r="Q14" s="109">
        <v>4.122912678508929E-4</v>
      </c>
      <c r="R14" s="108">
        <v>14</v>
      </c>
      <c r="U14" s="104" t="s">
        <v>21</v>
      </c>
      <c r="V14" s="103">
        <v>0</v>
      </c>
      <c r="W14" s="103">
        <v>0</v>
      </c>
      <c r="X14" s="103">
        <v>72.430311176872891</v>
      </c>
      <c r="Y14" s="106">
        <v>72.430311176872891</v>
      </c>
      <c r="Z14" s="109">
        <v>4.5768914553226761E-4</v>
      </c>
      <c r="AA14" s="108">
        <v>14</v>
      </c>
    </row>
    <row r="15" spans="2:27" ht="14.4">
      <c r="B15" s="785" t="s">
        <v>22</v>
      </c>
      <c r="C15" s="786">
        <v>5.230360219540434</v>
      </c>
      <c r="D15" s="786">
        <v>616.12353456969663</v>
      </c>
      <c r="E15" s="786">
        <v>609.59306921342727</v>
      </c>
      <c r="F15" s="787">
        <v>1230.9469640026643</v>
      </c>
      <c r="G15" s="788">
        <v>6.6952362049966718E-3</v>
      </c>
      <c r="H15" s="789">
        <v>11</v>
      </c>
      <c r="I15" s="243">
        <f t="shared" si="0"/>
        <v>621.35389478923707</v>
      </c>
      <c r="L15" s="104" t="s">
        <v>22</v>
      </c>
      <c r="M15" s="103">
        <v>10.014001429506273</v>
      </c>
      <c r="N15" s="103">
        <v>1189.5980769274179</v>
      </c>
      <c r="O15" s="103">
        <v>47.302490699119438</v>
      </c>
      <c r="P15" s="106">
        <v>1246.9145690560438</v>
      </c>
      <c r="Q15" s="109">
        <v>7.5804409020655793E-3</v>
      </c>
      <c r="R15" s="108">
        <v>11</v>
      </c>
      <c r="U15" s="104" t="s">
        <v>22</v>
      </c>
      <c r="V15" s="103">
        <v>9.8529986096303031</v>
      </c>
      <c r="W15" s="103">
        <v>1170.4719916904007</v>
      </c>
      <c r="X15" s="103">
        <v>46.541972094910435</v>
      </c>
      <c r="Y15" s="106">
        <v>1226.8669623949415</v>
      </c>
      <c r="Z15" s="109">
        <v>7.7526063684730494E-3</v>
      </c>
      <c r="AA15" s="108">
        <v>11</v>
      </c>
    </row>
    <row r="16" spans="2:27" ht="14.4">
      <c r="B16" s="785" t="s">
        <v>23</v>
      </c>
      <c r="C16" s="786">
        <v>196.57921358034429</v>
      </c>
      <c r="D16" s="786">
        <v>19108.709278581297</v>
      </c>
      <c r="E16" s="786">
        <v>3194.0434671611456</v>
      </c>
      <c r="F16" s="787">
        <v>22499.331959322786</v>
      </c>
      <c r="G16" s="788">
        <v>0.12237598071038466</v>
      </c>
      <c r="H16" s="789">
        <v>4</v>
      </c>
      <c r="I16" s="243">
        <f t="shared" si="0"/>
        <v>19305.288492161642</v>
      </c>
      <c r="L16" s="104" t="s">
        <v>23</v>
      </c>
      <c r="M16" s="103">
        <v>92.485780133762987</v>
      </c>
      <c r="N16" s="103">
        <v>8765.7618714649907</v>
      </c>
      <c r="O16" s="103">
        <v>9475.7622327392965</v>
      </c>
      <c r="P16" s="106">
        <v>18334.009884338047</v>
      </c>
      <c r="Q16" s="109">
        <v>0.11145902203334042</v>
      </c>
      <c r="R16" s="108">
        <v>4</v>
      </c>
      <c r="U16" s="104" t="s">
        <v>23</v>
      </c>
      <c r="V16" s="103">
        <v>100.52789434698849</v>
      </c>
      <c r="W16" s="103">
        <v>9527.9899462490393</v>
      </c>
      <c r="X16" s="103">
        <v>9008.8554927079949</v>
      </c>
      <c r="Y16" s="106">
        <v>18637.373333304022</v>
      </c>
      <c r="Z16" s="109">
        <v>0.11777007909099622</v>
      </c>
      <c r="AA16" s="108">
        <v>4</v>
      </c>
    </row>
    <row r="17" spans="2:27" ht="14.4">
      <c r="B17" s="785" t="s">
        <v>24</v>
      </c>
      <c r="C17" s="786">
        <v>0</v>
      </c>
      <c r="D17" s="786">
        <v>0</v>
      </c>
      <c r="E17" s="786">
        <v>0</v>
      </c>
      <c r="F17" s="787">
        <v>0</v>
      </c>
      <c r="G17" s="788">
        <v>0</v>
      </c>
      <c r="H17" s="789">
        <v>20</v>
      </c>
      <c r="I17" s="243">
        <f t="shared" si="0"/>
        <v>0</v>
      </c>
      <c r="L17" s="104" t="s">
        <v>24</v>
      </c>
      <c r="M17" s="103">
        <v>0</v>
      </c>
      <c r="N17" s="103">
        <v>0</v>
      </c>
      <c r="O17" s="103">
        <v>0</v>
      </c>
      <c r="P17" s="106">
        <v>0</v>
      </c>
      <c r="Q17" s="109">
        <v>0</v>
      </c>
      <c r="R17" s="108">
        <v>20</v>
      </c>
      <c r="U17" s="104" t="s">
        <v>24</v>
      </c>
      <c r="V17" s="103">
        <v>0</v>
      </c>
      <c r="W17" s="103">
        <v>0</v>
      </c>
      <c r="X17" s="103">
        <v>0</v>
      </c>
      <c r="Y17" s="106">
        <v>0</v>
      </c>
      <c r="Z17" s="109">
        <v>0</v>
      </c>
      <c r="AA17" s="108">
        <v>20</v>
      </c>
    </row>
    <row r="18" spans="2:27" ht="14.4">
      <c r="B18" s="785" t="s">
        <v>25</v>
      </c>
      <c r="C18" s="786">
        <v>0</v>
      </c>
      <c r="D18" s="786">
        <v>0</v>
      </c>
      <c r="E18" s="786">
        <v>8808.3869203928643</v>
      </c>
      <c r="F18" s="787">
        <v>8808.3869203928643</v>
      </c>
      <c r="G18" s="788">
        <v>4.7909644153365648E-2</v>
      </c>
      <c r="H18" s="789">
        <v>8</v>
      </c>
      <c r="I18" s="243">
        <f t="shared" si="0"/>
        <v>0</v>
      </c>
      <c r="L18" s="104" t="s">
        <v>25</v>
      </c>
      <c r="M18" s="103">
        <v>0</v>
      </c>
      <c r="N18" s="103">
        <v>0</v>
      </c>
      <c r="O18" s="103">
        <v>6877.6273235558838</v>
      </c>
      <c r="P18" s="106">
        <v>6877.6273235558838</v>
      </c>
      <c r="Q18" s="109">
        <v>4.1811563331171218E-2</v>
      </c>
      <c r="R18" s="108">
        <v>8</v>
      </c>
      <c r="U18" s="104" t="s">
        <v>25</v>
      </c>
      <c r="V18" s="103">
        <v>0</v>
      </c>
      <c r="W18" s="103">
        <v>0</v>
      </c>
      <c r="X18" s="103">
        <v>5723.0899983797208</v>
      </c>
      <c r="Y18" s="106">
        <v>5723.0899983797208</v>
      </c>
      <c r="Z18" s="109">
        <v>3.6164364457391122E-2</v>
      </c>
      <c r="AA18" s="108">
        <v>8</v>
      </c>
    </row>
    <row r="19" spans="2:27" ht="14.4">
      <c r="B19" s="785" t="s">
        <v>26</v>
      </c>
      <c r="C19" s="786">
        <v>0</v>
      </c>
      <c r="D19" s="786">
        <v>0</v>
      </c>
      <c r="E19" s="786">
        <v>0.35614058912312513</v>
      </c>
      <c r="F19" s="787">
        <v>0.35614058912312513</v>
      </c>
      <c r="G19" s="788">
        <v>1.937082129527743E-6</v>
      </c>
      <c r="H19" s="789">
        <v>19</v>
      </c>
      <c r="I19" s="243">
        <f t="shared" si="0"/>
        <v>0</v>
      </c>
      <c r="L19" s="104" t="s">
        <v>26</v>
      </c>
      <c r="M19" s="103">
        <v>0</v>
      </c>
      <c r="N19" s="103">
        <v>0</v>
      </c>
      <c r="O19" s="103">
        <v>0.26956914462851622</v>
      </c>
      <c r="P19" s="106">
        <v>0.26956914462851622</v>
      </c>
      <c r="Q19" s="109">
        <v>1.6388075178428612E-6</v>
      </c>
      <c r="R19" s="108">
        <v>19</v>
      </c>
      <c r="U19" s="104" t="s">
        <v>26</v>
      </c>
      <c r="V19" s="103">
        <v>0</v>
      </c>
      <c r="W19" s="103">
        <v>0</v>
      </c>
      <c r="X19" s="103">
        <v>0.29355418472518369</v>
      </c>
      <c r="Y19" s="106">
        <v>0.29355418472518369</v>
      </c>
      <c r="Z19" s="109">
        <v>1.8549770364260289E-6</v>
      </c>
      <c r="AA19" s="108">
        <v>19</v>
      </c>
    </row>
    <row r="20" spans="2:27" ht="14.4">
      <c r="B20" s="785" t="s">
        <v>27</v>
      </c>
      <c r="C20" s="786">
        <v>58.849640562810286</v>
      </c>
      <c r="D20" s="786">
        <v>7560.0743244262558</v>
      </c>
      <c r="E20" s="786">
        <v>5155.8450950465331</v>
      </c>
      <c r="F20" s="787">
        <v>12774.7690600356</v>
      </c>
      <c r="G20" s="788">
        <v>6.9483169317956506E-2</v>
      </c>
      <c r="H20" s="789">
        <v>6</v>
      </c>
      <c r="I20" s="243">
        <f t="shared" si="0"/>
        <v>7618.923964989066</v>
      </c>
      <c r="L20" s="104" t="s">
        <v>27</v>
      </c>
      <c r="M20" s="103">
        <v>54.437093085079674</v>
      </c>
      <c r="N20" s="103">
        <v>6428.8804793696218</v>
      </c>
      <c r="O20" s="103">
        <v>1275.541348957433</v>
      </c>
      <c r="P20" s="106">
        <v>7758.8589214121348</v>
      </c>
      <c r="Q20" s="109">
        <v>4.716888629006423E-2</v>
      </c>
      <c r="R20" s="108">
        <v>7</v>
      </c>
      <c r="U20" s="104" t="s">
        <v>27</v>
      </c>
      <c r="V20" s="103">
        <v>59.184738461648188</v>
      </c>
      <c r="W20" s="103">
        <v>6989.5651698009779</v>
      </c>
      <c r="X20" s="103">
        <v>1697.7899969929758</v>
      </c>
      <c r="Y20" s="106">
        <v>8746.5399052556022</v>
      </c>
      <c r="Z20" s="109">
        <v>5.5269628288971702E-2</v>
      </c>
      <c r="AA20" s="108">
        <v>7</v>
      </c>
    </row>
    <row r="21" spans="2:27" ht="14.4">
      <c r="B21" s="785" t="s">
        <v>28</v>
      </c>
      <c r="C21" s="786">
        <v>0</v>
      </c>
      <c r="D21" s="786">
        <v>0</v>
      </c>
      <c r="E21" s="786">
        <v>58.471802263639269</v>
      </c>
      <c r="F21" s="787">
        <v>58.471802263639269</v>
      </c>
      <c r="G21" s="788">
        <v>3.1803362690293506E-4</v>
      </c>
      <c r="H21" s="789">
        <v>15</v>
      </c>
      <c r="I21" s="243">
        <f t="shared" si="0"/>
        <v>0</v>
      </c>
      <c r="L21" s="104" t="s">
        <v>28</v>
      </c>
      <c r="M21" s="103">
        <v>0</v>
      </c>
      <c r="N21" s="103">
        <v>0</v>
      </c>
      <c r="O21" s="103">
        <v>46.263674560505251</v>
      </c>
      <c r="P21" s="106">
        <v>46.263674560505251</v>
      </c>
      <c r="Q21" s="109">
        <v>2.8125347126531353E-4</v>
      </c>
      <c r="R21" s="108">
        <v>15</v>
      </c>
      <c r="U21" s="104" t="s">
        <v>28</v>
      </c>
      <c r="V21" s="103">
        <v>0</v>
      </c>
      <c r="W21" s="103">
        <v>0</v>
      </c>
      <c r="X21" s="103">
        <v>50.380006534930743</v>
      </c>
      <c r="Y21" s="106">
        <v>50.380006534930743</v>
      </c>
      <c r="Z21" s="109">
        <v>3.1835265882780144E-4</v>
      </c>
      <c r="AA21" s="108">
        <v>15</v>
      </c>
    </row>
    <row r="22" spans="2:27" ht="14.4">
      <c r="B22" s="785" t="s">
        <v>29</v>
      </c>
      <c r="C22" s="786">
        <v>0</v>
      </c>
      <c r="D22" s="786">
        <v>0</v>
      </c>
      <c r="E22" s="786">
        <v>442.5710849790064</v>
      </c>
      <c r="F22" s="787">
        <v>442.5710849790064</v>
      </c>
      <c r="G22" s="788">
        <v>2.4071857180596522E-3</v>
      </c>
      <c r="H22" s="789">
        <v>12</v>
      </c>
      <c r="I22" s="243">
        <f t="shared" si="0"/>
        <v>0</v>
      </c>
      <c r="L22" s="104" t="s">
        <v>29</v>
      </c>
      <c r="M22" s="103">
        <v>0</v>
      </c>
      <c r="N22" s="103">
        <v>0</v>
      </c>
      <c r="O22" s="103">
        <v>350.31341310587754</v>
      </c>
      <c r="P22" s="106">
        <v>350.31341310587754</v>
      </c>
      <c r="Q22" s="109">
        <v>2.1296808868472169E-3</v>
      </c>
      <c r="R22" s="108">
        <v>12</v>
      </c>
      <c r="U22" s="104" t="s">
        <v>29</v>
      </c>
      <c r="V22" s="103">
        <v>0</v>
      </c>
      <c r="W22" s="103">
        <v>0</v>
      </c>
      <c r="X22" s="103">
        <v>381.48271206746233</v>
      </c>
      <c r="Y22" s="106">
        <v>381.48271206746233</v>
      </c>
      <c r="Z22" s="109">
        <v>2.4105998398256103E-3</v>
      </c>
      <c r="AA22" s="108">
        <v>12</v>
      </c>
    </row>
    <row r="23" spans="2:27" ht="14.4">
      <c r="B23" s="785" t="s">
        <v>30</v>
      </c>
      <c r="C23" s="786">
        <v>121.27190178957372</v>
      </c>
      <c r="D23" s="786">
        <v>12067.414675520375</v>
      </c>
      <c r="E23" s="786">
        <v>1799.3883365660856</v>
      </c>
      <c r="F23" s="787">
        <v>13988.074913876035</v>
      </c>
      <c r="G23" s="788">
        <v>7.6082453867107325E-2</v>
      </c>
      <c r="H23" s="789">
        <v>5</v>
      </c>
      <c r="I23" s="243">
        <f t="shared" si="0"/>
        <v>12188.686577309949</v>
      </c>
      <c r="L23" s="104" t="s">
        <v>30</v>
      </c>
      <c r="M23" s="103">
        <v>194.6420390260474</v>
      </c>
      <c r="N23" s="103">
        <v>10528.732238458901</v>
      </c>
      <c r="O23" s="103">
        <v>1460.467290047769</v>
      </c>
      <c r="P23" s="106">
        <v>12183.841567532718</v>
      </c>
      <c r="Q23" s="109">
        <v>7.4069942925384699E-2</v>
      </c>
      <c r="R23" s="108">
        <v>6</v>
      </c>
      <c r="U23" s="104" t="s">
        <v>30</v>
      </c>
      <c r="V23" s="103">
        <v>118.96397526646624</v>
      </c>
      <c r="W23" s="103">
        <v>10838.2041797945</v>
      </c>
      <c r="X23" s="103">
        <v>1548.5478494444069</v>
      </c>
      <c r="Y23" s="106">
        <v>12505.716004505373</v>
      </c>
      <c r="Z23" s="109">
        <v>7.9023966339093463E-2</v>
      </c>
      <c r="AA23" s="108">
        <v>5</v>
      </c>
    </row>
    <row r="24" spans="2:27" ht="14.4">
      <c r="B24" s="785" t="s">
        <v>31</v>
      </c>
      <c r="C24" s="786">
        <v>0</v>
      </c>
      <c r="D24" s="786">
        <v>0</v>
      </c>
      <c r="E24" s="786">
        <v>31766.372464597473</v>
      </c>
      <c r="F24" s="787">
        <v>31766.372464597473</v>
      </c>
      <c r="G24" s="788">
        <v>0.17278028480999771</v>
      </c>
      <c r="H24" s="789">
        <v>2</v>
      </c>
      <c r="I24" s="243">
        <f t="shared" si="0"/>
        <v>0</v>
      </c>
      <c r="L24" s="104" t="s">
        <v>31</v>
      </c>
      <c r="M24" s="103">
        <v>0</v>
      </c>
      <c r="N24" s="103">
        <v>0</v>
      </c>
      <c r="O24" s="103">
        <v>27590.767111869402</v>
      </c>
      <c r="P24" s="106">
        <v>27590.767111869402</v>
      </c>
      <c r="Q24" s="109">
        <v>0.16773416938460695</v>
      </c>
      <c r="R24" s="108">
        <v>3</v>
      </c>
      <c r="U24" s="104" t="s">
        <v>31</v>
      </c>
      <c r="V24" s="103">
        <v>0</v>
      </c>
      <c r="W24" s="103">
        <v>0</v>
      </c>
      <c r="X24" s="103">
        <v>27673.081680571529</v>
      </c>
      <c r="Y24" s="106">
        <v>27673.081680571529</v>
      </c>
      <c r="Z24" s="109">
        <v>0.17486697078652894</v>
      </c>
      <c r="AA24" s="108">
        <v>3</v>
      </c>
    </row>
    <row r="25" spans="2:27" ht="14.4">
      <c r="B25" s="785" t="s">
        <v>32</v>
      </c>
      <c r="C25" s="786">
        <v>0</v>
      </c>
      <c r="D25" s="786">
        <v>0</v>
      </c>
      <c r="E25" s="786">
        <v>0</v>
      </c>
      <c r="F25" s="787">
        <v>0</v>
      </c>
      <c r="G25" s="788">
        <v>0</v>
      </c>
      <c r="H25" s="789">
        <v>20</v>
      </c>
      <c r="I25" s="243">
        <f t="shared" si="0"/>
        <v>0</v>
      </c>
      <c r="L25" s="104" t="s">
        <v>32</v>
      </c>
      <c r="M25" s="103">
        <v>0</v>
      </c>
      <c r="N25" s="103">
        <v>0</v>
      </c>
      <c r="O25" s="103">
        <v>0</v>
      </c>
      <c r="P25" s="106">
        <v>0</v>
      </c>
      <c r="Q25" s="109">
        <v>0</v>
      </c>
      <c r="R25" s="108">
        <v>20</v>
      </c>
      <c r="U25" s="104" t="s">
        <v>32</v>
      </c>
      <c r="V25" s="103">
        <v>0</v>
      </c>
      <c r="W25" s="103">
        <v>0</v>
      </c>
      <c r="X25" s="103">
        <v>0</v>
      </c>
      <c r="Y25" s="106">
        <v>0</v>
      </c>
      <c r="Z25" s="109">
        <v>0</v>
      </c>
      <c r="AA25" s="108">
        <v>20</v>
      </c>
    </row>
    <row r="26" spans="2:27" ht="14.4">
      <c r="B26" s="783" t="s">
        <v>33</v>
      </c>
      <c r="C26" s="790">
        <v>523.77852546030567</v>
      </c>
      <c r="D26" s="790">
        <v>65995.063427158995</v>
      </c>
      <c r="E26" s="790">
        <v>117335.30841835719</v>
      </c>
      <c r="F26" s="791">
        <v>183854.15037097654</v>
      </c>
      <c r="G26" s="783"/>
      <c r="H26" s="783"/>
      <c r="I26" s="243">
        <f>SUM(I4:I25)</f>
        <v>66518.841952619317</v>
      </c>
      <c r="L26" s="102" t="s">
        <v>33</v>
      </c>
      <c r="M26" s="105">
        <v>498.23372500256073</v>
      </c>
      <c r="N26" s="105">
        <v>50731.614777550312</v>
      </c>
      <c r="O26" s="105">
        <v>113261.18640760312</v>
      </c>
      <c r="P26" s="107">
        <v>164491.03491015601</v>
      </c>
      <c r="Q26" s="102"/>
      <c r="R26" s="102"/>
      <c r="U26" s="102" t="s">
        <v>33</v>
      </c>
      <c r="V26" s="105">
        <v>432.7229884957078</v>
      </c>
      <c r="W26" s="105">
        <v>51945.105343379117</v>
      </c>
      <c r="X26" s="105">
        <v>105874.36507035317</v>
      </c>
      <c r="Y26" s="107">
        <v>158252.193402228</v>
      </c>
      <c r="Z26" s="102"/>
      <c r="AA26" s="102"/>
    </row>
    <row r="27" spans="2:27" ht="14.4">
      <c r="B27" s="738"/>
      <c r="C27" s="738"/>
      <c r="D27" s="738"/>
      <c r="E27" s="738"/>
      <c r="F27" s="738"/>
      <c r="G27" s="738"/>
      <c r="H27" s="738"/>
    </row>
    <row r="28" spans="2:27" ht="14.4" thickBot="1"/>
    <row r="29" spans="2:27" ht="15" thickBot="1">
      <c r="B29" s="737" t="s">
        <v>1156</v>
      </c>
      <c r="C29" s="738"/>
      <c r="D29" s="738"/>
      <c r="E29" s="738"/>
      <c r="F29" s="738"/>
      <c r="G29" s="738"/>
      <c r="H29" s="738"/>
    </row>
    <row r="30" spans="2:27" ht="14.4" thickBot="1">
      <c r="B30" s="739" t="s">
        <v>1126</v>
      </c>
      <c r="C30" s="740" t="s">
        <v>113</v>
      </c>
      <c r="D30" s="740" t="s">
        <v>124</v>
      </c>
      <c r="E30" s="740" t="s">
        <v>1086</v>
      </c>
      <c r="F30" s="741" t="s">
        <v>33</v>
      </c>
      <c r="G30" s="741" t="s">
        <v>1127</v>
      </c>
      <c r="H30" s="742" t="s">
        <v>1128</v>
      </c>
    </row>
    <row r="31" spans="2:27" ht="14.4" thickBot="1">
      <c r="B31" s="743" t="s">
        <v>1138</v>
      </c>
      <c r="C31" s="744">
        <v>115.7303207829636</v>
      </c>
      <c r="D31" s="744" t="s">
        <v>404</v>
      </c>
      <c r="E31" s="744">
        <v>245.75294381691253</v>
      </c>
      <c r="F31" s="745">
        <v>361.48326459987612</v>
      </c>
      <c r="G31" s="746">
        <v>1.9661414434783433E-3</v>
      </c>
      <c r="H31" s="779">
        <v>3</v>
      </c>
    </row>
    <row r="32" spans="2:27" ht="14.4" thickBot="1">
      <c r="B32" s="748" t="s">
        <v>35</v>
      </c>
      <c r="C32" s="749">
        <v>408.04820467734208</v>
      </c>
      <c r="D32" s="749" t="s">
        <v>404</v>
      </c>
      <c r="E32" s="749">
        <v>1021.7089510643533</v>
      </c>
      <c r="F32" s="745">
        <v>1429.7571557416954</v>
      </c>
      <c r="G32" s="746">
        <v>7.7765835193644838E-3</v>
      </c>
      <c r="H32" s="780">
        <v>2</v>
      </c>
    </row>
    <row r="33" spans="2:11" ht="14.4" thickBot="1">
      <c r="B33" s="743" t="s">
        <v>155</v>
      </c>
      <c r="C33" s="744" t="s">
        <v>404</v>
      </c>
      <c r="D33" s="744">
        <v>65995.06342715901</v>
      </c>
      <c r="E33" s="744">
        <v>116067.84652347592</v>
      </c>
      <c r="F33" s="745">
        <v>182062.90995063493</v>
      </c>
      <c r="G33" s="746">
        <v>0.9902572750371571</v>
      </c>
      <c r="H33" s="779">
        <v>1</v>
      </c>
    </row>
    <row r="34" spans="2:11" ht="14.4" thickBot="1">
      <c r="B34" s="751" t="s">
        <v>1157</v>
      </c>
      <c r="C34" s="752">
        <v>523.77852546030567</v>
      </c>
      <c r="D34" s="752">
        <v>65995.06342715901</v>
      </c>
      <c r="E34" s="752">
        <v>117335.30841835719</v>
      </c>
      <c r="F34" s="745">
        <v>183854.15037097651</v>
      </c>
      <c r="G34" s="745">
        <v>1</v>
      </c>
      <c r="H34" s="753"/>
    </row>
    <row r="35" spans="2:11" ht="14.4" thickBot="1">
      <c r="F35" t="b">
        <f>F34=F26</f>
        <v>1</v>
      </c>
    </row>
    <row r="36" spans="2:11" ht="15" thickBot="1">
      <c r="B36" s="737" t="s">
        <v>1158</v>
      </c>
      <c r="C36" s="738"/>
      <c r="D36" s="738"/>
      <c r="E36" s="738"/>
      <c r="F36" s="738"/>
    </row>
    <row r="37" spans="2:11" ht="14.4" thickBot="1">
      <c r="B37" s="739" t="s">
        <v>1126</v>
      </c>
      <c r="C37" s="740" t="s">
        <v>1133</v>
      </c>
      <c r="D37" s="740" t="s">
        <v>649</v>
      </c>
      <c r="E37" s="740" t="s">
        <v>1134</v>
      </c>
      <c r="F37" s="742" t="s">
        <v>49</v>
      </c>
      <c r="H37" s="58" t="s">
        <v>1135</v>
      </c>
      <c r="I37" s="58" t="s">
        <v>1136</v>
      </c>
    </row>
    <row r="38" spans="2:11" ht="14.4" thickBot="1">
      <c r="B38" s="743" t="s">
        <v>155</v>
      </c>
      <c r="C38" s="744" t="s">
        <v>686</v>
      </c>
      <c r="D38" s="744" t="s">
        <v>663</v>
      </c>
      <c r="E38" s="744">
        <v>390436964.54163325</v>
      </c>
      <c r="F38" s="747">
        <v>1405573.0723498797</v>
      </c>
      <c r="H38" s="125">
        <v>3.5999999999999999E-3</v>
      </c>
      <c r="I38" s="125" t="s">
        <v>1137</v>
      </c>
    </row>
    <row r="39" spans="2:11" ht="14.4" thickBot="1">
      <c r="B39" s="748" t="s">
        <v>1138</v>
      </c>
      <c r="C39" s="749" t="s">
        <v>686</v>
      </c>
      <c r="D39" s="749" t="s">
        <v>670</v>
      </c>
      <c r="E39" s="749">
        <v>6239005.6016882854</v>
      </c>
      <c r="F39" s="750">
        <v>6239.0056016882854</v>
      </c>
    </row>
    <row r="40" spans="2:11" ht="14.4" thickBot="1">
      <c r="B40" s="743" t="s">
        <v>35</v>
      </c>
      <c r="C40" s="744" t="s">
        <v>686</v>
      </c>
      <c r="D40" s="744" t="s">
        <v>673</v>
      </c>
      <c r="E40" s="744">
        <v>516133.36523464799</v>
      </c>
      <c r="F40" s="747">
        <v>19922.747898057412</v>
      </c>
      <c r="H40" s="58" t="s">
        <v>1139</v>
      </c>
      <c r="I40" s="58" t="s">
        <v>1136</v>
      </c>
    </row>
    <row r="41" spans="2:11" ht="14.4" thickBot="1">
      <c r="B41" s="751" t="s">
        <v>234</v>
      </c>
      <c r="C41" s="752"/>
      <c r="D41" s="752"/>
      <c r="E41" s="752">
        <v>397192103.50855619</v>
      </c>
      <c r="F41" s="753">
        <v>1431734.8258496253</v>
      </c>
      <c r="H41" s="125">
        <v>38.6</v>
      </c>
      <c r="I41" s="125" t="s">
        <v>1140</v>
      </c>
    </row>
    <row r="43" spans="2:11" ht="14.4" thickBot="1"/>
    <row r="44" spans="2:11" ht="14.4" thickBot="1">
      <c r="B44" s="737" t="s">
        <v>1159</v>
      </c>
    </row>
    <row r="45" spans="2:11">
      <c r="B45" s="764" t="s">
        <v>42</v>
      </c>
      <c r="C45" s="755" t="s">
        <v>44</v>
      </c>
      <c r="D45" s="756" t="s">
        <v>1160</v>
      </c>
      <c r="E45" s="756" t="s">
        <v>48</v>
      </c>
      <c r="F45" s="756" t="s">
        <v>1161</v>
      </c>
      <c r="G45" s="756" t="s">
        <v>51</v>
      </c>
      <c r="H45" s="757" t="s">
        <v>1162</v>
      </c>
      <c r="I45" s="755" t="s">
        <v>1147</v>
      </c>
      <c r="J45" s="756" t="s">
        <v>1148</v>
      </c>
      <c r="K45" s="757" t="s">
        <v>1149</v>
      </c>
    </row>
    <row r="46" spans="2:11">
      <c r="B46" s="765" t="s">
        <v>38</v>
      </c>
      <c r="C46" s="792">
        <v>0</v>
      </c>
      <c r="D46" s="793">
        <v>6311454.1251386842</v>
      </c>
      <c r="E46" s="793">
        <v>0</v>
      </c>
      <c r="F46" s="793">
        <v>11040.807448442525</v>
      </c>
      <c r="G46" s="793">
        <v>0</v>
      </c>
      <c r="H46" s="794">
        <v>42471.023619276697</v>
      </c>
      <c r="I46" s="792">
        <v>0</v>
      </c>
      <c r="J46" s="793">
        <v>0</v>
      </c>
      <c r="K46" s="794">
        <v>6364965.9562064027</v>
      </c>
    </row>
    <row r="47" spans="2:11">
      <c r="B47" s="765" t="s">
        <v>39</v>
      </c>
      <c r="C47" s="792">
        <v>18667745.259687006</v>
      </c>
      <c r="D47" s="793">
        <v>39293567.606141217</v>
      </c>
      <c r="E47" s="793">
        <v>37339.493178725395</v>
      </c>
      <c r="F47" s="793">
        <v>104547.52918775163</v>
      </c>
      <c r="G47" s="793">
        <v>158216.59566428585</v>
      </c>
      <c r="H47" s="794">
        <v>387584.70612778165</v>
      </c>
      <c r="I47" s="792">
        <v>195556.08884301124</v>
      </c>
      <c r="J47" s="793">
        <v>18667745.259687006</v>
      </c>
      <c r="K47" s="794">
        <v>39785699.841456756</v>
      </c>
    </row>
    <row r="48" spans="2:11">
      <c r="B48" s="765" t="s">
        <v>40</v>
      </c>
      <c r="C48" s="792">
        <v>38948173.596104205</v>
      </c>
      <c r="D48" s="793">
        <v>56294830.767353334</v>
      </c>
      <c r="E48" s="793">
        <v>61936.59860701389</v>
      </c>
      <c r="F48" s="793">
        <v>104303.59052216033</v>
      </c>
      <c r="G48" s="793">
        <v>180111.00290411498</v>
      </c>
      <c r="H48" s="794">
        <v>223712.92833113915</v>
      </c>
      <c r="I48" s="792">
        <v>242047.60151112889</v>
      </c>
      <c r="J48" s="793">
        <v>38948173.596104205</v>
      </c>
      <c r="K48" s="794">
        <v>56622847.286206633</v>
      </c>
    </row>
    <row r="49" spans="2:12">
      <c r="B49" s="765" t="s">
        <v>41</v>
      </c>
      <c r="C49" s="792">
        <v>13845.815877866668</v>
      </c>
      <c r="D49" s="793">
        <v>13998262.113093792</v>
      </c>
      <c r="E49" s="793">
        <v>22.442923551482014</v>
      </c>
      <c r="F49" s="793">
        <v>23265.349306730124</v>
      </c>
      <c r="G49" s="793">
        <v>95.096174553661115</v>
      </c>
      <c r="H49" s="794">
        <v>364372.2953240379</v>
      </c>
      <c r="I49" s="792">
        <v>117.53909810514313</v>
      </c>
      <c r="J49" s="793">
        <v>13845.815877866668</v>
      </c>
      <c r="K49" s="794">
        <v>14385899.757724561</v>
      </c>
    </row>
    <row r="50" spans="2:12">
      <c r="B50" s="765" t="s">
        <v>687</v>
      </c>
      <c r="C50" s="792">
        <v>8365298.7554899212</v>
      </c>
      <c r="D50" s="793">
        <v>169731.9117488905</v>
      </c>
      <c r="E50" s="793">
        <v>16431.786073672854</v>
      </c>
      <c r="F50" s="793">
        <v>2595.6673518280045</v>
      </c>
      <c r="G50" s="793">
        <v>69625.509934387577</v>
      </c>
      <c r="H50" s="794">
        <v>3567.9976621180822</v>
      </c>
      <c r="I50" s="792">
        <v>86057.296008060424</v>
      </c>
      <c r="J50" s="793">
        <v>8365298.7554899212</v>
      </c>
      <c r="K50" s="794">
        <v>175895.5767628366</v>
      </c>
    </row>
    <row r="51" spans="2:12" ht="14.4" thickBot="1">
      <c r="B51" s="766" t="s">
        <v>53</v>
      </c>
      <c r="C51" s="795">
        <v>65995063.427159004</v>
      </c>
      <c r="D51" s="796">
        <v>116067846.52347592</v>
      </c>
      <c r="E51" s="796">
        <v>115730.32078296362</v>
      </c>
      <c r="F51" s="796">
        <v>245752.94381691262</v>
      </c>
      <c r="G51" s="796">
        <v>408048.20467734209</v>
      </c>
      <c r="H51" s="797">
        <v>1021708.9510643535</v>
      </c>
      <c r="I51" s="795">
        <v>523778.52546030574</v>
      </c>
      <c r="J51" s="796">
        <v>65995063.427159004</v>
      </c>
      <c r="K51" s="797">
        <v>117335308.41835718</v>
      </c>
    </row>
    <row r="52" spans="2:12">
      <c r="H52" s="244">
        <f>SUM(C51:H51)</f>
        <v>183854150.37097648</v>
      </c>
      <c r="K52" s="244">
        <f>SUM(I51:K51)</f>
        <v>183854150.37097648</v>
      </c>
      <c r="L52" s="844" t="b">
        <f>ROUND(K52/1000,2)=ROUND(F34,2)</f>
        <v>1</v>
      </c>
    </row>
    <row r="53" spans="2:12" ht="14.4" thickBot="1">
      <c r="B53" s="33" t="s">
        <v>1158</v>
      </c>
    </row>
    <row r="54" spans="2:12">
      <c r="B54" s="755" t="s">
        <v>42</v>
      </c>
      <c r="C54" s="757" t="s">
        <v>1133</v>
      </c>
      <c r="D54" s="755" t="s">
        <v>1150</v>
      </c>
      <c r="E54" s="756" t="s">
        <v>1151</v>
      </c>
      <c r="F54" s="757" t="s">
        <v>1152</v>
      </c>
      <c r="G54" s="755" t="s">
        <v>1153</v>
      </c>
      <c r="H54" s="756" t="s">
        <v>1154</v>
      </c>
      <c r="I54" s="757" t="s">
        <v>1155</v>
      </c>
    </row>
    <row r="55" spans="2:12">
      <c r="B55" s="765" t="s">
        <v>38</v>
      </c>
      <c r="C55" s="768" t="s">
        <v>686</v>
      </c>
      <c r="D55" s="792">
        <v>11579247.854607165</v>
      </c>
      <c r="E55" s="793">
        <v>185031.12868179195</v>
      </c>
      <c r="F55" s="794">
        <v>14898.924657977306</v>
      </c>
      <c r="G55" s="792">
        <v>41685.292276585795</v>
      </c>
      <c r="H55" s="793">
        <v>185.03112868179196</v>
      </c>
      <c r="I55" s="794">
        <v>575.098491797924</v>
      </c>
    </row>
    <row r="56" spans="2:12">
      <c r="B56" s="765" t="s">
        <v>39</v>
      </c>
      <c r="C56" s="768" t="s">
        <v>686</v>
      </c>
      <c r="D56" s="792">
        <v>149441094.15055847</v>
      </c>
      <c r="E56" s="793">
        <v>2388000.9020722243</v>
      </c>
      <c r="F56" s="794">
        <v>192284.64840822775</v>
      </c>
      <c r="G56" s="792">
        <v>537987.93894201051</v>
      </c>
      <c r="H56" s="793">
        <v>2388.0009020722241</v>
      </c>
      <c r="I56" s="794">
        <v>7422.1874285575914</v>
      </c>
    </row>
    <row r="57" spans="2:12">
      <c r="B57" s="765" t="s">
        <v>40</v>
      </c>
      <c r="C57" s="768" t="s">
        <v>686</v>
      </c>
      <c r="D57" s="792">
        <v>184457616.13866591</v>
      </c>
      <c r="E57" s="793">
        <v>2947549.0408913074</v>
      </c>
      <c r="F57" s="794">
        <v>154670.98744655971</v>
      </c>
      <c r="G57" s="792">
        <v>664047.41809919733</v>
      </c>
      <c r="H57" s="793">
        <v>2947.5490408913074</v>
      </c>
      <c r="I57" s="794">
        <v>5970.300115437205</v>
      </c>
    </row>
    <row r="58" spans="2:12">
      <c r="B58" s="765" t="s">
        <v>41</v>
      </c>
      <c r="C58" s="768" t="s">
        <v>686</v>
      </c>
      <c r="D58" s="792">
        <v>25003618.145201575</v>
      </c>
      <c r="E58" s="793">
        <v>399546.47699283896</v>
      </c>
      <c r="F58" s="794">
        <v>128602.36789029071</v>
      </c>
      <c r="G58" s="792">
        <v>90013.025322725662</v>
      </c>
      <c r="H58" s="793">
        <v>399.54647699283896</v>
      </c>
      <c r="I58" s="794">
        <v>4964.0514005652212</v>
      </c>
    </row>
    <row r="59" spans="2:12">
      <c r="B59" s="765" t="s">
        <v>687</v>
      </c>
      <c r="C59" s="768" t="s">
        <v>686</v>
      </c>
      <c r="D59" s="792">
        <v>19955388.252600003</v>
      </c>
      <c r="E59" s="793">
        <v>318878.05305012333</v>
      </c>
      <c r="F59" s="794">
        <v>25676.436831592415</v>
      </c>
      <c r="G59" s="792">
        <v>71839.397709360012</v>
      </c>
      <c r="H59" s="793">
        <v>318.87805305012336</v>
      </c>
      <c r="I59" s="794">
        <v>991.11046169946724</v>
      </c>
    </row>
    <row r="60" spans="2:12" ht="14.4" thickBot="1">
      <c r="B60" s="769" t="s">
        <v>53</v>
      </c>
      <c r="C60" s="770"/>
      <c r="D60" s="795">
        <v>390436964.54163313</v>
      </c>
      <c r="E60" s="796">
        <v>6239005.6016882854</v>
      </c>
      <c r="F60" s="797">
        <v>516133.36523464782</v>
      </c>
      <c r="G60" s="795">
        <v>1405573.0723498794</v>
      </c>
      <c r="H60" s="796">
        <v>6239.0056016882854</v>
      </c>
      <c r="I60" s="797">
        <v>19922.747898057409</v>
      </c>
    </row>
    <row r="61" spans="2:12">
      <c r="I61" s="244">
        <f>SUM(G60:I60)</f>
        <v>1431734.825849625</v>
      </c>
      <c r="J61" t="b">
        <f>I61=F41</f>
        <v>1</v>
      </c>
    </row>
  </sheetData>
  <conditionalFormatting sqref="M4:P25">
    <cfRule type="dataBar" priority="3">
      <dataBar>
        <cfvo type="min"/>
        <cfvo type="max"/>
        <color rgb="FF9ECEEC"/>
      </dataBar>
      <extLst>
        <ext xmlns:x14="http://schemas.microsoft.com/office/spreadsheetml/2009/9/main" uri="{B025F937-C7B1-47D3-B67F-A62EFF666E3E}">
          <x14:id>{7DB9815D-F1A2-4D2C-A967-BC06F4B070D7}</x14:id>
        </ext>
      </extLst>
    </cfRule>
  </conditionalFormatting>
  <conditionalFormatting sqref="V4:Y25">
    <cfRule type="dataBar" priority="2">
      <dataBar>
        <cfvo type="min"/>
        <cfvo type="max"/>
        <color rgb="FF9ECEEC"/>
      </dataBar>
      <extLst>
        <ext xmlns:x14="http://schemas.microsoft.com/office/spreadsheetml/2009/9/main" uri="{B025F937-C7B1-47D3-B67F-A62EFF666E3E}">
          <x14:id>{8F523254-0705-46AD-8647-782E0D93FD35}</x14:id>
        </ext>
      </extLst>
    </cfRule>
  </conditionalFormatting>
  <conditionalFormatting sqref="C4:F25">
    <cfRule type="dataBar" priority="1">
      <dataBar>
        <cfvo type="min"/>
        <cfvo type="max"/>
        <color rgb="FF9ECEEC"/>
      </dataBar>
      <extLst>
        <ext xmlns:x14="http://schemas.microsoft.com/office/spreadsheetml/2009/9/main" uri="{B025F937-C7B1-47D3-B67F-A62EFF666E3E}">
          <x14:id>{4422B57E-32C1-42FE-8D01-0D65D8842D50}</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7DB9815D-F1A2-4D2C-A967-BC06F4B070D7}">
            <x14:dataBar minLength="0" maxLength="100" gradient="0">
              <x14:cfvo type="autoMin"/>
              <x14:cfvo type="autoMax"/>
              <x14:negativeFillColor rgb="FFFF0000"/>
              <x14:axisColor rgb="FF000000"/>
            </x14:dataBar>
          </x14:cfRule>
          <xm:sqref>M4:P25</xm:sqref>
        </x14:conditionalFormatting>
        <x14:conditionalFormatting xmlns:xm="http://schemas.microsoft.com/office/excel/2006/main">
          <x14:cfRule type="dataBar" id="{8F523254-0705-46AD-8647-782E0D93FD35}">
            <x14:dataBar minLength="0" maxLength="100" gradient="0">
              <x14:cfvo type="autoMin"/>
              <x14:cfvo type="autoMax"/>
              <x14:negativeFillColor rgb="FFFF0000"/>
              <x14:axisColor rgb="FF000000"/>
            </x14:dataBar>
          </x14:cfRule>
          <xm:sqref>V4:Y25</xm:sqref>
        </x14:conditionalFormatting>
        <x14:conditionalFormatting xmlns:xm="http://schemas.microsoft.com/office/excel/2006/main">
          <x14:cfRule type="dataBar" id="{4422B57E-32C1-42FE-8D01-0D65D8842D50}">
            <x14:dataBar minLength="0" maxLength="100" gradient="0">
              <x14:cfvo type="autoMin"/>
              <x14:cfvo type="autoMax"/>
              <x14:negativeFillColor rgb="FFFF0000"/>
              <x14:axisColor rgb="FF000000"/>
            </x14:dataBar>
          </x14:cfRule>
          <xm:sqref>C4:F25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990A-C407-4C01-BADC-CFF585087729}">
  <sheetPr codeName="Sheet1"/>
  <dimension ref="A1"/>
  <sheetViews>
    <sheetView workbookViewId="0">
      <selection activeCell="C47" sqref="C47"/>
    </sheetView>
  </sheetViews>
  <sheetFormatPr defaultColWidth="8.8984375" defaultRowHeight="13.8"/>
  <sheetData/>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4BB7-2AF1-43FD-8B25-AF35A24CBE2E}">
  <sheetPr codeName="Sheet43">
    <tabColor rgb="FF00B050"/>
  </sheetPr>
  <dimension ref="B1:AA60"/>
  <sheetViews>
    <sheetView topLeftCell="A19" workbookViewId="0">
      <selection activeCell="F33" sqref="F33"/>
    </sheetView>
  </sheetViews>
  <sheetFormatPr defaultColWidth="9" defaultRowHeight="13.8"/>
  <cols>
    <col min="2" max="2" width="19" bestFit="1" customWidth="1"/>
    <col min="3" max="3" width="30.3984375" bestFit="1" customWidth="1"/>
    <col min="4" max="4" width="28.3984375" bestFit="1" customWidth="1"/>
    <col min="5" max="5" width="29.09765625" bestFit="1" customWidth="1"/>
    <col min="6" max="6" width="27" bestFit="1" customWidth="1"/>
    <col min="7" max="8" width="28.8984375" bestFit="1" customWidth="1"/>
    <col min="9" max="9" width="12.59765625" bestFit="1" customWidth="1"/>
    <col min="10" max="10" width="12.09765625" bestFit="1" customWidth="1"/>
    <col min="11" max="11" width="14.59765625" bestFit="1" customWidth="1"/>
    <col min="12" max="12" width="18.3984375" bestFit="1" customWidth="1"/>
    <col min="13" max="13" width="8.3984375" bestFit="1" customWidth="1"/>
    <col min="14" max="14" width="14.5" bestFit="1" customWidth="1"/>
    <col min="15" max="16" width="8.59765625" bestFit="1" customWidth="1"/>
    <col min="17" max="17" width="4.5" bestFit="1" customWidth="1"/>
    <col min="18" max="18" width="4.59765625" bestFit="1" customWidth="1"/>
    <col min="21" max="21" width="18.3984375" bestFit="1" customWidth="1"/>
    <col min="22" max="22" width="8.3984375" bestFit="1" customWidth="1"/>
    <col min="23" max="23" width="17.3984375" bestFit="1" customWidth="1"/>
    <col min="24" max="25" width="8.59765625" bestFit="1" customWidth="1"/>
    <col min="26" max="26" width="4.5" bestFit="1" customWidth="1"/>
    <col min="27" max="27" width="4.59765625" bestFit="1" customWidth="1"/>
  </cols>
  <sheetData>
    <row r="1" spans="2:27" ht="14.4">
      <c r="B1" s="781" t="s">
        <v>2</v>
      </c>
      <c r="C1" s="782" t="s">
        <v>92</v>
      </c>
      <c r="D1" s="738"/>
      <c r="E1" s="738"/>
      <c r="F1" s="738"/>
      <c r="G1" s="738"/>
      <c r="H1" s="738"/>
      <c r="L1" s="112" t="s">
        <v>2</v>
      </c>
      <c r="M1" s="111" t="s">
        <v>1121</v>
      </c>
      <c r="N1" t="s">
        <v>1122</v>
      </c>
      <c r="U1" s="112" t="s">
        <v>2</v>
      </c>
      <c r="V1" s="111" t="s">
        <v>3</v>
      </c>
      <c r="W1" t="s">
        <v>1123</v>
      </c>
    </row>
    <row r="2" spans="2:27" ht="14.4">
      <c r="B2" s="738"/>
      <c r="C2" s="738"/>
      <c r="D2" s="738"/>
      <c r="E2" s="738"/>
      <c r="F2" s="738"/>
      <c r="G2" s="738"/>
      <c r="H2" s="738"/>
    </row>
    <row r="3" spans="2:27" ht="28.8">
      <c r="B3" s="783" t="s">
        <v>4</v>
      </c>
      <c r="C3" s="784" t="s">
        <v>5</v>
      </c>
      <c r="D3" s="784" t="s">
        <v>6</v>
      </c>
      <c r="E3" s="784" t="s">
        <v>7</v>
      </c>
      <c r="F3" s="784" t="s">
        <v>8</v>
      </c>
      <c r="G3" s="783" t="s">
        <v>9</v>
      </c>
      <c r="H3" s="783" t="s">
        <v>10</v>
      </c>
      <c r="I3" s="101" t="s">
        <v>1124</v>
      </c>
      <c r="L3" s="102" t="s">
        <v>4</v>
      </c>
      <c r="M3" s="101" t="s">
        <v>5</v>
      </c>
      <c r="N3" s="101" t="s">
        <v>6</v>
      </c>
      <c r="O3" s="101" t="s">
        <v>7</v>
      </c>
      <c r="P3" s="101" t="s">
        <v>8</v>
      </c>
      <c r="Q3" s="102" t="s">
        <v>9</v>
      </c>
      <c r="R3" s="102" t="s">
        <v>10</v>
      </c>
      <c r="U3" s="102" t="s">
        <v>4</v>
      </c>
      <c r="V3" s="101" t="s">
        <v>5</v>
      </c>
      <c r="W3" s="101" t="s">
        <v>6</v>
      </c>
      <c r="X3" s="101" t="s">
        <v>7</v>
      </c>
      <c r="Y3" s="101" t="s">
        <v>8</v>
      </c>
      <c r="Z3" s="102" t="s">
        <v>9</v>
      </c>
      <c r="AA3" s="102" t="s">
        <v>10</v>
      </c>
    </row>
    <row r="4" spans="2:27" ht="14.4">
      <c r="B4" s="785" t="s">
        <v>11</v>
      </c>
      <c r="C4" s="786">
        <v>0</v>
      </c>
      <c r="D4" s="786">
        <v>0</v>
      </c>
      <c r="E4" s="786">
        <v>32131.953769986056</v>
      </c>
      <c r="F4" s="787">
        <v>32131.953769986056</v>
      </c>
      <c r="G4" s="788">
        <v>0.1527598636263339</v>
      </c>
      <c r="H4" s="789">
        <v>2</v>
      </c>
      <c r="I4" s="243">
        <f>C4+D4</f>
        <v>0</v>
      </c>
      <c r="L4" s="104" t="s">
        <v>11</v>
      </c>
      <c r="M4" s="103">
        <v>0</v>
      </c>
      <c r="N4" s="103">
        <v>0</v>
      </c>
      <c r="O4" s="103">
        <v>31079.159354564807</v>
      </c>
      <c r="P4" s="106">
        <v>31079.159354564807</v>
      </c>
      <c r="Q4" s="109">
        <v>0.18894135702617501</v>
      </c>
      <c r="R4" s="108">
        <v>2</v>
      </c>
      <c r="U4" s="104" t="s">
        <v>11</v>
      </c>
      <c r="V4" s="103">
        <v>0</v>
      </c>
      <c r="W4" s="103">
        <v>0</v>
      </c>
      <c r="X4" s="103">
        <v>30159.090550252593</v>
      </c>
      <c r="Y4" s="106">
        <v>30159.090550252593</v>
      </c>
      <c r="Z4" s="109">
        <v>0.19057612979554436</v>
      </c>
      <c r="AA4" s="108">
        <v>2</v>
      </c>
    </row>
    <row r="5" spans="2:27" ht="14.4">
      <c r="B5" s="785" t="s">
        <v>12</v>
      </c>
      <c r="C5" s="786">
        <v>0</v>
      </c>
      <c r="D5" s="786">
        <v>0</v>
      </c>
      <c r="E5" s="786">
        <v>1.7713623072011597</v>
      </c>
      <c r="F5" s="787">
        <v>1.7713623072011597</v>
      </c>
      <c r="G5" s="788">
        <v>8.4213075375962357E-6</v>
      </c>
      <c r="H5" s="789">
        <v>21</v>
      </c>
      <c r="I5" s="243">
        <f t="shared" ref="I5:I25" si="0">C5+D5</f>
        <v>0</v>
      </c>
      <c r="L5" s="104" t="s">
        <v>12</v>
      </c>
      <c r="M5" s="103">
        <v>0</v>
      </c>
      <c r="N5" s="103">
        <v>0</v>
      </c>
      <c r="O5" s="103">
        <v>0</v>
      </c>
      <c r="P5" s="106">
        <v>0</v>
      </c>
      <c r="Q5" s="109">
        <v>0</v>
      </c>
      <c r="R5" s="108">
        <v>20</v>
      </c>
      <c r="U5" s="104" t="s">
        <v>12</v>
      </c>
      <c r="V5" s="103">
        <v>0</v>
      </c>
      <c r="W5" s="103">
        <v>0</v>
      </c>
      <c r="X5" s="103">
        <v>0</v>
      </c>
      <c r="Y5" s="106">
        <v>0</v>
      </c>
      <c r="Z5" s="109">
        <v>0</v>
      </c>
      <c r="AA5" s="108">
        <v>20</v>
      </c>
    </row>
    <row r="6" spans="2:27" ht="14.4">
      <c r="B6" s="785" t="s">
        <v>13</v>
      </c>
      <c r="C6" s="786">
        <v>0</v>
      </c>
      <c r="D6" s="786">
        <v>0</v>
      </c>
      <c r="E6" s="786">
        <v>59.775394261732899</v>
      </c>
      <c r="F6" s="787">
        <v>59.775394261732899</v>
      </c>
      <c r="G6" s="788">
        <v>2.8418069878346591E-4</v>
      </c>
      <c r="H6" s="789">
        <v>19</v>
      </c>
      <c r="I6" s="243">
        <f t="shared" si="0"/>
        <v>0</v>
      </c>
      <c r="L6" s="104" t="s">
        <v>13</v>
      </c>
      <c r="M6" s="103">
        <v>0</v>
      </c>
      <c r="N6" s="103">
        <v>0</v>
      </c>
      <c r="O6" s="103">
        <v>5.3613198770654726</v>
      </c>
      <c r="P6" s="106">
        <v>5.3613198770654726</v>
      </c>
      <c r="Q6" s="109">
        <v>3.2593386502758602E-5</v>
      </c>
      <c r="R6" s="108">
        <v>17</v>
      </c>
      <c r="U6" s="104" t="s">
        <v>13</v>
      </c>
      <c r="V6" s="103">
        <v>0</v>
      </c>
      <c r="W6" s="103">
        <v>0</v>
      </c>
      <c r="X6" s="103">
        <v>5.542939581895844</v>
      </c>
      <c r="Y6" s="106">
        <v>5.542939581895844</v>
      </c>
      <c r="Z6" s="109">
        <v>3.502598897828487E-5</v>
      </c>
      <c r="AA6" s="108">
        <v>17</v>
      </c>
    </row>
    <row r="7" spans="2:27" ht="14.4">
      <c r="B7" s="785" t="s">
        <v>14</v>
      </c>
      <c r="C7" s="786">
        <v>0</v>
      </c>
      <c r="D7" s="786">
        <v>0</v>
      </c>
      <c r="E7" s="786">
        <v>2074.0469893920385</v>
      </c>
      <c r="F7" s="787">
        <v>2074.0469893920385</v>
      </c>
      <c r="G7" s="788">
        <v>9.8603134288735069E-3</v>
      </c>
      <c r="H7" s="789">
        <v>11</v>
      </c>
      <c r="I7" s="243">
        <f t="shared" si="0"/>
        <v>0</v>
      </c>
      <c r="L7" s="104" t="s">
        <v>14</v>
      </c>
      <c r="M7" s="103">
        <v>0</v>
      </c>
      <c r="N7" s="103">
        <v>0</v>
      </c>
      <c r="O7" s="103">
        <v>2.6451883670724703</v>
      </c>
      <c r="P7" s="106">
        <v>2.6451883670724703</v>
      </c>
      <c r="Q7" s="109">
        <v>1.6081048845715244E-5</v>
      </c>
      <c r="R7" s="108">
        <v>18</v>
      </c>
      <c r="U7" s="104" t="s">
        <v>14</v>
      </c>
      <c r="V7" s="103">
        <v>0</v>
      </c>
      <c r="W7" s="103">
        <v>0</v>
      </c>
      <c r="X7" s="103">
        <v>2.8805452330628372</v>
      </c>
      <c r="Y7" s="106">
        <v>2.8805452330628372</v>
      </c>
      <c r="Z7" s="109">
        <v>1.8202245233602447E-5</v>
      </c>
      <c r="AA7" s="108">
        <v>18</v>
      </c>
    </row>
    <row r="8" spans="2:27" ht="14.4">
      <c r="B8" s="785" t="s">
        <v>15</v>
      </c>
      <c r="C8" s="786">
        <v>146.91510353188173</v>
      </c>
      <c r="D8" s="786">
        <v>27594.590283301175</v>
      </c>
      <c r="E8" s="786">
        <v>17215.059712296374</v>
      </c>
      <c r="F8" s="787">
        <v>44956.565099129431</v>
      </c>
      <c r="G8" s="788">
        <v>0.2137298840528736</v>
      </c>
      <c r="H8" s="789">
        <v>1</v>
      </c>
      <c r="I8" s="243">
        <f t="shared" si="0"/>
        <v>27741.505386833058</v>
      </c>
      <c r="L8" s="104" t="s">
        <v>15</v>
      </c>
      <c r="M8" s="103">
        <v>146.65481132816444</v>
      </c>
      <c r="N8" s="103">
        <v>23818.642111329384</v>
      </c>
      <c r="O8" s="103">
        <v>13698.950144670605</v>
      </c>
      <c r="P8" s="106">
        <v>37664.24706732815</v>
      </c>
      <c r="Q8" s="109">
        <v>0.22897446713676603</v>
      </c>
      <c r="R8" s="108">
        <v>1</v>
      </c>
      <c r="U8" s="104" t="s">
        <v>15</v>
      </c>
      <c r="V8" s="103">
        <v>144.19338181097459</v>
      </c>
      <c r="W8" s="103">
        <v>23418.874055844204</v>
      </c>
      <c r="X8" s="103">
        <v>12690.475502304897</v>
      </c>
      <c r="Y8" s="106">
        <v>36253.542939960076</v>
      </c>
      <c r="Z8" s="109">
        <v>0.22908714350527079</v>
      </c>
      <c r="AA8" s="108">
        <v>1</v>
      </c>
    </row>
    <row r="9" spans="2:27" ht="14.4">
      <c r="B9" s="785" t="s">
        <v>16</v>
      </c>
      <c r="C9" s="786">
        <v>0</v>
      </c>
      <c r="D9" s="786">
        <v>0</v>
      </c>
      <c r="E9" s="786">
        <v>13884.060348468252</v>
      </c>
      <c r="F9" s="787">
        <v>13884.060348468252</v>
      </c>
      <c r="G9" s="788">
        <v>6.6006791264368259E-2</v>
      </c>
      <c r="H9" s="789">
        <v>8</v>
      </c>
      <c r="I9" s="243">
        <f t="shared" si="0"/>
        <v>0</v>
      </c>
      <c r="L9" s="104" t="s">
        <v>16</v>
      </c>
      <c r="M9" s="103">
        <v>0</v>
      </c>
      <c r="N9" s="103">
        <v>0</v>
      </c>
      <c r="O9" s="103">
        <v>2967.3597490463594</v>
      </c>
      <c r="P9" s="106">
        <v>2967.3597490463594</v>
      </c>
      <c r="Q9" s="109">
        <v>1.8039644231475065E-2</v>
      </c>
      <c r="R9" s="108">
        <v>10</v>
      </c>
      <c r="U9" s="104" t="s">
        <v>16</v>
      </c>
      <c r="V9" s="103">
        <v>0</v>
      </c>
      <c r="W9" s="103">
        <v>0</v>
      </c>
      <c r="X9" s="103">
        <v>1444.9426091872638</v>
      </c>
      <c r="Y9" s="106">
        <v>1444.9426091872638</v>
      </c>
      <c r="Z9" s="109">
        <v>9.1306324299383814E-3</v>
      </c>
      <c r="AA9" s="108">
        <v>10</v>
      </c>
    </row>
    <row r="10" spans="2:27" ht="14.4">
      <c r="B10" s="785" t="s">
        <v>17</v>
      </c>
      <c r="C10" s="786">
        <v>0</v>
      </c>
      <c r="D10" s="786">
        <v>0</v>
      </c>
      <c r="E10" s="786">
        <v>2747.1261462791567</v>
      </c>
      <c r="F10" s="787">
        <v>2747.1261462791567</v>
      </c>
      <c r="G10" s="788">
        <v>1.3060227164335371E-2</v>
      </c>
      <c r="H10" s="789">
        <v>10</v>
      </c>
      <c r="I10" s="243">
        <f t="shared" si="0"/>
        <v>0</v>
      </c>
      <c r="L10" s="104" t="s">
        <v>17</v>
      </c>
      <c r="M10" s="103">
        <v>0</v>
      </c>
      <c r="N10" s="103">
        <v>0</v>
      </c>
      <c r="O10" s="103">
        <v>4054.4098235783968</v>
      </c>
      <c r="P10" s="106">
        <v>4054.4098235783968</v>
      </c>
      <c r="Q10" s="109">
        <v>2.4648211531971272E-2</v>
      </c>
      <c r="R10" s="108">
        <v>9</v>
      </c>
      <c r="U10" s="104" t="s">
        <v>17</v>
      </c>
      <c r="V10" s="103">
        <v>0</v>
      </c>
      <c r="W10" s="103">
        <v>0</v>
      </c>
      <c r="X10" s="103">
        <v>4413.0288329021796</v>
      </c>
      <c r="Y10" s="106">
        <v>4413.0288329021796</v>
      </c>
      <c r="Z10" s="109">
        <v>2.7886051611844827E-2</v>
      </c>
      <c r="AA10" s="108">
        <v>9</v>
      </c>
    </row>
    <row r="11" spans="2:27" ht="14.4">
      <c r="B11" s="785" t="s">
        <v>18</v>
      </c>
      <c r="C11" s="786">
        <v>0</v>
      </c>
      <c r="D11" s="786">
        <v>0</v>
      </c>
      <c r="E11" s="786">
        <v>20647.687301867732</v>
      </c>
      <c r="F11" s="787">
        <v>20647.687301867732</v>
      </c>
      <c r="G11" s="788">
        <v>9.8162032692164863E-2</v>
      </c>
      <c r="H11" s="789">
        <v>4</v>
      </c>
      <c r="I11" s="243">
        <f t="shared" si="0"/>
        <v>0</v>
      </c>
      <c r="L11" s="104" t="s">
        <v>18</v>
      </c>
      <c r="M11" s="103">
        <v>0</v>
      </c>
      <c r="N11" s="103">
        <v>0</v>
      </c>
      <c r="O11" s="103">
        <v>14060.300687439696</v>
      </c>
      <c r="P11" s="106">
        <v>14060.300687439696</v>
      </c>
      <c r="Q11" s="109">
        <v>8.5477610953808791E-2</v>
      </c>
      <c r="R11" s="108">
        <v>5</v>
      </c>
      <c r="U11" s="104" t="s">
        <v>18</v>
      </c>
      <c r="V11" s="103">
        <v>0</v>
      </c>
      <c r="W11" s="103">
        <v>0</v>
      </c>
      <c r="X11" s="103">
        <v>10747.241736927759</v>
      </c>
      <c r="Y11" s="106">
        <v>10747.241736927759</v>
      </c>
      <c r="Z11" s="109">
        <v>6.7912118662466839E-2</v>
      </c>
      <c r="AA11" s="108">
        <v>6</v>
      </c>
    </row>
    <row r="12" spans="2:27" ht="14.4">
      <c r="B12" s="785" t="s">
        <v>19</v>
      </c>
      <c r="C12" s="786">
        <v>0</v>
      </c>
      <c r="D12" s="786">
        <v>0</v>
      </c>
      <c r="E12" s="786">
        <v>175.1741738684745</v>
      </c>
      <c r="F12" s="787">
        <v>175.1741738684745</v>
      </c>
      <c r="G12" s="788">
        <v>8.3280285732265579E-4</v>
      </c>
      <c r="H12" s="789">
        <v>15</v>
      </c>
      <c r="I12" s="243">
        <f t="shared" si="0"/>
        <v>0</v>
      </c>
      <c r="L12" s="104" t="s">
        <v>19</v>
      </c>
      <c r="M12" s="103">
        <v>0</v>
      </c>
      <c r="N12" s="103">
        <v>0</v>
      </c>
      <c r="O12" s="103">
        <v>165.08558337970155</v>
      </c>
      <c r="P12" s="106">
        <v>165.08558337970155</v>
      </c>
      <c r="Q12" s="109">
        <v>1.0036144733958923E-3</v>
      </c>
      <c r="R12" s="108">
        <v>13</v>
      </c>
      <c r="U12" s="104" t="s">
        <v>19</v>
      </c>
      <c r="V12" s="103">
        <v>0</v>
      </c>
      <c r="W12" s="103">
        <v>0</v>
      </c>
      <c r="X12" s="103">
        <v>171.91686222787104</v>
      </c>
      <c r="Y12" s="106">
        <v>171.91686222787104</v>
      </c>
      <c r="Z12" s="109">
        <v>1.0863474213650339E-3</v>
      </c>
      <c r="AA12" s="108">
        <v>13</v>
      </c>
    </row>
    <row r="13" spans="2:27" ht="14.4">
      <c r="B13" s="785" t="s">
        <v>20</v>
      </c>
      <c r="C13" s="786">
        <v>0</v>
      </c>
      <c r="D13" s="786">
        <v>0</v>
      </c>
      <c r="E13" s="786">
        <v>249.87157065295864</v>
      </c>
      <c r="F13" s="787">
        <v>249.87157065295864</v>
      </c>
      <c r="G13" s="788">
        <v>1.187924871617926E-3</v>
      </c>
      <c r="H13" s="789">
        <v>14</v>
      </c>
      <c r="I13" s="243">
        <f t="shared" si="0"/>
        <v>0</v>
      </c>
      <c r="L13" s="104" t="s">
        <v>20</v>
      </c>
      <c r="M13" s="103">
        <v>0</v>
      </c>
      <c r="N13" s="103">
        <v>0</v>
      </c>
      <c r="O13" s="103">
        <v>35.781884666295944</v>
      </c>
      <c r="P13" s="106">
        <v>35.781884666295944</v>
      </c>
      <c r="Q13" s="109">
        <v>2.1753091094502377E-4</v>
      </c>
      <c r="R13" s="108">
        <v>16</v>
      </c>
      <c r="U13" s="104" t="s">
        <v>20</v>
      </c>
      <c r="V13" s="103">
        <v>0</v>
      </c>
      <c r="W13" s="103">
        <v>0</v>
      </c>
      <c r="X13" s="103">
        <v>36.751917580109939</v>
      </c>
      <c r="Y13" s="106">
        <v>36.751917580109939</v>
      </c>
      <c r="Z13" s="109">
        <v>2.3223638668121307E-4</v>
      </c>
      <c r="AA13" s="108">
        <v>16</v>
      </c>
    </row>
    <row r="14" spans="2:27" ht="14.4">
      <c r="B14" s="785" t="s">
        <v>21</v>
      </c>
      <c r="C14" s="786">
        <v>0</v>
      </c>
      <c r="D14" s="786">
        <v>0</v>
      </c>
      <c r="E14" s="786">
        <v>90.699111022673208</v>
      </c>
      <c r="F14" s="787">
        <v>90.699111022673208</v>
      </c>
      <c r="G14" s="788">
        <v>4.3119643237490228E-4</v>
      </c>
      <c r="H14" s="789">
        <v>17</v>
      </c>
      <c r="I14" s="243">
        <f t="shared" si="0"/>
        <v>0</v>
      </c>
      <c r="L14" s="104" t="s">
        <v>21</v>
      </c>
      <c r="M14" s="103">
        <v>0</v>
      </c>
      <c r="N14" s="103">
        <v>0</v>
      </c>
      <c r="O14" s="103">
        <v>67.81821733321371</v>
      </c>
      <c r="P14" s="106">
        <v>67.81821733321371</v>
      </c>
      <c r="Q14" s="109">
        <v>4.122912678508929E-4</v>
      </c>
      <c r="R14" s="108">
        <v>14</v>
      </c>
      <c r="U14" s="104" t="s">
        <v>21</v>
      </c>
      <c r="V14" s="103">
        <v>0</v>
      </c>
      <c r="W14" s="103">
        <v>0</v>
      </c>
      <c r="X14" s="103">
        <v>72.430311176872891</v>
      </c>
      <c r="Y14" s="106">
        <v>72.430311176872891</v>
      </c>
      <c r="Z14" s="109">
        <v>4.5768914553226761E-4</v>
      </c>
      <c r="AA14" s="108">
        <v>14</v>
      </c>
    </row>
    <row r="15" spans="2:27" ht="14.4">
      <c r="B15" s="785" t="s">
        <v>22</v>
      </c>
      <c r="C15" s="786">
        <v>11.002453427814078</v>
      </c>
      <c r="D15" s="786">
        <v>1296.0618791718539</v>
      </c>
      <c r="E15" s="786">
        <v>56.143961412708492</v>
      </c>
      <c r="F15" s="787">
        <v>1363.2082940123764</v>
      </c>
      <c r="G15" s="788">
        <v>6.4808854941816475E-3</v>
      </c>
      <c r="H15" s="789">
        <v>12</v>
      </c>
      <c r="I15" s="243">
        <f t="shared" si="0"/>
        <v>1307.064332599668</v>
      </c>
      <c r="L15" s="104" t="s">
        <v>22</v>
      </c>
      <c r="M15" s="103">
        <v>10.014001429506273</v>
      </c>
      <c r="N15" s="103">
        <v>1189.5980769274179</v>
      </c>
      <c r="O15" s="103">
        <v>47.302490699119438</v>
      </c>
      <c r="P15" s="106">
        <v>1246.9145690560438</v>
      </c>
      <c r="Q15" s="109">
        <v>7.5804409020655793E-3</v>
      </c>
      <c r="R15" s="108">
        <v>11</v>
      </c>
      <c r="U15" s="104" t="s">
        <v>22</v>
      </c>
      <c r="V15" s="103">
        <v>9.8529986096303031</v>
      </c>
      <c r="W15" s="103">
        <v>1170.4719916904007</v>
      </c>
      <c r="X15" s="103">
        <v>46.541972094910435</v>
      </c>
      <c r="Y15" s="106">
        <v>1226.8669623949415</v>
      </c>
      <c r="Z15" s="109">
        <v>7.7526063684730494E-3</v>
      </c>
      <c r="AA15" s="108">
        <v>11</v>
      </c>
    </row>
    <row r="16" spans="2:27" ht="14.4">
      <c r="B16" s="785" t="s">
        <v>23</v>
      </c>
      <c r="C16" s="786">
        <v>120.4283348864117</v>
      </c>
      <c r="D16" s="786">
        <v>11706.375248609544</v>
      </c>
      <c r="E16" s="786">
        <v>8322.0892370980237</v>
      </c>
      <c r="F16" s="787">
        <v>20148.892820593981</v>
      </c>
      <c r="G16" s="788">
        <v>9.5790693013215134E-2</v>
      </c>
      <c r="H16" s="789">
        <v>5</v>
      </c>
      <c r="I16" s="243">
        <f t="shared" si="0"/>
        <v>11826.803583495956</v>
      </c>
      <c r="L16" s="104" t="s">
        <v>23</v>
      </c>
      <c r="M16" s="103">
        <v>92.485780133762987</v>
      </c>
      <c r="N16" s="103">
        <v>8765.7618714649907</v>
      </c>
      <c r="O16" s="103">
        <v>9475.7622327392965</v>
      </c>
      <c r="P16" s="106">
        <v>18334.009884338047</v>
      </c>
      <c r="Q16" s="109">
        <v>0.11145902203334042</v>
      </c>
      <c r="R16" s="108">
        <v>4</v>
      </c>
      <c r="U16" s="104" t="s">
        <v>23</v>
      </c>
      <c r="V16" s="103">
        <v>100.52789434698849</v>
      </c>
      <c r="W16" s="103">
        <v>9527.9899462490393</v>
      </c>
      <c r="X16" s="103">
        <v>9008.8554927079949</v>
      </c>
      <c r="Y16" s="106">
        <v>18637.373333304022</v>
      </c>
      <c r="Z16" s="109">
        <v>0.11777007909099622</v>
      </c>
      <c r="AA16" s="108">
        <v>4</v>
      </c>
    </row>
    <row r="17" spans="2:27" ht="14.4">
      <c r="B17" s="785" t="s">
        <v>24</v>
      </c>
      <c r="C17" s="786">
        <v>0</v>
      </c>
      <c r="D17" s="786">
        <v>0</v>
      </c>
      <c r="E17" s="786">
        <v>19.25479971340782</v>
      </c>
      <c r="F17" s="787">
        <v>19.25479971340782</v>
      </c>
      <c r="G17" s="788">
        <v>9.1540047624493644E-5</v>
      </c>
      <c r="H17" s="789">
        <v>20</v>
      </c>
      <c r="I17" s="243">
        <f t="shared" si="0"/>
        <v>0</v>
      </c>
      <c r="L17" s="104" t="s">
        <v>24</v>
      </c>
      <c r="M17" s="103">
        <v>0</v>
      </c>
      <c r="N17" s="103">
        <v>0</v>
      </c>
      <c r="O17" s="103">
        <v>0</v>
      </c>
      <c r="P17" s="106">
        <v>0</v>
      </c>
      <c r="Q17" s="109">
        <v>0</v>
      </c>
      <c r="R17" s="108">
        <v>20</v>
      </c>
      <c r="U17" s="104" t="s">
        <v>24</v>
      </c>
      <c r="V17" s="103">
        <v>0</v>
      </c>
      <c r="W17" s="103">
        <v>0</v>
      </c>
      <c r="X17" s="103">
        <v>0</v>
      </c>
      <c r="Y17" s="106">
        <v>0</v>
      </c>
      <c r="Z17" s="109">
        <v>0</v>
      </c>
      <c r="AA17" s="108">
        <v>20</v>
      </c>
    </row>
    <row r="18" spans="2:27" ht="14.4">
      <c r="B18" s="785" t="s">
        <v>25</v>
      </c>
      <c r="C18" s="786">
        <v>0</v>
      </c>
      <c r="D18" s="786">
        <v>0</v>
      </c>
      <c r="E18" s="786">
        <v>9051.0379170804299</v>
      </c>
      <c r="F18" s="787">
        <v>9051.0379170804299</v>
      </c>
      <c r="G18" s="788">
        <v>4.3029917439426961E-2</v>
      </c>
      <c r="H18" s="789">
        <v>9</v>
      </c>
      <c r="I18" s="243">
        <f t="shared" si="0"/>
        <v>0</v>
      </c>
      <c r="L18" s="104" t="s">
        <v>25</v>
      </c>
      <c r="M18" s="103">
        <v>0</v>
      </c>
      <c r="N18" s="103">
        <v>0</v>
      </c>
      <c r="O18" s="103">
        <v>6877.6273235558838</v>
      </c>
      <c r="P18" s="106">
        <v>6877.6273235558838</v>
      </c>
      <c r="Q18" s="109">
        <v>4.1811563331171218E-2</v>
      </c>
      <c r="R18" s="108">
        <v>8</v>
      </c>
      <c r="U18" s="104" t="s">
        <v>25</v>
      </c>
      <c r="V18" s="103">
        <v>0</v>
      </c>
      <c r="W18" s="103">
        <v>0</v>
      </c>
      <c r="X18" s="103">
        <v>5723.0899983797208</v>
      </c>
      <c r="Y18" s="106">
        <v>5723.0899983797208</v>
      </c>
      <c r="Z18" s="109">
        <v>3.6164364457391122E-2</v>
      </c>
      <c r="AA18" s="108">
        <v>8</v>
      </c>
    </row>
    <row r="19" spans="2:27" ht="14.4">
      <c r="B19" s="785" t="s">
        <v>26</v>
      </c>
      <c r="C19" s="786">
        <v>0</v>
      </c>
      <c r="D19" s="786">
        <v>0</v>
      </c>
      <c r="E19" s="786">
        <v>1.1572971288483731</v>
      </c>
      <c r="F19" s="787">
        <v>1.1572971288483731</v>
      </c>
      <c r="G19" s="788">
        <v>5.5019546226025199E-6</v>
      </c>
      <c r="H19" s="789">
        <v>22</v>
      </c>
      <c r="I19" s="243">
        <f t="shared" si="0"/>
        <v>0</v>
      </c>
      <c r="L19" s="104" t="s">
        <v>26</v>
      </c>
      <c r="M19" s="103">
        <v>0</v>
      </c>
      <c r="N19" s="103">
        <v>0</v>
      </c>
      <c r="O19" s="103">
        <v>0.26956914462851622</v>
      </c>
      <c r="P19" s="106">
        <v>0.26956914462851622</v>
      </c>
      <c r="Q19" s="109">
        <v>1.6388075178428612E-6</v>
      </c>
      <c r="R19" s="108">
        <v>19</v>
      </c>
      <c r="U19" s="104" t="s">
        <v>26</v>
      </c>
      <c r="V19" s="103">
        <v>0</v>
      </c>
      <c r="W19" s="103">
        <v>0</v>
      </c>
      <c r="X19" s="103">
        <v>0.29355418472518369</v>
      </c>
      <c r="Y19" s="106">
        <v>0.29355418472518369</v>
      </c>
      <c r="Z19" s="109">
        <v>1.8549770364260289E-6</v>
      </c>
      <c r="AA19" s="108">
        <v>19</v>
      </c>
    </row>
    <row r="20" spans="2:27" ht="14.4">
      <c r="B20" s="785" t="s">
        <v>27</v>
      </c>
      <c r="C20" s="786">
        <v>114.88992341363583</v>
      </c>
      <c r="D20" s="786">
        <v>14759.246646675687</v>
      </c>
      <c r="E20" s="786">
        <v>1865.0762815396101</v>
      </c>
      <c r="F20" s="787">
        <v>16739.21285162893</v>
      </c>
      <c r="G20" s="788">
        <v>7.9580591044405735E-2</v>
      </c>
      <c r="H20" s="789">
        <v>6</v>
      </c>
      <c r="I20" s="243">
        <f t="shared" si="0"/>
        <v>14874.136570089322</v>
      </c>
      <c r="L20" s="104" t="s">
        <v>27</v>
      </c>
      <c r="M20" s="103">
        <v>54.437093085079674</v>
      </c>
      <c r="N20" s="103">
        <v>6428.8804793696218</v>
      </c>
      <c r="O20" s="103">
        <v>1275.541348957433</v>
      </c>
      <c r="P20" s="106">
        <v>7758.8589214121348</v>
      </c>
      <c r="Q20" s="109">
        <v>4.716888629006423E-2</v>
      </c>
      <c r="R20" s="108">
        <v>7</v>
      </c>
      <c r="U20" s="104" t="s">
        <v>27</v>
      </c>
      <c r="V20" s="103">
        <v>59.184738461648188</v>
      </c>
      <c r="W20" s="103">
        <v>6989.5651698009779</v>
      </c>
      <c r="X20" s="103">
        <v>1697.7899969929758</v>
      </c>
      <c r="Y20" s="106">
        <v>8746.5399052556022</v>
      </c>
      <c r="Z20" s="109">
        <v>5.5269628288971702E-2</v>
      </c>
      <c r="AA20" s="108">
        <v>7</v>
      </c>
    </row>
    <row r="21" spans="2:27" ht="14.4">
      <c r="B21" s="785" t="s">
        <v>28</v>
      </c>
      <c r="C21" s="786">
        <v>0</v>
      </c>
      <c r="D21" s="786">
        <v>0</v>
      </c>
      <c r="E21" s="786">
        <v>113.50336887697377</v>
      </c>
      <c r="F21" s="787">
        <v>113.50336887697377</v>
      </c>
      <c r="G21" s="788">
        <v>5.3961110721414778E-4</v>
      </c>
      <c r="H21" s="789">
        <v>16</v>
      </c>
      <c r="I21" s="243">
        <f t="shared" si="0"/>
        <v>0</v>
      </c>
      <c r="L21" s="104" t="s">
        <v>28</v>
      </c>
      <c r="M21" s="103">
        <v>0</v>
      </c>
      <c r="N21" s="103">
        <v>0</v>
      </c>
      <c r="O21" s="103">
        <v>46.263674560505251</v>
      </c>
      <c r="P21" s="106">
        <v>46.263674560505251</v>
      </c>
      <c r="Q21" s="109">
        <v>2.8125347126531353E-4</v>
      </c>
      <c r="R21" s="108">
        <v>15</v>
      </c>
      <c r="U21" s="104" t="s">
        <v>28</v>
      </c>
      <c r="V21" s="103">
        <v>0</v>
      </c>
      <c r="W21" s="103">
        <v>0</v>
      </c>
      <c r="X21" s="103">
        <v>50.380006534930743</v>
      </c>
      <c r="Y21" s="106">
        <v>50.380006534930743</v>
      </c>
      <c r="Z21" s="109">
        <v>3.1835265882780144E-4</v>
      </c>
      <c r="AA21" s="108">
        <v>15</v>
      </c>
    </row>
    <row r="22" spans="2:27" ht="14.4">
      <c r="B22" s="785" t="s">
        <v>29</v>
      </c>
      <c r="C22" s="786">
        <v>0</v>
      </c>
      <c r="D22" s="786">
        <v>0</v>
      </c>
      <c r="E22" s="786">
        <v>409.5929473515165</v>
      </c>
      <c r="F22" s="787">
        <v>409.5929473515165</v>
      </c>
      <c r="G22" s="788">
        <v>1.947262940424459E-3</v>
      </c>
      <c r="H22" s="789">
        <v>13</v>
      </c>
      <c r="I22" s="243">
        <f t="shared" si="0"/>
        <v>0</v>
      </c>
      <c r="L22" s="104" t="s">
        <v>29</v>
      </c>
      <c r="M22" s="103">
        <v>0</v>
      </c>
      <c r="N22" s="103">
        <v>0</v>
      </c>
      <c r="O22" s="103">
        <v>350.31341310587754</v>
      </c>
      <c r="P22" s="106">
        <v>350.31341310587754</v>
      </c>
      <c r="Q22" s="109">
        <v>2.1296808868472169E-3</v>
      </c>
      <c r="R22" s="108">
        <v>12</v>
      </c>
      <c r="U22" s="104" t="s">
        <v>29</v>
      </c>
      <c r="V22" s="103">
        <v>0</v>
      </c>
      <c r="W22" s="103">
        <v>0</v>
      </c>
      <c r="X22" s="103">
        <v>381.48271206746233</v>
      </c>
      <c r="Y22" s="106">
        <v>381.48271206746233</v>
      </c>
      <c r="Z22" s="109">
        <v>2.4105998398256103E-3</v>
      </c>
      <c r="AA22" s="108">
        <v>12</v>
      </c>
    </row>
    <row r="23" spans="2:27" ht="14.4">
      <c r="B23" s="785" t="s">
        <v>30</v>
      </c>
      <c r="C23" s="786">
        <v>145.17249556160624</v>
      </c>
      <c r="D23" s="786">
        <v>13148.829434508698</v>
      </c>
      <c r="E23" s="786">
        <v>1913.405117124466</v>
      </c>
      <c r="F23" s="787">
        <v>15207.407047194771</v>
      </c>
      <c r="G23" s="788">
        <v>7.2298169083312186E-2</v>
      </c>
      <c r="H23" s="789">
        <v>7</v>
      </c>
      <c r="I23" s="243">
        <f t="shared" si="0"/>
        <v>13294.001930070304</v>
      </c>
      <c r="L23" s="104" t="s">
        <v>30</v>
      </c>
      <c r="M23" s="103">
        <v>194.6420390260474</v>
      </c>
      <c r="N23" s="103">
        <v>10528.732238458901</v>
      </c>
      <c r="O23" s="103">
        <v>1460.467290047769</v>
      </c>
      <c r="P23" s="106">
        <v>12183.841567532718</v>
      </c>
      <c r="Q23" s="109">
        <v>7.4069942925384699E-2</v>
      </c>
      <c r="R23" s="108">
        <v>6</v>
      </c>
      <c r="U23" s="104" t="s">
        <v>30</v>
      </c>
      <c r="V23" s="103">
        <v>118.96397526646624</v>
      </c>
      <c r="W23" s="103">
        <v>10838.2041797945</v>
      </c>
      <c r="X23" s="103">
        <v>1548.5478494444069</v>
      </c>
      <c r="Y23" s="106">
        <v>12505.716004505373</v>
      </c>
      <c r="Z23" s="109">
        <v>7.9023966339093463E-2</v>
      </c>
      <c r="AA23" s="108">
        <v>5</v>
      </c>
    </row>
    <row r="24" spans="2:27" ht="14.4">
      <c r="B24" s="785" t="s">
        <v>31</v>
      </c>
      <c r="C24" s="786">
        <v>0</v>
      </c>
      <c r="D24" s="786">
        <v>0</v>
      </c>
      <c r="E24" s="786">
        <v>30199.565893089952</v>
      </c>
      <c r="F24" s="787">
        <v>30199.565893089952</v>
      </c>
      <c r="G24" s="788">
        <v>0.14357301770152858</v>
      </c>
      <c r="H24" s="789">
        <v>3</v>
      </c>
      <c r="I24" s="243">
        <f t="shared" si="0"/>
        <v>0</v>
      </c>
      <c r="L24" s="104" t="s">
        <v>31</v>
      </c>
      <c r="M24" s="103">
        <v>0</v>
      </c>
      <c r="N24" s="103">
        <v>0</v>
      </c>
      <c r="O24" s="103">
        <v>27590.767111869402</v>
      </c>
      <c r="P24" s="106">
        <v>27590.767111869402</v>
      </c>
      <c r="Q24" s="109">
        <v>0.16773416938460695</v>
      </c>
      <c r="R24" s="108">
        <v>3</v>
      </c>
      <c r="U24" s="104" t="s">
        <v>31</v>
      </c>
      <c r="V24" s="103">
        <v>0</v>
      </c>
      <c r="W24" s="103">
        <v>0</v>
      </c>
      <c r="X24" s="103">
        <v>27673.081680571529</v>
      </c>
      <c r="Y24" s="106">
        <v>27673.081680571529</v>
      </c>
      <c r="Z24" s="109">
        <v>0.17486697078652894</v>
      </c>
      <c r="AA24" s="108">
        <v>3</v>
      </c>
    </row>
    <row r="25" spans="2:27" ht="14.4">
      <c r="B25" s="785" t="s">
        <v>32</v>
      </c>
      <c r="C25" s="786">
        <v>0</v>
      </c>
      <c r="D25" s="786">
        <v>0</v>
      </c>
      <c r="E25" s="786">
        <v>71.342377602713483</v>
      </c>
      <c r="F25" s="787">
        <v>71.342377602713483</v>
      </c>
      <c r="G25" s="788">
        <v>3.391717774581393E-4</v>
      </c>
      <c r="H25" s="789">
        <v>18</v>
      </c>
      <c r="I25" s="243">
        <f t="shared" si="0"/>
        <v>0</v>
      </c>
      <c r="L25" s="104" t="s">
        <v>32</v>
      </c>
      <c r="M25" s="103">
        <v>0</v>
      </c>
      <c r="N25" s="103">
        <v>0</v>
      </c>
      <c r="O25" s="103">
        <v>0</v>
      </c>
      <c r="P25" s="106">
        <v>0</v>
      </c>
      <c r="Q25" s="109">
        <v>0</v>
      </c>
      <c r="R25" s="108">
        <v>20</v>
      </c>
      <c r="U25" s="104" t="s">
        <v>32</v>
      </c>
      <c r="V25" s="103">
        <v>0</v>
      </c>
      <c r="W25" s="103">
        <v>0</v>
      </c>
      <c r="X25" s="103">
        <v>0</v>
      </c>
      <c r="Y25" s="106">
        <v>0</v>
      </c>
      <c r="Z25" s="109">
        <v>0</v>
      </c>
      <c r="AA25" s="108">
        <v>20</v>
      </c>
    </row>
    <row r="26" spans="2:27" ht="14.4">
      <c r="B26" s="783" t="s">
        <v>33</v>
      </c>
      <c r="C26" s="790">
        <v>538.40831082134957</v>
      </c>
      <c r="D26" s="790">
        <v>68505.103492266964</v>
      </c>
      <c r="E26" s="790">
        <v>141299.39507842134</v>
      </c>
      <c r="F26" s="791">
        <v>210342.90688150958</v>
      </c>
      <c r="G26" s="783"/>
      <c r="H26" s="783"/>
      <c r="I26" s="243">
        <f>SUM(I4:I25)</f>
        <v>69043.511803088302</v>
      </c>
      <c r="L26" s="102" t="s">
        <v>33</v>
      </c>
      <c r="M26" s="105">
        <v>498.23372500256073</v>
      </c>
      <c r="N26" s="105">
        <v>50731.614777550312</v>
      </c>
      <c r="O26" s="105">
        <v>113261.18640760312</v>
      </c>
      <c r="P26" s="107">
        <v>164491.03491015601</v>
      </c>
      <c r="Q26" s="102"/>
      <c r="R26" s="102"/>
      <c r="U26" s="102" t="s">
        <v>33</v>
      </c>
      <c r="V26" s="105">
        <v>432.7229884957078</v>
      </c>
      <c r="W26" s="105">
        <v>51945.105343379117</v>
      </c>
      <c r="X26" s="105">
        <v>105874.36507035317</v>
      </c>
      <c r="Y26" s="107">
        <v>158252.193402228</v>
      </c>
      <c r="Z26" s="102"/>
      <c r="AA26" s="102"/>
    </row>
    <row r="27" spans="2:27" ht="14.4">
      <c r="B27" s="738"/>
      <c r="C27" s="738"/>
      <c r="D27" s="738"/>
      <c r="E27" s="738"/>
      <c r="F27" s="738"/>
      <c r="G27" s="738"/>
      <c r="H27" s="738"/>
    </row>
    <row r="28" spans="2:27" ht="14.4" thickBot="1"/>
    <row r="29" spans="2:27" ht="15" thickBot="1">
      <c r="B29" s="737" t="s">
        <v>92</v>
      </c>
      <c r="C29" s="738"/>
      <c r="D29" s="738"/>
      <c r="E29" s="738"/>
      <c r="F29" s="738"/>
      <c r="G29" s="738"/>
      <c r="H29" s="738"/>
    </row>
    <row r="30" spans="2:27" ht="14.4" thickBot="1">
      <c r="B30" s="739" t="s">
        <v>1126</v>
      </c>
      <c r="C30" s="740" t="s">
        <v>113</v>
      </c>
      <c r="D30" s="740" t="s">
        <v>124</v>
      </c>
      <c r="E30" s="740" t="s">
        <v>1086</v>
      </c>
      <c r="F30" s="741" t="s">
        <v>33</v>
      </c>
      <c r="G30" s="741" t="s">
        <v>1127</v>
      </c>
      <c r="H30" s="742" t="s">
        <v>1128</v>
      </c>
    </row>
    <row r="31" spans="2:27" ht="14.4" thickBot="1">
      <c r="B31" s="743" t="s">
        <v>1138</v>
      </c>
      <c r="C31" s="744">
        <v>117.44397459074025</v>
      </c>
      <c r="D31" s="744" t="s">
        <v>404</v>
      </c>
      <c r="E31" s="744">
        <v>280.39153351348733</v>
      </c>
      <c r="F31" s="745">
        <v>397.83550810422759</v>
      </c>
      <c r="G31" s="746">
        <v>1.891366407369926E-3</v>
      </c>
      <c r="H31" s="779">
        <v>3</v>
      </c>
    </row>
    <row r="32" spans="2:27" ht="14.4" thickBot="1">
      <c r="B32" s="748" t="s">
        <v>35</v>
      </c>
      <c r="C32" s="749">
        <v>420.96433623060932</v>
      </c>
      <c r="D32" s="749" t="s">
        <v>404</v>
      </c>
      <c r="E32" s="749">
        <v>1033.4287313655152</v>
      </c>
      <c r="F32" s="745">
        <v>1454.3930675961246</v>
      </c>
      <c r="G32" s="746">
        <v>6.9143908352251402E-3</v>
      </c>
      <c r="H32" s="780">
        <v>2</v>
      </c>
    </row>
    <row r="33" spans="2:11" ht="14.4" thickBot="1">
      <c r="B33" s="743" t="s">
        <v>155</v>
      </c>
      <c r="C33" s="744" t="s">
        <v>404</v>
      </c>
      <c r="D33" s="744">
        <v>68505.10349226695</v>
      </c>
      <c r="E33" s="744">
        <v>139985.57481354228</v>
      </c>
      <c r="F33" s="745">
        <v>208490.67830580921</v>
      </c>
      <c r="G33" s="746">
        <v>0.99119424275740498</v>
      </c>
      <c r="H33" s="779">
        <v>1</v>
      </c>
    </row>
    <row r="34" spans="2:11" ht="14.4" thickBot="1">
      <c r="B34" s="751" t="s">
        <v>1157</v>
      </c>
      <c r="C34" s="752">
        <v>538.40831082134957</v>
      </c>
      <c r="D34" s="752">
        <v>68505.10349226695</v>
      </c>
      <c r="E34" s="752">
        <v>141299.39507842128</v>
      </c>
      <c r="F34" s="745">
        <v>210342.90688150955</v>
      </c>
      <c r="G34" s="745">
        <v>1</v>
      </c>
      <c r="H34" s="753"/>
    </row>
    <row r="35" spans="2:11" ht="14.4" thickBot="1"/>
    <row r="36" spans="2:11" ht="15" thickBot="1">
      <c r="B36" s="737" t="s">
        <v>1163</v>
      </c>
      <c r="C36" s="738"/>
      <c r="D36" s="738"/>
      <c r="E36" s="738"/>
      <c r="F36" s="738"/>
    </row>
    <row r="37" spans="2:11" ht="14.4" thickBot="1">
      <c r="B37" s="739" t="s">
        <v>1126</v>
      </c>
      <c r="C37" s="740" t="s">
        <v>1133</v>
      </c>
      <c r="D37" s="740" t="s">
        <v>649</v>
      </c>
      <c r="E37" s="740" t="s">
        <v>1134</v>
      </c>
      <c r="F37" s="742" t="s">
        <v>49</v>
      </c>
      <c r="H37" s="58" t="s">
        <v>1135</v>
      </c>
      <c r="I37" s="58" t="s">
        <v>1136</v>
      </c>
    </row>
    <row r="38" spans="2:11" ht="14.4" thickBot="1">
      <c r="B38" s="743" t="s">
        <v>155</v>
      </c>
      <c r="C38" s="744" t="s">
        <v>686</v>
      </c>
      <c r="D38" s="744" t="s">
        <v>663</v>
      </c>
      <c r="E38" s="744">
        <v>435038169.48399508</v>
      </c>
      <c r="F38" s="747">
        <v>1566137.4101423821</v>
      </c>
      <c r="H38" s="125">
        <v>3.5999999999999999E-3</v>
      </c>
      <c r="I38" s="125" t="s">
        <v>1137</v>
      </c>
    </row>
    <row r="39" spans="2:11" ht="14.4" thickBot="1">
      <c r="B39" s="748" t="s">
        <v>1138</v>
      </c>
      <c r="C39" s="749" t="s">
        <v>686</v>
      </c>
      <c r="D39" s="749" t="s">
        <v>670</v>
      </c>
      <c r="E39" s="749">
        <v>6951712.626762419</v>
      </c>
      <c r="F39" s="750">
        <v>6951.7126267624189</v>
      </c>
    </row>
    <row r="40" spans="2:11" ht="14.4" thickBot="1">
      <c r="B40" s="743" t="s">
        <v>35</v>
      </c>
      <c r="C40" s="744" t="s">
        <v>686</v>
      </c>
      <c r="D40" s="744" t="s">
        <v>673</v>
      </c>
      <c r="E40" s="744">
        <v>531484.10164773755</v>
      </c>
      <c r="F40" s="747">
        <v>20515.286323602671</v>
      </c>
      <c r="H40" s="58" t="s">
        <v>1139</v>
      </c>
      <c r="I40" s="58" t="s">
        <v>1136</v>
      </c>
    </row>
    <row r="41" spans="2:11" ht="14.4" thickBot="1">
      <c r="B41" s="751" t="s">
        <v>234</v>
      </c>
      <c r="C41" s="752"/>
      <c r="D41" s="752"/>
      <c r="E41" s="752">
        <v>442521366.2124052</v>
      </c>
      <c r="F41" s="753">
        <v>1593604.4090927474</v>
      </c>
      <c r="H41" s="125">
        <v>38.6</v>
      </c>
      <c r="I41" s="125" t="s">
        <v>1140</v>
      </c>
    </row>
    <row r="43" spans="2:11" ht="14.4" thickBot="1"/>
    <row r="44" spans="2:11" ht="14.4" thickBot="1">
      <c r="B44" s="737" t="s">
        <v>1164</v>
      </c>
    </row>
    <row r="45" spans="2:11">
      <c r="B45" s="764" t="s">
        <v>42</v>
      </c>
      <c r="C45" s="755" t="s">
        <v>1165</v>
      </c>
      <c r="D45" s="756" t="s">
        <v>1166</v>
      </c>
      <c r="E45" s="756" t="s">
        <v>1167</v>
      </c>
      <c r="F45" s="756" t="s">
        <v>1168</v>
      </c>
      <c r="G45" s="756" t="s">
        <v>1169</v>
      </c>
      <c r="H45" s="757" t="s">
        <v>1170</v>
      </c>
      <c r="I45" s="755" t="s">
        <v>1147</v>
      </c>
      <c r="J45" s="756" t="s">
        <v>1148</v>
      </c>
      <c r="K45" s="757" t="s">
        <v>1149</v>
      </c>
    </row>
    <row r="46" spans="2:11">
      <c r="B46" s="765" t="s">
        <v>38</v>
      </c>
      <c r="C46" s="792">
        <v>0</v>
      </c>
      <c r="D46" s="793">
        <v>2114919.9364074753</v>
      </c>
      <c r="E46" s="793">
        <v>0</v>
      </c>
      <c r="F46" s="793">
        <v>3926.6481406997364</v>
      </c>
      <c r="G46" s="793">
        <v>0</v>
      </c>
      <c r="H46" s="794">
        <v>15150.464498878151</v>
      </c>
      <c r="I46" s="792">
        <f>SUM(E46+G46)</f>
        <v>0</v>
      </c>
      <c r="J46" s="793">
        <f>C46</f>
        <v>0</v>
      </c>
      <c r="K46" s="794">
        <f>SUM(D46+F46+H46)</f>
        <v>2133997.0490470529</v>
      </c>
    </row>
    <row r="47" spans="2:11">
      <c r="B47" s="765" t="s">
        <v>39</v>
      </c>
      <c r="C47" s="792">
        <v>29760380.31368839</v>
      </c>
      <c r="D47" s="793">
        <v>46600400.412008502</v>
      </c>
      <c r="E47" s="793">
        <v>58560.8116560782</v>
      </c>
      <c r="F47" s="793">
        <v>120522.25959593954</v>
      </c>
      <c r="G47" s="793">
        <v>248136.52973846818</v>
      </c>
      <c r="H47" s="794">
        <v>442832.36182874627</v>
      </c>
      <c r="I47" s="792">
        <f t="shared" ref="I47:I50" si="1">SUM(E47+G47)</f>
        <v>306697.34139454638</v>
      </c>
      <c r="J47" s="793">
        <f t="shared" ref="J47:J50" si="2">C47</f>
        <v>29760380.31368839</v>
      </c>
      <c r="K47" s="794">
        <f t="shared" ref="K47:K50" si="3">SUM(D47+F47+H47)</f>
        <v>47163755.033433184</v>
      </c>
    </row>
    <row r="48" spans="2:11">
      <c r="B48" s="765" t="s">
        <v>40</v>
      </c>
      <c r="C48" s="792">
        <v>38625199.855065361</v>
      </c>
      <c r="D48" s="793">
        <v>57593742.74880971</v>
      </c>
      <c r="E48" s="793">
        <v>58689.425502654602</v>
      </c>
      <c r="F48" s="793">
        <v>104104.29505724976</v>
      </c>
      <c r="G48" s="793">
        <v>172006.89344979639</v>
      </c>
      <c r="H48" s="794">
        <v>375507.80604570376</v>
      </c>
      <c r="I48" s="792">
        <f t="shared" si="1"/>
        <v>230696.31895245099</v>
      </c>
      <c r="J48" s="793">
        <f t="shared" si="2"/>
        <v>38625199.855065361</v>
      </c>
      <c r="K48" s="794">
        <f t="shared" si="3"/>
        <v>58073354.849912666</v>
      </c>
    </row>
    <row r="49" spans="2:12">
      <c r="B49" s="765" t="s">
        <v>41</v>
      </c>
      <c r="C49" s="792">
        <v>119523.3235132</v>
      </c>
      <c r="D49" s="793">
        <v>33676511.71631667</v>
      </c>
      <c r="E49" s="793">
        <v>193.73743200744531</v>
      </c>
      <c r="F49" s="793">
        <v>51838.330719598271</v>
      </c>
      <c r="G49" s="793">
        <v>820.91304234476468</v>
      </c>
      <c r="H49" s="794">
        <v>199938.09899218727</v>
      </c>
      <c r="I49" s="792">
        <f t="shared" si="1"/>
        <v>1014.65047435221</v>
      </c>
      <c r="J49" s="793">
        <f t="shared" si="2"/>
        <v>119523.3235132</v>
      </c>
      <c r="K49" s="794">
        <f t="shared" si="3"/>
        <v>33928288.146028452</v>
      </c>
    </row>
    <row r="50" spans="2:12" ht="14.4" thickBot="1">
      <c r="B50" s="766" t="s">
        <v>53</v>
      </c>
      <c r="C50" s="795">
        <v>68505103.492266938</v>
      </c>
      <c r="D50" s="796">
        <v>139985574.81354237</v>
      </c>
      <c r="E50" s="796">
        <v>117443.97459074025</v>
      </c>
      <c r="F50" s="796">
        <v>280391.53351348732</v>
      </c>
      <c r="G50" s="796">
        <v>420964.33623060939</v>
      </c>
      <c r="H50" s="797">
        <v>1033428.7313655155</v>
      </c>
      <c r="I50" s="795">
        <f t="shared" si="1"/>
        <v>538408.31082134962</v>
      </c>
      <c r="J50" s="796">
        <f t="shared" si="2"/>
        <v>68505103.492266938</v>
      </c>
      <c r="K50" s="797">
        <f t="shared" si="3"/>
        <v>141299395.07842135</v>
      </c>
    </row>
    <row r="51" spans="2:12">
      <c r="H51" s="241">
        <f>SUM(C50:H50)</f>
        <v>210342906.88150966</v>
      </c>
      <c r="K51" s="241">
        <f>SUM(I50:K50)</f>
        <v>210342906.88150966</v>
      </c>
      <c r="L51" t="b">
        <f>K51=H51</f>
        <v>1</v>
      </c>
    </row>
    <row r="52" spans="2:12">
      <c r="L52" t="b">
        <f>K51/1000=F34</f>
        <v>1</v>
      </c>
    </row>
    <row r="53" spans="2:12" ht="14.4" thickBot="1">
      <c r="B53" t="s">
        <v>1163</v>
      </c>
    </row>
    <row r="54" spans="2:12">
      <c r="B54" s="755" t="s">
        <v>42</v>
      </c>
      <c r="C54" s="757" t="s">
        <v>1133</v>
      </c>
      <c r="D54" s="755" t="s">
        <v>1150</v>
      </c>
      <c r="E54" s="756" t="s">
        <v>1151</v>
      </c>
      <c r="F54" s="757" t="s">
        <v>1152</v>
      </c>
      <c r="G54" s="755" t="s">
        <v>1153</v>
      </c>
      <c r="H54" s="756" t="s">
        <v>1154</v>
      </c>
      <c r="I54" s="757" t="s">
        <v>1155</v>
      </c>
    </row>
    <row r="55" spans="2:12">
      <c r="B55" s="767" t="s">
        <v>38</v>
      </c>
      <c r="C55" s="768" t="s">
        <v>686</v>
      </c>
      <c r="D55" s="758">
        <v>4130604.0823869496</v>
      </c>
      <c r="E55" s="759">
        <v>66005.179705828486</v>
      </c>
      <c r="F55" s="760">
        <v>5314.8148988736275</v>
      </c>
      <c r="G55" s="758">
        <v>14870.174696593018</v>
      </c>
      <c r="H55" s="759">
        <v>66.005179705828482</v>
      </c>
      <c r="I55" s="760">
        <v>205.15185509652201</v>
      </c>
    </row>
    <row r="56" spans="2:12">
      <c r="B56" s="767" t="s">
        <v>39</v>
      </c>
      <c r="C56" s="768" t="s">
        <v>686</v>
      </c>
      <c r="D56" s="758">
        <v>190105968.65139553</v>
      </c>
      <c r="E56" s="759">
        <v>3037807.152104219</v>
      </c>
      <c r="F56" s="760">
        <v>244607.81386953304</v>
      </c>
      <c r="G56" s="758">
        <v>684381.48714502389</v>
      </c>
      <c r="H56" s="759">
        <v>3037.8071521042189</v>
      </c>
      <c r="I56" s="760">
        <v>9441.8616153639759</v>
      </c>
    </row>
    <row r="57" spans="2:12">
      <c r="B57" s="767" t="s">
        <v>40</v>
      </c>
      <c r="C57" s="768" t="s">
        <v>686</v>
      </c>
      <c r="D57" s="758">
        <v>185494231.02054656</v>
      </c>
      <c r="E57" s="759">
        <v>2964113.6765231793</v>
      </c>
      <c r="F57" s="760">
        <v>210397.93226044474</v>
      </c>
      <c r="G57" s="758">
        <v>667779.23167396756</v>
      </c>
      <c r="H57" s="759">
        <v>2964.1136765231795</v>
      </c>
      <c r="I57" s="760">
        <v>8121.3601852531674</v>
      </c>
    </row>
    <row r="58" spans="2:12">
      <c r="B58" s="767" t="s">
        <v>41</v>
      </c>
      <c r="C58" s="768" t="s">
        <v>686</v>
      </c>
      <c r="D58" s="758">
        <v>55307365.729665995</v>
      </c>
      <c r="E58" s="759">
        <v>883786.61842919304</v>
      </c>
      <c r="F58" s="760">
        <v>71163.540618886356</v>
      </c>
      <c r="G58" s="758">
        <v>199106.51662679759</v>
      </c>
      <c r="H58" s="759">
        <v>883.78661842919303</v>
      </c>
      <c r="I58" s="760">
        <v>2746.9126678890134</v>
      </c>
    </row>
    <row r="59" spans="2:12" ht="14.4" thickBot="1">
      <c r="B59" s="769" t="s">
        <v>53</v>
      </c>
      <c r="C59" s="770"/>
      <c r="D59" s="761">
        <v>435038169.48399502</v>
      </c>
      <c r="E59" s="762">
        <v>6951712.6267624199</v>
      </c>
      <c r="F59" s="763">
        <v>531484.10164773779</v>
      </c>
      <c r="G59" s="761">
        <v>1566137.4101423821</v>
      </c>
      <c r="H59" s="762">
        <v>6951.7126267624199</v>
      </c>
      <c r="I59" s="763">
        <v>20515.286323602679</v>
      </c>
    </row>
    <row r="60" spans="2:12">
      <c r="I60" s="241">
        <f>SUM(G59:I59)</f>
        <v>1593604.4090927474</v>
      </c>
      <c r="J60" t="b">
        <f>I60=F41</f>
        <v>1</v>
      </c>
    </row>
  </sheetData>
  <conditionalFormatting sqref="M4:P25">
    <cfRule type="dataBar" priority="3">
      <dataBar>
        <cfvo type="min"/>
        <cfvo type="max"/>
        <color rgb="FF9ECEEC"/>
      </dataBar>
      <extLst>
        <ext xmlns:x14="http://schemas.microsoft.com/office/spreadsheetml/2009/9/main" uri="{B025F937-C7B1-47D3-B67F-A62EFF666E3E}">
          <x14:id>{A3C8267B-2275-418E-B4A5-13FE5921E910}</x14:id>
        </ext>
      </extLst>
    </cfRule>
  </conditionalFormatting>
  <conditionalFormatting sqref="V4:Y25">
    <cfRule type="dataBar" priority="2">
      <dataBar>
        <cfvo type="min"/>
        <cfvo type="max"/>
        <color rgb="FF9ECEEC"/>
      </dataBar>
      <extLst>
        <ext xmlns:x14="http://schemas.microsoft.com/office/spreadsheetml/2009/9/main" uri="{B025F937-C7B1-47D3-B67F-A62EFF666E3E}">
          <x14:id>{68656C0F-40D7-4B30-934C-00880CBE0BAE}</x14:id>
        </ext>
      </extLst>
    </cfRule>
  </conditionalFormatting>
  <conditionalFormatting sqref="C4:F25">
    <cfRule type="dataBar" priority="1">
      <dataBar>
        <cfvo type="min"/>
        <cfvo type="max"/>
        <color rgb="FF9ECEEC"/>
      </dataBar>
      <extLst>
        <ext xmlns:x14="http://schemas.microsoft.com/office/spreadsheetml/2009/9/main" uri="{B025F937-C7B1-47D3-B67F-A62EFF666E3E}">
          <x14:id>{A65DFDAC-356E-4568-8B83-FDEBDFB2C93D}</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A3C8267B-2275-418E-B4A5-13FE5921E910}">
            <x14:dataBar minLength="0" maxLength="100" gradient="0">
              <x14:cfvo type="autoMin"/>
              <x14:cfvo type="autoMax"/>
              <x14:negativeFillColor rgb="FFFF0000"/>
              <x14:axisColor rgb="FF000000"/>
            </x14:dataBar>
          </x14:cfRule>
          <xm:sqref>M4:P25</xm:sqref>
        </x14:conditionalFormatting>
        <x14:conditionalFormatting xmlns:xm="http://schemas.microsoft.com/office/excel/2006/main">
          <x14:cfRule type="dataBar" id="{68656C0F-40D7-4B30-934C-00880CBE0BAE}">
            <x14:dataBar minLength="0" maxLength="100" gradient="0">
              <x14:cfvo type="autoMin"/>
              <x14:cfvo type="autoMax"/>
              <x14:negativeFillColor rgb="FFFF0000"/>
              <x14:axisColor rgb="FF000000"/>
            </x14:dataBar>
          </x14:cfRule>
          <xm:sqref>V4:Y25</xm:sqref>
        </x14:conditionalFormatting>
        <x14:conditionalFormatting xmlns:xm="http://schemas.microsoft.com/office/excel/2006/main">
          <x14:cfRule type="dataBar" id="{A65DFDAC-356E-4568-8B83-FDEBDFB2C93D}">
            <x14:dataBar minLength="0" maxLength="100" gradient="0">
              <x14:cfvo type="autoMin"/>
              <x14:cfvo type="autoMax"/>
              <x14:negativeFillColor rgb="FFFF0000"/>
              <x14:axisColor rgb="FF000000"/>
            </x14:dataBar>
          </x14:cfRule>
          <xm:sqref>C4:F25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00B050"/>
  </sheetPr>
  <dimension ref="A1:K47"/>
  <sheetViews>
    <sheetView topLeftCell="D1" zoomScale="70" zoomScaleNormal="70" workbookViewId="0">
      <selection activeCell="F33" sqref="F33"/>
    </sheetView>
  </sheetViews>
  <sheetFormatPr defaultColWidth="8.8984375" defaultRowHeight="13.8"/>
  <cols>
    <col min="1" max="1" width="18.59765625" bestFit="1" customWidth="1"/>
    <col min="2" max="2" width="22.59765625" bestFit="1" customWidth="1"/>
    <col min="3" max="3" width="23.59765625" customWidth="1"/>
    <col min="5" max="5" width="29.59765625" style="5" bestFit="1" customWidth="1"/>
    <col min="6" max="6" width="17.09765625" style="5" bestFit="1" customWidth="1"/>
    <col min="7" max="9" width="25.59765625" bestFit="1" customWidth="1"/>
    <col min="10" max="10" width="23.59765625" bestFit="1" customWidth="1"/>
    <col min="13" max="13" width="11.8984375" customWidth="1"/>
    <col min="15" max="15" width="12.3984375" customWidth="1"/>
    <col min="16" max="16" width="11.59765625" bestFit="1" customWidth="1"/>
  </cols>
  <sheetData>
    <row r="1" spans="1:11">
      <c r="A1" s="813" t="s">
        <v>91</v>
      </c>
      <c r="B1" s="813" t="s">
        <v>1171</v>
      </c>
    </row>
    <row r="2" spans="1:11">
      <c r="A2" t="s">
        <v>750</v>
      </c>
      <c r="B2" s="1" t="s">
        <v>781</v>
      </c>
      <c r="C2" s="6" t="s">
        <v>649</v>
      </c>
      <c r="D2" s="6" t="s">
        <v>684</v>
      </c>
      <c r="E2" s="6" t="s">
        <v>650</v>
      </c>
      <c r="F2" s="6" t="s">
        <v>651</v>
      </c>
      <c r="G2" s="6" t="s">
        <v>652</v>
      </c>
      <c r="H2" s="6" t="s">
        <v>653</v>
      </c>
      <c r="I2" s="6" t="s">
        <v>654</v>
      </c>
      <c r="J2" s="6" t="s">
        <v>751</v>
      </c>
    </row>
    <row r="3" spans="1:11">
      <c r="A3" t="s">
        <v>804</v>
      </c>
      <c r="B3" s="22">
        <v>-1160245.3832</v>
      </c>
      <c r="C3" s="68" t="s">
        <v>663</v>
      </c>
      <c r="D3" s="68" t="s">
        <v>104</v>
      </c>
      <c r="E3" s="68">
        <v>-1160245.3832</v>
      </c>
      <c r="F3" s="68">
        <f>VLOOKUP(A3,'GHG Factors FY21'!A:L,8,FALSE)*B3</f>
        <v>-4176.8833795199998</v>
      </c>
      <c r="G3" s="68">
        <f>VLOOKUP(A3,'GHG Factors FY21'!A:L,10,FALSE)*E3</f>
        <v>0</v>
      </c>
      <c r="H3" s="68">
        <f>VLOOKUP(A3,'GHG Factors FY21'!A:L,11,FALSE)*E3</f>
        <v>-939798.76039200008</v>
      </c>
      <c r="I3" s="68">
        <f>VLOOKUP(A3,'GHG Factors FY21'!A:L,12,FALSE)*E3</f>
        <v>-104422.08448799999</v>
      </c>
      <c r="J3" s="70">
        <f>SUM(G3,H3,I3)</f>
        <v>-1044220.8448800001</v>
      </c>
      <c r="K3" s="887">
        <f>NBN_RemovalFY20[[#This Row],[Sum of Consumption Quantity]]*0.0036</f>
        <v>-4176.8833795199998</v>
      </c>
    </row>
    <row r="4" spans="1:11">
      <c r="A4" t="s">
        <v>805</v>
      </c>
      <c r="B4" s="22">
        <v>-25180391.490000006</v>
      </c>
      <c r="C4" s="68" t="s">
        <v>663</v>
      </c>
      <c r="D4" s="68" t="s">
        <v>104</v>
      </c>
      <c r="E4" s="68">
        <v>-25180391.490000006</v>
      </c>
      <c r="F4" s="7">
        <f>VLOOKUP(A4,'GHG Factors FY21'!A:L,8,FALSE)*B4</f>
        <v>-90649.409364000021</v>
      </c>
      <c r="G4" s="68">
        <f>VLOOKUP(A4,'GHG Factors FY21'!A:L,10,FALSE)*E4</f>
        <v>0</v>
      </c>
      <c r="H4" s="68">
        <f>VLOOKUP(A4,'GHG Factors FY21'!A:L,11,FALSE)*E4</f>
        <v>-20396117.106900007</v>
      </c>
      <c r="I4" s="68">
        <f>VLOOKUP(A4,'GHG Factors FY21'!A:L,12,FALSE)*E4</f>
        <v>-2266235.2341000005</v>
      </c>
      <c r="J4" s="7">
        <f t="shared" ref="J4:J10" si="0">SUM(G4,H4,I4)</f>
        <v>-22662352.341000006</v>
      </c>
    </row>
    <row r="5" spans="1:11">
      <c r="A5" t="s">
        <v>806</v>
      </c>
      <c r="B5" s="22">
        <v>-788271.81990000012</v>
      </c>
      <c r="C5" s="68" t="s">
        <v>663</v>
      </c>
      <c r="D5" s="68" t="s">
        <v>104</v>
      </c>
      <c r="E5" s="68">
        <v>-788271.81990000012</v>
      </c>
      <c r="F5" s="7">
        <f>VLOOKUP(A5,'GHG Factors FY21'!A:L,8,FALSE)*B5</f>
        <v>-2837.7785516400004</v>
      </c>
      <c r="G5" s="68">
        <f>VLOOKUP(A5,'GHG Factors FY21'!A:L,10,FALSE)*E5</f>
        <v>0</v>
      </c>
      <c r="H5" s="68">
        <f>VLOOKUP(A5,'GHG Factors FY21'!A:L,11,FALSE)*E5</f>
        <v>-488728.52833800006</v>
      </c>
      <c r="I5" s="68">
        <f>VLOOKUP(A5,'GHG Factors FY21'!A:L,12,FALSE)*E5</f>
        <v>-55179.027393000011</v>
      </c>
      <c r="J5" s="7">
        <f t="shared" si="0"/>
        <v>-543907.55573100003</v>
      </c>
    </row>
    <row r="6" spans="1:11">
      <c r="A6" t="s">
        <v>807</v>
      </c>
      <c r="B6" s="22">
        <v>-15329808.899499999</v>
      </c>
      <c r="C6" s="68" t="s">
        <v>663</v>
      </c>
      <c r="D6" s="68" t="s">
        <v>104</v>
      </c>
      <c r="E6" s="68">
        <v>-15329808.899499999</v>
      </c>
      <c r="F6" s="7">
        <f>VLOOKUP(A6,'GHG Factors FY21'!A:L,8,FALSE)*B6</f>
        <v>-55187.312038199998</v>
      </c>
      <c r="G6" s="68">
        <f>VLOOKUP(A6,'GHG Factors FY21'!A:L,10,FALSE)*E6</f>
        <v>0</v>
      </c>
      <c r="H6" s="68">
        <f>VLOOKUP(A6,'GHG Factors FY21'!A:L,11,FALSE)*E6</f>
        <v>-12417145.208595</v>
      </c>
      <c r="I6" s="68">
        <f>VLOOKUP(A6,'GHG Factors FY21'!A:L,12,FALSE)*E6</f>
        <v>-1839577.0679399997</v>
      </c>
      <c r="J6" s="7">
        <f t="shared" si="0"/>
        <v>-14256722.276535001</v>
      </c>
    </row>
    <row r="7" spans="1:11">
      <c r="A7" t="s">
        <v>808</v>
      </c>
      <c r="B7" s="22">
        <v>-5628388.4004000006</v>
      </c>
      <c r="C7" s="68" t="s">
        <v>663</v>
      </c>
      <c r="D7" s="68" t="s">
        <v>104</v>
      </c>
      <c r="E7" s="68">
        <v>-5628388.4004000006</v>
      </c>
      <c r="F7" s="7">
        <f>VLOOKUP(A7,'GHG Factors FY21'!A:L,8,FALSE)*B7</f>
        <v>-20262.198241440001</v>
      </c>
      <c r="G7" s="68">
        <f>VLOOKUP(A7,'GHG Factors FY21'!A:L,10,FALSE)*E7</f>
        <v>0</v>
      </c>
      <c r="H7" s="68">
        <f>VLOOKUP(A7,'GHG Factors FY21'!A:L,11,FALSE)*E7</f>
        <v>-2420207.012172</v>
      </c>
      <c r="I7" s="68">
        <f>VLOOKUP(A7,'GHG Factors FY21'!A:L,12,FALSE)*E7</f>
        <v>-506554.95603600005</v>
      </c>
      <c r="J7" s="7">
        <f t="shared" si="0"/>
        <v>-2926761.9682080001</v>
      </c>
    </row>
    <row r="8" spans="1:11">
      <c r="A8" t="s">
        <v>809</v>
      </c>
      <c r="B8" s="22">
        <v>-2282765.173</v>
      </c>
      <c r="C8" s="68" t="s">
        <v>663</v>
      </c>
      <c r="D8" s="68" t="s">
        <v>104</v>
      </c>
      <c r="E8" s="68">
        <v>-2282765.173</v>
      </c>
      <c r="F8" s="7">
        <f>VLOOKUP(A8,'GHG Factors FY21'!A:L,8,FALSE)*B8</f>
        <v>-8217.9546227999999</v>
      </c>
      <c r="G8" s="68">
        <f>VLOOKUP(A8,'GHG Factors FY21'!A:L,10,FALSE)*E8</f>
        <v>0</v>
      </c>
      <c r="H8" s="68">
        <f>VLOOKUP(A8,'GHG Factors FY21'!A:L,11,FALSE)*E8</f>
        <v>-388070.07941000001</v>
      </c>
      <c r="I8" s="68">
        <f>VLOOKUP(A8,'GHG Factors FY21'!A:L,12,FALSE)*E8</f>
        <v>-45655.303460000003</v>
      </c>
      <c r="J8" s="7">
        <f t="shared" si="0"/>
        <v>-433725.38287000003</v>
      </c>
    </row>
    <row r="9" spans="1:11">
      <c r="A9" t="s">
        <v>810</v>
      </c>
      <c r="B9" s="22">
        <v>-19548747.833499998</v>
      </c>
      <c r="C9" s="68" t="s">
        <v>663</v>
      </c>
      <c r="D9" s="68" t="s">
        <v>104</v>
      </c>
      <c r="E9" s="68">
        <v>-19548747.833499998</v>
      </c>
      <c r="F9" s="7">
        <f>VLOOKUP(A9,'GHG Factors FY21'!A:L,8,FALSE)*B9</f>
        <v>-70375.492200599983</v>
      </c>
      <c r="G9" s="68">
        <f>VLOOKUP(A9,'GHG Factors FY21'!A:L,10,FALSE)*E9</f>
        <v>0</v>
      </c>
      <c r="H9" s="68">
        <f>VLOOKUP(A9,'GHG Factors FY21'!A:L,11,FALSE)*E9</f>
        <v>-19157772.876829997</v>
      </c>
      <c r="I9" s="68">
        <f>VLOOKUP(A9,'GHG Factors FY21'!A:L,12,FALSE)*E9</f>
        <v>-2150362.2616849998</v>
      </c>
      <c r="J9" s="7">
        <f t="shared" si="0"/>
        <v>-21308135.138514996</v>
      </c>
    </row>
    <row r="10" spans="1:11">
      <c r="A10" t="s">
        <v>811</v>
      </c>
      <c r="B10" s="22">
        <v>-7055148.1730000004</v>
      </c>
      <c r="C10" s="68" t="s">
        <v>663</v>
      </c>
      <c r="D10" s="68" t="s">
        <v>104</v>
      </c>
      <c r="E10" s="68">
        <v>-7055148.1730000004</v>
      </c>
      <c r="F10" s="7">
        <f>VLOOKUP(A10,'GHG Factors FY21'!A:L,8,FALSE)*B10</f>
        <v>-25398.533422799999</v>
      </c>
      <c r="G10" s="68">
        <f>VLOOKUP(A10,'GHG Factors FY21'!A:L,10,FALSE)*E10</f>
        <v>0</v>
      </c>
      <c r="H10" s="68">
        <f>VLOOKUP(A10,'GHG Factors FY21'!A:L,11,FALSE)*E10</f>
        <v>-4797500.7576400004</v>
      </c>
      <c r="I10" s="68">
        <f>VLOOKUP(A10,'GHG Factors FY21'!A:L,12,FALSE)*E10</f>
        <v>-141102.96346</v>
      </c>
      <c r="J10" s="7">
        <f t="shared" si="0"/>
        <v>-4938603.7211000007</v>
      </c>
    </row>
    <row r="13" spans="1:11">
      <c r="E13" s="5">
        <f>SUM(NBN_RemovalFY20[Sum of Consumption Quantity])</f>
        <v>-76973767.172500014</v>
      </c>
      <c r="H13" s="5">
        <f>SUM(NBN_RemovalFY20[Sum of Scope 2 kg CO2-e])/1000</f>
        <v>-61005.340330277009</v>
      </c>
      <c r="I13" s="5"/>
    </row>
    <row r="14" spans="1:11">
      <c r="H14" s="5"/>
    </row>
    <row r="15" spans="1:11">
      <c r="A15" s="5"/>
      <c r="B15" s="5"/>
      <c r="C15" s="5"/>
      <c r="D15" s="5"/>
    </row>
    <row r="17" spans="1:10">
      <c r="A17" s="652" t="s">
        <v>91</v>
      </c>
      <c r="B17" s="652" t="s">
        <v>1172</v>
      </c>
    </row>
    <row r="18" spans="1:10">
      <c r="A18" t="s">
        <v>750</v>
      </c>
      <c r="B18" s="1" t="s">
        <v>781</v>
      </c>
      <c r="C18" s="6" t="s">
        <v>649</v>
      </c>
      <c r="D18" s="6" t="s">
        <v>684</v>
      </c>
      <c r="E18" s="6" t="s">
        <v>650</v>
      </c>
      <c r="F18" s="6" t="s">
        <v>651</v>
      </c>
      <c r="G18" s="6" t="s">
        <v>652</v>
      </c>
      <c r="H18" s="6" t="s">
        <v>653</v>
      </c>
      <c r="I18" s="6" t="s">
        <v>654</v>
      </c>
      <c r="J18" s="6" t="s">
        <v>751</v>
      </c>
    </row>
    <row r="19" spans="1:10">
      <c r="A19" t="s">
        <v>804</v>
      </c>
      <c r="B19" s="808">
        <v>-1092750.77</v>
      </c>
      <c r="C19" s="68" t="s">
        <v>663</v>
      </c>
      <c r="D19" s="68" t="s">
        <v>104</v>
      </c>
      <c r="E19" s="68">
        <f>NBN_RemovalFY204[[#This Row],[Consumption Quantity]]</f>
        <v>-1092750.77</v>
      </c>
      <c r="F19" s="68">
        <f>VLOOKUP(A19,'GHG Factors FY20'!A:L,8,FALSE)*B19</f>
        <v>-3933.9027719999999</v>
      </c>
      <c r="G19" s="68">
        <f>VLOOKUP(A19,'GHG Factors FY20'!A:L,10,FALSE)*E19</f>
        <v>0</v>
      </c>
      <c r="H19" s="68">
        <f>VLOOKUP(A19,'GHG Factors FY20'!A:L,11,FALSE)*E19</f>
        <v>-885128.12370000011</v>
      </c>
      <c r="I19" s="68">
        <f>VLOOKUP(A19,'GHG Factors FY20'!A:L,12,FALSE)*E19</f>
        <v>-98347.569300000003</v>
      </c>
      <c r="J19" s="70">
        <f>SUM(G19,H19,I19)</f>
        <v>-983475.69300000009</v>
      </c>
    </row>
    <row r="20" spans="1:10">
      <c r="A20" t="s">
        <v>805</v>
      </c>
      <c r="B20" s="808">
        <v>-23720949.490000002</v>
      </c>
      <c r="C20" s="68" t="s">
        <v>663</v>
      </c>
      <c r="D20" s="68" t="s">
        <v>104</v>
      </c>
      <c r="E20" s="68">
        <f>NBN_RemovalFY204[[#This Row],[Consumption Quantity]]</f>
        <v>-23720949.490000002</v>
      </c>
      <c r="F20" s="7">
        <f>VLOOKUP(A20,'GHG Factors FY20'!A:L,8,FALSE)*B20</f>
        <v>-85395.418164000002</v>
      </c>
      <c r="G20" s="68">
        <f>VLOOKUP(A20,'GHG Factors FY20'!A:L,10,FALSE)*E20</f>
        <v>0</v>
      </c>
      <c r="H20" s="68">
        <f>VLOOKUP(A20,'GHG Factors FY20'!A:L,11,FALSE)*E20</f>
        <v>-19213969.086900003</v>
      </c>
      <c r="I20" s="68">
        <f>VLOOKUP(A20,'GHG Factors FY20'!A:L,12,FALSE)*E20</f>
        <v>-2134885.4541000002</v>
      </c>
      <c r="J20" s="7">
        <f t="shared" ref="J20:J26" si="1">SUM(G20,H20,I20)</f>
        <v>-21348854.541000005</v>
      </c>
    </row>
    <row r="21" spans="1:10">
      <c r="A21" t="s">
        <v>806</v>
      </c>
      <c r="B21" s="808">
        <v>-742820.11</v>
      </c>
      <c r="C21" s="68" t="s">
        <v>663</v>
      </c>
      <c r="D21" s="68" t="s">
        <v>104</v>
      </c>
      <c r="E21" s="68">
        <f>NBN_RemovalFY204[[#This Row],[Consumption Quantity]]</f>
        <v>-742820.11</v>
      </c>
      <c r="F21" s="7">
        <f>VLOOKUP(A21,'GHG Factors FY20'!A:L,8,FALSE)*B21</f>
        <v>-2674.152396</v>
      </c>
      <c r="G21" s="68">
        <f>VLOOKUP(A21,'GHG Factors FY20'!A:L,10,FALSE)*E21</f>
        <v>0</v>
      </c>
      <c r="H21" s="68">
        <f>VLOOKUP(A21,'GHG Factors FY20'!A:L,11,FALSE)*E21</f>
        <v>-467976.66930000001</v>
      </c>
      <c r="I21" s="68">
        <f>VLOOKUP(A21,'GHG Factors FY20'!A:L,12,FALSE)*E21</f>
        <v>-59425.608800000002</v>
      </c>
      <c r="J21" s="7">
        <f t="shared" si="1"/>
        <v>-527402.2781</v>
      </c>
    </row>
    <row r="22" spans="1:10">
      <c r="A22" t="s">
        <v>807</v>
      </c>
      <c r="B22" s="808">
        <v>-14443002.35</v>
      </c>
      <c r="C22" s="68" t="s">
        <v>663</v>
      </c>
      <c r="D22" s="68" t="s">
        <v>104</v>
      </c>
      <c r="E22" s="68">
        <f>NBN_RemovalFY204[[#This Row],[Consumption Quantity]]</f>
        <v>-14443002.35</v>
      </c>
      <c r="F22" s="7">
        <f>VLOOKUP(A22,'GHG Factors FY20'!A:L,8,FALSE)*B22</f>
        <v>-51994.80846</v>
      </c>
      <c r="G22" s="68">
        <f>VLOOKUP(A22,'GHG Factors FY20'!A:L,10,FALSE)*E22</f>
        <v>0</v>
      </c>
      <c r="H22" s="68">
        <f>VLOOKUP(A22,'GHG Factors FY20'!A:L,11,FALSE)*E22</f>
        <v>-11698831.9035</v>
      </c>
      <c r="I22" s="68">
        <f>VLOOKUP(A22,'GHG Factors FY20'!A:L,12,FALSE)*E22</f>
        <v>-1733160.2819999999</v>
      </c>
      <c r="J22" s="7">
        <f t="shared" si="1"/>
        <v>-13431992.1855</v>
      </c>
    </row>
    <row r="23" spans="1:10">
      <c r="A23" t="s">
        <v>808</v>
      </c>
      <c r="B23" s="808">
        <v>-5305299.24</v>
      </c>
      <c r="C23" s="68" t="s">
        <v>663</v>
      </c>
      <c r="D23" s="68" t="s">
        <v>104</v>
      </c>
      <c r="E23" s="68">
        <f>NBN_RemovalFY204[[#This Row],[Consumption Quantity]]</f>
        <v>-5305299.24</v>
      </c>
      <c r="F23" s="7">
        <f>VLOOKUP(A23,'GHG Factors FY20'!A:L,8,FALSE)*B23</f>
        <v>-19099.077264</v>
      </c>
      <c r="G23" s="68">
        <f>VLOOKUP(A23,'GHG Factors FY20'!A:L,10,FALSE)*E23</f>
        <v>0</v>
      </c>
      <c r="H23" s="68">
        <f>VLOOKUP(A23,'GHG Factors FY20'!A:L,11,FALSE)*E23</f>
        <v>-2334331.6655999999</v>
      </c>
      <c r="I23" s="68">
        <f>VLOOKUP(A23,'GHG Factors FY20'!A:L,12,FALSE)*E23</f>
        <v>-530529.924</v>
      </c>
      <c r="J23" s="7">
        <f t="shared" si="1"/>
        <v>-2864861.5896000001</v>
      </c>
    </row>
    <row r="24" spans="1:10">
      <c r="A24" t="s">
        <v>809</v>
      </c>
      <c r="B24" s="808">
        <v>-2150265.1399999997</v>
      </c>
      <c r="C24" s="68" t="s">
        <v>663</v>
      </c>
      <c r="D24" s="68" t="s">
        <v>104</v>
      </c>
      <c r="E24" s="68">
        <f>NBN_RemovalFY204[[#This Row],[Consumption Quantity]]</f>
        <v>-2150265.1399999997</v>
      </c>
      <c r="F24" s="7">
        <f>VLOOKUP(A24,'GHG Factors FY20'!A:L,8,FALSE)*B24</f>
        <v>-7740.9545039999985</v>
      </c>
      <c r="G24" s="68">
        <f>VLOOKUP(A24,'GHG Factors FY20'!A:L,10,FALSE)*E24</f>
        <v>0</v>
      </c>
      <c r="H24" s="68">
        <f>VLOOKUP(A24,'GHG Factors FY20'!A:L,11,FALSE)*E24</f>
        <v>-322539.77099999995</v>
      </c>
      <c r="I24" s="68">
        <f>VLOOKUP(A24,'GHG Factors FY20'!A:L,12,FALSE)*E24</f>
        <v>-43005.302799999998</v>
      </c>
      <c r="J24" s="7">
        <f t="shared" si="1"/>
        <v>-365545.07379999995</v>
      </c>
    </row>
    <row r="25" spans="1:10">
      <c r="A25" t="s">
        <v>810</v>
      </c>
      <c r="B25" s="808">
        <v>-18411580.350000001</v>
      </c>
      <c r="C25" s="68" t="s">
        <v>663</v>
      </c>
      <c r="D25" s="68" t="s">
        <v>104</v>
      </c>
      <c r="E25" s="68">
        <f>NBN_RemovalFY204[[#This Row],[Consumption Quantity]]</f>
        <v>-18411580.350000001</v>
      </c>
      <c r="F25" s="7">
        <f>VLOOKUP(A25,'GHG Factors FY20'!A:L,8,FALSE)*B25</f>
        <v>-66281.689259999999</v>
      </c>
      <c r="G25" s="68">
        <f>VLOOKUP(A25,'GHG Factors FY20'!A:L,10,FALSE)*E25</f>
        <v>0</v>
      </c>
      <c r="H25" s="68">
        <f>VLOOKUP(A25,'GHG Factors FY20'!A:L,11,FALSE)*E25</f>
        <v>-18779811.957000002</v>
      </c>
      <c r="I25" s="68">
        <f>VLOOKUP(A25,'GHG Factors FY20'!A:L,12,FALSE)*E25</f>
        <v>-1841158.0350000001</v>
      </c>
      <c r="J25" s="7">
        <f t="shared" si="1"/>
        <v>-20620969.992000002</v>
      </c>
    </row>
    <row r="26" spans="1:10">
      <c r="A26" t="s">
        <v>811</v>
      </c>
      <c r="B26" s="808">
        <v>-6647131.1399999997</v>
      </c>
      <c r="C26" s="68" t="s">
        <v>663</v>
      </c>
      <c r="D26" s="68" t="s">
        <v>104</v>
      </c>
      <c r="E26" s="68">
        <f>NBN_RemovalFY204[[#This Row],[Consumption Quantity]]</f>
        <v>-6647131.1399999997</v>
      </c>
      <c r="F26" s="7">
        <f>VLOOKUP(A26,'GHG Factors FY20'!A:L,8,FALSE)*B26</f>
        <v>-23929.672103999997</v>
      </c>
      <c r="G26" s="68">
        <f>VLOOKUP(A26,'GHG Factors FY20'!A:L,10,FALSE)*E26</f>
        <v>0</v>
      </c>
      <c r="H26" s="68">
        <f>VLOOKUP(A26,'GHG Factors FY20'!A:L,11,FALSE)*E26</f>
        <v>-4586520.4865999995</v>
      </c>
      <c r="I26" s="68">
        <f>VLOOKUP(A26,'GHG Factors FY20'!A:L,12,FALSE)*E26</f>
        <v>-265885.24559999997</v>
      </c>
      <c r="J26" s="7">
        <f t="shared" si="1"/>
        <v>-4852405.7321999995</v>
      </c>
    </row>
    <row r="28" spans="1:10">
      <c r="A28" s="69"/>
    </row>
    <row r="29" spans="1:10">
      <c r="E29" s="5">
        <f>SUM(NBN_RemovalFY204[Sum of Consumption Quantity])</f>
        <v>-72513798.590000004</v>
      </c>
      <c r="H29" s="5">
        <f>SUM(NBN_RemovalFY204[Sum of Scope 2 kg CO2-e])/1000</f>
        <v>-58289.109663600007</v>
      </c>
      <c r="I29" s="5"/>
    </row>
    <row r="30" spans="1:10">
      <c r="D30" t="s">
        <v>1173</v>
      </c>
      <c r="E30" s="651">
        <v>-72513798.590000004</v>
      </c>
      <c r="H30" s="5"/>
    </row>
    <row r="34" spans="1:10">
      <c r="A34" s="33" t="s">
        <v>3</v>
      </c>
      <c r="B34" t="s">
        <v>1174</v>
      </c>
    </row>
    <row r="35" spans="1:10">
      <c r="A35" t="s">
        <v>750</v>
      </c>
      <c r="B35" s="1" t="s">
        <v>781</v>
      </c>
      <c r="C35" s="6" t="s">
        <v>649</v>
      </c>
      <c r="D35" s="6" t="s">
        <v>684</v>
      </c>
      <c r="E35" s="6" t="s">
        <v>650</v>
      </c>
      <c r="F35" s="6" t="s">
        <v>651</v>
      </c>
      <c r="G35" s="6" t="s">
        <v>652</v>
      </c>
      <c r="H35" s="6" t="s">
        <v>653</v>
      </c>
      <c r="I35" s="6" t="s">
        <v>654</v>
      </c>
      <c r="J35" s="6" t="s">
        <v>751</v>
      </c>
    </row>
    <row r="36" spans="1:10">
      <c r="A36" t="s">
        <v>804</v>
      </c>
      <c r="B36" s="808">
        <v>-1040109.7407000001</v>
      </c>
      <c r="C36" s="68" t="s">
        <v>663</v>
      </c>
      <c r="D36" s="68" t="s">
        <v>104</v>
      </c>
      <c r="E36" s="68">
        <v>-1049135.6599999999</v>
      </c>
      <c r="F36" s="68">
        <f>VLOOKUP(A36,'GHG Factors FY20'!A:L,8,FALSE)*B36</f>
        <v>-3744.39506652</v>
      </c>
      <c r="G36" s="68">
        <f>VLOOKUP(A36,'GHG Factors FY20'!A:L,10,FALSE)*E36</f>
        <v>0</v>
      </c>
      <c r="H36" s="68">
        <f>VLOOKUP(A36,'GHG Factors FY20'!A:L,11,FALSE)*E36</f>
        <v>-849799.88459999999</v>
      </c>
      <c r="I36" s="68">
        <f>VLOOKUP(A36,'GHG Factors FY20'!A:L,12,FALSE)*E36</f>
        <v>-94422.209399999992</v>
      </c>
      <c r="J36" s="70">
        <f>SUM(G36,H36,I36)</f>
        <v>-944222.09400000004</v>
      </c>
    </row>
    <row r="37" spans="1:10">
      <c r="A37" t="s">
        <v>805</v>
      </c>
      <c r="B37" s="808">
        <v>-21874443.351699997</v>
      </c>
      <c r="C37" s="68" t="s">
        <v>663</v>
      </c>
      <c r="D37" s="68" t="s">
        <v>104</v>
      </c>
      <c r="E37" s="68">
        <v>-22259487.449999996</v>
      </c>
      <c r="F37" s="7">
        <f>VLOOKUP(A37,'GHG Factors FY20'!A:L,8,FALSE)*B37</f>
        <v>-78747.996066119988</v>
      </c>
      <c r="G37" s="68">
        <f>VLOOKUP(A37,'GHG Factors FY20'!A:L,10,FALSE)*E37</f>
        <v>0</v>
      </c>
      <c r="H37" s="68">
        <f>VLOOKUP(A37,'GHG Factors FY20'!A:L,11,FALSE)*E37</f>
        <v>-18030184.834499996</v>
      </c>
      <c r="I37" s="68">
        <f>VLOOKUP(A37,'GHG Factors FY20'!A:L,12,FALSE)*E37</f>
        <v>-2003353.8704999995</v>
      </c>
      <c r="J37" s="7">
        <f t="shared" ref="J37:J43" si="2">SUM(G37,H37,I37)</f>
        <v>-20033538.704999994</v>
      </c>
    </row>
    <row r="38" spans="1:10">
      <c r="A38" t="s">
        <v>806</v>
      </c>
      <c r="B38" s="808">
        <v>-725051.42670000007</v>
      </c>
      <c r="C38" s="68" t="s">
        <v>663</v>
      </c>
      <c r="D38" s="68" t="s">
        <v>104</v>
      </c>
      <c r="E38" s="68">
        <v>-727019.18</v>
      </c>
      <c r="F38" s="7">
        <f>VLOOKUP(A38,'GHG Factors FY20'!A:L,8,FALSE)*B38</f>
        <v>-2610.1851361200002</v>
      </c>
      <c r="G38" s="68">
        <f>VLOOKUP(A38,'GHG Factors FY20'!A:L,10,FALSE)*E38</f>
        <v>0</v>
      </c>
      <c r="H38" s="68">
        <f>VLOOKUP(A38,'GHG Factors FY20'!A:L,11,FALSE)*E38</f>
        <v>-458022.08340000006</v>
      </c>
      <c r="I38" s="68">
        <f>VLOOKUP(A38,'GHG Factors FY20'!A:L,12,FALSE)*E38</f>
        <v>-58161.534400000004</v>
      </c>
      <c r="J38" s="7">
        <f t="shared" si="2"/>
        <v>-516183.61780000007</v>
      </c>
    </row>
    <row r="39" spans="1:10">
      <c r="A39" t="s">
        <v>807</v>
      </c>
      <c r="B39" s="808">
        <v>-13302619.554099999</v>
      </c>
      <c r="C39" s="68" t="s">
        <v>663</v>
      </c>
      <c r="D39" s="68" t="s">
        <v>104</v>
      </c>
      <c r="E39" s="68">
        <v>-13535130.08</v>
      </c>
      <c r="F39" s="7">
        <f>VLOOKUP(A39,'GHG Factors FY20'!A:L,8,FALSE)*B39</f>
        <v>-47889.430394759998</v>
      </c>
      <c r="G39" s="68">
        <f>VLOOKUP(A39,'GHG Factors FY20'!A:L,10,FALSE)*E39</f>
        <v>0</v>
      </c>
      <c r="H39" s="68">
        <f>VLOOKUP(A39,'GHG Factors FY20'!A:L,11,FALSE)*E39</f>
        <v>-10963455.364800001</v>
      </c>
      <c r="I39" s="68">
        <f>VLOOKUP(A39,'GHG Factors FY20'!A:L,12,FALSE)*E39</f>
        <v>-1624215.6095999999</v>
      </c>
      <c r="J39" s="7">
        <f t="shared" si="2"/>
        <v>-12587670.974400001</v>
      </c>
    </row>
    <row r="40" spans="1:10">
      <c r="A40" t="s">
        <v>808</v>
      </c>
      <c r="B40" s="808">
        <v>-4951275.3277000003</v>
      </c>
      <c r="C40" s="68" t="s">
        <v>663</v>
      </c>
      <c r="D40" s="68" t="s">
        <v>104</v>
      </c>
      <c r="E40" s="68">
        <v>-5041115.8599999985</v>
      </c>
      <c r="F40" s="7">
        <f>VLOOKUP(A40,'GHG Factors FY20'!A:L,8,FALSE)*B40</f>
        <v>-17824.591179719999</v>
      </c>
      <c r="G40" s="68">
        <f>VLOOKUP(A40,'GHG Factors FY20'!A:L,10,FALSE)*E40</f>
        <v>0</v>
      </c>
      <c r="H40" s="68">
        <f>VLOOKUP(A40,'GHG Factors FY20'!A:L,11,FALSE)*E40</f>
        <v>-2218090.9783999994</v>
      </c>
      <c r="I40" s="68">
        <f>VLOOKUP(A40,'GHG Factors FY20'!A:L,12,FALSE)*E40</f>
        <v>-504111.58599999989</v>
      </c>
      <c r="J40" s="7">
        <f t="shared" si="2"/>
        <v>-2722202.5643999996</v>
      </c>
    </row>
    <row r="41" spans="1:10">
      <c r="A41" t="s">
        <v>809</v>
      </c>
      <c r="B41" s="808">
        <v>-2071739.0570999999</v>
      </c>
      <c r="C41" s="68" t="s">
        <v>663</v>
      </c>
      <c r="D41" s="68" t="s">
        <v>104</v>
      </c>
      <c r="E41" s="68">
        <v>-2091883.9100000001</v>
      </c>
      <c r="F41" s="7">
        <f>VLOOKUP(A41,'GHG Factors FY20'!A:L,8,FALSE)*B41</f>
        <v>-7458.260605559999</v>
      </c>
      <c r="G41" s="68">
        <f>VLOOKUP(A41,'GHG Factors FY20'!A:L,10,FALSE)*E41</f>
        <v>0</v>
      </c>
      <c r="H41" s="68">
        <f>VLOOKUP(A41,'GHG Factors FY20'!A:L,11,FALSE)*E41</f>
        <v>-313782.58650000003</v>
      </c>
      <c r="I41" s="68">
        <f>VLOOKUP(A41,'GHG Factors FY20'!A:L,12,FALSE)*E41</f>
        <v>-41837.678200000002</v>
      </c>
      <c r="J41" s="7">
        <f t="shared" si="2"/>
        <v>-355620.26470000006</v>
      </c>
    </row>
    <row r="42" spans="1:10">
      <c r="A42" t="s">
        <v>810</v>
      </c>
      <c r="B42" s="808">
        <v>-16561619.979900001</v>
      </c>
      <c r="C42" s="68" t="s">
        <v>663</v>
      </c>
      <c r="D42" s="68" t="s">
        <v>104</v>
      </c>
      <c r="E42" s="68">
        <v>-16908412.900000002</v>
      </c>
      <c r="F42" s="7">
        <f>VLOOKUP(A42,'GHG Factors FY20'!A:L,8,FALSE)*B42</f>
        <v>-59621.83192764</v>
      </c>
      <c r="G42" s="68">
        <f>VLOOKUP(A42,'GHG Factors FY20'!A:L,10,FALSE)*E42</f>
        <v>0</v>
      </c>
      <c r="H42" s="68">
        <f>VLOOKUP(A42,'GHG Factors FY20'!A:L,11,FALSE)*E42</f>
        <v>-17246581.158000004</v>
      </c>
      <c r="I42" s="68">
        <f>VLOOKUP(A42,'GHG Factors FY20'!A:L,12,FALSE)*E42</f>
        <v>-1690841.2900000003</v>
      </c>
      <c r="J42" s="7">
        <f t="shared" si="2"/>
        <v>-18937422.448000003</v>
      </c>
    </row>
    <row r="43" spans="1:10">
      <c r="A43" t="s">
        <v>811</v>
      </c>
      <c r="B43" s="808">
        <v>-6300309.1454999987</v>
      </c>
      <c r="C43" s="68" t="s">
        <v>663</v>
      </c>
      <c r="D43" s="68" t="s">
        <v>104</v>
      </c>
      <c r="E43" s="68">
        <v>-6385070.2200000007</v>
      </c>
      <c r="F43" s="7">
        <f>VLOOKUP(A43,'GHG Factors FY20'!A:L,8,FALSE)*B43</f>
        <v>-22681.112923799996</v>
      </c>
      <c r="G43" s="68">
        <f>VLOOKUP(A43,'GHG Factors FY20'!A:L,10,FALSE)*E43</f>
        <v>0</v>
      </c>
      <c r="H43" s="68">
        <f>VLOOKUP(A43,'GHG Factors FY20'!A:L,11,FALSE)*E43</f>
        <v>-4405698.4517999999</v>
      </c>
      <c r="I43" s="68">
        <f>VLOOKUP(A43,'GHG Factors FY20'!A:L,12,FALSE)*E43</f>
        <v>-255402.80880000003</v>
      </c>
      <c r="J43" s="7">
        <f t="shared" si="2"/>
        <v>-4661101.2605999997</v>
      </c>
    </row>
    <row r="45" spans="1:10">
      <c r="A45" s="69"/>
    </row>
    <row r="46" spans="1:10">
      <c r="E46" s="5">
        <f>SUM(NBN_RemovalFY2011[Sum of Consumption Quantity])</f>
        <v>-67997255.260000005</v>
      </c>
      <c r="H46" s="5">
        <f>SUM(NBN_RemovalFY2011[Sum of Scope 2 kg CO2-e])/1000</f>
        <v>-54485.61534199999</v>
      </c>
      <c r="I46" s="5"/>
    </row>
    <row r="47" spans="1:10">
      <c r="D47" t="s">
        <v>1173</v>
      </c>
      <c r="E47" s="5">
        <v>-67997255.26000002</v>
      </c>
      <c r="H47" s="5">
        <v>-54485.615599999997</v>
      </c>
    </row>
  </sheetData>
  <pageMargins left="0.7" right="0.7" top="0.75" bottom="0.75" header="0.3" footer="0.3"/>
  <pageSetup paperSize="9" orientation="portrait" r:id="rId1"/>
  <tableParts count="3">
    <tablePart r:id="rId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00B050"/>
  </sheetPr>
  <dimension ref="A1:J27"/>
  <sheetViews>
    <sheetView zoomScale="70" zoomScaleNormal="70" workbookViewId="0">
      <selection activeCell="F4" sqref="F4"/>
    </sheetView>
  </sheetViews>
  <sheetFormatPr defaultColWidth="8.8984375" defaultRowHeight="13.8"/>
  <cols>
    <col min="1" max="1" width="32.59765625" bestFit="1" customWidth="1"/>
    <col min="2" max="2" width="22.59765625" bestFit="1" customWidth="1"/>
    <col min="3" max="3" width="15.59765625" customWidth="1"/>
    <col min="4" max="4" width="18" bestFit="1" customWidth="1"/>
    <col min="5" max="5" width="29.59765625" bestFit="1" customWidth="1"/>
    <col min="6" max="6" width="17.09765625" bestFit="1" customWidth="1"/>
    <col min="8" max="9" width="25.59765625" bestFit="1" customWidth="1"/>
    <col min="10" max="10" width="23.59765625" bestFit="1" customWidth="1"/>
  </cols>
  <sheetData>
    <row r="1" spans="1:10">
      <c r="A1" s="813" t="s">
        <v>91</v>
      </c>
      <c r="B1" s="813" t="s">
        <v>1175</v>
      </c>
    </row>
    <row r="2" spans="1:10">
      <c r="A2" t="s">
        <v>750</v>
      </c>
      <c r="B2" s="1" t="s">
        <v>781</v>
      </c>
      <c r="C2" s="1" t="s">
        <v>649</v>
      </c>
      <c r="D2" s="1" t="s">
        <v>684</v>
      </c>
      <c r="E2" s="1" t="s">
        <v>650</v>
      </c>
      <c r="F2" s="1" t="s">
        <v>651</v>
      </c>
      <c r="G2" s="1" t="s">
        <v>652</v>
      </c>
      <c r="H2" s="1" t="s">
        <v>653</v>
      </c>
      <c r="I2" s="1" t="s">
        <v>654</v>
      </c>
      <c r="J2" s="1" t="s">
        <v>751</v>
      </c>
    </row>
    <row r="3" spans="1:10">
      <c r="A3" t="s">
        <v>1176</v>
      </c>
      <c r="B3" s="76">
        <v>0</v>
      </c>
      <c r="C3" s="70" t="s">
        <v>663</v>
      </c>
      <c r="D3" s="70" t="s">
        <v>104</v>
      </c>
      <c r="E3" s="68">
        <f>BCA_RemovalFY20[[#This Row],[Consumption Quantity]]</f>
        <v>0</v>
      </c>
      <c r="F3" s="68">
        <v>0</v>
      </c>
      <c r="G3" s="68">
        <v>0</v>
      </c>
      <c r="H3" s="68">
        <v>0</v>
      </c>
      <c r="I3" s="68">
        <v>0</v>
      </c>
      <c r="J3" s="68">
        <f>SUM(G3,H3,I3)</f>
        <v>0</v>
      </c>
    </row>
    <row r="4" spans="1:10">
      <c r="A4" t="s">
        <v>797</v>
      </c>
      <c r="B4" s="809">
        <v>-244823.99959999998</v>
      </c>
      <c r="C4" s="70" t="s">
        <v>663</v>
      </c>
      <c r="D4" s="70" t="s">
        <v>104</v>
      </c>
      <c r="E4" s="68">
        <f>BCA_RemovalFY20[[#This Row],[Consumption Quantity]]</f>
        <v>-244823.99959999998</v>
      </c>
      <c r="F4" s="68">
        <f>VLOOKUP(A4,'GHG Factors FY21'!A:L,8,FALSE)*E4</f>
        <v>-881.36639855999988</v>
      </c>
      <c r="G4" s="68">
        <f>VLOOKUP(A4,'GHG Factors FY21'!A:L,10,FALSE)*E4</f>
        <v>0</v>
      </c>
      <c r="H4" s="68">
        <f>VLOOKUP(A4,'GHG Factors FY21'!A:L,11,FALSE)*E4</f>
        <v>-198307.43967600001</v>
      </c>
      <c r="I4" s="68">
        <f>VLOOKUP(A4,'GHG Factors FY21'!A:L,12,FALSE)*E4</f>
        <v>-22034.159963999999</v>
      </c>
      <c r="J4" s="68">
        <f t="shared" ref="J4:J10" si="0">SUM(G4,H4,I4)</f>
        <v>-220341.59964</v>
      </c>
    </row>
    <row r="5" spans="1:10">
      <c r="A5" t="s">
        <v>798</v>
      </c>
      <c r="B5" s="809">
        <v>-196328.99980000002</v>
      </c>
      <c r="C5" s="70" t="s">
        <v>663</v>
      </c>
      <c r="D5" s="70" t="s">
        <v>104</v>
      </c>
      <c r="E5" s="68">
        <f>BCA_RemovalFY20[[#This Row],[Consumption Quantity]]</f>
        <v>-196328.99980000002</v>
      </c>
      <c r="F5" s="68">
        <f>VLOOKUP(A5,'GHG Factors FY21'!A:L,8,FALSE)*E5</f>
        <v>-706.78439928</v>
      </c>
      <c r="G5" s="68">
        <f>VLOOKUP(A5,'GHG Factors FY21'!A:L,10,FALSE)*E5</f>
        <v>0</v>
      </c>
      <c r="H5" s="68">
        <f>VLOOKUP(A5,'GHG Factors FY21'!A:L,11,FALSE)*E5</f>
        <v>-121723.97987600001</v>
      </c>
      <c r="I5" s="68">
        <f>VLOOKUP(A5,'GHG Factors FY21'!A:L,12,FALSE)*E5</f>
        <v>-13743.029986000003</v>
      </c>
      <c r="J5" s="68">
        <f t="shared" si="0"/>
        <v>-135467.00986200001</v>
      </c>
    </row>
    <row r="6" spans="1:10">
      <c r="A6" t="s">
        <v>799</v>
      </c>
      <c r="B6" s="809">
        <v>-346876.00040000002</v>
      </c>
      <c r="C6" s="70" t="s">
        <v>663</v>
      </c>
      <c r="D6" s="70" t="s">
        <v>104</v>
      </c>
      <c r="E6" s="68">
        <f>BCA_RemovalFY20[[#This Row],[Consumption Quantity]]</f>
        <v>-346876.00040000002</v>
      </c>
      <c r="F6" s="68">
        <f>VLOOKUP(A6,'GHG Factors FY21'!A:L,8,FALSE)*E6</f>
        <v>-1248.75360144</v>
      </c>
      <c r="G6" s="68">
        <f>VLOOKUP(A6,'GHG Factors FY21'!A:L,10,FALSE)*E6</f>
        <v>0</v>
      </c>
      <c r="H6" s="68">
        <f>VLOOKUP(A6,'GHG Factors FY21'!A:L,11,FALSE)*E6</f>
        <v>-280969.56032400002</v>
      </c>
      <c r="I6" s="68">
        <f>VLOOKUP(A6,'GHG Factors FY21'!A:L,12,FALSE)*E6</f>
        <v>-41625.120048000004</v>
      </c>
      <c r="J6" s="68">
        <f t="shared" si="0"/>
        <v>-322594.68037200003</v>
      </c>
    </row>
    <row r="7" spans="1:10">
      <c r="A7" t="s">
        <v>800</v>
      </c>
      <c r="B7" s="809">
        <v>-225433.99979999999</v>
      </c>
      <c r="C7" s="70" t="s">
        <v>663</v>
      </c>
      <c r="D7" s="70" t="s">
        <v>104</v>
      </c>
      <c r="E7" s="68">
        <f>BCA_RemovalFY20[[#This Row],[Consumption Quantity]]</f>
        <v>-225433.99979999999</v>
      </c>
      <c r="F7" s="68">
        <f>VLOOKUP(A7,'GHG Factors FY21'!A:L,8,FALSE)*E7</f>
        <v>-811.56239927999991</v>
      </c>
      <c r="G7" s="68">
        <f>VLOOKUP(A7,'GHG Factors FY21'!A:L,10,FALSE)*E7</f>
        <v>0</v>
      </c>
      <c r="H7" s="68">
        <f>VLOOKUP(A7,'GHG Factors FY21'!A:L,11,FALSE)*E7</f>
        <v>-96936.619913999995</v>
      </c>
      <c r="I7" s="68">
        <f>VLOOKUP(A7,'GHG Factors FY21'!A:L,12,FALSE)*E7</f>
        <v>-20289.059981999999</v>
      </c>
      <c r="J7" s="68">
        <f t="shared" si="0"/>
        <v>-117225.67989599999</v>
      </c>
    </row>
    <row r="8" spans="1:10">
      <c r="A8" t="s">
        <v>801</v>
      </c>
      <c r="B8" s="809">
        <v>-113095.99979999999</v>
      </c>
      <c r="C8" s="70" t="s">
        <v>663</v>
      </c>
      <c r="D8" s="70" t="s">
        <v>104</v>
      </c>
      <c r="E8" s="68">
        <f>BCA_RemovalFY20[[#This Row],[Consumption Quantity]]</f>
        <v>-113095.99979999999</v>
      </c>
      <c r="F8" s="68">
        <f>VLOOKUP(A8,'GHG Factors FY21'!A:L,8,FALSE)*E8</f>
        <v>-407.14559927999994</v>
      </c>
      <c r="G8" s="68">
        <f>VLOOKUP(A8,'GHG Factors FY21'!A:L,10,FALSE)*E8</f>
        <v>0</v>
      </c>
      <c r="H8" s="68">
        <f>VLOOKUP(A8,'GHG Factors FY21'!A:L,11,FALSE)*E8</f>
        <v>-19226.319965999999</v>
      </c>
      <c r="I8" s="68">
        <f>VLOOKUP(A8,'GHG Factors FY21'!A:L,12,FALSE)*E8</f>
        <v>-2261.9199960000001</v>
      </c>
      <c r="J8" s="68">
        <f t="shared" si="0"/>
        <v>-21488.239962</v>
      </c>
    </row>
    <row r="9" spans="1:10">
      <c r="A9" t="s">
        <v>802</v>
      </c>
      <c r="B9" s="809">
        <v>-198912.9999</v>
      </c>
      <c r="C9" s="70" t="s">
        <v>663</v>
      </c>
      <c r="D9" s="70" t="s">
        <v>104</v>
      </c>
      <c r="E9" s="68">
        <f>BCA_RemovalFY20[[#This Row],[Consumption Quantity]]</f>
        <v>-198912.9999</v>
      </c>
      <c r="F9" s="68">
        <f>VLOOKUP(A9,'GHG Factors FY21'!A:L,8,FALSE)*E9</f>
        <v>-716.08679963999998</v>
      </c>
      <c r="G9" s="68">
        <f>VLOOKUP(A9,'GHG Factors FY21'!A:L,10,FALSE)*E9</f>
        <v>0</v>
      </c>
      <c r="H9" s="68">
        <f>VLOOKUP(A9,'GHG Factors FY21'!A:L,11,FALSE)*E9</f>
        <v>-194934.739902</v>
      </c>
      <c r="I9" s="68">
        <f>VLOOKUP(A9,'GHG Factors FY21'!A:L,12,FALSE)*E9</f>
        <v>-21880.429989</v>
      </c>
      <c r="J9" s="68">
        <f t="shared" si="0"/>
        <v>-216815.169891</v>
      </c>
    </row>
    <row r="10" spans="1:10">
      <c r="A10" t="s">
        <v>803</v>
      </c>
      <c r="B10" s="809">
        <v>-163068.00020000001</v>
      </c>
      <c r="C10" s="70" t="s">
        <v>663</v>
      </c>
      <c r="D10" s="70" t="s">
        <v>104</v>
      </c>
      <c r="E10" s="68">
        <f>BCA_RemovalFY20[[#This Row],[Consumption Quantity]]</f>
        <v>-163068.00020000001</v>
      </c>
      <c r="F10" s="68">
        <f>VLOOKUP(A10,'GHG Factors FY21'!A:L,8,FALSE)*E10</f>
        <v>-587.04480072000001</v>
      </c>
      <c r="G10" s="68">
        <f>VLOOKUP(A10,'GHG Factors FY21'!A:L,10,FALSE)*E10</f>
        <v>0</v>
      </c>
      <c r="H10" s="68">
        <f>VLOOKUP(A10,'GHG Factors FY21'!A:L,11,FALSE)*E10</f>
        <v>-110886.24013600001</v>
      </c>
      <c r="I10" s="68">
        <f>VLOOKUP(A10,'GHG Factors FY21'!A:L,12,FALSE)*E10</f>
        <v>-3261.3600040000001</v>
      </c>
      <c r="J10" s="68">
        <f t="shared" si="0"/>
        <v>-114147.60014000001</v>
      </c>
    </row>
    <row r="12" spans="1:10">
      <c r="A12" s="69"/>
      <c r="E12" s="241">
        <f>SUM(BCA_RemovalFY20[Sum of Consumption Quantity])</f>
        <v>-1488539.9994999999</v>
      </c>
    </row>
    <row r="13" spans="1:10">
      <c r="A13" t="s">
        <v>1177</v>
      </c>
      <c r="D13" t="s">
        <v>1173</v>
      </c>
      <c r="E13" s="241">
        <v>-1488539.9994999999</v>
      </c>
    </row>
    <row r="16" spans="1:10">
      <c r="A16" s="33" t="s">
        <v>3</v>
      </c>
    </row>
    <row r="17" spans="1:10">
      <c r="A17" t="s">
        <v>750</v>
      </c>
      <c r="B17" s="1" t="s">
        <v>781</v>
      </c>
      <c r="C17" s="1" t="s">
        <v>649</v>
      </c>
      <c r="D17" s="1" t="s">
        <v>684</v>
      </c>
      <c r="E17" s="1" t="s">
        <v>650</v>
      </c>
      <c r="F17" s="1" t="s">
        <v>651</v>
      </c>
      <c r="G17" s="1" t="s">
        <v>652</v>
      </c>
      <c r="H17" s="1" t="s">
        <v>653</v>
      </c>
      <c r="I17" s="1" t="s">
        <v>654</v>
      </c>
      <c r="J17" s="1" t="s">
        <v>751</v>
      </c>
    </row>
    <row r="18" spans="1:10">
      <c r="A18" t="s">
        <v>1176</v>
      </c>
      <c r="B18" s="76">
        <v>0</v>
      </c>
      <c r="C18" s="70" t="s">
        <v>663</v>
      </c>
      <c r="D18" s="70" t="s">
        <v>104</v>
      </c>
      <c r="E18" s="68">
        <f>B18</f>
        <v>0</v>
      </c>
      <c r="F18" s="68">
        <v>0</v>
      </c>
      <c r="G18" s="68">
        <v>0</v>
      </c>
      <c r="H18" s="68">
        <v>0</v>
      </c>
      <c r="I18" s="68">
        <v>0</v>
      </c>
      <c r="J18" s="68">
        <f>SUM(G18,H18,I18)</f>
        <v>0</v>
      </c>
    </row>
    <row r="19" spans="1:10">
      <c r="A19" t="s">
        <v>797</v>
      </c>
      <c r="B19" s="26">
        <v>-237251</v>
      </c>
      <c r="C19" s="70" t="s">
        <v>663</v>
      </c>
      <c r="D19" s="70" t="s">
        <v>104</v>
      </c>
      <c r="E19" s="68">
        <f t="shared" ref="E19:E25" si="1">B19</f>
        <v>-237251</v>
      </c>
      <c r="F19" s="68">
        <f>VLOOKUP(A19,'GHG Factors FY20'!A:L,8,FALSE)*E19</f>
        <v>-854.10360000000003</v>
      </c>
      <c r="G19" s="68">
        <f>VLOOKUP(A19,'GHG Factors FY20'!A:L,10,FALSE)*E19</f>
        <v>0</v>
      </c>
      <c r="H19" s="68">
        <f>VLOOKUP(A19,'GHG Factors FY20'!A:L,11,FALSE)*E19</f>
        <v>-192173.31000000003</v>
      </c>
      <c r="I19" s="68">
        <f>VLOOKUP(A19,'GHG Factors FY20'!A:L,12,FALSE)*E19</f>
        <v>-21352.59</v>
      </c>
      <c r="J19" s="68">
        <f t="shared" ref="J19:J25" si="2">SUM(G19,H19,I19)</f>
        <v>-213525.90000000002</v>
      </c>
    </row>
    <row r="20" spans="1:10">
      <c r="A20" t="s">
        <v>798</v>
      </c>
      <c r="B20" s="26">
        <v>-196867</v>
      </c>
      <c r="C20" s="70" t="s">
        <v>663</v>
      </c>
      <c r="D20" s="70" t="s">
        <v>104</v>
      </c>
      <c r="E20" s="68">
        <f t="shared" si="1"/>
        <v>-196867</v>
      </c>
      <c r="F20" s="68">
        <f>VLOOKUP(A20,'GHG Factors FY20'!A:L,8,FALSE)*E20</f>
        <v>-708.72119999999995</v>
      </c>
      <c r="G20" s="68">
        <f>VLOOKUP(A20,'GHG Factors FY20'!A:L,10,FALSE)*E20</f>
        <v>0</v>
      </c>
      <c r="H20" s="68">
        <f>VLOOKUP(A20,'GHG Factors FY20'!A:L,11,FALSE)*E20</f>
        <v>-124026.21</v>
      </c>
      <c r="I20" s="68">
        <f>VLOOKUP(A20,'GHG Factors FY20'!A:L,12,FALSE)*E20</f>
        <v>-15749.36</v>
      </c>
      <c r="J20" s="68">
        <f t="shared" si="2"/>
        <v>-139775.57</v>
      </c>
    </row>
    <row r="21" spans="1:10">
      <c r="A21" t="s">
        <v>799</v>
      </c>
      <c r="B21" s="26">
        <v>-343581</v>
      </c>
      <c r="C21" s="70" t="s">
        <v>663</v>
      </c>
      <c r="D21" s="70" t="s">
        <v>104</v>
      </c>
      <c r="E21" s="68">
        <f t="shared" si="1"/>
        <v>-343581</v>
      </c>
      <c r="F21" s="68">
        <f>VLOOKUP(A21,'GHG Factors FY20'!A:L,8,FALSE)*E21</f>
        <v>-1236.8915999999999</v>
      </c>
      <c r="G21" s="68">
        <f>VLOOKUP(A21,'GHG Factors FY20'!A:L,10,FALSE)*E21</f>
        <v>0</v>
      </c>
      <c r="H21" s="68">
        <f>VLOOKUP(A21,'GHG Factors FY20'!A:L,11,FALSE)*E21</f>
        <v>-278300.61000000004</v>
      </c>
      <c r="I21" s="68">
        <f>VLOOKUP(A21,'GHG Factors FY20'!A:L,12,FALSE)*E21</f>
        <v>-41229.72</v>
      </c>
      <c r="J21" s="68">
        <f t="shared" si="2"/>
        <v>-319530.33000000007</v>
      </c>
    </row>
    <row r="22" spans="1:10">
      <c r="A22" t="s">
        <v>800</v>
      </c>
      <c r="B22" s="26">
        <v>-206598</v>
      </c>
      <c r="C22" s="70" t="s">
        <v>663</v>
      </c>
      <c r="D22" s="70" t="s">
        <v>104</v>
      </c>
      <c r="E22" s="68">
        <f t="shared" si="1"/>
        <v>-206598</v>
      </c>
      <c r="F22" s="68">
        <f>VLOOKUP(A22,'GHG Factors FY20'!A:L,8,FALSE)*E22</f>
        <v>-743.75279999999998</v>
      </c>
      <c r="G22" s="68">
        <f>VLOOKUP(A22,'GHG Factors FY20'!A:L,10,FALSE)*E22</f>
        <v>0</v>
      </c>
      <c r="H22" s="68">
        <f>VLOOKUP(A22,'GHG Factors FY20'!A:L,11,FALSE)*E22</f>
        <v>-90903.12</v>
      </c>
      <c r="I22" s="68">
        <f>VLOOKUP(A22,'GHG Factors FY20'!A:L,12,FALSE)*E22</f>
        <v>-20659.800000000003</v>
      </c>
      <c r="J22" s="68">
        <f t="shared" si="2"/>
        <v>-111562.92</v>
      </c>
    </row>
    <row r="23" spans="1:10">
      <c r="A23" t="s">
        <v>801</v>
      </c>
      <c r="B23" s="26">
        <v>-99539</v>
      </c>
      <c r="C23" s="70" t="s">
        <v>663</v>
      </c>
      <c r="D23" s="70" t="s">
        <v>104</v>
      </c>
      <c r="E23" s="68">
        <f t="shared" si="1"/>
        <v>-99539</v>
      </c>
      <c r="F23" s="68">
        <f>VLOOKUP(A23,'GHG Factors FY20'!A:L,8,FALSE)*E23</f>
        <v>-358.34039999999999</v>
      </c>
      <c r="G23" s="68">
        <f>VLOOKUP(A23,'GHG Factors FY20'!A:L,10,FALSE)*E23</f>
        <v>0</v>
      </c>
      <c r="H23" s="68">
        <f>VLOOKUP(A23,'GHG Factors FY20'!A:L,11,FALSE)*E23</f>
        <v>-14930.849999999999</v>
      </c>
      <c r="I23" s="68">
        <f>VLOOKUP(A23,'GHG Factors FY20'!A:L,12,FALSE)*E23</f>
        <v>-1990.78</v>
      </c>
      <c r="J23" s="68">
        <f t="shared" si="2"/>
        <v>-16921.629999999997</v>
      </c>
    </row>
    <row r="24" spans="1:10">
      <c r="A24" t="s">
        <v>802</v>
      </c>
      <c r="B24" s="26">
        <v>-176812</v>
      </c>
      <c r="C24" s="70" t="s">
        <v>663</v>
      </c>
      <c r="D24" s="70" t="s">
        <v>104</v>
      </c>
      <c r="E24" s="68">
        <f t="shared" si="1"/>
        <v>-176812</v>
      </c>
      <c r="F24" s="68">
        <f>VLOOKUP(A24,'GHG Factors FY20'!A:L,8,FALSE)*E24</f>
        <v>-636.52319999999997</v>
      </c>
      <c r="G24" s="68">
        <f>VLOOKUP(A24,'GHG Factors FY20'!A:L,10,FALSE)*E24</f>
        <v>0</v>
      </c>
      <c r="H24" s="68">
        <f>VLOOKUP(A24,'GHG Factors FY20'!A:L,11,FALSE)*E24</f>
        <v>-180348.24</v>
      </c>
      <c r="I24" s="68">
        <f>VLOOKUP(A24,'GHG Factors FY20'!A:L,12,FALSE)*E24</f>
        <v>-17681.2</v>
      </c>
      <c r="J24" s="68">
        <f t="shared" si="2"/>
        <v>-198029.44</v>
      </c>
    </row>
    <row r="25" spans="1:10">
      <c r="A25" t="s">
        <v>803</v>
      </c>
      <c r="B25" s="26">
        <v>-161172</v>
      </c>
      <c r="C25" s="70" t="s">
        <v>663</v>
      </c>
      <c r="D25" s="70" t="s">
        <v>104</v>
      </c>
      <c r="E25" s="68">
        <f t="shared" si="1"/>
        <v>-161172</v>
      </c>
      <c r="F25" s="68">
        <f>VLOOKUP(A25,'GHG Factors FY20'!A:L,8,FALSE)*E25</f>
        <v>-580.2192</v>
      </c>
      <c r="G25" s="68">
        <f>VLOOKUP(A25,'GHG Factors FY20'!A:L,10,FALSE)*E25</f>
        <v>0</v>
      </c>
      <c r="H25" s="68">
        <f>VLOOKUP(A25,'GHG Factors FY20'!A:L,11,FALSE)*E25</f>
        <v>-111208.68</v>
      </c>
      <c r="I25" s="68">
        <f>VLOOKUP(A25,'GHG Factors FY20'!A:L,12,FALSE)*E25</f>
        <v>-6446.88</v>
      </c>
      <c r="J25" s="68">
        <f t="shared" si="2"/>
        <v>-117655.56</v>
      </c>
    </row>
    <row r="27" spans="1:10">
      <c r="A27" s="69"/>
    </row>
  </sheetData>
  <pageMargins left="0.7" right="0.7" top="0.75" bottom="0.75" header="0.3" footer="0.3"/>
  <pageSetup paperSize="9" orientation="portrait"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7C8C2-DE3A-4024-822C-10F222273BDF}">
  <sheetPr codeName="Sheet47">
    <tabColor rgb="FF00B050"/>
  </sheetPr>
  <dimension ref="A1:K13"/>
  <sheetViews>
    <sheetView workbookViewId="0">
      <selection activeCell="F4" sqref="F4"/>
    </sheetView>
  </sheetViews>
  <sheetFormatPr defaultColWidth="8.8984375" defaultRowHeight="13.8"/>
  <cols>
    <col min="1" max="1" width="22.8984375" customWidth="1"/>
    <col min="2" max="2" width="19.8984375" bestFit="1" customWidth="1"/>
    <col min="4" max="4" width="15.09765625" bestFit="1" customWidth="1"/>
    <col min="5" max="5" width="26.59765625" bestFit="1" customWidth="1"/>
    <col min="6" max="6" width="14.59765625" bestFit="1" customWidth="1"/>
    <col min="7" max="9" width="22.8984375" bestFit="1" customWidth="1"/>
    <col min="10" max="10" width="21.09765625" bestFit="1" customWidth="1"/>
    <col min="11" max="11" width="9.59765625" bestFit="1" customWidth="1"/>
  </cols>
  <sheetData>
    <row r="1" spans="1:11">
      <c r="A1" s="647" t="s">
        <v>1178</v>
      </c>
    </row>
    <row r="2" spans="1:11">
      <c r="A2" s="36" t="s">
        <v>750</v>
      </c>
      <c r="B2" s="71" t="s">
        <v>781</v>
      </c>
      <c r="C2" s="71" t="s">
        <v>649</v>
      </c>
      <c r="D2" s="71" t="s">
        <v>684</v>
      </c>
      <c r="E2" s="71" t="s">
        <v>650</v>
      </c>
      <c r="F2" s="71" t="s">
        <v>651</v>
      </c>
      <c r="G2" s="71" t="s">
        <v>652</v>
      </c>
      <c r="H2" s="71" t="s">
        <v>653</v>
      </c>
      <c r="I2" s="71" t="s">
        <v>654</v>
      </c>
      <c r="J2" s="37" t="s">
        <v>751</v>
      </c>
    </row>
    <row r="3" spans="1:11">
      <c r="A3" t="s">
        <v>767</v>
      </c>
      <c r="B3" s="5">
        <v>0</v>
      </c>
      <c r="C3" s="799" t="s">
        <v>663</v>
      </c>
      <c r="D3" s="799" t="s">
        <v>104</v>
      </c>
      <c r="E3" s="800">
        <f>B3</f>
        <v>0</v>
      </c>
      <c r="F3" s="800">
        <f>VLOOKUP(A3,'GHG Factors FY21'!A:K, 8, FALSE)*E3</f>
        <v>0</v>
      </c>
      <c r="G3" s="803">
        <f>VLOOKUP(A3,'GHG Factors FY21'!A:K, 10, FALSE)*E3</f>
        <v>0</v>
      </c>
      <c r="H3" s="803">
        <f>VLOOKUP(A3,'GHG Factors FY21'!A:K, 11, FALSE)*E3</f>
        <v>0</v>
      </c>
      <c r="I3" s="800"/>
      <c r="J3" s="801">
        <f>SUM(G3,H3,I3)</f>
        <v>0</v>
      </c>
    </row>
    <row r="4" spans="1:11">
      <c r="A4" t="s">
        <v>768</v>
      </c>
      <c r="B4" s="5">
        <v>-559140.76099999924</v>
      </c>
      <c r="C4" s="799" t="s">
        <v>663</v>
      </c>
      <c r="D4" s="799" t="s">
        <v>104</v>
      </c>
      <c r="E4" s="800">
        <f t="shared" ref="E4:E10" si="0">B4</f>
        <v>-559140.76099999924</v>
      </c>
      <c r="F4" s="800">
        <f>VLOOKUP(A4,'GHG Factors FY21'!A:K, 8, FALSE)*E4</f>
        <v>-2012.9067395999973</v>
      </c>
      <c r="G4" s="803">
        <f>VLOOKUP(A4,'GHG Factors FY21'!A:K, 10, FALSE)*E4</f>
        <v>0</v>
      </c>
      <c r="H4" s="803">
        <f>VLOOKUP(A4,'GHG Factors FY21'!A:K, 11, FALSE)*E4</f>
        <v>-452904.0164099994</v>
      </c>
      <c r="I4" s="68"/>
      <c r="J4" s="801">
        <f t="shared" ref="J4:J10" si="1">SUM(G4,H4,I4)</f>
        <v>-452904.0164099994</v>
      </c>
      <c r="K4" s="241"/>
    </row>
    <row r="5" spans="1:11">
      <c r="A5" t="s">
        <v>769</v>
      </c>
      <c r="B5" s="5">
        <v>0</v>
      </c>
      <c r="C5" s="799" t="s">
        <v>663</v>
      </c>
      <c r="D5" s="799" t="s">
        <v>104</v>
      </c>
      <c r="E5" s="800">
        <f t="shared" si="0"/>
        <v>0</v>
      </c>
      <c r="F5" s="800">
        <f>VLOOKUP(A5,'GHG Factors FY21'!A:K, 8, FALSE)*E5</f>
        <v>0</v>
      </c>
      <c r="G5" s="803">
        <f>VLOOKUP(A5,'GHG Factors FY21'!A:K, 10, FALSE)*E5</f>
        <v>0</v>
      </c>
      <c r="H5" s="803">
        <f>VLOOKUP(A5,'GHG Factors FY21'!A:K, 11, FALSE)*E5</f>
        <v>0</v>
      </c>
      <c r="I5" s="800"/>
      <c r="J5" s="802">
        <f t="shared" si="1"/>
        <v>0</v>
      </c>
      <c r="K5" s="241"/>
    </row>
    <row r="6" spans="1:11">
      <c r="A6" t="s">
        <v>770</v>
      </c>
      <c r="B6" s="5">
        <v>-816554.24599999993</v>
      </c>
      <c r="C6" s="799" t="s">
        <v>663</v>
      </c>
      <c r="D6" s="799" t="s">
        <v>104</v>
      </c>
      <c r="E6" s="800">
        <f t="shared" si="0"/>
        <v>-816554.24599999993</v>
      </c>
      <c r="F6" s="800">
        <f>VLOOKUP(A6,'GHG Factors FY21'!A:K, 8, FALSE)*E6</f>
        <v>-2939.5952855999994</v>
      </c>
      <c r="G6" s="803">
        <f>VLOOKUP(A6,'GHG Factors FY21'!A:K, 10, FALSE)*E6</f>
        <v>0</v>
      </c>
      <c r="H6" s="803">
        <f>VLOOKUP(A6,'GHG Factors FY21'!A:K, 11, FALSE)*E6</f>
        <v>-661408.93926000001</v>
      </c>
      <c r="I6" s="68"/>
      <c r="J6" s="801">
        <f t="shared" si="1"/>
        <v>-661408.93926000001</v>
      </c>
      <c r="K6" s="241"/>
    </row>
    <row r="7" spans="1:11">
      <c r="A7" t="s">
        <v>771</v>
      </c>
      <c r="B7" s="5">
        <v>-78722.48090310808</v>
      </c>
      <c r="C7" s="799" t="s">
        <v>663</v>
      </c>
      <c r="D7" s="799" t="s">
        <v>104</v>
      </c>
      <c r="E7" s="800">
        <f t="shared" si="0"/>
        <v>-78722.48090310808</v>
      </c>
      <c r="F7" s="800">
        <f>VLOOKUP(A7,'GHG Factors FY21'!A:K, 8, FALSE)*E7</f>
        <v>-283.40093125118909</v>
      </c>
      <c r="G7" s="803">
        <f>VLOOKUP(A7,'GHG Factors FY21'!A:K, 10, FALSE)*E7</f>
        <v>0</v>
      </c>
      <c r="H7" s="803">
        <f>VLOOKUP(A7,'GHG Factors FY21'!A:K, 11, FALSE)*E7</f>
        <v>-33850.666788336472</v>
      </c>
      <c r="I7" s="800"/>
      <c r="J7" s="802">
        <f t="shared" si="1"/>
        <v>-33850.666788336472</v>
      </c>
      <c r="K7" s="241"/>
    </row>
    <row r="8" spans="1:11">
      <c r="A8" t="s">
        <v>772</v>
      </c>
      <c r="B8" s="5">
        <v>0</v>
      </c>
      <c r="C8" s="799" t="s">
        <v>663</v>
      </c>
      <c r="D8" s="799" t="s">
        <v>104</v>
      </c>
      <c r="E8" s="800">
        <f t="shared" si="0"/>
        <v>0</v>
      </c>
      <c r="F8" s="800">
        <f>VLOOKUP(A8,'GHG Factors FY21'!A:K, 8, FALSE)*E8</f>
        <v>0</v>
      </c>
      <c r="G8" s="803">
        <f>VLOOKUP(A8,'GHG Factors FY21'!A:K, 10, FALSE)*E8</f>
        <v>0</v>
      </c>
      <c r="H8" s="803">
        <f>VLOOKUP(A8,'GHG Factors FY21'!A:K, 11, FALSE)*E8</f>
        <v>0</v>
      </c>
      <c r="I8" s="68"/>
      <c r="J8" s="801">
        <f t="shared" si="1"/>
        <v>0</v>
      </c>
      <c r="K8" s="241"/>
    </row>
    <row r="9" spans="1:11">
      <c r="A9" t="s">
        <v>773</v>
      </c>
      <c r="B9" s="5">
        <v>-115694.90591107099</v>
      </c>
      <c r="C9" s="799" t="s">
        <v>663</v>
      </c>
      <c r="D9" s="799" t="s">
        <v>104</v>
      </c>
      <c r="E9" s="800">
        <f t="shared" si="0"/>
        <v>-115694.90591107099</v>
      </c>
      <c r="F9" s="800">
        <f>VLOOKUP(A9,'GHG Factors FY21'!A:K, 8, FALSE)*E9</f>
        <v>-416.50166127985557</v>
      </c>
      <c r="G9" s="803">
        <f>VLOOKUP(A9,'GHG Factors FY21'!A:K, 10, FALSE)*E9</f>
        <v>0</v>
      </c>
      <c r="H9" s="803">
        <f>VLOOKUP(A9,'GHG Factors FY21'!A:K, 11, FALSE)*E9</f>
        <v>-113381.00779284957</v>
      </c>
      <c r="I9" s="800"/>
      <c r="J9" s="802">
        <f t="shared" si="1"/>
        <v>-113381.00779284957</v>
      </c>
      <c r="K9" s="241"/>
    </row>
    <row r="10" spans="1:11">
      <c r="A10" t="s">
        <v>774</v>
      </c>
      <c r="B10" s="5">
        <v>0</v>
      </c>
      <c r="C10" s="799" t="s">
        <v>663</v>
      </c>
      <c r="D10" s="799" t="s">
        <v>104</v>
      </c>
      <c r="E10" s="800">
        <f t="shared" si="0"/>
        <v>0</v>
      </c>
      <c r="F10" s="800">
        <f>VLOOKUP(A10,'GHG Factors FY21'!A:K, 8, FALSE)*E10</f>
        <v>0</v>
      </c>
      <c r="G10" s="803">
        <f>VLOOKUP(A10,'GHG Factors FY21'!A:K, 10, FALSE)*E10</f>
        <v>0</v>
      </c>
      <c r="H10" s="803">
        <f>VLOOKUP(A10,'GHG Factors FY21'!A:K, 11, FALSE)*E10</f>
        <v>0</v>
      </c>
      <c r="I10" s="68"/>
      <c r="J10" s="801">
        <f t="shared" si="1"/>
        <v>0</v>
      </c>
    </row>
    <row r="11" spans="1:11">
      <c r="B11" s="5">
        <f>SUM(B3:B10)</f>
        <v>-1570112.3938141784</v>
      </c>
    </row>
    <row r="13" spans="1:11">
      <c r="A13" s="814" t="s">
        <v>1179</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00B050"/>
  </sheetPr>
  <dimension ref="A1:J29"/>
  <sheetViews>
    <sheetView zoomScale="70" zoomScaleNormal="70" workbookViewId="0">
      <selection activeCell="F4" sqref="F4"/>
    </sheetView>
  </sheetViews>
  <sheetFormatPr defaultColWidth="8.8984375" defaultRowHeight="13.8"/>
  <cols>
    <col min="1" max="1" width="30.59765625" bestFit="1" customWidth="1"/>
    <col min="2" max="3" width="22.59765625" bestFit="1" customWidth="1"/>
    <col min="5" max="5" width="26.59765625" customWidth="1"/>
    <col min="6" max="6" width="9.09765625" bestFit="1" customWidth="1"/>
    <col min="7" max="7" width="8.8984375" bestFit="1" customWidth="1"/>
    <col min="8" max="10" width="15.5" customWidth="1"/>
  </cols>
  <sheetData>
    <row r="1" spans="1:10">
      <c r="A1" s="813" t="s">
        <v>3</v>
      </c>
      <c r="B1" s="813" t="s">
        <v>1180</v>
      </c>
    </row>
    <row r="2" spans="1:10">
      <c r="A2" t="s">
        <v>750</v>
      </c>
      <c r="B2" s="1" t="s">
        <v>781</v>
      </c>
      <c r="C2" s="1" t="s">
        <v>649</v>
      </c>
      <c r="D2" s="1" t="s">
        <v>684</v>
      </c>
      <c r="E2" s="1" t="s">
        <v>650</v>
      </c>
      <c r="F2" s="1" t="s">
        <v>651</v>
      </c>
      <c r="G2" s="1" t="s">
        <v>652</v>
      </c>
      <c r="H2" s="1" t="s">
        <v>653</v>
      </c>
      <c r="I2" s="1" t="s">
        <v>654</v>
      </c>
      <c r="J2" s="1" t="s">
        <v>751</v>
      </c>
    </row>
    <row r="3" spans="1:10">
      <c r="A3" t="s">
        <v>812</v>
      </c>
      <c r="B3" s="77">
        <v>0</v>
      </c>
      <c r="C3" s="70" t="s">
        <v>663</v>
      </c>
      <c r="D3" s="70" t="s">
        <v>104</v>
      </c>
      <c r="E3" s="70">
        <f>B3</f>
        <v>0</v>
      </c>
      <c r="F3" s="70">
        <v>0</v>
      </c>
      <c r="G3" s="70">
        <v>0</v>
      </c>
      <c r="H3" s="70">
        <v>0</v>
      </c>
      <c r="I3" s="70">
        <v>0</v>
      </c>
      <c r="J3" s="70">
        <f>SUM(G3,H3,I3)</f>
        <v>0</v>
      </c>
    </row>
    <row r="4" spans="1:10">
      <c r="A4" t="s">
        <v>813</v>
      </c>
      <c r="B4" s="77">
        <v>879335.93046640581</v>
      </c>
      <c r="C4" s="194" t="s">
        <v>663</v>
      </c>
      <c r="D4" s="194" t="s">
        <v>104</v>
      </c>
      <c r="E4" s="194">
        <f t="shared" ref="E4" si="0">B4</f>
        <v>879335.93046640581</v>
      </c>
      <c r="F4" s="194">
        <f>VLOOKUP(A4,'GHG Factors FY21'!A:L,8,FALSE)*E4</f>
        <v>3165.6093496790609</v>
      </c>
      <c r="G4" s="194">
        <f>VLOOKUP(A4,'GHG Factors FY21'!A:L,10,FALSE)*E4</f>
        <v>0</v>
      </c>
      <c r="H4" s="194">
        <f>VLOOKUP(A4,'GHG Factors FY21'!A:L,11,FALSE)*E4</f>
        <v>712262.10367778875</v>
      </c>
      <c r="I4" s="194">
        <f>VLOOKUP(A4,'GHG Factors FY21'!A:L,12,FALSE)*E4</f>
        <v>79140.233741976524</v>
      </c>
      <c r="J4" s="194">
        <f t="shared" ref="J4" si="1">SUM(G4,H4,I4)</f>
        <v>791402.3374197653</v>
      </c>
    </row>
    <row r="5" spans="1:10">
      <c r="A5" t="s">
        <v>814</v>
      </c>
      <c r="B5" s="77">
        <v>19301.337913846153</v>
      </c>
      <c r="C5" s="194" t="s">
        <v>663</v>
      </c>
      <c r="D5" s="194" t="s">
        <v>104</v>
      </c>
      <c r="E5" s="194">
        <f t="shared" ref="E5:E10" si="2">B5</f>
        <v>19301.337913846153</v>
      </c>
      <c r="F5" s="194">
        <f>VLOOKUP(A5,'GHG Factors FY21'!A:L,8,FALSE)*E5</f>
        <v>69.484816489846153</v>
      </c>
      <c r="G5" s="194">
        <f>VLOOKUP(A5,'GHG Factors FY21'!A:L,10,FALSE)*E5</f>
        <v>0</v>
      </c>
      <c r="H5" s="194">
        <f>VLOOKUP(A5,'GHG Factors FY21'!A:L,11,FALSE)*E5</f>
        <v>11966.829506584614</v>
      </c>
      <c r="I5" s="194">
        <f>VLOOKUP(A5,'GHG Factors FY21'!A:L,12,FALSE)*E5</f>
        <v>1351.0936539692309</v>
      </c>
      <c r="J5" s="194">
        <f t="shared" ref="J5:J10" si="3">SUM(G5,H5,I5)</f>
        <v>13317.923160553844</v>
      </c>
    </row>
    <row r="6" spans="1:10">
      <c r="A6" t="s">
        <v>815</v>
      </c>
      <c r="B6" s="77">
        <v>355695.11463636975</v>
      </c>
      <c r="C6" s="194" t="s">
        <v>663</v>
      </c>
      <c r="D6" s="194" t="s">
        <v>104</v>
      </c>
      <c r="E6" s="194">
        <f t="shared" si="2"/>
        <v>355695.11463636975</v>
      </c>
      <c r="F6" s="194">
        <f>VLOOKUP(A6,'GHG Factors FY21'!A:L,8,FALSE)*E6</f>
        <v>1280.5024126909311</v>
      </c>
      <c r="G6" s="194">
        <f>VLOOKUP(A6,'GHG Factors FY21'!A:L,10,FALSE)*E6</f>
        <v>0</v>
      </c>
      <c r="H6" s="194">
        <f>VLOOKUP(A6,'GHG Factors FY21'!A:L,11,FALSE)*E6</f>
        <v>288113.0428554595</v>
      </c>
      <c r="I6" s="194">
        <f>VLOOKUP(A6,'GHG Factors FY21'!A:L,12,FALSE)*E6</f>
        <v>42683.413756364367</v>
      </c>
      <c r="J6" s="194">
        <f t="shared" si="3"/>
        <v>330796.45661182387</v>
      </c>
    </row>
    <row r="7" spans="1:10">
      <c r="A7" t="s">
        <v>816</v>
      </c>
      <c r="B7" s="77">
        <v>130244.99399999998</v>
      </c>
      <c r="C7" s="194" t="s">
        <v>663</v>
      </c>
      <c r="D7" s="194" t="s">
        <v>104</v>
      </c>
      <c r="E7" s="194">
        <f t="shared" si="2"/>
        <v>130244.99399999998</v>
      </c>
      <c r="F7" s="194">
        <f>VLOOKUP(A7,'GHG Factors FY21'!A:L,8,FALSE)*E7</f>
        <v>468.88197839999992</v>
      </c>
      <c r="G7" s="194">
        <f>VLOOKUP(A7,'GHG Factors FY21'!A:L,10,FALSE)*E7</f>
        <v>0</v>
      </c>
      <c r="H7" s="194">
        <f>VLOOKUP(A7,'GHG Factors FY21'!A:L,11,FALSE)*E7</f>
        <v>56005.347419999991</v>
      </c>
      <c r="I7" s="194">
        <f>VLOOKUP(A7,'GHG Factors FY21'!A:L,12,FALSE)*E7</f>
        <v>11722.049459999998</v>
      </c>
      <c r="J7" s="194">
        <f t="shared" si="3"/>
        <v>67727.396879999986</v>
      </c>
    </row>
    <row r="8" spans="1:10">
      <c r="A8" t="s">
        <v>817</v>
      </c>
      <c r="B8" s="77">
        <v>50305.967405882358</v>
      </c>
      <c r="C8" s="194" t="s">
        <v>663</v>
      </c>
      <c r="D8" s="194" t="s">
        <v>104</v>
      </c>
      <c r="E8" s="194">
        <f t="shared" si="2"/>
        <v>50305.967405882358</v>
      </c>
      <c r="F8" s="194">
        <f>VLOOKUP(A8,'GHG Factors FY21'!A:L,8,FALSE)*E8</f>
        <v>181.10148266117648</v>
      </c>
      <c r="G8" s="194">
        <f>VLOOKUP(A8,'GHG Factors FY21'!A:L,10,FALSE)*E8</f>
        <v>0</v>
      </c>
      <c r="H8" s="194">
        <f>VLOOKUP(A8,'GHG Factors FY21'!A:L,11,FALSE)*E8</f>
        <v>8552.0144590000018</v>
      </c>
      <c r="I8" s="194">
        <f>VLOOKUP(A8,'GHG Factors FY21'!A:L,12,FALSE)*E8</f>
        <v>1006.1193481176472</v>
      </c>
      <c r="J8" s="194">
        <f t="shared" si="3"/>
        <v>9558.1338071176488</v>
      </c>
    </row>
    <row r="9" spans="1:10">
      <c r="A9" t="s">
        <v>818</v>
      </c>
      <c r="B9" s="77">
        <v>510705.33473094652</v>
      </c>
      <c r="C9" s="194" t="s">
        <v>663</v>
      </c>
      <c r="D9" s="194" t="s">
        <v>104</v>
      </c>
      <c r="E9" s="194">
        <f t="shared" si="2"/>
        <v>510705.33473094652</v>
      </c>
      <c r="F9" s="194">
        <f>VLOOKUP(A9,'GHG Factors FY21'!A:L,8,FALSE)*E9</f>
        <v>1838.5392050314074</v>
      </c>
      <c r="G9" s="194">
        <f>VLOOKUP(A9,'GHG Factors FY21'!A:L,10,FALSE)*E9</f>
        <v>0</v>
      </c>
      <c r="H9" s="194">
        <f>VLOOKUP(A9,'GHG Factors FY21'!A:L,11,FALSE)*E9</f>
        <v>500491.22803632758</v>
      </c>
      <c r="I9" s="194">
        <f>VLOOKUP(A9,'GHG Factors FY21'!A:L,12,FALSE)*E9</f>
        <v>56177.586820404118</v>
      </c>
      <c r="J9" s="194">
        <f t="shared" si="3"/>
        <v>556668.81485673168</v>
      </c>
    </row>
    <row r="10" spans="1:10">
      <c r="A10" t="s">
        <v>819</v>
      </c>
      <c r="B10" s="77">
        <v>365415.06917622831</v>
      </c>
      <c r="C10" s="194" t="s">
        <v>663</v>
      </c>
      <c r="D10" s="194" t="s">
        <v>104</v>
      </c>
      <c r="E10" s="194">
        <f t="shared" si="2"/>
        <v>365415.06917622831</v>
      </c>
      <c r="F10" s="194">
        <f>VLOOKUP(A10,'GHG Factors FY21'!A:L,8,FALSE)*E10</f>
        <v>1315.494249034422</v>
      </c>
      <c r="G10" s="194">
        <f>VLOOKUP(A10,'GHG Factors FY21'!A:L,10,FALSE)*E10</f>
        <v>0</v>
      </c>
      <c r="H10" s="194">
        <f>VLOOKUP(A10,'GHG Factors FY21'!A:L,11,FALSE)*E10</f>
        <v>248482.24703983526</v>
      </c>
      <c r="I10" s="194">
        <f>VLOOKUP(A10,'GHG Factors FY21'!A:L,12,FALSE)*E10</f>
        <v>7308.3013835245665</v>
      </c>
      <c r="J10" s="194">
        <f t="shared" si="3"/>
        <v>255790.54842335984</v>
      </c>
    </row>
    <row r="12" spans="1:10">
      <c r="E12">
        <f>SUM(TelstraBCAFY20[Sum of Consumption Quantity])</f>
        <v>2311003.748329679</v>
      </c>
    </row>
    <row r="13" spans="1:10">
      <c r="A13" s="647"/>
    </row>
    <row r="14" spans="1:10">
      <c r="A14" t="s">
        <v>1181</v>
      </c>
      <c r="D14" t="s">
        <v>1173</v>
      </c>
      <c r="E14">
        <v>2288996.3297000001</v>
      </c>
    </row>
    <row r="15" spans="1:10">
      <c r="A15" t="s">
        <v>1182</v>
      </c>
    </row>
    <row r="18" spans="1:10">
      <c r="A18" s="33" t="s">
        <v>3</v>
      </c>
    </row>
    <row r="19" spans="1:10">
      <c r="A19" t="s">
        <v>750</v>
      </c>
      <c r="B19" s="1" t="s">
        <v>781</v>
      </c>
      <c r="C19" s="1" t="s">
        <v>649</v>
      </c>
      <c r="D19" s="1" t="s">
        <v>684</v>
      </c>
      <c r="E19" s="1" t="s">
        <v>650</v>
      </c>
      <c r="F19" s="1" t="s">
        <v>651</v>
      </c>
      <c r="G19" s="1" t="s">
        <v>652</v>
      </c>
      <c r="H19" s="1" t="s">
        <v>653</v>
      </c>
      <c r="I19" s="1" t="s">
        <v>654</v>
      </c>
      <c r="J19" s="1" t="s">
        <v>751</v>
      </c>
    </row>
    <row r="20" spans="1:10">
      <c r="A20" t="s">
        <v>812</v>
      </c>
      <c r="B20" s="77">
        <v>0</v>
      </c>
      <c r="C20" s="70" t="s">
        <v>663</v>
      </c>
      <c r="D20" s="70" t="s">
        <v>104</v>
      </c>
      <c r="E20" s="70">
        <f>B20</f>
        <v>0</v>
      </c>
      <c r="F20" s="70">
        <v>0</v>
      </c>
      <c r="G20" s="70">
        <v>0</v>
      </c>
      <c r="H20" s="70">
        <v>0</v>
      </c>
      <c r="I20" s="70">
        <v>0</v>
      </c>
      <c r="J20" s="70">
        <f>SUM(G20,H20,I20)</f>
        <v>0</v>
      </c>
    </row>
    <row r="21" spans="1:10">
      <c r="A21" t="s">
        <v>813</v>
      </c>
      <c r="B21" s="430">
        <v>881725.51019222126</v>
      </c>
      <c r="C21" s="194" t="s">
        <v>663</v>
      </c>
      <c r="D21" s="194" t="s">
        <v>104</v>
      </c>
      <c r="E21" s="194">
        <f t="shared" ref="E21:E27" si="4">B21</f>
        <v>881725.51019222126</v>
      </c>
      <c r="F21" s="194">
        <f>VLOOKUP(A21,'GHG Factors FY20'!A:L,8,FALSE)*E21</f>
        <v>3174.2118366919963</v>
      </c>
      <c r="G21" s="194">
        <f>VLOOKUP(A21,'GHG Factors FY20'!A:L,10,FALSE)*E21</f>
        <v>0</v>
      </c>
      <c r="H21" s="194">
        <f>VLOOKUP(A21,'GHG Factors FY20'!A:L,11,FALSE)*E21</f>
        <v>714197.66325569933</v>
      </c>
      <c r="I21" s="194">
        <f>VLOOKUP(A21,'GHG Factors FY20'!A:L,12,FALSE)*E21</f>
        <v>79355.295917299911</v>
      </c>
      <c r="J21" s="194">
        <f t="shared" ref="J21:J27" si="5">SUM(G21,H21,I21)</f>
        <v>793552.95917299925</v>
      </c>
    </row>
    <row r="22" spans="1:10">
      <c r="A22" t="s">
        <v>814</v>
      </c>
      <c r="B22" s="430">
        <v>19060.198249230765</v>
      </c>
      <c r="C22" s="194" t="s">
        <v>663</v>
      </c>
      <c r="D22" s="194" t="s">
        <v>104</v>
      </c>
      <c r="E22" s="194">
        <f t="shared" si="4"/>
        <v>19060.198249230765</v>
      </c>
      <c r="F22" s="194">
        <f>VLOOKUP(A22,'GHG Factors FY20'!A:L,8,FALSE)*E22</f>
        <v>68.61671369723075</v>
      </c>
      <c r="G22" s="194">
        <f>VLOOKUP(A22,'GHG Factors FY20'!A:L,10,FALSE)*E22</f>
        <v>0</v>
      </c>
      <c r="H22" s="194">
        <f>VLOOKUP(A22,'GHG Factors FY20'!A:L,11,FALSE)*E22</f>
        <v>12007.924897015382</v>
      </c>
      <c r="I22" s="194">
        <f>VLOOKUP(A22,'GHG Factors FY20'!A:L,12,FALSE)*E22</f>
        <v>1524.8158599384612</v>
      </c>
      <c r="J22" s="194">
        <f t="shared" si="5"/>
        <v>13532.740756953843</v>
      </c>
    </row>
    <row r="23" spans="1:10">
      <c r="A23" t="s">
        <v>815</v>
      </c>
      <c r="B23" s="430">
        <v>356011.91230695799</v>
      </c>
      <c r="C23" s="194" t="s">
        <v>663</v>
      </c>
      <c r="D23" s="194" t="s">
        <v>104</v>
      </c>
      <c r="E23" s="194">
        <f t="shared" si="4"/>
        <v>356011.91230695799</v>
      </c>
      <c r="F23" s="194">
        <f>VLOOKUP(A23,'GHG Factors FY20'!A:L,8,FALSE)*E23</f>
        <v>1281.6428843050487</v>
      </c>
      <c r="G23" s="194">
        <f>VLOOKUP(A23,'GHG Factors FY20'!A:L,10,FALSE)*E23</f>
        <v>0</v>
      </c>
      <c r="H23" s="194">
        <f>VLOOKUP(A23,'GHG Factors FY20'!A:L,11,FALSE)*E23</f>
        <v>288369.648968636</v>
      </c>
      <c r="I23" s="194">
        <f>VLOOKUP(A23,'GHG Factors FY20'!A:L,12,FALSE)*E23</f>
        <v>42721.429476834957</v>
      </c>
      <c r="J23" s="194">
        <f t="shared" si="5"/>
        <v>331091.07844547095</v>
      </c>
    </row>
    <row r="24" spans="1:10">
      <c r="A24" t="s">
        <v>816</v>
      </c>
      <c r="B24" s="430">
        <v>139388.18142857141</v>
      </c>
      <c r="C24" s="194" t="s">
        <v>663</v>
      </c>
      <c r="D24" s="194" t="s">
        <v>104</v>
      </c>
      <c r="E24" s="194">
        <f t="shared" si="4"/>
        <v>139388.18142857141</v>
      </c>
      <c r="F24" s="194">
        <f>VLOOKUP(A24,'GHG Factors FY20'!A:L,8,FALSE)*E24</f>
        <v>501.79745314285702</v>
      </c>
      <c r="G24" s="194">
        <f>VLOOKUP(A24,'GHG Factors FY20'!A:L,10,FALSE)*E24</f>
        <v>0</v>
      </c>
      <c r="H24" s="194">
        <f>VLOOKUP(A24,'GHG Factors FY20'!A:L,11,FALSE)*E24</f>
        <v>61330.79982857142</v>
      </c>
      <c r="I24" s="194">
        <f>VLOOKUP(A24,'GHG Factors FY20'!A:L,12,FALSE)*E24</f>
        <v>13938.818142857141</v>
      </c>
      <c r="J24" s="194">
        <f t="shared" si="5"/>
        <v>75269.617971428554</v>
      </c>
    </row>
    <row r="25" spans="1:10">
      <c r="A25" t="s">
        <v>817</v>
      </c>
      <c r="B25" s="430">
        <v>50305.967405882358</v>
      </c>
      <c r="C25" s="194" t="s">
        <v>663</v>
      </c>
      <c r="D25" s="194" t="s">
        <v>104</v>
      </c>
      <c r="E25" s="194">
        <f t="shared" si="4"/>
        <v>50305.967405882358</v>
      </c>
      <c r="F25" s="194">
        <f>VLOOKUP(A25,'GHG Factors FY20'!A:L,8,FALSE)*E25</f>
        <v>181.10148266117648</v>
      </c>
      <c r="G25" s="194">
        <f>VLOOKUP(A25,'GHG Factors FY20'!A:L,10,FALSE)*E25</f>
        <v>0</v>
      </c>
      <c r="H25" s="194">
        <f>VLOOKUP(A25,'GHG Factors FY20'!A:L,11,FALSE)*E25</f>
        <v>7545.895110882353</v>
      </c>
      <c r="I25" s="194">
        <f>VLOOKUP(A25,'GHG Factors FY20'!A:L,12,FALSE)*E25</f>
        <v>1006.1193481176472</v>
      </c>
      <c r="J25" s="194">
        <f t="shared" si="5"/>
        <v>8552.014459</v>
      </c>
    </row>
    <row r="26" spans="1:10">
      <c r="A26" t="s">
        <v>818</v>
      </c>
      <c r="B26" s="430">
        <v>510705.33473094652</v>
      </c>
      <c r="C26" s="194" t="s">
        <v>663</v>
      </c>
      <c r="D26" s="194" t="s">
        <v>104</v>
      </c>
      <c r="E26" s="194">
        <f t="shared" si="4"/>
        <v>510705.33473094652</v>
      </c>
      <c r="F26" s="194">
        <f>VLOOKUP(A26,'GHG Factors FY20'!A:L,8,FALSE)*E26</f>
        <v>1838.5392050314074</v>
      </c>
      <c r="G26" s="194">
        <f>VLOOKUP(A26,'GHG Factors FY20'!A:L,10,FALSE)*E26</f>
        <v>0</v>
      </c>
      <c r="H26" s="194">
        <f>VLOOKUP(A26,'GHG Factors FY20'!A:L,11,FALSE)*E26</f>
        <v>520919.44142556546</v>
      </c>
      <c r="I26" s="194">
        <f>VLOOKUP(A26,'GHG Factors FY20'!A:L,12,FALSE)*E26</f>
        <v>51070.533473094656</v>
      </c>
      <c r="J26" s="194">
        <f t="shared" si="5"/>
        <v>571989.97489866009</v>
      </c>
    </row>
    <row r="27" spans="1:10">
      <c r="A27" t="s">
        <v>819</v>
      </c>
      <c r="B27" s="430">
        <v>344018.87460359675</v>
      </c>
      <c r="C27" s="194" t="s">
        <v>663</v>
      </c>
      <c r="D27" s="194" t="s">
        <v>104</v>
      </c>
      <c r="E27" s="194">
        <f t="shared" si="4"/>
        <v>344018.87460359675</v>
      </c>
      <c r="F27" s="194">
        <f>VLOOKUP(A27,'GHG Factors FY20'!A:L,8,FALSE)*E27</f>
        <v>1238.4679485729482</v>
      </c>
      <c r="G27" s="194">
        <f>VLOOKUP(A27,'GHG Factors FY20'!A:L,10,FALSE)*E27</f>
        <v>0</v>
      </c>
      <c r="H27" s="194">
        <f>VLOOKUP(A27,'GHG Factors FY20'!A:L,11,FALSE)*E27</f>
        <v>237373.02347648173</v>
      </c>
      <c r="I27" s="194">
        <f>VLOOKUP(A27,'GHG Factors FY20'!A:L,12,FALSE)*E27</f>
        <v>13760.75498414387</v>
      </c>
      <c r="J27" s="194">
        <f t="shared" si="5"/>
        <v>251133.77846062559</v>
      </c>
    </row>
    <row r="29" spans="1:10">
      <c r="A29" s="69"/>
    </row>
  </sheetData>
  <pageMargins left="0.7" right="0.7" top="0.75" bottom="0.75" header="0.3" footer="0.3"/>
  <pageSetup paperSize="9" orientation="portrait"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00B050"/>
  </sheetPr>
  <dimension ref="A1:J92"/>
  <sheetViews>
    <sheetView topLeftCell="A23" zoomScale="65" workbookViewId="0">
      <selection activeCell="F4" sqref="F4"/>
    </sheetView>
  </sheetViews>
  <sheetFormatPr defaultColWidth="8.8984375" defaultRowHeight="13.8"/>
  <cols>
    <col min="1" max="1" width="18.59765625" customWidth="1"/>
    <col min="2" max="2" width="22.09765625" customWidth="1"/>
    <col min="3" max="3" width="11.59765625" customWidth="1"/>
    <col min="4" max="4" width="17.59765625" customWidth="1"/>
    <col min="5" max="5" width="28.8984375" style="8" customWidth="1"/>
    <col min="6" max="6" width="16.5" style="8" customWidth="1"/>
    <col min="7" max="9" width="24.59765625" style="8" customWidth="1"/>
    <col min="10" max="10" width="23.09765625" style="8" customWidth="1"/>
  </cols>
  <sheetData>
    <row r="1" spans="1:10">
      <c r="A1" s="652" t="s">
        <v>91</v>
      </c>
      <c r="B1" s="99"/>
    </row>
    <row r="2" spans="1:10">
      <c r="A2" s="126" t="s">
        <v>750</v>
      </c>
      <c r="B2" s="120" t="s">
        <v>781</v>
      </c>
      <c r="C2" s="120" t="s">
        <v>649</v>
      </c>
      <c r="D2" s="120" t="s">
        <v>684</v>
      </c>
      <c r="E2" s="221" t="s">
        <v>650</v>
      </c>
      <c r="F2" s="221" t="s">
        <v>651</v>
      </c>
      <c r="G2" s="221" t="s">
        <v>652</v>
      </c>
      <c r="H2" s="221" t="s">
        <v>653</v>
      </c>
      <c r="I2" s="221" t="s">
        <v>654</v>
      </c>
      <c r="J2" s="221" t="s">
        <v>751</v>
      </c>
    </row>
    <row r="3" spans="1:10">
      <c r="A3" s="193" t="s">
        <v>1018</v>
      </c>
      <c r="B3" s="828">
        <v>34244630.4089211</v>
      </c>
      <c r="C3" s="70" t="s">
        <v>663</v>
      </c>
      <c r="D3" s="70" t="s">
        <v>104</v>
      </c>
      <c r="E3" s="194">
        <f t="shared" ref="E3" si="0">B3</f>
        <v>34244630.4089211</v>
      </c>
      <c r="F3" s="194">
        <f>VLOOKUP(A3,'GHG Factors FY21'!A:L,8,FALSE)*E3</f>
        <v>123280.66947211596</v>
      </c>
      <c r="G3" s="194">
        <f>VLOOKUP(A3,'GHG Factors FY21'!A:L,10,FALSE)*E3</f>
        <v>0</v>
      </c>
      <c r="H3" s="194">
        <f>VLOOKUP(A3,'GHG Factors FY21'!A:L,11,FALSE)*E3</f>
        <v>27738150.631226093</v>
      </c>
      <c r="I3" s="194">
        <f>VLOOKUP(A3,'GHG Factors FY21'!A:L,12,FALSE)*E3</f>
        <v>3082016.7368028988</v>
      </c>
      <c r="J3" s="194">
        <f t="shared" ref="J3" si="1">SUM(G3,H3,I3)</f>
        <v>30820167.368028991</v>
      </c>
    </row>
    <row r="4" spans="1:10">
      <c r="A4" s="193" t="s">
        <v>1019</v>
      </c>
      <c r="B4" s="828">
        <v>413349909.00840777</v>
      </c>
      <c r="C4" s="70" t="s">
        <v>663</v>
      </c>
      <c r="D4" s="70" t="s">
        <v>104</v>
      </c>
      <c r="E4" s="194">
        <f t="shared" ref="E4:E43" si="2">B4</f>
        <v>413349909.00840777</v>
      </c>
      <c r="F4" s="194">
        <f>VLOOKUP(A4,'GHG Factors FY21'!A:L,8,FALSE)*E4</f>
        <v>1488059.672430268</v>
      </c>
      <c r="G4" s="194">
        <f>VLOOKUP(A4,'GHG Factors FY21'!A:L,10,FALSE)*E4</f>
        <v>0</v>
      </c>
      <c r="H4" s="194">
        <f>VLOOKUP(A4,'GHG Factors FY21'!A:L,11,FALSE)*E4</f>
        <v>334813426.29681033</v>
      </c>
      <c r="I4" s="194">
        <f>VLOOKUP(A4,'GHG Factors FY21'!A:L,12,FALSE)*E4</f>
        <v>37201491.810756698</v>
      </c>
      <c r="J4" s="194">
        <f t="shared" ref="J4:J43" si="3">SUM(G4,H4,I4)</f>
        <v>372014918.10756701</v>
      </c>
    </row>
    <row r="5" spans="1:10">
      <c r="A5" s="193" t="s">
        <v>1070</v>
      </c>
      <c r="B5" s="828">
        <v>17903439.147560626</v>
      </c>
      <c r="C5" s="70" t="s">
        <v>663</v>
      </c>
      <c r="D5" s="70" t="s">
        <v>104</v>
      </c>
      <c r="E5" s="194">
        <f t="shared" si="2"/>
        <v>17903439.147560626</v>
      </c>
      <c r="F5" s="194">
        <f>VLOOKUP(A5,'GHG Factors FY21'!A:L,8,FALSE)*E5</f>
        <v>64452.380931218249</v>
      </c>
      <c r="G5" s="194">
        <f>VLOOKUP(A5,'GHG Factors FY21'!A:L,10,FALSE)*E5</f>
        <v>0</v>
      </c>
      <c r="H5" s="194">
        <f>0.62*E5</f>
        <v>11100132.271487588</v>
      </c>
      <c r="I5" s="194">
        <f>VLOOKUP(A5,'GHG Factors FY21'!A:L,12,FALSE)*E5</f>
        <v>1253240.7403292439</v>
      </c>
      <c r="J5" s="194">
        <f t="shared" si="3"/>
        <v>12353373.011816831</v>
      </c>
    </row>
    <row r="6" spans="1:10">
      <c r="A6" s="193" t="s">
        <v>1020</v>
      </c>
      <c r="B6" s="828">
        <v>259260326.53119314</v>
      </c>
      <c r="C6" s="70" t="s">
        <v>663</v>
      </c>
      <c r="D6" s="70" t="s">
        <v>104</v>
      </c>
      <c r="E6" s="194">
        <f t="shared" si="2"/>
        <v>259260326.53119314</v>
      </c>
      <c r="F6" s="194">
        <f>VLOOKUP(A6,'GHG Factors FY21'!A:L,8,FALSE)*E6</f>
        <v>933337.17551229522</v>
      </c>
      <c r="G6" s="194">
        <f>VLOOKUP(A6,'GHG Factors FY21'!A:L,10,FALSE)*E6</f>
        <v>0</v>
      </c>
      <c r="H6" s="194">
        <f>VLOOKUP(A6,'GHG Factors FY21'!A:L,11,FALSE)*E6</f>
        <v>210000864.49026644</v>
      </c>
      <c r="I6" s="194">
        <f>VLOOKUP(A6,'GHG Factors FY21'!A:L,12,FALSE)*E6</f>
        <v>31111239.183743175</v>
      </c>
      <c r="J6" s="194">
        <f t="shared" si="3"/>
        <v>241112103.67400962</v>
      </c>
    </row>
    <row r="7" spans="1:10">
      <c r="A7" s="193" t="s">
        <v>1021</v>
      </c>
      <c r="B7" s="828">
        <v>92592604.639523253</v>
      </c>
      <c r="C7" s="70" t="s">
        <v>663</v>
      </c>
      <c r="D7" s="70" t="s">
        <v>104</v>
      </c>
      <c r="E7" s="194">
        <f t="shared" si="2"/>
        <v>92592604.639523253</v>
      </c>
      <c r="F7" s="194">
        <f>VLOOKUP(A7,'GHG Factors FY21'!A:L,8,FALSE)*E7</f>
        <v>333333.37670228368</v>
      </c>
      <c r="G7" s="194">
        <f>VLOOKUP(A7,'GHG Factors FY21'!A:L,10,FALSE)*E7</f>
        <v>0</v>
      </c>
      <c r="H7" s="194">
        <f>VLOOKUP(A7,'GHG Factors FY21'!A:L,11,FALSE)*E7</f>
        <v>39814819.994994998</v>
      </c>
      <c r="I7" s="194">
        <f>VLOOKUP(A7,'GHG Factors FY21'!A:L,12,FALSE)*E7</f>
        <v>8333334.4175570924</v>
      </c>
      <c r="J7" s="194">
        <f t="shared" si="3"/>
        <v>48148154.412552088</v>
      </c>
    </row>
    <row r="8" spans="1:10">
      <c r="A8" s="193" t="s">
        <v>1022</v>
      </c>
      <c r="B8" s="828">
        <v>25671551.718824834</v>
      </c>
      <c r="C8" s="70" t="s">
        <v>663</v>
      </c>
      <c r="D8" s="70" t="s">
        <v>104</v>
      </c>
      <c r="E8" s="194">
        <f t="shared" si="2"/>
        <v>25671551.718824834</v>
      </c>
      <c r="F8" s="194">
        <f>VLOOKUP(A8,'GHG Factors FY21'!A:L,8,FALSE)*E8</f>
        <v>92417.586187769397</v>
      </c>
      <c r="G8" s="194">
        <f>VLOOKUP(A8,'GHG Factors FY21'!A:L,10,FALSE)*E8</f>
        <v>0</v>
      </c>
      <c r="H8" s="194">
        <f>VLOOKUP(A8,'GHG Factors FY21'!A:L,11,FALSE)*E8</f>
        <v>4364163.7922002217</v>
      </c>
      <c r="I8" s="194">
        <f>VLOOKUP(A8,'GHG Factors FY21'!A:L,12,FALSE)*E8</f>
        <v>513431.03437649668</v>
      </c>
      <c r="J8" s="194">
        <f t="shared" si="3"/>
        <v>4877594.8265767181</v>
      </c>
    </row>
    <row r="9" spans="1:10">
      <c r="A9" s="193" t="s">
        <v>1023</v>
      </c>
      <c r="B9" s="828">
        <v>303046392.9443925</v>
      </c>
      <c r="C9" s="70" t="s">
        <v>663</v>
      </c>
      <c r="D9" s="70" t="s">
        <v>104</v>
      </c>
      <c r="E9" s="194">
        <f t="shared" si="2"/>
        <v>303046392.9443925</v>
      </c>
      <c r="F9" s="194">
        <f>VLOOKUP(A9,'GHG Factors FY21'!A:L,8,FALSE)*E9</f>
        <v>1090967.0145998129</v>
      </c>
      <c r="G9" s="194">
        <f>VLOOKUP(A9,'GHG Factors FY21'!A:L,10,FALSE)*E9</f>
        <v>0</v>
      </c>
      <c r="H9" s="194">
        <f>VLOOKUP(A9,'GHG Factors FY21'!A:L,11,FALSE)*E9</f>
        <v>296985465.08550465</v>
      </c>
      <c r="I9" s="194">
        <f>VLOOKUP(A9,'GHG Factors FY21'!A:L,12,FALSE)*E9</f>
        <v>33335103.223883174</v>
      </c>
      <c r="J9" s="194">
        <f t="shared" si="3"/>
        <v>330320568.3093878</v>
      </c>
    </row>
    <row r="10" spans="1:10">
      <c r="A10" s="193" t="s">
        <v>1024</v>
      </c>
      <c r="B10" s="890">
        <v>135044062.72708139</v>
      </c>
      <c r="C10" s="70" t="s">
        <v>663</v>
      </c>
      <c r="D10" s="70" t="s">
        <v>104</v>
      </c>
      <c r="E10" s="194">
        <f t="shared" si="2"/>
        <v>135044062.72708139</v>
      </c>
      <c r="F10" s="194">
        <f>VLOOKUP(A10,'GHG Factors FY21'!A:L,8,FALSE)*E10</f>
        <v>486158.62581749301</v>
      </c>
      <c r="G10" s="194">
        <f>VLOOKUP(A10,'GHG Factors FY21'!A:L,10,FALSE)*E10</f>
        <v>0</v>
      </c>
      <c r="H10" s="194">
        <f>VLOOKUP(A10,'GHG Factors FY21'!A:L,11,FALSE)*E10</f>
        <v>91829962.654415354</v>
      </c>
      <c r="I10" s="194">
        <f>VLOOKUP(A10,'GHG Factors FY21'!A:L,12,FALSE)*E10</f>
        <v>2700881.2545416276</v>
      </c>
      <c r="J10" s="194">
        <f t="shared" si="3"/>
        <v>94530843.908956975</v>
      </c>
    </row>
    <row r="11" spans="1:10">
      <c r="A11" s="193" t="s">
        <v>1002</v>
      </c>
      <c r="B11" s="828">
        <v>48.941000000000003</v>
      </c>
      <c r="C11" s="70" t="s">
        <v>663</v>
      </c>
      <c r="D11" s="70" t="s">
        <v>104</v>
      </c>
      <c r="E11" s="194">
        <f t="shared" si="2"/>
        <v>48.941000000000003</v>
      </c>
      <c r="F11" s="194">
        <f>VLOOKUP(A11,'GHG Factors FY21'!A:L,8,FALSE)*E11</f>
        <v>0.1761876</v>
      </c>
      <c r="G11" s="194">
        <f>VLOOKUP(A11,'GHG Factors FY21'!A:L,10,FALSE)*E11</f>
        <v>0</v>
      </c>
      <c r="H11" s="194">
        <f>VLOOKUP(A11,'GHG Factors FY21'!A:L,11,FALSE)*E11</f>
        <v>39.642210000000006</v>
      </c>
      <c r="I11" s="194">
        <f>VLOOKUP(A11,'GHG Factors FY21'!A:L,12,FALSE)*E11</f>
        <v>4.4046900000000004</v>
      </c>
      <c r="J11" s="194">
        <f t="shared" si="3"/>
        <v>44.046900000000008</v>
      </c>
    </row>
    <row r="12" spans="1:10">
      <c r="A12" s="193" t="s">
        <v>1003</v>
      </c>
      <c r="B12" s="828">
        <v>0</v>
      </c>
      <c r="C12" s="70" t="s">
        <v>663</v>
      </c>
      <c r="D12" s="70" t="s">
        <v>104</v>
      </c>
      <c r="E12" s="194">
        <f t="shared" si="2"/>
        <v>0</v>
      </c>
      <c r="F12" s="194">
        <f>VLOOKUP(A12,'GHG Factors FY21'!A:L,8,FALSE)*E12</f>
        <v>0</v>
      </c>
      <c r="G12" s="194">
        <f>VLOOKUP(A12,'GHG Factors FY21'!A:L,10,FALSE)*E12</f>
        <v>0</v>
      </c>
      <c r="H12" s="194">
        <f>VLOOKUP(A12,'GHG Factors FY21'!A:L,11,FALSE)*E12</f>
        <v>0</v>
      </c>
      <c r="I12" s="194">
        <f>VLOOKUP(A12,'GHG Factors FY21'!A:L,12,FALSE)*E12</f>
        <v>0</v>
      </c>
      <c r="J12" s="194">
        <f t="shared" si="3"/>
        <v>0</v>
      </c>
    </row>
    <row r="13" spans="1:10">
      <c r="A13" s="193" t="s">
        <v>1004</v>
      </c>
      <c r="B13" s="828">
        <v>0</v>
      </c>
      <c r="C13" s="70" t="s">
        <v>663</v>
      </c>
      <c r="D13" s="70" t="s">
        <v>104</v>
      </c>
      <c r="E13" s="194">
        <f t="shared" si="2"/>
        <v>0</v>
      </c>
      <c r="F13" s="194">
        <f>VLOOKUP(A13,'GHG Factors FY21'!A:L,8,FALSE)*E13</f>
        <v>0</v>
      </c>
      <c r="G13" s="194">
        <f>VLOOKUP(A13,'GHG Factors FY21'!A:L,10,FALSE)*E13</f>
        <v>0</v>
      </c>
      <c r="H13" s="194">
        <f>VLOOKUP(A13,'GHG Factors FY21'!A:L,11,FALSE)*E13</f>
        <v>0</v>
      </c>
      <c r="I13" s="194">
        <f>VLOOKUP(A13,'GHG Factors FY21'!A:L,12,FALSE)*E13</f>
        <v>0</v>
      </c>
      <c r="J13" s="194">
        <f t="shared" si="3"/>
        <v>0</v>
      </c>
    </row>
    <row r="14" spans="1:10">
      <c r="A14" s="193" t="s">
        <v>1005</v>
      </c>
      <c r="B14" s="828">
        <v>43090.295699999995</v>
      </c>
      <c r="C14" s="70" t="s">
        <v>663</v>
      </c>
      <c r="D14" s="70" t="s">
        <v>104</v>
      </c>
      <c r="E14" s="194">
        <f t="shared" si="2"/>
        <v>43090.295699999995</v>
      </c>
      <c r="F14" s="194">
        <f>VLOOKUP(A14,'GHG Factors FY21'!A:L,8,FALSE)*E14</f>
        <v>155.12506451999997</v>
      </c>
      <c r="G14" s="194">
        <f>VLOOKUP(A14,'GHG Factors FY21'!A:L,10,FALSE)*E14</f>
        <v>0</v>
      </c>
      <c r="H14" s="194">
        <f>VLOOKUP(A14,'GHG Factors FY21'!A:L,11,FALSE)*E14</f>
        <v>34903.139516999996</v>
      </c>
      <c r="I14" s="194">
        <f>VLOOKUP(A14,'GHG Factors FY21'!A:L,12,FALSE)*E14</f>
        <v>5170.8354839999993</v>
      </c>
      <c r="J14" s="194">
        <f t="shared" si="3"/>
        <v>40073.975000999999</v>
      </c>
    </row>
    <row r="15" spans="1:10">
      <c r="A15" s="193" t="s">
        <v>1006</v>
      </c>
      <c r="B15" s="828">
        <v>0</v>
      </c>
      <c r="C15" s="70" t="s">
        <v>663</v>
      </c>
      <c r="D15" s="70" t="s">
        <v>104</v>
      </c>
      <c r="E15" s="194">
        <f t="shared" si="2"/>
        <v>0</v>
      </c>
      <c r="F15" s="194">
        <f>VLOOKUP(A15,'GHG Factors FY21'!A:L,8,FALSE)*E15</f>
        <v>0</v>
      </c>
      <c r="G15" s="194">
        <f>VLOOKUP(A15,'GHG Factors FY21'!A:L,10,FALSE)*E15</f>
        <v>0</v>
      </c>
      <c r="H15" s="194">
        <f>VLOOKUP(A15,'GHG Factors FY21'!A:L,11,FALSE)*E15</f>
        <v>0</v>
      </c>
      <c r="I15" s="194">
        <f>VLOOKUP(A15,'GHG Factors FY21'!A:L,12,FALSE)*E15</f>
        <v>0</v>
      </c>
      <c r="J15" s="194">
        <f t="shared" si="3"/>
        <v>0</v>
      </c>
    </row>
    <row r="16" spans="1:10">
      <c r="A16" s="193" t="s">
        <v>1007</v>
      </c>
      <c r="B16" s="828">
        <v>0</v>
      </c>
      <c r="C16" s="70" t="s">
        <v>663</v>
      </c>
      <c r="D16" s="70" t="s">
        <v>104</v>
      </c>
      <c r="E16" s="194">
        <f t="shared" si="2"/>
        <v>0</v>
      </c>
      <c r="F16" s="194">
        <f>VLOOKUP(A16,'GHG Factors FY21'!A:L,8,FALSE)*E16</f>
        <v>0</v>
      </c>
      <c r="G16" s="194">
        <f>VLOOKUP(A16,'GHG Factors FY21'!A:L,10,FALSE)*E16</f>
        <v>0</v>
      </c>
      <c r="H16" s="194">
        <f>VLOOKUP(A16,'GHG Factors FY21'!A:L,11,FALSE)*E16</f>
        <v>0</v>
      </c>
      <c r="I16" s="194">
        <f>VLOOKUP(A16,'GHG Factors FY21'!A:L,12,FALSE)*E16</f>
        <v>0</v>
      </c>
      <c r="J16" s="194">
        <f t="shared" si="3"/>
        <v>0</v>
      </c>
    </row>
    <row r="17" spans="1:10">
      <c r="A17" s="193" t="s">
        <v>1008</v>
      </c>
      <c r="B17" s="828">
        <v>0</v>
      </c>
      <c r="C17" s="70" t="s">
        <v>663</v>
      </c>
      <c r="D17" s="70" t="s">
        <v>104</v>
      </c>
      <c r="E17" s="194">
        <f t="shared" si="2"/>
        <v>0</v>
      </c>
      <c r="F17" s="194">
        <f>VLOOKUP(A17,'GHG Factors FY21'!A:L,8,FALSE)*E17</f>
        <v>0</v>
      </c>
      <c r="G17" s="194">
        <f>VLOOKUP(A17,'GHG Factors FY21'!A:L,10,FALSE)*E17</f>
        <v>0</v>
      </c>
      <c r="H17" s="194">
        <f>VLOOKUP(A17,'GHG Factors FY21'!A:L,11,FALSE)*E17</f>
        <v>0</v>
      </c>
      <c r="I17" s="194">
        <f>VLOOKUP(A17,'GHG Factors FY21'!A:L,12,FALSE)*E17</f>
        <v>0</v>
      </c>
      <c r="J17" s="194">
        <f t="shared" si="3"/>
        <v>0</v>
      </c>
    </row>
    <row r="18" spans="1:10">
      <c r="A18" s="193" t="s">
        <v>1009</v>
      </c>
      <c r="B18" s="828">
        <v>28456.728200000001</v>
      </c>
      <c r="C18" s="70" t="s">
        <v>663</v>
      </c>
      <c r="D18" s="70" t="s">
        <v>104</v>
      </c>
      <c r="E18" s="194">
        <f t="shared" si="2"/>
        <v>28456.728200000001</v>
      </c>
      <c r="F18" s="194">
        <f>VLOOKUP(A18,'GHG Factors FY21'!A:L,8,FALSE)*E18</f>
        <v>102.44422152</v>
      </c>
      <c r="G18" s="194">
        <f>VLOOKUP(A18,'GHG Factors FY21'!A:L,10,FALSE)*E18</f>
        <v>0</v>
      </c>
      <c r="H18" s="194">
        <f>VLOOKUP(A18,'GHG Factors FY21'!A:L,11,FALSE)*E18</f>
        <v>19350.575176000002</v>
      </c>
      <c r="I18" s="194">
        <f>VLOOKUP(A18,'GHG Factors FY21'!A:L,12,FALSE)*E18</f>
        <v>569.13456400000007</v>
      </c>
      <c r="J18" s="194">
        <f t="shared" si="3"/>
        <v>19919.709740000002</v>
      </c>
    </row>
    <row r="19" spans="1:10">
      <c r="A19" s="193" t="s">
        <v>1010</v>
      </c>
      <c r="B19" s="828">
        <v>55711.078600000001</v>
      </c>
      <c r="C19" s="70" t="s">
        <v>663</v>
      </c>
      <c r="D19" s="70" t="s">
        <v>104</v>
      </c>
      <c r="E19" s="194">
        <f t="shared" si="2"/>
        <v>55711.078600000001</v>
      </c>
      <c r="F19" s="194">
        <f>VLOOKUP(A19,'GHG Factors FY21'!A:L,8,FALSE)*E19</f>
        <v>200.55988296000001</v>
      </c>
      <c r="G19" s="194">
        <f>VLOOKUP(A19,'GHG Factors FY21'!A:L,10,FALSE)*E19</f>
        <v>0</v>
      </c>
      <c r="H19" s="194">
        <f>VLOOKUP(A19,'GHG Factors FY21'!A:L,11,FALSE)*E19</f>
        <v>45125.973666000005</v>
      </c>
      <c r="I19" s="194">
        <f>VLOOKUP(A19,'GHG Factors FY21'!A:L,12,FALSE)*E19</f>
        <v>5013.9970739999999</v>
      </c>
      <c r="J19" s="194">
        <f t="shared" si="3"/>
        <v>50139.970740000004</v>
      </c>
    </row>
    <row r="20" spans="1:10">
      <c r="A20" s="193" t="s">
        <v>1011</v>
      </c>
      <c r="B20" s="828">
        <v>1730964.8966817702</v>
      </c>
      <c r="C20" s="70" t="s">
        <v>663</v>
      </c>
      <c r="D20" s="70" t="s">
        <v>104</v>
      </c>
      <c r="E20" s="194">
        <f t="shared" si="2"/>
        <v>1730964.8966817702</v>
      </c>
      <c r="F20" s="194">
        <f>VLOOKUP(A20,'GHG Factors FY21'!A:L,8,FALSE)*E20</f>
        <v>6231.473628054373</v>
      </c>
      <c r="G20" s="194">
        <f>VLOOKUP(A20,'GHG Factors FY21'!A:L,10,FALSE)*E20</f>
        <v>0</v>
      </c>
      <c r="H20" s="194">
        <f>VLOOKUP(A20,'GHG Factors FY21'!A:L,11,FALSE)*E20</f>
        <v>1402081.5663122339</v>
      </c>
      <c r="I20" s="194">
        <f>VLOOKUP(A20,'GHG Factors FY21'!A:L,12,FALSE)*E20</f>
        <v>155786.84070135932</v>
      </c>
      <c r="J20" s="194">
        <f t="shared" si="3"/>
        <v>1557868.4070135932</v>
      </c>
    </row>
    <row r="21" spans="1:10">
      <c r="A21" s="193" t="s">
        <v>1012</v>
      </c>
      <c r="B21" s="828">
        <v>21296.261000000002</v>
      </c>
      <c r="C21" s="70" t="s">
        <v>663</v>
      </c>
      <c r="D21" s="70" t="s">
        <v>104</v>
      </c>
      <c r="E21" s="194">
        <f t="shared" si="2"/>
        <v>21296.261000000002</v>
      </c>
      <c r="F21" s="194">
        <f>VLOOKUP(A21,'GHG Factors FY21'!A:L,8,FALSE)*E21</f>
        <v>76.666539600000007</v>
      </c>
      <c r="G21" s="194">
        <f>VLOOKUP(A21,'GHG Factors FY21'!A:L,10,FALSE)*E21</f>
        <v>0</v>
      </c>
      <c r="H21" s="194">
        <f>VLOOKUP(A21,'GHG Factors FY21'!A:L,11,FALSE)*E21</f>
        <v>13203.681820000002</v>
      </c>
      <c r="I21" s="194">
        <f>VLOOKUP(A21,'GHG Factors FY21'!A:L,12,FALSE)*E21</f>
        <v>1490.7382700000003</v>
      </c>
      <c r="J21" s="194">
        <f t="shared" si="3"/>
        <v>14694.420090000001</v>
      </c>
    </row>
    <row r="22" spans="1:10">
      <c r="A22" s="193" t="s">
        <v>1013</v>
      </c>
      <c r="B22" s="828">
        <v>560219.57620000001</v>
      </c>
      <c r="C22" s="70" t="s">
        <v>663</v>
      </c>
      <c r="D22" s="70" t="s">
        <v>104</v>
      </c>
      <c r="E22" s="194">
        <f t="shared" si="2"/>
        <v>560219.57620000001</v>
      </c>
      <c r="F22" s="194">
        <f>VLOOKUP(A22,'GHG Factors FY21'!A:L,8,FALSE)*E22</f>
        <v>2016.7904743199999</v>
      </c>
      <c r="G22" s="194">
        <f>VLOOKUP(A22,'GHG Factors FY21'!A:L,10,FALSE)*E22</f>
        <v>0</v>
      </c>
      <c r="H22" s="194">
        <f>VLOOKUP(A22,'GHG Factors FY21'!A:L,11,FALSE)*E22</f>
        <v>453777.85672200006</v>
      </c>
      <c r="I22" s="194">
        <f>VLOOKUP(A22,'GHG Factors FY21'!A:L,12,FALSE)*E22</f>
        <v>67226.349143999993</v>
      </c>
      <c r="J22" s="194">
        <f t="shared" si="3"/>
        <v>521004.20586600003</v>
      </c>
    </row>
    <row r="23" spans="1:10">
      <c r="A23" s="193" t="s">
        <v>1014</v>
      </c>
      <c r="B23" s="828">
        <v>194619.56630000001</v>
      </c>
      <c r="C23" s="70" t="s">
        <v>663</v>
      </c>
      <c r="D23" s="70" t="s">
        <v>104</v>
      </c>
      <c r="E23" s="194">
        <f t="shared" si="2"/>
        <v>194619.56630000001</v>
      </c>
      <c r="F23" s="194">
        <f>VLOOKUP(A23,'GHG Factors FY21'!A:L,8,FALSE)*E23</f>
        <v>700.63043868</v>
      </c>
      <c r="G23" s="194">
        <f>VLOOKUP(A23,'GHG Factors FY21'!A:L,10,FALSE)*E23</f>
        <v>0</v>
      </c>
      <c r="H23" s="194">
        <f>VLOOKUP(A23,'GHG Factors FY21'!A:L,11,FALSE)*E23</f>
        <v>83686.413509000005</v>
      </c>
      <c r="I23" s="194">
        <f>VLOOKUP(A23,'GHG Factors FY21'!A:L,12,FALSE)*E23</f>
        <v>17515.760966999998</v>
      </c>
      <c r="J23" s="194">
        <f t="shared" si="3"/>
        <v>101202.174476</v>
      </c>
    </row>
    <row r="24" spans="1:10">
      <c r="A24" s="193" t="s">
        <v>1015</v>
      </c>
      <c r="B24" s="828">
        <v>84161.480299999996</v>
      </c>
      <c r="C24" s="70" t="s">
        <v>663</v>
      </c>
      <c r="D24" s="70" t="s">
        <v>104</v>
      </c>
      <c r="E24" s="194">
        <f t="shared" si="2"/>
        <v>84161.480299999996</v>
      </c>
      <c r="F24" s="194">
        <f>VLOOKUP(A24,'GHG Factors FY21'!A:L,8,FALSE)*E24</f>
        <v>302.98132907999997</v>
      </c>
      <c r="G24" s="194">
        <f>VLOOKUP(A24,'GHG Factors FY21'!A:L,10,FALSE)*E24</f>
        <v>0</v>
      </c>
      <c r="H24" s="194">
        <f>VLOOKUP(A24,'GHG Factors FY21'!A:L,11,FALSE)*E24</f>
        <v>14307.451650999999</v>
      </c>
      <c r="I24" s="194">
        <f>VLOOKUP(A24,'GHG Factors FY21'!A:L,12,FALSE)*E24</f>
        <v>1683.2296059999999</v>
      </c>
      <c r="J24" s="194">
        <f t="shared" si="3"/>
        <v>15990.681257</v>
      </c>
    </row>
    <row r="25" spans="1:10">
      <c r="A25" s="193" t="s">
        <v>1016</v>
      </c>
      <c r="B25" s="828">
        <v>1425253.9988000002</v>
      </c>
      <c r="C25" s="70" t="s">
        <v>663</v>
      </c>
      <c r="D25" s="70" t="s">
        <v>104</v>
      </c>
      <c r="E25" s="194">
        <f t="shared" si="2"/>
        <v>1425253.9988000002</v>
      </c>
      <c r="F25" s="194">
        <f>VLOOKUP(A25,'GHG Factors FY21'!A:L,8,FALSE)*E25</f>
        <v>5130.9143956800008</v>
      </c>
      <c r="G25" s="194">
        <f>VLOOKUP(A25,'GHG Factors FY21'!A:L,10,FALSE)*E25</f>
        <v>0</v>
      </c>
      <c r="H25" s="194">
        <f>VLOOKUP(A25,'GHG Factors FY21'!A:L,11,FALSE)*E25</f>
        <v>1396748.9188240001</v>
      </c>
      <c r="I25" s="194">
        <f>VLOOKUP(A25,'GHG Factors FY21'!A:L,12,FALSE)*E25</f>
        <v>156777.93986800002</v>
      </c>
      <c r="J25" s="194">
        <f t="shared" si="3"/>
        <v>1553526.8586920002</v>
      </c>
    </row>
    <row r="26" spans="1:10">
      <c r="A26" s="193" t="s">
        <v>1017</v>
      </c>
      <c r="B26" s="828">
        <v>249285.09072245943</v>
      </c>
      <c r="C26" s="70" t="s">
        <v>663</v>
      </c>
      <c r="D26" s="70" t="s">
        <v>104</v>
      </c>
      <c r="E26" s="194">
        <f t="shared" si="2"/>
        <v>249285.09072245943</v>
      </c>
      <c r="F26" s="194">
        <f>VLOOKUP(A26,'GHG Factors FY21'!A:L,8,FALSE)*E26</f>
        <v>897.42632660085394</v>
      </c>
      <c r="G26" s="194">
        <f>VLOOKUP(A26,'GHG Factors FY21'!A:L,10,FALSE)*E26</f>
        <v>0</v>
      </c>
      <c r="H26" s="194">
        <f>VLOOKUP(A26,'GHG Factors FY21'!A:L,11,FALSE)*E26</f>
        <v>169513.86169127241</v>
      </c>
      <c r="I26" s="194">
        <f>VLOOKUP(A26,'GHG Factors FY21'!A:L,12,FALSE)*E26</f>
        <v>4985.7018144491885</v>
      </c>
      <c r="J26" s="194">
        <f t="shared" si="3"/>
        <v>174499.5635057216</v>
      </c>
    </row>
    <row r="27" spans="1:10">
      <c r="A27" s="193" t="s">
        <v>994</v>
      </c>
      <c r="B27" s="828">
        <v>2208961.8330999999</v>
      </c>
      <c r="C27" s="70" t="s">
        <v>663</v>
      </c>
      <c r="D27" s="70" t="s">
        <v>104</v>
      </c>
      <c r="E27" s="194">
        <f t="shared" si="2"/>
        <v>2208961.8330999999</v>
      </c>
      <c r="F27" s="194">
        <f>VLOOKUP(A27,'GHG Factors FY21'!A:L,8,FALSE)*E27</f>
        <v>7952.2625991599998</v>
      </c>
      <c r="G27" s="194">
        <f>VLOOKUP(A27,'GHG Factors FY21'!A:L,10,FALSE)*E27</f>
        <v>0</v>
      </c>
      <c r="H27" s="194">
        <f>VLOOKUP(A27,'GHG Factors FY21'!A:L,11,FALSE)*E27</f>
        <v>1789259.0848110002</v>
      </c>
      <c r="I27" s="194">
        <f>VLOOKUP(A27,'GHG Factors FY21'!A:L,12,FALSE)*E27</f>
        <v>198806.56497899999</v>
      </c>
      <c r="J27" s="194">
        <f t="shared" si="3"/>
        <v>1988065.6497900002</v>
      </c>
    </row>
    <row r="28" spans="1:10">
      <c r="A28" s="193" t="s">
        <v>995</v>
      </c>
      <c r="B28" s="828">
        <v>4655224.6900000004</v>
      </c>
      <c r="C28" s="70" t="s">
        <v>663</v>
      </c>
      <c r="D28" s="70" t="s">
        <v>104</v>
      </c>
      <c r="E28" s="194">
        <f t="shared" si="2"/>
        <v>4655224.6900000004</v>
      </c>
      <c r="F28" s="194">
        <f>VLOOKUP(A28,'GHG Factors FY21'!A:L,8,FALSE)*E28</f>
        <v>16758.808884000002</v>
      </c>
      <c r="G28" s="194">
        <f>VLOOKUP(A28,'GHG Factors FY21'!A:L,10,FALSE)*E28</f>
        <v>0</v>
      </c>
      <c r="H28" s="194">
        <f>VLOOKUP(A28,'GHG Factors FY21'!A:L,11,FALSE)*E28</f>
        <v>3770731.9989000005</v>
      </c>
      <c r="I28" s="194">
        <f>VLOOKUP(A28,'GHG Factors FY21'!A:L,12,FALSE)*E28</f>
        <v>418970.22210000001</v>
      </c>
      <c r="J28" s="194">
        <f t="shared" si="3"/>
        <v>4189702.2210000004</v>
      </c>
    </row>
    <row r="29" spans="1:10">
      <c r="A29" s="193" t="s">
        <v>996</v>
      </c>
      <c r="B29" s="828">
        <v>109896.26500000001</v>
      </c>
      <c r="C29" s="70" t="s">
        <v>663</v>
      </c>
      <c r="D29" s="70" t="s">
        <v>104</v>
      </c>
      <c r="E29" s="194">
        <f t="shared" si="2"/>
        <v>109896.26500000001</v>
      </c>
      <c r="F29" s="194">
        <f>VLOOKUP(A29,'GHG Factors FY21'!A:L,8,FALSE)*E29</f>
        <v>395.62655400000006</v>
      </c>
      <c r="G29" s="194">
        <f>VLOOKUP(A29,'GHG Factors FY21'!A:L,10,FALSE)*E29</f>
        <v>0</v>
      </c>
      <c r="H29" s="194">
        <f>VLOOKUP(A29,'GHG Factors FY21'!A:L,11,FALSE)*E29</f>
        <v>68135.684300000008</v>
      </c>
      <c r="I29" s="194">
        <f>VLOOKUP(A29,'GHG Factors FY21'!A:L,12,FALSE)*E29</f>
        <v>7692.7385500000019</v>
      </c>
      <c r="J29" s="194">
        <f t="shared" si="3"/>
        <v>75828.422850000003</v>
      </c>
    </row>
    <row r="30" spans="1:10">
      <c r="A30" s="193" t="s">
        <v>997</v>
      </c>
      <c r="B30" s="828">
        <v>3091087.2818000005</v>
      </c>
      <c r="C30" s="70" t="s">
        <v>663</v>
      </c>
      <c r="D30" s="70" t="s">
        <v>104</v>
      </c>
      <c r="E30" s="194">
        <f t="shared" si="2"/>
        <v>3091087.2818000005</v>
      </c>
      <c r="F30" s="194">
        <f>VLOOKUP(A30,'GHG Factors FY21'!A:L,8,FALSE)*E30</f>
        <v>11127.914214480001</v>
      </c>
      <c r="G30" s="194">
        <f>VLOOKUP(A30,'GHG Factors FY21'!A:L,10,FALSE)*E30</f>
        <v>0</v>
      </c>
      <c r="H30" s="194">
        <f>VLOOKUP(A30,'GHG Factors FY21'!A:L,11,FALSE)*E30</f>
        <v>2503780.6982580004</v>
      </c>
      <c r="I30" s="194">
        <f>VLOOKUP(A30,'GHG Factors FY21'!A:L,12,FALSE)*E30</f>
        <v>370930.47381600004</v>
      </c>
      <c r="J30" s="194">
        <f t="shared" si="3"/>
        <v>2874711.1720740004</v>
      </c>
    </row>
    <row r="31" spans="1:10">
      <c r="A31" s="193" t="s">
        <v>998</v>
      </c>
      <c r="B31" s="828">
        <v>958428.99939999986</v>
      </c>
      <c r="C31" s="70" t="s">
        <v>663</v>
      </c>
      <c r="D31" s="70" t="s">
        <v>104</v>
      </c>
      <c r="E31" s="194">
        <f t="shared" si="2"/>
        <v>958428.99939999986</v>
      </c>
      <c r="F31" s="194">
        <f>VLOOKUP(A31,'GHG Factors FY21'!A:L,8,FALSE)*E31</f>
        <v>3450.3443978399996</v>
      </c>
      <c r="G31" s="194">
        <f>VLOOKUP(A31,'GHG Factors FY21'!A:L,10,FALSE)*E31</f>
        <v>0</v>
      </c>
      <c r="H31" s="194">
        <f>VLOOKUP(A31,'GHG Factors FY21'!A:L,11,FALSE)*E31</f>
        <v>412124.46974199993</v>
      </c>
      <c r="I31" s="194">
        <f>VLOOKUP(A31,'GHG Factors FY21'!A:L,12,FALSE)*E31</f>
        <v>86258.609945999982</v>
      </c>
      <c r="J31" s="194">
        <f t="shared" si="3"/>
        <v>498383.07968799991</v>
      </c>
    </row>
    <row r="32" spans="1:10">
      <c r="A32" s="193" t="s">
        <v>999</v>
      </c>
      <c r="B32" s="828">
        <v>590027.58399999992</v>
      </c>
      <c r="C32" s="70" t="s">
        <v>663</v>
      </c>
      <c r="D32" s="70" t="s">
        <v>104</v>
      </c>
      <c r="E32" s="194">
        <f t="shared" si="2"/>
        <v>590027.58399999992</v>
      </c>
      <c r="F32" s="194">
        <f>VLOOKUP(A32,'GHG Factors FY21'!A:L,8,FALSE)*E32</f>
        <v>2124.0993023999995</v>
      </c>
      <c r="G32" s="194">
        <f>VLOOKUP(A32,'GHG Factors FY21'!A:L,10,FALSE)*E32</f>
        <v>0</v>
      </c>
      <c r="H32" s="194">
        <f>VLOOKUP(A32,'GHG Factors FY21'!A:L,11,FALSE)*E32</f>
        <v>100304.68927999999</v>
      </c>
      <c r="I32" s="194">
        <f>VLOOKUP(A32,'GHG Factors FY21'!A:L,12,FALSE)*E32</f>
        <v>11800.551679999999</v>
      </c>
      <c r="J32" s="194">
        <f t="shared" si="3"/>
        <v>112105.24096</v>
      </c>
    </row>
    <row r="33" spans="1:10">
      <c r="A33" s="193" t="s">
        <v>1000</v>
      </c>
      <c r="B33" s="828">
        <v>12923450.24</v>
      </c>
      <c r="C33" s="70" t="s">
        <v>663</v>
      </c>
      <c r="D33" s="70" t="s">
        <v>104</v>
      </c>
      <c r="E33" s="194">
        <f t="shared" si="2"/>
        <v>12923450.24</v>
      </c>
      <c r="F33" s="194">
        <f>VLOOKUP(A33,'GHG Factors FY21'!A:L,8,FALSE)*E33</f>
        <v>46524.420864</v>
      </c>
      <c r="G33" s="194">
        <f>VLOOKUP(A33,'GHG Factors FY21'!A:L,10,FALSE)*E33</f>
        <v>0</v>
      </c>
      <c r="H33" s="194">
        <f>VLOOKUP(A33,'GHG Factors FY21'!A:L,11,FALSE)*E33</f>
        <v>12664981.235199999</v>
      </c>
      <c r="I33" s="194">
        <f>VLOOKUP(A33,'GHG Factors FY21'!A:L,12,FALSE)*E33</f>
        <v>1421579.5264000001</v>
      </c>
      <c r="J33" s="194">
        <f t="shared" si="3"/>
        <v>14086560.761599999</v>
      </c>
    </row>
    <row r="34" spans="1:10">
      <c r="A34" s="193" t="s">
        <v>1001</v>
      </c>
      <c r="B34" s="828">
        <v>331097.65870000003</v>
      </c>
      <c r="C34" s="70" t="s">
        <v>663</v>
      </c>
      <c r="D34" s="70" t="s">
        <v>104</v>
      </c>
      <c r="E34" s="194">
        <f t="shared" si="2"/>
        <v>331097.65870000003</v>
      </c>
      <c r="F34" s="194">
        <f>VLOOKUP(A34,'GHG Factors FY21'!A:L,8,FALSE)*E34</f>
        <v>1191.9515713200001</v>
      </c>
      <c r="G34" s="194">
        <f>VLOOKUP(A34,'GHG Factors FY21'!A:L,10,FALSE)*E34</f>
        <v>0</v>
      </c>
      <c r="H34" s="194">
        <f>VLOOKUP(A34,'GHG Factors FY21'!A:L,11,FALSE)*E34</f>
        <v>225146.40791600003</v>
      </c>
      <c r="I34" s="194">
        <f>VLOOKUP(A34,'GHG Factors FY21'!A:L,12,FALSE)*E34</f>
        <v>6621.9531740000011</v>
      </c>
      <c r="J34" s="194">
        <f t="shared" si="3"/>
        <v>231768.36109000002</v>
      </c>
    </row>
    <row r="35" spans="1:10">
      <c r="A35" s="193" t="s">
        <v>986</v>
      </c>
      <c r="B35" s="828">
        <v>2011702.3574999999</v>
      </c>
      <c r="C35" s="70" t="s">
        <v>663</v>
      </c>
      <c r="D35" s="70" t="s">
        <v>104</v>
      </c>
      <c r="E35" s="194">
        <f t="shared" si="2"/>
        <v>2011702.3574999999</v>
      </c>
      <c r="F35" s="194">
        <f>VLOOKUP(A35,'GHG Factors FY21'!A:L,8,FALSE)*E35</f>
        <v>7242.128487</v>
      </c>
      <c r="G35" s="194">
        <f>VLOOKUP(A35,'GHG Factors FY21'!A:L,10,FALSE)*E35</f>
        <v>0</v>
      </c>
      <c r="H35" s="194">
        <f>VLOOKUP(A35,'GHG Factors FY21'!A:L,11,FALSE)*E35</f>
        <v>1629478.9095749999</v>
      </c>
      <c r="I35" s="194">
        <f>VLOOKUP(A35,'GHG Factors FY21'!A:L,12,FALSE)*E35</f>
        <v>181053.21217499999</v>
      </c>
      <c r="J35" s="194">
        <f t="shared" si="3"/>
        <v>1810532.1217499999</v>
      </c>
    </row>
    <row r="36" spans="1:10">
      <c r="A36" s="193" t="s">
        <v>987</v>
      </c>
      <c r="B36" s="828">
        <v>27473994.162800003</v>
      </c>
      <c r="C36" s="70" t="s">
        <v>663</v>
      </c>
      <c r="D36" s="70" t="s">
        <v>104</v>
      </c>
      <c r="E36" s="194">
        <f t="shared" si="2"/>
        <v>27473994.162800003</v>
      </c>
      <c r="F36" s="194">
        <f>VLOOKUP(A36,'GHG Factors FY21'!A:L,8,FALSE)*E36</f>
        <v>98906.378986080003</v>
      </c>
      <c r="G36" s="194">
        <f>VLOOKUP(A36,'GHG Factors FY21'!A:L,10,FALSE)*E36</f>
        <v>0</v>
      </c>
      <c r="H36" s="194">
        <f>VLOOKUP(A36,'GHG Factors FY21'!A:L,11,FALSE)*E36</f>
        <v>22253935.271868005</v>
      </c>
      <c r="I36" s="194">
        <f>VLOOKUP(A36,'GHG Factors FY21'!A:L,12,FALSE)*E36</f>
        <v>2472659.4746520002</v>
      </c>
      <c r="J36" s="194">
        <f t="shared" si="3"/>
        <v>24726594.746520005</v>
      </c>
    </row>
    <row r="37" spans="1:10">
      <c r="A37" s="193" t="s">
        <v>988</v>
      </c>
      <c r="B37" s="828">
        <v>0</v>
      </c>
      <c r="C37" s="70" t="s">
        <v>663</v>
      </c>
      <c r="D37" s="70" t="s">
        <v>104</v>
      </c>
      <c r="E37" s="194">
        <f t="shared" si="2"/>
        <v>0</v>
      </c>
      <c r="F37" s="194">
        <f>VLOOKUP(A37,'GHG Factors FY21'!A:L,8,FALSE)*E37</f>
        <v>0</v>
      </c>
      <c r="G37" s="194">
        <f>VLOOKUP(A37,'GHG Factors FY21'!A:L,10,FALSE)*E37</f>
        <v>0</v>
      </c>
      <c r="H37" s="194">
        <f>VLOOKUP(A37,'GHG Factors FY21'!A:L,11,FALSE)*E37</f>
        <v>0</v>
      </c>
      <c r="I37" s="194">
        <f>VLOOKUP(A37,'GHG Factors FY21'!A:L,12,FALSE)*E37</f>
        <v>0</v>
      </c>
      <c r="J37" s="194">
        <f t="shared" si="3"/>
        <v>0</v>
      </c>
    </row>
    <row r="38" spans="1:10">
      <c r="A38" s="193" t="s">
        <v>989</v>
      </c>
      <c r="B38" s="828">
        <v>0</v>
      </c>
      <c r="C38" s="70" t="s">
        <v>663</v>
      </c>
      <c r="D38" s="70" t="s">
        <v>104</v>
      </c>
      <c r="E38" s="194">
        <f t="shared" si="2"/>
        <v>0</v>
      </c>
      <c r="F38" s="194">
        <f>VLOOKUP(A38,'GHG Factors FY21'!A:L,8,FALSE)*E38</f>
        <v>0</v>
      </c>
      <c r="G38" s="194">
        <f>VLOOKUP(A38,'GHG Factors FY21'!A:L,10,FALSE)*E38</f>
        <v>0</v>
      </c>
      <c r="H38" s="194">
        <f>VLOOKUP(A38,'GHG Factors FY21'!A:L,11,FALSE)*E38</f>
        <v>0</v>
      </c>
      <c r="I38" s="194">
        <f>VLOOKUP(A38,'GHG Factors FY21'!A:L,12,FALSE)*E38</f>
        <v>0</v>
      </c>
      <c r="J38" s="194">
        <f t="shared" si="3"/>
        <v>0</v>
      </c>
    </row>
    <row r="39" spans="1:10">
      <c r="A39" s="193" t="s">
        <v>990</v>
      </c>
      <c r="B39" s="828">
        <v>0</v>
      </c>
      <c r="C39" s="70" t="s">
        <v>663</v>
      </c>
      <c r="D39" s="70" t="s">
        <v>104</v>
      </c>
      <c r="E39" s="194">
        <f t="shared" si="2"/>
        <v>0</v>
      </c>
      <c r="F39" s="194">
        <f>VLOOKUP(A39,'GHG Factors FY21'!A:L,8,FALSE)*E39</f>
        <v>0</v>
      </c>
      <c r="G39" s="194">
        <f>VLOOKUP(A39,'GHG Factors FY21'!A:L,10,FALSE)*E39</f>
        <v>0</v>
      </c>
      <c r="H39" s="194">
        <f>VLOOKUP(A39,'GHG Factors FY21'!A:L,11,FALSE)*E39</f>
        <v>0</v>
      </c>
      <c r="I39" s="194">
        <f>VLOOKUP(A39,'GHG Factors FY21'!A:L,12,FALSE)*E39</f>
        <v>0</v>
      </c>
      <c r="J39" s="194">
        <f t="shared" si="3"/>
        <v>0</v>
      </c>
    </row>
    <row r="40" spans="1:10">
      <c r="A40" s="193" t="s">
        <v>991</v>
      </c>
      <c r="B40" s="828">
        <v>0</v>
      </c>
      <c r="C40" s="70" t="s">
        <v>663</v>
      </c>
      <c r="D40" s="70" t="s">
        <v>104</v>
      </c>
      <c r="E40" s="194">
        <f t="shared" si="2"/>
        <v>0</v>
      </c>
      <c r="F40" s="194">
        <f>VLOOKUP(A40,'GHG Factors FY21'!A:L,8,FALSE)*E40</f>
        <v>0</v>
      </c>
      <c r="G40" s="194">
        <f>VLOOKUP(A40,'GHG Factors FY21'!A:L,10,FALSE)*E40</f>
        <v>0</v>
      </c>
      <c r="H40" s="194">
        <f>VLOOKUP(A40,'GHG Factors FY21'!A:L,11,FALSE)*E40</f>
        <v>0</v>
      </c>
      <c r="I40" s="194">
        <f>VLOOKUP(A40,'GHG Factors FY21'!A:L,12,FALSE)*E40</f>
        <v>0</v>
      </c>
      <c r="J40" s="194">
        <f t="shared" si="3"/>
        <v>0</v>
      </c>
    </row>
    <row r="41" spans="1:10">
      <c r="A41" s="193" t="s">
        <v>992</v>
      </c>
      <c r="B41" s="828">
        <v>41352143.156999998</v>
      </c>
      <c r="C41" s="70" t="s">
        <v>663</v>
      </c>
      <c r="D41" s="70" t="s">
        <v>104</v>
      </c>
      <c r="E41" s="194">
        <f t="shared" si="2"/>
        <v>41352143.156999998</v>
      </c>
      <c r="F41" s="194">
        <f>VLOOKUP(A41,'GHG Factors FY21'!A:L,8,FALSE)*E41</f>
        <v>148867.71536519998</v>
      </c>
      <c r="G41" s="194">
        <f>VLOOKUP(A41,'GHG Factors FY21'!A:L,10,FALSE)*E41</f>
        <v>0</v>
      </c>
      <c r="H41" s="194">
        <f>VLOOKUP(A41,'GHG Factors FY21'!A:L,11,FALSE)*E41</f>
        <v>40525100.293859996</v>
      </c>
      <c r="I41" s="194">
        <f>VLOOKUP(A41,'GHG Factors FY21'!A:L,12,FALSE)*E41</f>
        <v>4548735.7472700002</v>
      </c>
      <c r="J41" s="194">
        <f t="shared" si="3"/>
        <v>45073836.041129999</v>
      </c>
    </row>
    <row r="42" spans="1:10">
      <c r="A42" s="193" t="s">
        <v>993</v>
      </c>
      <c r="B42" s="828">
        <v>0</v>
      </c>
      <c r="C42" s="70" t="s">
        <v>663</v>
      </c>
      <c r="D42" s="70" t="s">
        <v>104</v>
      </c>
      <c r="E42" s="194">
        <f t="shared" si="2"/>
        <v>0</v>
      </c>
      <c r="F42" s="194">
        <f>VLOOKUP(A42,'GHG Factors FY21'!A:L,8,FALSE)*E42</f>
        <v>0</v>
      </c>
      <c r="G42" s="194">
        <f>VLOOKUP(A42,'GHG Factors FY21'!A:L,10,FALSE)*E42</f>
        <v>0</v>
      </c>
      <c r="H42" s="194">
        <f>VLOOKUP(A42,'GHG Factors FY21'!A:L,11,FALSE)*E42</f>
        <v>0</v>
      </c>
      <c r="I42" s="194">
        <f>VLOOKUP(A42,'GHG Factors FY21'!A:L,12,FALSE)*E42</f>
        <v>0</v>
      </c>
      <c r="J42" s="194">
        <f t="shared" si="3"/>
        <v>0</v>
      </c>
    </row>
    <row r="43" spans="1:10">
      <c r="A43" s="193" t="s">
        <v>705</v>
      </c>
      <c r="B43" s="828">
        <v>40063690.008000001</v>
      </c>
      <c r="C43" s="70" t="s">
        <v>663</v>
      </c>
      <c r="D43" s="70" t="s">
        <v>104</v>
      </c>
      <c r="E43" s="194">
        <f t="shared" si="2"/>
        <v>40063690.008000001</v>
      </c>
      <c r="F43" s="194">
        <f>VLOOKUP(A43,'GHG Factors FY21'!A:L,8,FALSE)*E43</f>
        <v>144229.2840288</v>
      </c>
      <c r="G43" s="194">
        <f>VLOOKUP(A43,'GHG Factors FY21'!A:L,10,FALSE)*E43</f>
        <v>0</v>
      </c>
      <c r="H43" s="194">
        <f>VLOOKUP(A43,'GHG Factors FY21'!A:L,11,FALSE)*E43</f>
        <v>32451588.906480003</v>
      </c>
      <c r="I43" s="194">
        <f>VLOOKUP(A43,'GHG Factors FY21'!A:L,12,FALSE)*E43</f>
        <v>3605732.10072</v>
      </c>
      <c r="J43" s="194">
        <f t="shared" si="3"/>
        <v>36057321.007200003</v>
      </c>
    </row>
    <row r="44" spans="1:10">
      <c r="A44" s="195" t="s">
        <v>1066</v>
      </c>
      <c r="B44" s="828">
        <v>0</v>
      </c>
      <c r="C44" s="70" t="s">
        <v>663</v>
      </c>
      <c r="D44" s="70" t="s">
        <v>104</v>
      </c>
      <c r="E44" s="196">
        <f>B44</f>
        <v>0</v>
      </c>
      <c r="F44" s="196">
        <f>VLOOKUP(A44,'GHG Factors FY21'!A:L,8,FALSE)*E44</f>
        <v>0</v>
      </c>
      <c r="G44" s="196">
        <f>VLOOKUP(A44,'GHG Factors FY21'!A:L,10,FALSE)*E44</f>
        <v>0</v>
      </c>
      <c r="H44" s="196">
        <f>VLOOKUP(A44,'GHG Factors FY21'!A:L,11,FALSE)*E44</f>
        <v>0</v>
      </c>
      <c r="I44" s="196">
        <f>VLOOKUP(A44,'GHG Factors FY21'!A:L,12,FALSE)*E44</f>
        <v>0</v>
      </c>
      <c r="J44" s="196">
        <f>SUM(G44,H44,I44)</f>
        <v>0</v>
      </c>
    </row>
    <row r="46" spans="1:10">
      <c r="B46" s="240">
        <f>SUM(Table2[Consumption Quantity])</f>
        <v>1421275729.2767091</v>
      </c>
      <c r="F46" s="8">
        <f>SUM(Table2[Sum of Total GJ])</f>
        <v>5116592.625396152</v>
      </c>
    </row>
    <row r="47" spans="1:10">
      <c r="A47" s="816" t="s">
        <v>1183</v>
      </c>
    </row>
    <row r="49" spans="1:10">
      <c r="A49" s="33" t="s">
        <v>3</v>
      </c>
      <c r="B49" s="654">
        <v>44046</v>
      </c>
    </row>
    <row r="50" spans="1:10">
      <c r="A50" s="126" t="s">
        <v>750</v>
      </c>
      <c r="B50" s="120" t="s">
        <v>781</v>
      </c>
      <c r="C50" s="120" t="s">
        <v>649</v>
      </c>
      <c r="D50" s="120" t="s">
        <v>684</v>
      </c>
      <c r="E50" s="221" t="s">
        <v>650</v>
      </c>
      <c r="F50" s="221" t="s">
        <v>651</v>
      </c>
      <c r="G50" s="221" t="s">
        <v>652</v>
      </c>
      <c r="H50" s="221" t="s">
        <v>653</v>
      </c>
      <c r="I50" s="221" t="s">
        <v>654</v>
      </c>
      <c r="J50" s="221" t="s">
        <v>751</v>
      </c>
    </row>
    <row r="51" spans="1:10">
      <c r="A51" s="193" t="s">
        <v>1018</v>
      </c>
      <c r="B51" s="8">
        <v>31858116.843500011</v>
      </c>
      <c r="C51" s="70" t="s">
        <v>663</v>
      </c>
      <c r="D51" s="70" t="s">
        <v>104</v>
      </c>
      <c r="E51" s="194">
        <f t="shared" ref="E51:E91" si="4">B51</f>
        <v>31858116.843500011</v>
      </c>
      <c r="F51" s="194">
        <f>VLOOKUP(A51,'GHG Factors FY20'!A:L,8,FALSE)*E51</f>
        <v>114689.22063660003</v>
      </c>
      <c r="G51" s="194">
        <f>VLOOKUP(A51,'GHG Factors FY20'!A:L,10,FALSE)*E51</f>
        <v>0</v>
      </c>
      <c r="H51" s="194">
        <f>VLOOKUP(A51,'GHG Factors FY20'!A:L,11,FALSE)*E51</f>
        <v>25805074.643235009</v>
      </c>
      <c r="I51" s="194">
        <f>VLOOKUP(A51,'GHG Factors FY20'!A:L,12,FALSE)*E51</f>
        <v>2867230.5159150008</v>
      </c>
      <c r="J51" s="194">
        <f t="shared" ref="J51:J91" si="5">SUM(G51,H51,I51)</f>
        <v>28672305.159150012</v>
      </c>
    </row>
    <row r="52" spans="1:10">
      <c r="A52" s="193" t="s">
        <v>1019</v>
      </c>
      <c r="B52" s="8">
        <v>418066742.43352997</v>
      </c>
      <c r="C52" s="70" t="s">
        <v>663</v>
      </c>
      <c r="D52" s="70" t="s">
        <v>104</v>
      </c>
      <c r="E52" s="194">
        <f t="shared" si="4"/>
        <v>418066742.43352997</v>
      </c>
      <c r="F52" s="194">
        <f>VLOOKUP(A52,'GHG Factors FY20'!A:L,8,FALSE)*E52</f>
        <v>1505040.2727607079</v>
      </c>
      <c r="G52" s="194">
        <f>VLOOKUP(A52,'GHG Factors FY20'!A:L,10,FALSE)*E52</f>
        <v>0</v>
      </c>
      <c r="H52" s="194">
        <f>VLOOKUP(A52,'GHG Factors FY20'!A:L,11,FALSE)*E52</f>
        <v>338634061.37115932</v>
      </c>
      <c r="I52" s="194">
        <f>VLOOKUP(A52,'GHG Factors FY20'!A:L,12,FALSE)*E52</f>
        <v>37626006.819017693</v>
      </c>
      <c r="J52" s="194">
        <f t="shared" si="5"/>
        <v>376260068.19017702</v>
      </c>
    </row>
    <row r="53" spans="1:10">
      <c r="A53" s="193" t="s">
        <v>1184</v>
      </c>
      <c r="B53" s="8">
        <v>18627765.368035831</v>
      </c>
      <c r="C53" s="70" t="s">
        <v>663</v>
      </c>
      <c r="D53" s="70" t="s">
        <v>104</v>
      </c>
      <c r="E53" s="194">
        <f t="shared" si="4"/>
        <v>18627765.368035831</v>
      </c>
      <c r="F53" s="194">
        <f>VLOOKUP(A53,'GHG Factors FY20'!A:L,8,FALSE)*E53</f>
        <v>67059.955324928989</v>
      </c>
      <c r="G53" s="194">
        <f>VLOOKUP(A53,'GHG Factors FY20'!A:L,10,FALSE)*E53</f>
        <v>0</v>
      </c>
      <c r="H53" s="194">
        <f>VLOOKUP(A53,'GHG Factors FY20'!A:L,11,FALSE)*E53</f>
        <v>11735492.181862574</v>
      </c>
      <c r="I53" s="194">
        <f>VLOOKUP(A53,'GHG Factors FY20'!A:L,12,FALSE)*E53</f>
        <v>1490221.2294428665</v>
      </c>
      <c r="J53" s="194">
        <f t="shared" si="5"/>
        <v>13225713.411305441</v>
      </c>
    </row>
    <row r="54" spans="1:10">
      <c r="A54" s="193" t="s">
        <v>1020</v>
      </c>
      <c r="B54" s="8">
        <v>258472764.88008201</v>
      </c>
      <c r="C54" s="70" t="s">
        <v>663</v>
      </c>
      <c r="D54" s="70" t="s">
        <v>104</v>
      </c>
      <c r="E54" s="194">
        <f t="shared" si="4"/>
        <v>258472764.88008201</v>
      </c>
      <c r="F54" s="194">
        <f>VLOOKUP(A54,'GHG Factors FY20'!A:L,8,FALSE)*E54</f>
        <v>930501.95356829523</v>
      </c>
      <c r="G54" s="194">
        <f>VLOOKUP(A54,'GHG Factors FY20'!A:L,10,FALSE)*E54</f>
        <v>0</v>
      </c>
      <c r="H54" s="194">
        <f>VLOOKUP(A54,'GHG Factors FY20'!A:L,11,FALSE)*E54</f>
        <v>209362939.55286643</v>
      </c>
      <c r="I54" s="194">
        <f>VLOOKUP(A54,'GHG Factors FY20'!A:L,12,FALSE)*E54</f>
        <v>31016731.785609841</v>
      </c>
      <c r="J54" s="194">
        <f t="shared" si="5"/>
        <v>240379671.33847627</v>
      </c>
    </row>
    <row r="55" spans="1:10">
      <c r="A55" s="193" t="s">
        <v>1021</v>
      </c>
      <c r="B55" s="8">
        <v>94626138.118180573</v>
      </c>
      <c r="C55" s="70" t="s">
        <v>663</v>
      </c>
      <c r="D55" s="70" t="s">
        <v>104</v>
      </c>
      <c r="E55" s="194">
        <f t="shared" si="4"/>
        <v>94626138.118180573</v>
      </c>
      <c r="F55" s="194">
        <f>VLOOKUP(A55,'GHG Factors FY20'!A:L,8,FALSE)*E55</f>
        <v>340654.09722545004</v>
      </c>
      <c r="G55" s="194">
        <f>VLOOKUP(A55,'GHG Factors FY20'!A:L,10,FALSE)*E55</f>
        <v>0</v>
      </c>
      <c r="H55" s="194">
        <f>VLOOKUP(A55,'GHG Factors FY20'!A:L,11,FALSE)*E55</f>
        <v>41635500.771999456</v>
      </c>
      <c r="I55" s="194">
        <f>VLOOKUP(A55,'GHG Factors FY20'!A:L,12,FALSE)*E55</f>
        <v>9462613.8118180577</v>
      </c>
      <c r="J55" s="194">
        <f t="shared" si="5"/>
        <v>51098114.583817512</v>
      </c>
    </row>
    <row r="56" spans="1:10">
      <c r="A56" s="193" t="s">
        <v>1022</v>
      </c>
      <c r="B56" s="8">
        <v>26422909.117874768</v>
      </c>
      <c r="C56" s="70" t="s">
        <v>663</v>
      </c>
      <c r="D56" s="70" t="s">
        <v>104</v>
      </c>
      <c r="E56" s="194">
        <f t="shared" si="4"/>
        <v>26422909.117874768</v>
      </c>
      <c r="F56" s="194">
        <f>VLOOKUP(A56,'GHG Factors FY20'!A:L,8,FALSE)*E56</f>
        <v>95122.472824349155</v>
      </c>
      <c r="G56" s="194">
        <f>VLOOKUP(A56,'GHG Factors FY20'!A:L,10,FALSE)*E56</f>
        <v>0</v>
      </c>
      <c r="H56" s="194">
        <f>VLOOKUP(A56,'GHG Factors FY20'!A:L,11,FALSE)*E56</f>
        <v>3963436.3676812151</v>
      </c>
      <c r="I56" s="194">
        <f>VLOOKUP(A56,'GHG Factors FY20'!A:L,12,FALSE)*E56</f>
        <v>528458.18235749542</v>
      </c>
      <c r="J56" s="194">
        <f t="shared" si="5"/>
        <v>4491894.5500387102</v>
      </c>
    </row>
    <row r="57" spans="1:10">
      <c r="A57" s="193" t="s">
        <v>1023</v>
      </c>
      <c r="B57" s="8">
        <v>320653221.9950434</v>
      </c>
      <c r="C57" s="70" t="s">
        <v>663</v>
      </c>
      <c r="D57" s="70" t="s">
        <v>104</v>
      </c>
      <c r="E57" s="194">
        <f t="shared" si="4"/>
        <v>320653221.9950434</v>
      </c>
      <c r="F57" s="194">
        <f>VLOOKUP(A57,'GHG Factors FY20'!A:L,8,FALSE)*E57</f>
        <v>1154351.5991821561</v>
      </c>
      <c r="G57" s="194">
        <f>VLOOKUP(A57,'GHG Factors FY20'!A:L,10,FALSE)*E57</f>
        <v>0</v>
      </c>
      <c r="H57" s="194">
        <f>VLOOKUP(A57,'GHG Factors FY20'!A:L,11,FALSE)*E57</f>
        <v>327066286.43494427</v>
      </c>
      <c r="I57" s="194">
        <f>VLOOKUP(A57,'GHG Factors FY20'!A:L,12,FALSE)*E57</f>
        <v>32065322.199504342</v>
      </c>
      <c r="J57" s="194">
        <f t="shared" si="5"/>
        <v>359131608.63444859</v>
      </c>
    </row>
    <row r="58" spans="1:10">
      <c r="A58" s="193" t="s">
        <v>1024</v>
      </c>
      <c r="B58" s="8">
        <v>140235785.65888301</v>
      </c>
      <c r="C58" s="70" t="s">
        <v>663</v>
      </c>
      <c r="D58" s="70" t="s">
        <v>104</v>
      </c>
      <c r="E58" s="194">
        <f t="shared" si="4"/>
        <v>140235785.65888301</v>
      </c>
      <c r="F58" s="194">
        <f>VLOOKUP(A58,'GHG Factors FY20'!A:L,8,FALSE)*E58</f>
        <v>504848.82837197883</v>
      </c>
      <c r="G58" s="194">
        <f>VLOOKUP(A58,'GHG Factors FY20'!A:L,10,FALSE)*E58</f>
        <v>0</v>
      </c>
      <c r="H58" s="194">
        <f>VLOOKUP(A58,'GHG Factors FY20'!A:L,11,FALSE)*E58</f>
        <v>96762692.104629263</v>
      </c>
      <c r="I58" s="194">
        <f>VLOOKUP(A58,'GHG Factors FY20'!A:L,12,FALSE)*E58</f>
        <v>5609431.42635532</v>
      </c>
      <c r="J58" s="194">
        <f t="shared" si="5"/>
        <v>102372123.53098458</v>
      </c>
    </row>
    <row r="59" spans="1:10">
      <c r="A59" s="193" t="s">
        <v>1002</v>
      </c>
      <c r="B59" s="8">
        <v>1909.0811000000001</v>
      </c>
      <c r="C59" s="70" t="s">
        <v>663</v>
      </c>
      <c r="D59" s="70" t="s">
        <v>104</v>
      </c>
      <c r="E59" s="194">
        <f t="shared" si="4"/>
        <v>1909.0811000000001</v>
      </c>
      <c r="F59" s="194">
        <f>VLOOKUP(A59,'GHG Factors FY20'!A:L,8,FALSE)*E59</f>
        <v>6.87269196</v>
      </c>
      <c r="G59" s="194">
        <f>VLOOKUP(A59,'GHG Factors FY20'!A:L,10,FALSE)*E59</f>
        <v>0</v>
      </c>
      <c r="H59" s="194">
        <f>VLOOKUP(A59,'GHG Factors FY20'!A:L,11,FALSE)*E59</f>
        <v>1546.3556910000002</v>
      </c>
      <c r="I59" s="194">
        <f>VLOOKUP(A59,'GHG Factors FY20'!A:L,12,FALSE)*E59</f>
        <v>171.81729899999999</v>
      </c>
      <c r="J59" s="194">
        <f t="shared" si="5"/>
        <v>1718.1729900000003</v>
      </c>
    </row>
    <row r="60" spans="1:10">
      <c r="A60" s="193" t="s">
        <v>1003</v>
      </c>
      <c r="B60" s="8">
        <v>0</v>
      </c>
      <c r="C60" s="70" t="s">
        <v>663</v>
      </c>
      <c r="D60" s="70" t="s">
        <v>104</v>
      </c>
      <c r="E60" s="194">
        <f t="shared" si="4"/>
        <v>0</v>
      </c>
      <c r="F60" s="194">
        <f>VLOOKUP(A60,'GHG Factors FY20'!A:L,8,FALSE)*E60</f>
        <v>0</v>
      </c>
      <c r="G60" s="194">
        <f>VLOOKUP(A60,'GHG Factors FY20'!A:L,10,FALSE)*E60</f>
        <v>0</v>
      </c>
      <c r="H60" s="194">
        <f>VLOOKUP(A60,'GHG Factors FY20'!A:L,11,FALSE)*E60</f>
        <v>0</v>
      </c>
      <c r="I60" s="194">
        <f>VLOOKUP(A60,'GHG Factors FY20'!A:L,12,FALSE)*E60</f>
        <v>0</v>
      </c>
      <c r="J60" s="194">
        <f t="shared" si="5"/>
        <v>0</v>
      </c>
    </row>
    <row r="61" spans="1:10">
      <c r="A61" s="193" t="s">
        <v>1004</v>
      </c>
      <c r="B61" s="8">
        <v>0</v>
      </c>
      <c r="C61" s="70" t="s">
        <v>663</v>
      </c>
      <c r="D61" s="70" t="s">
        <v>104</v>
      </c>
      <c r="E61" s="194">
        <f t="shared" si="4"/>
        <v>0</v>
      </c>
      <c r="F61" s="194">
        <f>VLOOKUP(A61,'GHG Factors FY20'!A:L,8,FALSE)*E61</f>
        <v>0</v>
      </c>
      <c r="G61" s="194">
        <f>VLOOKUP(A61,'GHG Factors FY20'!A:L,10,FALSE)*E61</f>
        <v>0</v>
      </c>
      <c r="H61" s="194">
        <f>VLOOKUP(A61,'GHG Factors FY20'!A:L,11,FALSE)*E61</f>
        <v>0</v>
      </c>
      <c r="I61" s="194">
        <f>VLOOKUP(A61,'GHG Factors FY20'!A:L,12,FALSE)*E61</f>
        <v>0</v>
      </c>
      <c r="J61" s="194">
        <f t="shared" si="5"/>
        <v>0</v>
      </c>
    </row>
    <row r="62" spans="1:10">
      <c r="A62" s="193" t="s">
        <v>1005</v>
      </c>
      <c r="B62" s="8">
        <v>40613.843699999998</v>
      </c>
      <c r="C62" s="70" t="s">
        <v>663</v>
      </c>
      <c r="D62" s="70" t="s">
        <v>104</v>
      </c>
      <c r="E62" s="194">
        <f t="shared" si="4"/>
        <v>40613.843699999998</v>
      </c>
      <c r="F62" s="194">
        <f>VLOOKUP(A62,'GHG Factors FY20'!A:L,8,FALSE)*E62</f>
        <v>146.20983731999999</v>
      </c>
      <c r="G62" s="194">
        <f>VLOOKUP(A62,'GHG Factors FY20'!A:L,10,FALSE)*E62</f>
        <v>0</v>
      </c>
      <c r="H62" s="194">
        <f>VLOOKUP(A62,'GHG Factors FY20'!A:L,11,FALSE)*E62</f>
        <v>32897.213397</v>
      </c>
      <c r="I62" s="194">
        <f>VLOOKUP(A62,'GHG Factors FY20'!A:L,12,FALSE)*E62</f>
        <v>4873.6612439999999</v>
      </c>
      <c r="J62" s="194">
        <f t="shared" si="5"/>
        <v>37770.874641000002</v>
      </c>
    </row>
    <row r="63" spans="1:10">
      <c r="A63" s="193" t="s">
        <v>1006</v>
      </c>
      <c r="B63" s="8">
        <v>0</v>
      </c>
      <c r="C63" s="70" t="s">
        <v>663</v>
      </c>
      <c r="D63" s="70" t="s">
        <v>104</v>
      </c>
      <c r="E63" s="194">
        <f t="shared" si="4"/>
        <v>0</v>
      </c>
      <c r="F63" s="194">
        <f>VLOOKUP(A63,'GHG Factors FY20'!A:L,8,FALSE)*E63</f>
        <v>0</v>
      </c>
      <c r="G63" s="194">
        <f>VLOOKUP(A63,'GHG Factors FY20'!A:L,10,FALSE)*E63</f>
        <v>0</v>
      </c>
      <c r="H63" s="194">
        <f>VLOOKUP(A63,'GHG Factors FY20'!A:L,11,FALSE)*E63</f>
        <v>0</v>
      </c>
      <c r="I63" s="194">
        <f>VLOOKUP(A63,'GHG Factors FY20'!A:L,12,FALSE)*E63</f>
        <v>0</v>
      </c>
      <c r="J63" s="194">
        <f t="shared" si="5"/>
        <v>0</v>
      </c>
    </row>
    <row r="64" spans="1:10">
      <c r="A64" s="193" t="s">
        <v>1007</v>
      </c>
      <c r="B64" s="8">
        <v>0</v>
      </c>
      <c r="C64" s="70" t="s">
        <v>663</v>
      </c>
      <c r="D64" s="70" t="s">
        <v>104</v>
      </c>
      <c r="E64" s="194">
        <f t="shared" si="4"/>
        <v>0</v>
      </c>
      <c r="F64" s="194">
        <f>VLOOKUP(A64,'GHG Factors FY20'!A:L,8,FALSE)*E64</f>
        <v>0</v>
      </c>
      <c r="G64" s="194">
        <f>VLOOKUP(A64,'GHG Factors FY20'!A:L,10,FALSE)*E64</f>
        <v>0</v>
      </c>
      <c r="H64" s="194">
        <f>VLOOKUP(A64,'GHG Factors FY20'!A:L,11,FALSE)*E64</f>
        <v>0</v>
      </c>
      <c r="I64" s="194">
        <f>VLOOKUP(A64,'GHG Factors FY20'!A:L,12,FALSE)*E64</f>
        <v>0</v>
      </c>
      <c r="J64" s="194">
        <f t="shared" si="5"/>
        <v>0</v>
      </c>
    </row>
    <row r="65" spans="1:10">
      <c r="A65" s="193" t="s">
        <v>1008</v>
      </c>
      <c r="B65" s="8">
        <v>0</v>
      </c>
      <c r="C65" s="70" t="s">
        <v>663</v>
      </c>
      <c r="D65" s="70" t="s">
        <v>104</v>
      </c>
      <c r="E65" s="194">
        <f t="shared" si="4"/>
        <v>0</v>
      </c>
      <c r="F65" s="194">
        <f>VLOOKUP(A65,'GHG Factors FY20'!A:L,8,FALSE)*E65</f>
        <v>0</v>
      </c>
      <c r="G65" s="194">
        <f>VLOOKUP(A65,'GHG Factors FY20'!A:L,10,FALSE)*E65</f>
        <v>0</v>
      </c>
      <c r="H65" s="194">
        <f>VLOOKUP(A65,'GHG Factors FY20'!A:L,11,FALSE)*E65</f>
        <v>0</v>
      </c>
      <c r="I65" s="194">
        <f>VLOOKUP(A65,'GHG Factors FY20'!A:L,12,FALSE)*E65</f>
        <v>0</v>
      </c>
      <c r="J65" s="194">
        <f t="shared" si="5"/>
        <v>0</v>
      </c>
    </row>
    <row r="66" spans="1:10">
      <c r="A66" s="193" t="s">
        <v>1009</v>
      </c>
      <c r="B66" s="8">
        <v>48433.909100000004</v>
      </c>
      <c r="C66" s="70" t="s">
        <v>663</v>
      </c>
      <c r="D66" s="70" t="s">
        <v>104</v>
      </c>
      <c r="E66" s="194">
        <f t="shared" si="4"/>
        <v>48433.909100000004</v>
      </c>
      <c r="F66" s="194">
        <f>VLOOKUP(A66,'GHG Factors FY20'!A:L,8,FALSE)*E66</f>
        <v>174.36207276000002</v>
      </c>
      <c r="G66" s="194">
        <f>VLOOKUP(A66,'GHG Factors FY20'!A:L,10,FALSE)*E66</f>
        <v>0</v>
      </c>
      <c r="H66" s="194">
        <f>VLOOKUP(A66,'GHG Factors FY20'!A:L,11,FALSE)*E66</f>
        <v>33419.397278999997</v>
      </c>
      <c r="I66" s="194">
        <f>VLOOKUP(A66,'GHG Factors FY20'!A:L,12,FALSE)*E66</f>
        <v>1937.3563640000002</v>
      </c>
      <c r="J66" s="194">
        <f t="shared" si="5"/>
        <v>35356.753642999996</v>
      </c>
    </row>
    <row r="67" spans="1:10">
      <c r="A67" s="193" t="s">
        <v>1010</v>
      </c>
      <c r="B67" s="8">
        <v>50482.85790000001</v>
      </c>
      <c r="C67" s="70" t="s">
        <v>663</v>
      </c>
      <c r="D67" s="70" t="s">
        <v>104</v>
      </c>
      <c r="E67" s="194">
        <f t="shared" si="4"/>
        <v>50482.85790000001</v>
      </c>
      <c r="F67" s="194">
        <f>VLOOKUP(A67,'GHG Factors FY20'!A:L,8,FALSE)*E67</f>
        <v>181.73828844000002</v>
      </c>
      <c r="G67" s="194">
        <f>VLOOKUP(A67,'GHG Factors FY20'!A:L,10,FALSE)*E67</f>
        <v>0</v>
      </c>
      <c r="H67" s="194">
        <f>VLOOKUP(A67,'GHG Factors FY20'!A:L,11,FALSE)*E67</f>
        <v>40891.114899000007</v>
      </c>
      <c r="I67" s="194">
        <f>VLOOKUP(A67,'GHG Factors FY20'!A:L,12,FALSE)*E67</f>
        <v>4543.4572110000008</v>
      </c>
      <c r="J67" s="194">
        <f t="shared" si="5"/>
        <v>45434.572110000008</v>
      </c>
    </row>
    <row r="68" spans="1:10">
      <c r="A68" s="193" t="s">
        <v>1011</v>
      </c>
      <c r="B68" s="8">
        <v>1872483.8420999998</v>
      </c>
      <c r="C68" s="70" t="s">
        <v>663</v>
      </c>
      <c r="D68" s="70" t="s">
        <v>104</v>
      </c>
      <c r="E68" s="194">
        <f t="shared" si="4"/>
        <v>1872483.8420999998</v>
      </c>
      <c r="F68" s="194">
        <f>VLOOKUP(A68,'GHG Factors FY20'!A:L,8,FALSE)*E68</f>
        <v>6740.9418315599987</v>
      </c>
      <c r="G68" s="194">
        <f>VLOOKUP(A68,'GHG Factors FY20'!A:L,10,FALSE)*E68</f>
        <v>0</v>
      </c>
      <c r="H68" s="194">
        <f>VLOOKUP(A68,'GHG Factors FY20'!A:L,11,FALSE)*E68</f>
        <v>1516711.9121009998</v>
      </c>
      <c r="I68" s="194">
        <f>VLOOKUP(A68,'GHG Factors FY20'!A:L,12,FALSE)*E68</f>
        <v>168523.54578899997</v>
      </c>
      <c r="J68" s="194">
        <f t="shared" si="5"/>
        <v>1685235.4578899997</v>
      </c>
    </row>
    <row r="69" spans="1:10">
      <c r="A69" s="193" t="s">
        <v>1012</v>
      </c>
      <c r="B69" s="8">
        <v>0</v>
      </c>
      <c r="C69" s="70" t="s">
        <v>663</v>
      </c>
      <c r="D69" s="70" t="s">
        <v>104</v>
      </c>
      <c r="E69" s="194">
        <f t="shared" si="4"/>
        <v>0</v>
      </c>
      <c r="F69" s="194">
        <f>VLOOKUP(A69,'GHG Factors FY20'!A:L,8,FALSE)*E69</f>
        <v>0</v>
      </c>
      <c r="G69" s="194">
        <f>VLOOKUP(A69,'GHG Factors FY20'!A:L,10,FALSE)*E69</f>
        <v>0</v>
      </c>
      <c r="H69" s="194">
        <f>VLOOKUP(A69,'GHG Factors FY20'!A:L,11,FALSE)*E69</f>
        <v>0</v>
      </c>
      <c r="I69" s="194">
        <f>VLOOKUP(A69,'GHG Factors FY20'!A:L,12,FALSE)*E69</f>
        <v>0</v>
      </c>
      <c r="J69" s="194">
        <f t="shared" si="5"/>
        <v>0</v>
      </c>
    </row>
    <row r="70" spans="1:10">
      <c r="A70" s="193" t="s">
        <v>1013</v>
      </c>
      <c r="B70" s="8">
        <v>781856.26300000004</v>
      </c>
      <c r="C70" s="70" t="s">
        <v>663</v>
      </c>
      <c r="D70" s="70" t="s">
        <v>104</v>
      </c>
      <c r="E70" s="194">
        <f t="shared" si="4"/>
        <v>781856.26300000004</v>
      </c>
      <c r="F70" s="194">
        <f>VLOOKUP(A70,'GHG Factors FY20'!A:L,8,FALSE)*E70</f>
        <v>2814.6825468000002</v>
      </c>
      <c r="G70" s="194">
        <f>VLOOKUP(A70,'GHG Factors FY20'!A:L,10,FALSE)*E70</f>
        <v>0</v>
      </c>
      <c r="H70" s="194">
        <f>VLOOKUP(A70,'GHG Factors FY20'!A:L,11,FALSE)*E70</f>
        <v>633303.57303000009</v>
      </c>
      <c r="I70" s="194">
        <f>VLOOKUP(A70,'GHG Factors FY20'!A:L,12,FALSE)*E70</f>
        <v>93822.751560000004</v>
      </c>
      <c r="J70" s="194">
        <f t="shared" si="5"/>
        <v>727126.32459000009</v>
      </c>
    </row>
    <row r="71" spans="1:10">
      <c r="A71" s="193" t="s">
        <v>1014</v>
      </c>
      <c r="B71" s="8">
        <v>65317.452400000009</v>
      </c>
      <c r="C71" s="70" t="s">
        <v>663</v>
      </c>
      <c r="D71" s="70" t="s">
        <v>104</v>
      </c>
      <c r="E71" s="194">
        <f t="shared" si="4"/>
        <v>65317.452400000009</v>
      </c>
      <c r="F71" s="194">
        <f>VLOOKUP(A71,'GHG Factors FY20'!A:L,8,FALSE)*E71</f>
        <v>235.14282864000003</v>
      </c>
      <c r="G71" s="194">
        <f>VLOOKUP(A71,'GHG Factors FY20'!A:L,10,FALSE)*E71</f>
        <v>0</v>
      </c>
      <c r="H71" s="194">
        <f>VLOOKUP(A71,'GHG Factors FY20'!A:L,11,FALSE)*E71</f>
        <v>28739.679056000004</v>
      </c>
      <c r="I71" s="194">
        <f>VLOOKUP(A71,'GHG Factors FY20'!A:L,12,FALSE)*E71</f>
        <v>6531.7452400000011</v>
      </c>
      <c r="J71" s="194">
        <f t="shared" si="5"/>
        <v>35271.424296000005</v>
      </c>
    </row>
    <row r="72" spans="1:10">
      <c r="A72" s="193" t="s">
        <v>1015</v>
      </c>
      <c r="B72" s="8">
        <v>90358.739100000006</v>
      </c>
      <c r="C72" s="70" t="s">
        <v>663</v>
      </c>
      <c r="D72" s="70" t="s">
        <v>104</v>
      </c>
      <c r="E72" s="194">
        <f t="shared" si="4"/>
        <v>90358.739100000006</v>
      </c>
      <c r="F72" s="194">
        <f>VLOOKUP(A72,'GHG Factors FY20'!A:L,8,FALSE)*E72</f>
        <v>325.29146076000001</v>
      </c>
      <c r="G72" s="194">
        <f>VLOOKUP(A72,'GHG Factors FY20'!A:L,10,FALSE)*E72</f>
        <v>0</v>
      </c>
      <c r="H72" s="194">
        <f>VLOOKUP(A72,'GHG Factors FY20'!A:L,11,FALSE)*E72</f>
        <v>13553.810865000001</v>
      </c>
      <c r="I72" s="194">
        <f>VLOOKUP(A72,'GHG Factors FY20'!A:L,12,FALSE)*E72</f>
        <v>1807.1747820000001</v>
      </c>
      <c r="J72" s="194">
        <f t="shared" si="5"/>
        <v>15360.985647000001</v>
      </c>
    </row>
    <row r="73" spans="1:10">
      <c r="A73" s="193" t="s">
        <v>1016</v>
      </c>
      <c r="B73" s="8">
        <v>1742639.3247977877</v>
      </c>
      <c r="C73" s="70" t="s">
        <v>663</v>
      </c>
      <c r="D73" s="70" t="s">
        <v>104</v>
      </c>
      <c r="E73" s="194">
        <f t="shared" si="4"/>
        <v>1742639.3247977877</v>
      </c>
      <c r="F73" s="194">
        <f>VLOOKUP(A73,'GHG Factors FY20'!A:L,8,FALSE)*E73</f>
        <v>6273.5015692720353</v>
      </c>
      <c r="G73" s="194">
        <f>VLOOKUP(A73,'GHG Factors FY20'!A:L,10,FALSE)*E73</f>
        <v>0</v>
      </c>
      <c r="H73" s="194">
        <f>VLOOKUP(A73,'GHG Factors FY20'!A:L,11,FALSE)*E73</f>
        <v>1777492.1112937436</v>
      </c>
      <c r="I73" s="194">
        <f>VLOOKUP(A73,'GHG Factors FY20'!A:L,12,FALSE)*E73</f>
        <v>174263.93247977877</v>
      </c>
      <c r="J73" s="194">
        <f t="shared" si="5"/>
        <v>1951756.0437735224</v>
      </c>
    </row>
    <row r="74" spans="1:10">
      <c r="A74" s="193" t="s">
        <v>1017</v>
      </c>
      <c r="B74" s="8">
        <v>333624.49723559344</v>
      </c>
      <c r="C74" s="70" t="s">
        <v>663</v>
      </c>
      <c r="D74" s="70" t="s">
        <v>104</v>
      </c>
      <c r="E74" s="194">
        <f t="shared" si="4"/>
        <v>333624.49723559344</v>
      </c>
      <c r="F74" s="194">
        <f>VLOOKUP(A74,'GHG Factors FY20'!A:L,8,FALSE)*E74</f>
        <v>1201.0481900481363</v>
      </c>
      <c r="G74" s="194">
        <f>VLOOKUP(A74,'GHG Factors FY20'!A:L,10,FALSE)*E74</f>
        <v>0</v>
      </c>
      <c r="H74" s="194">
        <f>VLOOKUP(A74,'GHG Factors FY20'!A:L,11,FALSE)*E74</f>
        <v>230200.90309255946</v>
      </c>
      <c r="I74" s="194">
        <f>VLOOKUP(A74,'GHG Factors FY20'!A:L,12,FALSE)*E74</f>
        <v>13344.979889423737</v>
      </c>
      <c r="J74" s="194">
        <f t="shared" si="5"/>
        <v>243545.88298198319</v>
      </c>
    </row>
    <row r="75" spans="1:10">
      <c r="A75" s="193" t="s">
        <v>994</v>
      </c>
      <c r="B75" s="8">
        <v>2396770.0929999999</v>
      </c>
      <c r="C75" s="70" t="s">
        <v>663</v>
      </c>
      <c r="D75" s="70" t="s">
        <v>104</v>
      </c>
      <c r="E75" s="194">
        <f t="shared" si="4"/>
        <v>2396770.0929999999</v>
      </c>
      <c r="F75" s="194">
        <f>VLOOKUP(A75,'GHG Factors FY20'!A:L,8,FALSE)*E75</f>
        <v>8628.3723347999985</v>
      </c>
      <c r="G75" s="194">
        <f>VLOOKUP(A75,'GHG Factors FY20'!A:L,10,FALSE)*E75</f>
        <v>0</v>
      </c>
      <c r="H75" s="194">
        <f>VLOOKUP(A75,'GHG Factors FY20'!A:L,11,FALSE)*E75</f>
        <v>1941383.7753300001</v>
      </c>
      <c r="I75" s="194">
        <f>VLOOKUP(A75,'GHG Factors FY20'!A:L,12,FALSE)*E75</f>
        <v>215709.30836999998</v>
      </c>
      <c r="J75" s="194">
        <f t="shared" si="5"/>
        <v>2157093.0837000003</v>
      </c>
    </row>
    <row r="76" spans="1:10">
      <c r="A76" s="193" t="s">
        <v>995</v>
      </c>
      <c r="B76" s="8">
        <v>5850634.4482299993</v>
      </c>
      <c r="C76" s="70" t="s">
        <v>663</v>
      </c>
      <c r="D76" s="70" t="s">
        <v>104</v>
      </c>
      <c r="E76" s="194">
        <f t="shared" si="4"/>
        <v>5850634.4482299993</v>
      </c>
      <c r="F76" s="194">
        <f>VLOOKUP(A76,'GHG Factors FY20'!A:L,8,FALSE)*E76</f>
        <v>21062.284013627996</v>
      </c>
      <c r="G76" s="194">
        <f>VLOOKUP(A76,'GHG Factors FY20'!A:L,10,FALSE)*E76</f>
        <v>0</v>
      </c>
      <c r="H76" s="194">
        <f>VLOOKUP(A76,'GHG Factors FY20'!A:L,11,FALSE)*E76</f>
        <v>4739013.9030662999</v>
      </c>
      <c r="I76" s="194">
        <f>VLOOKUP(A76,'GHG Factors FY20'!A:L,12,FALSE)*E76</f>
        <v>526557.10034069989</v>
      </c>
      <c r="J76" s="194">
        <f t="shared" si="5"/>
        <v>5265571.0034069996</v>
      </c>
    </row>
    <row r="77" spans="1:10">
      <c r="A77" s="193" t="s">
        <v>996</v>
      </c>
      <c r="B77" s="8">
        <v>133126.70540000001</v>
      </c>
      <c r="C77" s="70" t="s">
        <v>663</v>
      </c>
      <c r="D77" s="70" t="s">
        <v>104</v>
      </c>
      <c r="E77" s="194">
        <f t="shared" si="4"/>
        <v>133126.70540000001</v>
      </c>
      <c r="F77" s="194">
        <f>VLOOKUP(A77,'GHG Factors FY20'!A:L,8,FALSE)*E77</f>
        <v>479.25613944000003</v>
      </c>
      <c r="G77" s="194">
        <f>VLOOKUP(A77,'GHG Factors FY20'!A:L,10,FALSE)*E77</f>
        <v>0</v>
      </c>
      <c r="H77" s="194">
        <f>VLOOKUP(A77,'GHG Factors FY20'!A:L,11,FALSE)*E77</f>
        <v>83869.824401999998</v>
      </c>
      <c r="I77" s="194">
        <f>VLOOKUP(A77,'GHG Factors FY20'!A:L,12,FALSE)*E77</f>
        <v>10650.136432000001</v>
      </c>
      <c r="J77" s="194">
        <f t="shared" si="5"/>
        <v>94519.960833999998</v>
      </c>
    </row>
    <row r="78" spans="1:10">
      <c r="A78" s="193" t="s">
        <v>997</v>
      </c>
      <c r="B78" s="8">
        <v>3362682.8131306525</v>
      </c>
      <c r="C78" s="70" t="s">
        <v>663</v>
      </c>
      <c r="D78" s="70" t="s">
        <v>104</v>
      </c>
      <c r="E78" s="194">
        <f t="shared" si="4"/>
        <v>3362682.8131306525</v>
      </c>
      <c r="F78" s="194">
        <f>VLOOKUP(A78,'GHG Factors FY20'!A:L,8,FALSE)*E78</f>
        <v>12105.658127270348</v>
      </c>
      <c r="G78" s="194">
        <f>VLOOKUP(A78,'GHG Factors FY20'!A:L,10,FALSE)*E78</f>
        <v>0</v>
      </c>
      <c r="H78" s="194">
        <f>VLOOKUP(A78,'GHG Factors FY20'!A:L,11,FALSE)*E78</f>
        <v>2723773.0786358286</v>
      </c>
      <c r="I78" s="194">
        <f>VLOOKUP(A78,'GHG Factors FY20'!A:L,12,FALSE)*E78</f>
        <v>403521.93757567828</v>
      </c>
      <c r="J78" s="194">
        <f t="shared" si="5"/>
        <v>3127295.0162115069</v>
      </c>
    </row>
    <row r="79" spans="1:10">
      <c r="A79" s="193" t="s">
        <v>998</v>
      </c>
      <c r="B79" s="8">
        <v>42922.249799999991</v>
      </c>
      <c r="C79" s="70" t="s">
        <v>663</v>
      </c>
      <c r="D79" s="70" t="s">
        <v>104</v>
      </c>
      <c r="E79" s="194">
        <f t="shared" si="4"/>
        <v>42922.249799999991</v>
      </c>
      <c r="F79" s="194">
        <f>VLOOKUP(A79,'GHG Factors FY20'!A:L,8,FALSE)*E79</f>
        <v>154.52009927999995</v>
      </c>
      <c r="G79" s="194">
        <f>VLOOKUP(A79,'GHG Factors FY20'!A:L,10,FALSE)*E79</f>
        <v>0</v>
      </c>
      <c r="H79" s="194">
        <f>VLOOKUP(A79,'GHG Factors FY20'!A:L,11,FALSE)*E79</f>
        <v>18885.789911999997</v>
      </c>
      <c r="I79" s="194">
        <f>VLOOKUP(A79,'GHG Factors FY20'!A:L,12,FALSE)*E79</f>
        <v>4292.2249799999991</v>
      </c>
      <c r="J79" s="194">
        <f t="shared" si="5"/>
        <v>23178.014891999996</v>
      </c>
    </row>
    <row r="80" spans="1:10">
      <c r="A80" s="193" t="s">
        <v>999</v>
      </c>
      <c r="B80" s="8">
        <v>613627.32760000008</v>
      </c>
      <c r="C80" s="70" t="s">
        <v>663</v>
      </c>
      <c r="D80" s="70" t="s">
        <v>104</v>
      </c>
      <c r="E80" s="194">
        <f t="shared" si="4"/>
        <v>613627.32760000008</v>
      </c>
      <c r="F80" s="194">
        <f>VLOOKUP(A80,'GHG Factors FY20'!A:L,8,FALSE)*E80</f>
        <v>2209.0583793600003</v>
      </c>
      <c r="G80" s="194">
        <f>VLOOKUP(A80,'GHG Factors FY20'!A:L,10,FALSE)*E80</f>
        <v>0</v>
      </c>
      <c r="H80" s="194">
        <f>VLOOKUP(A80,'GHG Factors FY20'!A:L,11,FALSE)*E80</f>
        <v>92044.099140000006</v>
      </c>
      <c r="I80" s="194">
        <f>VLOOKUP(A80,'GHG Factors FY20'!A:L,12,FALSE)*E80</f>
        <v>12272.546552000002</v>
      </c>
      <c r="J80" s="194">
        <f t="shared" si="5"/>
        <v>104316.64569200001</v>
      </c>
    </row>
    <row r="81" spans="1:10">
      <c r="A81" s="193" t="s">
        <v>1000</v>
      </c>
      <c r="B81" s="8">
        <v>18751583.85392702</v>
      </c>
      <c r="C81" s="70" t="s">
        <v>663</v>
      </c>
      <c r="D81" s="70" t="s">
        <v>104</v>
      </c>
      <c r="E81" s="194">
        <f t="shared" si="4"/>
        <v>18751583.85392702</v>
      </c>
      <c r="F81" s="194">
        <f>VLOOKUP(A81,'GHG Factors FY20'!A:L,8,FALSE)*E81</f>
        <v>67505.701874137274</v>
      </c>
      <c r="G81" s="194">
        <f>VLOOKUP(A81,'GHG Factors FY20'!A:L,10,FALSE)*E81</f>
        <v>0</v>
      </c>
      <c r="H81" s="194">
        <f>VLOOKUP(A81,'GHG Factors FY20'!A:L,11,FALSE)*E81</f>
        <v>19126615.531005561</v>
      </c>
      <c r="I81" s="194">
        <f>VLOOKUP(A81,'GHG Factors FY20'!A:L,12,FALSE)*E81</f>
        <v>1875158.3853927022</v>
      </c>
      <c r="J81" s="194">
        <f t="shared" si="5"/>
        <v>21001773.916398264</v>
      </c>
    </row>
    <row r="82" spans="1:10">
      <c r="A82" s="193" t="s">
        <v>1001</v>
      </c>
      <c r="B82" s="8">
        <v>479820.8787</v>
      </c>
      <c r="C82" s="70" t="s">
        <v>663</v>
      </c>
      <c r="D82" s="70" t="s">
        <v>104</v>
      </c>
      <c r="E82" s="194">
        <f t="shared" si="4"/>
        <v>479820.8787</v>
      </c>
      <c r="F82" s="194">
        <f>VLOOKUP(A82,'GHG Factors FY20'!A:L,8,FALSE)*E82</f>
        <v>1727.35516332</v>
      </c>
      <c r="G82" s="194">
        <f>VLOOKUP(A82,'GHG Factors FY20'!A:L,10,FALSE)*E82</f>
        <v>0</v>
      </c>
      <c r="H82" s="194">
        <f>VLOOKUP(A82,'GHG Factors FY20'!A:L,11,FALSE)*E82</f>
        <v>331076.406303</v>
      </c>
      <c r="I82" s="194">
        <f>VLOOKUP(A82,'GHG Factors FY20'!A:L,12,FALSE)*E82</f>
        <v>19192.835148000002</v>
      </c>
      <c r="J82" s="194">
        <f t="shared" si="5"/>
        <v>350269.24145099998</v>
      </c>
    </row>
    <row r="83" spans="1:10">
      <c r="A83" s="193" t="s">
        <v>986</v>
      </c>
      <c r="B83" s="8">
        <v>2656628.0256159697</v>
      </c>
      <c r="C83" s="70" t="s">
        <v>663</v>
      </c>
      <c r="D83" s="70" t="s">
        <v>104</v>
      </c>
      <c r="E83" s="194">
        <f t="shared" si="4"/>
        <v>2656628.0256159697</v>
      </c>
      <c r="F83" s="194">
        <f>VLOOKUP(A83,'GHG Factors FY20'!A:L,8,FALSE)*E83</f>
        <v>9563.8608922174899</v>
      </c>
      <c r="G83" s="194">
        <f>VLOOKUP(A83,'GHG Factors FY20'!A:L,10,FALSE)*E83</f>
        <v>0</v>
      </c>
      <c r="H83" s="194">
        <f>VLOOKUP(A83,'GHG Factors FY20'!A:L,11,FALSE)*E83</f>
        <v>2151868.7007489358</v>
      </c>
      <c r="I83" s="194">
        <f>VLOOKUP(A83,'GHG Factors FY20'!A:L,12,FALSE)*E83</f>
        <v>239096.52230543725</v>
      </c>
      <c r="J83" s="194">
        <f t="shared" si="5"/>
        <v>2390965.2230543732</v>
      </c>
    </row>
    <row r="84" spans="1:10">
      <c r="A84" s="193" t="s">
        <v>987</v>
      </c>
      <c r="B84" s="8">
        <v>32370331.771399997</v>
      </c>
      <c r="C84" s="70" t="s">
        <v>663</v>
      </c>
      <c r="D84" s="70" t="s">
        <v>104</v>
      </c>
      <c r="E84" s="194">
        <f t="shared" si="4"/>
        <v>32370331.771399997</v>
      </c>
      <c r="F84" s="194">
        <f>VLOOKUP(A84,'GHG Factors FY20'!A:L,8,FALSE)*E84</f>
        <v>116533.19437703998</v>
      </c>
      <c r="G84" s="194">
        <f>VLOOKUP(A84,'GHG Factors FY20'!A:L,10,FALSE)*E84</f>
        <v>0</v>
      </c>
      <c r="H84" s="194">
        <f>VLOOKUP(A84,'GHG Factors FY20'!A:L,11,FALSE)*E84</f>
        <v>26219968.734834</v>
      </c>
      <c r="I84" s="194">
        <f>VLOOKUP(A84,'GHG Factors FY20'!A:L,12,FALSE)*E84</f>
        <v>2913329.8594259997</v>
      </c>
      <c r="J84" s="194">
        <f t="shared" si="5"/>
        <v>29133298.59426</v>
      </c>
    </row>
    <row r="85" spans="1:10">
      <c r="A85" s="193" t="s">
        <v>988</v>
      </c>
      <c r="B85" s="8">
        <v>0</v>
      </c>
      <c r="C85" s="70" t="s">
        <v>663</v>
      </c>
      <c r="D85" s="70" t="s">
        <v>104</v>
      </c>
      <c r="E85" s="194">
        <f t="shared" si="4"/>
        <v>0</v>
      </c>
      <c r="F85" s="194">
        <f>VLOOKUP(A85,'GHG Factors FY20'!A:L,8,FALSE)*E85</f>
        <v>0</v>
      </c>
      <c r="G85" s="194">
        <f>VLOOKUP(A85,'GHG Factors FY20'!A:L,10,FALSE)*E85</f>
        <v>0</v>
      </c>
      <c r="H85" s="194">
        <f>VLOOKUP(A85,'GHG Factors FY20'!A:L,11,FALSE)*E85</f>
        <v>0</v>
      </c>
      <c r="I85" s="194">
        <f>VLOOKUP(A85,'GHG Factors FY20'!A:L,12,FALSE)*E85</f>
        <v>0</v>
      </c>
      <c r="J85" s="194">
        <f t="shared" si="5"/>
        <v>0</v>
      </c>
    </row>
    <row r="86" spans="1:10">
      <c r="A86" s="193" t="s">
        <v>989</v>
      </c>
      <c r="B86" s="8">
        <v>0</v>
      </c>
      <c r="C86" s="70" t="s">
        <v>663</v>
      </c>
      <c r="D86" s="70" t="s">
        <v>104</v>
      </c>
      <c r="E86" s="194">
        <f t="shared" si="4"/>
        <v>0</v>
      </c>
      <c r="F86" s="194">
        <f>VLOOKUP(A86,'GHG Factors FY20'!A:L,8,FALSE)*E86</f>
        <v>0</v>
      </c>
      <c r="G86" s="194">
        <f>VLOOKUP(A86,'GHG Factors FY20'!A:L,10,FALSE)*E86</f>
        <v>0</v>
      </c>
      <c r="H86" s="194">
        <f>VLOOKUP(A86,'GHG Factors FY20'!A:L,11,FALSE)*E86</f>
        <v>0</v>
      </c>
      <c r="I86" s="194">
        <f>VLOOKUP(A86,'GHG Factors FY20'!A:L,12,FALSE)*E86</f>
        <v>0</v>
      </c>
      <c r="J86" s="194">
        <f t="shared" si="5"/>
        <v>0</v>
      </c>
    </row>
    <row r="87" spans="1:10">
      <c r="A87" s="193" t="s">
        <v>990</v>
      </c>
      <c r="B87" s="8">
        <v>0</v>
      </c>
      <c r="C87" s="70" t="s">
        <v>663</v>
      </c>
      <c r="D87" s="70" t="s">
        <v>104</v>
      </c>
      <c r="E87" s="194">
        <f t="shared" si="4"/>
        <v>0</v>
      </c>
      <c r="F87" s="194">
        <f>VLOOKUP(A87,'GHG Factors FY20'!A:L,8,FALSE)*E87</f>
        <v>0</v>
      </c>
      <c r="G87" s="194">
        <f>VLOOKUP(A87,'GHG Factors FY20'!A:L,10,FALSE)*E87</f>
        <v>0</v>
      </c>
      <c r="H87" s="194">
        <f>VLOOKUP(A87,'GHG Factors FY20'!A:L,11,FALSE)*E87</f>
        <v>0</v>
      </c>
      <c r="I87" s="194">
        <f>VLOOKUP(A87,'GHG Factors FY20'!A:L,12,FALSE)*E87</f>
        <v>0</v>
      </c>
      <c r="J87" s="194">
        <f t="shared" si="5"/>
        <v>0</v>
      </c>
    </row>
    <row r="88" spans="1:10">
      <c r="A88" s="193" t="s">
        <v>991</v>
      </c>
      <c r="B88" s="8">
        <v>0</v>
      </c>
      <c r="C88" s="70" t="s">
        <v>663</v>
      </c>
      <c r="D88" s="70" t="s">
        <v>104</v>
      </c>
      <c r="E88" s="194">
        <f t="shared" si="4"/>
        <v>0</v>
      </c>
      <c r="F88" s="194">
        <f>VLOOKUP(A88,'GHG Factors FY20'!A:L,8,FALSE)*E88</f>
        <v>0</v>
      </c>
      <c r="G88" s="194">
        <f>VLOOKUP(A88,'GHG Factors FY20'!A:L,10,FALSE)*E88</f>
        <v>0</v>
      </c>
      <c r="H88" s="194">
        <f>VLOOKUP(A88,'GHG Factors FY20'!A:L,11,FALSE)*E88</f>
        <v>0</v>
      </c>
      <c r="I88" s="194">
        <f>VLOOKUP(A88,'GHG Factors FY20'!A:L,12,FALSE)*E88</f>
        <v>0</v>
      </c>
      <c r="J88" s="194">
        <f t="shared" si="5"/>
        <v>0</v>
      </c>
    </row>
    <row r="89" spans="1:10">
      <c r="A89" s="193" t="s">
        <v>992</v>
      </c>
      <c r="B89" s="8">
        <v>43424150.203000002</v>
      </c>
      <c r="C89" s="70" t="s">
        <v>663</v>
      </c>
      <c r="D89" s="70" t="s">
        <v>104</v>
      </c>
      <c r="E89" s="194">
        <f t="shared" si="4"/>
        <v>43424150.203000002</v>
      </c>
      <c r="F89" s="194">
        <f>VLOOKUP(A89,'GHG Factors FY20'!A:L,8,FALSE)*E89</f>
        <v>156326.94073080001</v>
      </c>
      <c r="G89" s="194">
        <f>VLOOKUP(A89,'GHG Factors FY20'!A:L,10,FALSE)*E89</f>
        <v>0</v>
      </c>
      <c r="H89" s="194">
        <f>VLOOKUP(A89,'GHG Factors FY20'!A:L,11,FALSE)*E89</f>
        <v>44292633.207060002</v>
      </c>
      <c r="I89" s="194">
        <f>VLOOKUP(A89,'GHG Factors FY20'!A:L,12,FALSE)*E89</f>
        <v>4342415.0203</v>
      </c>
      <c r="J89" s="194">
        <f t="shared" si="5"/>
        <v>48635048.227360003</v>
      </c>
    </row>
    <row r="90" spans="1:10">
      <c r="A90" s="193" t="s">
        <v>993</v>
      </c>
      <c r="B90" s="8">
        <v>0</v>
      </c>
      <c r="C90" s="70" t="s">
        <v>663</v>
      </c>
      <c r="D90" s="70" t="s">
        <v>104</v>
      </c>
      <c r="E90" s="194">
        <f t="shared" si="4"/>
        <v>0</v>
      </c>
      <c r="F90" s="194">
        <f>VLOOKUP(A90,'GHG Factors FY20'!A:L,8,FALSE)*E90</f>
        <v>0</v>
      </c>
      <c r="G90" s="194">
        <f>VLOOKUP(A90,'GHG Factors FY20'!A:L,10,FALSE)*E90</f>
        <v>0</v>
      </c>
      <c r="H90" s="194">
        <f>VLOOKUP(A90,'GHG Factors FY20'!A:L,11,FALSE)*E90</f>
        <v>0</v>
      </c>
      <c r="I90" s="194">
        <f>VLOOKUP(A90,'GHG Factors FY20'!A:L,12,FALSE)*E90</f>
        <v>0</v>
      </c>
      <c r="J90" s="194">
        <f t="shared" si="5"/>
        <v>0</v>
      </c>
    </row>
    <row r="91" spans="1:10">
      <c r="A91" s="193" t="s">
        <v>705</v>
      </c>
      <c r="B91" s="8">
        <v>43396814.520000003</v>
      </c>
      <c r="C91" s="70" t="s">
        <v>663</v>
      </c>
      <c r="D91" s="70" t="s">
        <v>104</v>
      </c>
      <c r="E91" s="194">
        <f t="shared" si="4"/>
        <v>43396814.520000003</v>
      </c>
      <c r="F91" s="194">
        <f>VLOOKUP(A91,'GHG Factors FY20'!A:L,8,FALSE)*E91</f>
        <v>156228.53227200001</v>
      </c>
      <c r="G91" s="194">
        <f>VLOOKUP(A91,'GHG Factors FY20'!A:L,10,FALSE)*E91</f>
        <v>0</v>
      </c>
      <c r="H91" s="194">
        <f>VLOOKUP(A91,'GHG Factors FY20'!A:L,11,FALSE)*E91</f>
        <v>35151419.761200003</v>
      </c>
      <c r="I91" s="194">
        <f>VLOOKUP(A91,'GHG Factors FY20'!A:L,12,FALSE)*E91</f>
        <v>3905713.3068000004</v>
      </c>
      <c r="J91" s="194">
        <f t="shared" si="5"/>
        <v>39057133.068000004</v>
      </c>
    </row>
    <row r="92" spans="1:10">
      <c r="A92" s="195" t="s">
        <v>1185</v>
      </c>
      <c r="B92" s="8">
        <v>-14110</v>
      </c>
      <c r="C92" s="70" t="s">
        <v>663</v>
      </c>
      <c r="D92" s="70" t="s">
        <v>104</v>
      </c>
      <c r="E92" s="196">
        <f>B92</f>
        <v>-14110</v>
      </c>
      <c r="F92" s="196" t="e">
        <f>VLOOKUP(A92,'GHG Factors FY20'!A:L,8,FALSE)*E92</f>
        <v>#N/A</v>
      </c>
      <c r="G92" s="196" t="e">
        <f>VLOOKUP(A92,'GHG Factors FY20'!A:L,10,FALSE)*E92</f>
        <v>#N/A</v>
      </c>
      <c r="H92" s="196" t="e">
        <f>VLOOKUP(A92,'GHG Factors FY20'!A:L,11,FALSE)*E92</f>
        <v>#N/A</v>
      </c>
      <c r="I92" s="196" t="e">
        <f>VLOOKUP(A92,'GHG Factors FY20'!A:L,12,FALSE)*E92</f>
        <v>#N/A</v>
      </c>
      <c r="J92" s="196" t="e">
        <f>SUM(G92,H92,I92)</f>
        <v>#N/A</v>
      </c>
    </row>
  </sheetData>
  <pageMargins left="0.7" right="0.7" top="0.75" bottom="0.75" header="0.3" footer="0.3"/>
  <pageSetup paperSize="9" orientation="portrait"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00B050"/>
  </sheetPr>
  <dimension ref="A1:K65"/>
  <sheetViews>
    <sheetView zoomScale="80" zoomScaleNormal="80" zoomScaleSheetLayoutView="50" workbookViewId="0">
      <selection activeCell="F4" sqref="F4"/>
    </sheetView>
  </sheetViews>
  <sheetFormatPr defaultColWidth="8.8984375" defaultRowHeight="13.8"/>
  <cols>
    <col min="1" max="1" width="38.59765625" customWidth="1"/>
    <col min="2" max="2" width="10.59765625" bestFit="1" customWidth="1"/>
    <col min="3" max="3" width="22.09765625" bestFit="1" customWidth="1"/>
    <col min="4" max="4" width="12.09765625" bestFit="1" customWidth="1"/>
    <col min="5" max="5" width="20" bestFit="1" customWidth="1"/>
    <col min="6" max="6" width="29" customWidth="1"/>
    <col min="7" max="7" width="16.8984375" customWidth="1"/>
    <col min="8" max="10" width="25.09765625" customWidth="1"/>
    <col min="11" max="11" width="23.3984375" customWidth="1"/>
  </cols>
  <sheetData>
    <row r="1" spans="1:11">
      <c r="A1" s="647" t="s">
        <v>1186</v>
      </c>
      <c r="B1" s="99"/>
    </row>
    <row r="2" spans="1:11">
      <c r="A2" s="118" t="s">
        <v>750</v>
      </c>
      <c r="B2" s="118" t="s">
        <v>1187</v>
      </c>
      <c r="C2" s="119" t="s">
        <v>1188</v>
      </c>
      <c r="D2" s="120" t="s">
        <v>649</v>
      </c>
      <c r="E2" s="120" t="s">
        <v>684</v>
      </c>
      <c r="F2" s="120" t="s">
        <v>650</v>
      </c>
      <c r="G2" s="120" t="s">
        <v>651</v>
      </c>
      <c r="H2" s="120" t="s">
        <v>652</v>
      </c>
      <c r="I2" s="120" t="s">
        <v>653</v>
      </c>
      <c r="J2" s="120" t="s">
        <v>654</v>
      </c>
      <c r="K2" s="119" t="s">
        <v>751</v>
      </c>
    </row>
    <row r="3" spans="1:11">
      <c r="A3" s="50" t="s">
        <v>1057</v>
      </c>
      <c r="B3" s="50" t="s">
        <v>1189</v>
      </c>
      <c r="C3" s="625">
        <v>706570.09830000007</v>
      </c>
      <c r="D3" s="47" t="s">
        <v>670</v>
      </c>
      <c r="E3" s="47" t="s">
        <v>695</v>
      </c>
      <c r="F3" s="206">
        <f>C3</f>
        <v>706570.09830000007</v>
      </c>
      <c r="G3" s="206">
        <f>VLOOKUP(A3,'GHG Factors FY21'!A:L,6,FALSE)*C3</f>
        <v>706.57009830000004</v>
      </c>
      <c r="H3" s="207">
        <f>VLOOKUP(A3,'GHG Factors FY21'!A:L,10,FALSE)*G3</f>
        <v>36409.557165399005</v>
      </c>
      <c r="I3" s="206">
        <f>VLOOKUP(A3,'GHG Factors FY21'!A:L,11,FALSE)*C3</f>
        <v>0</v>
      </c>
      <c r="J3" s="207">
        <f>VLOOKUP(A3,'GHG Factors FY21'!A:L,12,FALSE)*G3</f>
        <v>2755.6233833700003</v>
      </c>
      <c r="K3" s="208">
        <f>SUM(H3,I3,J3)</f>
        <v>39165.180548769007</v>
      </c>
    </row>
    <row r="4" spans="1:11">
      <c r="A4" s="52" t="s">
        <v>1058</v>
      </c>
      <c r="B4" s="52" t="s">
        <v>1190</v>
      </c>
      <c r="C4" s="626">
        <v>0</v>
      </c>
      <c r="D4" s="48" t="s">
        <v>670</v>
      </c>
      <c r="E4" s="48" t="s">
        <v>695</v>
      </c>
      <c r="F4" s="8">
        <f t="shared" ref="F4:F16" si="0">C4</f>
        <v>0</v>
      </c>
      <c r="G4" s="8">
        <f>VLOOKUP(A4,'GHG Factors FY21'!A:L,6,FALSE)*C4</f>
        <v>0</v>
      </c>
      <c r="H4" s="240">
        <f>VLOOKUP(A4,'GHG Factors FY21'!A:L,10,FALSE)*G4</f>
        <v>0</v>
      </c>
      <c r="I4" s="240">
        <f>VLOOKUP(A4,'GHG Factors FY21'!A:L,11,FALSE)*C4</f>
        <v>0</v>
      </c>
      <c r="J4" s="240">
        <f>VLOOKUP(A4,'GHG Factors FY21'!A:L,12,FALSE)*G4</f>
        <v>0</v>
      </c>
      <c r="K4" s="208">
        <f t="shared" ref="K4:K16" si="1">SUM(H4,I4,J4)</f>
        <v>0</v>
      </c>
    </row>
    <row r="5" spans="1:11">
      <c r="A5" s="50" t="s">
        <v>1059</v>
      </c>
      <c r="B5" s="50" t="s">
        <v>1189</v>
      </c>
      <c r="C5" s="625">
        <v>6373531.4940999998</v>
      </c>
      <c r="D5" s="47" t="s">
        <v>670</v>
      </c>
      <c r="E5" s="47" t="s">
        <v>695</v>
      </c>
      <c r="F5" s="206">
        <f t="shared" si="0"/>
        <v>6373531.4940999998</v>
      </c>
      <c r="G5" s="8">
        <f>VLOOKUP(A5,'GHG Factors FY21'!A:L,6,FALSE)*C5</f>
        <v>6373.5314940999997</v>
      </c>
      <c r="H5" s="240">
        <f>VLOOKUP(A5,'GHG Factors FY21'!A:L,10,FALSE)*G5</f>
        <v>328428.07789097301</v>
      </c>
      <c r="I5" s="240">
        <f>VLOOKUP(A5,'GHG Factors FY21'!A:L,11,FALSE)*C5</f>
        <v>0</v>
      </c>
      <c r="J5" s="240">
        <f>VLOOKUP(A5,'GHG Factors FY21'!A:L,12,FALSE)*G5</f>
        <v>24856.77282699</v>
      </c>
      <c r="K5" s="208">
        <f t="shared" si="1"/>
        <v>353284.85071796301</v>
      </c>
    </row>
    <row r="6" spans="1:11">
      <c r="A6" s="50" t="s">
        <v>1191</v>
      </c>
      <c r="B6" s="50" t="s">
        <v>1192</v>
      </c>
      <c r="C6" s="625">
        <v>3180.4839999999999</v>
      </c>
      <c r="D6" s="646" t="s">
        <v>670</v>
      </c>
      <c r="E6" s="47" t="s">
        <v>695</v>
      </c>
      <c r="F6" s="206">
        <f t="shared" si="0"/>
        <v>3180.4839999999999</v>
      </c>
      <c r="G6" s="8">
        <f>VLOOKUP(A6,'GHG Factors FY21'!A:L,6,FALSE)*C6</f>
        <v>3.1804839999999999</v>
      </c>
      <c r="H6" s="240">
        <f>VLOOKUP(A6,'GHG Factors FY21'!A:L,10,FALSE)*G6</f>
        <v>163.89034052</v>
      </c>
      <c r="I6" s="240">
        <f>VLOOKUP(A6,'GHG Factors FY21'!A:L,11,FALSE)*C6</f>
        <v>0</v>
      </c>
      <c r="J6" s="240">
        <f>VLOOKUP(A6,'GHG Factors FY21'!A:L,12,FALSE)*G6</f>
        <v>40.710195200000001</v>
      </c>
      <c r="K6" s="208">
        <f>SUM(H6,I6,J6)</f>
        <v>204.60053571999998</v>
      </c>
    </row>
    <row r="7" spans="1:11">
      <c r="A7" s="52" t="s">
        <v>1025</v>
      </c>
      <c r="B7" s="52" t="s">
        <v>1192</v>
      </c>
      <c r="C7" s="626">
        <v>6097.7156000000004</v>
      </c>
      <c r="D7" s="48" t="s">
        <v>670</v>
      </c>
      <c r="E7" s="48" t="s">
        <v>695</v>
      </c>
      <c r="F7" s="8">
        <f t="shared" si="0"/>
        <v>6097.7156000000004</v>
      </c>
      <c r="G7" s="8">
        <f>VLOOKUP(A7,'GHG Factors FY21'!A:L,6,FALSE)*C7</f>
        <v>6.0977156000000008</v>
      </c>
      <c r="H7" s="240">
        <f>VLOOKUP(A7,'GHG Factors FY21'!A:L,10,FALSE)*G7</f>
        <v>314.21528486800003</v>
      </c>
      <c r="I7" s="240">
        <f>VLOOKUP(A7,'GHG Factors FY21'!A:L,11,FALSE)*C7</f>
        <v>0</v>
      </c>
      <c r="J7" s="240">
        <f>VLOOKUP(A7,'GHG Factors FY21'!A:L,12,FALSE)*G7</f>
        <v>78.050759680000013</v>
      </c>
      <c r="K7" s="208">
        <f t="shared" si="1"/>
        <v>392.26604454800002</v>
      </c>
    </row>
    <row r="8" spans="1:11">
      <c r="A8" s="50" t="s">
        <v>1027</v>
      </c>
      <c r="B8" s="50" t="s">
        <v>1193</v>
      </c>
      <c r="C8" s="625">
        <v>0</v>
      </c>
      <c r="D8" s="47" t="s">
        <v>670</v>
      </c>
      <c r="E8" s="47" t="s">
        <v>695</v>
      </c>
      <c r="F8" s="206">
        <f t="shared" si="0"/>
        <v>0</v>
      </c>
      <c r="G8" s="8">
        <f>VLOOKUP(A8,'GHG Factors FY21'!A:L,6,FALSE)*C8</f>
        <v>0</v>
      </c>
      <c r="H8" s="240">
        <f>VLOOKUP(A8,'GHG Factors FY21'!A:L,10,FALSE)*G8</f>
        <v>0</v>
      </c>
      <c r="I8" s="240">
        <f>VLOOKUP(A8,'GHG Factors FY21'!A:L,11,FALSE)*C8</f>
        <v>0</v>
      </c>
      <c r="J8" s="240">
        <f>VLOOKUP(A8,'GHG Factors FY21'!A:L,12,FALSE)*G8</f>
        <v>0</v>
      </c>
      <c r="K8" s="208">
        <f t="shared" si="1"/>
        <v>0</v>
      </c>
    </row>
    <row r="9" spans="1:11">
      <c r="A9" s="52" t="s">
        <v>1029</v>
      </c>
      <c r="B9" s="52" t="s">
        <v>1189</v>
      </c>
      <c r="C9" s="626">
        <v>3409196.9224999994</v>
      </c>
      <c r="D9" s="48" t="s">
        <v>670</v>
      </c>
      <c r="E9" s="48" t="s">
        <v>695</v>
      </c>
      <c r="F9" s="8">
        <f t="shared" si="0"/>
        <v>3409196.9224999994</v>
      </c>
      <c r="G9" s="8">
        <f>VLOOKUP(A9,'GHG Factors FY21'!A:L,6,FALSE)*C9</f>
        <v>3409.1969224999993</v>
      </c>
      <c r="H9" s="240">
        <f>VLOOKUP(A9,'GHG Factors FY21'!A:L,10,FALSE)*G9</f>
        <v>175675.91741642496</v>
      </c>
      <c r="I9" s="240">
        <f>VLOOKUP(A9,'GHG Factors FY21'!A:L,11,FALSE)*C9</f>
        <v>0</v>
      </c>
      <c r="J9" s="240">
        <f>VLOOKUP(A9,'GHG Factors FY21'!A:L,12,FALSE)*G9</f>
        <v>13295.867997749998</v>
      </c>
      <c r="K9" s="208">
        <f t="shared" si="1"/>
        <v>188971.78541417496</v>
      </c>
    </row>
    <row r="10" spans="1:11">
      <c r="A10" s="50" t="s">
        <v>1060</v>
      </c>
      <c r="B10" s="50" t="s">
        <v>1189</v>
      </c>
      <c r="C10" s="625">
        <v>150712.5276</v>
      </c>
      <c r="D10" s="47" t="s">
        <v>670</v>
      </c>
      <c r="E10" s="47" t="s">
        <v>686</v>
      </c>
      <c r="F10" s="206">
        <f t="shared" si="0"/>
        <v>150712.5276</v>
      </c>
      <c r="G10" s="8">
        <f>VLOOKUP(A10,'GHG Factors FY21'!A:L,6,FALSE)*C10</f>
        <v>150.71252760000002</v>
      </c>
      <c r="H10" s="240">
        <f>VLOOKUP(A10,'GHG Factors FY21'!A:L,10,FALSE)*G10</f>
        <v>7766.2165472280012</v>
      </c>
      <c r="I10" s="240">
        <f>VLOOKUP(A10,'GHG Factors FY21'!A:L,11,FALSE)*C10</f>
        <v>0</v>
      </c>
      <c r="J10" s="240">
        <f>VLOOKUP(A10,'GHG Factors FY21'!A:L,12,FALSE)*G10</f>
        <v>587.77885764000007</v>
      </c>
      <c r="K10" s="208">
        <f t="shared" si="1"/>
        <v>8353.9954048680011</v>
      </c>
    </row>
    <row r="11" spans="1:11">
      <c r="A11" s="52" t="s">
        <v>1061</v>
      </c>
      <c r="B11" s="52" t="s">
        <v>1190</v>
      </c>
      <c r="C11" s="626">
        <v>0</v>
      </c>
      <c r="D11" s="48" t="s">
        <v>670</v>
      </c>
      <c r="E11" s="48" t="s">
        <v>686</v>
      </c>
      <c r="F11" s="8">
        <f t="shared" si="0"/>
        <v>0</v>
      </c>
      <c r="G11" s="8">
        <f>VLOOKUP(A11,'GHG Factors FY21'!A:L,6,FALSE)*C11</f>
        <v>0</v>
      </c>
      <c r="H11" s="240">
        <f>VLOOKUP(A11,'GHG Factors FY21'!A:L,10,FALSE)*G11</f>
        <v>0</v>
      </c>
      <c r="I11" s="240">
        <f>VLOOKUP(A11,'GHG Factors FY21'!A:L,11,FALSE)*C11</f>
        <v>0</v>
      </c>
      <c r="J11" s="240">
        <f>VLOOKUP(A11,'GHG Factors FY21'!A:L,12,FALSE)*G11</f>
        <v>0</v>
      </c>
      <c r="K11" s="208">
        <f t="shared" si="1"/>
        <v>0</v>
      </c>
    </row>
    <row r="12" spans="1:11">
      <c r="A12" s="50" t="s">
        <v>1062</v>
      </c>
      <c r="B12" s="50" t="s">
        <v>1189</v>
      </c>
      <c r="C12" s="625">
        <v>1587941.2077999997</v>
      </c>
      <c r="D12" s="47" t="s">
        <v>670</v>
      </c>
      <c r="E12" s="47" t="s">
        <v>686</v>
      </c>
      <c r="F12" s="206">
        <f t="shared" si="0"/>
        <v>1587941.2077999997</v>
      </c>
      <c r="G12" s="8">
        <f>VLOOKUP(A12,'GHG Factors FY21'!A:L,6,FALSE)*C12</f>
        <v>1587.9412077999998</v>
      </c>
      <c r="H12" s="240">
        <f>VLOOKUP(A12,'GHG Factors FY21'!A:L,10,FALSE)*G12</f>
        <v>81826.610437933996</v>
      </c>
      <c r="I12" s="240">
        <f>VLOOKUP(A12,'GHG Factors FY21'!A:L,11,FALSE)*C12</f>
        <v>0</v>
      </c>
      <c r="J12" s="240">
        <f>VLOOKUP(A12,'GHG Factors FY21'!A:L,12,FALSE)*G12</f>
        <v>6192.9707104199988</v>
      </c>
      <c r="K12" s="208">
        <f t="shared" si="1"/>
        <v>88019.581148353987</v>
      </c>
    </row>
    <row r="13" spans="1:11">
      <c r="A13" s="50" t="s">
        <v>1194</v>
      </c>
      <c r="B13" s="50" t="s">
        <v>1192</v>
      </c>
      <c r="C13" s="625">
        <v>1901.4205999999999</v>
      </c>
      <c r="D13" s="646" t="s">
        <v>670</v>
      </c>
      <c r="E13" s="47" t="s">
        <v>686</v>
      </c>
      <c r="F13" s="206">
        <f t="shared" si="0"/>
        <v>1901.4205999999999</v>
      </c>
      <c r="G13" s="8">
        <f>VLOOKUP(A13,'GHG Factors FY21'!A:L,6,FALSE)*C13</f>
        <v>1.9014206</v>
      </c>
      <c r="H13" s="240">
        <f>VLOOKUP(A13,'GHG Factors FY21'!A:L,10,FALSE)*G13</f>
        <v>97.980203517999996</v>
      </c>
      <c r="I13" s="240">
        <f>VLOOKUP(A13,'GHG Factors FY21'!A:L,11,FALSE)*C13</f>
        <v>0</v>
      </c>
      <c r="J13" s="240">
        <f>VLOOKUP(A13,'GHG Factors FY21'!A:L,12,FALSE)*G13</f>
        <v>24.33818368</v>
      </c>
      <c r="K13" s="208">
        <f>SUM(H13,I13,J13)</f>
        <v>122.318387198</v>
      </c>
    </row>
    <row r="14" spans="1:11">
      <c r="A14" s="52" t="s">
        <v>1026</v>
      </c>
      <c r="B14" s="52" t="s">
        <v>1192</v>
      </c>
      <c r="C14" s="626">
        <v>1669.8690000000001</v>
      </c>
      <c r="D14" s="48" t="s">
        <v>670</v>
      </c>
      <c r="E14" s="48" t="s">
        <v>686</v>
      </c>
      <c r="F14" s="8">
        <f t="shared" si="0"/>
        <v>1669.8690000000001</v>
      </c>
      <c r="G14" s="8">
        <f>VLOOKUP(A14,'GHG Factors FY21'!A:L,6,FALSE)*C14</f>
        <v>1.6698690000000003</v>
      </c>
      <c r="H14" s="240">
        <f>VLOOKUP(A14,'GHG Factors FY21'!A:L,10,FALSE)*G14</f>
        <v>86.048349570000013</v>
      </c>
      <c r="I14" s="240">
        <f>VLOOKUP(A14,'GHG Factors FY21'!A:L,11,FALSE)*C14</f>
        <v>0</v>
      </c>
      <c r="J14" s="240">
        <f>VLOOKUP(A14,'GHG Factors FY21'!A:L,12,FALSE)*G14</f>
        <v>21.374323200000006</v>
      </c>
      <c r="K14" s="208">
        <f t="shared" si="1"/>
        <v>107.42267277000002</v>
      </c>
    </row>
    <row r="15" spans="1:11">
      <c r="A15" s="50" t="s">
        <v>1028</v>
      </c>
      <c r="B15" s="50" t="s">
        <v>1193</v>
      </c>
      <c r="C15" s="625">
        <v>0</v>
      </c>
      <c r="D15" s="47" t="s">
        <v>670</v>
      </c>
      <c r="E15" s="47" t="s">
        <v>686</v>
      </c>
      <c r="F15" s="206">
        <f t="shared" si="0"/>
        <v>0</v>
      </c>
      <c r="G15" s="8">
        <f>VLOOKUP(A15,'GHG Factors FY21'!A:L,6,FALSE)*C15</f>
        <v>0</v>
      </c>
      <c r="H15" s="240">
        <f>VLOOKUP(A15,'GHG Factors FY21'!A:L,10,FALSE)*G15</f>
        <v>0</v>
      </c>
      <c r="I15" s="240">
        <f>VLOOKUP(A15,'GHG Factors FY21'!A:L,11,FALSE)*C15</f>
        <v>0</v>
      </c>
      <c r="J15" s="240">
        <f>VLOOKUP(A15,'GHG Factors FY21'!A:L,12,FALSE)*G15</f>
        <v>0</v>
      </c>
      <c r="K15" s="208">
        <f t="shared" si="1"/>
        <v>0</v>
      </c>
    </row>
    <row r="16" spans="1:11">
      <c r="A16" s="52" t="s">
        <v>1030</v>
      </c>
      <c r="B16" s="52" t="s">
        <v>1189</v>
      </c>
      <c r="C16" s="626">
        <v>1332450.0844000003</v>
      </c>
      <c r="D16" s="48" t="s">
        <v>670</v>
      </c>
      <c r="E16" s="48" t="s">
        <v>686</v>
      </c>
      <c r="F16" s="8">
        <f t="shared" si="0"/>
        <v>1332450.0844000003</v>
      </c>
      <c r="G16" s="8">
        <f>VLOOKUP(A16,'GHG Factors FY21'!A:L,6,FALSE)*C16</f>
        <v>1332.4500844000004</v>
      </c>
      <c r="H16" s="240">
        <f>VLOOKUP(A16,'GHG Factors FY21'!A:L,10,FALSE)*G16</f>
        <v>68661.15284913202</v>
      </c>
      <c r="I16" s="240">
        <f>VLOOKUP(A16,'GHG Factors FY21'!A:L,11,FALSE)*C16</f>
        <v>0</v>
      </c>
      <c r="J16" s="240">
        <f>VLOOKUP(A16,'GHG Factors FY21'!A:L,12,FALSE)*G16</f>
        <v>5196.5553291600017</v>
      </c>
      <c r="K16" s="208">
        <f t="shared" si="1"/>
        <v>73857.708178292029</v>
      </c>
    </row>
    <row r="17" spans="1:6">
      <c r="C17" s="625"/>
    </row>
    <row r="18" spans="1:6">
      <c r="C18" s="240">
        <f>SUM(GasFY20[Consumption Quanity])</f>
        <v>13573251.823899999</v>
      </c>
    </row>
    <row r="20" spans="1:6">
      <c r="F20" s="8"/>
    </row>
    <row r="21" spans="1:6" ht="14.4">
      <c r="A21" s="738"/>
      <c r="B21" s="738"/>
      <c r="C21" s="738" t="s">
        <v>695</v>
      </c>
      <c r="D21" s="738" t="s">
        <v>686</v>
      </c>
      <c r="E21" s="738" t="s">
        <v>1195</v>
      </c>
      <c r="F21" s="8"/>
    </row>
    <row r="22" spans="1:6" ht="14.4">
      <c r="A22" s="738" t="s">
        <v>40</v>
      </c>
      <c r="B22" s="738" t="s">
        <v>1189</v>
      </c>
      <c r="C22" s="815">
        <v>706570.09830000007</v>
      </c>
      <c r="D22" s="815">
        <v>150712.5276</v>
      </c>
      <c r="E22" s="815">
        <v>857282.6259000001</v>
      </c>
      <c r="F22" s="8"/>
    </row>
    <row r="23" spans="1:6" ht="14.4">
      <c r="A23" s="738" t="s">
        <v>1196</v>
      </c>
      <c r="B23" s="738" t="s">
        <v>1190</v>
      </c>
      <c r="C23" s="815">
        <v>0</v>
      </c>
      <c r="D23" s="815">
        <v>0</v>
      </c>
      <c r="E23" s="815">
        <v>0</v>
      </c>
      <c r="F23" s="8"/>
    </row>
    <row r="24" spans="1:6" ht="14.4">
      <c r="A24" s="738" t="s">
        <v>1197</v>
      </c>
      <c r="B24" s="738" t="s">
        <v>1189</v>
      </c>
      <c r="C24" s="815">
        <v>6373531.4940999998</v>
      </c>
      <c r="D24" s="815">
        <v>1587941.2077999997</v>
      </c>
      <c r="E24" s="815">
        <v>7961472.7018999998</v>
      </c>
      <c r="F24" s="8"/>
    </row>
    <row r="25" spans="1:6" ht="14.4">
      <c r="A25" s="738" t="s">
        <v>1197</v>
      </c>
      <c r="B25" s="738" t="s">
        <v>1192</v>
      </c>
      <c r="C25" s="815">
        <v>3180.4839999999999</v>
      </c>
      <c r="D25" s="815">
        <v>1901.4205999999999</v>
      </c>
      <c r="E25" s="815">
        <v>5081.9045999999998</v>
      </c>
      <c r="F25" s="8"/>
    </row>
    <row r="26" spans="1:6" ht="14.4">
      <c r="A26" s="738" t="s">
        <v>1198</v>
      </c>
      <c r="B26" s="738" t="s">
        <v>1192</v>
      </c>
      <c r="C26" s="815">
        <v>6097.7156000000004</v>
      </c>
      <c r="D26" s="815">
        <v>1669.8690000000001</v>
      </c>
      <c r="E26" s="815">
        <v>7767.5846000000001</v>
      </c>
      <c r="F26" s="8"/>
    </row>
    <row r="27" spans="1:6" ht="14.4">
      <c r="A27" s="738" t="s">
        <v>1198</v>
      </c>
      <c r="B27" s="738" t="s">
        <v>1193</v>
      </c>
      <c r="C27" s="815">
        <v>0</v>
      </c>
      <c r="D27" s="815">
        <v>0</v>
      </c>
      <c r="E27" s="815">
        <v>0</v>
      </c>
      <c r="F27" s="8"/>
    </row>
    <row r="28" spans="1:6" ht="14.4">
      <c r="A28" s="738" t="s">
        <v>1198</v>
      </c>
      <c r="B28" s="738" t="s">
        <v>1189</v>
      </c>
      <c r="C28" s="815">
        <v>3409196.9224999994</v>
      </c>
      <c r="D28" s="815">
        <v>1332450.0844000003</v>
      </c>
      <c r="E28" s="815">
        <v>4741647.0068999995</v>
      </c>
      <c r="F28" s="8"/>
    </row>
    <row r="29" spans="1:6" ht="14.4">
      <c r="A29" s="738" t="s">
        <v>53</v>
      </c>
      <c r="B29" s="738"/>
      <c r="C29" s="815">
        <v>10498576.714499999</v>
      </c>
      <c r="D29" s="815">
        <v>3074675.1094</v>
      </c>
      <c r="E29" s="815">
        <v>13573251.823899999</v>
      </c>
      <c r="F29" s="8"/>
    </row>
    <row r="30" spans="1:6">
      <c r="A30" s="46"/>
      <c r="C30" s="240"/>
      <c r="F30" s="8"/>
    </row>
    <row r="32" spans="1:6">
      <c r="A32" s="33" t="s">
        <v>3</v>
      </c>
      <c r="B32" s="654">
        <v>44028</v>
      </c>
    </row>
    <row r="33" spans="1:11">
      <c r="A33" s="118" t="s">
        <v>750</v>
      </c>
      <c r="B33" s="118" t="s">
        <v>1187</v>
      </c>
      <c r="C33" s="119" t="s">
        <v>1188</v>
      </c>
      <c r="D33" s="120" t="s">
        <v>649</v>
      </c>
      <c r="E33" s="120" t="s">
        <v>684</v>
      </c>
      <c r="F33" s="120" t="s">
        <v>650</v>
      </c>
      <c r="G33" s="120" t="s">
        <v>651</v>
      </c>
      <c r="H33" s="120" t="s">
        <v>652</v>
      </c>
      <c r="I33" s="120" t="s">
        <v>653</v>
      </c>
      <c r="J33" s="120" t="s">
        <v>654</v>
      </c>
      <c r="K33" s="119" t="s">
        <v>751</v>
      </c>
    </row>
    <row r="34" spans="1:11">
      <c r="A34" s="50" t="s">
        <v>1057</v>
      </c>
      <c r="B34" s="50" t="s">
        <v>1189</v>
      </c>
      <c r="C34" s="625">
        <v>561791.00010000006</v>
      </c>
      <c r="D34" s="47" t="s">
        <v>670</v>
      </c>
      <c r="E34" s="47" t="s">
        <v>695</v>
      </c>
      <c r="F34" s="206">
        <f>C34</f>
        <v>561791.00010000006</v>
      </c>
      <c r="G34" s="206">
        <f>VLOOKUP(A34,'GHG Factors FY20'!A:L,6,FALSE)*C34</f>
        <v>561.79100010000002</v>
      </c>
      <c r="H34" s="207">
        <f>VLOOKUP(A34,'GHG Factors FY20'!A:L,10,FALSE)*G34</f>
        <v>28949.090235153002</v>
      </c>
      <c r="I34" s="117">
        <f>VLOOKUP(A34,'GHG Factors FY20'!A:L,11,FALSE)*C34</f>
        <v>0</v>
      </c>
      <c r="J34" s="207">
        <f>VLOOKUP(A34,'GHG Factors FY20'!A:L,12,FALSE)*G34</f>
        <v>2190.9849003899999</v>
      </c>
      <c r="K34" s="208">
        <f>SUM(H34,I34,J34)</f>
        <v>31140.075135543004</v>
      </c>
    </row>
    <row r="35" spans="1:11">
      <c r="A35" s="52" t="s">
        <v>1058</v>
      </c>
      <c r="B35" s="52" t="s">
        <v>1190</v>
      </c>
      <c r="C35" s="626">
        <v>2973.0002999999997</v>
      </c>
      <c r="D35" s="48" t="s">
        <v>670</v>
      </c>
      <c r="E35" s="48" t="s">
        <v>695</v>
      </c>
      <c r="F35" s="8">
        <f t="shared" ref="F35:F45" si="2">C35</f>
        <v>2973.0002999999997</v>
      </c>
      <c r="G35" s="8">
        <f>VLOOKUP(A35,'GHG Factors FY20'!A:L,6,FALSE)*C35</f>
        <v>2.9730002999999998</v>
      </c>
      <c r="H35" s="240">
        <f>VLOOKUP(A35,'GHG Factors FY20'!A:L,10,FALSE)*G35</f>
        <v>153.198705459</v>
      </c>
      <c r="I35">
        <f>VLOOKUP(A35,'GHG Factors FY20'!A:L,11,FALSE)*C35</f>
        <v>0</v>
      </c>
      <c r="J35" s="240">
        <f>VLOOKUP(A35,'GHG Factors FY20'!A:L,12,FALSE)*G35</f>
        <v>38.054403839999999</v>
      </c>
      <c r="K35" s="208">
        <f t="shared" ref="K35:K45" si="3">SUM(H35,I35,J35)</f>
        <v>191.25310929899999</v>
      </c>
    </row>
    <row r="36" spans="1:11">
      <c r="A36" s="50" t="s">
        <v>1059</v>
      </c>
      <c r="B36" s="50" t="s">
        <v>1189</v>
      </c>
      <c r="C36" s="625">
        <v>9625546.9696999993</v>
      </c>
      <c r="D36" s="47" t="s">
        <v>670</v>
      </c>
      <c r="E36" s="47" t="s">
        <v>695</v>
      </c>
      <c r="F36" s="206">
        <f t="shared" si="2"/>
        <v>9625546.9696999993</v>
      </c>
      <c r="G36" s="8">
        <f>VLOOKUP(A36,'GHG Factors FY20'!A:L,6,FALSE)*C36</f>
        <v>9625.546969699999</v>
      </c>
      <c r="H36" s="240">
        <f>VLOOKUP(A36,'GHG Factors FY20'!A:L,10,FALSE)*G36</f>
        <v>496004.43534864095</v>
      </c>
      <c r="I36">
        <f>VLOOKUP(A36,'GHG Factors FY20'!A:L,11,FALSE)*C36</f>
        <v>0</v>
      </c>
      <c r="J36" s="240">
        <f>VLOOKUP(A36,'GHG Factors FY20'!A:L,12,FALSE)*G36</f>
        <v>37539.633181829995</v>
      </c>
      <c r="K36" s="208">
        <f t="shared" si="3"/>
        <v>533544.06853047095</v>
      </c>
    </row>
    <row r="37" spans="1:11">
      <c r="A37" s="52" t="s">
        <v>1025</v>
      </c>
      <c r="B37" s="52" t="s">
        <v>1192</v>
      </c>
      <c r="C37" s="626">
        <v>4833.9399999999996</v>
      </c>
      <c r="D37" s="48" t="s">
        <v>670</v>
      </c>
      <c r="E37" s="48" t="s">
        <v>695</v>
      </c>
      <c r="F37" s="8">
        <f t="shared" si="2"/>
        <v>4833.9399999999996</v>
      </c>
      <c r="G37" s="8">
        <f>VLOOKUP(A37,'GHG Factors FY20'!A:L,6,FALSE)*C37</f>
        <v>4.8339400000000001</v>
      </c>
      <c r="H37" s="240">
        <f>VLOOKUP(A37,'GHG Factors FY20'!A:L,10,FALSE)*G37</f>
        <v>249.09292820000002</v>
      </c>
      <c r="I37">
        <f>VLOOKUP(A37,'GHG Factors FY20'!A:L,11,FALSE)*C37</f>
        <v>0</v>
      </c>
      <c r="J37" s="240">
        <f>VLOOKUP(A37,'GHG Factors FY20'!A:L,12,FALSE)*G37</f>
        <v>61.874432000000006</v>
      </c>
      <c r="K37" s="208">
        <f t="shared" si="3"/>
        <v>310.96736020000003</v>
      </c>
    </row>
    <row r="38" spans="1:11">
      <c r="A38" s="50" t="s">
        <v>1027</v>
      </c>
      <c r="B38" s="50" t="s">
        <v>1193</v>
      </c>
      <c r="C38" s="625">
        <v>38</v>
      </c>
      <c r="D38" s="47" t="s">
        <v>670</v>
      </c>
      <c r="E38" s="47" t="s">
        <v>695</v>
      </c>
      <c r="F38" s="206">
        <f t="shared" si="2"/>
        <v>38</v>
      </c>
      <c r="G38" s="8">
        <f>VLOOKUP(A38,'GHG Factors FY20'!A:L,6,FALSE)*C38</f>
        <v>3.7999999999999999E-2</v>
      </c>
      <c r="H38" s="240">
        <f>VLOOKUP(A38,'GHG Factors FY20'!A:L,10,FALSE)*G38</f>
        <v>1.95814</v>
      </c>
      <c r="I38">
        <f>VLOOKUP(A38,'GHG Factors FY20'!A:L,11,FALSE)*C38</f>
        <v>0</v>
      </c>
      <c r="J38" s="240">
        <f>VLOOKUP(A38,'GHG Factors FY20'!A:L,12,FALSE)*G38</f>
        <v>0.3952</v>
      </c>
      <c r="K38" s="208">
        <f t="shared" si="3"/>
        <v>2.3533400000000002</v>
      </c>
    </row>
    <row r="39" spans="1:11">
      <c r="A39" s="52" t="s">
        <v>1029</v>
      </c>
      <c r="B39" s="52" t="s">
        <v>1189</v>
      </c>
      <c r="C39" s="626">
        <v>4449800.8948999997</v>
      </c>
      <c r="D39" s="48" t="s">
        <v>670</v>
      </c>
      <c r="E39" s="48" t="s">
        <v>695</v>
      </c>
      <c r="F39" s="8">
        <f t="shared" si="2"/>
        <v>4449800.8948999997</v>
      </c>
      <c r="G39" s="8">
        <f>VLOOKUP(A39,'GHG Factors FY20'!A:L,6,FALSE)*C39</f>
        <v>4449.8008948999995</v>
      </c>
      <c r="H39" s="240">
        <f>VLOOKUP(A39,'GHG Factors FY20'!A:L,10,FALSE)*G39</f>
        <v>229298.24011419699</v>
      </c>
      <c r="I39">
        <f>VLOOKUP(A39,'GHG Factors FY20'!A:L,11,FALSE)*C39</f>
        <v>0</v>
      </c>
      <c r="J39" s="240">
        <f>VLOOKUP(A39,'GHG Factors FY20'!A:L,12,FALSE)*G39</f>
        <v>17354.223490109998</v>
      </c>
      <c r="K39" s="208">
        <f t="shared" si="3"/>
        <v>246652.46360430698</v>
      </c>
    </row>
    <row r="40" spans="1:11">
      <c r="A40" s="50" t="s">
        <v>1060</v>
      </c>
      <c r="B40" s="50" t="s">
        <v>1189</v>
      </c>
      <c r="C40" s="625">
        <v>121277.46280000001</v>
      </c>
      <c r="D40" s="47" t="s">
        <v>670</v>
      </c>
      <c r="E40" s="47" t="s">
        <v>686</v>
      </c>
      <c r="F40" s="206">
        <f t="shared" si="2"/>
        <v>121277.46280000001</v>
      </c>
      <c r="G40" s="8">
        <f>VLOOKUP(A40,'GHG Factors FY20'!A:L,6,FALSE)*C40</f>
        <v>121.27746280000001</v>
      </c>
      <c r="H40" s="240">
        <f>VLOOKUP(A40,'GHG Factors FY20'!A:L,10,FALSE)*G40</f>
        <v>6249.4276580840005</v>
      </c>
      <c r="I40">
        <f>VLOOKUP(A40,'GHG Factors FY20'!A:L,11,FALSE)*C40</f>
        <v>0</v>
      </c>
      <c r="J40" s="240">
        <f>VLOOKUP(A40,'GHG Factors FY20'!A:L,12,FALSE)*G40</f>
        <v>472.98210492000004</v>
      </c>
      <c r="K40" s="208">
        <f t="shared" si="3"/>
        <v>6722.4097630040005</v>
      </c>
    </row>
    <row r="41" spans="1:11">
      <c r="A41" s="52" t="s">
        <v>1061</v>
      </c>
      <c r="B41" s="52" t="s">
        <v>1190</v>
      </c>
      <c r="C41" s="626">
        <v>202.392</v>
      </c>
      <c r="D41" s="48" t="s">
        <v>670</v>
      </c>
      <c r="E41" s="48" t="s">
        <v>686</v>
      </c>
      <c r="F41" s="8">
        <f t="shared" si="2"/>
        <v>202.392</v>
      </c>
      <c r="G41" s="8">
        <f>VLOOKUP(A41,'GHG Factors FY20'!A:L,6,FALSE)*C41</f>
        <v>0.20239199999999999</v>
      </c>
      <c r="H41" s="240">
        <f>VLOOKUP(A41,'GHG Factors FY20'!A:L,10,FALSE)*G41</f>
        <v>10.429259759999999</v>
      </c>
      <c r="I41">
        <f>VLOOKUP(A41,'GHG Factors FY20'!A:L,11,FALSE)*C41</f>
        <v>0</v>
      </c>
      <c r="J41" s="240">
        <f>VLOOKUP(A41,'GHG Factors FY20'!A:L,12,FALSE)*G41</f>
        <v>2.5906175999999999</v>
      </c>
      <c r="K41" s="208">
        <f t="shared" si="3"/>
        <v>13.019877359999999</v>
      </c>
    </row>
    <row r="42" spans="1:11">
      <c r="A42" s="50" t="s">
        <v>1062</v>
      </c>
      <c r="B42" s="50" t="s">
        <v>1189</v>
      </c>
      <c r="C42" s="625">
        <v>708073.26619999995</v>
      </c>
      <c r="D42" s="47" t="s">
        <v>670</v>
      </c>
      <c r="E42" s="47" t="s">
        <v>686</v>
      </c>
      <c r="F42" s="206">
        <f t="shared" si="2"/>
        <v>708073.26619999995</v>
      </c>
      <c r="G42" s="8">
        <f>VLOOKUP(A42,'GHG Factors FY20'!A:L,6,FALSE)*C42</f>
        <v>708.07326619999992</v>
      </c>
      <c r="H42" s="240">
        <f>VLOOKUP(A42,'GHG Factors FY20'!A:L,10,FALSE)*G42</f>
        <v>36487.015407285995</v>
      </c>
      <c r="I42">
        <f>VLOOKUP(A42,'GHG Factors FY20'!A:L,11,FALSE)*C42</f>
        <v>0</v>
      </c>
      <c r="J42" s="240">
        <f>VLOOKUP(A42,'GHG Factors FY20'!A:L,12,FALSE)*G42</f>
        <v>2761.4857381799998</v>
      </c>
      <c r="K42" s="208">
        <f t="shared" si="3"/>
        <v>39248.501145465998</v>
      </c>
    </row>
    <row r="43" spans="1:11">
      <c r="A43" s="52" t="s">
        <v>1026</v>
      </c>
      <c r="B43" s="52" t="s">
        <v>1192</v>
      </c>
      <c r="C43" s="626">
        <v>0</v>
      </c>
      <c r="D43" s="48" t="s">
        <v>670</v>
      </c>
      <c r="E43" s="48" t="s">
        <v>686</v>
      </c>
      <c r="F43" s="8">
        <f t="shared" si="2"/>
        <v>0</v>
      </c>
      <c r="G43" s="8">
        <f>VLOOKUP(A43,'GHG Factors FY20'!A:L,6,FALSE)*C43</f>
        <v>0</v>
      </c>
      <c r="H43" s="240">
        <f>VLOOKUP(A43,'GHG Factors FY20'!A:L,10,FALSE)*G43</f>
        <v>0</v>
      </c>
      <c r="I43">
        <f>VLOOKUP(A43,'GHG Factors FY20'!A:L,11,FALSE)*C43</f>
        <v>0</v>
      </c>
      <c r="J43" s="240">
        <f>VLOOKUP(A43,'GHG Factors FY20'!A:L,12,FALSE)*G43</f>
        <v>0</v>
      </c>
      <c r="K43" s="208">
        <f t="shared" si="3"/>
        <v>0</v>
      </c>
    </row>
    <row r="44" spans="1:11">
      <c r="A44" s="50" t="s">
        <v>1028</v>
      </c>
      <c r="B44" s="50" t="s">
        <v>1193</v>
      </c>
      <c r="C44" s="625">
        <v>0</v>
      </c>
      <c r="D44" s="47" t="s">
        <v>670</v>
      </c>
      <c r="E44" s="47" t="s">
        <v>686</v>
      </c>
      <c r="F44" s="206">
        <f t="shared" si="2"/>
        <v>0</v>
      </c>
      <c r="G44" s="8">
        <f>VLOOKUP(A44,'GHG Factors FY20'!A:L,6,FALSE)*C44</f>
        <v>0</v>
      </c>
      <c r="H44" s="240">
        <f>VLOOKUP(A44,'GHG Factors FY20'!A:L,10,FALSE)*G44</f>
        <v>0</v>
      </c>
      <c r="I44">
        <f>VLOOKUP(A44,'GHG Factors FY20'!A:L,11,FALSE)*C44</f>
        <v>0</v>
      </c>
      <c r="J44" s="240">
        <f>VLOOKUP(A44,'GHG Factors FY20'!A:L,12,FALSE)*G44</f>
        <v>0</v>
      </c>
      <c r="K44" s="208">
        <f t="shared" si="3"/>
        <v>0</v>
      </c>
    </row>
    <row r="45" spans="1:11">
      <c r="A45" s="52" t="s">
        <v>1030</v>
      </c>
      <c r="B45" s="52" t="s">
        <v>1189</v>
      </c>
      <c r="C45" s="626">
        <v>594842.44440000004</v>
      </c>
      <c r="D45" s="48" t="s">
        <v>670</v>
      </c>
      <c r="E45" s="48" t="s">
        <v>686</v>
      </c>
      <c r="F45" s="8">
        <f t="shared" si="2"/>
        <v>594842.44440000004</v>
      </c>
      <c r="G45" s="8">
        <f>VLOOKUP(A45,'GHG Factors FY20'!A:L,6,FALSE)*C45</f>
        <v>594.84244440000009</v>
      </c>
      <c r="H45" s="240">
        <f>VLOOKUP(A45,'GHG Factors FY20'!A:L,10,FALSE)*G45</f>
        <v>30652.231159932006</v>
      </c>
      <c r="I45">
        <f>VLOOKUP(A45,'GHG Factors FY20'!A:L,11,FALSE)*C45</f>
        <v>0</v>
      </c>
      <c r="J45" s="240">
        <f>VLOOKUP(A45,'GHG Factors FY20'!A:L,12,FALSE)*G45</f>
        <v>2319.8855331600003</v>
      </c>
      <c r="K45" s="208">
        <f t="shared" si="3"/>
        <v>32972.116693092008</v>
      </c>
    </row>
    <row r="46" spans="1:11">
      <c r="C46" s="625"/>
    </row>
    <row r="47" spans="1:11">
      <c r="C47" s="240">
        <f>SUM(GasFY2015[Consumption Quanity])</f>
        <v>16069379.370399999</v>
      </c>
      <c r="D47" t="b">
        <f>C47=C64</f>
        <v>0</v>
      </c>
    </row>
    <row r="50" spans="1:7">
      <c r="C50" t="s">
        <v>695</v>
      </c>
      <c r="F50" s="8"/>
    </row>
    <row r="51" spans="1:7">
      <c r="A51" s="46" t="s">
        <v>40</v>
      </c>
      <c r="B51" t="s">
        <v>1189</v>
      </c>
      <c r="C51" s="240">
        <v>561791.00010000006</v>
      </c>
      <c r="E51" t="s">
        <v>1189</v>
      </c>
      <c r="F51" s="8">
        <v>561791.00010000006</v>
      </c>
      <c r="G51" t="b">
        <f>F51=C51</f>
        <v>1</v>
      </c>
    </row>
    <row r="52" spans="1:7">
      <c r="A52" s="46" t="s">
        <v>1196</v>
      </c>
      <c r="B52" t="s">
        <v>1190</v>
      </c>
      <c r="C52" s="240">
        <v>2973.0002999999997</v>
      </c>
      <c r="E52" t="s">
        <v>1190</v>
      </c>
      <c r="F52" s="8">
        <v>2973.0002999999997</v>
      </c>
      <c r="G52" t="b">
        <f t="shared" ref="G52:G63" si="4">F52=C52</f>
        <v>1</v>
      </c>
    </row>
    <row r="53" spans="1:7">
      <c r="A53" s="46" t="s">
        <v>1197</v>
      </c>
      <c r="B53" t="s">
        <v>1189</v>
      </c>
      <c r="C53" s="240">
        <v>9625546.9696999993</v>
      </c>
      <c r="E53" t="s">
        <v>1189</v>
      </c>
      <c r="F53" s="8">
        <v>9625546.9696999993</v>
      </c>
      <c r="G53" t="b">
        <f t="shared" si="4"/>
        <v>1</v>
      </c>
    </row>
    <row r="54" spans="1:7">
      <c r="A54" s="25" t="s">
        <v>1198</v>
      </c>
      <c r="B54" t="s">
        <v>1192</v>
      </c>
      <c r="C54" s="240">
        <v>4833.9399999999996</v>
      </c>
      <c r="E54" t="s">
        <v>1192</v>
      </c>
      <c r="F54" s="8">
        <v>4833.9399999999996</v>
      </c>
      <c r="G54" t="b">
        <f t="shared" si="4"/>
        <v>1</v>
      </c>
    </row>
    <row r="55" spans="1:7">
      <c r="A55" s="25"/>
      <c r="B55" t="s">
        <v>1193</v>
      </c>
      <c r="C55" s="240">
        <v>38</v>
      </c>
      <c r="E55" t="s">
        <v>1193</v>
      </c>
      <c r="F55" s="8">
        <v>38</v>
      </c>
      <c r="G55" t="b">
        <f t="shared" si="4"/>
        <v>1</v>
      </c>
    </row>
    <row r="56" spans="1:7">
      <c r="A56" s="46"/>
      <c r="B56" t="s">
        <v>1189</v>
      </c>
      <c r="C56" s="240">
        <v>4449800.8948999997</v>
      </c>
      <c r="E56" t="s">
        <v>1189</v>
      </c>
      <c r="F56" s="8">
        <v>4449800.8948999997</v>
      </c>
      <c r="G56" t="b">
        <f t="shared" si="4"/>
        <v>1</v>
      </c>
    </row>
    <row r="57" spans="1:7">
      <c r="C57" s="5" t="s">
        <v>686</v>
      </c>
      <c r="F57" s="8"/>
      <c r="G57" t="b">
        <f t="shared" si="4"/>
        <v>0</v>
      </c>
    </row>
    <row r="58" spans="1:7">
      <c r="A58" s="46" t="s">
        <v>40</v>
      </c>
      <c r="B58" t="s">
        <v>1189</v>
      </c>
      <c r="C58" s="240">
        <v>121277.46280000001</v>
      </c>
      <c r="E58" t="s">
        <v>1189</v>
      </c>
      <c r="F58" s="8">
        <v>121277.46280000001</v>
      </c>
      <c r="G58" t="b">
        <f t="shared" si="4"/>
        <v>1</v>
      </c>
    </row>
    <row r="59" spans="1:7">
      <c r="A59" s="46" t="s">
        <v>1196</v>
      </c>
      <c r="B59" t="s">
        <v>1190</v>
      </c>
      <c r="C59" s="240">
        <v>202.392</v>
      </c>
      <c r="E59" t="s">
        <v>1190</v>
      </c>
      <c r="F59" s="8">
        <v>202.392</v>
      </c>
      <c r="G59" t="b">
        <f t="shared" si="4"/>
        <v>1</v>
      </c>
    </row>
    <row r="60" spans="1:7">
      <c r="A60" s="46" t="s">
        <v>1197</v>
      </c>
      <c r="B60" t="s">
        <v>1189</v>
      </c>
      <c r="C60" s="240">
        <v>708073.26619999995</v>
      </c>
      <c r="E60" t="s">
        <v>1189</v>
      </c>
      <c r="F60" s="8">
        <v>708073.26619999995</v>
      </c>
      <c r="G60" t="b">
        <f t="shared" si="4"/>
        <v>1</v>
      </c>
    </row>
    <row r="61" spans="1:7">
      <c r="A61" s="25" t="s">
        <v>1198</v>
      </c>
      <c r="B61" t="s">
        <v>1192</v>
      </c>
      <c r="C61" s="240">
        <v>0</v>
      </c>
      <c r="E61" t="s">
        <v>1192</v>
      </c>
      <c r="F61" s="8">
        <v>0</v>
      </c>
      <c r="G61" t="b">
        <f t="shared" si="4"/>
        <v>1</v>
      </c>
    </row>
    <row r="62" spans="1:7">
      <c r="A62" s="25"/>
      <c r="B62" t="s">
        <v>1193</v>
      </c>
      <c r="C62" s="240">
        <v>0</v>
      </c>
      <c r="E62" t="s">
        <v>1193</v>
      </c>
      <c r="F62" s="8">
        <v>0</v>
      </c>
      <c r="G62" t="b">
        <f t="shared" si="4"/>
        <v>1</v>
      </c>
    </row>
    <row r="63" spans="1:7">
      <c r="A63" s="46"/>
      <c r="B63" t="s">
        <v>1189</v>
      </c>
      <c r="C63" s="240">
        <v>594842.44440000004</v>
      </c>
      <c r="E63" t="s">
        <v>1189</v>
      </c>
      <c r="F63" s="8">
        <v>594842.44440000004</v>
      </c>
      <c r="G63" t="b">
        <f t="shared" si="4"/>
        <v>1</v>
      </c>
    </row>
    <row r="65" spans="3:6">
      <c r="C65" s="241">
        <f>SUM(C51:C63)</f>
        <v>16069379.370399999</v>
      </c>
      <c r="F65" s="241">
        <f>SUM(F51:F63)</f>
        <v>16069379.370399999</v>
      </c>
    </row>
  </sheetData>
  <pageMargins left="0.7" right="0.7" top="0.75" bottom="0.75" header="0.3" footer="0.3"/>
  <pageSetup paperSize="9" orientation="portrait"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00B050"/>
  </sheetPr>
  <dimension ref="A1:R26"/>
  <sheetViews>
    <sheetView zoomScale="70" zoomScaleNormal="70" workbookViewId="0">
      <selection activeCell="F4" sqref="F4"/>
    </sheetView>
  </sheetViews>
  <sheetFormatPr defaultColWidth="8.8984375" defaultRowHeight="13.8"/>
  <cols>
    <col min="1" max="1" width="18.09765625" bestFit="1" customWidth="1"/>
    <col min="2" max="2" width="26.09765625" bestFit="1" customWidth="1"/>
    <col min="3" max="3" width="31.5" bestFit="1" customWidth="1"/>
    <col min="4" max="4" width="21.59765625" bestFit="1" customWidth="1"/>
    <col min="5" max="5" width="36" bestFit="1" customWidth="1"/>
    <col min="6" max="6" width="7.5" bestFit="1" customWidth="1"/>
    <col min="7" max="7" width="20.59765625" bestFit="1" customWidth="1"/>
    <col min="8" max="8" width="16.59765625" bestFit="1" customWidth="1"/>
    <col min="9" max="9" width="34.59765625" bestFit="1" customWidth="1"/>
    <col min="10" max="10" width="15.59765625" bestFit="1" customWidth="1"/>
    <col min="11" max="11" width="22.59765625" bestFit="1" customWidth="1"/>
    <col min="12" max="12" width="18.59765625" bestFit="1" customWidth="1"/>
    <col min="13" max="13" width="29.59765625" bestFit="1" customWidth="1"/>
    <col min="14" max="14" width="17.09765625" bestFit="1" customWidth="1"/>
    <col min="15" max="15" width="16.5" bestFit="1" customWidth="1"/>
    <col min="16" max="16" width="31.5" bestFit="1" customWidth="1"/>
    <col min="17" max="17" width="21.59765625" bestFit="1" customWidth="1"/>
    <col min="18" max="18" width="36" bestFit="1" customWidth="1"/>
    <col min="19" max="19" width="7.5" bestFit="1" customWidth="1"/>
    <col min="20" max="20" width="20.59765625" bestFit="1" customWidth="1"/>
    <col min="21" max="21" width="16.59765625" bestFit="1" customWidth="1"/>
  </cols>
  <sheetData>
    <row r="1" spans="1:18">
      <c r="A1" s="652" t="s">
        <v>91</v>
      </c>
      <c r="B1" s="652" t="s">
        <v>1199</v>
      </c>
    </row>
    <row r="2" spans="1:18">
      <c r="A2" t="s">
        <v>646</v>
      </c>
      <c r="B2" t="s">
        <v>750</v>
      </c>
      <c r="C2" t="s">
        <v>647</v>
      </c>
      <c r="D2" t="s">
        <v>648</v>
      </c>
      <c r="E2" t="s">
        <v>1200</v>
      </c>
      <c r="F2" t="s">
        <v>1187</v>
      </c>
      <c r="G2" t="s">
        <v>1201</v>
      </c>
      <c r="H2" s="1" t="s">
        <v>1202</v>
      </c>
      <c r="I2" s="1" t="s">
        <v>1203</v>
      </c>
      <c r="J2" s="1" t="s">
        <v>1204</v>
      </c>
      <c r="K2" s="37" t="s">
        <v>649</v>
      </c>
      <c r="L2" s="37" t="s">
        <v>684</v>
      </c>
      <c r="M2" s="37" t="s">
        <v>650</v>
      </c>
      <c r="N2" s="37" t="s">
        <v>651</v>
      </c>
      <c r="O2" s="37" t="s">
        <v>652</v>
      </c>
      <c r="P2" s="37" t="s">
        <v>653</v>
      </c>
      <c r="Q2" s="37" t="s">
        <v>654</v>
      </c>
      <c r="R2" s="37" t="s">
        <v>751</v>
      </c>
    </row>
    <row r="3" spans="1:18">
      <c r="A3" t="s">
        <v>661</v>
      </c>
      <c r="B3" t="s">
        <v>978</v>
      </c>
      <c r="C3" t="s">
        <v>664</v>
      </c>
      <c r="D3" t="s">
        <v>662</v>
      </c>
      <c r="E3" t="s">
        <v>1205</v>
      </c>
      <c r="F3" t="s">
        <v>1190</v>
      </c>
      <c r="G3" s="7">
        <v>55930.706000000006</v>
      </c>
      <c r="H3" s="1" t="s">
        <v>663</v>
      </c>
      <c r="I3" s="1">
        <v>3.5999999999999999E-3</v>
      </c>
      <c r="J3" s="6">
        <f>G3*I3</f>
        <v>201.35054160000001</v>
      </c>
      <c r="K3" s="50" t="s">
        <v>663</v>
      </c>
      <c r="L3" s="50" t="s">
        <v>686</v>
      </c>
      <c r="M3" s="72">
        <f>Solar31[[#This Row],[Production/Consumption Quantity]]</f>
        <v>55930.706000000006</v>
      </c>
      <c r="N3" s="72">
        <f>Solar31[[#This Row],[Production/Consumption GJ]]</f>
        <v>201.35054160000001</v>
      </c>
      <c r="O3" s="72">
        <f>VLOOKUP(B3,'GHG Factors FY21'!A:L,10,FALSE)*M3</f>
        <v>0</v>
      </c>
      <c r="P3" s="72">
        <f>VLOOKUP(B3,'GHG Factors FY21'!A:L,11,FALSE)*M3</f>
        <v>0</v>
      </c>
      <c r="Q3" s="72">
        <f>VLOOKUP(B3,'GHG Factors FY21'!A:L,12,FALSE)*M3</f>
        <v>0</v>
      </c>
      <c r="R3" s="51">
        <f>SUM(O3,P3,Q3)</f>
        <v>0</v>
      </c>
    </row>
    <row r="4" spans="1:18">
      <c r="A4" t="s">
        <v>661</v>
      </c>
      <c r="B4" t="s">
        <v>979</v>
      </c>
      <c r="C4" t="s">
        <v>664</v>
      </c>
      <c r="D4" t="s">
        <v>662</v>
      </c>
      <c r="E4" t="s">
        <v>1206</v>
      </c>
      <c r="F4" t="s">
        <v>1192</v>
      </c>
      <c r="G4" s="7">
        <v>1014981.8930000027</v>
      </c>
      <c r="H4" s="1" t="s">
        <v>663</v>
      </c>
      <c r="I4" s="1">
        <v>3.5999999999999999E-3</v>
      </c>
      <c r="J4" s="6">
        <f t="shared" ref="J4:J10" si="0">G4*I4</f>
        <v>3653.9348148000095</v>
      </c>
      <c r="K4" s="50" t="s">
        <v>663</v>
      </c>
      <c r="L4" s="50" t="s">
        <v>686</v>
      </c>
      <c r="M4" s="72">
        <f>Solar31[[#This Row],[Production/Consumption Quantity]]</f>
        <v>1014981.8930000027</v>
      </c>
      <c r="N4" s="72">
        <f>Solar31[[#This Row],[Production/Consumption GJ]]</f>
        <v>3653.9348148000095</v>
      </c>
      <c r="O4" s="72">
        <f>VLOOKUP(B4,'GHG Factors FY21'!A:L,10,FALSE)*M4</f>
        <v>0</v>
      </c>
      <c r="P4" s="72">
        <f>VLOOKUP(B4,'GHG Factors FY21'!A:L,11,FALSE)*M4</f>
        <v>0</v>
      </c>
      <c r="Q4" s="72">
        <f>VLOOKUP(B4,'GHG Factors FY21'!A:L,12,FALSE)*M4</f>
        <v>0</v>
      </c>
      <c r="R4" s="51">
        <f t="shared" ref="R4:R10" si="1">SUM(O4,P4,Q4)</f>
        <v>0</v>
      </c>
    </row>
    <row r="5" spans="1:18">
      <c r="A5" t="s">
        <v>661</v>
      </c>
      <c r="B5" t="s">
        <v>980</v>
      </c>
      <c r="C5" t="s">
        <v>664</v>
      </c>
      <c r="D5" t="s">
        <v>662</v>
      </c>
      <c r="E5" t="s">
        <v>1207</v>
      </c>
      <c r="F5" t="s">
        <v>1208</v>
      </c>
      <c r="G5" s="7">
        <v>1491084.953999998</v>
      </c>
      <c r="H5" s="1" t="s">
        <v>663</v>
      </c>
      <c r="I5" s="1">
        <v>3.5999999999999999E-3</v>
      </c>
      <c r="J5" s="6">
        <f t="shared" si="0"/>
        <v>5367.9058343999932</v>
      </c>
      <c r="K5" s="50" t="s">
        <v>663</v>
      </c>
      <c r="L5" s="50" t="s">
        <v>686</v>
      </c>
      <c r="M5" s="72">
        <f>Solar31[[#This Row],[Production/Consumption Quantity]]</f>
        <v>1491084.953999998</v>
      </c>
      <c r="N5" s="72">
        <f>Solar31[[#This Row],[Production/Consumption GJ]]</f>
        <v>5367.9058343999932</v>
      </c>
      <c r="O5" s="72">
        <f>VLOOKUP(B5,'GHG Factors FY21'!A:L,10,FALSE)*M5</f>
        <v>0</v>
      </c>
      <c r="P5" s="72">
        <f>VLOOKUP(B5,'GHG Factors FY21'!A:L,11,FALSE)*M5</f>
        <v>0</v>
      </c>
      <c r="Q5" s="72">
        <f>VLOOKUP(B5,'GHG Factors FY21'!A:L,12,FALSE)*M5</f>
        <v>0</v>
      </c>
      <c r="R5" s="51">
        <f t="shared" si="1"/>
        <v>0</v>
      </c>
    </row>
    <row r="6" spans="1:18">
      <c r="A6" t="s">
        <v>661</v>
      </c>
      <c r="B6" t="s">
        <v>981</v>
      </c>
      <c r="C6" t="s">
        <v>664</v>
      </c>
      <c r="D6" t="s">
        <v>662</v>
      </c>
      <c r="E6" t="s">
        <v>1209</v>
      </c>
      <c r="F6" t="s">
        <v>1210</v>
      </c>
      <c r="G6" s="7">
        <v>2851749.3266666858</v>
      </c>
      <c r="H6" s="1" t="s">
        <v>663</v>
      </c>
      <c r="I6" s="1">
        <v>3.5999999999999999E-3</v>
      </c>
      <c r="J6" s="6">
        <f t="shared" si="0"/>
        <v>10266.297576000068</v>
      </c>
      <c r="K6" s="50" t="s">
        <v>663</v>
      </c>
      <c r="L6" s="50" t="s">
        <v>686</v>
      </c>
      <c r="M6" s="72">
        <f>Solar31[[#This Row],[Production/Consumption Quantity]]</f>
        <v>2851749.3266666858</v>
      </c>
      <c r="N6" s="72">
        <f>Solar31[[#This Row],[Production/Consumption GJ]]</f>
        <v>10266.297576000068</v>
      </c>
      <c r="O6" s="72">
        <f>VLOOKUP(B6,'GHG Factors FY21'!A:L,10,FALSE)*M6</f>
        <v>0</v>
      </c>
      <c r="P6" s="72">
        <f>VLOOKUP(B6,'GHG Factors FY21'!A:L,11,FALSE)*M6</f>
        <v>0</v>
      </c>
      <c r="Q6" s="72">
        <f>VLOOKUP(B6,'GHG Factors FY21'!A:L,12,FALSE)*M6</f>
        <v>0</v>
      </c>
      <c r="R6" s="51">
        <f t="shared" si="1"/>
        <v>0</v>
      </c>
    </row>
    <row r="7" spans="1:18">
      <c r="A7" t="s">
        <v>661</v>
      </c>
      <c r="B7" t="s">
        <v>982</v>
      </c>
      <c r="C7" t="s">
        <v>664</v>
      </c>
      <c r="D7" t="s">
        <v>662</v>
      </c>
      <c r="E7" t="s">
        <v>1211</v>
      </c>
      <c r="F7" t="s">
        <v>1193</v>
      </c>
      <c r="G7" s="7">
        <v>667433.51999999851</v>
      </c>
      <c r="H7" s="1" t="s">
        <v>663</v>
      </c>
      <c r="I7" s="1">
        <v>3.5999999999999999E-3</v>
      </c>
      <c r="J7" s="6">
        <f t="shared" si="0"/>
        <v>2402.7606719999944</v>
      </c>
      <c r="K7" s="50" t="s">
        <v>663</v>
      </c>
      <c r="L7" s="50" t="s">
        <v>686</v>
      </c>
      <c r="M7" s="72">
        <f>Solar31[[#This Row],[Production/Consumption Quantity]]</f>
        <v>667433.51999999851</v>
      </c>
      <c r="N7" s="72">
        <f>Solar31[[#This Row],[Production/Consumption GJ]]</f>
        <v>2402.7606719999944</v>
      </c>
      <c r="O7" s="72">
        <f>VLOOKUP(B7,'GHG Factors FY21'!A:L,10,FALSE)*M7</f>
        <v>0</v>
      </c>
      <c r="P7" s="72">
        <f>VLOOKUP(B7,'GHG Factors FY21'!A:L,11,FALSE)*M7</f>
        <v>0</v>
      </c>
      <c r="Q7" s="72">
        <f>VLOOKUP(B7,'GHG Factors FY21'!A:L,12,FALSE)*M7</f>
        <v>0</v>
      </c>
      <c r="R7" s="51">
        <f t="shared" si="1"/>
        <v>0</v>
      </c>
    </row>
    <row r="8" spans="1:18">
      <c r="A8" t="s">
        <v>661</v>
      </c>
      <c r="B8" t="s">
        <v>983</v>
      </c>
      <c r="C8" t="s">
        <v>664</v>
      </c>
      <c r="D8" t="s">
        <v>662</v>
      </c>
      <c r="E8" t="s">
        <v>1212</v>
      </c>
      <c r="F8" t="s">
        <v>1213</v>
      </c>
      <c r="G8" s="7">
        <v>17561.69999999999</v>
      </c>
      <c r="H8" s="1" t="s">
        <v>663</v>
      </c>
      <c r="I8" s="1">
        <v>3.5999999999999999E-3</v>
      </c>
      <c r="J8" s="6">
        <f t="shared" si="0"/>
        <v>63.222119999999961</v>
      </c>
      <c r="K8" s="50" t="s">
        <v>663</v>
      </c>
      <c r="L8" s="50" t="s">
        <v>686</v>
      </c>
      <c r="M8" s="72">
        <f>Solar31[[#This Row],[Production/Consumption Quantity]]</f>
        <v>17561.69999999999</v>
      </c>
      <c r="N8" s="72">
        <f>Solar31[[#This Row],[Production/Consumption GJ]]</f>
        <v>63.222119999999961</v>
      </c>
      <c r="O8" s="72">
        <f>VLOOKUP(B8,'GHG Factors FY21'!A:L,10,FALSE)*M8</f>
        <v>0</v>
      </c>
      <c r="P8" s="72">
        <f>VLOOKUP(B8,'GHG Factors FY21'!A:L,11,FALSE)*M8</f>
        <v>0</v>
      </c>
      <c r="Q8" s="72">
        <f>VLOOKUP(B8,'GHG Factors FY21'!A:L,12,FALSE)*M8</f>
        <v>0</v>
      </c>
      <c r="R8" s="51">
        <f t="shared" si="1"/>
        <v>0</v>
      </c>
    </row>
    <row r="9" spans="1:18">
      <c r="A9" t="s">
        <v>661</v>
      </c>
      <c r="B9" t="s">
        <v>984</v>
      </c>
      <c r="C9" t="s">
        <v>664</v>
      </c>
      <c r="D9" t="s">
        <v>662</v>
      </c>
      <c r="E9" t="s">
        <v>1214</v>
      </c>
      <c r="F9" t="s">
        <v>1189</v>
      </c>
      <c r="G9" s="7">
        <v>980290.9625599999</v>
      </c>
      <c r="H9" s="1" t="s">
        <v>663</v>
      </c>
      <c r="I9" s="1">
        <v>3.5999999999999999E-3</v>
      </c>
      <c r="J9" s="6">
        <f t="shared" si="0"/>
        <v>3529.0474652159996</v>
      </c>
      <c r="K9" s="50" t="s">
        <v>663</v>
      </c>
      <c r="L9" s="50" t="s">
        <v>686</v>
      </c>
      <c r="M9" s="72">
        <f>Solar31[[#This Row],[Production/Consumption Quantity]]</f>
        <v>980290.9625599999</v>
      </c>
      <c r="N9" s="72">
        <f>Solar31[[#This Row],[Production/Consumption GJ]]</f>
        <v>3529.0474652159996</v>
      </c>
      <c r="O9" s="72">
        <f>VLOOKUP(B9,'GHG Factors FY21'!A:L,10,FALSE)*M9</f>
        <v>0</v>
      </c>
      <c r="P9" s="72">
        <f>VLOOKUP(B9,'GHG Factors FY21'!A:L,11,FALSE)*M9</f>
        <v>0</v>
      </c>
      <c r="Q9" s="72">
        <f>VLOOKUP(B9,'GHG Factors FY21'!A:L,12,FALSE)*M9</f>
        <v>0</v>
      </c>
      <c r="R9" s="51">
        <f t="shared" si="1"/>
        <v>0</v>
      </c>
    </row>
    <row r="10" spans="1:18">
      <c r="A10" t="s">
        <v>661</v>
      </c>
      <c r="B10" t="s">
        <v>985</v>
      </c>
      <c r="C10" t="s">
        <v>664</v>
      </c>
      <c r="D10" t="s">
        <v>662</v>
      </c>
      <c r="E10" t="s">
        <v>1215</v>
      </c>
      <c r="F10" t="s">
        <v>1216</v>
      </c>
      <c r="G10" s="7">
        <v>3338585.8770000166</v>
      </c>
      <c r="H10" s="1" t="s">
        <v>663</v>
      </c>
      <c r="I10" s="1">
        <v>3.5999999999999999E-3</v>
      </c>
      <c r="J10" s="6">
        <f t="shared" si="0"/>
        <v>12018.90915720006</v>
      </c>
      <c r="K10" s="50" t="s">
        <v>663</v>
      </c>
      <c r="L10" s="50" t="s">
        <v>686</v>
      </c>
      <c r="M10" s="72">
        <f>Solar31[[#This Row],[Production/Consumption Quantity]]</f>
        <v>3338585.8770000166</v>
      </c>
      <c r="N10" s="72">
        <f>Solar31[[#This Row],[Production/Consumption GJ]]</f>
        <v>12018.90915720006</v>
      </c>
      <c r="O10" s="72">
        <f>VLOOKUP(B10,'GHG Factors FY21'!A:L,10,FALSE)*M10</f>
        <v>0</v>
      </c>
      <c r="P10" s="72">
        <f>VLOOKUP(B10,'GHG Factors FY21'!A:L,11,FALSE)*M10</f>
        <v>0</v>
      </c>
      <c r="Q10" s="72">
        <f>VLOOKUP(B10,'GHG Factors FY21'!A:L,12,FALSE)*M10</f>
        <v>0</v>
      </c>
      <c r="R10" s="51">
        <f t="shared" si="1"/>
        <v>0</v>
      </c>
    </row>
    <row r="11" spans="1:18">
      <c r="A11" s="25"/>
      <c r="B11" s="25"/>
      <c r="C11" s="25"/>
      <c r="D11" s="25"/>
      <c r="E11" s="25"/>
      <c r="F11" s="25"/>
      <c r="G11" s="39"/>
      <c r="H11" s="25"/>
      <c r="I11" s="25"/>
      <c r="J11" s="39"/>
      <c r="K11" s="25"/>
      <c r="L11" s="25"/>
      <c r="M11" s="39"/>
      <c r="N11" s="39"/>
      <c r="O11" s="39"/>
      <c r="P11" s="39"/>
      <c r="Q11" s="39"/>
      <c r="R11" s="39"/>
    </row>
    <row r="12" spans="1:18">
      <c r="A12" t="s">
        <v>1179</v>
      </c>
      <c r="G12" s="241">
        <f>SUM(Solar31[Production/Consumption Quantity])</f>
        <v>10417618.939226702</v>
      </c>
    </row>
    <row r="13" spans="1:18">
      <c r="F13" t="s">
        <v>1173</v>
      </c>
      <c r="G13" s="9"/>
      <c r="M13" s="241">
        <f>SUM(Solar31[Sum of Consumption Quantity])</f>
        <v>10417618.939226702</v>
      </c>
    </row>
    <row r="14" spans="1:18">
      <c r="L14" t="s">
        <v>1173</v>
      </c>
      <c r="M14" s="9"/>
    </row>
    <row r="15" spans="1:18">
      <c r="A15" s="33" t="s">
        <v>3</v>
      </c>
      <c r="B15" s="33" t="s">
        <v>1217</v>
      </c>
    </row>
    <row r="16" spans="1:18">
      <c r="A16" t="s">
        <v>646</v>
      </c>
      <c r="B16" t="s">
        <v>750</v>
      </c>
      <c r="C16" t="s">
        <v>647</v>
      </c>
      <c r="D16" t="s">
        <v>648</v>
      </c>
      <c r="E16" t="s">
        <v>1200</v>
      </c>
      <c r="F16" t="s">
        <v>1187</v>
      </c>
      <c r="G16" t="s">
        <v>1201</v>
      </c>
      <c r="H16" s="1" t="s">
        <v>1202</v>
      </c>
      <c r="I16" s="1" t="s">
        <v>1203</v>
      </c>
      <c r="J16" s="1" t="s">
        <v>1204</v>
      </c>
      <c r="K16" s="37" t="s">
        <v>649</v>
      </c>
      <c r="L16" s="37" t="s">
        <v>684</v>
      </c>
      <c r="M16" s="37" t="s">
        <v>650</v>
      </c>
      <c r="N16" s="37" t="s">
        <v>651</v>
      </c>
      <c r="O16" s="37" t="s">
        <v>652</v>
      </c>
      <c r="P16" s="37" t="s">
        <v>653</v>
      </c>
      <c r="Q16" s="37" t="s">
        <v>654</v>
      </c>
      <c r="R16" s="37" t="s">
        <v>751</v>
      </c>
    </row>
    <row r="17" spans="1:18">
      <c r="A17" t="s">
        <v>661</v>
      </c>
      <c r="B17" t="s">
        <v>978</v>
      </c>
      <c r="C17" t="s">
        <v>664</v>
      </c>
      <c r="D17" t="s">
        <v>662</v>
      </c>
      <c r="E17" t="s">
        <v>1205</v>
      </c>
      <c r="F17" t="s">
        <v>1190</v>
      </c>
      <c r="G17" s="7">
        <v>92336.805999999997</v>
      </c>
      <c r="H17" s="1" t="s">
        <v>663</v>
      </c>
      <c r="I17" s="1">
        <v>3.5999999999999999E-3</v>
      </c>
      <c r="J17" s="6">
        <f>G17*I17</f>
        <v>332.41250159999998</v>
      </c>
      <c r="K17" s="50" t="s">
        <v>663</v>
      </c>
      <c r="L17" s="50" t="s">
        <v>686</v>
      </c>
      <c r="M17" s="72">
        <f>Solar3116[[#This Row],[Production/Consumption Quantity]]</f>
        <v>92336.805999999997</v>
      </c>
      <c r="N17" s="72">
        <f>Solar3116[[#This Row],[Production/Consumption GJ]]</f>
        <v>332.41250159999998</v>
      </c>
      <c r="O17" s="72">
        <f>VLOOKUP(B17,'GHG Factors FY20'!A:L,10,FALSE)*M17</f>
        <v>0</v>
      </c>
      <c r="P17" s="72">
        <f>VLOOKUP(B17,'GHG Factors FY20'!A:L,11,FALSE)*M17</f>
        <v>0</v>
      </c>
      <c r="Q17" s="72">
        <f>VLOOKUP(B17,'GHG Factors FY20'!A:L,12,FALSE)*M17</f>
        <v>0</v>
      </c>
      <c r="R17" s="51">
        <f>SUM(O17,P17,Q17)</f>
        <v>0</v>
      </c>
    </row>
    <row r="18" spans="1:18">
      <c r="A18" t="s">
        <v>661</v>
      </c>
      <c r="B18" t="s">
        <v>979</v>
      </c>
      <c r="C18" t="s">
        <v>664</v>
      </c>
      <c r="D18" t="s">
        <v>662</v>
      </c>
      <c r="E18" t="s">
        <v>1206</v>
      </c>
      <c r="F18" t="s">
        <v>1192</v>
      </c>
      <c r="G18" s="7">
        <v>1110009.5700000026</v>
      </c>
      <c r="H18" s="1" t="s">
        <v>663</v>
      </c>
      <c r="I18" s="1">
        <v>3.5999999999999999E-3</v>
      </c>
      <c r="J18" s="6">
        <f t="shared" ref="J18:J24" si="2">G18*I18</f>
        <v>3996.0344520000094</v>
      </c>
      <c r="K18" s="50" t="s">
        <v>663</v>
      </c>
      <c r="L18" s="50" t="s">
        <v>686</v>
      </c>
      <c r="M18" s="72">
        <f>Solar3116[[#This Row],[Production/Consumption Quantity]]</f>
        <v>1110009.5700000026</v>
      </c>
      <c r="N18" s="72">
        <f>Solar3116[[#This Row],[Production/Consumption GJ]]</f>
        <v>3996.0344520000094</v>
      </c>
      <c r="O18" s="72">
        <f>VLOOKUP(B18,'GHG Factors FY20'!A:L,10,FALSE)*M18</f>
        <v>0</v>
      </c>
      <c r="P18" s="72">
        <f>VLOOKUP(B18,'GHG Factors FY20'!A:L,11,FALSE)*M18</f>
        <v>0</v>
      </c>
      <c r="Q18" s="72">
        <f>VLOOKUP(B18,'GHG Factors FY20'!A:L,12,FALSE)*M18</f>
        <v>0</v>
      </c>
      <c r="R18" s="51">
        <f t="shared" ref="R18:R24" si="3">SUM(O18,P18,Q18)</f>
        <v>0</v>
      </c>
    </row>
    <row r="19" spans="1:18">
      <c r="A19" t="s">
        <v>661</v>
      </c>
      <c r="B19" t="s">
        <v>980</v>
      </c>
      <c r="C19" t="s">
        <v>664</v>
      </c>
      <c r="D19" t="s">
        <v>662</v>
      </c>
      <c r="E19" t="s">
        <v>1207</v>
      </c>
      <c r="F19" t="s">
        <v>1208</v>
      </c>
      <c r="G19" s="7">
        <v>1513598.1480000021</v>
      </c>
      <c r="H19" s="1" t="s">
        <v>663</v>
      </c>
      <c r="I19" s="1">
        <v>3.5999999999999999E-3</v>
      </c>
      <c r="J19" s="6">
        <f t="shared" si="2"/>
        <v>5448.953332800008</v>
      </c>
      <c r="K19" s="50" t="s">
        <v>663</v>
      </c>
      <c r="L19" s="50" t="s">
        <v>686</v>
      </c>
      <c r="M19" s="72">
        <f>Solar3116[[#This Row],[Production/Consumption Quantity]]</f>
        <v>1513598.1480000021</v>
      </c>
      <c r="N19" s="72">
        <f>Solar3116[[#This Row],[Production/Consumption GJ]]</f>
        <v>5448.953332800008</v>
      </c>
      <c r="O19" s="72">
        <f>VLOOKUP(B19,'GHG Factors FY20'!A:L,10,FALSE)*M19</f>
        <v>0</v>
      </c>
      <c r="P19" s="72">
        <f>VLOOKUP(B19,'GHG Factors FY20'!A:L,11,FALSE)*M19</f>
        <v>0</v>
      </c>
      <c r="Q19" s="72">
        <f>VLOOKUP(B19,'GHG Factors FY20'!A:L,12,FALSE)*M19</f>
        <v>0</v>
      </c>
      <c r="R19" s="51">
        <f t="shared" si="3"/>
        <v>0</v>
      </c>
    </row>
    <row r="20" spans="1:18">
      <c r="A20" t="s">
        <v>661</v>
      </c>
      <c r="B20" t="s">
        <v>981</v>
      </c>
      <c r="C20" t="s">
        <v>664</v>
      </c>
      <c r="D20" t="s">
        <v>662</v>
      </c>
      <c r="E20" t="s">
        <v>1209</v>
      </c>
      <c r="F20" t="s">
        <v>1210</v>
      </c>
      <c r="G20" s="7">
        <v>3067537.1400000206</v>
      </c>
      <c r="H20" s="1" t="s">
        <v>663</v>
      </c>
      <c r="I20" s="1">
        <v>3.5999999999999999E-3</v>
      </c>
      <c r="J20" s="6">
        <f t="shared" si="2"/>
        <v>11043.133704000074</v>
      </c>
      <c r="K20" s="50" t="s">
        <v>663</v>
      </c>
      <c r="L20" s="50" t="s">
        <v>686</v>
      </c>
      <c r="M20" s="72">
        <f>Solar3116[[#This Row],[Production/Consumption Quantity]]</f>
        <v>3067537.1400000206</v>
      </c>
      <c r="N20" s="72">
        <f>Solar3116[[#This Row],[Production/Consumption GJ]]</f>
        <v>11043.133704000074</v>
      </c>
      <c r="O20" s="72">
        <f>VLOOKUP(B20,'GHG Factors FY20'!A:L,10,FALSE)*M20</f>
        <v>0</v>
      </c>
      <c r="P20" s="72">
        <f>VLOOKUP(B20,'GHG Factors FY20'!A:L,11,FALSE)*M20</f>
        <v>0</v>
      </c>
      <c r="Q20" s="72">
        <f>VLOOKUP(B20,'GHG Factors FY20'!A:L,12,FALSE)*M20</f>
        <v>0</v>
      </c>
      <c r="R20" s="51">
        <f t="shared" si="3"/>
        <v>0</v>
      </c>
    </row>
    <row r="21" spans="1:18">
      <c r="A21" t="s">
        <v>661</v>
      </c>
      <c r="B21" t="s">
        <v>982</v>
      </c>
      <c r="C21" t="s">
        <v>664</v>
      </c>
      <c r="D21" t="s">
        <v>662</v>
      </c>
      <c r="E21" t="s">
        <v>1211</v>
      </c>
      <c r="F21" t="s">
        <v>1193</v>
      </c>
      <c r="G21" s="7">
        <v>723932.18199999945</v>
      </c>
      <c r="H21" s="1" t="s">
        <v>663</v>
      </c>
      <c r="I21" s="1">
        <v>3.5999999999999999E-3</v>
      </c>
      <c r="J21" s="6">
        <f t="shared" si="2"/>
        <v>2606.1558551999979</v>
      </c>
      <c r="K21" s="50" t="s">
        <v>663</v>
      </c>
      <c r="L21" s="50" t="s">
        <v>686</v>
      </c>
      <c r="M21" s="72">
        <f>Solar3116[[#This Row],[Production/Consumption Quantity]]</f>
        <v>723932.18199999945</v>
      </c>
      <c r="N21" s="72">
        <f>Solar3116[[#This Row],[Production/Consumption GJ]]</f>
        <v>2606.1558551999979</v>
      </c>
      <c r="O21" s="72">
        <f>VLOOKUP(B21,'GHG Factors FY20'!A:L,10,FALSE)*M21</f>
        <v>0</v>
      </c>
      <c r="P21" s="72">
        <f>VLOOKUP(B21,'GHG Factors FY20'!A:L,11,FALSE)*M21</f>
        <v>0</v>
      </c>
      <c r="Q21" s="72">
        <f>VLOOKUP(B21,'GHG Factors FY20'!A:L,12,FALSE)*M21</f>
        <v>0</v>
      </c>
      <c r="R21" s="51">
        <f t="shared" si="3"/>
        <v>0</v>
      </c>
    </row>
    <row r="22" spans="1:18">
      <c r="A22" t="s">
        <v>661</v>
      </c>
      <c r="B22" t="s">
        <v>983</v>
      </c>
      <c r="C22" t="s">
        <v>664</v>
      </c>
      <c r="D22" t="s">
        <v>662</v>
      </c>
      <c r="E22" t="s">
        <v>1212</v>
      </c>
      <c r="F22" t="s">
        <v>1213</v>
      </c>
      <c r="G22" s="7">
        <v>18084.284999999996</v>
      </c>
      <c r="H22" s="1" t="s">
        <v>663</v>
      </c>
      <c r="I22" s="1">
        <v>3.5999999999999999E-3</v>
      </c>
      <c r="J22" s="6">
        <f t="shared" si="2"/>
        <v>65.103425999999985</v>
      </c>
      <c r="K22" s="50" t="s">
        <v>663</v>
      </c>
      <c r="L22" s="50" t="s">
        <v>686</v>
      </c>
      <c r="M22" s="72">
        <f>Solar3116[[#This Row],[Production/Consumption Quantity]]</f>
        <v>18084.284999999996</v>
      </c>
      <c r="N22" s="72">
        <f>Solar3116[[#This Row],[Production/Consumption GJ]]</f>
        <v>65.103425999999985</v>
      </c>
      <c r="O22" s="72">
        <f>VLOOKUP(B22,'GHG Factors FY20'!A:L,10,FALSE)*M22</f>
        <v>0</v>
      </c>
      <c r="P22" s="72">
        <f>VLOOKUP(B22,'GHG Factors FY20'!A:L,11,FALSE)*M22</f>
        <v>0</v>
      </c>
      <c r="Q22" s="72">
        <f>VLOOKUP(B22,'GHG Factors FY20'!A:L,12,FALSE)*M22</f>
        <v>0</v>
      </c>
      <c r="R22" s="51">
        <f t="shared" si="3"/>
        <v>0</v>
      </c>
    </row>
    <row r="23" spans="1:18">
      <c r="A23" t="s">
        <v>661</v>
      </c>
      <c r="B23" t="s">
        <v>984</v>
      </c>
      <c r="C23" t="s">
        <v>664</v>
      </c>
      <c r="D23" t="s">
        <v>662</v>
      </c>
      <c r="E23" t="s">
        <v>1214</v>
      </c>
      <c r="F23" t="s">
        <v>1189</v>
      </c>
      <c r="G23" s="7">
        <v>1049927.308</v>
      </c>
      <c r="H23" s="1" t="s">
        <v>663</v>
      </c>
      <c r="I23" s="1">
        <v>3.5999999999999999E-3</v>
      </c>
      <c r="J23" s="6">
        <f t="shared" si="2"/>
        <v>3779.7383087999997</v>
      </c>
      <c r="K23" s="50" t="s">
        <v>663</v>
      </c>
      <c r="L23" s="50" t="s">
        <v>686</v>
      </c>
      <c r="M23" s="72">
        <f>Solar3116[[#This Row],[Production/Consumption Quantity]]</f>
        <v>1049927.308</v>
      </c>
      <c r="N23" s="72">
        <f>Solar3116[[#This Row],[Production/Consumption GJ]]</f>
        <v>3779.7383087999997</v>
      </c>
      <c r="O23" s="72">
        <f>VLOOKUP(B23,'GHG Factors FY20'!A:L,10,FALSE)*M23</f>
        <v>0</v>
      </c>
      <c r="P23" s="72">
        <f>VLOOKUP(B23,'GHG Factors FY20'!A:L,11,FALSE)*M23</f>
        <v>0</v>
      </c>
      <c r="Q23" s="72">
        <f>VLOOKUP(B23,'GHG Factors FY20'!A:L,12,FALSE)*M23</f>
        <v>0</v>
      </c>
      <c r="R23" s="51">
        <f t="shared" si="3"/>
        <v>0</v>
      </c>
    </row>
    <row r="24" spans="1:18">
      <c r="A24" t="s">
        <v>661</v>
      </c>
      <c r="B24" t="s">
        <v>985</v>
      </c>
      <c r="C24" t="s">
        <v>664</v>
      </c>
      <c r="D24" t="s">
        <v>662</v>
      </c>
      <c r="E24" t="s">
        <v>1215</v>
      </c>
      <c r="F24" t="s">
        <v>1216</v>
      </c>
      <c r="G24" s="7">
        <v>3309335.8740000171</v>
      </c>
      <c r="H24" s="1" t="s">
        <v>663</v>
      </c>
      <c r="I24" s="1">
        <v>3.5999999999999999E-3</v>
      </c>
      <c r="J24" s="6">
        <f t="shared" si="2"/>
        <v>11913.609146400062</v>
      </c>
      <c r="K24" s="50" t="s">
        <v>663</v>
      </c>
      <c r="L24" s="50" t="s">
        <v>686</v>
      </c>
      <c r="M24" s="72">
        <f>Solar3116[[#This Row],[Production/Consumption Quantity]]</f>
        <v>3309335.8740000171</v>
      </c>
      <c r="N24" s="72">
        <f>Solar3116[[#This Row],[Production/Consumption GJ]]</f>
        <v>11913.609146400062</v>
      </c>
      <c r="O24" s="72">
        <f>VLOOKUP(B24,'GHG Factors FY20'!A:L,10,FALSE)*M24</f>
        <v>0</v>
      </c>
      <c r="P24" s="72">
        <f>VLOOKUP(B24,'GHG Factors FY20'!A:L,11,FALSE)*M24</f>
        <v>0</v>
      </c>
      <c r="Q24" s="72">
        <f>VLOOKUP(B24,'GHG Factors FY20'!A:L,12,FALSE)*M24</f>
        <v>0</v>
      </c>
      <c r="R24" s="51">
        <f t="shared" si="3"/>
        <v>0</v>
      </c>
    </row>
    <row r="25" spans="1:18">
      <c r="A25" s="25"/>
      <c r="B25" s="25"/>
      <c r="C25" s="25"/>
      <c r="D25" s="25"/>
      <c r="E25" s="25"/>
      <c r="F25" s="25"/>
      <c r="G25" s="39"/>
      <c r="H25" s="25"/>
      <c r="I25" s="25"/>
      <c r="J25" s="39"/>
      <c r="K25" s="25"/>
      <c r="L25" s="25"/>
      <c r="M25" s="39"/>
      <c r="N25" s="39"/>
      <c r="O25" s="39"/>
      <c r="P25" s="39"/>
      <c r="Q25" s="39"/>
      <c r="R25" s="39"/>
    </row>
    <row r="26" spans="1:18">
      <c r="G26" s="241">
        <f>SUM(Solar3116[Production/Consumption Quantity])</f>
        <v>10884761.313000042</v>
      </c>
    </row>
  </sheetData>
  <pageMargins left="0.7" right="0.7" top="0.75" bottom="0.75" header="0.3" footer="0.3"/>
  <pageSetup paperSize="9" orientation="portrait" r:id="rId1"/>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sheetPr>
  <dimension ref="A1:N16"/>
  <sheetViews>
    <sheetView zoomScale="90" zoomScaleNormal="90" workbookViewId="0">
      <selection activeCell="F4" sqref="F4"/>
    </sheetView>
  </sheetViews>
  <sheetFormatPr defaultColWidth="8.8984375" defaultRowHeight="13.8"/>
  <cols>
    <col min="1" max="1" width="46.5" bestFit="1" customWidth="1"/>
    <col min="2" max="2" width="16.09765625" bestFit="1" customWidth="1"/>
    <col min="3" max="3" width="7.5" bestFit="1" customWidth="1"/>
    <col min="4" max="4" width="25.59765625" bestFit="1" customWidth="1"/>
    <col min="5" max="5" width="20.5" bestFit="1" customWidth="1"/>
    <col min="6" max="6" width="23.09765625" bestFit="1" customWidth="1"/>
    <col min="7" max="7" width="7" bestFit="1" customWidth="1"/>
    <col min="8" max="8" width="18" bestFit="1" customWidth="1"/>
    <col min="9" max="9" width="29.59765625" bestFit="1" customWidth="1"/>
    <col min="10" max="10" width="17.09765625" bestFit="1" customWidth="1"/>
    <col min="11" max="13" width="25.59765625" bestFit="1" customWidth="1"/>
    <col min="14" max="14" width="23.59765625" bestFit="1" customWidth="1"/>
  </cols>
  <sheetData>
    <row r="1" spans="1:14" ht="31.35" customHeight="1">
      <c r="A1" s="647" t="s">
        <v>3</v>
      </c>
      <c r="B1" s="647" t="s">
        <v>1218</v>
      </c>
    </row>
    <row r="2" spans="1:14">
      <c r="A2" t="s">
        <v>750</v>
      </c>
      <c r="B2" t="s">
        <v>156</v>
      </c>
      <c r="C2" t="s">
        <v>1187</v>
      </c>
      <c r="D2" t="s">
        <v>1219</v>
      </c>
      <c r="E2" t="s">
        <v>1220</v>
      </c>
      <c r="F2" t="s">
        <v>1221</v>
      </c>
      <c r="G2" s="1" t="s">
        <v>649</v>
      </c>
      <c r="H2" s="1" t="s">
        <v>684</v>
      </c>
      <c r="I2" s="1" t="s">
        <v>650</v>
      </c>
      <c r="J2" s="1" t="s">
        <v>651</v>
      </c>
      <c r="K2" s="1" t="s">
        <v>652</v>
      </c>
      <c r="L2" s="1" t="s">
        <v>653</v>
      </c>
      <c r="M2" s="1" t="s">
        <v>654</v>
      </c>
      <c r="N2" s="1" t="s">
        <v>751</v>
      </c>
    </row>
    <row r="3" spans="1:14">
      <c r="A3" t="s">
        <v>877</v>
      </c>
      <c r="B3" t="s">
        <v>35</v>
      </c>
      <c r="C3" t="s">
        <v>1192</v>
      </c>
      <c r="D3" s="7">
        <v>56254</v>
      </c>
      <c r="E3" t="s">
        <v>673</v>
      </c>
      <c r="F3" s="7">
        <f>DC_Genset2839[[#This Row],[Consumption Quantity (L)]]/1000</f>
        <v>56.253999999999998</v>
      </c>
      <c r="G3" s="1" t="s">
        <v>787</v>
      </c>
      <c r="H3" t="s">
        <v>686</v>
      </c>
      <c r="I3" s="70">
        <f>F3</f>
        <v>56.253999999999998</v>
      </c>
      <c r="J3" s="68">
        <f>VLOOKUP(A3,'GHG Factors FY21'!A:L,8,FALSE)*F3</f>
        <v>2171.4043999999999</v>
      </c>
      <c r="K3" s="68">
        <f>VLOOKUP(A3,'GHG Factors FY21'!A:L,10,FALSE)*J3</f>
        <v>152432.58888</v>
      </c>
      <c r="L3" s="68">
        <f>VLOOKUP(A3,'GHG Factors FY21'!A:L,11,FALSE)*J3</f>
        <v>0</v>
      </c>
      <c r="M3" s="68">
        <f>VLOOKUP(A3,'GHG Factors FY21'!A:L,12,FALSE)*J3</f>
        <v>7817.05584</v>
      </c>
      <c r="N3" s="70">
        <f>SUM(K3,L3,M3)</f>
        <v>160249.64471999998</v>
      </c>
    </row>
    <row r="4" spans="1:14">
      <c r="A4" t="s">
        <v>878</v>
      </c>
      <c r="B4" t="s">
        <v>35</v>
      </c>
      <c r="C4" t="s">
        <v>1189</v>
      </c>
      <c r="D4" s="7">
        <v>28414</v>
      </c>
      <c r="E4" t="s">
        <v>673</v>
      </c>
      <c r="F4" s="7">
        <f>DC_Genset2839[[#This Row],[Consumption Quantity (L)]]/1000</f>
        <v>28.414000000000001</v>
      </c>
      <c r="G4" s="1" t="s">
        <v>787</v>
      </c>
      <c r="H4" t="s">
        <v>686</v>
      </c>
      <c r="I4" s="70">
        <f t="shared" ref="I4:I5" si="0">F4</f>
        <v>28.414000000000001</v>
      </c>
      <c r="J4" s="68">
        <f>VLOOKUP(A4,'GHG Factors FY21'!A:L,8,FALSE)*F4</f>
        <v>1096.7804000000001</v>
      </c>
      <c r="K4" s="68">
        <f>VLOOKUP(A4,'GHG Factors FY21'!A:L,10,FALSE)*J4</f>
        <v>76993.984080000009</v>
      </c>
      <c r="L4" s="68">
        <f>VLOOKUP(A4,'GHG Factors FY21'!A:L,11,FALSE)*J4</f>
        <v>0</v>
      </c>
      <c r="M4" s="68">
        <f>VLOOKUP(A4,'GHG Factors FY21'!A:L,12,FALSE)*J4</f>
        <v>3948.4094400000004</v>
      </c>
      <c r="N4" s="70">
        <f t="shared" ref="N4:N5" si="1">SUM(K4,L4,M4)</f>
        <v>80942.393520000012</v>
      </c>
    </row>
    <row r="5" spans="1:14">
      <c r="A5" t="s">
        <v>879</v>
      </c>
      <c r="B5" t="s">
        <v>35</v>
      </c>
      <c r="C5" t="s">
        <v>1192</v>
      </c>
      <c r="D5" s="7">
        <v>0</v>
      </c>
      <c r="E5" t="s">
        <v>673</v>
      </c>
      <c r="F5" s="7">
        <f>DC_Genset2839[[#This Row],[Consumption Quantity (L)]]/1000</f>
        <v>0</v>
      </c>
      <c r="G5" s="1" t="s">
        <v>787</v>
      </c>
      <c r="H5" t="s">
        <v>686</v>
      </c>
      <c r="I5" s="70">
        <f t="shared" si="0"/>
        <v>0</v>
      </c>
      <c r="J5" s="68">
        <f>VLOOKUP(A5,'GHG Factors FY21'!A:L,8,FALSE)*F5</f>
        <v>0</v>
      </c>
      <c r="K5" s="68">
        <f>VLOOKUP(A5,'GHG Factors FY21'!A:L,10,FALSE)*J5</f>
        <v>0</v>
      </c>
      <c r="L5" s="68">
        <f>VLOOKUP(A5,'GHG Factors FY21'!A:L,11,FALSE)*J5</f>
        <v>0</v>
      </c>
      <c r="M5" s="68">
        <f>VLOOKUP(A5,'GHG Factors FY21'!A:L,12,FALSE)*J5</f>
        <v>0</v>
      </c>
      <c r="N5" s="70">
        <f t="shared" si="1"/>
        <v>0</v>
      </c>
    </row>
    <row r="7" spans="1:14">
      <c r="A7" s="810"/>
      <c r="B7" t="s">
        <v>1222</v>
      </c>
    </row>
    <row r="8" spans="1:14">
      <c r="B8" t="s">
        <v>1223</v>
      </c>
    </row>
    <row r="10" spans="1:14">
      <c r="A10" s="33" t="s">
        <v>3</v>
      </c>
      <c r="B10" t="s">
        <v>1218</v>
      </c>
    </row>
    <row r="11" spans="1:14">
      <c r="A11" t="s">
        <v>750</v>
      </c>
      <c r="B11" t="s">
        <v>156</v>
      </c>
      <c r="C11" t="s">
        <v>1187</v>
      </c>
      <c r="D11" t="s">
        <v>1219</v>
      </c>
      <c r="E11" t="s">
        <v>1220</v>
      </c>
      <c r="F11" t="s">
        <v>1221</v>
      </c>
      <c r="G11" s="1" t="s">
        <v>649</v>
      </c>
      <c r="H11" s="1" t="s">
        <v>684</v>
      </c>
      <c r="I11" s="1" t="s">
        <v>650</v>
      </c>
      <c r="J11" s="1" t="s">
        <v>651</v>
      </c>
      <c r="K11" s="1" t="s">
        <v>652</v>
      </c>
      <c r="L11" s="1" t="s">
        <v>653</v>
      </c>
      <c r="M11" s="1" t="s">
        <v>654</v>
      </c>
      <c r="N11" s="1" t="s">
        <v>751</v>
      </c>
    </row>
    <row r="12" spans="1:14">
      <c r="A12" t="s">
        <v>877</v>
      </c>
      <c r="B12" t="s">
        <v>35</v>
      </c>
      <c r="C12" t="s">
        <v>1192</v>
      </c>
      <c r="D12" s="7">
        <v>27505</v>
      </c>
      <c r="E12" t="s">
        <v>673</v>
      </c>
      <c r="F12" s="7">
        <f>DC_Genset283917[[#This Row],[Consumption Quantity (L)]]/1000</f>
        <v>27.504999999999999</v>
      </c>
      <c r="G12" s="1" t="s">
        <v>787</v>
      </c>
      <c r="H12" t="s">
        <v>686</v>
      </c>
      <c r="I12" s="70">
        <f>F12</f>
        <v>27.504999999999999</v>
      </c>
      <c r="J12" s="70">
        <f>VLOOKUP(A12,'GHG Factors FY20'!A:L,8,FALSE)*F12</f>
        <v>1061.693</v>
      </c>
      <c r="K12" s="70">
        <f>VLOOKUP(A12,'GHG Factors FY20'!A:L,10,FALSE)*J12</f>
        <v>74530.848599999998</v>
      </c>
      <c r="L12" s="70">
        <f>VLOOKUP(A12,'GHG Factors FY20'!A:L,11,FALSE)*J12</f>
        <v>0</v>
      </c>
      <c r="M12" s="70">
        <f>VLOOKUP(A12,'GHG Factors FY20'!A:L,12,FALSE)*J12</f>
        <v>3822.0947999999999</v>
      </c>
      <c r="N12" s="70">
        <f>SUM(K12,L12,M12)</f>
        <v>78352.943400000004</v>
      </c>
    </row>
    <row r="13" spans="1:14">
      <c r="A13" t="s">
        <v>878</v>
      </c>
      <c r="B13" t="s">
        <v>35</v>
      </c>
      <c r="C13" t="s">
        <v>1189</v>
      </c>
      <c r="D13" s="7">
        <v>19353</v>
      </c>
      <c r="E13" t="s">
        <v>673</v>
      </c>
      <c r="F13" s="7">
        <f>DC_Genset283917[[#This Row],[Consumption Quantity (L)]]/1000</f>
        <v>19.353000000000002</v>
      </c>
      <c r="G13" s="1" t="s">
        <v>787</v>
      </c>
      <c r="H13" t="s">
        <v>686</v>
      </c>
      <c r="I13" s="70">
        <f t="shared" ref="I13:I14" si="2">F13</f>
        <v>19.353000000000002</v>
      </c>
      <c r="J13" s="70">
        <f>VLOOKUP(A13,'GHG Factors FY20'!A:L,8,FALSE)*F13</f>
        <v>747.02580000000012</v>
      </c>
      <c r="K13" s="70">
        <f>VLOOKUP(A13,'GHG Factors FY20'!A:L,10,FALSE)*J13</f>
        <v>52441.211160000013</v>
      </c>
      <c r="L13" s="70">
        <f>VLOOKUP(A13,'GHG Factors FY20'!A:L,11,FALSE)*J13</f>
        <v>0</v>
      </c>
      <c r="M13" s="70">
        <f>VLOOKUP(A13,'GHG Factors FY20'!A:L,12,FALSE)*J13</f>
        <v>2689.2928800000004</v>
      </c>
      <c r="N13" s="70">
        <f t="shared" ref="N13:N14" si="3">SUM(K13,L13,M13)</f>
        <v>55130.504040000014</v>
      </c>
    </row>
    <row r="14" spans="1:14">
      <c r="A14" t="s">
        <v>879</v>
      </c>
      <c r="B14" t="s">
        <v>35</v>
      </c>
      <c r="C14" t="s">
        <v>1192</v>
      </c>
      <c r="D14" s="7">
        <v>26455.340328947368</v>
      </c>
      <c r="E14" t="s">
        <v>673</v>
      </c>
      <c r="F14" s="7">
        <f>DC_Genset283917[[#This Row],[Consumption Quantity (L)]]/1000</f>
        <v>26.455340328947369</v>
      </c>
      <c r="G14" s="1" t="s">
        <v>787</v>
      </c>
      <c r="H14" t="s">
        <v>686</v>
      </c>
      <c r="I14" s="70">
        <f t="shared" si="2"/>
        <v>26.455340328947369</v>
      </c>
      <c r="J14" s="70">
        <f>VLOOKUP(A14,'GHG Factors FY20'!A:L,8,FALSE)*F14</f>
        <v>1021.1761366973684</v>
      </c>
      <c r="K14" s="70">
        <f>VLOOKUP(A14,'GHG Factors FY20'!A:L,10,FALSE)*J14</f>
        <v>71686.56479615526</v>
      </c>
      <c r="L14" s="70">
        <f>VLOOKUP(A14,'GHG Factors FY20'!A:L,11,FALSE)*J14</f>
        <v>0</v>
      </c>
      <c r="M14" s="70">
        <f>VLOOKUP(A14,'GHG Factors FY20'!A:L,12,FALSE)*J14</f>
        <v>3676.2340921105265</v>
      </c>
      <c r="N14" s="70">
        <f t="shared" si="3"/>
        <v>75362.798888265781</v>
      </c>
    </row>
    <row r="16" spans="1:14">
      <c r="A16" s="647"/>
    </row>
  </sheetData>
  <pageMargins left="0.7" right="0.7" top="0.75" bottom="0.75" header="0.3" footer="0.3"/>
  <pageSetup paperSize="9" orientation="portrait" r:id="rId1"/>
  <tableParts count="2">
    <tablePart r:id="rId2"/>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00B050"/>
  </sheetPr>
  <dimension ref="A1:AM138"/>
  <sheetViews>
    <sheetView zoomScale="70" zoomScaleNormal="70" workbookViewId="0">
      <selection activeCell="F4" sqref="F4"/>
    </sheetView>
  </sheetViews>
  <sheetFormatPr defaultColWidth="8.8984375" defaultRowHeight="13.8"/>
  <cols>
    <col min="1" max="1" width="42.59765625" customWidth="1"/>
    <col min="2" max="2" width="16.59765625" customWidth="1"/>
    <col min="3" max="3" width="42.59765625" bestFit="1" customWidth="1"/>
    <col min="4" max="4" width="6.59765625" bestFit="1" customWidth="1"/>
    <col min="5" max="5" width="7.5" bestFit="1" customWidth="1"/>
    <col min="6" max="6" width="20.59765625" bestFit="1" customWidth="1"/>
    <col min="7" max="7" width="18.09765625" bestFit="1" customWidth="1"/>
    <col min="8" max="8" width="18.09765625" customWidth="1"/>
    <col min="9" max="9" width="18.59765625" bestFit="1" customWidth="1"/>
    <col min="10" max="10" width="42.09765625" bestFit="1" customWidth="1"/>
    <col min="11" max="11" width="8.09765625" bestFit="1" customWidth="1"/>
    <col min="12" max="12" width="11.8984375" bestFit="1" customWidth="1"/>
    <col min="13" max="13" width="20.59765625" bestFit="1" customWidth="1"/>
    <col min="14" max="14" width="18.5" bestFit="1" customWidth="1"/>
    <col min="15" max="17" width="22.59765625" bestFit="1" customWidth="1"/>
    <col min="18" max="18" width="20.59765625" bestFit="1" customWidth="1"/>
    <col min="20" max="20" width="12.59765625" customWidth="1"/>
  </cols>
  <sheetData>
    <row r="1" spans="1:39" ht="14.4" thickBot="1">
      <c r="A1" s="813" t="s">
        <v>91</v>
      </c>
      <c r="B1" s="813" t="s">
        <v>1174</v>
      </c>
      <c r="C1" s="99"/>
    </row>
    <row r="2" spans="1:39">
      <c r="A2" t="s">
        <v>750</v>
      </c>
      <c r="B2" t="s">
        <v>1224</v>
      </c>
      <c r="C2" t="s">
        <v>1200</v>
      </c>
      <c r="D2" t="s">
        <v>156</v>
      </c>
      <c r="E2" t="s">
        <v>1187</v>
      </c>
      <c r="F2" t="s">
        <v>1225</v>
      </c>
      <c r="G2" s="1" t="s">
        <v>1226</v>
      </c>
      <c r="H2" s="37" t="s">
        <v>649</v>
      </c>
      <c r="I2" s="37" t="s">
        <v>684</v>
      </c>
      <c r="J2" s="37" t="s">
        <v>650</v>
      </c>
      <c r="K2" s="37" t="s">
        <v>651</v>
      </c>
      <c r="L2" s="37" t="s">
        <v>652</v>
      </c>
      <c r="M2" s="37" t="s">
        <v>653</v>
      </c>
      <c r="N2" s="37" t="s">
        <v>654</v>
      </c>
      <c r="O2" s="37" t="s">
        <v>751</v>
      </c>
      <c r="AC2" s="12" t="s">
        <v>750</v>
      </c>
      <c r="AD2" s="493" t="s">
        <v>649</v>
      </c>
      <c r="AE2" s="493" t="s">
        <v>684</v>
      </c>
      <c r="AF2" s="493" t="s">
        <v>650</v>
      </c>
      <c r="AG2" s="493" t="s">
        <v>651</v>
      </c>
      <c r="AH2" s="493" t="s">
        <v>652</v>
      </c>
      <c r="AI2" s="493" t="s">
        <v>653</v>
      </c>
      <c r="AJ2" s="493" t="s">
        <v>654</v>
      </c>
      <c r="AK2" s="13" t="s">
        <v>751</v>
      </c>
    </row>
    <row r="3" spans="1:39">
      <c r="A3" t="s">
        <v>892</v>
      </c>
      <c r="B3" t="s">
        <v>1227</v>
      </c>
      <c r="C3" t="s">
        <v>706</v>
      </c>
      <c r="D3" t="s">
        <v>35</v>
      </c>
      <c r="E3" t="s">
        <v>1190</v>
      </c>
      <c r="F3" s="655">
        <v>9930.7329871008387</v>
      </c>
      <c r="G3" s="1" t="s">
        <v>673</v>
      </c>
      <c r="H3" s="47" t="s">
        <v>658</v>
      </c>
      <c r="I3" s="47" t="s">
        <v>686</v>
      </c>
      <c r="J3" s="47">
        <f>F3/1000</f>
        <v>9.9307329871008392</v>
      </c>
      <c r="K3" s="47">
        <f>VLOOKUP(A3,'GHG Factors FY21'!A:L,8,FALSE)*J3</f>
        <v>383.32629330209238</v>
      </c>
      <c r="L3" s="728">
        <f>VLOOKUP(A3,'GHG Factors FY21'!A:L,10,FALSE)*K3</f>
        <v>26909.505789806884</v>
      </c>
      <c r="M3" s="47">
        <f>VLOOKUP(A3,'GHG Factors FY21'!A:L,11,FALSE)*K3</f>
        <v>0</v>
      </c>
      <c r="N3" s="47">
        <f>VLOOKUP(A3,'GHG Factors FY21'!A:L,12,FALSE)*K3</f>
        <v>1379.9746558875327</v>
      </c>
      <c r="O3" s="47">
        <f>SUM(L3,M3,N3)</f>
        <v>28289.480445694418</v>
      </c>
      <c r="AC3" s="14" t="s">
        <v>892</v>
      </c>
      <c r="AD3" t="s">
        <v>658</v>
      </c>
      <c r="AE3" t="s">
        <v>686</v>
      </c>
      <c r="AF3" s="28">
        <f t="shared" ref="AF3:AF40" si="0">VLOOKUP(AC3,A:G,6,FALSE)/1000</f>
        <v>9.9307329871008392</v>
      </c>
      <c r="AG3" s="28" t="e">
        <f>VLOOKUP(AC3,#REF!, 8,FALSE)*'NET Genset Grounds'!AF3</f>
        <v>#REF!</v>
      </c>
      <c r="AH3" s="28" t="e">
        <f>VLOOKUP(AC3,#REF!, 10,FALSE)*'NET Genset Grounds'!AG3</f>
        <v>#REF!</v>
      </c>
      <c r="AI3" s="28"/>
      <c r="AJ3" s="28" t="e">
        <f>VLOOKUP(AC3,#REF!, 12,FALSE)*'NET Genset Grounds'!AG3</f>
        <v>#REF!</v>
      </c>
      <c r="AK3" s="29" t="e">
        <f>SUM(AH3:AJ3)</f>
        <v>#REF!</v>
      </c>
    </row>
    <row r="4" spans="1:39">
      <c r="A4" t="s">
        <v>893</v>
      </c>
      <c r="B4" t="s">
        <v>1227</v>
      </c>
      <c r="C4" t="s">
        <v>707</v>
      </c>
      <c r="D4" t="s">
        <v>35</v>
      </c>
      <c r="E4" t="s">
        <v>1192</v>
      </c>
      <c r="F4" s="655">
        <v>451150.8405109751</v>
      </c>
      <c r="G4" s="1" t="s">
        <v>673</v>
      </c>
      <c r="H4" s="48" t="s">
        <v>658</v>
      </c>
      <c r="I4" s="48" t="s">
        <v>686</v>
      </c>
      <c r="J4" s="48">
        <f t="shared" ref="J4:J50" si="1">F4/1000</f>
        <v>451.15084051097512</v>
      </c>
      <c r="K4" s="48">
        <f>VLOOKUP(A4,'GHG Factors FY21'!A:L,8,FALSE)*J4</f>
        <v>17414.422443723641</v>
      </c>
      <c r="L4" s="729">
        <f>VLOOKUP(A4,'GHG Factors FY21'!A:L,10,FALSE)*K4</f>
        <v>1222492.4555493996</v>
      </c>
      <c r="M4" s="48">
        <f>VLOOKUP(A4,'GHG Factors FY21'!A:L,11,FALSE)*K4</f>
        <v>0</v>
      </c>
      <c r="N4" s="48">
        <f>VLOOKUP(A4,'GHG Factors FY21'!A:L,12,FALSE)*K4</f>
        <v>62691.92079740511</v>
      </c>
      <c r="O4" s="48">
        <f t="shared" ref="O4:O50" si="2">SUM(L4,M4,N4)</f>
        <v>1285184.3763468047</v>
      </c>
      <c r="AC4" s="14" t="s">
        <v>893</v>
      </c>
      <c r="AD4" t="s">
        <v>658</v>
      </c>
      <c r="AE4" t="s">
        <v>686</v>
      </c>
      <c r="AF4" s="28">
        <f t="shared" si="0"/>
        <v>451.15084051097512</v>
      </c>
      <c r="AG4" s="28" t="e">
        <f>VLOOKUP(AC4,#REF!, 8,FALSE)*'NET Genset Grounds'!AF4</f>
        <v>#REF!</v>
      </c>
      <c r="AH4" s="28" t="e">
        <f>VLOOKUP(AC4,#REF!, 10,FALSE)*'NET Genset Grounds'!AG4</f>
        <v>#REF!</v>
      </c>
      <c r="AI4" s="28"/>
      <c r="AJ4" s="28" t="e">
        <f>VLOOKUP(AC4,#REF!, 12,FALSE)*'NET Genset Grounds'!AG4</f>
        <v>#REF!</v>
      </c>
      <c r="AK4" s="29" t="e">
        <f t="shared" ref="AK4:AK40" si="3">SUM(AH4:AJ4)</f>
        <v>#REF!</v>
      </c>
    </row>
    <row r="5" spans="1:39">
      <c r="A5" t="s">
        <v>894</v>
      </c>
      <c r="B5" t="s">
        <v>1227</v>
      </c>
      <c r="C5" t="s">
        <v>708</v>
      </c>
      <c r="D5" t="s">
        <v>35</v>
      </c>
      <c r="E5" t="s">
        <v>1208</v>
      </c>
      <c r="F5" s="655">
        <v>16273.727671357694</v>
      </c>
      <c r="G5" s="1" t="s">
        <v>673</v>
      </c>
      <c r="H5" s="47" t="s">
        <v>658</v>
      </c>
      <c r="I5" s="47" t="s">
        <v>686</v>
      </c>
      <c r="J5" s="47">
        <f t="shared" si="1"/>
        <v>16.273727671357694</v>
      </c>
      <c r="K5" s="47">
        <f>VLOOKUP(A5,'GHG Factors FY21'!A:L,8,FALSE)*J5</f>
        <v>628.16588811440704</v>
      </c>
      <c r="L5" s="728">
        <f>VLOOKUP(A5,'GHG Factors FY21'!A:L,10,FALSE)*K5</f>
        <v>44097.245345631374</v>
      </c>
      <c r="M5" s="47">
        <f>VLOOKUP(A5,'GHG Factors FY21'!A:L,11,FALSE)*K5</f>
        <v>0</v>
      </c>
      <c r="N5" s="47">
        <f>VLOOKUP(A5,'GHG Factors FY21'!A:L,12,FALSE)*K5</f>
        <v>2261.3971972118652</v>
      </c>
      <c r="O5" s="47">
        <f t="shared" si="2"/>
        <v>46358.642542843241</v>
      </c>
      <c r="AC5" s="14" t="s">
        <v>894</v>
      </c>
      <c r="AD5" t="s">
        <v>658</v>
      </c>
      <c r="AE5" t="s">
        <v>686</v>
      </c>
      <c r="AF5" s="28">
        <f t="shared" si="0"/>
        <v>16.273727671357694</v>
      </c>
      <c r="AG5" s="28" t="e">
        <f>VLOOKUP(AC5,#REF!, 8,FALSE)*'NET Genset Grounds'!AF5</f>
        <v>#REF!</v>
      </c>
      <c r="AH5" s="28" t="e">
        <f>VLOOKUP(AC5,#REF!, 10,FALSE)*'NET Genset Grounds'!AG5</f>
        <v>#REF!</v>
      </c>
      <c r="AI5" s="28"/>
      <c r="AJ5" s="28" t="e">
        <f>VLOOKUP(AC5,#REF!, 12,FALSE)*'NET Genset Grounds'!AG5</f>
        <v>#REF!</v>
      </c>
      <c r="AK5" s="29" t="e">
        <f t="shared" si="3"/>
        <v>#REF!</v>
      </c>
    </row>
    <row r="6" spans="1:39">
      <c r="A6" t="s">
        <v>895</v>
      </c>
      <c r="B6" t="s">
        <v>1227</v>
      </c>
      <c r="C6" t="s">
        <v>709</v>
      </c>
      <c r="D6" t="s">
        <v>35</v>
      </c>
      <c r="E6" t="s">
        <v>1210</v>
      </c>
      <c r="F6" s="655">
        <v>123666.88665848372</v>
      </c>
      <c r="G6" s="1" t="s">
        <v>673</v>
      </c>
      <c r="H6" s="48" t="s">
        <v>658</v>
      </c>
      <c r="I6" s="48" t="s">
        <v>686</v>
      </c>
      <c r="J6" s="48">
        <f t="shared" si="1"/>
        <v>123.66688665848372</v>
      </c>
      <c r="K6" s="48">
        <f>VLOOKUP(A6,'GHG Factors FY21'!A:L,8,FALSE)*J6</f>
        <v>4773.5418250174716</v>
      </c>
      <c r="L6" s="729">
        <f>VLOOKUP(A6,'GHG Factors FY21'!A:L,10,FALSE)*K6</f>
        <v>335102.63611622649</v>
      </c>
      <c r="M6" s="48">
        <f>VLOOKUP(A6,'GHG Factors FY21'!A:L,11,FALSE)*K6</f>
        <v>0</v>
      </c>
      <c r="N6" s="48">
        <f>VLOOKUP(A6,'GHG Factors FY21'!A:L,12,FALSE)*K6</f>
        <v>17184.750570062897</v>
      </c>
      <c r="O6" s="48">
        <f t="shared" si="2"/>
        <v>352287.38668628939</v>
      </c>
      <c r="AC6" s="14" t="s">
        <v>895</v>
      </c>
      <c r="AD6" t="s">
        <v>658</v>
      </c>
      <c r="AE6" t="s">
        <v>686</v>
      </c>
      <c r="AF6" s="28">
        <f t="shared" si="0"/>
        <v>123.66688665848372</v>
      </c>
      <c r="AG6" s="28" t="e">
        <f>VLOOKUP(AC6,#REF!, 8,FALSE)*'NET Genset Grounds'!AF6</f>
        <v>#REF!</v>
      </c>
      <c r="AH6" s="28" t="e">
        <f>VLOOKUP(AC6,#REF!, 10,FALSE)*'NET Genset Grounds'!AG6</f>
        <v>#REF!</v>
      </c>
      <c r="AI6" s="28"/>
      <c r="AJ6" s="28" t="e">
        <f>VLOOKUP(AC6,#REF!, 12,FALSE)*'NET Genset Grounds'!AG6</f>
        <v>#REF!</v>
      </c>
      <c r="AK6" s="29" t="e">
        <f t="shared" si="3"/>
        <v>#REF!</v>
      </c>
    </row>
    <row r="7" spans="1:39">
      <c r="A7" t="s">
        <v>896</v>
      </c>
      <c r="B7" t="s">
        <v>1227</v>
      </c>
      <c r="C7" t="s">
        <v>710</v>
      </c>
      <c r="D7" t="s">
        <v>35</v>
      </c>
      <c r="E7" t="s">
        <v>1193</v>
      </c>
      <c r="F7" s="655">
        <v>37967.194291182168</v>
      </c>
      <c r="G7" s="1" t="s">
        <v>673</v>
      </c>
      <c r="H7" s="47" t="s">
        <v>658</v>
      </c>
      <c r="I7" s="47" t="s">
        <v>686</v>
      </c>
      <c r="J7" s="47">
        <f t="shared" si="1"/>
        <v>37.967194291182167</v>
      </c>
      <c r="K7" s="47">
        <f>VLOOKUP(A7,'GHG Factors FY21'!A:L,8,FALSE)*J7</f>
        <v>1465.5336996396318</v>
      </c>
      <c r="L7" s="728">
        <f>VLOOKUP(A7,'GHG Factors FY21'!A:L,10,FALSE)*K7</f>
        <v>102880.46571470215</v>
      </c>
      <c r="M7" s="47">
        <f>VLOOKUP(A7,'GHG Factors FY21'!A:L,11,FALSE)*K7</f>
        <v>0</v>
      </c>
      <c r="N7" s="47">
        <f>VLOOKUP(A7,'GHG Factors FY21'!A:L,12,FALSE)*K7</f>
        <v>5275.9213187026744</v>
      </c>
      <c r="O7" s="47">
        <f t="shared" si="2"/>
        <v>108156.38703340483</v>
      </c>
      <c r="AC7" s="14" t="s">
        <v>896</v>
      </c>
      <c r="AD7" t="s">
        <v>658</v>
      </c>
      <c r="AE7" t="s">
        <v>686</v>
      </c>
      <c r="AF7" s="28">
        <f t="shared" si="0"/>
        <v>37.967194291182167</v>
      </c>
      <c r="AG7" s="28" t="e">
        <f>VLOOKUP(AC7,#REF!, 8,FALSE)*'NET Genset Grounds'!AF7</f>
        <v>#REF!</v>
      </c>
      <c r="AH7" s="28" t="e">
        <f>VLOOKUP(AC7,#REF!, 10,FALSE)*'NET Genset Grounds'!AG7</f>
        <v>#REF!</v>
      </c>
      <c r="AI7" s="28"/>
      <c r="AJ7" s="28" t="e">
        <f>VLOOKUP(AC7,#REF!, 12,FALSE)*'NET Genset Grounds'!AG7</f>
        <v>#REF!</v>
      </c>
      <c r="AK7" s="29" t="e">
        <f t="shared" si="3"/>
        <v>#REF!</v>
      </c>
    </row>
    <row r="8" spans="1:39">
      <c r="A8" t="s">
        <v>897</v>
      </c>
      <c r="B8" t="s">
        <v>1227</v>
      </c>
      <c r="C8" t="s">
        <v>711</v>
      </c>
      <c r="D8" t="s">
        <v>35</v>
      </c>
      <c r="E8" t="s">
        <v>1213</v>
      </c>
      <c r="F8" s="655">
        <v>20250.371753101401</v>
      </c>
      <c r="G8" s="1" t="s">
        <v>673</v>
      </c>
      <c r="H8" s="48" t="s">
        <v>658</v>
      </c>
      <c r="I8" s="48" t="s">
        <v>686</v>
      </c>
      <c r="J8" s="48">
        <f t="shared" si="1"/>
        <v>20.250371753101401</v>
      </c>
      <c r="K8" s="48">
        <f>VLOOKUP(A8,'GHG Factors FY21'!A:L,8,FALSE)*J8</f>
        <v>781.66434966971406</v>
      </c>
      <c r="L8" s="729">
        <f>VLOOKUP(A8,'GHG Factors FY21'!A:L,10,FALSE)*K8</f>
        <v>54872.837346813933</v>
      </c>
      <c r="M8" s="48">
        <f>VLOOKUP(A8,'GHG Factors FY21'!A:L,11,FALSE)*K8</f>
        <v>0</v>
      </c>
      <c r="N8" s="48">
        <f>VLOOKUP(A8,'GHG Factors FY21'!A:L,12,FALSE)*K8</f>
        <v>2813.9916588109709</v>
      </c>
      <c r="O8" s="48">
        <f t="shared" si="2"/>
        <v>57686.829005624902</v>
      </c>
      <c r="AC8" s="14" t="s">
        <v>897</v>
      </c>
      <c r="AD8" t="s">
        <v>658</v>
      </c>
      <c r="AE8" t="s">
        <v>686</v>
      </c>
      <c r="AF8" s="28">
        <f t="shared" si="0"/>
        <v>20.250371753101401</v>
      </c>
      <c r="AG8" s="28" t="e">
        <f>VLOOKUP(AC8,#REF!, 8,FALSE)*'NET Genset Grounds'!AF8</f>
        <v>#REF!</v>
      </c>
      <c r="AH8" s="28" t="e">
        <f>VLOOKUP(AC8,#REF!, 10,FALSE)*'NET Genset Grounds'!AG8</f>
        <v>#REF!</v>
      </c>
      <c r="AI8" s="28"/>
      <c r="AJ8" s="28" t="e">
        <f>VLOOKUP(AC8,#REF!, 12,FALSE)*'NET Genset Grounds'!AG8</f>
        <v>#REF!</v>
      </c>
      <c r="AK8" s="29" t="e">
        <f t="shared" si="3"/>
        <v>#REF!</v>
      </c>
    </row>
    <row r="9" spans="1:39">
      <c r="A9" t="s">
        <v>898</v>
      </c>
      <c r="B9" t="s">
        <v>1227</v>
      </c>
      <c r="C9" t="s">
        <v>712</v>
      </c>
      <c r="D9" t="s">
        <v>35</v>
      </c>
      <c r="E9" t="s">
        <v>1189</v>
      </c>
      <c r="F9" s="655">
        <v>253129.43403350629</v>
      </c>
      <c r="G9" s="1" t="s">
        <v>673</v>
      </c>
      <c r="H9" s="47" t="s">
        <v>658</v>
      </c>
      <c r="I9" s="47" t="s">
        <v>686</v>
      </c>
      <c r="J9" s="47">
        <f t="shared" si="1"/>
        <v>253.1294340335063</v>
      </c>
      <c r="K9" s="47">
        <f>VLOOKUP(A9,'GHG Factors FY21'!A:L,8,FALSE)*J9</f>
        <v>9770.7961536933435</v>
      </c>
      <c r="L9" s="728">
        <f>VLOOKUP(A9,'GHG Factors FY21'!A:L,10,FALSE)*K9</f>
        <v>685909.88998927269</v>
      </c>
      <c r="M9" s="47">
        <f>VLOOKUP(A9,'GHG Factors FY21'!A:L,11,FALSE)*K9</f>
        <v>0</v>
      </c>
      <c r="N9" s="47">
        <f>VLOOKUP(A9,'GHG Factors FY21'!A:L,12,FALSE)*K9</f>
        <v>35174.86615329604</v>
      </c>
      <c r="O9" s="47">
        <f t="shared" si="2"/>
        <v>721084.75614256877</v>
      </c>
      <c r="AC9" s="14" t="s">
        <v>898</v>
      </c>
      <c r="AD9" t="s">
        <v>658</v>
      </c>
      <c r="AE9" t="s">
        <v>686</v>
      </c>
      <c r="AF9" s="28">
        <f t="shared" si="0"/>
        <v>253.1294340335063</v>
      </c>
      <c r="AG9" s="28" t="e">
        <f>VLOOKUP(AC9,#REF!, 8,FALSE)*'NET Genset Grounds'!AF9</f>
        <v>#REF!</v>
      </c>
      <c r="AH9" s="28" t="e">
        <f>VLOOKUP(AC9,#REF!, 10,FALSE)*'NET Genset Grounds'!AG9</f>
        <v>#REF!</v>
      </c>
      <c r="AI9" s="28"/>
      <c r="AJ9" s="28" t="e">
        <f>VLOOKUP(AC9,#REF!, 12,FALSE)*'NET Genset Grounds'!AG9</f>
        <v>#REF!</v>
      </c>
      <c r="AK9" s="29" t="e">
        <f t="shared" si="3"/>
        <v>#REF!</v>
      </c>
    </row>
    <row r="10" spans="1:39">
      <c r="A10" t="s">
        <v>899</v>
      </c>
      <c r="B10" t="s">
        <v>1227</v>
      </c>
      <c r="C10" t="s">
        <v>713</v>
      </c>
      <c r="D10" t="s">
        <v>35</v>
      </c>
      <c r="E10" t="s">
        <v>1216</v>
      </c>
      <c r="F10" s="655">
        <v>176378.35832619746</v>
      </c>
      <c r="G10" s="1" t="s">
        <v>673</v>
      </c>
      <c r="H10" s="48" t="s">
        <v>658</v>
      </c>
      <c r="I10" s="48" t="s">
        <v>686</v>
      </c>
      <c r="J10" s="48">
        <f t="shared" si="1"/>
        <v>176.37835832619746</v>
      </c>
      <c r="K10" s="48">
        <f>VLOOKUP(A10,'GHG Factors FY21'!A:L,8,FALSE)*J10</f>
        <v>6808.2046313912224</v>
      </c>
      <c r="L10" s="729">
        <f>VLOOKUP(A10,'GHG Factors FY21'!A:L,10,FALSE)*K10</f>
        <v>477935.96512366383</v>
      </c>
      <c r="M10" s="48">
        <f>VLOOKUP(A10,'GHG Factors FY21'!A:L,11,FALSE)*K10</f>
        <v>0</v>
      </c>
      <c r="N10" s="48">
        <f>VLOOKUP(A10,'GHG Factors FY21'!A:L,12,FALSE)*K10</f>
        <v>24509.536673008402</v>
      </c>
      <c r="O10" s="48">
        <f t="shared" si="2"/>
        <v>502445.50179667224</v>
      </c>
      <c r="AC10" s="14" t="s">
        <v>899</v>
      </c>
      <c r="AD10" t="s">
        <v>658</v>
      </c>
      <c r="AE10" t="s">
        <v>686</v>
      </c>
      <c r="AF10" s="28">
        <f t="shared" si="0"/>
        <v>176.37835832619746</v>
      </c>
      <c r="AG10" s="28" t="e">
        <f>VLOOKUP(AC10,#REF!, 8,FALSE)*'NET Genset Grounds'!AF10</f>
        <v>#REF!</v>
      </c>
      <c r="AH10" s="28" t="e">
        <f>VLOOKUP(AC10,#REF!, 10,FALSE)*'NET Genset Grounds'!AG10</f>
        <v>#REF!</v>
      </c>
      <c r="AI10" s="28"/>
      <c r="AJ10" s="28" t="e">
        <f>VLOOKUP(AC10,#REF!, 12,FALSE)*'NET Genset Grounds'!AG10</f>
        <v>#REF!</v>
      </c>
      <c r="AK10" s="29" t="e">
        <f t="shared" si="3"/>
        <v>#REF!</v>
      </c>
    </row>
    <row r="11" spans="1:39" s="23" customFormat="1">
      <c r="A11" t="s">
        <v>900</v>
      </c>
      <c r="B11" s="23" t="s">
        <v>1227</v>
      </c>
      <c r="C11" s="23" t="s">
        <v>706</v>
      </c>
      <c r="D11" s="23" t="s">
        <v>1228</v>
      </c>
      <c r="E11" s="23" t="s">
        <v>1190</v>
      </c>
      <c r="F11" s="655">
        <v>0</v>
      </c>
      <c r="G11" s="24" t="s">
        <v>673</v>
      </c>
      <c r="H11" s="47" t="s">
        <v>658</v>
      </c>
      <c r="I11" s="47" t="s">
        <v>686</v>
      </c>
      <c r="J11" s="47">
        <f t="shared" si="1"/>
        <v>0</v>
      </c>
      <c r="K11" s="47">
        <v>0</v>
      </c>
      <c r="L11" s="47">
        <v>0</v>
      </c>
      <c r="M11" s="47">
        <v>0</v>
      </c>
      <c r="N11" s="47">
        <v>0</v>
      </c>
      <c r="O11" s="47">
        <v>0</v>
      </c>
      <c r="AC11" s="27" t="s">
        <v>1229</v>
      </c>
      <c r="AD11" t="s">
        <v>658</v>
      </c>
      <c r="AE11" t="s">
        <v>686</v>
      </c>
      <c r="AF11" s="28" t="e">
        <f t="shared" si="0"/>
        <v>#N/A</v>
      </c>
      <c r="AG11" s="28" t="e">
        <f>VLOOKUP(AC11,#REF!, 8,FALSE)*'NET Genset Grounds'!AF11</f>
        <v>#REF!</v>
      </c>
      <c r="AH11" s="28" t="e">
        <f>VLOOKUP(AC11,#REF!, 10,FALSE)*'NET Genset Grounds'!AG11</f>
        <v>#REF!</v>
      </c>
      <c r="AI11" s="28"/>
      <c r="AJ11" s="28" t="e">
        <f>VLOOKUP(AC11,#REF!, 12,FALSE)*'NET Genset Grounds'!AG11</f>
        <v>#REF!</v>
      </c>
      <c r="AK11" s="29" t="e">
        <f t="shared" si="3"/>
        <v>#REF!</v>
      </c>
      <c r="AL11"/>
      <c r="AM11"/>
    </row>
    <row r="12" spans="1:39" s="23" customFormat="1">
      <c r="A12" t="s">
        <v>901</v>
      </c>
      <c r="B12" s="23" t="s">
        <v>1227</v>
      </c>
      <c r="C12" s="656" t="s">
        <v>707</v>
      </c>
      <c r="D12" s="656" t="s">
        <v>1228</v>
      </c>
      <c r="E12" s="656" t="s">
        <v>1192</v>
      </c>
      <c r="F12" s="655">
        <v>0</v>
      </c>
      <c r="G12" s="24" t="s">
        <v>673</v>
      </c>
      <c r="H12" s="48" t="s">
        <v>658</v>
      </c>
      <c r="I12" s="48" t="s">
        <v>686</v>
      </c>
      <c r="J12" s="48">
        <f t="shared" si="1"/>
        <v>0</v>
      </c>
      <c r="K12" s="48">
        <v>0</v>
      </c>
      <c r="L12" s="48">
        <v>0</v>
      </c>
      <c r="M12" s="48">
        <v>0</v>
      </c>
      <c r="N12" s="48">
        <v>0</v>
      </c>
      <c r="O12" s="48">
        <v>0</v>
      </c>
      <c r="AC12" s="27" t="s">
        <v>1230</v>
      </c>
      <c r="AD12" t="s">
        <v>658</v>
      </c>
      <c r="AE12" t="s">
        <v>686</v>
      </c>
      <c r="AF12" s="28" t="e">
        <f t="shared" si="0"/>
        <v>#N/A</v>
      </c>
      <c r="AG12" s="28" t="e">
        <f>VLOOKUP(AC12,#REF!, 8,FALSE)*'NET Genset Grounds'!AF12</f>
        <v>#REF!</v>
      </c>
      <c r="AH12" s="28" t="e">
        <f>VLOOKUP(AC12,#REF!, 10,FALSE)*'NET Genset Grounds'!AG12</f>
        <v>#REF!</v>
      </c>
      <c r="AI12" s="28"/>
      <c r="AJ12" s="28" t="e">
        <f>VLOOKUP(AC12,#REF!, 12,FALSE)*'NET Genset Grounds'!AG12</f>
        <v>#REF!</v>
      </c>
      <c r="AK12" s="29" t="e">
        <f t="shared" si="3"/>
        <v>#REF!</v>
      </c>
      <c r="AL12"/>
      <c r="AM12"/>
    </row>
    <row r="13" spans="1:39">
      <c r="A13" t="s">
        <v>902</v>
      </c>
      <c r="B13" t="s">
        <v>1227</v>
      </c>
      <c r="C13" t="s">
        <v>712</v>
      </c>
      <c r="D13" t="s">
        <v>1228</v>
      </c>
      <c r="E13" t="s">
        <v>1189</v>
      </c>
      <c r="F13" s="655">
        <v>0</v>
      </c>
      <c r="G13" s="1" t="s">
        <v>673</v>
      </c>
      <c r="H13" s="47" t="s">
        <v>658</v>
      </c>
      <c r="I13" s="47" t="s">
        <v>686</v>
      </c>
      <c r="J13" s="47">
        <f t="shared" si="1"/>
        <v>0</v>
      </c>
      <c r="K13" s="47">
        <f>VLOOKUP(A13,'GHG Factors FY21'!A:L,8,FALSE)*J13</f>
        <v>0</v>
      </c>
      <c r="L13" s="47">
        <f>VLOOKUP(A13,'GHG Factors FY21'!A:L,10,FALSE)*K13</f>
        <v>0</v>
      </c>
      <c r="M13" s="47">
        <f>VLOOKUP(A13,'GHG Factors FY21'!A:L,11,FALSE)*K13</f>
        <v>0</v>
      </c>
      <c r="N13" s="47">
        <f>VLOOKUP(A13,'GHG Factors FY21'!A:L,12,FALSE)*K13</f>
        <v>0</v>
      </c>
      <c r="O13" s="47">
        <f t="shared" si="2"/>
        <v>0</v>
      </c>
      <c r="AC13" s="27" t="s">
        <v>1231</v>
      </c>
      <c r="AD13" t="s">
        <v>658</v>
      </c>
      <c r="AE13" t="s">
        <v>686</v>
      </c>
      <c r="AF13" s="28" t="e">
        <f t="shared" si="0"/>
        <v>#N/A</v>
      </c>
      <c r="AG13" s="28" t="e">
        <f>VLOOKUP(AC13,#REF!, 8,FALSE)*'NET Genset Grounds'!AF13</f>
        <v>#REF!</v>
      </c>
      <c r="AH13" s="28" t="e">
        <f>VLOOKUP(AC13,#REF!, 10,FALSE)*'NET Genset Grounds'!AG13</f>
        <v>#REF!</v>
      </c>
      <c r="AI13" s="28"/>
      <c r="AJ13" s="28" t="e">
        <f>VLOOKUP(AC13,#REF!, 12,FALSE)*'NET Genset Grounds'!AG13</f>
        <v>#REF!</v>
      </c>
      <c r="AK13" s="29" t="e">
        <f t="shared" si="3"/>
        <v>#REF!</v>
      </c>
    </row>
    <row r="14" spans="1:39" s="23" customFormat="1">
      <c r="A14" t="s">
        <v>903</v>
      </c>
      <c r="B14" s="23" t="s">
        <v>1227</v>
      </c>
      <c r="C14" s="23" t="s">
        <v>709</v>
      </c>
      <c r="D14" s="23" t="s">
        <v>1228</v>
      </c>
      <c r="E14" s="23" t="s">
        <v>1210</v>
      </c>
      <c r="F14" s="655">
        <v>0</v>
      </c>
      <c r="G14" s="24" t="s">
        <v>673</v>
      </c>
      <c r="H14" s="48" t="s">
        <v>658</v>
      </c>
      <c r="I14" s="48" t="s">
        <v>686</v>
      </c>
      <c r="J14" s="48">
        <f t="shared" si="1"/>
        <v>0</v>
      </c>
      <c r="K14" s="48">
        <v>0</v>
      </c>
      <c r="L14" s="48">
        <v>0</v>
      </c>
      <c r="M14" s="48">
        <v>0</v>
      </c>
      <c r="N14" s="48">
        <v>0</v>
      </c>
      <c r="O14" s="48">
        <v>0</v>
      </c>
      <c r="AC14" s="27" t="s">
        <v>1232</v>
      </c>
      <c r="AD14" t="s">
        <v>658</v>
      </c>
      <c r="AE14" t="s">
        <v>686</v>
      </c>
      <c r="AF14" s="28" t="e">
        <f t="shared" si="0"/>
        <v>#N/A</v>
      </c>
      <c r="AG14" s="28" t="e">
        <f>VLOOKUP(AC14,#REF!, 8,FALSE)*'NET Genset Grounds'!AF14</f>
        <v>#REF!</v>
      </c>
      <c r="AH14" s="28" t="e">
        <f>VLOOKUP(AC14,#REF!, 10,FALSE)*'NET Genset Grounds'!AG14</f>
        <v>#REF!</v>
      </c>
      <c r="AI14" s="28"/>
      <c r="AJ14" s="28" t="e">
        <f>VLOOKUP(AC14,#REF!, 12,FALSE)*'NET Genset Grounds'!AG14</f>
        <v>#REF!</v>
      </c>
      <c r="AK14" s="29" t="e">
        <f t="shared" si="3"/>
        <v>#REF!</v>
      </c>
      <c r="AL14"/>
      <c r="AM14"/>
    </row>
    <row r="15" spans="1:39">
      <c r="A15" t="s">
        <v>904</v>
      </c>
      <c r="B15" t="s">
        <v>1227</v>
      </c>
      <c r="C15" t="s">
        <v>713</v>
      </c>
      <c r="D15" t="s">
        <v>1228</v>
      </c>
      <c r="E15" t="s">
        <v>1216</v>
      </c>
      <c r="F15" s="655">
        <v>0</v>
      </c>
      <c r="G15" s="1" t="s">
        <v>673</v>
      </c>
      <c r="H15" s="47" t="s">
        <v>658</v>
      </c>
      <c r="I15" s="47" t="s">
        <v>686</v>
      </c>
      <c r="J15" s="47">
        <f t="shared" si="1"/>
        <v>0</v>
      </c>
      <c r="K15" s="47">
        <f>VLOOKUP(A15,'GHG Factors FY21'!A:L,8,FALSE)*J15</f>
        <v>0</v>
      </c>
      <c r="L15" s="47">
        <f>VLOOKUP(A15,'GHG Factors FY21'!A:L,10,FALSE)*K15</f>
        <v>0</v>
      </c>
      <c r="M15" s="47">
        <f>VLOOKUP(A15,'GHG Factors FY21'!A:L,11,FALSE)*K15</f>
        <v>0</v>
      </c>
      <c r="N15" s="47">
        <f>VLOOKUP(A15,'GHG Factors FY21'!A:L,12,FALSE)*K15</f>
        <v>0</v>
      </c>
      <c r="O15" s="47">
        <f t="shared" si="2"/>
        <v>0</v>
      </c>
      <c r="AC15" s="14" t="s">
        <v>905</v>
      </c>
      <c r="AD15" t="s">
        <v>658</v>
      </c>
      <c r="AE15" t="s">
        <v>686</v>
      </c>
      <c r="AF15" s="28">
        <f t="shared" si="0"/>
        <v>0</v>
      </c>
      <c r="AG15" s="28" t="e">
        <f>VLOOKUP(AC15,#REF!, 8,FALSE)*'NET Genset Grounds'!AF15</f>
        <v>#REF!</v>
      </c>
      <c r="AH15" s="28" t="e">
        <f>VLOOKUP(AC15,#REF!, 10,FALSE)*'NET Genset Grounds'!AG15</f>
        <v>#REF!</v>
      </c>
      <c r="AI15" s="28"/>
      <c r="AJ15" s="28" t="e">
        <f>VLOOKUP(AC15,#REF!, 12,FALSE)*'NET Genset Grounds'!AG15</f>
        <v>#REF!</v>
      </c>
      <c r="AK15" s="29" t="e">
        <f t="shared" si="3"/>
        <v>#REF!</v>
      </c>
    </row>
    <row r="16" spans="1:39">
      <c r="A16" t="s">
        <v>905</v>
      </c>
      <c r="B16" t="s">
        <v>1227</v>
      </c>
      <c r="C16" t="s">
        <v>710</v>
      </c>
      <c r="D16" t="s">
        <v>1228</v>
      </c>
      <c r="E16" t="s">
        <v>1193</v>
      </c>
      <c r="F16" s="655">
        <v>0</v>
      </c>
      <c r="G16" s="1" t="s">
        <v>673</v>
      </c>
      <c r="H16" s="48" t="s">
        <v>658</v>
      </c>
      <c r="I16" s="48" t="s">
        <v>686</v>
      </c>
      <c r="J16" s="48">
        <f t="shared" si="1"/>
        <v>0</v>
      </c>
      <c r="K16" s="48">
        <f>VLOOKUP(A16,'GHG Factors FY21'!A:L,8,FALSE)*J16</f>
        <v>0</v>
      </c>
      <c r="L16" s="48">
        <f>VLOOKUP(A16,'GHG Factors FY21'!A:L,10,FALSE)*K16</f>
        <v>0</v>
      </c>
      <c r="M16" s="48">
        <f>VLOOKUP(A16,'GHG Factors FY21'!A:L,11,FALSE)*K16</f>
        <v>0</v>
      </c>
      <c r="N16" s="48">
        <f>VLOOKUP(A16,'GHG Factors FY21'!A:L,12,FALSE)*K16</f>
        <v>0</v>
      </c>
      <c r="O16" s="48">
        <f t="shared" si="2"/>
        <v>0</v>
      </c>
      <c r="AC16" s="27" t="s">
        <v>1233</v>
      </c>
      <c r="AD16" t="s">
        <v>658</v>
      </c>
      <c r="AE16" t="s">
        <v>686</v>
      </c>
      <c r="AF16" s="28" t="e">
        <f t="shared" si="0"/>
        <v>#N/A</v>
      </c>
      <c r="AG16" s="28" t="e">
        <f>VLOOKUP(AC16,#REF!, 8,FALSE)*'NET Genset Grounds'!AF16</f>
        <v>#REF!</v>
      </c>
      <c r="AH16" s="28" t="e">
        <f>VLOOKUP(AC16,#REF!, 10,FALSE)*'NET Genset Grounds'!AG16</f>
        <v>#REF!</v>
      </c>
      <c r="AI16" s="28"/>
      <c r="AJ16" s="28" t="e">
        <f>VLOOKUP(AC16,#REF!, 12,FALSE)*'NET Genset Grounds'!AG16</f>
        <v>#REF!</v>
      </c>
      <c r="AK16" s="29" t="e">
        <f t="shared" si="3"/>
        <v>#REF!</v>
      </c>
    </row>
    <row r="17" spans="1:39" s="23" customFormat="1">
      <c r="A17" t="s">
        <v>906</v>
      </c>
      <c r="B17" s="23" t="s">
        <v>1227</v>
      </c>
      <c r="C17" s="23" t="s">
        <v>711</v>
      </c>
      <c r="D17" s="23" t="s">
        <v>1228</v>
      </c>
      <c r="E17" s="23" t="s">
        <v>1213</v>
      </c>
      <c r="F17" s="655">
        <v>0</v>
      </c>
      <c r="G17" s="24" t="s">
        <v>673</v>
      </c>
      <c r="H17" s="47" t="s">
        <v>658</v>
      </c>
      <c r="I17" s="47" t="s">
        <v>686</v>
      </c>
      <c r="J17" s="47">
        <f t="shared" si="1"/>
        <v>0</v>
      </c>
      <c r="K17" s="47">
        <v>0</v>
      </c>
      <c r="L17" s="47">
        <v>0</v>
      </c>
      <c r="M17" s="47">
        <v>0</v>
      </c>
      <c r="N17" s="47">
        <v>0</v>
      </c>
      <c r="O17" s="47">
        <v>0</v>
      </c>
      <c r="AC17" s="14" t="s">
        <v>902</v>
      </c>
      <c r="AD17" t="s">
        <v>658</v>
      </c>
      <c r="AE17" t="s">
        <v>686</v>
      </c>
      <c r="AF17" s="28">
        <f t="shared" si="0"/>
        <v>0</v>
      </c>
      <c r="AG17" s="28" t="e">
        <f>VLOOKUP(AC17,#REF!, 8,FALSE)*'NET Genset Grounds'!AF17</f>
        <v>#REF!</v>
      </c>
      <c r="AH17" s="28" t="e">
        <f>VLOOKUP(AC17,#REF!, 10,FALSE)*'NET Genset Grounds'!AG17</f>
        <v>#REF!</v>
      </c>
      <c r="AI17" s="28"/>
      <c r="AJ17" s="28" t="e">
        <f>VLOOKUP(AC17,#REF!, 12,FALSE)*'NET Genset Grounds'!AG17</f>
        <v>#REF!</v>
      </c>
      <c r="AK17" s="29" t="e">
        <f t="shared" si="3"/>
        <v>#REF!</v>
      </c>
      <c r="AL17"/>
      <c r="AM17" s="244">
        <f>AF17*1000</f>
        <v>0</v>
      </c>
    </row>
    <row r="18" spans="1:39" s="23" customFormat="1">
      <c r="A18" t="s">
        <v>907</v>
      </c>
      <c r="B18" s="23" t="s">
        <v>1227</v>
      </c>
      <c r="C18" s="23" t="s">
        <v>708</v>
      </c>
      <c r="D18" s="23" t="s">
        <v>1228</v>
      </c>
      <c r="E18" s="23" t="s">
        <v>1208</v>
      </c>
      <c r="F18" s="655">
        <v>0</v>
      </c>
      <c r="G18" s="24" t="s">
        <v>673</v>
      </c>
      <c r="H18" s="48" t="s">
        <v>658</v>
      </c>
      <c r="I18" s="48" t="s">
        <v>686</v>
      </c>
      <c r="J18" s="48">
        <f t="shared" si="1"/>
        <v>0</v>
      </c>
      <c r="K18" s="48">
        <v>0</v>
      </c>
      <c r="L18" s="48">
        <v>0</v>
      </c>
      <c r="M18" s="48">
        <v>0</v>
      </c>
      <c r="N18" s="48">
        <v>0</v>
      </c>
      <c r="O18" s="48">
        <v>0</v>
      </c>
      <c r="AC18" s="14" t="s">
        <v>904</v>
      </c>
      <c r="AD18" t="s">
        <v>658</v>
      </c>
      <c r="AE18" t="s">
        <v>686</v>
      </c>
      <c r="AF18" s="28">
        <f t="shared" si="0"/>
        <v>0</v>
      </c>
      <c r="AG18" s="28" t="e">
        <f>VLOOKUP(AC18,#REF!, 8,FALSE)*'NET Genset Grounds'!AF18</f>
        <v>#REF!</v>
      </c>
      <c r="AH18" s="28" t="e">
        <f>VLOOKUP(AC18,#REF!, 10,FALSE)*'NET Genset Grounds'!AG18</f>
        <v>#REF!</v>
      </c>
      <c r="AI18" s="28"/>
      <c r="AJ18" s="28" t="e">
        <f>VLOOKUP(AC18,#REF!, 12,FALSE)*'NET Genset Grounds'!AG18</f>
        <v>#REF!</v>
      </c>
      <c r="AK18" s="29" t="e">
        <f t="shared" si="3"/>
        <v>#REF!</v>
      </c>
      <c r="AL18"/>
      <c r="AM18" s="244">
        <f t="shared" ref="AM18:AM26" si="4">AF18*1000</f>
        <v>0</v>
      </c>
    </row>
    <row r="19" spans="1:39">
      <c r="A19" t="s">
        <v>908</v>
      </c>
      <c r="B19" t="s">
        <v>1227</v>
      </c>
      <c r="C19" t="s">
        <v>706</v>
      </c>
      <c r="D19" t="s">
        <v>1234</v>
      </c>
      <c r="E19" t="s">
        <v>1190</v>
      </c>
      <c r="F19" s="655">
        <v>0</v>
      </c>
      <c r="G19" s="1" t="s">
        <v>673</v>
      </c>
      <c r="H19" s="47" t="s">
        <v>658</v>
      </c>
      <c r="I19" s="47" t="s">
        <v>686</v>
      </c>
      <c r="J19" s="47">
        <f t="shared" si="1"/>
        <v>0</v>
      </c>
      <c r="K19" s="47">
        <f>VLOOKUP(A19,'GHG Factors FY21'!A:L,8,FALSE)*J19</f>
        <v>0</v>
      </c>
      <c r="L19" s="47">
        <f>VLOOKUP(A19,'GHG Factors FY21'!A:L,10,FALSE)*K19</f>
        <v>0</v>
      </c>
      <c r="M19" s="47">
        <f>VLOOKUP(A19,'GHG Factors FY21'!A:L,11,FALSE)*K19</f>
        <v>0</v>
      </c>
      <c r="N19" s="47">
        <f>VLOOKUP(A19,'GHG Factors FY21'!A:L,12,FALSE)*K19</f>
        <v>0</v>
      </c>
      <c r="O19" s="47">
        <f t="shared" si="2"/>
        <v>0</v>
      </c>
      <c r="AC19" s="14" t="s">
        <v>908</v>
      </c>
      <c r="AD19" t="s">
        <v>658</v>
      </c>
      <c r="AE19" t="s">
        <v>686</v>
      </c>
      <c r="AF19" s="28">
        <f t="shared" si="0"/>
        <v>0</v>
      </c>
      <c r="AG19" s="28" t="e">
        <f>VLOOKUP(AC19,#REF!, 8,FALSE)*'NET Genset Grounds'!AF19</f>
        <v>#REF!</v>
      </c>
      <c r="AH19" s="28" t="e">
        <f>VLOOKUP(AC19,#REF!, 10,FALSE)*'NET Genset Grounds'!AG19</f>
        <v>#REF!</v>
      </c>
      <c r="AI19" s="28"/>
      <c r="AJ19" s="28" t="e">
        <f>VLOOKUP(AC19,#REF!, 12,FALSE)*'NET Genset Grounds'!AG19</f>
        <v>#REF!</v>
      </c>
      <c r="AK19" s="29" t="e">
        <f t="shared" si="3"/>
        <v>#REF!</v>
      </c>
      <c r="AM19" s="244">
        <f t="shared" si="4"/>
        <v>0</v>
      </c>
    </row>
    <row r="20" spans="1:39">
      <c r="A20" t="s">
        <v>909</v>
      </c>
      <c r="B20" t="s">
        <v>1227</v>
      </c>
      <c r="C20" t="s">
        <v>707</v>
      </c>
      <c r="D20" t="s">
        <v>1234</v>
      </c>
      <c r="E20" t="s">
        <v>1192</v>
      </c>
      <c r="F20" s="655">
        <v>0</v>
      </c>
      <c r="G20" s="1" t="s">
        <v>673</v>
      </c>
      <c r="H20" s="48" t="s">
        <v>658</v>
      </c>
      <c r="I20" s="48" t="s">
        <v>686</v>
      </c>
      <c r="J20" s="48">
        <f t="shared" si="1"/>
        <v>0</v>
      </c>
      <c r="K20" s="48">
        <f>VLOOKUP(A20,'GHG Factors FY21'!A:L,8,FALSE)*J20</f>
        <v>0</v>
      </c>
      <c r="L20" s="48">
        <f>VLOOKUP(A20,'GHG Factors FY21'!A:L,10,FALSE)*K20</f>
        <v>0</v>
      </c>
      <c r="M20" s="48">
        <f>VLOOKUP(A20,'GHG Factors FY21'!A:L,11,FALSE)*K20</f>
        <v>0</v>
      </c>
      <c r="N20" s="48">
        <f>VLOOKUP(A20,'GHG Factors FY21'!A:L,12,FALSE)*K20</f>
        <v>0</v>
      </c>
      <c r="O20" s="48">
        <f t="shared" si="2"/>
        <v>0</v>
      </c>
      <c r="AC20" s="14" t="s">
        <v>909</v>
      </c>
      <c r="AD20" t="s">
        <v>658</v>
      </c>
      <c r="AE20" t="s">
        <v>686</v>
      </c>
      <c r="AF20" s="28">
        <f t="shared" si="0"/>
        <v>0</v>
      </c>
      <c r="AG20" s="28" t="e">
        <f>VLOOKUP(AC20,#REF!, 8,FALSE)*'NET Genset Grounds'!AF20</f>
        <v>#REF!</v>
      </c>
      <c r="AH20" s="28" t="e">
        <f>VLOOKUP(AC20,#REF!, 10,FALSE)*'NET Genset Grounds'!AG20</f>
        <v>#REF!</v>
      </c>
      <c r="AI20" s="28"/>
      <c r="AJ20" s="28" t="e">
        <f>VLOOKUP(AC20,#REF!, 12,FALSE)*'NET Genset Grounds'!AG20</f>
        <v>#REF!</v>
      </c>
      <c r="AK20" s="29" t="e">
        <f t="shared" si="3"/>
        <v>#REF!</v>
      </c>
      <c r="AM20" s="244">
        <f t="shared" si="4"/>
        <v>0</v>
      </c>
    </row>
    <row r="21" spans="1:39">
      <c r="A21" t="s">
        <v>910</v>
      </c>
      <c r="B21" t="s">
        <v>1227</v>
      </c>
      <c r="C21" t="s">
        <v>708</v>
      </c>
      <c r="D21" t="s">
        <v>1234</v>
      </c>
      <c r="E21" t="s">
        <v>1208</v>
      </c>
      <c r="F21" s="655">
        <v>0</v>
      </c>
      <c r="G21" s="1" t="s">
        <v>673</v>
      </c>
      <c r="H21" s="47" t="s">
        <v>658</v>
      </c>
      <c r="I21" s="47" t="s">
        <v>686</v>
      </c>
      <c r="J21" s="47">
        <f t="shared" si="1"/>
        <v>0</v>
      </c>
      <c r="K21" s="47">
        <f>VLOOKUP(A21,'GHG Factors FY21'!A:L,8,FALSE)*J21</f>
        <v>0</v>
      </c>
      <c r="L21" s="47">
        <f>VLOOKUP(A21,'GHG Factors FY21'!A:L,10,FALSE)*K21</f>
        <v>0</v>
      </c>
      <c r="M21" s="47">
        <f>VLOOKUP(A21,'GHG Factors FY21'!A:L,11,FALSE)*K21</f>
        <v>0</v>
      </c>
      <c r="N21" s="47">
        <f>VLOOKUP(A21,'GHG Factors FY21'!A:L,12,FALSE)*K21</f>
        <v>0</v>
      </c>
      <c r="O21" s="47">
        <f t="shared" si="2"/>
        <v>0</v>
      </c>
      <c r="AC21" s="14" t="s">
        <v>910</v>
      </c>
      <c r="AD21" t="s">
        <v>658</v>
      </c>
      <c r="AE21" t="s">
        <v>686</v>
      </c>
      <c r="AF21" s="28">
        <f t="shared" si="0"/>
        <v>0</v>
      </c>
      <c r="AG21" s="28" t="e">
        <f>VLOOKUP(AC21,#REF!, 8,FALSE)*'NET Genset Grounds'!AF21</f>
        <v>#REF!</v>
      </c>
      <c r="AH21" s="28" t="e">
        <f>VLOOKUP(AC21,#REF!, 10,FALSE)*'NET Genset Grounds'!AG21</f>
        <v>#REF!</v>
      </c>
      <c r="AI21" s="28"/>
      <c r="AJ21" s="28" t="e">
        <f>VLOOKUP(AC21,#REF!, 12,FALSE)*'NET Genset Grounds'!AG21</f>
        <v>#REF!</v>
      </c>
      <c r="AK21" s="29" t="e">
        <f t="shared" si="3"/>
        <v>#REF!</v>
      </c>
      <c r="AM21" s="244">
        <f t="shared" si="4"/>
        <v>0</v>
      </c>
    </row>
    <row r="22" spans="1:39">
      <c r="A22" t="s">
        <v>911</v>
      </c>
      <c r="B22" t="s">
        <v>1227</v>
      </c>
      <c r="C22" t="s">
        <v>709</v>
      </c>
      <c r="D22" t="s">
        <v>1234</v>
      </c>
      <c r="E22" t="s">
        <v>1210</v>
      </c>
      <c r="F22" s="655">
        <v>0</v>
      </c>
      <c r="G22" s="1" t="s">
        <v>673</v>
      </c>
      <c r="H22" s="48" t="s">
        <v>658</v>
      </c>
      <c r="I22" s="48" t="s">
        <v>686</v>
      </c>
      <c r="J22" s="48">
        <f t="shared" si="1"/>
        <v>0</v>
      </c>
      <c r="K22" s="48">
        <f>VLOOKUP(A22,'GHG Factors FY21'!A:L,8,FALSE)*J22</f>
        <v>0</v>
      </c>
      <c r="L22" s="48">
        <f>VLOOKUP(A22,'GHG Factors FY21'!A:L,10,FALSE)*K22</f>
        <v>0</v>
      </c>
      <c r="M22" s="48">
        <f>VLOOKUP(A22,'GHG Factors FY21'!A:L,11,FALSE)*K22</f>
        <v>0</v>
      </c>
      <c r="N22" s="48">
        <f>VLOOKUP(A22,'GHG Factors FY21'!A:L,12,FALSE)*K22</f>
        <v>0</v>
      </c>
      <c r="O22" s="48">
        <f t="shared" si="2"/>
        <v>0</v>
      </c>
      <c r="AC22" s="14" t="s">
        <v>911</v>
      </c>
      <c r="AD22" t="s">
        <v>658</v>
      </c>
      <c r="AE22" t="s">
        <v>686</v>
      </c>
      <c r="AF22" s="28">
        <f t="shared" si="0"/>
        <v>0</v>
      </c>
      <c r="AG22" s="28" t="e">
        <f>VLOOKUP(AC22,#REF!, 8,FALSE)*'NET Genset Grounds'!AF22</f>
        <v>#REF!</v>
      </c>
      <c r="AH22" s="28" t="e">
        <f>VLOOKUP(AC22,#REF!, 10,FALSE)*'NET Genset Grounds'!AG22</f>
        <v>#REF!</v>
      </c>
      <c r="AI22" s="28"/>
      <c r="AJ22" s="28" t="e">
        <f>VLOOKUP(AC22,#REF!, 12,FALSE)*'NET Genset Grounds'!AG22</f>
        <v>#REF!</v>
      </c>
      <c r="AK22" s="29" t="e">
        <f t="shared" si="3"/>
        <v>#REF!</v>
      </c>
      <c r="AM22" s="244">
        <f t="shared" si="4"/>
        <v>0</v>
      </c>
    </row>
    <row r="23" spans="1:39">
      <c r="A23" t="s">
        <v>912</v>
      </c>
      <c r="B23" t="s">
        <v>1227</v>
      </c>
      <c r="C23" t="s">
        <v>710</v>
      </c>
      <c r="D23" t="s">
        <v>1234</v>
      </c>
      <c r="E23" t="s">
        <v>1193</v>
      </c>
      <c r="F23" s="655">
        <v>0</v>
      </c>
      <c r="G23" s="1" t="s">
        <v>673</v>
      </c>
      <c r="H23" s="47" t="s">
        <v>658</v>
      </c>
      <c r="I23" s="47" t="s">
        <v>686</v>
      </c>
      <c r="J23" s="47">
        <f t="shared" si="1"/>
        <v>0</v>
      </c>
      <c r="K23" s="47">
        <f>VLOOKUP(A23,'GHG Factors FY21'!A:L,8,FALSE)*J23</f>
        <v>0</v>
      </c>
      <c r="L23" s="47">
        <f>VLOOKUP(A23,'GHG Factors FY21'!A:L,10,FALSE)*K23</f>
        <v>0</v>
      </c>
      <c r="M23" s="47">
        <f>VLOOKUP(A23,'GHG Factors FY21'!A:L,11,FALSE)*K23</f>
        <v>0</v>
      </c>
      <c r="N23" s="47">
        <f>VLOOKUP(A23,'GHG Factors FY21'!A:L,12,FALSE)*K23</f>
        <v>0</v>
      </c>
      <c r="O23" s="47">
        <f t="shared" si="2"/>
        <v>0</v>
      </c>
      <c r="AC23" s="14" t="s">
        <v>912</v>
      </c>
      <c r="AD23" t="s">
        <v>658</v>
      </c>
      <c r="AE23" t="s">
        <v>686</v>
      </c>
      <c r="AF23" s="28">
        <f t="shared" si="0"/>
        <v>0</v>
      </c>
      <c r="AG23" s="28" t="e">
        <f>VLOOKUP(AC23,#REF!, 8,FALSE)*'NET Genset Grounds'!AF23</f>
        <v>#REF!</v>
      </c>
      <c r="AH23" s="28" t="e">
        <f>VLOOKUP(AC23,#REF!, 10,FALSE)*'NET Genset Grounds'!AG23</f>
        <v>#REF!</v>
      </c>
      <c r="AI23" s="28"/>
      <c r="AJ23" s="28" t="e">
        <f>VLOOKUP(AC23,#REF!, 12,FALSE)*'NET Genset Grounds'!AG23</f>
        <v>#REF!</v>
      </c>
      <c r="AK23" s="29" t="e">
        <f t="shared" si="3"/>
        <v>#REF!</v>
      </c>
      <c r="AM23" s="244">
        <f t="shared" si="4"/>
        <v>0</v>
      </c>
    </row>
    <row r="24" spans="1:39">
      <c r="A24" t="s">
        <v>913</v>
      </c>
      <c r="B24" t="s">
        <v>1227</v>
      </c>
      <c r="C24" t="s">
        <v>711</v>
      </c>
      <c r="D24" t="s">
        <v>1234</v>
      </c>
      <c r="E24" t="s">
        <v>1213</v>
      </c>
      <c r="F24" s="655">
        <v>0</v>
      </c>
      <c r="G24" s="1" t="s">
        <v>673</v>
      </c>
      <c r="H24" s="48" t="s">
        <v>658</v>
      </c>
      <c r="I24" s="48" t="s">
        <v>686</v>
      </c>
      <c r="J24" s="48">
        <f t="shared" si="1"/>
        <v>0</v>
      </c>
      <c r="K24" s="48">
        <f>VLOOKUP(A24,'GHG Factors FY21'!A:L,8,FALSE)*J24</f>
        <v>0</v>
      </c>
      <c r="L24" s="48">
        <f>VLOOKUP(A24,'GHG Factors FY21'!A:L,10,FALSE)*K24</f>
        <v>0</v>
      </c>
      <c r="M24" s="48">
        <f>VLOOKUP(A24,'GHG Factors FY21'!A:L,11,FALSE)*K24</f>
        <v>0</v>
      </c>
      <c r="N24" s="48">
        <f>VLOOKUP(A24,'GHG Factors FY21'!A:L,12,FALSE)*K24</f>
        <v>0</v>
      </c>
      <c r="O24" s="48">
        <f t="shared" si="2"/>
        <v>0</v>
      </c>
      <c r="AC24" s="14" t="s">
        <v>913</v>
      </c>
      <c r="AD24" t="s">
        <v>658</v>
      </c>
      <c r="AE24" t="s">
        <v>686</v>
      </c>
      <c r="AF24" s="28">
        <f t="shared" si="0"/>
        <v>0</v>
      </c>
      <c r="AG24" s="28" t="e">
        <f>VLOOKUP(AC24,#REF!, 8,FALSE)*'NET Genset Grounds'!AF24</f>
        <v>#REF!</v>
      </c>
      <c r="AH24" s="28" t="e">
        <f>VLOOKUP(AC24,#REF!, 10,FALSE)*'NET Genset Grounds'!AG24</f>
        <v>#REF!</v>
      </c>
      <c r="AI24" s="28"/>
      <c r="AJ24" s="28" t="e">
        <f>VLOOKUP(AC24,#REF!, 12,FALSE)*'NET Genset Grounds'!AG24</f>
        <v>#REF!</v>
      </c>
      <c r="AK24" s="29" t="e">
        <f t="shared" si="3"/>
        <v>#REF!</v>
      </c>
      <c r="AM24" s="244">
        <f t="shared" si="4"/>
        <v>0</v>
      </c>
    </row>
    <row r="25" spans="1:39">
      <c r="A25" t="s">
        <v>914</v>
      </c>
      <c r="B25" t="s">
        <v>1227</v>
      </c>
      <c r="C25" t="s">
        <v>712</v>
      </c>
      <c r="D25" t="s">
        <v>1234</v>
      </c>
      <c r="E25" t="s">
        <v>1189</v>
      </c>
      <c r="F25" s="655">
        <v>0</v>
      </c>
      <c r="G25" s="1" t="s">
        <v>673</v>
      </c>
      <c r="H25" s="47" t="s">
        <v>658</v>
      </c>
      <c r="I25" s="47" t="s">
        <v>686</v>
      </c>
      <c r="J25" s="47">
        <f t="shared" si="1"/>
        <v>0</v>
      </c>
      <c r="K25" s="47">
        <f>VLOOKUP(A25,'GHG Factors FY21'!A:L,8,FALSE)*J25</f>
        <v>0</v>
      </c>
      <c r="L25" s="47">
        <f>VLOOKUP(A25,'GHG Factors FY21'!A:L,10,FALSE)*K25</f>
        <v>0</v>
      </c>
      <c r="M25" s="47">
        <f>VLOOKUP(A25,'GHG Factors FY21'!A:L,11,FALSE)*K25</f>
        <v>0</v>
      </c>
      <c r="N25" s="47">
        <f>VLOOKUP(A25,'GHG Factors FY21'!A:L,12,FALSE)*K25</f>
        <v>0</v>
      </c>
      <c r="O25" s="47">
        <f t="shared" si="2"/>
        <v>0</v>
      </c>
      <c r="AC25" s="14" t="s">
        <v>914</v>
      </c>
      <c r="AD25" t="s">
        <v>658</v>
      </c>
      <c r="AE25" t="s">
        <v>686</v>
      </c>
      <c r="AF25" s="28">
        <f t="shared" si="0"/>
        <v>0</v>
      </c>
      <c r="AG25" s="28" t="e">
        <f>VLOOKUP(AC25,#REF!, 8,FALSE)*'NET Genset Grounds'!AF25</f>
        <v>#REF!</v>
      </c>
      <c r="AH25" s="28" t="e">
        <f>VLOOKUP(AC25,#REF!, 10,FALSE)*'NET Genset Grounds'!AG25</f>
        <v>#REF!</v>
      </c>
      <c r="AI25" s="28"/>
      <c r="AJ25" s="28" t="e">
        <f>VLOOKUP(AC25,#REF!, 12,FALSE)*'NET Genset Grounds'!AG25</f>
        <v>#REF!</v>
      </c>
      <c r="AK25" s="29" t="e">
        <f t="shared" si="3"/>
        <v>#REF!</v>
      </c>
      <c r="AM25" s="244">
        <f t="shared" si="4"/>
        <v>0</v>
      </c>
    </row>
    <row r="26" spans="1:39">
      <c r="A26" t="s">
        <v>915</v>
      </c>
      <c r="B26" t="s">
        <v>1227</v>
      </c>
      <c r="C26" t="s">
        <v>713</v>
      </c>
      <c r="D26" t="s">
        <v>1234</v>
      </c>
      <c r="E26" t="s">
        <v>1216</v>
      </c>
      <c r="F26" s="655">
        <v>0</v>
      </c>
      <c r="G26" s="1" t="s">
        <v>673</v>
      </c>
      <c r="H26" s="48" t="s">
        <v>658</v>
      </c>
      <c r="I26" s="48" t="s">
        <v>686</v>
      </c>
      <c r="J26" s="48">
        <f t="shared" si="1"/>
        <v>0</v>
      </c>
      <c r="K26" s="48">
        <f>VLOOKUP(A26,'GHG Factors FY21'!A:L,8,FALSE)*J26</f>
        <v>0</v>
      </c>
      <c r="L26" s="48">
        <f>VLOOKUP(A26,'GHG Factors FY21'!A:L,10,FALSE)*K26</f>
        <v>0</v>
      </c>
      <c r="M26" s="48">
        <f>VLOOKUP(A26,'GHG Factors FY21'!A:L,11,FALSE)*K26</f>
        <v>0</v>
      </c>
      <c r="N26" s="48">
        <f>VLOOKUP(A26,'GHG Factors FY21'!A:L,12,FALSE)*K26</f>
        <v>0</v>
      </c>
      <c r="O26" s="48">
        <f t="shared" si="2"/>
        <v>0</v>
      </c>
      <c r="AC26" s="14" t="s">
        <v>915</v>
      </c>
      <c r="AD26" t="s">
        <v>658</v>
      </c>
      <c r="AE26" t="s">
        <v>686</v>
      </c>
      <c r="AF26" s="28">
        <f t="shared" si="0"/>
        <v>0</v>
      </c>
      <c r="AG26" s="28" t="e">
        <f>VLOOKUP(AC26,#REF!, 8,FALSE)*'NET Genset Grounds'!AF26</f>
        <v>#REF!</v>
      </c>
      <c r="AH26" s="28" t="e">
        <f>VLOOKUP(AC26,#REF!, 10,FALSE)*'NET Genset Grounds'!AG26</f>
        <v>#REF!</v>
      </c>
      <c r="AI26" s="28"/>
      <c r="AJ26" s="28" t="e">
        <f>VLOOKUP(AC26,#REF!, 12,FALSE)*'NET Genset Grounds'!AG26</f>
        <v>#REF!</v>
      </c>
      <c r="AK26" s="29" t="e">
        <f t="shared" si="3"/>
        <v>#REF!</v>
      </c>
      <c r="AM26" s="244">
        <f t="shared" si="4"/>
        <v>0</v>
      </c>
    </row>
    <row r="27" spans="1:39">
      <c r="A27" t="s">
        <v>916</v>
      </c>
      <c r="B27" t="s">
        <v>1235</v>
      </c>
      <c r="C27" t="s">
        <v>706</v>
      </c>
      <c r="D27" t="s">
        <v>35</v>
      </c>
      <c r="E27" t="s">
        <v>1190</v>
      </c>
      <c r="F27" s="655">
        <v>0</v>
      </c>
      <c r="G27" s="1" t="s">
        <v>673</v>
      </c>
      <c r="H27" s="47" t="s">
        <v>658</v>
      </c>
      <c r="I27" s="47" t="s">
        <v>686</v>
      </c>
      <c r="J27" s="47">
        <f t="shared" si="1"/>
        <v>0</v>
      </c>
      <c r="K27" s="47">
        <f>VLOOKUP(A27,'GHG Factors FY21'!A:L,8,FALSE)*J27</f>
        <v>0</v>
      </c>
      <c r="L27" s="47">
        <f>VLOOKUP(A27,'GHG Factors FY21'!A:L,10,FALSE)*K27</f>
        <v>0</v>
      </c>
      <c r="M27" s="47">
        <f>VLOOKUP(A27,'GHG Factors FY21'!A:L,11,FALSE)*K27</f>
        <v>0</v>
      </c>
      <c r="N27" s="47">
        <f>VLOOKUP(A27,'GHG Factors FY21'!A:L,12,FALSE)*K27</f>
        <v>0</v>
      </c>
      <c r="O27" s="47">
        <f t="shared" si="2"/>
        <v>0</v>
      </c>
      <c r="AC27" s="14" t="s">
        <v>917</v>
      </c>
      <c r="AD27" t="s">
        <v>658</v>
      </c>
      <c r="AE27" t="s">
        <v>686</v>
      </c>
      <c r="AF27" s="28">
        <f t="shared" si="0"/>
        <v>0</v>
      </c>
      <c r="AG27" s="28" t="e">
        <f>VLOOKUP(AC27,#REF!, 8,FALSE)*'NET Genset Grounds'!AF27</f>
        <v>#REF!</v>
      </c>
      <c r="AH27" s="28" t="e">
        <f>VLOOKUP(AC27,#REF!, 10,FALSE)*'NET Genset Grounds'!AG27</f>
        <v>#REF!</v>
      </c>
      <c r="AI27" s="28"/>
      <c r="AJ27" s="28" t="e">
        <f>VLOOKUP(AC27,#REF!, 12,FALSE)*'NET Genset Grounds'!AG27</f>
        <v>#REF!</v>
      </c>
      <c r="AK27" s="29" t="e">
        <f t="shared" si="3"/>
        <v>#REF!</v>
      </c>
      <c r="AM27" s="244">
        <f>AF27*1000</f>
        <v>0</v>
      </c>
    </row>
    <row r="28" spans="1:39">
      <c r="A28" t="s">
        <v>917</v>
      </c>
      <c r="B28" t="s">
        <v>1235</v>
      </c>
      <c r="C28" t="s">
        <v>707</v>
      </c>
      <c r="D28" t="s">
        <v>35</v>
      </c>
      <c r="E28" t="s">
        <v>1192</v>
      </c>
      <c r="F28" s="655">
        <v>0</v>
      </c>
      <c r="G28" s="1" t="s">
        <v>673</v>
      </c>
      <c r="H28" s="48" t="s">
        <v>658</v>
      </c>
      <c r="I28" s="48" t="s">
        <v>686</v>
      </c>
      <c r="J28" s="48">
        <f t="shared" si="1"/>
        <v>0</v>
      </c>
      <c r="K28" s="48">
        <f>VLOOKUP(A28,'GHG Factors FY21'!A:L,8,FALSE)*J28</f>
        <v>0</v>
      </c>
      <c r="L28" s="48">
        <f>VLOOKUP(A28,'GHG Factors FY21'!A:L,10,FALSE)*K28</f>
        <v>0</v>
      </c>
      <c r="M28" s="48">
        <f>VLOOKUP(A28,'GHG Factors FY21'!A:L,11,FALSE)*K28</f>
        <v>0</v>
      </c>
      <c r="N28" s="48">
        <f>VLOOKUP(A28,'GHG Factors FY21'!A:L,12,FALSE)*K28</f>
        <v>0</v>
      </c>
      <c r="O28" s="48">
        <f t="shared" si="2"/>
        <v>0</v>
      </c>
      <c r="AC28" s="14" t="s">
        <v>918</v>
      </c>
      <c r="AD28" t="s">
        <v>658</v>
      </c>
      <c r="AE28" t="s">
        <v>686</v>
      </c>
      <c r="AF28" s="28">
        <f t="shared" si="0"/>
        <v>0</v>
      </c>
      <c r="AG28" s="28" t="e">
        <f>VLOOKUP(AC28,#REF!, 8,FALSE)*'NET Genset Grounds'!AF28</f>
        <v>#REF!</v>
      </c>
      <c r="AH28" s="28" t="e">
        <f>VLOOKUP(AC28,#REF!, 10,FALSE)*'NET Genset Grounds'!AG28</f>
        <v>#REF!</v>
      </c>
      <c r="AI28" s="28"/>
      <c r="AJ28" s="28" t="e">
        <f>VLOOKUP(AC28,#REF!, 12,FALSE)*'NET Genset Grounds'!AG28</f>
        <v>#REF!</v>
      </c>
      <c r="AK28" s="29" t="e">
        <f t="shared" si="3"/>
        <v>#REF!</v>
      </c>
      <c r="AM28" s="244">
        <f t="shared" ref="AM28:AM40" si="5">AF28*1000</f>
        <v>0</v>
      </c>
    </row>
    <row r="29" spans="1:39">
      <c r="A29" t="s">
        <v>918</v>
      </c>
      <c r="B29" t="s">
        <v>1235</v>
      </c>
      <c r="C29" t="s">
        <v>708</v>
      </c>
      <c r="D29" t="s">
        <v>35</v>
      </c>
      <c r="E29" t="s">
        <v>1208</v>
      </c>
      <c r="F29" s="655">
        <v>0</v>
      </c>
      <c r="G29" s="1" t="s">
        <v>673</v>
      </c>
      <c r="H29" s="47" t="s">
        <v>658</v>
      </c>
      <c r="I29" s="47" t="s">
        <v>686</v>
      </c>
      <c r="J29" s="47">
        <f t="shared" si="1"/>
        <v>0</v>
      </c>
      <c r="K29" s="47">
        <f>VLOOKUP(A29,'GHG Factors FY21'!A:L,8,FALSE)*J29</f>
        <v>0</v>
      </c>
      <c r="L29" s="47">
        <f>VLOOKUP(A29,'GHG Factors FY21'!A:L,10,FALSE)*K29</f>
        <v>0</v>
      </c>
      <c r="M29" s="47">
        <f>VLOOKUP(A29,'GHG Factors FY21'!A:L,11,FALSE)*K29</f>
        <v>0</v>
      </c>
      <c r="N29" s="47">
        <f>VLOOKUP(A29,'GHG Factors FY21'!A:L,12,FALSE)*K29</f>
        <v>0</v>
      </c>
      <c r="O29" s="47">
        <f t="shared" si="2"/>
        <v>0</v>
      </c>
      <c r="AC29" s="14" t="s">
        <v>919</v>
      </c>
      <c r="AD29" t="s">
        <v>658</v>
      </c>
      <c r="AE29" t="s">
        <v>686</v>
      </c>
      <c r="AF29" s="28">
        <f t="shared" si="0"/>
        <v>0</v>
      </c>
      <c r="AG29" s="28" t="e">
        <f>VLOOKUP(AC29,#REF!, 8,FALSE)*'NET Genset Grounds'!AF29</f>
        <v>#REF!</v>
      </c>
      <c r="AH29" s="28" t="e">
        <f>VLOOKUP(AC29,#REF!, 10,FALSE)*'NET Genset Grounds'!AG29</f>
        <v>#REF!</v>
      </c>
      <c r="AI29" s="28"/>
      <c r="AJ29" s="28" t="e">
        <f>VLOOKUP(AC29,#REF!, 12,FALSE)*'NET Genset Grounds'!AG29</f>
        <v>#REF!</v>
      </c>
      <c r="AK29" s="29" t="e">
        <f t="shared" si="3"/>
        <v>#REF!</v>
      </c>
      <c r="AM29" s="244">
        <f t="shared" si="5"/>
        <v>0</v>
      </c>
    </row>
    <row r="30" spans="1:39">
      <c r="A30" t="s">
        <v>919</v>
      </c>
      <c r="B30" t="s">
        <v>1235</v>
      </c>
      <c r="C30" t="s">
        <v>709</v>
      </c>
      <c r="D30" t="s">
        <v>35</v>
      </c>
      <c r="E30" t="s">
        <v>1210</v>
      </c>
      <c r="F30" s="655">
        <v>0</v>
      </c>
      <c r="G30" s="1" t="s">
        <v>673</v>
      </c>
      <c r="H30" s="48" t="s">
        <v>658</v>
      </c>
      <c r="I30" s="48" t="s">
        <v>686</v>
      </c>
      <c r="J30" s="48">
        <f t="shared" si="1"/>
        <v>0</v>
      </c>
      <c r="K30" s="48">
        <f>VLOOKUP(A30,'GHG Factors FY21'!A:L,8,FALSE)*J30</f>
        <v>0</v>
      </c>
      <c r="L30" s="48">
        <f>VLOOKUP(A30,'GHG Factors FY21'!A:L,10,FALSE)*K30</f>
        <v>0</v>
      </c>
      <c r="M30" s="48">
        <f>VLOOKUP(A30,'GHG Factors FY21'!A:L,11,FALSE)*K30</f>
        <v>0</v>
      </c>
      <c r="N30" s="48">
        <f>VLOOKUP(A30,'GHG Factors FY21'!A:L,12,FALSE)*K30</f>
        <v>0</v>
      </c>
      <c r="O30" s="48">
        <f t="shared" si="2"/>
        <v>0</v>
      </c>
      <c r="AC30" s="14" t="s">
        <v>920</v>
      </c>
      <c r="AD30" t="s">
        <v>658</v>
      </c>
      <c r="AE30" t="s">
        <v>686</v>
      </c>
      <c r="AF30" s="28">
        <f t="shared" si="0"/>
        <v>0</v>
      </c>
      <c r="AG30" s="28" t="e">
        <f>VLOOKUP(AC30,#REF!, 8,FALSE)*'NET Genset Grounds'!AF30</f>
        <v>#REF!</v>
      </c>
      <c r="AH30" s="28" t="e">
        <f>VLOOKUP(AC30,#REF!, 10,FALSE)*'NET Genset Grounds'!AG30</f>
        <v>#REF!</v>
      </c>
      <c r="AI30" s="28"/>
      <c r="AJ30" s="28" t="e">
        <f>VLOOKUP(AC30,#REF!, 12,FALSE)*'NET Genset Grounds'!AG30</f>
        <v>#REF!</v>
      </c>
      <c r="AK30" s="29" t="e">
        <f t="shared" si="3"/>
        <v>#REF!</v>
      </c>
      <c r="AM30" s="244">
        <f t="shared" si="5"/>
        <v>0</v>
      </c>
    </row>
    <row r="31" spans="1:39">
      <c r="A31" t="s">
        <v>920</v>
      </c>
      <c r="B31" t="s">
        <v>1235</v>
      </c>
      <c r="C31" t="s">
        <v>710</v>
      </c>
      <c r="D31" t="s">
        <v>35</v>
      </c>
      <c r="E31" t="s">
        <v>1193</v>
      </c>
      <c r="F31" s="655">
        <v>0</v>
      </c>
      <c r="G31" s="1" t="s">
        <v>673</v>
      </c>
      <c r="H31" s="47" t="s">
        <v>658</v>
      </c>
      <c r="I31" s="47" t="s">
        <v>686</v>
      </c>
      <c r="J31" s="47">
        <f t="shared" si="1"/>
        <v>0</v>
      </c>
      <c r="K31" s="47">
        <f>VLOOKUP(A31,'GHG Factors FY21'!A:L,8,FALSE)*J31</f>
        <v>0</v>
      </c>
      <c r="L31" s="47">
        <f>VLOOKUP(A31,'GHG Factors FY21'!A:L,10,FALSE)*K31</f>
        <v>0</v>
      </c>
      <c r="M31" s="47">
        <f>VLOOKUP(A31,'GHG Factors FY21'!A:L,11,FALSE)*K31</f>
        <v>0</v>
      </c>
      <c r="N31" s="47">
        <f>VLOOKUP(A31,'GHG Factors FY21'!A:L,12,FALSE)*K31</f>
        <v>0</v>
      </c>
      <c r="O31" s="47">
        <f t="shared" si="2"/>
        <v>0</v>
      </c>
      <c r="AC31" s="14" t="s">
        <v>921</v>
      </c>
      <c r="AD31" t="s">
        <v>658</v>
      </c>
      <c r="AE31" t="s">
        <v>686</v>
      </c>
      <c r="AF31" s="28">
        <f t="shared" si="0"/>
        <v>0</v>
      </c>
      <c r="AG31" s="28" t="e">
        <f>VLOOKUP(AC31,#REF!, 8,FALSE)*'NET Genset Grounds'!AF31</f>
        <v>#REF!</v>
      </c>
      <c r="AH31" s="28" t="e">
        <f>VLOOKUP(AC31,#REF!, 10,FALSE)*'NET Genset Grounds'!AG31</f>
        <v>#REF!</v>
      </c>
      <c r="AI31" s="28"/>
      <c r="AJ31" s="28" t="e">
        <f>VLOOKUP(AC31,#REF!, 12,FALSE)*'NET Genset Grounds'!AG31</f>
        <v>#REF!</v>
      </c>
      <c r="AK31" s="29" t="e">
        <f t="shared" si="3"/>
        <v>#REF!</v>
      </c>
      <c r="AM31" s="244">
        <f t="shared" si="5"/>
        <v>0</v>
      </c>
    </row>
    <row r="32" spans="1:39">
      <c r="A32" t="s">
        <v>921</v>
      </c>
      <c r="B32" t="s">
        <v>1235</v>
      </c>
      <c r="C32" t="s">
        <v>711</v>
      </c>
      <c r="D32" t="s">
        <v>35</v>
      </c>
      <c r="E32" t="s">
        <v>1213</v>
      </c>
      <c r="F32" s="655">
        <v>0</v>
      </c>
      <c r="G32" s="1" t="s">
        <v>673</v>
      </c>
      <c r="H32" s="48" t="s">
        <v>658</v>
      </c>
      <c r="I32" s="48" t="s">
        <v>686</v>
      </c>
      <c r="J32" s="48">
        <f t="shared" si="1"/>
        <v>0</v>
      </c>
      <c r="K32" s="48">
        <f>VLOOKUP(A32,'GHG Factors FY21'!A:L,8,FALSE)*J32</f>
        <v>0</v>
      </c>
      <c r="L32" s="48">
        <f>VLOOKUP(A32,'GHG Factors FY21'!A:L,10,FALSE)*K32</f>
        <v>0</v>
      </c>
      <c r="M32" s="48">
        <f>VLOOKUP(A32,'GHG Factors FY21'!A:L,11,FALSE)*K32</f>
        <v>0</v>
      </c>
      <c r="N32" s="48">
        <f>VLOOKUP(A32,'GHG Factors FY21'!A:L,12,FALSE)*K32</f>
        <v>0</v>
      </c>
      <c r="O32" s="48">
        <f t="shared" si="2"/>
        <v>0</v>
      </c>
      <c r="AC32" s="14" t="s">
        <v>922</v>
      </c>
      <c r="AD32" t="s">
        <v>658</v>
      </c>
      <c r="AE32" t="s">
        <v>686</v>
      </c>
      <c r="AF32" s="28">
        <f t="shared" si="0"/>
        <v>0</v>
      </c>
      <c r="AG32" s="28" t="e">
        <f>VLOOKUP(AC32,#REF!, 8,FALSE)*'NET Genset Grounds'!AF32</f>
        <v>#REF!</v>
      </c>
      <c r="AH32" s="28" t="e">
        <f>VLOOKUP(AC32,#REF!, 10,FALSE)*'NET Genset Grounds'!AG32</f>
        <v>#REF!</v>
      </c>
      <c r="AI32" s="28"/>
      <c r="AJ32" s="28" t="e">
        <f>VLOOKUP(AC32,#REF!, 12,FALSE)*'NET Genset Grounds'!AG32</f>
        <v>#REF!</v>
      </c>
      <c r="AK32" s="29" t="e">
        <f t="shared" si="3"/>
        <v>#REF!</v>
      </c>
      <c r="AM32" s="244">
        <f t="shared" si="5"/>
        <v>0</v>
      </c>
    </row>
    <row r="33" spans="1:39">
      <c r="A33" t="s">
        <v>922</v>
      </c>
      <c r="B33" t="s">
        <v>1235</v>
      </c>
      <c r="C33" t="s">
        <v>712</v>
      </c>
      <c r="D33" t="s">
        <v>35</v>
      </c>
      <c r="E33" t="s">
        <v>1189</v>
      </c>
      <c r="F33" s="655">
        <v>0</v>
      </c>
      <c r="G33" s="1" t="s">
        <v>673</v>
      </c>
      <c r="H33" s="47" t="s">
        <v>658</v>
      </c>
      <c r="I33" s="47" t="s">
        <v>686</v>
      </c>
      <c r="J33" s="47">
        <f t="shared" si="1"/>
        <v>0</v>
      </c>
      <c r="K33" s="47">
        <f>VLOOKUP(A33,'GHG Factors FY21'!A:L,8,FALSE)*J33</f>
        <v>0</v>
      </c>
      <c r="L33" s="47">
        <f>VLOOKUP(A33,'GHG Factors FY21'!A:L,10,FALSE)*K33</f>
        <v>0</v>
      </c>
      <c r="M33" s="47">
        <f>VLOOKUP(A33,'GHG Factors FY21'!A:L,11,FALSE)*K33</f>
        <v>0</v>
      </c>
      <c r="N33" s="47">
        <f>VLOOKUP(A33,'GHG Factors FY21'!A:L,12,FALSE)*K33</f>
        <v>0</v>
      </c>
      <c r="O33" s="47">
        <f t="shared" si="2"/>
        <v>0</v>
      </c>
      <c r="AC33" s="14" t="s">
        <v>923</v>
      </c>
      <c r="AD33" t="s">
        <v>658</v>
      </c>
      <c r="AE33" t="s">
        <v>686</v>
      </c>
      <c r="AF33" s="28">
        <f t="shared" si="0"/>
        <v>0</v>
      </c>
      <c r="AG33" s="28" t="e">
        <f>VLOOKUP(AC33,#REF!, 8,FALSE)*'NET Genset Grounds'!AF33</f>
        <v>#REF!</v>
      </c>
      <c r="AH33" s="28" t="e">
        <f>VLOOKUP(AC33,#REF!, 10,FALSE)*'NET Genset Grounds'!AG33</f>
        <v>#REF!</v>
      </c>
      <c r="AI33" s="28"/>
      <c r="AJ33" s="28" t="e">
        <f>VLOOKUP(AC33,#REF!, 12,FALSE)*'NET Genset Grounds'!AG33</f>
        <v>#REF!</v>
      </c>
      <c r="AK33" s="29" t="e">
        <f t="shared" si="3"/>
        <v>#REF!</v>
      </c>
      <c r="AM33" s="244">
        <f t="shared" si="5"/>
        <v>0</v>
      </c>
    </row>
    <row r="34" spans="1:39">
      <c r="A34" t="s">
        <v>923</v>
      </c>
      <c r="B34" t="s">
        <v>1235</v>
      </c>
      <c r="C34" t="s">
        <v>713</v>
      </c>
      <c r="D34" t="s">
        <v>35</v>
      </c>
      <c r="E34" t="s">
        <v>1216</v>
      </c>
      <c r="F34" s="655">
        <v>0</v>
      </c>
      <c r="G34" s="1" t="s">
        <v>673</v>
      </c>
      <c r="H34" s="48" t="s">
        <v>658</v>
      </c>
      <c r="I34" s="48" t="s">
        <v>686</v>
      </c>
      <c r="J34" s="48">
        <f t="shared" si="1"/>
        <v>0</v>
      </c>
      <c r="K34" s="48">
        <f>VLOOKUP(A34,'GHG Factors FY21'!A:L,8,FALSE)*J34</f>
        <v>0</v>
      </c>
      <c r="L34" s="48">
        <f>VLOOKUP(A34,'GHG Factors FY21'!A:L,10,FALSE)*K34</f>
        <v>0</v>
      </c>
      <c r="M34" s="48">
        <f>VLOOKUP(A34,'GHG Factors FY21'!A:L,11,FALSE)*K34</f>
        <v>0</v>
      </c>
      <c r="N34" s="48">
        <f>VLOOKUP(A34,'GHG Factors FY21'!A:L,12,FALSE)*K34</f>
        <v>0</v>
      </c>
      <c r="O34" s="48">
        <f t="shared" si="2"/>
        <v>0</v>
      </c>
      <c r="AC34" s="14" t="s">
        <v>933</v>
      </c>
      <c r="AD34" t="s">
        <v>658</v>
      </c>
      <c r="AE34" t="s">
        <v>686</v>
      </c>
      <c r="AF34" s="28">
        <f t="shared" si="0"/>
        <v>0.93127905958239754</v>
      </c>
      <c r="AG34" s="28" t="e">
        <f>VLOOKUP(AC34,#REF!, 8,FALSE)*'NET Genset Grounds'!AF34</f>
        <v>#REF!</v>
      </c>
      <c r="AH34" s="28" t="e">
        <f>VLOOKUP(AC34,#REF!, 10,FALSE)*'NET Genset Grounds'!AG34</f>
        <v>#REF!</v>
      </c>
      <c r="AI34" s="28"/>
      <c r="AJ34" s="28" t="e">
        <f>VLOOKUP(AC34,#REF!, 12,FALSE)*'NET Genset Grounds'!AG34</f>
        <v>#REF!</v>
      </c>
      <c r="AK34" s="29" t="e">
        <f t="shared" si="3"/>
        <v>#REF!</v>
      </c>
      <c r="AM34" s="244">
        <f t="shared" si="5"/>
        <v>931.27905958239751</v>
      </c>
    </row>
    <row r="35" spans="1:39" s="23" customFormat="1">
      <c r="A35" t="s">
        <v>924</v>
      </c>
      <c r="B35" s="23" t="s">
        <v>1235</v>
      </c>
      <c r="C35" s="23" t="s">
        <v>706</v>
      </c>
      <c r="D35" s="23" t="s">
        <v>1228</v>
      </c>
      <c r="E35" s="23" t="s">
        <v>1190</v>
      </c>
      <c r="F35" s="655">
        <v>0</v>
      </c>
      <c r="G35" s="24" t="s">
        <v>673</v>
      </c>
      <c r="H35" s="47" t="s">
        <v>658</v>
      </c>
      <c r="I35" s="47" t="s">
        <v>686</v>
      </c>
      <c r="J35" s="47">
        <f t="shared" si="1"/>
        <v>0</v>
      </c>
      <c r="K35" s="47">
        <v>0</v>
      </c>
      <c r="L35" s="47">
        <v>0</v>
      </c>
      <c r="M35" s="47">
        <v>0</v>
      </c>
      <c r="N35" s="47">
        <v>0</v>
      </c>
      <c r="O35" s="47">
        <v>0</v>
      </c>
      <c r="AC35" s="14" t="s">
        <v>934</v>
      </c>
      <c r="AD35" t="s">
        <v>658</v>
      </c>
      <c r="AE35" t="s">
        <v>686</v>
      </c>
      <c r="AF35" s="28">
        <f t="shared" si="0"/>
        <v>0.01</v>
      </c>
      <c r="AG35" s="28" t="e">
        <f>VLOOKUP(AC35,#REF!, 8,FALSE)*'NET Genset Grounds'!AF35</f>
        <v>#REF!</v>
      </c>
      <c r="AH35" s="28" t="e">
        <f>VLOOKUP(AC35,#REF!, 10,FALSE)*'NET Genset Grounds'!AG35</f>
        <v>#REF!</v>
      </c>
      <c r="AI35" s="28"/>
      <c r="AJ35" s="28" t="e">
        <f>VLOOKUP(AC35,#REF!, 12,FALSE)*'NET Genset Grounds'!AG35</f>
        <v>#REF!</v>
      </c>
      <c r="AK35" s="29" t="e">
        <f t="shared" si="3"/>
        <v>#REF!</v>
      </c>
      <c r="AL35"/>
      <c r="AM35" s="244">
        <f t="shared" si="5"/>
        <v>10</v>
      </c>
    </row>
    <row r="36" spans="1:39" s="23" customFormat="1">
      <c r="A36" t="s">
        <v>925</v>
      </c>
      <c r="B36" s="23" t="s">
        <v>1235</v>
      </c>
      <c r="C36" s="23" t="s">
        <v>707</v>
      </c>
      <c r="D36" s="23" t="s">
        <v>1228</v>
      </c>
      <c r="E36" s="23" t="s">
        <v>1192</v>
      </c>
      <c r="F36" s="655">
        <v>0</v>
      </c>
      <c r="G36" s="24" t="s">
        <v>673</v>
      </c>
      <c r="H36" s="48" t="s">
        <v>658</v>
      </c>
      <c r="I36" s="48" t="s">
        <v>686</v>
      </c>
      <c r="J36" s="48">
        <f t="shared" si="1"/>
        <v>0</v>
      </c>
      <c r="K36" s="48">
        <v>0</v>
      </c>
      <c r="L36" s="48">
        <v>0</v>
      </c>
      <c r="M36" s="48">
        <v>0</v>
      </c>
      <c r="N36" s="48">
        <v>0</v>
      </c>
      <c r="O36" s="48">
        <v>0</v>
      </c>
      <c r="AC36" s="14" t="s">
        <v>935</v>
      </c>
      <c r="AD36" t="s">
        <v>658</v>
      </c>
      <c r="AE36" t="s">
        <v>686</v>
      </c>
      <c r="AF36" s="28">
        <f t="shared" si="0"/>
        <v>0.4333243204748915</v>
      </c>
      <c r="AG36" s="28" t="e">
        <f>VLOOKUP(AC36,#REF!, 8,FALSE)*'NET Genset Grounds'!AF36</f>
        <v>#REF!</v>
      </c>
      <c r="AH36" s="28" t="e">
        <f>VLOOKUP(AC36,#REF!, 10,FALSE)*'NET Genset Grounds'!AG36</f>
        <v>#REF!</v>
      </c>
      <c r="AI36" s="28"/>
      <c r="AJ36" s="28" t="e">
        <f>VLOOKUP(AC36,#REF!, 12,FALSE)*'NET Genset Grounds'!AG36</f>
        <v>#REF!</v>
      </c>
      <c r="AK36" s="29" t="e">
        <f t="shared" si="3"/>
        <v>#REF!</v>
      </c>
      <c r="AL36"/>
      <c r="AM36" s="244">
        <f t="shared" si="5"/>
        <v>433.32432047489152</v>
      </c>
    </row>
    <row r="37" spans="1:39" s="23" customFormat="1">
      <c r="A37" t="s">
        <v>926</v>
      </c>
      <c r="B37" s="23" t="s">
        <v>1235</v>
      </c>
      <c r="C37" s="23" t="s">
        <v>712</v>
      </c>
      <c r="D37" s="23" t="s">
        <v>1228</v>
      </c>
      <c r="E37" s="23" t="s">
        <v>1189</v>
      </c>
      <c r="F37" s="655">
        <v>0</v>
      </c>
      <c r="G37" s="24" t="s">
        <v>673</v>
      </c>
      <c r="H37" s="47" t="s">
        <v>658</v>
      </c>
      <c r="I37" s="47" t="s">
        <v>686</v>
      </c>
      <c r="J37" s="47">
        <f t="shared" si="1"/>
        <v>0</v>
      </c>
      <c r="K37" s="47">
        <v>0</v>
      </c>
      <c r="L37" s="47">
        <v>0</v>
      </c>
      <c r="M37" s="47">
        <v>0</v>
      </c>
      <c r="N37" s="47">
        <v>0</v>
      </c>
      <c r="O37" s="47">
        <v>0</v>
      </c>
      <c r="AC37" s="14" t="s">
        <v>936</v>
      </c>
      <c r="AD37" t="s">
        <v>658</v>
      </c>
      <c r="AE37" t="s">
        <v>686</v>
      </c>
      <c r="AF37" s="28">
        <f t="shared" si="0"/>
        <v>9.69E-2</v>
      </c>
      <c r="AG37" s="28" t="e">
        <f>VLOOKUP(AC37,#REF!, 8,FALSE)*'NET Genset Grounds'!AF37</f>
        <v>#REF!</v>
      </c>
      <c r="AH37" s="28" t="e">
        <f>VLOOKUP(AC37,#REF!, 10,FALSE)*'NET Genset Grounds'!AG37</f>
        <v>#REF!</v>
      </c>
      <c r="AI37" s="28"/>
      <c r="AJ37" s="28" t="e">
        <f>VLOOKUP(AC37,#REF!, 12,FALSE)*'NET Genset Grounds'!AG37</f>
        <v>#REF!</v>
      </c>
      <c r="AK37" s="29" t="e">
        <f t="shared" si="3"/>
        <v>#REF!</v>
      </c>
      <c r="AL37"/>
      <c r="AM37" s="244">
        <f t="shared" si="5"/>
        <v>96.9</v>
      </c>
    </row>
    <row r="38" spans="1:39" s="23" customFormat="1">
      <c r="A38" t="s">
        <v>927</v>
      </c>
      <c r="B38" s="23" t="s">
        <v>1235</v>
      </c>
      <c r="C38" s="23" t="s">
        <v>709</v>
      </c>
      <c r="D38" s="23" t="s">
        <v>1228</v>
      </c>
      <c r="E38" s="23" t="s">
        <v>1210</v>
      </c>
      <c r="F38" s="655">
        <v>0</v>
      </c>
      <c r="G38" s="24" t="s">
        <v>673</v>
      </c>
      <c r="H38" s="48" t="s">
        <v>658</v>
      </c>
      <c r="I38" s="48" t="s">
        <v>686</v>
      </c>
      <c r="J38" s="48">
        <f t="shared" si="1"/>
        <v>0</v>
      </c>
      <c r="K38" s="48">
        <v>0</v>
      </c>
      <c r="L38" s="48">
        <v>0</v>
      </c>
      <c r="M38" s="48">
        <v>0</v>
      </c>
      <c r="N38" s="48">
        <v>0</v>
      </c>
      <c r="O38" s="48">
        <v>0</v>
      </c>
      <c r="AC38" s="14" t="s">
        <v>937</v>
      </c>
      <c r="AD38" t="s">
        <v>658</v>
      </c>
      <c r="AE38" t="s">
        <v>686</v>
      </c>
      <c r="AF38" s="30">
        <f t="shared" si="0"/>
        <v>0.36368791695971503</v>
      </c>
      <c r="AG38" s="28" t="e">
        <f>VLOOKUP(AC38,#REF!, 8,FALSE)*'NET Genset Grounds'!AF38</f>
        <v>#REF!</v>
      </c>
      <c r="AH38" s="28" t="e">
        <f>VLOOKUP(AC38,#REF!, 10,FALSE)*'NET Genset Grounds'!AG38</f>
        <v>#REF!</v>
      </c>
      <c r="AI38" s="28"/>
      <c r="AJ38" s="28" t="e">
        <f>VLOOKUP(AC38,#REF!, 12,FALSE)*'NET Genset Grounds'!AG38</f>
        <v>#REF!</v>
      </c>
      <c r="AK38" s="29" t="e">
        <f t="shared" si="3"/>
        <v>#REF!</v>
      </c>
      <c r="AL38"/>
      <c r="AM38" s="244">
        <f t="shared" si="5"/>
        <v>363.68791695971504</v>
      </c>
    </row>
    <row r="39" spans="1:39" s="23" customFormat="1">
      <c r="A39" t="s">
        <v>928</v>
      </c>
      <c r="B39" s="23" t="s">
        <v>1235</v>
      </c>
      <c r="C39" s="23" t="s">
        <v>713</v>
      </c>
      <c r="D39" s="23" t="s">
        <v>1228</v>
      </c>
      <c r="E39" s="23" t="s">
        <v>1216</v>
      </c>
      <c r="F39" s="655">
        <v>0</v>
      </c>
      <c r="G39" s="24" t="s">
        <v>673</v>
      </c>
      <c r="H39" s="47" t="s">
        <v>658</v>
      </c>
      <c r="I39" s="47" t="s">
        <v>686</v>
      </c>
      <c r="J39" s="47">
        <f t="shared" si="1"/>
        <v>0</v>
      </c>
      <c r="K39" s="47">
        <v>0</v>
      </c>
      <c r="L39" s="47">
        <v>0</v>
      </c>
      <c r="M39" s="47">
        <v>0</v>
      </c>
      <c r="N39" s="47">
        <v>0</v>
      </c>
      <c r="O39" s="47">
        <v>0</v>
      </c>
      <c r="AC39" s="14" t="s">
        <v>938</v>
      </c>
      <c r="AD39" t="s">
        <v>658</v>
      </c>
      <c r="AE39" t="s">
        <v>686</v>
      </c>
      <c r="AF39" s="28">
        <f t="shared" si="0"/>
        <v>0.7654604466407805</v>
      </c>
      <c r="AG39" s="28" t="e">
        <f>VLOOKUP(AC39,#REF!, 8,FALSE)*'NET Genset Grounds'!AF39</f>
        <v>#REF!</v>
      </c>
      <c r="AH39" s="28" t="e">
        <f>VLOOKUP(AC39,#REF!, 10,FALSE)*'NET Genset Grounds'!AG39</f>
        <v>#REF!</v>
      </c>
      <c r="AI39" s="28"/>
      <c r="AJ39" s="28" t="e">
        <f>VLOOKUP(AC39,#REF!, 12,FALSE)*'NET Genset Grounds'!AG39</f>
        <v>#REF!</v>
      </c>
      <c r="AK39" s="29" t="e">
        <f t="shared" si="3"/>
        <v>#REF!</v>
      </c>
      <c r="AL39"/>
      <c r="AM39" s="244">
        <f t="shared" si="5"/>
        <v>765.46044664078045</v>
      </c>
    </row>
    <row r="40" spans="1:39" s="23" customFormat="1">
      <c r="A40" t="s">
        <v>929</v>
      </c>
      <c r="B40" s="23" t="s">
        <v>1235</v>
      </c>
      <c r="C40" s="23" t="s">
        <v>710</v>
      </c>
      <c r="D40" s="23" t="s">
        <v>1228</v>
      </c>
      <c r="E40" s="23" t="s">
        <v>1193</v>
      </c>
      <c r="F40" s="655">
        <v>0</v>
      </c>
      <c r="G40" s="24" t="s">
        <v>673</v>
      </c>
      <c r="H40" s="48" t="s">
        <v>658</v>
      </c>
      <c r="I40" s="48" t="s">
        <v>686</v>
      </c>
      <c r="J40" s="48">
        <f t="shared" si="1"/>
        <v>0</v>
      </c>
      <c r="K40" s="48">
        <v>0</v>
      </c>
      <c r="L40" s="48">
        <v>0</v>
      </c>
      <c r="M40" s="48">
        <v>0</v>
      </c>
      <c r="N40" s="48">
        <v>0</v>
      </c>
      <c r="O40" s="48">
        <v>0</v>
      </c>
      <c r="AC40" s="14" t="s">
        <v>939</v>
      </c>
      <c r="AD40" t="s">
        <v>658</v>
      </c>
      <c r="AE40" t="s">
        <v>686</v>
      </c>
      <c r="AF40" s="28">
        <f t="shared" si="0"/>
        <v>18.127644394960651</v>
      </c>
      <c r="AG40" s="28" t="e">
        <f>VLOOKUP(AC40,#REF!, 8,FALSE)*'NET Genset Grounds'!AF40</f>
        <v>#REF!</v>
      </c>
      <c r="AH40" s="28" t="e">
        <f>VLOOKUP(AC40,#REF!, 10,FALSE)*'NET Genset Grounds'!AG40</f>
        <v>#REF!</v>
      </c>
      <c r="AI40" s="28"/>
      <c r="AJ40" s="28" t="e">
        <f>VLOOKUP(AC40,#REF!, 12,FALSE)*'NET Genset Grounds'!AG40</f>
        <v>#REF!</v>
      </c>
      <c r="AK40" s="29" t="e">
        <f t="shared" si="3"/>
        <v>#REF!</v>
      </c>
      <c r="AL40"/>
      <c r="AM40" s="244">
        <f t="shared" si="5"/>
        <v>18127.644394960651</v>
      </c>
    </row>
    <row r="41" spans="1:39" s="23" customFormat="1" ht="14.4" thickBot="1">
      <c r="A41" t="s">
        <v>930</v>
      </c>
      <c r="B41" s="23" t="s">
        <v>1235</v>
      </c>
      <c r="C41" s="23" t="s">
        <v>711</v>
      </c>
      <c r="D41" s="23" t="s">
        <v>1228</v>
      </c>
      <c r="E41" s="23" t="s">
        <v>1213</v>
      </c>
      <c r="F41" s="655">
        <v>0</v>
      </c>
      <c r="G41" s="24" t="s">
        <v>673</v>
      </c>
      <c r="H41" s="47" t="s">
        <v>658</v>
      </c>
      <c r="I41" s="47" t="s">
        <v>686</v>
      </c>
      <c r="J41" s="47">
        <f t="shared" si="1"/>
        <v>0</v>
      </c>
      <c r="K41" s="47">
        <v>0</v>
      </c>
      <c r="L41" s="47">
        <v>0</v>
      </c>
      <c r="M41" s="47">
        <v>0</v>
      </c>
      <c r="N41" s="47">
        <v>0</v>
      </c>
      <c r="O41" s="47">
        <v>0</v>
      </c>
      <c r="AC41" s="15" t="s">
        <v>53</v>
      </c>
      <c r="AD41" s="879"/>
      <c r="AE41" s="879"/>
      <c r="AF41" s="880" t="e">
        <f>SUM(AF3:AF40)</f>
        <v>#N/A</v>
      </c>
      <c r="AG41" s="880" t="e">
        <f t="shared" ref="AG41:AK41" si="6">SUM(AG3:AG40)</f>
        <v>#REF!</v>
      </c>
      <c r="AH41" s="880" t="e">
        <f t="shared" si="6"/>
        <v>#REF!</v>
      </c>
      <c r="AI41" s="880">
        <f t="shared" si="6"/>
        <v>0</v>
      </c>
      <c r="AJ41" s="880" t="e">
        <f t="shared" si="6"/>
        <v>#REF!</v>
      </c>
      <c r="AK41" s="16" t="e">
        <f t="shared" si="6"/>
        <v>#REF!</v>
      </c>
      <c r="AL41"/>
      <c r="AM41"/>
    </row>
    <row r="42" spans="1:39" s="23" customFormat="1">
      <c r="A42" t="s">
        <v>931</v>
      </c>
      <c r="B42" s="23" t="s">
        <v>1235</v>
      </c>
      <c r="C42" s="23" t="s">
        <v>708</v>
      </c>
      <c r="D42" s="23" t="s">
        <v>1228</v>
      </c>
      <c r="E42" s="23" t="s">
        <v>1208</v>
      </c>
      <c r="F42" s="655">
        <v>0</v>
      </c>
      <c r="G42" s="24" t="s">
        <v>673</v>
      </c>
      <c r="H42" s="48" t="s">
        <v>658</v>
      </c>
      <c r="I42" s="48" t="s">
        <v>686</v>
      </c>
      <c r="J42" s="48">
        <f t="shared" si="1"/>
        <v>0</v>
      </c>
      <c r="K42" s="48">
        <v>0</v>
      </c>
      <c r="L42" s="48">
        <v>0</v>
      </c>
      <c r="M42" s="48">
        <v>0</v>
      </c>
      <c r="N42" s="48">
        <v>0</v>
      </c>
      <c r="O42" s="48">
        <v>0</v>
      </c>
      <c r="P42"/>
      <c r="Q42"/>
      <c r="R42"/>
      <c r="S42"/>
      <c r="T42"/>
    </row>
    <row r="43" spans="1:39">
      <c r="A43" t="s">
        <v>932</v>
      </c>
      <c r="B43" t="s">
        <v>1235</v>
      </c>
      <c r="C43" t="s">
        <v>706</v>
      </c>
      <c r="D43" t="s">
        <v>1234</v>
      </c>
      <c r="E43" t="s">
        <v>1190</v>
      </c>
      <c r="F43" s="655">
        <v>0</v>
      </c>
      <c r="G43" s="1" t="s">
        <v>673</v>
      </c>
      <c r="H43" s="47" t="s">
        <v>658</v>
      </c>
      <c r="I43" s="47" t="s">
        <v>686</v>
      </c>
      <c r="J43" s="47">
        <f t="shared" si="1"/>
        <v>0</v>
      </c>
      <c r="K43" s="47">
        <f>VLOOKUP(A43,'GHG Factors FY21'!A:L,8,FALSE)*J43</f>
        <v>0</v>
      </c>
      <c r="L43" s="47">
        <f>VLOOKUP(A43,'GHG Factors FY21'!A:L,10,FALSE)*K43</f>
        <v>0</v>
      </c>
      <c r="M43" s="47">
        <f>VLOOKUP(A43,'GHG Factors FY21'!A:L,11,FALSE)*K43</f>
        <v>0</v>
      </c>
      <c r="N43" s="47">
        <f>VLOOKUP(A43,'GHG Factors FY21'!A:L,12,FALSE)*K43</f>
        <v>0</v>
      </c>
      <c r="O43" s="47">
        <f t="shared" si="2"/>
        <v>0</v>
      </c>
    </row>
    <row r="44" spans="1:39">
      <c r="A44" t="s">
        <v>933</v>
      </c>
      <c r="B44" t="s">
        <v>1235</v>
      </c>
      <c r="C44" t="s">
        <v>707</v>
      </c>
      <c r="D44" t="s">
        <v>1234</v>
      </c>
      <c r="E44" t="s">
        <v>1192</v>
      </c>
      <c r="F44" s="655">
        <v>931.27905958239751</v>
      </c>
      <c r="G44" s="1" t="s">
        <v>673</v>
      </c>
      <c r="H44" s="48" t="s">
        <v>658</v>
      </c>
      <c r="I44" s="48" t="s">
        <v>686</v>
      </c>
      <c r="J44" s="48">
        <f t="shared" si="1"/>
        <v>0.93127905958239754</v>
      </c>
      <c r="K44" s="48">
        <f>VLOOKUP(A44,'GHG Factors FY21'!A:L,8,FALSE)*J44</f>
        <v>31.849743837717998</v>
      </c>
      <c r="L44" s="48">
        <f>VLOOKUP(A44,'GHG Factors FY21'!A:L,10,FALSE)*K44</f>
        <v>2159.4126321972808</v>
      </c>
      <c r="M44" s="48">
        <f>VLOOKUP(A44,'GHG Factors FY21'!A:L,11,FALSE)*K44</f>
        <v>0</v>
      </c>
      <c r="N44" s="48">
        <f>VLOOKUP(A44,'GHG Factors FY21'!A:L,12,FALSE)*K44</f>
        <v>114.6590778157848</v>
      </c>
      <c r="O44" s="48">
        <f t="shared" si="2"/>
        <v>2274.0717100130655</v>
      </c>
      <c r="AG44" t="s">
        <v>1236</v>
      </c>
      <c r="AH44" s="11" t="e">
        <f>AF41*1000-SUM(#REF!)</f>
        <v>#N/A</v>
      </c>
    </row>
    <row r="45" spans="1:39">
      <c r="A45" t="s">
        <v>934</v>
      </c>
      <c r="B45" t="s">
        <v>1235</v>
      </c>
      <c r="C45" t="s">
        <v>708</v>
      </c>
      <c r="D45" t="s">
        <v>1234</v>
      </c>
      <c r="E45" t="s">
        <v>1208</v>
      </c>
      <c r="F45" s="655">
        <v>10</v>
      </c>
      <c r="G45" s="1" t="s">
        <v>673</v>
      </c>
      <c r="H45" s="47" t="s">
        <v>658</v>
      </c>
      <c r="I45" s="47" t="s">
        <v>686</v>
      </c>
      <c r="J45" s="47">
        <f t="shared" si="1"/>
        <v>0.01</v>
      </c>
      <c r="K45" s="47">
        <f>VLOOKUP(A45,'GHG Factors FY21'!A:L,8,FALSE)*J45</f>
        <v>0.34200000000000003</v>
      </c>
      <c r="L45" s="47">
        <f>VLOOKUP(A45,'GHG Factors FY21'!A:L,10,FALSE)*K45</f>
        <v>23.187600000000007</v>
      </c>
      <c r="M45" s="47">
        <f>VLOOKUP(A45,'GHG Factors FY21'!A:L,11,FALSE)*K45</f>
        <v>0</v>
      </c>
      <c r="N45" s="47">
        <f>VLOOKUP(A45,'GHG Factors FY21'!A:L,12,FALSE)*K45</f>
        <v>1.2312000000000001</v>
      </c>
      <c r="O45" s="47">
        <f t="shared" si="2"/>
        <v>24.418800000000008</v>
      </c>
    </row>
    <row r="46" spans="1:39">
      <c r="A46" t="s">
        <v>935</v>
      </c>
      <c r="B46" t="s">
        <v>1235</v>
      </c>
      <c r="C46" t="s">
        <v>709</v>
      </c>
      <c r="D46" t="s">
        <v>1234</v>
      </c>
      <c r="E46" t="s">
        <v>1210</v>
      </c>
      <c r="F46" s="655">
        <v>433.32432047489152</v>
      </c>
      <c r="G46" s="1" t="s">
        <v>673</v>
      </c>
      <c r="H46" s="48" t="s">
        <v>658</v>
      </c>
      <c r="I46" s="48" t="s">
        <v>686</v>
      </c>
      <c r="J46" s="48">
        <f t="shared" si="1"/>
        <v>0.4333243204748915</v>
      </c>
      <c r="K46" s="48">
        <f>VLOOKUP(A46,'GHG Factors FY21'!A:L,8,FALSE)*J46</f>
        <v>14.819691760241291</v>
      </c>
      <c r="L46" s="48">
        <f>VLOOKUP(A46,'GHG Factors FY21'!A:L,10,FALSE)*K46</f>
        <v>1004.7751013443597</v>
      </c>
      <c r="M46" s="48">
        <f>VLOOKUP(A46,'GHG Factors FY21'!A:L,11,FALSE)*K46</f>
        <v>0</v>
      </c>
      <c r="N46" s="48">
        <f>VLOOKUP(A46,'GHG Factors FY21'!A:L,12,FALSE)*K46</f>
        <v>53.350890336868652</v>
      </c>
      <c r="O46" s="48">
        <f t="shared" si="2"/>
        <v>1058.1259916812282</v>
      </c>
    </row>
    <row r="47" spans="1:39">
      <c r="A47" t="s">
        <v>936</v>
      </c>
      <c r="B47" t="s">
        <v>1235</v>
      </c>
      <c r="C47" t="s">
        <v>710</v>
      </c>
      <c r="D47" t="s">
        <v>1234</v>
      </c>
      <c r="E47" t="s">
        <v>1193</v>
      </c>
      <c r="F47" s="655">
        <v>96.9</v>
      </c>
      <c r="G47" s="1" t="s">
        <v>673</v>
      </c>
      <c r="H47" s="47" t="s">
        <v>658</v>
      </c>
      <c r="I47" s="47" t="s">
        <v>686</v>
      </c>
      <c r="J47" s="47">
        <f t="shared" si="1"/>
        <v>9.69E-2</v>
      </c>
      <c r="K47" s="47">
        <f>VLOOKUP(A47,'GHG Factors FY21'!A:L,8,FALSE)*J47</f>
        <v>3.3139800000000004</v>
      </c>
      <c r="L47" s="47">
        <f>VLOOKUP(A47,'GHG Factors FY21'!A:L,10,FALSE)*K47</f>
        <v>224.68784400000007</v>
      </c>
      <c r="M47" s="47">
        <f>VLOOKUP(A47,'GHG Factors FY21'!A:L,11,FALSE)*K47</f>
        <v>0</v>
      </c>
      <c r="N47" s="47">
        <f>VLOOKUP(A47,'GHG Factors FY21'!A:L,12,FALSE)*K47</f>
        <v>11.930328000000001</v>
      </c>
      <c r="O47" s="47">
        <f t="shared" si="2"/>
        <v>236.61817200000007</v>
      </c>
    </row>
    <row r="48" spans="1:39">
      <c r="A48" t="s">
        <v>937</v>
      </c>
      <c r="B48" t="s">
        <v>1235</v>
      </c>
      <c r="C48" t="s">
        <v>711</v>
      </c>
      <c r="D48" t="s">
        <v>1234</v>
      </c>
      <c r="E48" t="s">
        <v>1213</v>
      </c>
      <c r="F48" s="655">
        <v>363.68791695971504</v>
      </c>
      <c r="G48" s="1" t="s">
        <v>673</v>
      </c>
      <c r="H48" s="48" t="s">
        <v>658</v>
      </c>
      <c r="I48" s="48" t="s">
        <v>686</v>
      </c>
      <c r="J48" s="48">
        <f t="shared" si="1"/>
        <v>0.36368791695971503</v>
      </c>
      <c r="K48" s="48">
        <f>VLOOKUP(A48,'GHG Factors FY21'!A:L,8,FALSE)*J48</f>
        <v>12.438126760022255</v>
      </c>
      <c r="L48" s="48">
        <f>VLOOKUP(A48,'GHG Factors FY21'!A:L,10,FALSE)*K48</f>
        <v>843.3049943295091</v>
      </c>
      <c r="M48" s="48">
        <f>VLOOKUP(A48,'GHG Factors FY21'!A:L,11,FALSE)*K48</f>
        <v>0</v>
      </c>
      <c r="N48" s="48">
        <f>VLOOKUP(A48,'GHG Factors FY21'!A:L,12,FALSE)*K48</f>
        <v>44.777256336080121</v>
      </c>
      <c r="O48" s="48">
        <f t="shared" si="2"/>
        <v>888.08225066558919</v>
      </c>
    </row>
    <row r="49" spans="1:15">
      <c r="A49" t="s">
        <v>938</v>
      </c>
      <c r="B49" t="s">
        <v>1235</v>
      </c>
      <c r="C49" t="s">
        <v>712</v>
      </c>
      <c r="D49" t="s">
        <v>1234</v>
      </c>
      <c r="E49" t="s">
        <v>1189</v>
      </c>
      <c r="F49" s="655">
        <v>765.46044664078045</v>
      </c>
      <c r="G49" s="1" t="s">
        <v>673</v>
      </c>
      <c r="H49" s="47" t="s">
        <v>658</v>
      </c>
      <c r="I49" s="47" t="s">
        <v>686</v>
      </c>
      <c r="J49" s="47">
        <f t="shared" si="1"/>
        <v>0.7654604466407805</v>
      </c>
      <c r="K49" s="47">
        <f>VLOOKUP(A49,'GHG Factors FY21'!A:L,8,FALSE)*J49</f>
        <v>26.178747275114695</v>
      </c>
      <c r="L49" s="47">
        <f>VLOOKUP(A49,'GHG Factors FY21'!A:L,10,FALSE)*K49</f>
        <v>1774.9190652527766</v>
      </c>
      <c r="M49" s="47">
        <f>VLOOKUP(A49,'GHG Factors FY21'!A:L,11,FALSE)*K49</f>
        <v>0</v>
      </c>
      <c r="N49" s="47">
        <f>VLOOKUP(A49,'GHG Factors FY21'!A:L,12,FALSE)*K49</f>
        <v>94.243490190412899</v>
      </c>
      <c r="O49" s="47">
        <f t="shared" si="2"/>
        <v>1869.1625554431894</v>
      </c>
    </row>
    <row r="50" spans="1:15">
      <c r="A50" t="s">
        <v>939</v>
      </c>
      <c r="B50" t="s">
        <v>1235</v>
      </c>
      <c r="C50" t="s">
        <v>713</v>
      </c>
      <c r="D50" t="s">
        <v>1234</v>
      </c>
      <c r="E50" t="s">
        <v>1216</v>
      </c>
      <c r="F50" s="655">
        <v>18127.644394960651</v>
      </c>
      <c r="G50" s="1" t="s">
        <v>673</v>
      </c>
      <c r="H50" s="48" t="s">
        <v>658</v>
      </c>
      <c r="I50" s="48" t="s">
        <v>686</v>
      </c>
      <c r="J50" s="48">
        <f t="shared" si="1"/>
        <v>18.127644394960651</v>
      </c>
      <c r="K50" s="48">
        <f>VLOOKUP(A50,'GHG Factors FY21'!A:L,8,FALSE)*J50</f>
        <v>619.96543830765427</v>
      </c>
      <c r="L50" s="48">
        <f>VLOOKUP(A50,'GHG Factors FY21'!A:L,10,FALSE)*K50</f>
        <v>42033.656717258964</v>
      </c>
      <c r="M50" s="48">
        <f>VLOOKUP(A50,'GHG Factors FY21'!A:L,11,FALSE)*K50</f>
        <v>0</v>
      </c>
      <c r="N50" s="48">
        <f>VLOOKUP(A50,'GHG Factors FY21'!A:L,12,FALSE)*K50</f>
        <v>2231.8755779075555</v>
      </c>
      <c r="O50" s="48">
        <f t="shared" si="2"/>
        <v>44265.532295166522</v>
      </c>
    </row>
    <row r="51" spans="1:15">
      <c r="F51" s="241">
        <f>SUM(NET_Genset_Grounds29[Production Quantity])</f>
        <v>1109475.8423705231</v>
      </c>
      <c r="H51" s="48"/>
      <c r="I51" s="48"/>
      <c r="J51" s="48"/>
      <c r="K51" s="48"/>
      <c r="L51" s="48"/>
      <c r="M51" s="48"/>
      <c r="N51" s="48"/>
      <c r="O51" s="48"/>
    </row>
    <row r="52" spans="1:15">
      <c r="F52" s="7"/>
      <c r="H52" s="1"/>
      <c r="I52" s="1"/>
      <c r="J52" s="1"/>
      <c r="K52" s="1"/>
      <c r="L52" s="1"/>
      <c r="M52" s="1"/>
      <c r="N52" s="1"/>
      <c r="O52" s="1"/>
    </row>
    <row r="53" spans="1:15">
      <c r="A53" s="647" t="s">
        <v>1223</v>
      </c>
      <c r="F53" s="841"/>
      <c r="H53" s="1"/>
      <c r="I53" s="1"/>
      <c r="J53" s="1"/>
      <c r="K53" s="1"/>
      <c r="L53" s="1"/>
      <c r="M53" s="1"/>
      <c r="N53" s="1"/>
      <c r="O53" s="1"/>
    </row>
    <row r="54" spans="1:15">
      <c r="L54" s="241">
        <f>SUM(L3:L10)</f>
        <v>2950201.0009755166</v>
      </c>
    </row>
    <row r="55" spans="1:15">
      <c r="L55" s="244">
        <f>L54/1000</f>
        <v>2950.2010009755168</v>
      </c>
    </row>
    <row r="56" spans="1:15">
      <c r="A56" s="33" t="s">
        <v>3</v>
      </c>
      <c r="B56" t="s">
        <v>1174</v>
      </c>
      <c r="C56" s="99">
        <v>44028</v>
      </c>
    </row>
    <row r="57" spans="1:15">
      <c r="A57" t="s">
        <v>750</v>
      </c>
      <c r="B57" t="s">
        <v>1224</v>
      </c>
      <c r="C57" t="s">
        <v>1200</v>
      </c>
      <c r="D57" t="s">
        <v>156</v>
      </c>
      <c r="E57" t="s">
        <v>1187</v>
      </c>
      <c r="F57" t="s">
        <v>1225</v>
      </c>
      <c r="G57" s="1" t="s">
        <v>1226</v>
      </c>
      <c r="H57" s="37" t="s">
        <v>649</v>
      </c>
      <c r="I57" s="37" t="s">
        <v>684</v>
      </c>
      <c r="J57" s="37" t="s">
        <v>650</v>
      </c>
      <c r="K57" s="37" t="s">
        <v>651</v>
      </c>
      <c r="L57" s="37" t="s">
        <v>652</v>
      </c>
      <c r="M57" s="37" t="s">
        <v>653</v>
      </c>
      <c r="N57" s="37" t="s">
        <v>654</v>
      </c>
      <c r="O57" s="37" t="s">
        <v>751</v>
      </c>
    </row>
    <row r="58" spans="1:15">
      <c r="A58" t="s">
        <v>892</v>
      </c>
      <c r="B58" t="s">
        <v>1227</v>
      </c>
      <c r="C58" t="s">
        <v>706</v>
      </c>
      <c r="D58" t="s">
        <v>35</v>
      </c>
      <c r="E58" t="s">
        <v>1190</v>
      </c>
      <c r="F58" s="7">
        <v>7095.6380534469818</v>
      </c>
      <c r="G58" s="1" t="s">
        <v>673</v>
      </c>
      <c r="H58" s="47" t="s">
        <v>658</v>
      </c>
      <c r="I58" s="47" t="s">
        <v>686</v>
      </c>
      <c r="J58" s="47">
        <f>F58/1000</f>
        <v>7.0956380534469821</v>
      </c>
      <c r="K58" s="47">
        <f>VLOOKUP(A58,'GHG Factors FY20'!A:L,8,FALSE)*J58</f>
        <v>273.89162886305354</v>
      </c>
      <c r="L58" s="47">
        <f>VLOOKUP(A58,'GHG Factors FY20'!A:L,10,FALSE)*K58</f>
        <v>19227.192346186359</v>
      </c>
      <c r="M58" s="47">
        <f>VLOOKUP(A58,'GHG Factors FY20'!A:L,11,FALSE)*K58</f>
        <v>0</v>
      </c>
      <c r="N58" s="47">
        <f>VLOOKUP(A58,'GHG Factors FY20'!A:L,12,FALSE)*K58</f>
        <v>986.00986390699279</v>
      </c>
      <c r="O58" s="47">
        <f>SUM(L58,M58,N58)</f>
        <v>20213.20221009335</v>
      </c>
    </row>
    <row r="59" spans="1:15">
      <c r="A59" t="s">
        <v>893</v>
      </c>
      <c r="B59" t="s">
        <v>1227</v>
      </c>
      <c r="C59" t="s">
        <v>707</v>
      </c>
      <c r="D59" t="s">
        <v>35</v>
      </c>
      <c r="E59" t="s">
        <v>1192</v>
      </c>
      <c r="F59" s="7">
        <v>257437.05307270741</v>
      </c>
      <c r="G59" s="1" t="s">
        <v>673</v>
      </c>
      <c r="H59" s="48" t="s">
        <v>658</v>
      </c>
      <c r="I59" s="48" t="s">
        <v>686</v>
      </c>
      <c r="J59" s="48">
        <f t="shared" ref="J59:J105" si="7">F59/1000</f>
        <v>257.43705307270739</v>
      </c>
      <c r="K59" s="48">
        <f>VLOOKUP(A59,'GHG Factors FY20'!A:L,8,FALSE)*J59</f>
        <v>9937.0702486065056</v>
      </c>
      <c r="L59" s="48">
        <f>VLOOKUP(A59,'GHG Factors FY20'!A:L,10,FALSE)*K59</f>
        <v>697582.33145217667</v>
      </c>
      <c r="M59" s="48">
        <f>VLOOKUP(A59,'GHG Factors FY20'!A:L,11,FALSE)*K59</f>
        <v>0</v>
      </c>
      <c r="N59" s="48">
        <f>VLOOKUP(A59,'GHG Factors FY20'!A:L,12,FALSE)*K59</f>
        <v>35773.45289498342</v>
      </c>
      <c r="O59" s="48">
        <f t="shared" ref="O59:O65" si="8">SUM(L59,M59,N59)</f>
        <v>733355.78434716014</v>
      </c>
    </row>
    <row r="60" spans="1:15">
      <c r="A60" t="s">
        <v>894</v>
      </c>
      <c r="B60" t="s">
        <v>1227</v>
      </c>
      <c r="C60" t="s">
        <v>708</v>
      </c>
      <c r="D60" t="s">
        <v>35</v>
      </c>
      <c r="E60" t="s">
        <v>1208</v>
      </c>
      <c r="F60" s="7">
        <v>34134.807878008971</v>
      </c>
      <c r="G60" s="1" t="s">
        <v>673</v>
      </c>
      <c r="H60" s="47" t="s">
        <v>658</v>
      </c>
      <c r="I60" s="47" t="s">
        <v>686</v>
      </c>
      <c r="J60" s="47">
        <f t="shared" si="7"/>
        <v>34.134807878008971</v>
      </c>
      <c r="K60" s="47">
        <f>VLOOKUP(A60,'GHG Factors FY20'!A:L,8,FALSE)*J60</f>
        <v>1317.6035840911463</v>
      </c>
      <c r="L60" s="47">
        <f>VLOOKUP(A60,'GHG Factors FY20'!A:L,10,FALSE)*K60</f>
        <v>92495.771603198475</v>
      </c>
      <c r="M60" s="47">
        <f>VLOOKUP(A60,'GHG Factors FY20'!A:L,11,FALSE)*K60</f>
        <v>0</v>
      </c>
      <c r="N60" s="47">
        <f>VLOOKUP(A60,'GHG Factors FY20'!A:L,12,FALSE)*K60</f>
        <v>4743.372902728127</v>
      </c>
      <c r="O60" s="47">
        <f t="shared" si="8"/>
        <v>97239.144505926597</v>
      </c>
    </row>
    <row r="61" spans="1:15">
      <c r="A61" t="s">
        <v>895</v>
      </c>
      <c r="B61" t="s">
        <v>1227</v>
      </c>
      <c r="C61" t="s">
        <v>709</v>
      </c>
      <c r="D61" t="s">
        <v>35</v>
      </c>
      <c r="E61" t="s">
        <v>1210</v>
      </c>
      <c r="F61" s="7">
        <v>77050.39178497417</v>
      </c>
      <c r="G61" s="1" t="s">
        <v>673</v>
      </c>
      <c r="H61" s="48" t="s">
        <v>658</v>
      </c>
      <c r="I61" s="48" t="s">
        <v>686</v>
      </c>
      <c r="J61" s="48">
        <f t="shared" si="7"/>
        <v>77.050391784974167</v>
      </c>
      <c r="K61" s="48">
        <f>VLOOKUP(A61,'GHG Factors FY20'!A:L,8,FALSE)*J61</f>
        <v>2974.1451229000031</v>
      </c>
      <c r="L61" s="48">
        <f>VLOOKUP(A61,'GHG Factors FY20'!A:L,10,FALSE)*K61</f>
        <v>208784.98762758024</v>
      </c>
      <c r="M61" s="48">
        <f>VLOOKUP(A61,'GHG Factors FY20'!A:L,11,FALSE)*K61</f>
        <v>0</v>
      </c>
      <c r="N61" s="48">
        <f>VLOOKUP(A61,'GHG Factors FY20'!A:L,12,FALSE)*K61</f>
        <v>10706.922442440011</v>
      </c>
      <c r="O61" s="48">
        <f t="shared" si="8"/>
        <v>219491.91007002024</v>
      </c>
    </row>
    <row r="62" spans="1:15">
      <c r="A62" t="s">
        <v>896</v>
      </c>
      <c r="B62" t="s">
        <v>1227</v>
      </c>
      <c r="C62" t="s">
        <v>710</v>
      </c>
      <c r="D62" t="s">
        <v>35</v>
      </c>
      <c r="E62" t="s">
        <v>1193</v>
      </c>
      <c r="F62" s="7">
        <v>58897.140345004977</v>
      </c>
      <c r="G62" s="1" t="s">
        <v>673</v>
      </c>
      <c r="H62" s="47" t="s">
        <v>658</v>
      </c>
      <c r="I62" s="47" t="s">
        <v>686</v>
      </c>
      <c r="J62" s="47">
        <f t="shared" si="7"/>
        <v>58.897140345004978</v>
      </c>
      <c r="K62" s="47">
        <f>VLOOKUP(A62,'GHG Factors FY20'!A:L,8,FALSE)*J62</f>
        <v>2273.4296173171924</v>
      </c>
      <c r="L62" s="47">
        <f>VLOOKUP(A62,'GHG Factors FY20'!A:L,10,FALSE)*K62</f>
        <v>159594.75913566691</v>
      </c>
      <c r="M62" s="47">
        <f>VLOOKUP(A62,'GHG Factors FY20'!A:L,11,FALSE)*K62</f>
        <v>0</v>
      </c>
      <c r="N62" s="47">
        <f>VLOOKUP(A62,'GHG Factors FY20'!A:L,12,FALSE)*K62</f>
        <v>8184.3466223418927</v>
      </c>
      <c r="O62" s="47">
        <f t="shared" si="8"/>
        <v>167779.10575800881</v>
      </c>
    </row>
    <row r="63" spans="1:15">
      <c r="A63" t="s">
        <v>897</v>
      </c>
      <c r="B63" t="s">
        <v>1227</v>
      </c>
      <c r="C63" t="s">
        <v>711</v>
      </c>
      <c r="D63" t="s">
        <v>35</v>
      </c>
      <c r="E63" t="s">
        <v>1213</v>
      </c>
      <c r="F63" s="7">
        <v>36606.183801800209</v>
      </c>
      <c r="G63" s="1" t="s">
        <v>673</v>
      </c>
      <c r="H63" s="48" t="s">
        <v>658</v>
      </c>
      <c r="I63" s="48" t="s">
        <v>686</v>
      </c>
      <c r="J63" s="48">
        <f t="shared" si="7"/>
        <v>36.606183801800206</v>
      </c>
      <c r="K63" s="48">
        <f>VLOOKUP(A63,'GHG Factors FY20'!A:L,8,FALSE)*J63</f>
        <v>1412.9986947494881</v>
      </c>
      <c r="L63" s="48">
        <f>VLOOKUP(A63,'GHG Factors FY20'!A:L,10,FALSE)*K63</f>
        <v>99192.508371414064</v>
      </c>
      <c r="M63" s="48">
        <f>VLOOKUP(A63,'GHG Factors FY20'!A:L,11,FALSE)*K63</f>
        <v>0</v>
      </c>
      <c r="N63" s="48">
        <f>VLOOKUP(A63,'GHG Factors FY20'!A:L,12,FALSE)*K63</f>
        <v>5086.7953010981573</v>
      </c>
      <c r="O63" s="48">
        <f t="shared" si="8"/>
        <v>104279.30367251222</v>
      </c>
    </row>
    <row r="64" spans="1:15">
      <c r="A64" t="s">
        <v>898</v>
      </c>
      <c r="B64" t="s">
        <v>1227</v>
      </c>
      <c r="C64" t="s">
        <v>712</v>
      </c>
      <c r="D64" t="s">
        <v>35</v>
      </c>
      <c r="E64" t="s">
        <v>1189</v>
      </c>
      <c r="F64" s="7">
        <v>287383.79642405675</v>
      </c>
      <c r="G64" s="1" t="s">
        <v>673</v>
      </c>
      <c r="H64" s="47" t="s">
        <v>658</v>
      </c>
      <c r="I64" s="47" t="s">
        <v>686</v>
      </c>
      <c r="J64" s="47">
        <f t="shared" si="7"/>
        <v>287.38379642405675</v>
      </c>
      <c r="K64" s="47">
        <f>VLOOKUP(A64,'GHG Factors FY20'!A:L,8,FALSE)*J64</f>
        <v>11093.01454196859</v>
      </c>
      <c r="L64" s="47">
        <f>VLOOKUP(A64,'GHG Factors FY20'!A:L,10,FALSE)*K64</f>
        <v>778729.62084619503</v>
      </c>
      <c r="M64" s="47">
        <f>VLOOKUP(A64,'GHG Factors FY20'!A:L,11,FALSE)*K64</f>
        <v>0</v>
      </c>
      <c r="N64" s="47">
        <f>VLOOKUP(A64,'GHG Factors FY20'!A:L,12,FALSE)*K64</f>
        <v>39934.852351086927</v>
      </c>
      <c r="O64" s="47">
        <f t="shared" si="8"/>
        <v>818664.47319728194</v>
      </c>
    </row>
    <row r="65" spans="1:15">
      <c r="A65" t="s">
        <v>899</v>
      </c>
      <c r="B65" t="s">
        <v>1227</v>
      </c>
      <c r="C65" t="s">
        <v>713</v>
      </c>
      <c r="D65" t="s">
        <v>35</v>
      </c>
      <c r="E65" t="s">
        <v>1216</v>
      </c>
      <c r="F65" s="7">
        <v>155411.05313098329</v>
      </c>
      <c r="G65" s="1" t="s">
        <v>673</v>
      </c>
      <c r="H65" s="48" t="s">
        <v>658</v>
      </c>
      <c r="I65" s="48" t="s">
        <v>686</v>
      </c>
      <c r="J65" s="48">
        <f t="shared" si="7"/>
        <v>155.41105313098328</v>
      </c>
      <c r="K65" s="48">
        <f>VLOOKUP(A65,'GHG Factors FY20'!A:L,8,FALSE)*J65</f>
        <v>5998.8666508559545</v>
      </c>
      <c r="L65" s="48">
        <f>VLOOKUP(A65,'GHG Factors FY20'!A:L,10,FALSE)*K65</f>
        <v>421120.438890088</v>
      </c>
      <c r="M65" s="48">
        <f>VLOOKUP(A65,'GHG Factors FY20'!A:L,11,FALSE)*K65</f>
        <v>0</v>
      </c>
      <c r="N65" s="48">
        <f>VLOOKUP(A65,'GHG Factors FY20'!A:L,12,FALSE)*K65</f>
        <v>21595.919943081437</v>
      </c>
      <c r="O65" s="48">
        <f t="shared" si="8"/>
        <v>442716.35883316945</v>
      </c>
    </row>
    <row r="66" spans="1:15">
      <c r="A66" t="s">
        <v>900</v>
      </c>
      <c r="B66" s="23" t="s">
        <v>1227</v>
      </c>
      <c r="C66" s="23" t="s">
        <v>706</v>
      </c>
      <c r="D66" s="23" t="s">
        <v>1228</v>
      </c>
      <c r="E66" s="23" t="s">
        <v>1190</v>
      </c>
      <c r="F66" s="7">
        <v>0</v>
      </c>
      <c r="G66" s="24" t="s">
        <v>673</v>
      </c>
      <c r="H66" s="47" t="s">
        <v>658</v>
      </c>
      <c r="I66" s="47" t="s">
        <v>686</v>
      </c>
      <c r="J66" s="47">
        <f t="shared" si="7"/>
        <v>0</v>
      </c>
      <c r="K66" s="47">
        <v>0</v>
      </c>
      <c r="L66" s="47">
        <v>0</v>
      </c>
      <c r="M66" s="47">
        <v>0</v>
      </c>
      <c r="N66" s="47">
        <v>0</v>
      </c>
      <c r="O66" s="47">
        <v>0</v>
      </c>
    </row>
    <row r="67" spans="1:15">
      <c r="A67" t="s">
        <v>901</v>
      </c>
      <c r="B67" s="23" t="s">
        <v>1227</v>
      </c>
      <c r="C67" s="23" t="s">
        <v>707</v>
      </c>
      <c r="D67" s="23" t="s">
        <v>1228</v>
      </c>
      <c r="E67" s="23" t="s">
        <v>1192</v>
      </c>
      <c r="F67" s="7">
        <v>0</v>
      </c>
      <c r="G67" s="24" t="s">
        <v>673</v>
      </c>
      <c r="H67" s="48" t="s">
        <v>658</v>
      </c>
      <c r="I67" s="48" t="s">
        <v>686</v>
      </c>
      <c r="J67" s="48">
        <f t="shared" si="7"/>
        <v>0</v>
      </c>
      <c r="K67" s="48">
        <v>0</v>
      </c>
      <c r="L67" s="48">
        <v>0</v>
      </c>
      <c r="M67" s="48">
        <v>0</v>
      </c>
      <c r="N67" s="48">
        <v>0</v>
      </c>
      <c r="O67" s="48">
        <v>0</v>
      </c>
    </row>
    <row r="68" spans="1:15">
      <c r="A68" t="s">
        <v>902</v>
      </c>
      <c r="B68" t="s">
        <v>1227</v>
      </c>
      <c r="C68" t="s">
        <v>712</v>
      </c>
      <c r="D68" t="s">
        <v>1228</v>
      </c>
      <c r="E68" t="s">
        <v>1189</v>
      </c>
      <c r="F68" s="7">
        <v>207.24517766497459</v>
      </c>
      <c r="G68" s="1" t="s">
        <v>673</v>
      </c>
      <c r="H68" s="47" t="s">
        <v>658</v>
      </c>
      <c r="I68" s="47" t="s">
        <v>686</v>
      </c>
      <c r="J68" s="47">
        <f t="shared" si="7"/>
        <v>0.20724517766497458</v>
      </c>
      <c r="K68" s="47">
        <f>VLOOKUP(A68,'GHG Factors FY20'!A:L,8,FALSE)*J68</f>
        <v>5.3262010659898467</v>
      </c>
      <c r="L68" s="47">
        <f>VLOOKUP(A68,'GHG Factors FY20'!A:L,10,FALSE)*K68</f>
        <v>322.76778459898475</v>
      </c>
      <c r="M68" s="47">
        <f>VLOOKUP(A68,'GHG Factors FY20'!A:L,11,FALSE)*K68</f>
        <v>0</v>
      </c>
      <c r="N68" s="47">
        <f>VLOOKUP(A68,'GHG Factors FY20'!A:L,12,FALSE)*K68</f>
        <v>19.174323837563449</v>
      </c>
      <c r="O68" s="47">
        <f t="shared" ref="O68" si="9">SUM(L68,M68,N68)</f>
        <v>341.94210843654821</v>
      </c>
    </row>
    <row r="69" spans="1:15">
      <c r="A69" t="s">
        <v>903</v>
      </c>
      <c r="B69" s="23" t="s">
        <v>1227</v>
      </c>
      <c r="C69" s="23" t="s">
        <v>709</v>
      </c>
      <c r="D69" s="23" t="s">
        <v>1228</v>
      </c>
      <c r="E69" s="23" t="s">
        <v>1210</v>
      </c>
      <c r="F69" s="7">
        <v>0</v>
      </c>
      <c r="G69" s="24" t="s">
        <v>673</v>
      </c>
      <c r="H69" s="48" t="s">
        <v>658</v>
      </c>
      <c r="I69" s="48" t="s">
        <v>686</v>
      </c>
      <c r="J69" s="48">
        <f t="shared" si="7"/>
        <v>0</v>
      </c>
      <c r="K69" s="48">
        <v>0</v>
      </c>
      <c r="L69" s="48">
        <v>0</v>
      </c>
      <c r="M69" s="48">
        <v>0</v>
      </c>
      <c r="N69" s="48">
        <v>0</v>
      </c>
      <c r="O69" s="48">
        <v>0</v>
      </c>
    </row>
    <row r="70" spans="1:15">
      <c r="A70" t="s">
        <v>904</v>
      </c>
      <c r="B70" t="s">
        <v>1227</v>
      </c>
      <c r="C70" t="s">
        <v>713</v>
      </c>
      <c r="D70" t="s">
        <v>1228</v>
      </c>
      <c r="E70" t="s">
        <v>1216</v>
      </c>
      <c r="F70" s="7">
        <v>479.94096747458002</v>
      </c>
      <c r="G70" s="1" t="s">
        <v>673</v>
      </c>
      <c r="H70" s="47" t="s">
        <v>658</v>
      </c>
      <c r="I70" s="47" t="s">
        <v>686</v>
      </c>
      <c r="J70" s="47">
        <f t="shared" si="7"/>
        <v>0.47994096747458004</v>
      </c>
      <c r="K70" s="47">
        <f>VLOOKUP(A70,'GHG Factors FY20'!A:L,8,FALSE)*J70</f>
        <v>12.334482864096707</v>
      </c>
      <c r="L70" s="47">
        <f>VLOOKUP(A70,'GHG Factors FY20'!A:L,10,FALSE)*K70</f>
        <v>747.46966156426049</v>
      </c>
      <c r="M70" s="47">
        <f>VLOOKUP(A70,'GHG Factors FY20'!A:L,11,FALSE)*K70</f>
        <v>0</v>
      </c>
      <c r="N70" s="47">
        <f>VLOOKUP(A70,'GHG Factors FY20'!A:L,12,FALSE)*K70</f>
        <v>44.404138310748145</v>
      </c>
      <c r="O70" s="47">
        <f t="shared" ref="O70:O71" si="10">SUM(L70,M70,N70)</f>
        <v>791.87379987500867</v>
      </c>
    </row>
    <row r="71" spans="1:15">
      <c r="A71" t="s">
        <v>905</v>
      </c>
      <c r="B71" t="s">
        <v>1227</v>
      </c>
      <c r="C71" t="s">
        <v>710</v>
      </c>
      <c r="D71" t="s">
        <v>1228</v>
      </c>
      <c r="E71" t="s">
        <v>1193</v>
      </c>
      <c r="F71" s="7">
        <v>0</v>
      </c>
      <c r="G71" s="1" t="s">
        <v>673</v>
      </c>
      <c r="H71" s="48" t="s">
        <v>658</v>
      </c>
      <c r="I71" s="48" t="s">
        <v>686</v>
      </c>
      <c r="J71" s="48">
        <f t="shared" si="7"/>
        <v>0</v>
      </c>
      <c r="K71" s="48">
        <f>VLOOKUP(A71,'GHG Factors FY20'!A:L,8,FALSE)*J71</f>
        <v>0</v>
      </c>
      <c r="L71" s="48">
        <f>VLOOKUP(A71,'GHG Factors FY20'!A:L,10,FALSE)*K71</f>
        <v>0</v>
      </c>
      <c r="M71" s="48">
        <f>VLOOKUP(A71,'GHG Factors FY20'!A:L,11,FALSE)*K71</f>
        <v>0</v>
      </c>
      <c r="N71" s="48">
        <f>VLOOKUP(A71,'GHG Factors FY20'!A:L,12,FALSE)*K71</f>
        <v>0</v>
      </c>
      <c r="O71" s="48">
        <f t="shared" si="10"/>
        <v>0</v>
      </c>
    </row>
    <row r="72" spans="1:15">
      <c r="A72" t="s">
        <v>906</v>
      </c>
      <c r="B72" s="23" t="s">
        <v>1227</v>
      </c>
      <c r="C72" s="23" t="s">
        <v>711</v>
      </c>
      <c r="D72" s="23" t="s">
        <v>1228</v>
      </c>
      <c r="E72" s="23" t="s">
        <v>1213</v>
      </c>
      <c r="F72" s="7">
        <v>0</v>
      </c>
      <c r="G72" s="24" t="s">
        <v>673</v>
      </c>
      <c r="H72" s="47" t="s">
        <v>658</v>
      </c>
      <c r="I72" s="47" t="s">
        <v>686</v>
      </c>
      <c r="J72" s="47">
        <f t="shared" si="7"/>
        <v>0</v>
      </c>
      <c r="K72" s="47">
        <v>0</v>
      </c>
      <c r="L72" s="47">
        <v>0</v>
      </c>
      <c r="M72" s="47">
        <v>0</v>
      </c>
      <c r="N72" s="47">
        <v>0</v>
      </c>
      <c r="O72" s="47">
        <v>0</v>
      </c>
    </row>
    <row r="73" spans="1:15">
      <c r="A73" t="s">
        <v>907</v>
      </c>
      <c r="B73" s="23" t="s">
        <v>1227</v>
      </c>
      <c r="C73" s="23" t="s">
        <v>708</v>
      </c>
      <c r="D73" s="23" t="s">
        <v>1228</v>
      </c>
      <c r="E73" s="23" t="s">
        <v>1208</v>
      </c>
      <c r="F73" s="7">
        <v>0</v>
      </c>
      <c r="G73" s="24" t="s">
        <v>673</v>
      </c>
      <c r="H73" s="48" t="s">
        <v>658</v>
      </c>
      <c r="I73" s="48" t="s">
        <v>686</v>
      </c>
      <c r="J73" s="48">
        <f t="shared" si="7"/>
        <v>0</v>
      </c>
      <c r="K73" s="48">
        <v>0</v>
      </c>
      <c r="L73" s="48">
        <v>0</v>
      </c>
      <c r="M73" s="48">
        <v>0</v>
      </c>
      <c r="N73" s="48">
        <v>0</v>
      </c>
      <c r="O73" s="48">
        <v>0</v>
      </c>
    </row>
    <row r="74" spans="1:15">
      <c r="A74" t="s">
        <v>908</v>
      </c>
      <c r="B74" t="s">
        <v>1227</v>
      </c>
      <c r="C74" t="s">
        <v>706</v>
      </c>
      <c r="D74" t="s">
        <v>1234</v>
      </c>
      <c r="E74" t="s">
        <v>1190</v>
      </c>
      <c r="F74" s="7">
        <v>303.73966597406695</v>
      </c>
      <c r="G74" s="1" t="s">
        <v>673</v>
      </c>
      <c r="H74" s="47" t="s">
        <v>658</v>
      </c>
      <c r="I74" s="47" t="s">
        <v>686</v>
      </c>
      <c r="J74" s="47">
        <f t="shared" si="7"/>
        <v>0.30373966597406693</v>
      </c>
      <c r="K74" s="47">
        <f>VLOOKUP(A74,'GHG Factors FY20'!A:L,8,FALSE)*J74</f>
        <v>10.387896576313089</v>
      </c>
      <c r="L74" s="47">
        <f>VLOOKUP(A74,'GHG Factors FY20'!A:L,10,FALSE)*K74</f>
        <v>704.29938787402762</v>
      </c>
      <c r="M74" s="47">
        <f>VLOOKUP(A74,'GHG Factors FY20'!A:L,11,FALSE)*K74</f>
        <v>0</v>
      </c>
      <c r="N74" s="47">
        <f>VLOOKUP(A74,'GHG Factors FY20'!A:L,12,FALSE)*K74</f>
        <v>37.396427674727121</v>
      </c>
      <c r="O74" s="47">
        <f t="shared" ref="O74:O89" si="11">SUM(L74,M74,N74)</f>
        <v>741.69581554875469</v>
      </c>
    </row>
    <row r="75" spans="1:15">
      <c r="A75" t="s">
        <v>909</v>
      </c>
      <c r="B75" t="s">
        <v>1227</v>
      </c>
      <c r="C75" t="s">
        <v>707</v>
      </c>
      <c r="D75" t="s">
        <v>1234</v>
      </c>
      <c r="E75" t="s">
        <v>1192</v>
      </c>
      <c r="F75" s="7">
        <v>13623.491674600884</v>
      </c>
      <c r="G75" s="1" t="s">
        <v>673</v>
      </c>
      <c r="H75" s="48" t="s">
        <v>658</v>
      </c>
      <c r="I75" s="48" t="s">
        <v>686</v>
      </c>
      <c r="J75" s="48">
        <f t="shared" si="7"/>
        <v>13.623491674600883</v>
      </c>
      <c r="K75" s="48">
        <f>VLOOKUP(A75,'GHG Factors FY20'!A:L,8,FALSE)*J75</f>
        <v>465.92341527135022</v>
      </c>
      <c r="L75" s="48">
        <f>VLOOKUP(A75,'GHG Factors FY20'!A:L,10,FALSE)*K75</f>
        <v>31589.60755539755</v>
      </c>
      <c r="M75" s="48">
        <f>VLOOKUP(A75,'GHG Factors FY20'!A:L,11,FALSE)*K75</f>
        <v>0</v>
      </c>
      <c r="N75" s="48">
        <f>VLOOKUP(A75,'GHG Factors FY20'!A:L,12,FALSE)*K75</f>
        <v>1677.3242949768608</v>
      </c>
      <c r="O75" s="48">
        <f t="shared" si="11"/>
        <v>33266.931850374407</v>
      </c>
    </row>
    <row r="76" spans="1:15">
      <c r="A76" t="s">
        <v>910</v>
      </c>
      <c r="B76" t="s">
        <v>1227</v>
      </c>
      <c r="C76" t="s">
        <v>708</v>
      </c>
      <c r="D76" t="s">
        <v>1234</v>
      </c>
      <c r="E76" t="s">
        <v>1208</v>
      </c>
      <c r="F76" s="7">
        <v>2003.6485705268144</v>
      </c>
      <c r="G76" s="1" t="s">
        <v>673</v>
      </c>
      <c r="H76" s="47" t="s">
        <v>658</v>
      </c>
      <c r="I76" s="47" t="s">
        <v>686</v>
      </c>
      <c r="J76" s="47">
        <f t="shared" si="7"/>
        <v>2.0036485705268143</v>
      </c>
      <c r="K76" s="47">
        <f>VLOOKUP(A76,'GHG Factors FY20'!A:L,8,FALSE)*J76</f>
        <v>68.524781112017052</v>
      </c>
      <c r="L76" s="47">
        <f>VLOOKUP(A76,'GHG Factors FY20'!A:L,10,FALSE)*K76</f>
        <v>4645.9801593947568</v>
      </c>
      <c r="M76" s="47">
        <f>VLOOKUP(A76,'GHG Factors FY20'!A:L,11,FALSE)*K76</f>
        <v>0</v>
      </c>
      <c r="N76" s="47">
        <f>VLOOKUP(A76,'GHG Factors FY20'!A:L,12,FALSE)*K76</f>
        <v>246.68921200326139</v>
      </c>
      <c r="O76" s="47">
        <f t="shared" si="11"/>
        <v>4892.6693713980185</v>
      </c>
    </row>
    <row r="77" spans="1:15">
      <c r="A77" t="s">
        <v>911</v>
      </c>
      <c r="B77" t="s">
        <v>1227</v>
      </c>
      <c r="C77" t="s">
        <v>709</v>
      </c>
      <c r="D77" t="s">
        <v>1234</v>
      </c>
      <c r="E77" t="s">
        <v>1210</v>
      </c>
      <c r="F77" s="7">
        <v>8261.1721140948393</v>
      </c>
      <c r="G77" s="1" t="s">
        <v>673</v>
      </c>
      <c r="H77" s="48" t="s">
        <v>658</v>
      </c>
      <c r="I77" s="48" t="s">
        <v>686</v>
      </c>
      <c r="J77" s="48">
        <f t="shared" si="7"/>
        <v>8.2611721140948386</v>
      </c>
      <c r="K77" s="48">
        <f>VLOOKUP(A77,'GHG Factors FY20'!A:L,8,FALSE)*J77</f>
        <v>282.53208630204352</v>
      </c>
      <c r="L77" s="48">
        <f>VLOOKUP(A77,'GHG Factors FY20'!A:L,10,FALSE)*K77</f>
        <v>19155.675451278556</v>
      </c>
      <c r="M77" s="48">
        <f>VLOOKUP(A77,'GHG Factors FY20'!A:L,11,FALSE)*K77</f>
        <v>0</v>
      </c>
      <c r="N77" s="48">
        <f>VLOOKUP(A77,'GHG Factors FY20'!A:L,12,FALSE)*K77</f>
        <v>1017.1155106873567</v>
      </c>
      <c r="O77" s="48">
        <f t="shared" si="11"/>
        <v>20172.790961965911</v>
      </c>
    </row>
    <row r="78" spans="1:15">
      <c r="A78" t="s">
        <v>912</v>
      </c>
      <c r="B78" t="s">
        <v>1227</v>
      </c>
      <c r="C78" t="s">
        <v>710</v>
      </c>
      <c r="D78" t="s">
        <v>1234</v>
      </c>
      <c r="E78" t="s">
        <v>1193</v>
      </c>
      <c r="F78" s="7">
        <v>3538.5026992977569</v>
      </c>
      <c r="G78" s="1" t="s">
        <v>673</v>
      </c>
      <c r="H78" s="47" t="s">
        <v>658</v>
      </c>
      <c r="I78" s="47" t="s">
        <v>686</v>
      </c>
      <c r="J78" s="47">
        <f t="shared" si="7"/>
        <v>3.5385026992977568</v>
      </c>
      <c r="K78" s="47">
        <f>VLOOKUP(A78,'GHG Factors FY20'!A:L,8,FALSE)*J78</f>
        <v>121.0167923159833</v>
      </c>
      <c r="L78" s="47">
        <f>VLOOKUP(A78,'GHG Factors FY20'!A:L,10,FALSE)*K78</f>
        <v>8204.9385190236681</v>
      </c>
      <c r="M78" s="47">
        <f>VLOOKUP(A78,'GHG Factors FY20'!A:L,11,FALSE)*K78</f>
        <v>0</v>
      </c>
      <c r="N78" s="47">
        <f>VLOOKUP(A78,'GHG Factors FY20'!A:L,12,FALSE)*K78</f>
        <v>435.66045233753988</v>
      </c>
      <c r="O78" s="47">
        <f t="shared" si="11"/>
        <v>8640.5989713612071</v>
      </c>
    </row>
    <row r="79" spans="1:15">
      <c r="A79" t="s">
        <v>913</v>
      </c>
      <c r="B79" t="s">
        <v>1227</v>
      </c>
      <c r="C79" t="s">
        <v>711</v>
      </c>
      <c r="D79" t="s">
        <v>1234</v>
      </c>
      <c r="E79" t="s">
        <v>1213</v>
      </c>
      <c r="F79" s="7">
        <v>1033.0911932879196</v>
      </c>
      <c r="G79" s="1" t="s">
        <v>673</v>
      </c>
      <c r="H79" s="48" t="s">
        <v>658</v>
      </c>
      <c r="I79" s="48" t="s">
        <v>686</v>
      </c>
      <c r="J79" s="48">
        <f t="shared" si="7"/>
        <v>1.0330911932879197</v>
      </c>
      <c r="K79" s="48">
        <f>VLOOKUP(A79,'GHG Factors FY20'!A:L,8,FALSE)*J79</f>
        <v>35.331718810446858</v>
      </c>
      <c r="L79" s="48">
        <f>VLOOKUP(A79,'GHG Factors FY20'!A:L,10,FALSE)*K79</f>
        <v>2395.4905353482973</v>
      </c>
      <c r="M79" s="48">
        <f>VLOOKUP(A79,'GHG Factors FY20'!A:L,11,FALSE)*K79</f>
        <v>0</v>
      </c>
      <c r="N79" s="48">
        <f>VLOOKUP(A79,'GHG Factors FY20'!A:L,12,FALSE)*K79</f>
        <v>127.1941877176087</v>
      </c>
      <c r="O79" s="48">
        <f t="shared" si="11"/>
        <v>2522.6847230659059</v>
      </c>
    </row>
    <row r="80" spans="1:15">
      <c r="A80" t="s">
        <v>914</v>
      </c>
      <c r="B80" t="s">
        <v>1227</v>
      </c>
      <c r="C80" t="s">
        <v>712</v>
      </c>
      <c r="D80" t="s">
        <v>1234</v>
      </c>
      <c r="E80" t="s">
        <v>1189</v>
      </c>
      <c r="F80" s="7">
        <v>8473.1969700954724</v>
      </c>
      <c r="G80" s="1" t="s">
        <v>673</v>
      </c>
      <c r="H80" s="47" t="s">
        <v>658</v>
      </c>
      <c r="I80" s="47" t="s">
        <v>686</v>
      </c>
      <c r="J80" s="47">
        <f t="shared" si="7"/>
        <v>8.4731969700954721</v>
      </c>
      <c r="K80" s="47">
        <f>VLOOKUP(A80,'GHG Factors FY20'!A:L,8,FALSE)*J80</f>
        <v>289.78333637726519</v>
      </c>
      <c r="L80" s="47">
        <f>VLOOKUP(A80,'GHG Factors FY20'!A:L,10,FALSE)*K80</f>
        <v>19647.310206378585</v>
      </c>
      <c r="M80" s="47">
        <f>VLOOKUP(A80,'GHG Factors FY20'!A:L,11,FALSE)*K80</f>
        <v>0</v>
      </c>
      <c r="N80" s="47">
        <f>VLOOKUP(A80,'GHG Factors FY20'!A:L,12,FALSE)*K80</f>
        <v>1043.2200109581547</v>
      </c>
      <c r="O80" s="47">
        <f t="shared" si="11"/>
        <v>20690.530217336738</v>
      </c>
    </row>
    <row r="81" spans="1:15">
      <c r="A81" t="s">
        <v>915</v>
      </c>
      <c r="B81" t="s">
        <v>1227</v>
      </c>
      <c r="C81" t="s">
        <v>713</v>
      </c>
      <c r="D81" t="s">
        <v>1234</v>
      </c>
      <c r="E81" t="s">
        <v>1216</v>
      </c>
      <c r="F81" s="7">
        <v>18157.830307724686</v>
      </c>
      <c r="G81" s="1" t="s">
        <v>673</v>
      </c>
      <c r="H81" s="48" t="s">
        <v>658</v>
      </c>
      <c r="I81" s="48" t="s">
        <v>686</v>
      </c>
      <c r="J81" s="48">
        <f t="shared" si="7"/>
        <v>18.157830307724687</v>
      </c>
      <c r="K81" s="48">
        <f>VLOOKUP(A81,'GHG Factors FY20'!A:L,8,FALSE)*J81</f>
        <v>620.99779652418431</v>
      </c>
      <c r="L81" s="48">
        <f>VLOOKUP(A81,'GHG Factors FY20'!A:L,10,FALSE)*K81</f>
        <v>42103.650604339702</v>
      </c>
      <c r="M81" s="48">
        <f>VLOOKUP(A81,'GHG Factors FY20'!A:L,11,FALSE)*K81</f>
        <v>0</v>
      </c>
      <c r="N81" s="48">
        <f>VLOOKUP(A81,'GHG Factors FY20'!A:L,12,FALSE)*K81</f>
        <v>2235.5920674870636</v>
      </c>
      <c r="O81" s="48">
        <f t="shared" si="11"/>
        <v>44339.242671826767</v>
      </c>
    </row>
    <row r="82" spans="1:15">
      <c r="A82" t="s">
        <v>916</v>
      </c>
      <c r="B82" t="s">
        <v>1235</v>
      </c>
      <c r="C82" t="s">
        <v>706</v>
      </c>
      <c r="D82" t="s">
        <v>35</v>
      </c>
      <c r="E82" t="s">
        <v>1190</v>
      </c>
      <c r="F82" s="7">
        <v>0</v>
      </c>
      <c r="G82" s="1" t="s">
        <v>673</v>
      </c>
      <c r="H82" s="47" t="s">
        <v>658</v>
      </c>
      <c r="I82" s="47" t="s">
        <v>686</v>
      </c>
      <c r="J82" s="47">
        <f t="shared" si="7"/>
        <v>0</v>
      </c>
      <c r="K82" s="47">
        <f>VLOOKUP(A82,'GHG Factors FY20'!A:L,8,FALSE)*J82</f>
        <v>0</v>
      </c>
      <c r="L82" s="47">
        <f>VLOOKUP(A82,'GHG Factors FY20'!A:L,10,FALSE)*K82</f>
        <v>0</v>
      </c>
      <c r="M82" s="47">
        <f>VLOOKUP(A82,'GHG Factors FY20'!A:L,11,FALSE)*K82</f>
        <v>0</v>
      </c>
      <c r="N82" s="47">
        <f>VLOOKUP(A82,'GHG Factors FY20'!A:L,12,FALSE)*K82</f>
        <v>0</v>
      </c>
      <c r="O82" s="47">
        <f t="shared" si="11"/>
        <v>0</v>
      </c>
    </row>
    <row r="83" spans="1:15">
      <c r="A83" t="s">
        <v>917</v>
      </c>
      <c r="B83" t="s">
        <v>1235</v>
      </c>
      <c r="C83" t="s">
        <v>707</v>
      </c>
      <c r="D83" t="s">
        <v>35</v>
      </c>
      <c r="E83" t="s">
        <v>1192</v>
      </c>
      <c r="F83" s="7">
        <v>0</v>
      </c>
      <c r="G83" s="1" t="s">
        <v>673</v>
      </c>
      <c r="H83" s="48" t="s">
        <v>658</v>
      </c>
      <c r="I83" s="48" t="s">
        <v>686</v>
      </c>
      <c r="J83" s="48">
        <f t="shared" si="7"/>
        <v>0</v>
      </c>
      <c r="K83" s="48">
        <f>VLOOKUP(A83,'GHG Factors FY20'!A:L,8,FALSE)*J83</f>
        <v>0</v>
      </c>
      <c r="L83" s="48">
        <f>VLOOKUP(A83,'GHG Factors FY20'!A:L,10,FALSE)*K83</f>
        <v>0</v>
      </c>
      <c r="M83" s="48">
        <f>VLOOKUP(A83,'GHG Factors FY20'!A:L,11,FALSE)*K83</f>
        <v>0</v>
      </c>
      <c r="N83" s="48">
        <f>VLOOKUP(A83,'GHG Factors FY20'!A:L,12,FALSE)*K83</f>
        <v>0</v>
      </c>
      <c r="O83" s="48">
        <f t="shared" si="11"/>
        <v>0</v>
      </c>
    </row>
    <row r="84" spans="1:15">
      <c r="A84" t="s">
        <v>918</v>
      </c>
      <c r="B84" t="s">
        <v>1235</v>
      </c>
      <c r="C84" t="s">
        <v>708</v>
      </c>
      <c r="D84" t="s">
        <v>35</v>
      </c>
      <c r="E84" t="s">
        <v>1208</v>
      </c>
      <c r="F84" s="7">
        <v>0</v>
      </c>
      <c r="G84" s="1" t="s">
        <v>673</v>
      </c>
      <c r="H84" s="47" t="s">
        <v>658</v>
      </c>
      <c r="I84" s="47" t="s">
        <v>686</v>
      </c>
      <c r="J84" s="47">
        <f t="shared" si="7"/>
        <v>0</v>
      </c>
      <c r="K84" s="47">
        <f>VLOOKUP(A84,'GHG Factors FY20'!A:L,8,FALSE)*J84</f>
        <v>0</v>
      </c>
      <c r="L84" s="47">
        <f>VLOOKUP(A84,'GHG Factors FY20'!A:L,10,FALSE)*K84</f>
        <v>0</v>
      </c>
      <c r="M84" s="47">
        <f>VLOOKUP(A84,'GHG Factors FY20'!A:L,11,FALSE)*K84</f>
        <v>0</v>
      </c>
      <c r="N84" s="47">
        <f>VLOOKUP(A84,'GHG Factors FY20'!A:L,12,FALSE)*K84</f>
        <v>0</v>
      </c>
      <c r="O84" s="47">
        <f t="shared" si="11"/>
        <v>0</v>
      </c>
    </row>
    <row r="85" spans="1:15">
      <c r="A85" t="s">
        <v>919</v>
      </c>
      <c r="B85" t="s">
        <v>1235</v>
      </c>
      <c r="C85" t="s">
        <v>709</v>
      </c>
      <c r="D85" t="s">
        <v>35</v>
      </c>
      <c r="E85" t="s">
        <v>1210</v>
      </c>
      <c r="F85" s="7">
        <v>0</v>
      </c>
      <c r="G85" s="1" t="s">
        <v>673</v>
      </c>
      <c r="H85" s="48" t="s">
        <v>658</v>
      </c>
      <c r="I85" s="48" t="s">
        <v>686</v>
      </c>
      <c r="J85" s="48">
        <f t="shared" si="7"/>
        <v>0</v>
      </c>
      <c r="K85" s="48">
        <f>VLOOKUP(A85,'GHG Factors FY20'!A:L,8,FALSE)*J85</f>
        <v>0</v>
      </c>
      <c r="L85" s="48">
        <f>VLOOKUP(A85,'GHG Factors FY20'!A:L,10,FALSE)*K85</f>
        <v>0</v>
      </c>
      <c r="M85" s="48">
        <f>VLOOKUP(A85,'GHG Factors FY20'!A:L,11,FALSE)*K85</f>
        <v>0</v>
      </c>
      <c r="N85" s="48">
        <f>VLOOKUP(A85,'GHG Factors FY20'!A:L,12,FALSE)*K85</f>
        <v>0</v>
      </c>
      <c r="O85" s="48">
        <f t="shared" si="11"/>
        <v>0</v>
      </c>
    </row>
    <row r="86" spans="1:15">
      <c r="A86" t="s">
        <v>920</v>
      </c>
      <c r="B86" t="s">
        <v>1235</v>
      </c>
      <c r="C86" t="s">
        <v>710</v>
      </c>
      <c r="D86" t="s">
        <v>35</v>
      </c>
      <c r="E86" t="s">
        <v>1193</v>
      </c>
      <c r="F86" s="7">
        <v>0</v>
      </c>
      <c r="G86" s="1" t="s">
        <v>673</v>
      </c>
      <c r="H86" s="47" t="s">
        <v>658</v>
      </c>
      <c r="I86" s="47" t="s">
        <v>686</v>
      </c>
      <c r="J86" s="47">
        <f t="shared" si="7"/>
        <v>0</v>
      </c>
      <c r="K86" s="47">
        <f>VLOOKUP(A86,'GHG Factors FY20'!A:L,8,FALSE)*J86</f>
        <v>0</v>
      </c>
      <c r="L86" s="47">
        <f>VLOOKUP(A86,'GHG Factors FY20'!A:L,10,FALSE)*K86</f>
        <v>0</v>
      </c>
      <c r="M86" s="47">
        <f>VLOOKUP(A86,'GHG Factors FY20'!A:L,11,FALSE)*K86</f>
        <v>0</v>
      </c>
      <c r="N86" s="47">
        <f>VLOOKUP(A86,'GHG Factors FY20'!A:L,12,FALSE)*K86</f>
        <v>0</v>
      </c>
      <c r="O86" s="47">
        <f t="shared" si="11"/>
        <v>0</v>
      </c>
    </row>
    <row r="87" spans="1:15">
      <c r="A87" t="s">
        <v>921</v>
      </c>
      <c r="B87" t="s">
        <v>1235</v>
      </c>
      <c r="C87" t="s">
        <v>711</v>
      </c>
      <c r="D87" t="s">
        <v>35</v>
      </c>
      <c r="E87" t="s">
        <v>1213</v>
      </c>
      <c r="F87" s="7">
        <v>0</v>
      </c>
      <c r="G87" s="1" t="s">
        <v>673</v>
      </c>
      <c r="H87" s="48" t="s">
        <v>658</v>
      </c>
      <c r="I87" s="48" t="s">
        <v>686</v>
      </c>
      <c r="J87" s="48">
        <f t="shared" si="7"/>
        <v>0</v>
      </c>
      <c r="K87" s="48">
        <f>VLOOKUP(A87,'GHG Factors FY20'!A:L,8,FALSE)*J87</f>
        <v>0</v>
      </c>
      <c r="L87" s="48">
        <f>VLOOKUP(A87,'GHG Factors FY20'!A:L,10,FALSE)*K87</f>
        <v>0</v>
      </c>
      <c r="M87" s="48">
        <f>VLOOKUP(A87,'GHG Factors FY20'!A:L,11,FALSE)*K87</f>
        <v>0</v>
      </c>
      <c r="N87" s="48">
        <f>VLOOKUP(A87,'GHG Factors FY20'!A:L,12,FALSE)*K87</f>
        <v>0</v>
      </c>
      <c r="O87" s="48">
        <f t="shared" si="11"/>
        <v>0</v>
      </c>
    </row>
    <row r="88" spans="1:15">
      <c r="A88" t="s">
        <v>922</v>
      </c>
      <c r="B88" t="s">
        <v>1235</v>
      </c>
      <c r="C88" t="s">
        <v>712</v>
      </c>
      <c r="D88" t="s">
        <v>35</v>
      </c>
      <c r="E88" t="s">
        <v>1189</v>
      </c>
      <c r="F88" s="7">
        <v>0</v>
      </c>
      <c r="G88" s="1" t="s">
        <v>673</v>
      </c>
      <c r="H88" s="47" t="s">
        <v>658</v>
      </c>
      <c r="I88" s="47" t="s">
        <v>686</v>
      </c>
      <c r="J88" s="47">
        <f t="shared" si="7"/>
        <v>0</v>
      </c>
      <c r="K88" s="47">
        <f>VLOOKUP(A88,'GHG Factors FY20'!A:L,8,FALSE)*J88</f>
        <v>0</v>
      </c>
      <c r="L88" s="47">
        <f>VLOOKUP(A88,'GHG Factors FY20'!A:L,10,FALSE)*K88</f>
        <v>0</v>
      </c>
      <c r="M88" s="47">
        <f>VLOOKUP(A88,'GHG Factors FY20'!A:L,11,FALSE)*K88</f>
        <v>0</v>
      </c>
      <c r="N88" s="47">
        <f>VLOOKUP(A88,'GHG Factors FY20'!A:L,12,FALSE)*K88</f>
        <v>0</v>
      </c>
      <c r="O88" s="47">
        <f t="shared" si="11"/>
        <v>0</v>
      </c>
    </row>
    <row r="89" spans="1:15">
      <c r="A89" t="s">
        <v>923</v>
      </c>
      <c r="B89" t="s">
        <v>1235</v>
      </c>
      <c r="C89" t="s">
        <v>713</v>
      </c>
      <c r="D89" t="s">
        <v>35</v>
      </c>
      <c r="E89" t="s">
        <v>1216</v>
      </c>
      <c r="F89" s="7">
        <v>0</v>
      </c>
      <c r="G89" s="1" t="s">
        <v>673</v>
      </c>
      <c r="H89" s="48" t="s">
        <v>658</v>
      </c>
      <c r="I89" s="48" t="s">
        <v>686</v>
      </c>
      <c r="J89" s="48">
        <f t="shared" si="7"/>
        <v>0</v>
      </c>
      <c r="K89" s="48">
        <f>VLOOKUP(A89,'GHG Factors FY20'!A:L,8,FALSE)*J89</f>
        <v>0</v>
      </c>
      <c r="L89" s="48">
        <f>VLOOKUP(A89,'GHG Factors FY20'!A:L,10,FALSE)*K89</f>
        <v>0</v>
      </c>
      <c r="M89" s="48">
        <f>VLOOKUP(A89,'GHG Factors FY20'!A:L,11,FALSE)*K89</f>
        <v>0</v>
      </c>
      <c r="N89" s="48">
        <f>VLOOKUP(A89,'GHG Factors FY20'!A:L,12,FALSE)*K89</f>
        <v>0</v>
      </c>
      <c r="O89" s="48">
        <f t="shared" si="11"/>
        <v>0</v>
      </c>
    </row>
    <row r="90" spans="1:15">
      <c r="A90" t="s">
        <v>924</v>
      </c>
      <c r="B90" s="23" t="s">
        <v>1235</v>
      </c>
      <c r="C90" s="23" t="s">
        <v>706</v>
      </c>
      <c r="D90" s="23" t="s">
        <v>1228</v>
      </c>
      <c r="E90" s="23" t="s">
        <v>1190</v>
      </c>
      <c r="F90" s="7">
        <v>0</v>
      </c>
      <c r="G90" s="24" t="s">
        <v>673</v>
      </c>
      <c r="H90" s="47" t="s">
        <v>658</v>
      </c>
      <c r="I90" s="47" t="s">
        <v>686</v>
      </c>
      <c r="J90" s="47">
        <f t="shared" si="7"/>
        <v>0</v>
      </c>
      <c r="K90" s="47">
        <v>0</v>
      </c>
      <c r="L90" s="47">
        <v>0</v>
      </c>
      <c r="M90" s="47">
        <v>0</v>
      </c>
      <c r="N90" s="47">
        <v>0</v>
      </c>
      <c r="O90" s="47">
        <v>0</v>
      </c>
    </row>
    <row r="91" spans="1:15">
      <c r="A91" t="s">
        <v>925</v>
      </c>
      <c r="B91" s="23" t="s">
        <v>1235</v>
      </c>
      <c r="C91" s="23" t="s">
        <v>707</v>
      </c>
      <c r="D91" s="23" t="s">
        <v>1228</v>
      </c>
      <c r="E91" s="23" t="s">
        <v>1192</v>
      </c>
      <c r="F91" s="7">
        <v>0</v>
      </c>
      <c r="G91" s="24" t="s">
        <v>673</v>
      </c>
      <c r="H91" s="48" t="s">
        <v>658</v>
      </c>
      <c r="I91" s="48" t="s">
        <v>686</v>
      </c>
      <c r="J91" s="48">
        <f t="shared" si="7"/>
        <v>0</v>
      </c>
      <c r="K91" s="48">
        <v>0</v>
      </c>
      <c r="L91" s="48">
        <v>0</v>
      </c>
      <c r="M91" s="48">
        <v>0</v>
      </c>
      <c r="N91" s="48">
        <v>0</v>
      </c>
      <c r="O91" s="48">
        <v>0</v>
      </c>
    </row>
    <row r="92" spans="1:15">
      <c r="A92" t="s">
        <v>926</v>
      </c>
      <c r="B92" s="23" t="s">
        <v>1235</v>
      </c>
      <c r="C92" s="23" t="s">
        <v>712</v>
      </c>
      <c r="D92" s="23" t="s">
        <v>1228</v>
      </c>
      <c r="E92" s="23" t="s">
        <v>1189</v>
      </c>
      <c r="F92" s="7">
        <v>0</v>
      </c>
      <c r="G92" s="24" t="s">
        <v>673</v>
      </c>
      <c r="H92" s="47" t="s">
        <v>658</v>
      </c>
      <c r="I92" s="47" t="s">
        <v>686</v>
      </c>
      <c r="J92" s="47">
        <f t="shared" si="7"/>
        <v>0</v>
      </c>
      <c r="K92" s="47">
        <v>0</v>
      </c>
      <c r="L92" s="47">
        <v>0</v>
      </c>
      <c r="M92" s="47">
        <v>0</v>
      </c>
      <c r="N92" s="47">
        <v>0</v>
      </c>
      <c r="O92" s="47">
        <v>0</v>
      </c>
    </row>
    <row r="93" spans="1:15">
      <c r="A93" t="s">
        <v>927</v>
      </c>
      <c r="B93" s="23" t="s">
        <v>1235</v>
      </c>
      <c r="C93" s="23" t="s">
        <v>709</v>
      </c>
      <c r="D93" s="23" t="s">
        <v>1228</v>
      </c>
      <c r="E93" s="23" t="s">
        <v>1210</v>
      </c>
      <c r="F93" s="7">
        <v>0</v>
      </c>
      <c r="G93" s="24" t="s">
        <v>673</v>
      </c>
      <c r="H93" s="48" t="s">
        <v>658</v>
      </c>
      <c r="I93" s="48" t="s">
        <v>686</v>
      </c>
      <c r="J93" s="48">
        <f t="shared" si="7"/>
        <v>0</v>
      </c>
      <c r="K93" s="48">
        <v>0</v>
      </c>
      <c r="L93" s="48">
        <v>0</v>
      </c>
      <c r="M93" s="48">
        <v>0</v>
      </c>
      <c r="N93" s="48">
        <v>0</v>
      </c>
      <c r="O93" s="48">
        <v>0</v>
      </c>
    </row>
    <row r="94" spans="1:15">
      <c r="A94" t="s">
        <v>928</v>
      </c>
      <c r="B94" s="23" t="s">
        <v>1235</v>
      </c>
      <c r="C94" s="23" t="s">
        <v>713</v>
      </c>
      <c r="D94" s="23" t="s">
        <v>1228</v>
      </c>
      <c r="E94" s="23" t="s">
        <v>1216</v>
      </c>
      <c r="F94" s="7">
        <v>0</v>
      </c>
      <c r="G94" s="24" t="s">
        <v>673</v>
      </c>
      <c r="H94" s="47" t="s">
        <v>658</v>
      </c>
      <c r="I94" s="47" t="s">
        <v>686</v>
      </c>
      <c r="J94" s="47">
        <f t="shared" si="7"/>
        <v>0</v>
      </c>
      <c r="K94" s="47">
        <v>0</v>
      </c>
      <c r="L94" s="47">
        <v>0</v>
      </c>
      <c r="M94" s="47">
        <v>0</v>
      </c>
      <c r="N94" s="47">
        <v>0</v>
      </c>
      <c r="O94" s="47">
        <v>0</v>
      </c>
    </row>
    <row r="95" spans="1:15">
      <c r="A95" t="s">
        <v>929</v>
      </c>
      <c r="B95" s="23" t="s">
        <v>1235</v>
      </c>
      <c r="C95" s="23" t="s">
        <v>710</v>
      </c>
      <c r="D95" s="23" t="s">
        <v>1228</v>
      </c>
      <c r="E95" s="23" t="s">
        <v>1193</v>
      </c>
      <c r="F95" s="7">
        <v>0</v>
      </c>
      <c r="G95" s="24" t="s">
        <v>673</v>
      </c>
      <c r="H95" s="48" t="s">
        <v>658</v>
      </c>
      <c r="I95" s="48" t="s">
        <v>686</v>
      </c>
      <c r="J95" s="48">
        <f t="shared" si="7"/>
        <v>0</v>
      </c>
      <c r="K95" s="48">
        <v>0</v>
      </c>
      <c r="L95" s="48">
        <v>0</v>
      </c>
      <c r="M95" s="48">
        <v>0</v>
      </c>
      <c r="N95" s="48">
        <v>0</v>
      </c>
      <c r="O95" s="48">
        <v>0</v>
      </c>
    </row>
    <row r="96" spans="1:15">
      <c r="A96" t="s">
        <v>930</v>
      </c>
      <c r="B96" s="23" t="s">
        <v>1235</v>
      </c>
      <c r="C96" s="23" t="s">
        <v>711</v>
      </c>
      <c r="D96" s="23" t="s">
        <v>1228</v>
      </c>
      <c r="E96" s="23" t="s">
        <v>1213</v>
      </c>
      <c r="F96" s="7">
        <v>0</v>
      </c>
      <c r="G96" s="24" t="s">
        <v>673</v>
      </c>
      <c r="H96" s="47" t="s">
        <v>658</v>
      </c>
      <c r="I96" s="47" t="s">
        <v>686</v>
      </c>
      <c r="J96" s="47">
        <f t="shared" si="7"/>
        <v>0</v>
      </c>
      <c r="K96" s="47">
        <v>0</v>
      </c>
      <c r="L96" s="47">
        <v>0</v>
      </c>
      <c r="M96" s="47">
        <v>0</v>
      </c>
      <c r="N96" s="47">
        <v>0</v>
      </c>
      <c r="O96" s="47">
        <v>0</v>
      </c>
    </row>
    <row r="97" spans="1:15">
      <c r="A97" t="s">
        <v>931</v>
      </c>
      <c r="B97" s="23" t="s">
        <v>1235</v>
      </c>
      <c r="C97" s="23" t="s">
        <v>708</v>
      </c>
      <c r="D97" s="23" t="s">
        <v>1228</v>
      </c>
      <c r="E97" s="23" t="s">
        <v>1208</v>
      </c>
      <c r="F97" s="7">
        <v>0</v>
      </c>
      <c r="G97" s="24" t="s">
        <v>673</v>
      </c>
      <c r="H97" s="48" t="s">
        <v>658</v>
      </c>
      <c r="I97" s="48" t="s">
        <v>686</v>
      </c>
      <c r="J97" s="48">
        <f t="shared" si="7"/>
        <v>0</v>
      </c>
      <c r="K97" s="48">
        <v>0</v>
      </c>
      <c r="L97" s="48">
        <v>0</v>
      </c>
      <c r="M97" s="48">
        <v>0</v>
      </c>
      <c r="N97" s="48">
        <v>0</v>
      </c>
      <c r="O97" s="48">
        <v>0</v>
      </c>
    </row>
    <row r="98" spans="1:15">
      <c r="A98" t="s">
        <v>932</v>
      </c>
      <c r="B98" t="s">
        <v>1235</v>
      </c>
      <c r="C98" t="s">
        <v>706</v>
      </c>
      <c r="D98" t="s">
        <v>1234</v>
      </c>
      <c r="E98" t="s">
        <v>1190</v>
      </c>
      <c r="F98" s="7">
        <v>0</v>
      </c>
      <c r="G98" s="1" t="s">
        <v>673</v>
      </c>
      <c r="H98" s="47" t="s">
        <v>658</v>
      </c>
      <c r="I98" s="47" t="s">
        <v>686</v>
      </c>
      <c r="J98" s="47">
        <f t="shared" si="7"/>
        <v>0</v>
      </c>
      <c r="K98" s="47">
        <f>VLOOKUP(A98,'GHG Factors FY20'!A:L,8,FALSE)*J98</f>
        <v>0</v>
      </c>
      <c r="L98" s="47">
        <f>VLOOKUP(A98,'GHG Factors FY20'!A:L,10,FALSE)*K98</f>
        <v>0</v>
      </c>
      <c r="M98" s="47">
        <f>VLOOKUP(A98,'GHG Factors FY20'!A:L,11,FALSE)*K98</f>
        <v>0</v>
      </c>
      <c r="N98" s="47">
        <f>VLOOKUP(A98,'GHG Factors FY20'!A:L,12,FALSE)*K98</f>
        <v>0</v>
      </c>
      <c r="O98" s="47">
        <f t="shared" ref="O98:O105" si="12">SUM(L98,M98,N98)</f>
        <v>0</v>
      </c>
    </row>
    <row r="99" spans="1:15">
      <c r="A99" t="s">
        <v>933</v>
      </c>
      <c r="B99" t="s">
        <v>1235</v>
      </c>
      <c r="C99" t="s">
        <v>707</v>
      </c>
      <c r="D99" t="s">
        <v>1234</v>
      </c>
      <c r="E99" t="s">
        <v>1192</v>
      </c>
      <c r="F99" s="7">
        <v>0</v>
      </c>
      <c r="G99" s="1" t="s">
        <v>673</v>
      </c>
      <c r="H99" s="48" t="s">
        <v>658</v>
      </c>
      <c r="I99" s="48" t="s">
        <v>686</v>
      </c>
      <c r="J99" s="48">
        <f t="shared" si="7"/>
        <v>0</v>
      </c>
      <c r="K99" s="48">
        <f>VLOOKUP(A99,'GHG Factors FY20'!A:L,8,FALSE)*J99</f>
        <v>0</v>
      </c>
      <c r="L99" s="48">
        <f>VLOOKUP(A99,'GHG Factors FY20'!A:L,10,FALSE)*K99</f>
        <v>0</v>
      </c>
      <c r="M99" s="48">
        <f>VLOOKUP(A99,'GHG Factors FY20'!A:L,11,FALSE)*K99</f>
        <v>0</v>
      </c>
      <c r="N99" s="48">
        <f>VLOOKUP(A99,'GHG Factors FY20'!A:L,12,FALSE)*K99</f>
        <v>0</v>
      </c>
      <c r="O99" s="48">
        <f t="shared" si="12"/>
        <v>0</v>
      </c>
    </row>
    <row r="100" spans="1:15">
      <c r="A100" t="s">
        <v>934</v>
      </c>
      <c r="B100" t="s">
        <v>1235</v>
      </c>
      <c r="C100" t="s">
        <v>708</v>
      </c>
      <c r="D100" t="s">
        <v>1234</v>
      </c>
      <c r="E100" t="s">
        <v>1208</v>
      </c>
      <c r="F100" s="7">
        <v>0</v>
      </c>
      <c r="G100" s="1" t="s">
        <v>673</v>
      </c>
      <c r="H100" s="47" t="s">
        <v>658</v>
      </c>
      <c r="I100" s="47" t="s">
        <v>686</v>
      </c>
      <c r="J100" s="47">
        <f t="shared" si="7"/>
        <v>0</v>
      </c>
      <c r="K100" s="47">
        <f>VLOOKUP(A100,'GHG Factors FY20'!A:L,8,FALSE)*J100</f>
        <v>0</v>
      </c>
      <c r="L100" s="47">
        <f>VLOOKUP(A100,'GHG Factors FY20'!A:L,10,FALSE)*K100</f>
        <v>0</v>
      </c>
      <c r="M100" s="47">
        <f>VLOOKUP(A100,'GHG Factors FY20'!A:L,11,FALSE)*K100</f>
        <v>0</v>
      </c>
      <c r="N100" s="47">
        <f>VLOOKUP(A100,'GHG Factors FY20'!A:L,12,FALSE)*K100</f>
        <v>0</v>
      </c>
      <c r="O100" s="47">
        <f t="shared" si="12"/>
        <v>0</v>
      </c>
    </row>
    <row r="101" spans="1:15">
      <c r="A101" t="s">
        <v>935</v>
      </c>
      <c r="B101" t="s">
        <v>1235</v>
      </c>
      <c r="C101" t="s">
        <v>709</v>
      </c>
      <c r="D101" t="s">
        <v>1234</v>
      </c>
      <c r="E101" t="s">
        <v>1210</v>
      </c>
      <c r="F101" s="7">
        <v>0</v>
      </c>
      <c r="G101" s="1" t="s">
        <v>673</v>
      </c>
      <c r="H101" s="48" t="s">
        <v>658</v>
      </c>
      <c r="I101" s="48" t="s">
        <v>686</v>
      </c>
      <c r="J101" s="48">
        <f t="shared" si="7"/>
        <v>0</v>
      </c>
      <c r="K101" s="48">
        <f>VLOOKUP(A101,'GHG Factors FY20'!A:L,8,FALSE)*J101</f>
        <v>0</v>
      </c>
      <c r="L101" s="48">
        <f>VLOOKUP(A101,'GHG Factors FY20'!A:L,10,FALSE)*K101</f>
        <v>0</v>
      </c>
      <c r="M101" s="48">
        <f>VLOOKUP(A101,'GHG Factors FY20'!A:L,11,FALSE)*K101</f>
        <v>0</v>
      </c>
      <c r="N101" s="48">
        <f>VLOOKUP(A101,'GHG Factors FY20'!A:L,12,FALSE)*K101</f>
        <v>0</v>
      </c>
      <c r="O101" s="48">
        <f t="shared" si="12"/>
        <v>0</v>
      </c>
    </row>
    <row r="102" spans="1:15">
      <c r="A102" t="s">
        <v>936</v>
      </c>
      <c r="B102" t="s">
        <v>1235</v>
      </c>
      <c r="C102" t="s">
        <v>710</v>
      </c>
      <c r="D102" t="s">
        <v>1234</v>
      </c>
      <c r="E102" t="s">
        <v>1193</v>
      </c>
      <c r="F102" s="7">
        <v>0</v>
      </c>
      <c r="G102" s="1" t="s">
        <v>673</v>
      </c>
      <c r="H102" s="47" t="s">
        <v>658</v>
      </c>
      <c r="I102" s="47" t="s">
        <v>686</v>
      </c>
      <c r="J102" s="47">
        <f t="shared" si="7"/>
        <v>0</v>
      </c>
      <c r="K102" s="47">
        <f>VLOOKUP(A102,'GHG Factors FY20'!A:L,8,FALSE)*J102</f>
        <v>0</v>
      </c>
      <c r="L102" s="47">
        <f>VLOOKUP(A102,'GHG Factors FY20'!A:L,10,FALSE)*K102</f>
        <v>0</v>
      </c>
      <c r="M102" s="47">
        <f>VLOOKUP(A102,'GHG Factors FY20'!A:L,11,FALSE)*K102</f>
        <v>0</v>
      </c>
      <c r="N102" s="47">
        <f>VLOOKUP(A102,'GHG Factors FY20'!A:L,12,FALSE)*K102</f>
        <v>0</v>
      </c>
      <c r="O102" s="47">
        <f t="shared" si="12"/>
        <v>0</v>
      </c>
    </row>
    <row r="103" spans="1:15">
      <c r="A103" t="s">
        <v>937</v>
      </c>
      <c r="B103" t="s">
        <v>1235</v>
      </c>
      <c r="C103" t="s">
        <v>711</v>
      </c>
      <c r="D103" t="s">
        <v>1234</v>
      </c>
      <c r="E103" t="s">
        <v>1213</v>
      </c>
      <c r="F103" s="7">
        <v>0</v>
      </c>
      <c r="G103" s="1" t="s">
        <v>673</v>
      </c>
      <c r="H103" s="48" t="s">
        <v>658</v>
      </c>
      <c r="I103" s="48" t="s">
        <v>686</v>
      </c>
      <c r="J103" s="48">
        <f t="shared" si="7"/>
        <v>0</v>
      </c>
      <c r="K103" s="48">
        <f>VLOOKUP(A103,'GHG Factors FY20'!A:L,8,FALSE)*J103</f>
        <v>0</v>
      </c>
      <c r="L103" s="48">
        <f>VLOOKUP(A103,'GHG Factors FY20'!A:L,10,FALSE)*K103</f>
        <v>0</v>
      </c>
      <c r="M103" s="48">
        <f>VLOOKUP(A103,'GHG Factors FY20'!A:L,11,FALSE)*K103</f>
        <v>0</v>
      </c>
      <c r="N103" s="48">
        <f>VLOOKUP(A103,'GHG Factors FY20'!A:L,12,FALSE)*K103</f>
        <v>0</v>
      </c>
      <c r="O103" s="48">
        <f t="shared" si="12"/>
        <v>0</v>
      </c>
    </row>
    <row r="104" spans="1:15">
      <c r="A104" t="s">
        <v>938</v>
      </c>
      <c r="B104" t="s">
        <v>1235</v>
      </c>
      <c r="C104" t="s">
        <v>712</v>
      </c>
      <c r="D104" t="s">
        <v>1234</v>
      </c>
      <c r="E104" t="s">
        <v>1189</v>
      </c>
      <c r="F104" s="7">
        <v>0</v>
      </c>
      <c r="G104" s="1" t="s">
        <v>673</v>
      </c>
      <c r="H104" s="47" t="s">
        <v>658</v>
      </c>
      <c r="I104" s="47" t="s">
        <v>686</v>
      </c>
      <c r="J104" s="47">
        <f t="shared" si="7"/>
        <v>0</v>
      </c>
      <c r="K104" s="47">
        <f>VLOOKUP(A104,'GHG Factors FY20'!A:L,8,FALSE)*J104</f>
        <v>0</v>
      </c>
      <c r="L104" s="47">
        <f>VLOOKUP(A104,'GHG Factors FY20'!A:L,10,FALSE)*K104</f>
        <v>0</v>
      </c>
      <c r="M104" s="47">
        <f>VLOOKUP(A104,'GHG Factors FY20'!A:L,11,FALSE)*K104</f>
        <v>0</v>
      </c>
      <c r="N104" s="47">
        <f>VLOOKUP(A104,'GHG Factors FY20'!A:L,12,FALSE)*K104</f>
        <v>0</v>
      </c>
      <c r="O104" s="47">
        <f t="shared" si="12"/>
        <v>0</v>
      </c>
    </row>
    <row r="105" spans="1:15">
      <c r="A105" t="s">
        <v>939</v>
      </c>
      <c r="B105" t="s">
        <v>1235</v>
      </c>
      <c r="C105" t="s">
        <v>713</v>
      </c>
      <c r="D105" t="s">
        <v>1234</v>
      </c>
      <c r="E105" t="s">
        <v>1216</v>
      </c>
      <c r="F105" s="7">
        <v>0</v>
      </c>
      <c r="G105" s="1" t="s">
        <v>673</v>
      </c>
      <c r="H105" s="48" t="s">
        <v>658</v>
      </c>
      <c r="I105" s="48" t="s">
        <v>686</v>
      </c>
      <c r="J105" s="48">
        <f t="shared" si="7"/>
        <v>0</v>
      </c>
      <c r="K105" s="48">
        <f>VLOOKUP(A105,'GHG Factors FY20'!A:L,8,FALSE)*J105</f>
        <v>0</v>
      </c>
      <c r="L105" s="48">
        <f>VLOOKUP(A105,'GHG Factors FY20'!A:L,10,FALSE)*K105</f>
        <v>0</v>
      </c>
      <c r="M105" s="48">
        <f>VLOOKUP(A105,'GHG Factors FY20'!A:L,11,FALSE)*K105</f>
        <v>0</v>
      </c>
      <c r="N105" s="48">
        <f>VLOOKUP(A105,'GHG Factors FY20'!A:L,12,FALSE)*K105</f>
        <v>0</v>
      </c>
      <c r="O105" s="48">
        <f t="shared" si="12"/>
        <v>0</v>
      </c>
    </row>
    <row r="106" spans="1:15">
      <c r="F106" s="7">
        <f>SUM(NET_Genset_Grounds2918[Production Quantity])</f>
        <v>970097.92383172468</v>
      </c>
    </row>
    <row r="107" spans="1:15">
      <c r="F107" s="7">
        <f>SUM(NET_Genset_Grounds2918[Production Quantity])</f>
        <v>970097.92383172468</v>
      </c>
    </row>
    <row r="108" spans="1:15">
      <c r="F108" s="7">
        <f>SUM(NET_Genset_Grounds2918[Production Quantity])</f>
        <v>970097.92383172468</v>
      </c>
    </row>
    <row r="109" spans="1:15">
      <c r="F109" s="7">
        <f>SUM(NET_Genset_Grounds2918[Production Quantity])</f>
        <v>970097.92383172468</v>
      </c>
    </row>
    <row r="110" spans="1:15">
      <c r="F110" s="7">
        <f>SUM(NET_Genset_Grounds2918[Production Quantity])</f>
        <v>970097.92383172468</v>
      </c>
    </row>
    <row r="111" spans="1:15">
      <c r="F111" s="7">
        <f>SUM(NET_Genset_Grounds2918[Production Quantity])</f>
        <v>970097.92383172468</v>
      </c>
    </row>
    <row r="112" spans="1:15">
      <c r="F112" s="7">
        <f>SUM(NET_Genset_Grounds2918[Production Quantity])</f>
        <v>970097.92383172468</v>
      </c>
    </row>
    <row r="113" spans="6:6">
      <c r="F113" s="7">
        <f>SUM(NET_Genset_Grounds2918[Production Quantity])</f>
        <v>970097.92383172468</v>
      </c>
    </row>
    <row r="114" spans="6:6">
      <c r="F114" s="7">
        <f>SUM(NET_Genset_Grounds2918[Production Quantity])</f>
        <v>970097.92383172468</v>
      </c>
    </row>
    <row r="115" spans="6:6">
      <c r="F115" s="7">
        <f>SUM(NET_Genset_Grounds2918[Production Quantity])</f>
        <v>970097.92383172468</v>
      </c>
    </row>
    <row r="116" spans="6:6">
      <c r="F116" s="7">
        <f>SUM(NET_Genset_Grounds2918[Production Quantity])</f>
        <v>970097.92383172468</v>
      </c>
    </row>
    <row r="117" spans="6:6">
      <c r="F117" s="7">
        <f>SUM(NET_Genset_Grounds2918[Production Quantity])</f>
        <v>970097.92383172468</v>
      </c>
    </row>
    <row r="118" spans="6:6">
      <c r="F118" s="7">
        <f>SUM(NET_Genset_Grounds2918[Production Quantity])</f>
        <v>970097.92383172468</v>
      </c>
    </row>
    <row r="119" spans="6:6">
      <c r="F119" s="7">
        <f>SUM(NET_Genset_Grounds2918[Production Quantity])</f>
        <v>970097.92383172468</v>
      </c>
    </row>
    <row r="120" spans="6:6">
      <c r="F120" s="7">
        <f>SUM(NET_Genset_Grounds2918[Production Quantity])</f>
        <v>970097.92383172468</v>
      </c>
    </row>
    <row r="121" spans="6:6">
      <c r="F121" s="7">
        <f>SUM(NET_Genset_Grounds2918[Production Quantity])</f>
        <v>970097.92383172468</v>
      </c>
    </row>
    <row r="122" spans="6:6">
      <c r="F122" s="7">
        <f>SUM(NET_Genset_Grounds2918[Production Quantity])</f>
        <v>970097.92383172468</v>
      </c>
    </row>
    <row r="123" spans="6:6">
      <c r="F123" s="7">
        <f>SUM(NET_Genset_Grounds2918[Production Quantity])</f>
        <v>970097.92383172468</v>
      </c>
    </row>
    <row r="124" spans="6:6">
      <c r="F124" s="7">
        <f>SUM(NET_Genset_Grounds2918[Production Quantity])</f>
        <v>970097.92383172468</v>
      </c>
    </row>
    <row r="125" spans="6:6">
      <c r="F125" s="7">
        <f>SUM(NET_Genset_Grounds2918[Production Quantity])</f>
        <v>970097.92383172468</v>
      </c>
    </row>
    <row r="126" spans="6:6">
      <c r="F126" s="7">
        <f>SUM(NET_Genset_Grounds2918[Production Quantity])</f>
        <v>970097.92383172468</v>
      </c>
    </row>
    <row r="127" spans="6:6">
      <c r="F127" s="7">
        <f>SUM(NET_Genset_Grounds2918[Production Quantity])</f>
        <v>970097.92383172468</v>
      </c>
    </row>
    <row r="128" spans="6:6">
      <c r="F128" s="7">
        <f>SUM(NET_Genset_Grounds2918[Production Quantity])</f>
        <v>970097.92383172468</v>
      </c>
    </row>
    <row r="129" spans="6:6">
      <c r="F129" s="7">
        <f>SUM(NET_Genset_Grounds2918[Production Quantity])</f>
        <v>970097.92383172468</v>
      </c>
    </row>
    <row r="130" spans="6:6">
      <c r="F130" s="7">
        <f>SUM(NET_Genset_Grounds2918[Production Quantity])</f>
        <v>970097.92383172468</v>
      </c>
    </row>
    <row r="131" spans="6:6">
      <c r="F131" s="7">
        <f>SUM(NET_Genset_Grounds2918[Production Quantity])</f>
        <v>970097.92383172468</v>
      </c>
    </row>
    <row r="132" spans="6:6">
      <c r="F132" s="7">
        <f>SUM(NET_Genset_Grounds2918[Production Quantity])</f>
        <v>970097.92383172468</v>
      </c>
    </row>
    <row r="133" spans="6:6">
      <c r="F133" s="7">
        <f>SUM(NET_Genset_Grounds2918[Production Quantity])</f>
        <v>970097.92383172468</v>
      </c>
    </row>
    <row r="134" spans="6:6">
      <c r="F134" s="7">
        <f>SUM(NET_Genset_Grounds2918[Production Quantity])</f>
        <v>970097.92383172468</v>
      </c>
    </row>
    <row r="135" spans="6:6">
      <c r="F135" s="7">
        <f>SUM(NET_Genset_Grounds2918[Production Quantity])</f>
        <v>970097.92383172468</v>
      </c>
    </row>
    <row r="136" spans="6:6">
      <c r="F136" s="7">
        <f>SUM(NET_Genset_Grounds2918[Production Quantity])</f>
        <v>970097.92383172468</v>
      </c>
    </row>
    <row r="137" spans="6:6">
      <c r="F137" s="7">
        <f>SUM(NET_Genset_Grounds2918[Production Quantity])</f>
        <v>970097.92383172468</v>
      </c>
    </row>
    <row r="138" spans="6:6">
      <c r="F138" s="7">
        <f>SUM(NET_Genset_Grounds2918[Production Quantity])</f>
        <v>970097.92383172468</v>
      </c>
    </row>
  </sheetData>
  <pageMargins left="0.7" right="0.7" top="0.75" bottom="0.75" header="0.3" footer="0.3"/>
  <pageSetup paperSize="9"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2FE75-2F40-4D35-977F-08CEB059B707}">
  <sheetPr codeName="Sheet2"/>
  <dimension ref="A2:D30"/>
  <sheetViews>
    <sheetView workbookViewId="0">
      <selection activeCell="C47" sqref="C47"/>
    </sheetView>
  </sheetViews>
  <sheetFormatPr defaultColWidth="8.59765625" defaultRowHeight="13.8"/>
  <cols>
    <col min="1" max="1" width="38" style="178" customWidth="1"/>
    <col min="2" max="3" width="13.59765625" style="178" customWidth="1"/>
    <col min="4" max="4" width="52.3984375" style="178" customWidth="1"/>
    <col min="5" max="16384" width="8.59765625" style="178"/>
  </cols>
  <sheetData>
    <row r="2" spans="1:4">
      <c r="A2" s="229" t="s">
        <v>54</v>
      </c>
      <c r="B2" s="229" t="s">
        <v>55</v>
      </c>
      <c r="C2" s="229" t="s">
        <v>56</v>
      </c>
      <c r="D2" s="229" t="s">
        <v>57</v>
      </c>
    </row>
    <row r="3" spans="1:4">
      <c r="A3" s="227" t="s">
        <v>58</v>
      </c>
      <c r="B3" s="230">
        <v>44323</v>
      </c>
      <c r="C3" s="227" t="s">
        <v>59</v>
      </c>
      <c r="D3" s="227" t="s">
        <v>60</v>
      </c>
    </row>
    <row r="4" spans="1:4">
      <c r="A4" s="227" t="s">
        <v>61</v>
      </c>
      <c r="B4" s="230">
        <v>44365</v>
      </c>
      <c r="C4" s="230" t="s">
        <v>59</v>
      </c>
      <c r="D4" s="228" t="s">
        <v>62</v>
      </c>
    </row>
    <row r="5" spans="1:4" ht="15" customHeight="1">
      <c r="A5" s="227" t="s">
        <v>63</v>
      </c>
      <c r="B5" s="230">
        <v>44386</v>
      </c>
      <c r="C5" s="230" t="s">
        <v>59</v>
      </c>
      <c r="D5" s="228" t="s">
        <v>64</v>
      </c>
    </row>
    <row r="6" spans="1:4">
      <c r="A6" s="227" t="s">
        <v>65</v>
      </c>
      <c r="B6" s="230">
        <v>44389</v>
      </c>
      <c r="C6" s="230" t="s">
        <v>59</v>
      </c>
      <c r="D6" s="228" t="s">
        <v>66</v>
      </c>
    </row>
    <row r="7" spans="1:4" ht="26.4">
      <c r="A7" s="227" t="s">
        <v>67</v>
      </c>
      <c r="B7" s="230">
        <v>44392</v>
      </c>
      <c r="C7" s="230" t="s">
        <v>59</v>
      </c>
      <c r="D7" s="228" t="s">
        <v>68</v>
      </c>
    </row>
    <row r="8" spans="1:4" ht="26.4">
      <c r="A8" s="227" t="s">
        <v>69</v>
      </c>
      <c r="B8" s="230">
        <v>44393</v>
      </c>
      <c r="C8" s="230" t="s">
        <v>59</v>
      </c>
      <c r="D8" s="228" t="s">
        <v>70</v>
      </c>
    </row>
    <row r="9" spans="1:4" ht="26.4">
      <c r="A9" s="227" t="s">
        <v>71</v>
      </c>
      <c r="B9" s="230">
        <v>44398</v>
      </c>
      <c r="C9" s="230" t="s">
        <v>59</v>
      </c>
      <c r="D9" s="228" t="s">
        <v>72</v>
      </c>
    </row>
    <row r="10" spans="1:4" ht="26.4">
      <c r="A10" s="227" t="s">
        <v>73</v>
      </c>
      <c r="B10" s="230">
        <v>44418</v>
      </c>
      <c r="C10" s="230" t="s">
        <v>59</v>
      </c>
      <c r="D10" s="889" t="s">
        <v>74</v>
      </c>
    </row>
    <row r="11" spans="1:4">
      <c r="A11" s="227" t="s">
        <v>75</v>
      </c>
      <c r="B11" s="230">
        <v>44421</v>
      </c>
      <c r="C11" s="227" t="s">
        <v>59</v>
      </c>
      <c r="D11" s="227" t="s">
        <v>76</v>
      </c>
    </row>
    <row r="12" spans="1:4">
      <c r="A12" s="227" t="s">
        <v>77</v>
      </c>
      <c r="B12" s="230">
        <v>44425</v>
      </c>
      <c r="C12" s="227" t="s">
        <v>78</v>
      </c>
      <c r="D12" s="227" t="s">
        <v>79</v>
      </c>
    </row>
    <row r="13" spans="1:4">
      <c r="A13" s="227"/>
      <c r="B13" s="230"/>
      <c r="C13" s="227"/>
      <c r="D13" s="227"/>
    </row>
    <row r="14" spans="1:4">
      <c r="A14" s="630"/>
      <c r="B14" s="631"/>
      <c r="C14" s="630"/>
      <c r="D14" s="630"/>
    </row>
    <row r="15" spans="1:4">
      <c r="A15" s="630"/>
      <c r="B15" s="631"/>
      <c r="C15" s="630"/>
      <c r="D15" s="630"/>
    </row>
    <row r="16" spans="1:4">
      <c r="A16" s="630"/>
      <c r="B16" s="631"/>
      <c r="C16" s="630"/>
      <c r="D16" s="630"/>
    </row>
    <row r="17" spans="1:4">
      <c r="A17" s="630"/>
      <c r="B17" s="631"/>
      <c r="C17" s="630"/>
      <c r="D17" s="630"/>
    </row>
    <row r="19" spans="1:4">
      <c r="A19" s="178" t="s">
        <v>80</v>
      </c>
    </row>
    <row r="20" spans="1:4">
      <c r="A20" s="224"/>
      <c r="B20" s="178" t="s">
        <v>81</v>
      </c>
    </row>
    <row r="22" spans="1:4">
      <c r="A22" s="225"/>
      <c r="B22" s="178" t="s">
        <v>82</v>
      </c>
    </row>
    <row r="24" spans="1:4">
      <c r="A24" s="226"/>
      <c r="B24" s="178" t="s">
        <v>83</v>
      </c>
    </row>
    <row r="26" spans="1:4">
      <c r="A26" s="69"/>
      <c r="B26" s="178" t="s">
        <v>84</v>
      </c>
    </row>
    <row r="28" spans="1:4">
      <c r="A28" s="33"/>
      <c r="B28" s="178" t="s">
        <v>85</v>
      </c>
    </row>
    <row r="30" spans="1:4">
      <c r="A30" s="484"/>
      <c r="B30" s="178" t="s">
        <v>86</v>
      </c>
    </row>
  </sheetData>
  <phoneticPr fontId="353"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00B050"/>
  </sheetPr>
  <dimension ref="A1:R43"/>
  <sheetViews>
    <sheetView zoomScale="70" zoomScaleNormal="70" workbookViewId="0">
      <selection activeCell="F4" sqref="F4"/>
    </sheetView>
  </sheetViews>
  <sheetFormatPr defaultColWidth="8.8984375" defaultRowHeight="13.8"/>
  <cols>
    <col min="1" max="1" width="49.09765625" customWidth="1"/>
    <col min="2" max="2" width="14.59765625" bestFit="1" customWidth="1"/>
    <col min="3" max="3" width="13.59765625" customWidth="1"/>
    <col min="4" max="4" width="16.59765625" customWidth="1"/>
    <col min="5" max="5" width="18.59765625" customWidth="1"/>
    <col min="6" max="6" width="6.59765625" bestFit="1" customWidth="1"/>
    <col min="7" max="7" width="7.5" bestFit="1" customWidth="1"/>
    <col min="8" max="8" width="25.59765625" bestFit="1" customWidth="1"/>
    <col min="9" max="9" width="18.09765625" bestFit="1" customWidth="1"/>
    <col min="10" max="10" width="22.59765625" bestFit="1" customWidth="1"/>
    <col min="11" max="14" width="8.59765625" bestFit="1" customWidth="1"/>
    <col min="15" max="15" width="14.59765625" bestFit="1" customWidth="1"/>
    <col min="16" max="16" width="19.59765625" bestFit="1" customWidth="1"/>
    <col min="17" max="17" width="21.59765625" bestFit="1" customWidth="1"/>
    <col min="18" max="18" width="32.09765625" bestFit="1" customWidth="1"/>
    <col min="19" max="19" width="6.59765625" bestFit="1" customWidth="1"/>
    <col min="20" max="20" width="7.5" bestFit="1" customWidth="1"/>
    <col min="21" max="21" width="22.59765625" bestFit="1" customWidth="1"/>
    <col min="22" max="22" width="18.09765625" bestFit="1" customWidth="1"/>
    <col min="23" max="23" width="29.5" bestFit="1" customWidth="1"/>
    <col min="24" max="24" width="15.09765625" bestFit="1" customWidth="1"/>
    <col min="25" max="25" width="27.59765625" bestFit="1" customWidth="1"/>
    <col min="26" max="26" width="15.59765625" bestFit="1" customWidth="1"/>
  </cols>
  <sheetData>
    <row r="1" spans="1:18">
      <c r="A1" s="813" t="s">
        <v>91</v>
      </c>
      <c r="B1" s="813" t="s">
        <v>1199</v>
      </c>
    </row>
    <row r="2" spans="1:18">
      <c r="A2" t="s">
        <v>750</v>
      </c>
      <c r="B2" t="s">
        <v>646</v>
      </c>
      <c r="C2" t="s">
        <v>647</v>
      </c>
      <c r="D2" t="s">
        <v>648</v>
      </c>
      <c r="E2" t="s">
        <v>1200</v>
      </c>
      <c r="F2" t="s">
        <v>156</v>
      </c>
      <c r="G2" t="s">
        <v>1187</v>
      </c>
      <c r="H2" t="s">
        <v>1219</v>
      </c>
      <c r="I2" t="s">
        <v>1226</v>
      </c>
      <c r="J2" t="s">
        <v>781</v>
      </c>
      <c r="K2" s="37" t="s">
        <v>649</v>
      </c>
      <c r="L2" s="37" t="s">
        <v>684</v>
      </c>
      <c r="M2" s="37" t="s">
        <v>650</v>
      </c>
      <c r="N2" s="37" t="s">
        <v>651</v>
      </c>
      <c r="O2" s="37" t="s">
        <v>652</v>
      </c>
      <c r="P2" s="37" t="s">
        <v>653</v>
      </c>
      <c r="Q2" s="37" t="s">
        <v>654</v>
      </c>
      <c r="R2" s="37" t="s">
        <v>751</v>
      </c>
    </row>
    <row r="3" spans="1:18">
      <c r="A3" t="s">
        <v>940</v>
      </c>
      <c r="B3" t="s">
        <v>155</v>
      </c>
      <c r="C3" t="s">
        <v>656</v>
      </c>
      <c r="D3" t="s">
        <v>666</v>
      </c>
      <c r="E3" t="s">
        <v>714</v>
      </c>
      <c r="F3" t="s">
        <v>35</v>
      </c>
      <c r="G3" t="s">
        <v>1190</v>
      </c>
      <c r="H3" s="431">
        <v>463.00010000000003</v>
      </c>
      <c r="I3" t="s">
        <v>673</v>
      </c>
      <c r="J3">
        <f>NON_Genset30[[#This Row],[Consumption Quantity (L)]]/1000</f>
        <v>0.46300010000000003</v>
      </c>
      <c r="K3" t="s">
        <v>658</v>
      </c>
      <c r="L3" t="s">
        <v>686</v>
      </c>
      <c r="M3">
        <f t="shared" ref="M3:M18" si="0">J3</f>
        <v>0.46300010000000003</v>
      </c>
      <c r="N3">
        <f>VLOOKUP(A3,'GHG Factors FY21'!A:L,8,FALSE)*M3</f>
        <v>17.87180386</v>
      </c>
      <c r="O3">
        <f>VLOOKUP(A3,'GHG Factors FY21'!A:L,10,FALSE)*N3</f>
        <v>1254.6006309720001</v>
      </c>
      <c r="P3">
        <f>VLOOKUP(A3,'GHG Factors FY21'!A:L,11,FALSE)*N3</f>
        <v>0</v>
      </c>
      <c r="Q3">
        <f>VLOOKUP(A3,'GHG Factors FY21'!A:L,12,FALSE)*N3</f>
        <v>64.338493896000003</v>
      </c>
      <c r="R3">
        <f>SUM(O3,P3,Q3)</f>
        <v>1318.9391248680001</v>
      </c>
    </row>
    <row r="4" spans="1:18">
      <c r="A4" t="s">
        <v>941</v>
      </c>
      <c r="B4" t="s">
        <v>155</v>
      </c>
      <c r="C4" t="s">
        <v>656</v>
      </c>
      <c r="D4" t="s">
        <v>666</v>
      </c>
      <c r="E4" t="s">
        <v>715</v>
      </c>
      <c r="F4" t="s">
        <v>35</v>
      </c>
      <c r="G4" t="s">
        <v>1192</v>
      </c>
      <c r="H4" s="431">
        <v>431.99969999999996</v>
      </c>
      <c r="I4" t="s">
        <v>673</v>
      </c>
      <c r="J4">
        <f>NON_Genset30[[#This Row],[Consumption Quantity (L)]]/1000</f>
        <v>0.43199969999999999</v>
      </c>
      <c r="K4" t="s">
        <v>658</v>
      </c>
      <c r="L4" t="s">
        <v>686</v>
      </c>
      <c r="M4">
        <f t="shared" si="0"/>
        <v>0.43199969999999999</v>
      </c>
      <c r="N4">
        <f>VLOOKUP(A4,'GHG Factors FY21'!A:L,8,FALSE)*M4</f>
        <v>16.675188420000001</v>
      </c>
      <c r="O4">
        <f>VLOOKUP(A4,'GHG Factors FY21'!A:L,10,FALSE)*N4</f>
        <v>1170.5982270840002</v>
      </c>
      <c r="P4">
        <f>VLOOKUP(A4,'GHG Factors FY21'!A:L,11,FALSE)*N4</f>
        <v>0</v>
      </c>
      <c r="Q4">
        <f>VLOOKUP(A4,'GHG Factors FY21'!A:L,12,FALSE)*N4</f>
        <v>60.030678312000006</v>
      </c>
      <c r="R4">
        <f>SUM(O4,P4,Q4)</f>
        <v>1230.6289053960002</v>
      </c>
    </row>
    <row r="5" spans="1:18" s="23" customFormat="1">
      <c r="A5" t="s">
        <v>942</v>
      </c>
      <c r="B5" s="23" t="s">
        <v>155</v>
      </c>
      <c r="C5" s="23" t="s">
        <v>656</v>
      </c>
      <c r="D5" s="23" t="s">
        <v>666</v>
      </c>
      <c r="E5" s="23" t="s">
        <v>716</v>
      </c>
      <c r="F5" s="23" t="s">
        <v>35</v>
      </c>
      <c r="G5" s="23" t="s">
        <v>1208</v>
      </c>
      <c r="H5" s="431">
        <v>0</v>
      </c>
      <c r="I5" s="23" t="s">
        <v>673</v>
      </c>
      <c r="J5">
        <f>NON_Genset30[[#This Row],[Consumption Quantity (L)]]/1000</f>
        <v>0</v>
      </c>
      <c r="K5" t="s">
        <v>658</v>
      </c>
      <c r="L5" t="s">
        <v>686</v>
      </c>
      <c r="M5">
        <f t="shared" si="0"/>
        <v>0</v>
      </c>
      <c r="N5">
        <v>0</v>
      </c>
      <c r="O5">
        <v>0</v>
      </c>
      <c r="P5">
        <v>0</v>
      </c>
      <c r="Q5">
        <v>0</v>
      </c>
      <c r="R5">
        <v>0</v>
      </c>
    </row>
    <row r="6" spans="1:18">
      <c r="A6" t="s">
        <v>943</v>
      </c>
      <c r="B6" t="s">
        <v>155</v>
      </c>
      <c r="C6" t="s">
        <v>656</v>
      </c>
      <c r="D6" t="s">
        <v>666</v>
      </c>
      <c r="E6" t="s">
        <v>717</v>
      </c>
      <c r="F6" t="s">
        <v>35</v>
      </c>
      <c r="G6" t="s">
        <v>1210</v>
      </c>
      <c r="H6" s="431">
        <v>689.9996000000001</v>
      </c>
      <c r="I6" t="s">
        <v>673</v>
      </c>
      <c r="J6">
        <f>NON_Genset30[[#This Row],[Consumption Quantity (L)]]/1000</f>
        <v>0.68999960000000005</v>
      </c>
      <c r="K6" t="s">
        <v>658</v>
      </c>
      <c r="L6" t="s">
        <v>686</v>
      </c>
      <c r="M6">
        <f t="shared" si="0"/>
        <v>0.68999960000000005</v>
      </c>
      <c r="N6">
        <f>VLOOKUP(A6,'GHG Factors FY21'!A:L,8,FALSE)*M6</f>
        <v>26.633984560000002</v>
      </c>
      <c r="O6">
        <f>VLOOKUP(A6,'GHG Factors FY21'!A:L,10,FALSE)*N6</f>
        <v>1869.7057161120001</v>
      </c>
      <c r="P6">
        <f>VLOOKUP(A6,'GHG Factors FY21'!A:L,11,FALSE)*N6</f>
        <v>0</v>
      </c>
      <c r="Q6">
        <f>VLOOKUP(A6,'GHG Factors FY21'!A:L,12,FALSE)*N6</f>
        <v>95.882344416000009</v>
      </c>
      <c r="R6">
        <f>SUM(O6,P6,Q6)</f>
        <v>1965.5880605280001</v>
      </c>
    </row>
    <row r="7" spans="1:18">
      <c r="A7" t="s">
        <v>944</v>
      </c>
      <c r="B7" t="s">
        <v>155</v>
      </c>
      <c r="C7" t="s">
        <v>656</v>
      </c>
      <c r="D7" t="s">
        <v>666</v>
      </c>
      <c r="E7" t="s">
        <v>718</v>
      </c>
      <c r="F7" t="s">
        <v>35</v>
      </c>
      <c r="G7" t="s">
        <v>1193</v>
      </c>
      <c r="H7" s="431">
        <v>86.999799999999993</v>
      </c>
      <c r="I7" t="s">
        <v>673</v>
      </c>
      <c r="J7">
        <f>NON_Genset30[[#This Row],[Consumption Quantity (L)]]/1000</f>
        <v>8.6999799999999988E-2</v>
      </c>
      <c r="K7" t="s">
        <v>658</v>
      </c>
      <c r="L7" t="s">
        <v>686</v>
      </c>
      <c r="M7">
        <f t="shared" si="0"/>
        <v>8.6999799999999988E-2</v>
      </c>
      <c r="N7">
        <f>VLOOKUP(A7,'GHG Factors FY21'!A:L,8,FALSE)*M7</f>
        <v>3.3581922799999995</v>
      </c>
      <c r="O7">
        <f>VLOOKUP(A7,'GHG Factors FY21'!A:L,10,FALSE)*N7</f>
        <v>235.74509805599996</v>
      </c>
      <c r="P7">
        <f>VLOOKUP(A7,'GHG Factors FY21'!A:L,11,FALSE)*N7</f>
        <v>0</v>
      </c>
      <c r="Q7">
        <f>VLOOKUP(A7,'GHG Factors FY21'!A:L,12,FALSE)*N7</f>
        <v>12.089492207999998</v>
      </c>
      <c r="R7">
        <f>SUM(O7,P7,Q7)</f>
        <v>247.83459026399996</v>
      </c>
    </row>
    <row r="8" spans="1:18" s="23" customFormat="1">
      <c r="A8" t="s">
        <v>945</v>
      </c>
      <c r="B8" s="23" t="s">
        <v>155</v>
      </c>
      <c r="C8" s="23" t="s">
        <v>656</v>
      </c>
      <c r="D8" s="23" t="s">
        <v>666</v>
      </c>
      <c r="E8" s="23" t="s">
        <v>719</v>
      </c>
      <c r="F8" s="23" t="s">
        <v>35</v>
      </c>
      <c r="G8" s="23" t="s">
        <v>1213</v>
      </c>
      <c r="H8" s="431">
        <v>0</v>
      </c>
      <c r="I8" s="23" t="s">
        <v>673</v>
      </c>
      <c r="J8">
        <f>NON_Genset30[[#This Row],[Consumption Quantity (L)]]/1000</f>
        <v>0</v>
      </c>
      <c r="K8" t="s">
        <v>658</v>
      </c>
      <c r="L8" t="s">
        <v>686</v>
      </c>
      <c r="M8">
        <f t="shared" si="0"/>
        <v>0</v>
      </c>
      <c r="N8">
        <v>0</v>
      </c>
      <c r="O8">
        <v>0</v>
      </c>
      <c r="P8">
        <v>0</v>
      </c>
      <c r="Q8">
        <v>0</v>
      </c>
      <c r="R8">
        <v>0</v>
      </c>
    </row>
    <row r="9" spans="1:18">
      <c r="A9" t="s">
        <v>946</v>
      </c>
      <c r="B9" t="s">
        <v>155</v>
      </c>
      <c r="C9" t="s">
        <v>656</v>
      </c>
      <c r="D9" t="s">
        <v>666</v>
      </c>
      <c r="E9" t="s">
        <v>720</v>
      </c>
      <c r="F9" t="s">
        <v>35</v>
      </c>
      <c r="G9" t="s">
        <v>1189</v>
      </c>
      <c r="H9" s="431">
        <v>189.9999</v>
      </c>
      <c r="I9" t="s">
        <v>673</v>
      </c>
      <c r="J9">
        <f>NON_Genset30[[#This Row],[Consumption Quantity (L)]]/1000</f>
        <v>0.1899999</v>
      </c>
      <c r="K9" t="s">
        <v>658</v>
      </c>
      <c r="L9" t="s">
        <v>686</v>
      </c>
      <c r="M9">
        <f t="shared" si="0"/>
        <v>0.1899999</v>
      </c>
      <c r="N9">
        <f>VLOOKUP(A9,'GHG Factors FY21'!A:L,8,FALSE)*M9</f>
        <v>7.33399614</v>
      </c>
      <c r="O9">
        <f>VLOOKUP(A9,'GHG Factors FY21'!A:L,10,FALSE)*N9</f>
        <v>514.84652902800008</v>
      </c>
      <c r="P9">
        <f>VLOOKUP(A9,'GHG Factors FY21'!A:L,11,FALSE)*N9</f>
        <v>0</v>
      </c>
      <c r="Q9">
        <f>VLOOKUP(A9,'GHG Factors FY21'!A:L,12,FALSE)*N9</f>
        <v>26.402386104000001</v>
      </c>
      <c r="R9">
        <f>SUM(O9,P9,Q9)</f>
        <v>541.24891513200009</v>
      </c>
    </row>
    <row r="10" spans="1:18" s="23" customFormat="1">
      <c r="A10" t="s">
        <v>947</v>
      </c>
      <c r="B10" s="23" t="s">
        <v>155</v>
      </c>
      <c r="C10" s="23" t="s">
        <v>656</v>
      </c>
      <c r="D10" s="23" t="s">
        <v>666</v>
      </c>
      <c r="E10" s="23" t="s">
        <v>721</v>
      </c>
      <c r="F10" s="23" t="s">
        <v>35</v>
      </c>
      <c r="G10" s="23" t="s">
        <v>1216</v>
      </c>
      <c r="H10" s="431">
        <v>0</v>
      </c>
      <c r="I10" s="23" t="s">
        <v>673</v>
      </c>
      <c r="J10">
        <f>NON_Genset30[[#This Row],[Consumption Quantity (L)]]/1000</f>
        <v>0</v>
      </c>
      <c r="K10" t="s">
        <v>658</v>
      </c>
      <c r="L10" t="s">
        <v>686</v>
      </c>
      <c r="M10">
        <f t="shared" si="0"/>
        <v>0</v>
      </c>
      <c r="N10">
        <v>0</v>
      </c>
      <c r="O10">
        <v>0</v>
      </c>
      <c r="P10">
        <v>0</v>
      </c>
      <c r="Q10">
        <v>0</v>
      </c>
      <c r="R10">
        <v>0</v>
      </c>
    </row>
    <row r="11" spans="1:18" s="23" customFormat="1">
      <c r="A11" t="s">
        <v>948</v>
      </c>
      <c r="B11" s="23" t="s">
        <v>155</v>
      </c>
      <c r="C11" s="23" t="s">
        <v>660</v>
      </c>
      <c r="D11" s="23" t="s">
        <v>666</v>
      </c>
      <c r="E11" s="23" t="s">
        <v>714</v>
      </c>
      <c r="F11" s="23" t="s">
        <v>1228</v>
      </c>
      <c r="G11" s="23" t="s">
        <v>1190</v>
      </c>
      <c r="H11" s="431">
        <v>0</v>
      </c>
      <c r="I11" s="23" t="s">
        <v>673</v>
      </c>
      <c r="J11">
        <f>NON_Genset30[[#This Row],[Consumption Quantity (L)]]/1000</f>
        <v>0</v>
      </c>
      <c r="K11" t="s">
        <v>658</v>
      </c>
      <c r="L11" t="s">
        <v>686</v>
      </c>
      <c r="M11">
        <f t="shared" si="0"/>
        <v>0</v>
      </c>
      <c r="N11">
        <v>0</v>
      </c>
      <c r="O11">
        <v>0</v>
      </c>
      <c r="P11">
        <v>0</v>
      </c>
      <c r="Q11">
        <v>0</v>
      </c>
      <c r="R11">
        <v>0</v>
      </c>
    </row>
    <row r="12" spans="1:18" s="23" customFormat="1">
      <c r="A12" t="s">
        <v>949</v>
      </c>
      <c r="B12" s="23" t="s">
        <v>155</v>
      </c>
      <c r="C12" s="23" t="s">
        <v>660</v>
      </c>
      <c r="D12" s="23" t="s">
        <v>666</v>
      </c>
      <c r="E12" s="23" t="s">
        <v>715</v>
      </c>
      <c r="F12" s="23" t="s">
        <v>1228</v>
      </c>
      <c r="G12" s="23" t="s">
        <v>1192</v>
      </c>
      <c r="H12" s="431">
        <v>0</v>
      </c>
      <c r="I12" s="23" t="s">
        <v>673</v>
      </c>
      <c r="J12">
        <f>NON_Genset30[[#This Row],[Consumption Quantity (L)]]/1000</f>
        <v>0</v>
      </c>
      <c r="K12" t="s">
        <v>658</v>
      </c>
      <c r="L12" t="s">
        <v>686</v>
      </c>
      <c r="M12">
        <f t="shared" si="0"/>
        <v>0</v>
      </c>
      <c r="N12">
        <v>0</v>
      </c>
      <c r="O12">
        <v>0</v>
      </c>
      <c r="P12">
        <v>0</v>
      </c>
      <c r="Q12">
        <v>0</v>
      </c>
      <c r="R12">
        <v>0</v>
      </c>
    </row>
    <row r="13" spans="1:18" s="23" customFormat="1">
      <c r="A13" t="s">
        <v>950</v>
      </c>
      <c r="B13" s="23" t="s">
        <v>155</v>
      </c>
      <c r="C13" s="23" t="s">
        <v>660</v>
      </c>
      <c r="D13" s="23" t="s">
        <v>666</v>
      </c>
      <c r="E13" s="23" t="s">
        <v>716</v>
      </c>
      <c r="F13" s="23" t="s">
        <v>1228</v>
      </c>
      <c r="G13" s="23" t="s">
        <v>1208</v>
      </c>
      <c r="H13" s="431">
        <v>0</v>
      </c>
      <c r="I13" s="23" t="s">
        <v>673</v>
      </c>
      <c r="J13">
        <f>NON_Genset30[[#This Row],[Consumption Quantity (L)]]/1000</f>
        <v>0</v>
      </c>
      <c r="K13" t="s">
        <v>658</v>
      </c>
      <c r="L13" t="s">
        <v>686</v>
      </c>
      <c r="M13">
        <f t="shared" si="0"/>
        <v>0</v>
      </c>
      <c r="N13">
        <v>0</v>
      </c>
      <c r="O13">
        <v>0</v>
      </c>
      <c r="P13">
        <v>0</v>
      </c>
      <c r="Q13">
        <v>0</v>
      </c>
      <c r="R13">
        <v>0</v>
      </c>
    </row>
    <row r="14" spans="1:18" s="23" customFormat="1">
      <c r="A14" t="s">
        <v>951</v>
      </c>
      <c r="B14" s="23" t="s">
        <v>155</v>
      </c>
      <c r="C14" s="23" t="s">
        <v>660</v>
      </c>
      <c r="D14" s="23" t="s">
        <v>666</v>
      </c>
      <c r="E14" s="23" t="s">
        <v>717</v>
      </c>
      <c r="F14" s="23" t="s">
        <v>1228</v>
      </c>
      <c r="G14" s="23" t="s">
        <v>1210</v>
      </c>
      <c r="H14" s="431">
        <v>0</v>
      </c>
      <c r="I14" s="23" t="s">
        <v>673</v>
      </c>
      <c r="J14">
        <f>NON_Genset30[[#This Row],[Consumption Quantity (L)]]/1000</f>
        <v>0</v>
      </c>
      <c r="K14" t="s">
        <v>658</v>
      </c>
      <c r="L14" t="s">
        <v>686</v>
      </c>
      <c r="M14">
        <f t="shared" si="0"/>
        <v>0</v>
      </c>
      <c r="N14">
        <v>0</v>
      </c>
      <c r="O14">
        <v>0</v>
      </c>
      <c r="P14">
        <v>0</v>
      </c>
      <c r="Q14">
        <v>0</v>
      </c>
      <c r="R14">
        <v>0</v>
      </c>
    </row>
    <row r="15" spans="1:18" s="23" customFormat="1">
      <c r="A15" t="s">
        <v>952</v>
      </c>
      <c r="B15" s="23" t="s">
        <v>155</v>
      </c>
      <c r="C15" s="23" t="s">
        <v>660</v>
      </c>
      <c r="D15" s="23" t="s">
        <v>666</v>
      </c>
      <c r="E15" s="23" t="s">
        <v>718</v>
      </c>
      <c r="F15" s="23" t="s">
        <v>1228</v>
      </c>
      <c r="G15" s="23" t="s">
        <v>1193</v>
      </c>
      <c r="H15" s="431">
        <v>0</v>
      </c>
      <c r="I15" s="23" t="s">
        <v>673</v>
      </c>
      <c r="J15">
        <f>NON_Genset30[[#This Row],[Consumption Quantity (L)]]/1000</f>
        <v>0</v>
      </c>
      <c r="K15" t="s">
        <v>658</v>
      </c>
      <c r="L15" t="s">
        <v>686</v>
      </c>
      <c r="M15">
        <f t="shared" si="0"/>
        <v>0</v>
      </c>
      <c r="N15">
        <v>0</v>
      </c>
      <c r="O15">
        <v>0</v>
      </c>
      <c r="P15">
        <v>0</v>
      </c>
      <c r="Q15">
        <v>0</v>
      </c>
      <c r="R15">
        <v>0</v>
      </c>
    </row>
    <row r="16" spans="1:18" s="23" customFormat="1">
      <c r="A16" t="s">
        <v>953</v>
      </c>
      <c r="B16" s="23" t="s">
        <v>155</v>
      </c>
      <c r="C16" s="23" t="s">
        <v>660</v>
      </c>
      <c r="D16" s="23" t="s">
        <v>666</v>
      </c>
      <c r="E16" s="23" t="s">
        <v>719</v>
      </c>
      <c r="F16" s="23" t="s">
        <v>1228</v>
      </c>
      <c r="G16" s="23" t="s">
        <v>1213</v>
      </c>
      <c r="H16" s="431">
        <v>0</v>
      </c>
      <c r="I16" s="23" t="s">
        <v>673</v>
      </c>
      <c r="J16">
        <f>NON_Genset30[[#This Row],[Consumption Quantity (L)]]/1000</f>
        <v>0</v>
      </c>
      <c r="K16" t="s">
        <v>658</v>
      </c>
      <c r="L16" t="s">
        <v>686</v>
      </c>
      <c r="M16">
        <f t="shared" si="0"/>
        <v>0</v>
      </c>
      <c r="N16">
        <v>0</v>
      </c>
      <c r="O16">
        <v>0</v>
      </c>
      <c r="P16">
        <v>0</v>
      </c>
      <c r="Q16">
        <v>0</v>
      </c>
      <c r="R16">
        <v>0</v>
      </c>
    </row>
    <row r="17" spans="1:18" s="23" customFormat="1">
      <c r="A17" t="s">
        <v>954</v>
      </c>
      <c r="B17" s="23" t="s">
        <v>155</v>
      </c>
      <c r="C17" s="23" t="s">
        <v>660</v>
      </c>
      <c r="D17" s="23" t="s">
        <v>666</v>
      </c>
      <c r="E17" s="23" t="s">
        <v>720</v>
      </c>
      <c r="F17" s="23" t="s">
        <v>1228</v>
      </c>
      <c r="G17" s="23" t="s">
        <v>1189</v>
      </c>
      <c r="H17" s="431">
        <v>0</v>
      </c>
      <c r="I17" s="23" t="s">
        <v>673</v>
      </c>
      <c r="J17">
        <f>NON_Genset30[[#This Row],[Consumption Quantity (L)]]/1000</f>
        <v>0</v>
      </c>
      <c r="K17" t="s">
        <v>658</v>
      </c>
      <c r="L17" t="s">
        <v>686</v>
      </c>
      <c r="M17">
        <f t="shared" si="0"/>
        <v>0</v>
      </c>
      <c r="N17">
        <v>0</v>
      </c>
      <c r="O17">
        <v>0</v>
      </c>
      <c r="P17">
        <v>0</v>
      </c>
      <c r="Q17">
        <v>0</v>
      </c>
      <c r="R17">
        <v>0</v>
      </c>
    </row>
    <row r="18" spans="1:18" s="23" customFormat="1">
      <c r="A18" t="s">
        <v>955</v>
      </c>
      <c r="B18" s="23" t="s">
        <v>155</v>
      </c>
      <c r="C18" s="23" t="s">
        <v>660</v>
      </c>
      <c r="D18" s="23" t="s">
        <v>666</v>
      </c>
      <c r="E18" s="23" t="s">
        <v>721</v>
      </c>
      <c r="F18" s="23" t="s">
        <v>1228</v>
      </c>
      <c r="G18" s="23" t="s">
        <v>1216</v>
      </c>
      <c r="H18" s="431">
        <v>0</v>
      </c>
      <c r="I18" s="23" t="s">
        <v>673</v>
      </c>
      <c r="J18">
        <f>NON_Genset30[[#This Row],[Consumption Quantity (L)]]/1000</f>
        <v>0</v>
      </c>
      <c r="K18" t="s">
        <v>658</v>
      </c>
      <c r="L18" t="s">
        <v>686</v>
      </c>
      <c r="M18">
        <f t="shared" si="0"/>
        <v>0</v>
      </c>
      <c r="N18">
        <v>0</v>
      </c>
      <c r="O18">
        <v>0</v>
      </c>
      <c r="P18">
        <v>0</v>
      </c>
      <c r="Q18">
        <v>0</v>
      </c>
      <c r="R18">
        <v>0</v>
      </c>
    </row>
    <row r="20" spans="1:18">
      <c r="A20" s="647"/>
      <c r="B20" t="s">
        <v>1237</v>
      </c>
      <c r="H20" s="240">
        <f>SUM(NON_Genset30[Consumption Quantity (L)])</f>
        <v>1861.9991000000002</v>
      </c>
    </row>
    <row r="21" spans="1:18">
      <c r="H21">
        <f>H20/H42-1</f>
        <v>-0.16126178000966918</v>
      </c>
    </row>
    <row r="23" spans="1:18">
      <c r="A23" s="33" t="s">
        <v>3</v>
      </c>
      <c r="B23" t="s">
        <v>1238</v>
      </c>
    </row>
    <row r="24" spans="1:18">
      <c r="A24" t="s">
        <v>750</v>
      </c>
      <c r="B24" t="s">
        <v>646</v>
      </c>
      <c r="C24" t="s">
        <v>647</v>
      </c>
      <c r="D24" t="s">
        <v>648</v>
      </c>
      <c r="E24" t="s">
        <v>1200</v>
      </c>
      <c r="F24" t="s">
        <v>156</v>
      </c>
      <c r="G24" t="s">
        <v>1187</v>
      </c>
      <c r="H24" t="s">
        <v>1219</v>
      </c>
      <c r="I24" t="s">
        <v>1226</v>
      </c>
      <c r="J24" t="s">
        <v>781</v>
      </c>
      <c r="K24" s="37" t="s">
        <v>649</v>
      </c>
      <c r="L24" s="37" t="s">
        <v>684</v>
      </c>
      <c r="M24" s="37" t="s">
        <v>650</v>
      </c>
      <c r="N24" s="37" t="s">
        <v>651</v>
      </c>
      <c r="O24" s="37" t="s">
        <v>652</v>
      </c>
      <c r="P24" s="37" t="s">
        <v>653</v>
      </c>
      <c r="Q24" s="37" t="s">
        <v>654</v>
      </c>
      <c r="R24" s="37" t="s">
        <v>751</v>
      </c>
    </row>
    <row r="25" spans="1:18">
      <c r="A25" t="s">
        <v>940</v>
      </c>
      <c r="B25" t="s">
        <v>155</v>
      </c>
      <c r="C25" t="s">
        <v>656</v>
      </c>
      <c r="D25" t="s">
        <v>666</v>
      </c>
      <c r="E25" t="s">
        <v>714</v>
      </c>
      <c r="F25" t="s">
        <v>35</v>
      </c>
      <c r="G25" t="s">
        <v>1190</v>
      </c>
      <c r="H25" s="431">
        <v>499.99979999999994</v>
      </c>
      <c r="I25" t="s">
        <v>673</v>
      </c>
      <c r="J25">
        <f>NON_Genset3020[[#This Row],[Consumption Quantity (L)]]/1000</f>
        <v>0.49999979999999994</v>
      </c>
      <c r="K25" t="s">
        <v>658</v>
      </c>
      <c r="L25" t="s">
        <v>686</v>
      </c>
      <c r="M25">
        <f t="shared" ref="M25:M40" si="1">J25</f>
        <v>0.49999979999999994</v>
      </c>
      <c r="N25">
        <f>VLOOKUP(A25,'GHG Factors FY20'!A:L,8,FALSE)*M25</f>
        <v>19.299992279999998</v>
      </c>
      <c r="O25">
        <f>VLOOKUP(A25,'GHG Factors FY20'!A:L,10,FALSE)*N25</f>
        <v>1354.859458056</v>
      </c>
      <c r="P25">
        <f>VLOOKUP(A25,'GHG Factors FY20'!A:L,11,FALSE)*N25</f>
        <v>0</v>
      </c>
      <c r="Q25">
        <f>VLOOKUP(A25,'GHG Factors FY20'!A:L,12,FALSE)*N25</f>
        <v>69.479972207999992</v>
      </c>
      <c r="R25">
        <f>SUM(O25,P25,Q25)</f>
        <v>1424.3394302639999</v>
      </c>
    </row>
    <row r="26" spans="1:18">
      <c r="A26" t="s">
        <v>941</v>
      </c>
      <c r="B26" t="s">
        <v>155</v>
      </c>
      <c r="C26" t="s">
        <v>656</v>
      </c>
      <c r="D26" t="s">
        <v>666</v>
      </c>
      <c r="E26" t="s">
        <v>715</v>
      </c>
      <c r="F26" t="s">
        <v>35</v>
      </c>
      <c r="G26" t="s">
        <v>1192</v>
      </c>
      <c r="H26" s="431">
        <v>60.000100000000003</v>
      </c>
      <c r="I26" t="s">
        <v>673</v>
      </c>
      <c r="J26">
        <f>NON_Genset3020[[#This Row],[Consumption Quantity (L)]]/1000</f>
        <v>6.0000100000000001E-2</v>
      </c>
      <c r="K26" t="s">
        <v>658</v>
      </c>
      <c r="L26" t="s">
        <v>686</v>
      </c>
      <c r="M26">
        <f t="shared" si="1"/>
        <v>6.0000100000000001E-2</v>
      </c>
      <c r="N26">
        <f>VLOOKUP(A26,'GHG Factors FY20'!A:L,8,FALSE)*M26</f>
        <v>2.3160038599999999</v>
      </c>
      <c r="O26">
        <f>VLOOKUP(A26,'GHG Factors FY20'!A:L,10,FALSE)*N26</f>
        <v>162.58347097199999</v>
      </c>
      <c r="P26">
        <f>VLOOKUP(A26,'GHG Factors FY20'!A:L,11,FALSE)*N26</f>
        <v>0</v>
      </c>
      <c r="Q26">
        <f>VLOOKUP(A26,'GHG Factors FY20'!A:L,12,FALSE)*N26</f>
        <v>8.3376138960000006</v>
      </c>
      <c r="R26">
        <f>SUM(O26,P26,Q26)</f>
        <v>170.92108486799998</v>
      </c>
    </row>
    <row r="27" spans="1:18">
      <c r="A27" t="s">
        <v>942</v>
      </c>
      <c r="B27" s="23" t="s">
        <v>155</v>
      </c>
      <c r="C27" s="23" t="s">
        <v>656</v>
      </c>
      <c r="D27" s="23" t="s">
        <v>666</v>
      </c>
      <c r="E27" s="23" t="s">
        <v>716</v>
      </c>
      <c r="F27" s="23" t="s">
        <v>35</v>
      </c>
      <c r="G27" s="23" t="s">
        <v>1208</v>
      </c>
      <c r="H27" s="431">
        <v>0</v>
      </c>
      <c r="I27" s="23" t="s">
        <v>673</v>
      </c>
      <c r="J27">
        <f>NON_Genset3020[[#This Row],[Consumption Quantity (L)]]/1000</f>
        <v>0</v>
      </c>
      <c r="K27" t="s">
        <v>658</v>
      </c>
      <c r="L27" t="s">
        <v>686</v>
      </c>
      <c r="M27">
        <f t="shared" si="1"/>
        <v>0</v>
      </c>
      <c r="N27">
        <v>0</v>
      </c>
      <c r="O27">
        <v>0</v>
      </c>
      <c r="P27">
        <v>0</v>
      </c>
      <c r="Q27">
        <v>0</v>
      </c>
      <c r="R27">
        <v>0</v>
      </c>
    </row>
    <row r="28" spans="1:18">
      <c r="A28" t="s">
        <v>943</v>
      </c>
      <c r="B28" t="s">
        <v>155</v>
      </c>
      <c r="C28" t="s">
        <v>656</v>
      </c>
      <c r="D28" t="s">
        <v>666</v>
      </c>
      <c r="E28" t="s">
        <v>717</v>
      </c>
      <c r="F28" t="s">
        <v>35</v>
      </c>
      <c r="G28" t="s">
        <v>1210</v>
      </c>
      <c r="H28" s="431">
        <v>570</v>
      </c>
      <c r="I28" t="s">
        <v>673</v>
      </c>
      <c r="J28">
        <f>NON_Genset3020[[#This Row],[Consumption Quantity (L)]]/1000</f>
        <v>0.56999999999999995</v>
      </c>
      <c r="K28" t="s">
        <v>658</v>
      </c>
      <c r="L28" t="s">
        <v>686</v>
      </c>
      <c r="M28">
        <f t="shared" si="1"/>
        <v>0.56999999999999995</v>
      </c>
      <c r="N28">
        <f>VLOOKUP(A28,'GHG Factors FY20'!A:L,8,FALSE)*M28</f>
        <v>22.001999999999999</v>
      </c>
      <c r="O28">
        <f>VLOOKUP(A28,'GHG Factors FY20'!A:L,10,FALSE)*N28</f>
        <v>1544.5404000000001</v>
      </c>
      <c r="P28">
        <f>VLOOKUP(A28,'GHG Factors FY20'!A:L,11,FALSE)*N28</f>
        <v>0</v>
      </c>
      <c r="Q28">
        <f>VLOOKUP(A28,'GHG Factors FY20'!A:L,12,FALSE)*N28</f>
        <v>79.2072</v>
      </c>
      <c r="R28">
        <f>SUM(O28,P28,Q28)</f>
        <v>1623.7476000000001</v>
      </c>
    </row>
    <row r="29" spans="1:18">
      <c r="A29" t="s">
        <v>944</v>
      </c>
      <c r="B29" t="s">
        <v>155</v>
      </c>
      <c r="C29" t="s">
        <v>656</v>
      </c>
      <c r="D29" t="s">
        <v>666</v>
      </c>
      <c r="E29" t="s">
        <v>718</v>
      </c>
      <c r="F29" t="s">
        <v>35</v>
      </c>
      <c r="G29" t="s">
        <v>1193</v>
      </c>
      <c r="H29" s="431">
        <v>270.00009999999997</v>
      </c>
      <c r="I29" t="s">
        <v>673</v>
      </c>
      <c r="J29">
        <f>NON_Genset3020[[#This Row],[Consumption Quantity (L)]]/1000</f>
        <v>0.27000009999999997</v>
      </c>
      <c r="K29" t="s">
        <v>658</v>
      </c>
      <c r="L29" t="s">
        <v>686</v>
      </c>
      <c r="M29">
        <f t="shared" si="1"/>
        <v>0.27000009999999997</v>
      </c>
      <c r="N29">
        <f>VLOOKUP(A29,'GHG Factors FY20'!A:L,8,FALSE)*M29</f>
        <v>10.422003859999998</v>
      </c>
      <c r="O29">
        <f>VLOOKUP(A29,'GHG Factors FY20'!A:L,10,FALSE)*N29</f>
        <v>731.62467097199988</v>
      </c>
      <c r="P29">
        <f>VLOOKUP(A29,'GHG Factors FY20'!A:L,11,FALSE)*N29</f>
        <v>0</v>
      </c>
      <c r="Q29">
        <f>VLOOKUP(A29,'GHG Factors FY20'!A:L,12,FALSE)*N29</f>
        <v>37.519213895999997</v>
      </c>
      <c r="R29">
        <f>SUM(O29,P29,Q29)</f>
        <v>769.14388486799987</v>
      </c>
    </row>
    <row r="30" spans="1:18">
      <c r="A30" t="s">
        <v>945</v>
      </c>
      <c r="B30" s="23" t="s">
        <v>155</v>
      </c>
      <c r="C30" s="23" t="s">
        <v>656</v>
      </c>
      <c r="D30" s="23" t="s">
        <v>666</v>
      </c>
      <c r="E30" s="23" t="s">
        <v>719</v>
      </c>
      <c r="F30" s="23" t="s">
        <v>35</v>
      </c>
      <c r="G30" s="23" t="s">
        <v>1213</v>
      </c>
      <c r="H30" s="431">
        <v>0</v>
      </c>
      <c r="I30" s="23" t="s">
        <v>673</v>
      </c>
      <c r="J30">
        <f>NON_Genset3020[[#This Row],[Consumption Quantity (L)]]/1000</f>
        <v>0</v>
      </c>
      <c r="K30" t="s">
        <v>658</v>
      </c>
      <c r="L30" t="s">
        <v>686</v>
      </c>
      <c r="M30">
        <f t="shared" si="1"/>
        <v>0</v>
      </c>
      <c r="N30">
        <v>0</v>
      </c>
      <c r="O30">
        <v>0</v>
      </c>
      <c r="P30">
        <v>0</v>
      </c>
      <c r="Q30">
        <v>0</v>
      </c>
      <c r="R30">
        <v>0</v>
      </c>
    </row>
    <row r="31" spans="1:18">
      <c r="A31" t="s">
        <v>946</v>
      </c>
      <c r="B31" t="s">
        <v>155</v>
      </c>
      <c r="C31" t="s">
        <v>656</v>
      </c>
      <c r="D31" t="s">
        <v>666</v>
      </c>
      <c r="E31" t="s">
        <v>720</v>
      </c>
      <c r="F31" t="s">
        <v>35</v>
      </c>
      <c r="G31" t="s">
        <v>1189</v>
      </c>
      <c r="H31" s="431">
        <v>820.00029999999992</v>
      </c>
      <c r="I31" t="s">
        <v>673</v>
      </c>
      <c r="J31">
        <f>NON_Genset3020[[#This Row],[Consumption Quantity (L)]]/1000</f>
        <v>0.8200002999999999</v>
      </c>
      <c r="K31" t="s">
        <v>658</v>
      </c>
      <c r="L31" t="s">
        <v>686</v>
      </c>
      <c r="M31">
        <f t="shared" si="1"/>
        <v>0.8200002999999999</v>
      </c>
      <c r="N31">
        <f>VLOOKUP(A31,'GHG Factors FY20'!A:L,8,FALSE)*M31</f>
        <v>31.652011579999996</v>
      </c>
      <c r="O31">
        <f>VLOOKUP(A31,'GHG Factors FY20'!A:L,10,FALSE)*N31</f>
        <v>2221.9712129159998</v>
      </c>
      <c r="P31">
        <f>VLOOKUP(A31,'GHG Factors FY20'!A:L,11,FALSE)*N31</f>
        <v>0</v>
      </c>
      <c r="Q31">
        <f>VLOOKUP(A31,'GHG Factors FY20'!A:L,12,FALSE)*N31</f>
        <v>113.94724168799999</v>
      </c>
      <c r="R31">
        <f>SUM(O31,P31,Q31)</f>
        <v>2335.9184546039996</v>
      </c>
    </row>
    <row r="32" spans="1:18">
      <c r="A32" t="s">
        <v>947</v>
      </c>
      <c r="B32" s="23" t="s">
        <v>155</v>
      </c>
      <c r="C32" s="23" t="s">
        <v>656</v>
      </c>
      <c r="D32" s="23" t="s">
        <v>666</v>
      </c>
      <c r="E32" s="23" t="s">
        <v>721</v>
      </c>
      <c r="F32" s="23" t="s">
        <v>35</v>
      </c>
      <c r="G32" s="23" t="s">
        <v>1216</v>
      </c>
      <c r="H32" s="431">
        <v>0</v>
      </c>
      <c r="I32" s="23" t="s">
        <v>673</v>
      </c>
      <c r="J32">
        <f>NON_Genset3020[[#This Row],[Consumption Quantity (L)]]/1000</f>
        <v>0</v>
      </c>
      <c r="K32" t="s">
        <v>658</v>
      </c>
      <c r="L32" t="s">
        <v>686</v>
      </c>
      <c r="M32">
        <f t="shared" si="1"/>
        <v>0</v>
      </c>
      <c r="N32">
        <v>0</v>
      </c>
      <c r="O32">
        <v>0</v>
      </c>
      <c r="P32">
        <v>0</v>
      </c>
      <c r="Q32">
        <v>0</v>
      </c>
      <c r="R32">
        <v>0</v>
      </c>
    </row>
    <row r="33" spans="1:18">
      <c r="A33" t="s">
        <v>948</v>
      </c>
      <c r="B33" s="23" t="s">
        <v>155</v>
      </c>
      <c r="C33" s="23" t="s">
        <v>660</v>
      </c>
      <c r="D33" s="23" t="s">
        <v>666</v>
      </c>
      <c r="E33" s="23" t="s">
        <v>714</v>
      </c>
      <c r="F33" s="23" t="s">
        <v>1228</v>
      </c>
      <c r="G33" s="23" t="s">
        <v>1190</v>
      </c>
      <c r="H33" s="431">
        <v>0</v>
      </c>
      <c r="I33" s="23" t="s">
        <v>673</v>
      </c>
      <c r="J33">
        <f>NON_Genset3020[[#This Row],[Consumption Quantity (L)]]/1000</f>
        <v>0</v>
      </c>
      <c r="K33" t="s">
        <v>658</v>
      </c>
      <c r="L33" t="s">
        <v>686</v>
      </c>
      <c r="M33">
        <f t="shared" si="1"/>
        <v>0</v>
      </c>
      <c r="N33">
        <v>0</v>
      </c>
      <c r="O33">
        <v>0</v>
      </c>
      <c r="P33">
        <v>0</v>
      </c>
      <c r="Q33">
        <v>0</v>
      </c>
      <c r="R33">
        <v>0</v>
      </c>
    </row>
    <row r="34" spans="1:18">
      <c r="A34" t="s">
        <v>949</v>
      </c>
      <c r="B34" s="23" t="s">
        <v>155</v>
      </c>
      <c r="C34" s="23" t="s">
        <v>660</v>
      </c>
      <c r="D34" s="23" t="s">
        <v>666</v>
      </c>
      <c r="E34" s="23" t="s">
        <v>715</v>
      </c>
      <c r="F34" s="23" t="s">
        <v>1228</v>
      </c>
      <c r="G34" s="23" t="s">
        <v>1192</v>
      </c>
      <c r="H34" s="431">
        <v>0</v>
      </c>
      <c r="I34" s="23" t="s">
        <v>673</v>
      </c>
      <c r="J34">
        <f>NON_Genset3020[[#This Row],[Consumption Quantity (L)]]/1000</f>
        <v>0</v>
      </c>
      <c r="K34" t="s">
        <v>658</v>
      </c>
      <c r="L34" t="s">
        <v>686</v>
      </c>
      <c r="M34">
        <f t="shared" si="1"/>
        <v>0</v>
      </c>
      <c r="N34">
        <v>0</v>
      </c>
      <c r="O34">
        <v>0</v>
      </c>
      <c r="P34">
        <v>0</v>
      </c>
      <c r="Q34">
        <v>0</v>
      </c>
      <c r="R34">
        <v>0</v>
      </c>
    </row>
    <row r="35" spans="1:18">
      <c r="A35" t="s">
        <v>950</v>
      </c>
      <c r="B35" s="23" t="s">
        <v>155</v>
      </c>
      <c r="C35" s="23" t="s">
        <v>660</v>
      </c>
      <c r="D35" s="23" t="s">
        <v>666</v>
      </c>
      <c r="E35" s="23" t="s">
        <v>716</v>
      </c>
      <c r="F35" s="23" t="s">
        <v>1228</v>
      </c>
      <c r="G35" s="23" t="s">
        <v>1208</v>
      </c>
      <c r="H35" s="431">
        <v>0</v>
      </c>
      <c r="I35" s="23" t="s">
        <v>673</v>
      </c>
      <c r="J35">
        <f>NON_Genset3020[[#This Row],[Consumption Quantity (L)]]/1000</f>
        <v>0</v>
      </c>
      <c r="K35" t="s">
        <v>658</v>
      </c>
      <c r="L35" t="s">
        <v>686</v>
      </c>
      <c r="M35">
        <f t="shared" si="1"/>
        <v>0</v>
      </c>
      <c r="N35">
        <v>0</v>
      </c>
      <c r="O35">
        <v>0</v>
      </c>
      <c r="P35">
        <v>0</v>
      </c>
      <c r="Q35">
        <v>0</v>
      </c>
      <c r="R35">
        <v>0</v>
      </c>
    </row>
    <row r="36" spans="1:18">
      <c r="A36" t="s">
        <v>951</v>
      </c>
      <c r="B36" s="23" t="s">
        <v>155</v>
      </c>
      <c r="C36" s="23" t="s">
        <v>660</v>
      </c>
      <c r="D36" s="23" t="s">
        <v>666</v>
      </c>
      <c r="E36" s="23" t="s">
        <v>717</v>
      </c>
      <c r="F36" s="23" t="s">
        <v>1228</v>
      </c>
      <c r="G36" s="23" t="s">
        <v>1210</v>
      </c>
      <c r="H36" s="431">
        <v>0</v>
      </c>
      <c r="I36" s="23" t="s">
        <v>673</v>
      </c>
      <c r="J36">
        <f>NON_Genset3020[[#This Row],[Consumption Quantity (L)]]/1000</f>
        <v>0</v>
      </c>
      <c r="K36" t="s">
        <v>658</v>
      </c>
      <c r="L36" t="s">
        <v>686</v>
      </c>
      <c r="M36">
        <f t="shared" si="1"/>
        <v>0</v>
      </c>
      <c r="N36">
        <v>0</v>
      </c>
      <c r="O36">
        <v>0</v>
      </c>
      <c r="P36">
        <v>0</v>
      </c>
      <c r="Q36">
        <v>0</v>
      </c>
      <c r="R36">
        <v>0</v>
      </c>
    </row>
    <row r="37" spans="1:18">
      <c r="A37" t="s">
        <v>952</v>
      </c>
      <c r="B37" s="23" t="s">
        <v>155</v>
      </c>
      <c r="C37" s="23" t="s">
        <v>660</v>
      </c>
      <c r="D37" s="23" t="s">
        <v>666</v>
      </c>
      <c r="E37" s="23" t="s">
        <v>718</v>
      </c>
      <c r="F37" s="23" t="s">
        <v>1228</v>
      </c>
      <c r="G37" s="23" t="s">
        <v>1193</v>
      </c>
      <c r="H37" s="431">
        <v>0</v>
      </c>
      <c r="I37" s="23" t="s">
        <v>673</v>
      </c>
      <c r="J37">
        <f>NON_Genset3020[[#This Row],[Consumption Quantity (L)]]/1000</f>
        <v>0</v>
      </c>
      <c r="K37" t="s">
        <v>658</v>
      </c>
      <c r="L37" t="s">
        <v>686</v>
      </c>
      <c r="M37">
        <f t="shared" si="1"/>
        <v>0</v>
      </c>
      <c r="N37">
        <v>0</v>
      </c>
      <c r="O37">
        <v>0</v>
      </c>
      <c r="P37">
        <v>0</v>
      </c>
      <c r="Q37">
        <v>0</v>
      </c>
      <c r="R37">
        <v>0</v>
      </c>
    </row>
    <row r="38" spans="1:18">
      <c r="A38" t="s">
        <v>953</v>
      </c>
      <c r="B38" s="23" t="s">
        <v>155</v>
      </c>
      <c r="C38" s="23" t="s">
        <v>660</v>
      </c>
      <c r="D38" s="23" t="s">
        <v>666</v>
      </c>
      <c r="E38" s="23" t="s">
        <v>719</v>
      </c>
      <c r="F38" s="23" t="s">
        <v>1228</v>
      </c>
      <c r="G38" s="23" t="s">
        <v>1213</v>
      </c>
      <c r="H38" s="431">
        <v>0</v>
      </c>
      <c r="I38" s="23" t="s">
        <v>673</v>
      </c>
      <c r="J38">
        <f>NON_Genset3020[[#This Row],[Consumption Quantity (L)]]/1000</f>
        <v>0</v>
      </c>
      <c r="K38" t="s">
        <v>658</v>
      </c>
      <c r="L38" t="s">
        <v>686</v>
      </c>
      <c r="M38">
        <f t="shared" si="1"/>
        <v>0</v>
      </c>
      <c r="N38">
        <v>0</v>
      </c>
      <c r="O38">
        <v>0</v>
      </c>
      <c r="P38">
        <v>0</v>
      </c>
      <c r="Q38">
        <v>0</v>
      </c>
      <c r="R38">
        <v>0</v>
      </c>
    </row>
    <row r="39" spans="1:18">
      <c r="A39" t="s">
        <v>954</v>
      </c>
      <c r="B39" s="23" t="s">
        <v>155</v>
      </c>
      <c r="C39" s="23" t="s">
        <v>660</v>
      </c>
      <c r="D39" s="23" t="s">
        <v>666</v>
      </c>
      <c r="E39" s="23" t="s">
        <v>720</v>
      </c>
      <c r="F39" s="23" t="s">
        <v>1228</v>
      </c>
      <c r="G39" s="23" t="s">
        <v>1189</v>
      </c>
      <c r="H39" s="431">
        <v>0</v>
      </c>
      <c r="I39" s="23" t="s">
        <v>673</v>
      </c>
      <c r="J39">
        <f>NON_Genset3020[[#This Row],[Consumption Quantity (L)]]/1000</f>
        <v>0</v>
      </c>
      <c r="K39" t="s">
        <v>658</v>
      </c>
      <c r="L39" t="s">
        <v>686</v>
      </c>
      <c r="M39">
        <f t="shared" si="1"/>
        <v>0</v>
      </c>
      <c r="N39">
        <v>0</v>
      </c>
      <c r="O39">
        <v>0</v>
      </c>
      <c r="P39">
        <v>0</v>
      </c>
      <c r="Q39">
        <v>0</v>
      </c>
      <c r="R39">
        <v>0</v>
      </c>
    </row>
    <row r="40" spans="1:18">
      <c r="A40" t="s">
        <v>955</v>
      </c>
      <c r="B40" s="23" t="s">
        <v>155</v>
      </c>
      <c r="C40" s="23" t="s">
        <v>660</v>
      </c>
      <c r="D40" s="23" t="s">
        <v>666</v>
      </c>
      <c r="E40" s="23" t="s">
        <v>721</v>
      </c>
      <c r="F40" s="23" t="s">
        <v>1228</v>
      </c>
      <c r="G40" s="23" t="s">
        <v>1216</v>
      </c>
      <c r="H40" s="431">
        <v>0</v>
      </c>
      <c r="I40" s="23" t="s">
        <v>673</v>
      </c>
      <c r="J40">
        <f>NON_Genset3020[[#This Row],[Consumption Quantity (L)]]/1000</f>
        <v>0</v>
      </c>
      <c r="K40" t="s">
        <v>658</v>
      </c>
      <c r="L40" t="s">
        <v>686</v>
      </c>
      <c r="M40">
        <f t="shared" si="1"/>
        <v>0</v>
      </c>
      <c r="N40">
        <v>0</v>
      </c>
      <c r="O40">
        <v>0</v>
      </c>
      <c r="P40">
        <v>0</v>
      </c>
      <c r="Q40">
        <v>0</v>
      </c>
      <c r="R40">
        <v>0</v>
      </c>
    </row>
    <row r="42" spans="1:18">
      <c r="H42" s="240">
        <f>SUM(NON_Genset3020[Consumption Quantity (L)])</f>
        <v>2220.0002999999997</v>
      </c>
    </row>
    <row r="43" spans="1:18">
      <c r="A43" s="647"/>
    </row>
  </sheetData>
  <pageMargins left="0.7" right="0.7" top="0.75" bottom="0.75" header="0.3" footer="0.3"/>
  <pageSetup paperSize="9" orientation="portrait" r:id="rId1"/>
  <tableParts count="2">
    <tablePart r:id="rId2"/>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2:N87"/>
  <sheetViews>
    <sheetView zoomScale="70" zoomScaleNormal="70" workbookViewId="0">
      <selection activeCell="F4" sqref="F4"/>
    </sheetView>
  </sheetViews>
  <sheetFormatPr defaultColWidth="8.8984375" defaultRowHeight="13.8"/>
  <cols>
    <col min="1" max="1" width="35.59765625" bestFit="1" customWidth="1"/>
    <col min="2" max="2" width="42.09765625" bestFit="1" customWidth="1"/>
    <col min="3" max="3" width="21.09765625" bestFit="1" customWidth="1"/>
    <col min="4" max="4" width="7.59765625" bestFit="1" customWidth="1"/>
    <col min="5" max="5" width="25.59765625" style="5" bestFit="1" customWidth="1"/>
    <col min="6" max="6" width="20" bestFit="1" customWidth="1"/>
    <col min="7" max="7" width="8.59765625" bestFit="1" customWidth="1"/>
    <col min="8" max="8" width="42.09765625" bestFit="1" customWidth="1"/>
    <col min="9" max="9" width="21.09765625" bestFit="1" customWidth="1"/>
    <col min="10" max="10" width="15.09765625" bestFit="1" customWidth="1"/>
    <col min="11" max="11" width="22.59765625" bestFit="1" customWidth="1"/>
    <col min="12" max="12" width="20" bestFit="1" customWidth="1"/>
    <col min="13" max="13" width="23.59765625" bestFit="1" customWidth="1"/>
    <col min="14" max="14" width="21.59765625" bestFit="1" customWidth="1"/>
  </cols>
  <sheetData>
    <row r="2" spans="1:14" s="62" customFormat="1">
      <c r="A2" s="658" t="s">
        <v>91</v>
      </c>
      <c r="B2" s="658" t="s">
        <v>1239</v>
      </c>
      <c r="E2" s="222"/>
    </row>
    <row r="3" spans="1:14">
      <c r="A3" s="36" t="s">
        <v>750</v>
      </c>
      <c r="B3" s="34" t="s">
        <v>1200</v>
      </c>
      <c r="C3" s="34" t="s">
        <v>156</v>
      </c>
      <c r="D3" s="34" t="s">
        <v>1187</v>
      </c>
      <c r="E3" s="223" t="s">
        <v>1219</v>
      </c>
      <c r="F3" s="35" t="s">
        <v>1240</v>
      </c>
      <c r="G3" s="37" t="s">
        <v>649</v>
      </c>
      <c r="H3" s="37" t="s">
        <v>684</v>
      </c>
      <c r="I3" s="37" t="s">
        <v>650</v>
      </c>
      <c r="J3" s="37" t="s">
        <v>651</v>
      </c>
      <c r="K3" s="37" t="s">
        <v>652</v>
      </c>
      <c r="L3" s="37" t="s">
        <v>653</v>
      </c>
      <c r="M3" s="37" t="s">
        <v>654</v>
      </c>
      <c r="N3" s="37" t="s">
        <v>751</v>
      </c>
    </row>
    <row r="4" spans="1:14">
      <c r="A4" t="s">
        <v>844</v>
      </c>
      <c r="B4" t="s">
        <v>1206</v>
      </c>
      <c r="C4" t="s">
        <v>1241</v>
      </c>
      <c r="D4" t="s">
        <v>1192</v>
      </c>
      <c r="E4" s="811">
        <v>750.55</v>
      </c>
      <c r="F4" t="s">
        <v>673</v>
      </c>
      <c r="G4" s="50" t="s">
        <v>658</v>
      </c>
      <c r="H4" s="50" t="s">
        <v>695</v>
      </c>
      <c r="I4" s="72">
        <f t="shared" ref="I4:I36" si="0">E4/1000</f>
        <v>0.75054999999999994</v>
      </c>
      <c r="J4" s="72">
        <f>VLOOKUP(A4,'GHG Factors FY21'!A:L,8,FALSE)*I4</f>
        <v>28.971229999999998</v>
      </c>
      <c r="K4" s="72">
        <f>VLOOKUP(A4,'GHG Factors FY21'!A:L,10,FALSE)*J4</f>
        <v>2039.5745920000002</v>
      </c>
      <c r="L4" s="72">
        <f>VLOOKUP(A4,'GHG Factors FY21'!A:L,11,FALSE)*J4</f>
        <v>0</v>
      </c>
      <c r="M4" s="72">
        <f>VLOOKUP(A4,'GHG Factors FY21'!A:L,12,FALSE)*J4</f>
        <v>104.29642799999999</v>
      </c>
      <c r="N4" s="51">
        <f t="shared" ref="N4:N36" si="1">SUM(K4,L4,M4)</f>
        <v>2143.87102</v>
      </c>
    </row>
    <row r="5" spans="1:14">
      <c r="A5" t="s">
        <v>845</v>
      </c>
      <c r="B5" t="s">
        <v>1209</v>
      </c>
      <c r="C5" t="s">
        <v>1241</v>
      </c>
      <c r="D5" t="s">
        <v>1210</v>
      </c>
      <c r="E5" s="811">
        <v>366.35590000000002</v>
      </c>
      <c r="F5" t="s">
        <v>673</v>
      </c>
      <c r="G5" s="50" t="s">
        <v>658</v>
      </c>
      <c r="H5" s="50" t="s">
        <v>695</v>
      </c>
      <c r="I5" s="72">
        <f t="shared" si="0"/>
        <v>0.36635590000000001</v>
      </c>
      <c r="J5" s="72">
        <f>VLOOKUP(A5,'GHG Factors FY21'!A:L,8,FALSE)*I5</f>
        <v>14.141337740000001</v>
      </c>
      <c r="K5" s="72">
        <f>VLOOKUP(A5,'GHG Factors FY21'!A:L,10,FALSE)*J5</f>
        <v>995.55017689600015</v>
      </c>
      <c r="L5" s="72">
        <f>VLOOKUP(A5,'GHG Factors FY21'!A:L,11,FALSE)*J5</f>
        <v>0</v>
      </c>
      <c r="M5" s="72">
        <f>VLOOKUP(A5,'GHG Factors FY21'!A:L,12,FALSE)*J5</f>
        <v>50.908815864000005</v>
      </c>
      <c r="N5" s="51">
        <f t="shared" si="1"/>
        <v>1046.4589927600002</v>
      </c>
    </row>
    <row r="6" spans="1:14">
      <c r="A6" t="s">
        <v>846</v>
      </c>
      <c r="B6" t="s">
        <v>1211</v>
      </c>
      <c r="C6" t="s">
        <v>1241</v>
      </c>
      <c r="D6" t="s">
        <v>1193</v>
      </c>
      <c r="E6" s="811">
        <v>1873.3007000000002</v>
      </c>
      <c r="F6" t="s">
        <v>673</v>
      </c>
      <c r="G6" s="50" t="s">
        <v>658</v>
      </c>
      <c r="H6" s="50" t="s">
        <v>695</v>
      </c>
      <c r="I6" s="72">
        <f t="shared" si="0"/>
        <v>1.8733007000000002</v>
      </c>
      <c r="J6" s="72">
        <f>VLOOKUP(A6,'GHG Factors FY21'!A:L,8,FALSE)*I6</f>
        <v>72.309407020000009</v>
      </c>
      <c r="K6" s="72">
        <f>VLOOKUP(A6,'GHG Factors FY21'!A:L,10,FALSE)*J6</f>
        <v>5090.5822542080014</v>
      </c>
      <c r="L6" s="72">
        <f>VLOOKUP(A6,'GHG Factors FY21'!A:L,11,FALSE)*J6</f>
        <v>0</v>
      </c>
      <c r="M6" s="72">
        <f>VLOOKUP(A6,'GHG Factors FY21'!A:L,12,FALSE)*J6</f>
        <v>260.31386527200004</v>
      </c>
      <c r="N6" s="51">
        <f t="shared" si="1"/>
        <v>5350.8961194800013</v>
      </c>
    </row>
    <row r="7" spans="1:14">
      <c r="A7" t="s">
        <v>847</v>
      </c>
      <c r="B7" t="s">
        <v>1212</v>
      </c>
      <c r="C7" t="s">
        <v>1241</v>
      </c>
      <c r="D7" t="s">
        <v>1213</v>
      </c>
      <c r="E7" s="811">
        <v>67.17</v>
      </c>
      <c r="F7" t="s">
        <v>673</v>
      </c>
      <c r="G7" s="50" t="s">
        <v>658</v>
      </c>
      <c r="H7" s="50" t="s">
        <v>695</v>
      </c>
      <c r="I7" s="72">
        <f t="shared" si="0"/>
        <v>6.7170000000000007E-2</v>
      </c>
      <c r="J7" s="72">
        <f>VLOOKUP(A7,'GHG Factors FY21'!A:L,8,FALSE)*I7</f>
        <v>2.5927620000000005</v>
      </c>
      <c r="K7" s="72">
        <f>VLOOKUP(A7,'GHG Factors FY21'!A:L,10,FALSE)*J7</f>
        <v>182.53044480000005</v>
      </c>
      <c r="L7" s="72">
        <f>VLOOKUP(A7,'GHG Factors FY21'!A:L,11,FALSE)*J7</f>
        <v>0</v>
      </c>
      <c r="M7" s="72">
        <f>VLOOKUP(A7,'GHG Factors FY21'!A:L,12,FALSE)*J7</f>
        <v>9.333943200000002</v>
      </c>
      <c r="N7" s="51">
        <f t="shared" si="1"/>
        <v>191.86438800000005</v>
      </c>
    </row>
    <row r="8" spans="1:14">
      <c r="A8" t="s">
        <v>848</v>
      </c>
      <c r="B8" t="s">
        <v>1214</v>
      </c>
      <c r="C8" t="s">
        <v>1241</v>
      </c>
      <c r="D8" t="s">
        <v>1189</v>
      </c>
      <c r="E8" s="811">
        <v>3291.1149999999998</v>
      </c>
      <c r="F8" t="s">
        <v>673</v>
      </c>
      <c r="G8" s="50" t="s">
        <v>658</v>
      </c>
      <c r="H8" s="50" t="s">
        <v>695</v>
      </c>
      <c r="I8" s="72">
        <f t="shared" si="0"/>
        <v>3.2911149999999996</v>
      </c>
      <c r="J8" s="72">
        <f>VLOOKUP(A8,'GHG Factors FY21'!A:L,8,FALSE)*I8</f>
        <v>127.03703899999999</v>
      </c>
      <c r="K8" s="72">
        <f>VLOOKUP(A8,'GHG Factors FY21'!A:L,10,FALSE)*J8</f>
        <v>8943.407545600001</v>
      </c>
      <c r="L8" s="72">
        <f>VLOOKUP(A8,'GHG Factors FY21'!A:L,11,FALSE)*J8</f>
        <v>0</v>
      </c>
      <c r="M8" s="72">
        <f>VLOOKUP(A8,'GHG Factors FY21'!A:L,12,FALSE)*J8</f>
        <v>457.3333404</v>
      </c>
      <c r="N8" s="51">
        <f t="shared" si="1"/>
        <v>9400.7408860000014</v>
      </c>
    </row>
    <row r="9" spans="1:14">
      <c r="A9" t="s">
        <v>849</v>
      </c>
      <c r="B9" t="s">
        <v>1215</v>
      </c>
      <c r="C9" t="s">
        <v>1241</v>
      </c>
      <c r="D9" t="s">
        <v>1216</v>
      </c>
      <c r="E9" s="811">
        <v>0</v>
      </c>
      <c r="F9" t="s">
        <v>673</v>
      </c>
      <c r="G9" s="50" t="s">
        <v>658</v>
      </c>
      <c r="H9" s="50" t="s">
        <v>695</v>
      </c>
      <c r="I9" s="72">
        <f t="shared" si="0"/>
        <v>0</v>
      </c>
      <c r="J9" s="72">
        <f>VLOOKUP(A9,'GHG Factors FY21'!A:L,8,FALSE)*I9</f>
        <v>0</v>
      </c>
      <c r="K9" s="72">
        <f>VLOOKUP(A9,'GHG Factors FY21'!A:L,10,FALSE)*J9</f>
        <v>0</v>
      </c>
      <c r="L9" s="72">
        <f>VLOOKUP(A9,'GHG Factors FY21'!A:L,11,FALSE)*J9</f>
        <v>0</v>
      </c>
      <c r="M9" s="72">
        <f>VLOOKUP(A9,'GHG Factors FY21'!A:L,12,FALSE)*J9</f>
        <v>0</v>
      </c>
      <c r="N9" s="51">
        <f t="shared" si="1"/>
        <v>0</v>
      </c>
    </row>
    <row r="10" spans="1:14">
      <c r="A10" t="s">
        <v>850</v>
      </c>
      <c r="B10" t="s">
        <v>1205</v>
      </c>
      <c r="C10" t="s">
        <v>1242</v>
      </c>
      <c r="D10" t="s">
        <v>1190</v>
      </c>
      <c r="E10" s="811">
        <v>145776.91</v>
      </c>
      <c r="F10" t="s">
        <v>673</v>
      </c>
      <c r="G10" s="50" t="s">
        <v>658</v>
      </c>
      <c r="H10" s="50" t="s">
        <v>695</v>
      </c>
      <c r="I10" s="72">
        <f t="shared" si="0"/>
        <v>145.77691000000002</v>
      </c>
      <c r="J10" s="72">
        <f>VLOOKUP(A10,'GHG Factors FY21'!A:L,8,FALSE)*I10</f>
        <v>5626.9887260000005</v>
      </c>
      <c r="K10" s="72">
        <f>VLOOKUP(A10,'GHG Factors FY21'!A:L,10,FALSE)*J10</f>
        <v>396196.27619766007</v>
      </c>
      <c r="L10" s="72">
        <f>VLOOKUP(A10,'GHG Factors FY21'!A:L,11,FALSE)*J10</f>
        <v>0</v>
      </c>
      <c r="M10" s="72">
        <f>VLOOKUP(A10,'GHG Factors FY21'!A:L,12,FALSE)*J10</f>
        <v>20257.159413600002</v>
      </c>
      <c r="N10" s="51">
        <f t="shared" si="1"/>
        <v>416453.43561126007</v>
      </c>
    </row>
    <row r="11" spans="1:14">
      <c r="A11" t="s">
        <v>851</v>
      </c>
      <c r="B11" t="s">
        <v>1206</v>
      </c>
      <c r="C11" t="s">
        <v>1242</v>
      </c>
      <c r="D11" t="s">
        <v>1192</v>
      </c>
      <c r="E11" s="811">
        <v>2643454.59</v>
      </c>
      <c r="F11" t="s">
        <v>673</v>
      </c>
      <c r="G11" s="50" t="s">
        <v>658</v>
      </c>
      <c r="H11" s="50" t="s">
        <v>695</v>
      </c>
      <c r="I11" s="72">
        <f t="shared" si="0"/>
        <v>2643.4545899999998</v>
      </c>
      <c r="J11" s="72">
        <f>VLOOKUP(A11,'GHG Factors FY21'!A:L,8,FALSE)*I11</f>
        <v>102037.34717399999</v>
      </c>
      <c r="K11" s="72">
        <f>VLOOKUP(A11,'GHG Factors FY21'!A:L,10,FALSE)*J11</f>
        <v>7184449.6145213405</v>
      </c>
      <c r="L11" s="72">
        <f>VLOOKUP(A11,'GHG Factors FY21'!A:L,11,FALSE)*J11</f>
        <v>0</v>
      </c>
      <c r="M11" s="72">
        <f>VLOOKUP(A11,'GHG Factors FY21'!A:L,12,FALSE)*J11</f>
        <v>367334.44982639997</v>
      </c>
      <c r="N11" s="51">
        <f t="shared" si="1"/>
        <v>7551784.0643477403</v>
      </c>
    </row>
    <row r="12" spans="1:14">
      <c r="A12" t="s">
        <v>852</v>
      </c>
      <c r="B12" t="s">
        <v>1207</v>
      </c>
      <c r="C12" t="s">
        <v>1242</v>
      </c>
      <c r="D12" t="s">
        <v>1208</v>
      </c>
      <c r="E12" s="811">
        <v>228710.70299999998</v>
      </c>
      <c r="F12" t="s">
        <v>673</v>
      </c>
      <c r="G12" s="50" t="s">
        <v>658</v>
      </c>
      <c r="H12" s="50" t="s">
        <v>695</v>
      </c>
      <c r="I12" s="72">
        <f t="shared" si="0"/>
        <v>228.71070299999997</v>
      </c>
      <c r="J12" s="72">
        <f>VLOOKUP(A12,'GHG Factors FY21'!A:L,8,FALSE)*I12</f>
        <v>8828.2331357999992</v>
      </c>
      <c r="K12" s="72">
        <f>VLOOKUP(A12,'GHG Factors FY21'!A:L,10,FALSE)*J12</f>
        <v>621595.89509167802</v>
      </c>
      <c r="L12" s="72">
        <f>VLOOKUP(A12,'GHG Factors FY21'!A:L,11,FALSE)*J12</f>
        <v>0</v>
      </c>
      <c r="M12" s="72">
        <f>VLOOKUP(A12,'GHG Factors FY21'!A:L,12,FALSE)*J12</f>
        <v>31781.639288879996</v>
      </c>
      <c r="N12" s="51">
        <f t="shared" si="1"/>
        <v>653377.53438055806</v>
      </c>
    </row>
    <row r="13" spans="1:14">
      <c r="A13" t="s">
        <v>853</v>
      </c>
      <c r="B13" t="s">
        <v>1209</v>
      </c>
      <c r="C13" t="s">
        <v>1242</v>
      </c>
      <c r="D13" t="s">
        <v>1210</v>
      </c>
      <c r="E13" s="811">
        <v>1782095.5</v>
      </c>
      <c r="F13" t="s">
        <v>673</v>
      </c>
      <c r="G13" s="50" t="s">
        <v>658</v>
      </c>
      <c r="H13" s="50" t="s">
        <v>695</v>
      </c>
      <c r="I13" s="72">
        <f t="shared" si="0"/>
        <v>1782.0954999999999</v>
      </c>
      <c r="J13" s="72">
        <f>VLOOKUP(A13,'GHG Factors FY21'!A:L,8,FALSE)*I13</f>
        <v>68788.886299999998</v>
      </c>
      <c r="K13" s="72">
        <f>VLOOKUP(A13,'GHG Factors FY21'!A:L,10,FALSE)*J13</f>
        <v>4843425.484383001</v>
      </c>
      <c r="L13" s="72">
        <f>VLOOKUP(A13,'GHG Factors FY21'!A:L,11,FALSE)*J13</f>
        <v>0</v>
      </c>
      <c r="M13" s="72">
        <f>VLOOKUP(A13,'GHG Factors FY21'!A:L,12,FALSE)*J13</f>
        <v>247639.99067999999</v>
      </c>
      <c r="N13" s="51">
        <f t="shared" si="1"/>
        <v>5091065.4750630008</v>
      </c>
    </row>
    <row r="14" spans="1:14">
      <c r="A14" t="s">
        <v>854</v>
      </c>
      <c r="B14" t="s">
        <v>1211</v>
      </c>
      <c r="C14" t="s">
        <v>1242</v>
      </c>
      <c r="D14" t="s">
        <v>1193</v>
      </c>
      <c r="E14" s="811">
        <v>628024.82000000007</v>
      </c>
      <c r="F14" t="s">
        <v>673</v>
      </c>
      <c r="G14" s="50" t="s">
        <v>658</v>
      </c>
      <c r="H14" s="50" t="s">
        <v>695</v>
      </c>
      <c r="I14" s="72">
        <f t="shared" si="0"/>
        <v>628.02482000000009</v>
      </c>
      <c r="J14" s="72">
        <f>VLOOKUP(A14,'GHG Factors FY21'!A:L,8,FALSE)*I14</f>
        <v>24241.758052000005</v>
      </c>
      <c r="K14" s="72">
        <f>VLOOKUP(A14,'GHG Factors FY21'!A:L,10,FALSE)*J14</f>
        <v>1706862.1844413206</v>
      </c>
      <c r="L14" s="72">
        <f>VLOOKUP(A14,'GHG Factors FY21'!A:L,11,FALSE)*J14</f>
        <v>0</v>
      </c>
      <c r="M14" s="72">
        <f>VLOOKUP(A14,'GHG Factors FY21'!A:L,12,FALSE)*J14</f>
        <v>87270.328987200017</v>
      </c>
      <c r="N14" s="51">
        <f t="shared" si="1"/>
        <v>1794132.5134285206</v>
      </c>
    </row>
    <row r="15" spans="1:14">
      <c r="A15" t="s">
        <v>855</v>
      </c>
      <c r="B15" t="s">
        <v>1212</v>
      </c>
      <c r="C15" t="s">
        <v>1242</v>
      </c>
      <c r="D15" t="s">
        <v>1213</v>
      </c>
      <c r="E15" s="811">
        <v>320188.27</v>
      </c>
      <c r="F15" t="s">
        <v>673</v>
      </c>
      <c r="G15" s="50" t="s">
        <v>658</v>
      </c>
      <c r="H15" s="50" t="s">
        <v>695</v>
      </c>
      <c r="I15" s="72">
        <f t="shared" si="0"/>
        <v>320.18827000000005</v>
      </c>
      <c r="J15" s="72">
        <f>VLOOKUP(A15,'GHG Factors FY21'!A:L,8,FALSE)*I15</f>
        <v>12359.267222000002</v>
      </c>
      <c r="K15" s="72">
        <f>VLOOKUP(A15,'GHG Factors FY21'!A:L,10,FALSE)*J15</f>
        <v>870216.00510102033</v>
      </c>
      <c r="L15" s="72">
        <f>VLOOKUP(A15,'GHG Factors FY21'!A:L,11,FALSE)*J15</f>
        <v>0</v>
      </c>
      <c r="M15" s="72">
        <f>VLOOKUP(A15,'GHG Factors FY21'!A:L,12,FALSE)*J15</f>
        <v>44493.361999200009</v>
      </c>
      <c r="N15" s="51">
        <f t="shared" si="1"/>
        <v>914709.36710022029</v>
      </c>
    </row>
    <row r="16" spans="1:14">
      <c r="A16" t="s">
        <v>856</v>
      </c>
      <c r="B16" t="s">
        <v>1214</v>
      </c>
      <c r="C16" t="s">
        <v>1242</v>
      </c>
      <c r="D16" t="s">
        <v>1189</v>
      </c>
      <c r="E16" s="811">
        <v>1660221.54</v>
      </c>
      <c r="F16" t="s">
        <v>673</v>
      </c>
      <c r="G16" s="50" t="s">
        <v>658</v>
      </c>
      <c r="H16" s="50" t="s">
        <v>695</v>
      </c>
      <c r="I16" s="72">
        <f t="shared" si="0"/>
        <v>1660.22154</v>
      </c>
      <c r="J16" s="72">
        <f>VLOOKUP(A16,'GHG Factors FY21'!A:L,8,FALSE)*I16</f>
        <v>64084.551444000004</v>
      </c>
      <c r="K16" s="72">
        <f>VLOOKUP(A16,'GHG Factors FY21'!A:L,10,FALSE)*J16</f>
        <v>4512193.2671720413</v>
      </c>
      <c r="L16" s="72">
        <f>VLOOKUP(A16,'GHG Factors FY21'!A:L,11,FALSE)*J16</f>
        <v>0</v>
      </c>
      <c r="M16" s="72">
        <f>VLOOKUP(A16,'GHG Factors FY21'!A:L,12,FALSE)*J16</f>
        <v>230704.38519840001</v>
      </c>
      <c r="N16" s="51">
        <f t="shared" si="1"/>
        <v>4742897.6523704417</v>
      </c>
    </row>
    <row r="17" spans="1:14">
      <c r="A17" t="s">
        <v>857</v>
      </c>
      <c r="B17" t="s">
        <v>1215</v>
      </c>
      <c r="C17" t="s">
        <v>1242</v>
      </c>
      <c r="D17" t="s">
        <v>1216</v>
      </c>
      <c r="E17" s="811">
        <v>930216.76</v>
      </c>
      <c r="F17" t="s">
        <v>673</v>
      </c>
      <c r="G17" s="50" t="s">
        <v>658</v>
      </c>
      <c r="H17" s="50" t="s">
        <v>695</v>
      </c>
      <c r="I17" s="72">
        <f t="shared" si="0"/>
        <v>930.21676000000002</v>
      </c>
      <c r="J17" s="72">
        <f>VLOOKUP(A17,'GHG Factors FY21'!A:L,8,FALSE)*I17</f>
        <v>35906.366936000006</v>
      </c>
      <c r="K17" s="72">
        <f>VLOOKUP(A17,'GHG Factors FY21'!A:L,10,FALSE)*J17</f>
        <v>2528167.2959637609</v>
      </c>
      <c r="L17" s="72">
        <f>VLOOKUP(A17,'GHG Factors FY21'!A:L,11,FALSE)*J17</f>
        <v>0</v>
      </c>
      <c r="M17" s="72">
        <f>VLOOKUP(A17,'GHG Factors FY21'!A:L,12,FALSE)*J17</f>
        <v>129262.92096960002</v>
      </c>
      <c r="N17" s="51">
        <f t="shared" si="1"/>
        <v>2657430.2169333608</v>
      </c>
    </row>
    <row r="18" spans="1:14">
      <c r="A18" t="s">
        <v>858</v>
      </c>
      <c r="B18" t="s">
        <v>1205</v>
      </c>
      <c r="C18" t="s">
        <v>1243</v>
      </c>
      <c r="D18" t="s">
        <v>1190</v>
      </c>
      <c r="E18" s="811">
        <v>343.24199999999996</v>
      </c>
      <c r="F18" t="s">
        <v>673</v>
      </c>
      <c r="G18" s="50" t="s">
        <v>658</v>
      </c>
      <c r="H18" s="50" t="s">
        <v>695</v>
      </c>
      <c r="I18" s="72">
        <f t="shared" si="0"/>
        <v>0.34324199999999994</v>
      </c>
      <c r="J18" s="72">
        <f>VLOOKUP(A18,'GHG Factors FY21'!A:L,8,FALSE)*I18</f>
        <v>8.0318627999999972</v>
      </c>
      <c r="K18" s="72">
        <f>VLOOKUP(A18,'GHG Factors FY21'!A:L,10,FALSE)*J18</f>
        <v>3.2127451199999992</v>
      </c>
      <c r="L18" s="72">
        <f>VLOOKUP(A18,'GHG Factors FY21'!A:L,11,FALSE)*J18</f>
        <v>0</v>
      </c>
      <c r="M18" s="72">
        <f>VLOOKUP(A18,'GHG Factors FY21'!A:L,12,FALSE)*J18</f>
        <v>0</v>
      </c>
      <c r="N18" s="51">
        <f t="shared" si="1"/>
        <v>3.2127451199999992</v>
      </c>
    </row>
    <row r="19" spans="1:14">
      <c r="A19" t="s">
        <v>859</v>
      </c>
      <c r="B19" t="s">
        <v>1206</v>
      </c>
      <c r="C19" t="s">
        <v>1243</v>
      </c>
      <c r="D19" t="s">
        <v>1192</v>
      </c>
      <c r="E19" s="811">
        <v>13911.406000000003</v>
      </c>
      <c r="F19" t="s">
        <v>673</v>
      </c>
      <c r="G19" s="50" t="s">
        <v>658</v>
      </c>
      <c r="H19" s="50" t="s">
        <v>695</v>
      </c>
      <c r="I19" s="72">
        <f t="shared" si="0"/>
        <v>13.911406000000003</v>
      </c>
      <c r="J19" s="72">
        <f>VLOOKUP(A19,'GHG Factors FY21'!A:L,8,FALSE)*I19</f>
        <v>325.52690040000005</v>
      </c>
      <c r="K19" s="72">
        <f>VLOOKUP(A19,'GHG Factors FY21'!A:L,10,FALSE)*J19</f>
        <v>130.21076016000004</v>
      </c>
      <c r="L19" s="72">
        <f>VLOOKUP(A19,'GHG Factors FY21'!A:L,11,FALSE)*J19</f>
        <v>0</v>
      </c>
      <c r="M19" s="72">
        <f>VLOOKUP(A19,'GHG Factors FY21'!A:L,12,FALSE)*J19</f>
        <v>0</v>
      </c>
      <c r="N19" s="51">
        <f t="shared" si="1"/>
        <v>130.21076016000004</v>
      </c>
    </row>
    <row r="20" spans="1:14">
      <c r="A20" t="s">
        <v>860</v>
      </c>
      <c r="B20" t="s">
        <v>1209</v>
      </c>
      <c r="C20" t="s">
        <v>1243</v>
      </c>
      <c r="D20" t="s">
        <v>1210</v>
      </c>
      <c r="E20" s="811">
        <v>1856.193</v>
      </c>
      <c r="F20" t="s">
        <v>673</v>
      </c>
      <c r="G20" s="50" t="s">
        <v>658</v>
      </c>
      <c r="H20" s="50" t="s">
        <v>695</v>
      </c>
      <c r="I20" s="72">
        <f t="shared" si="0"/>
        <v>1.856193</v>
      </c>
      <c r="J20" s="72">
        <f>VLOOKUP(A20,'GHG Factors FY21'!A:L,8,FALSE)*I20</f>
        <v>43.434916199999996</v>
      </c>
      <c r="K20" s="72">
        <f>VLOOKUP(A20,'GHG Factors FY21'!A:L,10,FALSE)*J20</f>
        <v>17.37396648</v>
      </c>
      <c r="L20" s="72">
        <f>VLOOKUP(A20,'GHG Factors FY21'!A:L,11,FALSE)*J20</f>
        <v>0</v>
      </c>
      <c r="M20" s="72">
        <f>VLOOKUP(A20,'GHG Factors FY21'!A:L,12,FALSE)*J20</f>
        <v>0</v>
      </c>
      <c r="N20" s="51">
        <f t="shared" si="1"/>
        <v>17.37396648</v>
      </c>
    </row>
    <row r="21" spans="1:14">
      <c r="A21" t="s">
        <v>861</v>
      </c>
      <c r="B21" t="s">
        <v>1211</v>
      </c>
      <c r="C21" t="s">
        <v>1243</v>
      </c>
      <c r="D21" t="s">
        <v>1193</v>
      </c>
      <c r="E21" s="811">
        <v>0</v>
      </c>
      <c r="F21" t="s">
        <v>673</v>
      </c>
      <c r="G21" s="50" t="s">
        <v>658</v>
      </c>
      <c r="H21" s="50" t="s">
        <v>695</v>
      </c>
      <c r="I21" s="72">
        <f t="shared" si="0"/>
        <v>0</v>
      </c>
      <c r="J21" s="72">
        <f>VLOOKUP(A21,'GHG Factors FY21'!A:L,8,FALSE)*I21</f>
        <v>0</v>
      </c>
      <c r="K21" s="72">
        <f>VLOOKUP(A21,'GHG Factors FY21'!A:L,10,FALSE)*J21</f>
        <v>0</v>
      </c>
      <c r="L21" s="72">
        <f>VLOOKUP(A21,'GHG Factors FY21'!A:L,11,FALSE)*J21</f>
        <v>0</v>
      </c>
      <c r="M21" s="72">
        <f>VLOOKUP(A21,'GHG Factors FY21'!A:L,12,FALSE)*J21</f>
        <v>0</v>
      </c>
      <c r="N21" s="51">
        <f t="shared" si="1"/>
        <v>0</v>
      </c>
    </row>
    <row r="22" spans="1:14">
      <c r="A22" t="s">
        <v>862</v>
      </c>
      <c r="B22" t="s">
        <v>1212</v>
      </c>
      <c r="C22" t="s">
        <v>1243</v>
      </c>
      <c r="D22" t="s">
        <v>1213</v>
      </c>
      <c r="E22" s="811">
        <v>0</v>
      </c>
      <c r="F22" t="s">
        <v>673</v>
      </c>
      <c r="G22" s="50" t="s">
        <v>658</v>
      </c>
      <c r="H22" s="50" t="s">
        <v>695</v>
      </c>
      <c r="I22" s="72">
        <f t="shared" si="0"/>
        <v>0</v>
      </c>
      <c r="J22" s="72">
        <f>VLOOKUP(A22,'GHG Factors FY21'!A:L,8,FALSE)*I22</f>
        <v>0</v>
      </c>
      <c r="K22" s="72">
        <f>VLOOKUP(A22,'GHG Factors FY21'!A:L,10,FALSE)*J22</f>
        <v>0</v>
      </c>
      <c r="L22" s="72">
        <f>VLOOKUP(A22,'GHG Factors FY21'!A:L,11,FALSE)*J22</f>
        <v>0</v>
      </c>
      <c r="M22" s="72">
        <f>VLOOKUP(A22,'GHG Factors FY21'!A:L,12,FALSE)*J22</f>
        <v>0</v>
      </c>
      <c r="N22" s="51">
        <f t="shared" si="1"/>
        <v>0</v>
      </c>
    </row>
    <row r="23" spans="1:14">
      <c r="A23" t="s">
        <v>863</v>
      </c>
      <c r="B23" t="s">
        <v>1214</v>
      </c>
      <c r="C23" t="s">
        <v>1243</v>
      </c>
      <c r="D23" t="s">
        <v>1189</v>
      </c>
      <c r="E23" s="811">
        <v>74.894000000000005</v>
      </c>
      <c r="F23" t="s">
        <v>673</v>
      </c>
      <c r="G23" s="50" t="s">
        <v>658</v>
      </c>
      <c r="H23" s="50" t="s">
        <v>695</v>
      </c>
      <c r="I23" s="72">
        <f t="shared" si="0"/>
        <v>7.4894000000000002E-2</v>
      </c>
      <c r="J23" s="72">
        <f>VLOOKUP(A23,'GHG Factors FY21'!A:L,8,FALSE)*I23</f>
        <v>1.7525195999999998</v>
      </c>
      <c r="K23" s="72">
        <f>VLOOKUP(A23,'GHG Factors FY21'!A:L,10,FALSE)*J23</f>
        <v>0.70100783999999994</v>
      </c>
      <c r="L23" s="72">
        <f>VLOOKUP(A23,'GHG Factors FY21'!A:L,11,FALSE)*J23</f>
        <v>0</v>
      </c>
      <c r="M23" s="72">
        <f>VLOOKUP(A23,'GHG Factors FY21'!A:L,12,FALSE)*J23</f>
        <v>0</v>
      </c>
      <c r="N23" s="51">
        <f t="shared" si="1"/>
        <v>0.70100783999999994</v>
      </c>
    </row>
    <row r="24" spans="1:14">
      <c r="A24" t="s">
        <v>864</v>
      </c>
      <c r="B24" t="s">
        <v>1206</v>
      </c>
      <c r="C24" t="s">
        <v>1244</v>
      </c>
      <c r="D24" t="s">
        <v>1192</v>
      </c>
      <c r="E24" s="811">
        <v>874.94140000000004</v>
      </c>
      <c r="F24" t="s">
        <v>673</v>
      </c>
      <c r="G24" s="50" t="s">
        <v>658</v>
      </c>
      <c r="H24" s="50" t="s">
        <v>695</v>
      </c>
      <c r="I24" s="72">
        <f t="shared" si="0"/>
        <v>0.87494140000000009</v>
      </c>
      <c r="J24" s="72">
        <f>VLOOKUP(A24,'GHG Factors FY21'!A:L,8,FALSE)*I24</f>
        <v>22.923464680000002</v>
      </c>
      <c r="K24" s="72">
        <f>VLOOKUP(A24,'GHG Factors FY21'!A:L,10,FALSE)*J24</f>
        <v>1398.3313454800002</v>
      </c>
      <c r="L24" s="72">
        <f>VLOOKUP(A24,'GHG Factors FY21'!A:L,11,FALSE)*J24</f>
        <v>0</v>
      </c>
      <c r="M24" s="72">
        <f>VLOOKUP(A24,'GHG Factors FY21'!A:L,12,FALSE)*J24</f>
        <v>82.524472848000016</v>
      </c>
      <c r="N24" s="51">
        <f t="shared" si="1"/>
        <v>1480.8558183280002</v>
      </c>
    </row>
    <row r="25" spans="1:14">
      <c r="A25" t="s">
        <v>865</v>
      </c>
      <c r="B25" t="s">
        <v>1209</v>
      </c>
      <c r="C25" t="s">
        <v>1244</v>
      </c>
      <c r="D25" t="s">
        <v>1210</v>
      </c>
      <c r="E25" s="811">
        <v>0</v>
      </c>
      <c r="F25" t="s">
        <v>673</v>
      </c>
      <c r="G25" s="50" t="s">
        <v>658</v>
      </c>
      <c r="H25" s="50" t="s">
        <v>695</v>
      </c>
      <c r="I25" s="72">
        <f t="shared" si="0"/>
        <v>0</v>
      </c>
      <c r="J25" s="72">
        <f>VLOOKUP(A25,'GHG Factors FY21'!A:L,8,FALSE)*I25</f>
        <v>0</v>
      </c>
      <c r="K25" s="72">
        <f>VLOOKUP(A25,'GHG Factors FY21'!A:L,10,FALSE)*J25</f>
        <v>0</v>
      </c>
      <c r="L25" s="72">
        <f>VLOOKUP(A25,'GHG Factors FY21'!A:L,11,FALSE)*J25</f>
        <v>0</v>
      </c>
      <c r="M25" s="72">
        <f>VLOOKUP(A25,'GHG Factors FY21'!A:L,12,FALSE)*J25</f>
        <v>0</v>
      </c>
      <c r="N25" s="51">
        <f t="shared" si="1"/>
        <v>0</v>
      </c>
    </row>
    <row r="26" spans="1:14">
      <c r="A26" t="s">
        <v>866</v>
      </c>
      <c r="B26" t="s">
        <v>1211</v>
      </c>
      <c r="C26" t="s">
        <v>1244</v>
      </c>
      <c r="D26" t="s">
        <v>1193</v>
      </c>
      <c r="E26" s="811">
        <v>0</v>
      </c>
      <c r="F26" t="s">
        <v>673</v>
      </c>
      <c r="G26" s="50" t="s">
        <v>658</v>
      </c>
      <c r="H26" s="50" t="s">
        <v>695</v>
      </c>
      <c r="I26" s="72">
        <f t="shared" si="0"/>
        <v>0</v>
      </c>
      <c r="J26" s="72">
        <f>VLOOKUP(A26,'GHG Factors FY21'!A:L,8,FALSE)*I26</f>
        <v>0</v>
      </c>
      <c r="K26" s="72">
        <f>VLOOKUP(A26,'GHG Factors FY21'!A:L,10,FALSE)*J26</f>
        <v>0</v>
      </c>
      <c r="L26" s="72">
        <f>VLOOKUP(A26,'GHG Factors FY21'!A:L,11,FALSE)*J26</f>
        <v>0</v>
      </c>
      <c r="M26" s="72">
        <f>VLOOKUP(A26,'GHG Factors FY21'!A:L,12,FALSE)*J26</f>
        <v>0</v>
      </c>
      <c r="N26" s="51">
        <f t="shared" si="1"/>
        <v>0</v>
      </c>
    </row>
    <row r="27" spans="1:14">
      <c r="A27" t="s">
        <v>867</v>
      </c>
      <c r="B27" t="s">
        <v>1214</v>
      </c>
      <c r="C27" t="s">
        <v>1244</v>
      </c>
      <c r="D27" t="s">
        <v>1189</v>
      </c>
      <c r="E27" s="811">
        <v>0</v>
      </c>
      <c r="F27" t="s">
        <v>673</v>
      </c>
      <c r="G27" s="50" t="s">
        <v>658</v>
      </c>
      <c r="H27" s="50" t="s">
        <v>695</v>
      </c>
      <c r="I27" s="72">
        <f t="shared" si="0"/>
        <v>0</v>
      </c>
      <c r="J27" s="72">
        <f>VLOOKUP(A27,'GHG Factors FY21'!A:L,8,FALSE)*I27</f>
        <v>0</v>
      </c>
      <c r="K27" s="72">
        <f>VLOOKUP(A27,'GHG Factors FY21'!A:L,10,FALSE)*J27</f>
        <v>0</v>
      </c>
      <c r="L27" s="72">
        <f>VLOOKUP(A27,'GHG Factors FY21'!A:L,11,FALSE)*J27</f>
        <v>0</v>
      </c>
      <c r="M27" s="72">
        <f>VLOOKUP(A27,'GHG Factors FY21'!A:L,12,FALSE)*J27</f>
        <v>0</v>
      </c>
      <c r="N27" s="51">
        <f t="shared" si="1"/>
        <v>0</v>
      </c>
    </row>
    <row r="28" spans="1:14">
      <c r="A28" t="s">
        <v>868</v>
      </c>
      <c r="B28" t="s">
        <v>1214</v>
      </c>
      <c r="C28" t="s">
        <v>1245</v>
      </c>
      <c r="D28" t="s">
        <v>1189</v>
      </c>
      <c r="E28" s="811">
        <v>245.786</v>
      </c>
      <c r="F28" t="s">
        <v>673</v>
      </c>
      <c r="G28" s="50" t="s">
        <v>658</v>
      </c>
      <c r="H28" s="50" t="s">
        <v>695</v>
      </c>
      <c r="I28" s="72">
        <f t="shared" si="0"/>
        <v>0.245786</v>
      </c>
      <c r="J28" s="72">
        <f>VLOOKUP(A28,'GHG Factors FY21'!A:L,8,FALSE)*I28</f>
        <v>8.4058812000000014</v>
      </c>
      <c r="K28" s="72">
        <f>VLOOKUP(A28,'GHG Factors FY21'!A:L,10,FALSE)*J28</f>
        <v>585.04933152000001</v>
      </c>
      <c r="L28" s="72">
        <f>VLOOKUP(A28,'GHG Factors FY21'!A:L,11,FALSE)*J28</f>
        <v>0</v>
      </c>
      <c r="M28" s="72">
        <f>VLOOKUP(A28,'GHG Factors FY21'!A:L,12,FALSE)*J28</f>
        <v>30.261172320000007</v>
      </c>
      <c r="N28" s="51">
        <f t="shared" si="1"/>
        <v>615.31050384000002</v>
      </c>
    </row>
    <row r="29" spans="1:14">
      <c r="A29" t="s">
        <v>869</v>
      </c>
      <c r="B29" t="s">
        <v>1205</v>
      </c>
      <c r="C29" t="s">
        <v>1246</v>
      </c>
      <c r="D29" t="s">
        <v>1190</v>
      </c>
      <c r="E29" s="811">
        <v>10671.328000000001</v>
      </c>
      <c r="F29" t="s">
        <v>673</v>
      </c>
      <c r="G29" s="50" t="s">
        <v>658</v>
      </c>
      <c r="H29" s="50" t="s">
        <v>695</v>
      </c>
      <c r="I29" s="72">
        <f t="shared" si="0"/>
        <v>10.671328000000001</v>
      </c>
      <c r="J29" s="72">
        <f>VLOOKUP(A29,'GHG Factors FY21'!A:L,8,FALSE)*I29</f>
        <v>364.95941760000005</v>
      </c>
      <c r="K29" s="72">
        <f>VLOOKUP(A29,'GHG Factors FY21'!A:L,10,FALSE)*J29</f>
        <v>24678.555818112007</v>
      </c>
      <c r="L29" s="72">
        <f>VLOOKUP(A29,'GHG Factors FY21'!A:L,11,FALSE)*J29</f>
        <v>0</v>
      </c>
      <c r="M29" s="72">
        <f>VLOOKUP(A29,'GHG Factors FY21'!A:L,12,FALSE)*J29</f>
        <v>1313.8539033600002</v>
      </c>
      <c r="N29" s="51">
        <f t="shared" si="1"/>
        <v>25992.409721472006</v>
      </c>
    </row>
    <row r="30" spans="1:14">
      <c r="A30" t="s">
        <v>870</v>
      </c>
      <c r="B30" t="s">
        <v>1206</v>
      </c>
      <c r="C30" t="s">
        <v>1246</v>
      </c>
      <c r="D30" t="s">
        <v>1192</v>
      </c>
      <c r="E30" s="811">
        <v>237369.21399999998</v>
      </c>
      <c r="F30" t="s">
        <v>673</v>
      </c>
      <c r="G30" s="50" t="s">
        <v>658</v>
      </c>
      <c r="H30" s="50" t="s">
        <v>695</v>
      </c>
      <c r="I30" s="72">
        <f t="shared" si="0"/>
        <v>237.36921399999997</v>
      </c>
      <c r="J30" s="72">
        <f>VLOOKUP(A30,'GHG Factors FY21'!A:L,8,FALSE)*I30</f>
        <v>8118.0271187999997</v>
      </c>
      <c r="K30" s="72">
        <f>VLOOKUP(A30,'GHG Factors FY21'!A:L,10,FALSE)*J30</f>
        <v>548940.99377325596</v>
      </c>
      <c r="L30" s="72">
        <f>VLOOKUP(A30,'GHG Factors FY21'!A:L,11,FALSE)*J30</f>
        <v>0</v>
      </c>
      <c r="M30" s="72">
        <f>VLOOKUP(A30,'GHG Factors FY21'!A:L,12,FALSE)*J30</f>
        <v>29224.897627679999</v>
      </c>
      <c r="N30" s="51">
        <f t="shared" si="1"/>
        <v>578165.89140093594</v>
      </c>
    </row>
    <row r="31" spans="1:14">
      <c r="A31" t="s">
        <v>871</v>
      </c>
      <c r="B31" t="s">
        <v>1207</v>
      </c>
      <c r="C31" t="s">
        <v>1246</v>
      </c>
      <c r="D31" t="s">
        <v>1208</v>
      </c>
      <c r="E31" s="811">
        <v>6861.84</v>
      </c>
      <c r="F31" t="s">
        <v>673</v>
      </c>
      <c r="G31" s="50" t="s">
        <v>658</v>
      </c>
      <c r="H31" s="50" t="s">
        <v>695</v>
      </c>
      <c r="I31" s="72">
        <f t="shared" si="0"/>
        <v>6.8618399999999999</v>
      </c>
      <c r="J31" s="72">
        <f>VLOOKUP(A31,'GHG Factors FY21'!A:L,8,FALSE)*I31</f>
        <v>234.67492800000002</v>
      </c>
      <c r="K31" s="72">
        <f>VLOOKUP(A31,'GHG Factors FY21'!A:L,10,FALSE)*J31</f>
        <v>15868.718631360003</v>
      </c>
      <c r="L31" s="72">
        <f>VLOOKUP(A31,'GHG Factors FY21'!A:L,11,FALSE)*J31</f>
        <v>0</v>
      </c>
      <c r="M31" s="72">
        <f>VLOOKUP(A31,'GHG Factors FY21'!A:L,12,FALSE)*J31</f>
        <v>844.82974080000008</v>
      </c>
      <c r="N31" s="51">
        <f t="shared" si="1"/>
        <v>16713.548372160003</v>
      </c>
    </row>
    <row r="32" spans="1:14">
      <c r="A32" t="s">
        <v>872</v>
      </c>
      <c r="B32" t="s">
        <v>1209</v>
      </c>
      <c r="C32" t="s">
        <v>1246</v>
      </c>
      <c r="D32" t="s">
        <v>1210</v>
      </c>
      <c r="E32" s="811">
        <v>99741.937000000005</v>
      </c>
      <c r="F32" t="s">
        <v>673</v>
      </c>
      <c r="G32" s="50" t="s">
        <v>658</v>
      </c>
      <c r="H32" s="50" t="s">
        <v>695</v>
      </c>
      <c r="I32" s="72">
        <f t="shared" si="0"/>
        <v>99.741937000000007</v>
      </c>
      <c r="J32" s="72">
        <f>VLOOKUP(A32,'GHG Factors FY21'!A:L,8,FALSE)*I32</f>
        <v>3411.1742454000005</v>
      </c>
      <c r="K32" s="72">
        <f>VLOOKUP(A32,'GHG Factors FY21'!A:L,10,FALSE)*J32</f>
        <v>230663.60247394803</v>
      </c>
      <c r="L32" s="72">
        <f>VLOOKUP(A32,'GHG Factors FY21'!A:L,11,FALSE)*J32</f>
        <v>0</v>
      </c>
      <c r="M32" s="72">
        <f>VLOOKUP(A32,'GHG Factors FY21'!A:L,12,FALSE)*J32</f>
        <v>12280.227283440003</v>
      </c>
      <c r="N32" s="51">
        <f t="shared" si="1"/>
        <v>242943.82975738804</v>
      </c>
    </row>
    <row r="33" spans="1:14">
      <c r="A33" t="s">
        <v>873</v>
      </c>
      <c r="B33" t="s">
        <v>1211</v>
      </c>
      <c r="C33" t="s">
        <v>1246</v>
      </c>
      <c r="D33" t="s">
        <v>1193</v>
      </c>
      <c r="E33" s="811">
        <v>49040.91</v>
      </c>
      <c r="F33" t="s">
        <v>673</v>
      </c>
      <c r="G33" s="50" t="s">
        <v>658</v>
      </c>
      <c r="H33" s="50" t="s">
        <v>695</v>
      </c>
      <c r="I33" s="72">
        <f t="shared" si="0"/>
        <v>49.040910000000004</v>
      </c>
      <c r="J33" s="72">
        <f>VLOOKUP(A33,'GHG Factors FY21'!A:L,8,FALSE)*I33</f>
        <v>1677.1991220000002</v>
      </c>
      <c r="K33" s="72">
        <f>VLOOKUP(A33,'GHG Factors FY21'!A:L,10,FALSE)*J33</f>
        <v>113412.20462964002</v>
      </c>
      <c r="L33" s="72">
        <f>VLOOKUP(A33,'GHG Factors FY21'!A:L,11,FALSE)*J33</f>
        <v>0</v>
      </c>
      <c r="M33" s="72">
        <f>VLOOKUP(A33,'GHG Factors FY21'!A:L,12,FALSE)*J33</f>
        <v>6037.916839200001</v>
      </c>
      <c r="N33" s="51">
        <f t="shared" si="1"/>
        <v>119450.12146884002</v>
      </c>
    </row>
    <row r="34" spans="1:14">
      <c r="A34" t="s">
        <v>874</v>
      </c>
      <c r="B34" t="s">
        <v>1212</v>
      </c>
      <c r="C34" t="s">
        <v>1246</v>
      </c>
      <c r="D34" t="s">
        <v>1213</v>
      </c>
      <c r="E34" s="811">
        <v>22046.29</v>
      </c>
      <c r="F34" t="s">
        <v>673</v>
      </c>
      <c r="G34" s="50" t="s">
        <v>658</v>
      </c>
      <c r="H34" s="50" t="s">
        <v>695</v>
      </c>
      <c r="I34" s="72">
        <f t="shared" si="0"/>
        <v>22.046290000000003</v>
      </c>
      <c r="J34" s="72">
        <f>VLOOKUP(A34,'GHG Factors FY21'!A:L,8,FALSE)*I34</f>
        <v>753.9831180000001</v>
      </c>
      <c r="K34" s="72">
        <f>VLOOKUP(A34,'GHG Factors FY21'!A:L,10,FALSE)*J34</f>
        <v>50984.338439160012</v>
      </c>
      <c r="L34" s="72">
        <f>VLOOKUP(A34,'GHG Factors FY21'!A:L,11,FALSE)*J34</f>
        <v>0</v>
      </c>
      <c r="M34" s="72">
        <f>VLOOKUP(A34,'GHG Factors FY21'!A:L,12,FALSE)*J34</f>
        <v>2714.3392248000005</v>
      </c>
      <c r="N34" s="51">
        <f t="shared" si="1"/>
        <v>53698.677663960014</v>
      </c>
    </row>
    <row r="35" spans="1:14">
      <c r="A35" t="s">
        <v>875</v>
      </c>
      <c r="B35" t="s">
        <v>1214</v>
      </c>
      <c r="C35" t="s">
        <v>1246</v>
      </c>
      <c r="D35" t="s">
        <v>1189</v>
      </c>
      <c r="E35" s="811">
        <v>214706.67599999998</v>
      </c>
      <c r="F35" t="s">
        <v>673</v>
      </c>
      <c r="G35" s="50" t="s">
        <v>658</v>
      </c>
      <c r="H35" s="50" t="s">
        <v>695</v>
      </c>
      <c r="I35" s="72">
        <f t="shared" si="0"/>
        <v>214.70667599999999</v>
      </c>
      <c r="J35" s="72">
        <f>VLOOKUP(A35,'GHG Factors FY21'!A:L,8,FALSE)*I35</f>
        <v>7342.9683192000002</v>
      </c>
      <c r="K35" s="72">
        <f>VLOOKUP(A35,'GHG Factors FY21'!A:L,10,FALSE)*J35</f>
        <v>496531.51774430403</v>
      </c>
      <c r="L35" s="72">
        <f>VLOOKUP(A35,'GHG Factors FY21'!A:L,11,FALSE)*J35</f>
        <v>0</v>
      </c>
      <c r="M35" s="72">
        <f>VLOOKUP(A35,'GHG Factors FY21'!A:L,12,FALSE)*J35</f>
        <v>26434.685949120001</v>
      </c>
      <c r="N35" s="51">
        <f t="shared" si="1"/>
        <v>522966.203693424</v>
      </c>
    </row>
    <row r="36" spans="1:14">
      <c r="A36" t="s">
        <v>876</v>
      </c>
      <c r="B36" t="s">
        <v>1215</v>
      </c>
      <c r="C36" t="s">
        <v>1246</v>
      </c>
      <c r="D36" t="s">
        <v>1216</v>
      </c>
      <c r="E36" s="811">
        <v>50174.94</v>
      </c>
      <c r="F36" t="s">
        <v>673</v>
      </c>
      <c r="G36" s="50" t="s">
        <v>658</v>
      </c>
      <c r="H36" s="50" t="s">
        <v>695</v>
      </c>
      <c r="I36" s="72">
        <f t="shared" si="0"/>
        <v>50.174939999999999</v>
      </c>
      <c r="J36" s="72">
        <f>VLOOKUP(A36,'GHG Factors FY21'!A:L,8,FALSE)*I36</f>
        <v>1715.9829480000001</v>
      </c>
      <c r="K36" s="72">
        <f>VLOOKUP(A36,'GHG Factors FY21'!A:L,10,FALSE)*J36</f>
        <v>116034.76694376001</v>
      </c>
      <c r="L36" s="72">
        <f>VLOOKUP(A36,'GHG Factors FY21'!A:L,11,FALSE)*J36</f>
        <v>0</v>
      </c>
      <c r="M36" s="72">
        <f>VLOOKUP(A36,'GHG Factors FY21'!A:L,12,FALSE)*J36</f>
        <v>6177.5386128</v>
      </c>
      <c r="N36" s="51">
        <f t="shared" si="1"/>
        <v>122212.30555656001</v>
      </c>
    </row>
    <row r="39" spans="1:14">
      <c r="A39" s="810"/>
      <c r="B39" t="s">
        <v>1247</v>
      </c>
    </row>
    <row r="40" spans="1:14">
      <c r="K40">
        <v>28301.704800000007</v>
      </c>
      <c r="M40">
        <v>1449.8618000000001</v>
      </c>
    </row>
    <row r="41" spans="1:14">
      <c r="D41" t="s">
        <v>1248</v>
      </c>
      <c r="E41" s="5">
        <f>SUM(E4:E36)</f>
        <v>9052957.1820000019</v>
      </c>
      <c r="K41">
        <f>SUM(K3:K36)/1000</f>
        <v>24279.607245495463</v>
      </c>
      <c r="M41">
        <f>SUM(M3:M36)/1000</f>
        <v>1244.7674975823841</v>
      </c>
    </row>
    <row r="42" spans="1:14">
      <c r="K42" s="5">
        <f>K40-K41</f>
        <v>4022.097554504544</v>
      </c>
    </row>
    <row r="47" spans="1:14">
      <c r="A47" s="657" t="s">
        <v>3</v>
      </c>
      <c r="B47" s="657" t="s">
        <v>1218</v>
      </c>
      <c r="C47" s="62"/>
      <c r="D47" s="62"/>
      <c r="E47" s="222"/>
      <c r="F47" s="62"/>
      <c r="G47" s="62"/>
      <c r="H47" s="62"/>
      <c r="I47" s="62"/>
      <c r="J47" s="62"/>
      <c r="K47" s="62"/>
      <c r="L47" s="62"/>
      <c r="M47" s="62"/>
      <c r="N47" s="62"/>
    </row>
    <row r="48" spans="1:14">
      <c r="A48" s="36" t="s">
        <v>750</v>
      </c>
      <c r="B48" s="34" t="s">
        <v>1200</v>
      </c>
      <c r="C48" s="34" t="s">
        <v>156</v>
      </c>
      <c r="D48" s="34" t="s">
        <v>1187</v>
      </c>
      <c r="E48" s="223" t="s">
        <v>1219</v>
      </c>
      <c r="F48" s="35" t="s">
        <v>1240</v>
      </c>
      <c r="G48" s="37" t="s">
        <v>649</v>
      </c>
      <c r="H48" s="37" t="s">
        <v>684</v>
      </c>
      <c r="I48" s="37" t="s">
        <v>650</v>
      </c>
      <c r="J48" s="37" t="s">
        <v>651</v>
      </c>
      <c r="K48" s="37" t="s">
        <v>652</v>
      </c>
      <c r="L48" s="37" t="s">
        <v>653</v>
      </c>
      <c r="M48" s="37" t="s">
        <v>654</v>
      </c>
      <c r="N48" s="37" t="s">
        <v>751</v>
      </c>
    </row>
    <row r="49" spans="1:14">
      <c r="A49" t="s">
        <v>844</v>
      </c>
      <c r="B49" t="s">
        <v>1206</v>
      </c>
      <c r="C49" t="s">
        <v>1241</v>
      </c>
      <c r="D49" t="s">
        <v>1192</v>
      </c>
      <c r="E49" s="5">
        <v>5316.4699999999993</v>
      </c>
      <c r="F49" t="s">
        <v>673</v>
      </c>
      <c r="G49" s="50" t="s">
        <v>658</v>
      </c>
      <c r="H49" s="50" t="s">
        <v>695</v>
      </c>
      <c r="I49" s="72">
        <f t="shared" ref="I49:I81" si="2">E49/1000</f>
        <v>5.3164699999999989</v>
      </c>
      <c r="J49" s="72">
        <f>VLOOKUP(A49,'GHG Factors FY20'!A:L,8,FALSE)*I49</f>
        <v>205.21574199999998</v>
      </c>
      <c r="K49" s="72">
        <f>VLOOKUP(A49,'GHG Factors FY20'!A:L,10,FALSE)*J49</f>
        <v>14467.709810999999</v>
      </c>
      <c r="L49" s="72">
        <f>VLOOKUP(A49,'GHG Factors FY20'!A:L,11,FALSE)*J49</f>
        <v>0</v>
      </c>
      <c r="M49" s="72">
        <f>VLOOKUP(A49,'GHG Factors FY20'!A:L,12,FALSE)*J49</f>
        <v>738.7766711999999</v>
      </c>
      <c r="N49" s="51">
        <f t="shared" ref="N49:N81" si="3">SUM(K49,L49,M49)</f>
        <v>15206.486482199998</v>
      </c>
    </row>
    <row r="50" spans="1:14">
      <c r="A50" t="s">
        <v>845</v>
      </c>
      <c r="B50" t="s">
        <v>1209</v>
      </c>
      <c r="C50" t="s">
        <v>1241</v>
      </c>
      <c r="D50" t="s">
        <v>1210</v>
      </c>
      <c r="E50" s="5">
        <v>4641.96</v>
      </c>
      <c r="F50" t="s">
        <v>673</v>
      </c>
      <c r="G50" s="50" t="s">
        <v>658</v>
      </c>
      <c r="H50" s="50" t="s">
        <v>695</v>
      </c>
      <c r="I50" s="72">
        <f t="shared" si="2"/>
        <v>4.6419600000000001</v>
      </c>
      <c r="J50" s="72">
        <f>VLOOKUP(A50,'GHG Factors FY20'!A:L,8,FALSE)*I50</f>
        <v>179.17965600000002</v>
      </c>
      <c r="K50" s="72">
        <f>VLOOKUP(A50,'GHG Factors FY20'!A:L,10,FALSE)*J50</f>
        <v>12632.165748000001</v>
      </c>
      <c r="L50" s="72">
        <f>VLOOKUP(A50,'GHG Factors FY20'!A:L,11,FALSE)*J50</f>
        <v>0</v>
      </c>
      <c r="M50" s="72">
        <f>VLOOKUP(A50,'GHG Factors FY20'!A:L,12,FALSE)*J50</f>
        <v>645.04676160000008</v>
      </c>
      <c r="N50" s="51">
        <f t="shared" si="3"/>
        <v>13277.212509600002</v>
      </c>
    </row>
    <row r="51" spans="1:14">
      <c r="A51" t="s">
        <v>846</v>
      </c>
      <c r="B51" t="s">
        <v>1211</v>
      </c>
      <c r="C51" t="s">
        <v>1241</v>
      </c>
      <c r="D51" t="s">
        <v>1193</v>
      </c>
      <c r="E51" s="5">
        <v>3742.7200000000003</v>
      </c>
      <c r="F51" t="s">
        <v>673</v>
      </c>
      <c r="G51" s="50" t="s">
        <v>658</v>
      </c>
      <c r="H51" s="50" t="s">
        <v>695</v>
      </c>
      <c r="I51" s="72">
        <f t="shared" si="2"/>
        <v>3.7427200000000003</v>
      </c>
      <c r="J51" s="72">
        <f>VLOOKUP(A51,'GHG Factors FY20'!A:L,8,FALSE)*I51</f>
        <v>144.46899200000001</v>
      </c>
      <c r="K51" s="72">
        <f>VLOOKUP(A51,'GHG Factors FY20'!A:L,10,FALSE)*J51</f>
        <v>10185.063936</v>
      </c>
      <c r="L51" s="72">
        <f>VLOOKUP(A51,'GHG Factors FY20'!A:L,11,FALSE)*J51</f>
        <v>0</v>
      </c>
      <c r="M51" s="72">
        <f>VLOOKUP(A51,'GHG Factors FY20'!A:L,12,FALSE)*J51</f>
        <v>520.0883712000001</v>
      </c>
      <c r="N51" s="51">
        <f t="shared" si="3"/>
        <v>10705.1523072</v>
      </c>
    </row>
    <row r="52" spans="1:14">
      <c r="A52" t="s">
        <v>847</v>
      </c>
      <c r="B52" t="s">
        <v>1212</v>
      </c>
      <c r="C52" t="s">
        <v>1241</v>
      </c>
      <c r="D52" t="s">
        <v>1213</v>
      </c>
      <c r="E52" s="5">
        <v>230.47</v>
      </c>
      <c r="F52" t="s">
        <v>673</v>
      </c>
      <c r="G52" s="50" t="s">
        <v>658</v>
      </c>
      <c r="H52" s="50" t="s">
        <v>695</v>
      </c>
      <c r="I52" s="72">
        <f t="shared" si="2"/>
        <v>0.23047000000000001</v>
      </c>
      <c r="J52" s="72">
        <f>VLOOKUP(A52,'GHG Factors FY20'!A:L,8,FALSE)*I52</f>
        <v>8.8961420000000011</v>
      </c>
      <c r="K52" s="72">
        <f>VLOOKUP(A52,'GHG Factors FY20'!A:L,10,FALSE)*J52</f>
        <v>627.17801100000008</v>
      </c>
      <c r="L52" s="72">
        <f>VLOOKUP(A52,'GHG Factors FY20'!A:L,11,FALSE)*J52</f>
        <v>0</v>
      </c>
      <c r="M52" s="72">
        <f>VLOOKUP(A52,'GHG Factors FY20'!A:L,12,FALSE)*J52</f>
        <v>32.026111200000003</v>
      </c>
      <c r="N52" s="51">
        <f t="shared" si="3"/>
        <v>659.20412220000003</v>
      </c>
    </row>
    <row r="53" spans="1:14">
      <c r="A53" t="s">
        <v>848</v>
      </c>
      <c r="B53" t="s">
        <v>1214</v>
      </c>
      <c r="C53" t="s">
        <v>1241</v>
      </c>
      <c r="D53" t="s">
        <v>1189</v>
      </c>
      <c r="E53" s="5">
        <v>3482.44</v>
      </c>
      <c r="F53" t="s">
        <v>673</v>
      </c>
      <c r="G53" s="50" t="s">
        <v>658</v>
      </c>
      <c r="H53" s="50" t="s">
        <v>695</v>
      </c>
      <c r="I53" s="72">
        <f t="shared" si="2"/>
        <v>3.48244</v>
      </c>
      <c r="J53" s="72">
        <f>VLOOKUP(A53,'GHG Factors FY20'!A:L,8,FALSE)*I53</f>
        <v>134.42218400000002</v>
      </c>
      <c r="K53" s="72">
        <f>VLOOKUP(A53,'GHG Factors FY20'!A:L,10,FALSE)*J53</f>
        <v>9476.7639720000006</v>
      </c>
      <c r="L53" s="72">
        <f>VLOOKUP(A53,'GHG Factors FY20'!A:L,11,FALSE)*J53</f>
        <v>0</v>
      </c>
      <c r="M53" s="72">
        <f>VLOOKUP(A53,'GHG Factors FY20'!A:L,12,FALSE)*J53</f>
        <v>483.91986240000006</v>
      </c>
      <c r="N53" s="51">
        <f t="shared" si="3"/>
        <v>9960.6838344000007</v>
      </c>
    </row>
    <row r="54" spans="1:14">
      <c r="A54" t="s">
        <v>849</v>
      </c>
      <c r="B54" t="s">
        <v>1215</v>
      </c>
      <c r="C54" t="s">
        <v>1241</v>
      </c>
      <c r="D54" t="s">
        <v>1216</v>
      </c>
      <c r="E54" s="5">
        <v>35.82</v>
      </c>
      <c r="F54" t="s">
        <v>673</v>
      </c>
      <c r="G54" s="50" t="s">
        <v>658</v>
      </c>
      <c r="H54" s="50" t="s">
        <v>695</v>
      </c>
      <c r="I54" s="72">
        <f t="shared" si="2"/>
        <v>3.5819999999999998E-2</v>
      </c>
      <c r="J54" s="72">
        <f>VLOOKUP(A54,'GHG Factors FY20'!A:L,8,FALSE)*I54</f>
        <v>1.382652</v>
      </c>
      <c r="K54" s="72">
        <f>VLOOKUP(A54,'GHG Factors FY20'!A:L,10,FALSE)*J54</f>
        <v>97.476966000000004</v>
      </c>
      <c r="L54" s="72">
        <f>VLOOKUP(A54,'GHG Factors FY20'!A:L,11,FALSE)*J54</f>
        <v>0</v>
      </c>
      <c r="M54" s="72">
        <f>VLOOKUP(A54,'GHG Factors FY20'!A:L,12,FALSE)*J54</f>
        <v>4.9775472000000001</v>
      </c>
      <c r="N54" s="51">
        <f t="shared" si="3"/>
        <v>102.45451320000001</v>
      </c>
    </row>
    <row r="55" spans="1:14">
      <c r="A55" t="s">
        <v>850</v>
      </c>
      <c r="B55" t="s">
        <v>1205</v>
      </c>
      <c r="C55" t="s">
        <v>1242</v>
      </c>
      <c r="D55" t="s">
        <v>1190</v>
      </c>
      <c r="E55" s="5">
        <v>180759.7</v>
      </c>
      <c r="F55" t="s">
        <v>673</v>
      </c>
      <c r="G55" s="50" t="s">
        <v>658</v>
      </c>
      <c r="H55" s="50" t="s">
        <v>695</v>
      </c>
      <c r="I55" s="72">
        <f t="shared" si="2"/>
        <v>180.75970000000001</v>
      </c>
      <c r="J55" s="72">
        <f>VLOOKUP(A55,'GHG Factors FY20'!A:L,8,FALSE)*I55</f>
        <v>6977.3244200000008</v>
      </c>
      <c r="K55" s="72">
        <f>VLOOKUP(A55,'GHG Factors FY20'!A:L,10,FALSE)*J55</f>
        <v>491971.14485420007</v>
      </c>
      <c r="L55" s="72">
        <f>VLOOKUP(A55,'GHG Factors FY20'!A:L,11,FALSE)*J55</f>
        <v>0</v>
      </c>
      <c r="M55" s="72">
        <f>VLOOKUP(A55,'GHG Factors FY20'!A:L,12,FALSE)*J55</f>
        <v>25118.367912000005</v>
      </c>
      <c r="N55" s="51">
        <f t="shared" si="3"/>
        <v>517089.51276620006</v>
      </c>
    </row>
    <row r="56" spans="1:14">
      <c r="A56" t="s">
        <v>851</v>
      </c>
      <c r="B56" t="s">
        <v>1206</v>
      </c>
      <c r="C56" t="s">
        <v>1242</v>
      </c>
      <c r="D56" t="s">
        <v>1192</v>
      </c>
      <c r="E56" s="5">
        <v>2953484.2699999996</v>
      </c>
      <c r="F56" t="s">
        <v>673</v>
      </c>
      <c r="G56" s="50" t="s">
        <v>658</v>
      </c>
      <c r="H56" s="50" t="s">
        <v>695</v>
      </c>
      <c r="I56" s="72">
        <f t="shared" si="2"/>
        <v>2953.4842699999995</v>
      </c>
      <c r="J56" s="72">
        <f>VLOOKUP(A56,'GHG Factors FY20'!A:L,8,FALSE)*I56</f>
        <v>114004.49282199999</v>
      </c>
      <c r="K56" s="72">
        <f>VLOOKUP(A56,'GHG Factors FY20'!A:L,10,FALSE)*J56</f>
        <v>8038456.7888792194</v>
      </c>
      <c r="L56" s="72">
        <f>VLOOKUP(A56,'GHG Factors FY20'!A:L,11,FALSE)*J56</f>
        <v>0</v>
      </c>
      <c r="M56" s="72">
        <f>VLOOKUP(A56,'GHG Factors FY20'!A:L,12,FALSE)*J56</f>
        <v>410416.17415919993</v>
      </c>
      <c r="N56" s="51">
        <f t="shared" si="3"/>
        <v>8448872.9630384184</v>
      </c>
    </row>
    <row r="57" spans="1:14">
      <c r="A57" t="s">
        <v>852</v>
      </c>
      <c r="B57" t="s">
        <v>1207</v>
      </c>
      <c r="C57" t="s">
        <v>1242</v>
      </c>
      <c r="D57" t="s">
        <v>1208</v>
      </c>
      <c r="E57" s="5">
        <v>226935.29</v>
      </c>
      <c r="F57" t="s">
        <v>673</v>
      </c>
      <c r="G57" s="50" t="s">
        <v>658</v>
      </c>
      <c r="H57" s="50" t="s">
        <v>695</v>
      </c>
      <c r="I57" s="72">
        <f t="shared" si="2"/>
        <v>226.93529000000001</v>
      </c>
      <c r="J57" s="72">
        <f>VLOOKUP(A57,'GHG Factors FY20'!A:L,8,FALSE)*I57</f>
        <v>8759.7021940000013</v>
      </c>
      <c r="K57" s="72">
        <f>VLOOKUP(A57,'GHG Factors FY20'!A:L,10,FALSE)*J57</f>
        <v>617646.60169894015</v>
      </c>
      <c r="L57" s="72">
        <f>VLOOKUP(A57,'GHG Factors FY20'!A:L,11,FALSE)*J57</f>
        <v>0</v>
      </c>
      <c r="M57" s="72">
        <f>VLOOKUP(A57,'GHG Factors FY20'!A:L,12,FALSE)*J57</f>
        <v>31534.927898400005</v>
      </c>
      <c r="N57" s="51">
        <f t="shared" si="3"/>
        <v>649181.52959734015</v>
      </c>
    </row>
    <row r="58" spans="1:14">
      <c r="A58" t="s">
        <v>853</v>
      </c>
      <c r="B58" t="s">
        <v>1209</v>
      </c>
      <c r="C58" t="s">
        <v>1242</v>
      </c>
      <c r="D58" t="s">
        <v>1210</v>
      </c>
      <c r="E58" s="5">
        <v>2026177.77</v>
      </c>
      <c r="F58" t="s">
        <v>673</v>
      </c>
      <c r="G58" s="50" t="s">
        <v>658</v>
      </c>
      <c r="H58" s="50" t="s">
        <v>695</v>
      </c>
      <c r="I58" s="72">
        <f t="shared" si="2"/>
        <v>2026.17777</v>
      </c>
      <c r="J58" s="72">
        <f>VLOOKUP(A58,'GHG Factors FY20'!A:L,8,FALSE)*I58</f>
        <v>78210.461922000002</v>
      </c>
      <c r="K58" s="72">
        <f>VLOOKUP(A58,'GHG Factors FY20'!A:L,10,FALSE)*J58</f>
        <v>5514619.6701202206</v>
      </c>
      <c r="L58" s="72">
        <f>VLOOKUP(A58,'GHG Factors FY20'!A:L,11,FALSE)*J58</f>
        <v>0</v>
      </c>
      <c r="M58" s="72">
        <f>VLOOKUP(A58,'GHG Factors FY20'!A:L,12,FALSE)*J58</f>
        <v>281557.66291920003</v>
      </c>
      <c r="N58" s="51">
        <f t="shared" si="3"/>
        <v>5796177.3330394207</v>
      </c>
    </row>
    <row r="59" spans="1:14">
      <c r="A59" t="s">
        <v>854</v>
      </c>
      <c r="B59" t="s">
        <v>1211</v>
      </c>
      <c r="C59" t="s">
        <v>1242</v>
      </c>
      <c r="D59" t="s">
        <v>1193</v>
      </c>
      <c r="E59" s="5">
        <v>765023.99</v>
      </c>
      <c r="F59" t="s">
        <v>673</v>
      </c>
      <c r="G59" s="50" t="s">
        <v>658</v>
      </c>
      <c r="H59" s="50" t="s">
        <v>695</v>
      </c>
      <c r="I59" s="72">
        <f t="shared" si="2"/>
        <v>765.02399000000003</v>
      </c>
      <c r="J59" s="72">
        <f>VLOOKUP(A59,'GHG Factors FY20'!A:L,8,FALSE)*I59</f>
        <v>29529.926014000001</v>
      </c>
      <c r="K59" s="72">
        <f>VLOOKUP(A59,'GHG Factors FY20'!A:L,10,FALSE)*J59</f>
        <v>2082155.0832471403</v>
      </c>
      <c r="L59" s="72">
        <f>VLOOKUP(A59,'GHG Factors FY20'!A:L,11,FALSE)*J59</f>
        <v>0</v>
      </c>
      <c r="M59" s="72">
        <f>VLOOKUP(A59,'GHG Factors FY20'!A:L,12,FALSE)*J59</f>
        <v>106307.7336504</v>
      </c>
      <c r="N59" s="51">
        <f t="shared" si="3"/>
        <v>2188462.8168975404</v>
      </c>
    </row>
    <row r="60" spans="1:14">
      <c r="A60" t="s">
        <v>855</v>
      </c>
      <c r="B60" t="s">
        <v>1212</v>
      </c>
      <c r="C60" t="s">
        <v>1242</v>
      </c>
      <c r="D60" t="s">
        <v>1213</v>
      </c>
      <c r="E60" s="5">
        <v>328224.99</v>
      </c>
      <c r="F60" t="s">
        <v>673</v>
      </c>
      <c r="G60" s="50" t="s">
        <v>658</v>
      </c>
      <c r="H60" s="50" t="s">
        <v>695</v>
      </c>
      <c r="I60" s="72">
        <f t="shared" si="2"/>
        <v>328.22498999999999</v>
      </c>
      <c r="J60" s="72">
        <f>VLOOKUP(A60,'GHG Factors FY20'!A:L,8,FALSE)*I60</f>
        <v>12669.484614000001</v>
      </c>
      <c r="K60" s="72">
        <f>VLOOKUP(A60,'GHG Factors FY20'!A:L,10,FALSE)*J60</f>
        <v>893325.36013314012</v>
      </c>
      <c r="L60" s="72">
        <f>VLOOKUP(A60,'GHG Factors FY20'!A:L,11,FALSE)*J60</f>
        <v>0</v>
      </c>
      <c r="M60" s="72">
        <f>VLOOKUP(A60,'GHG Factors FY20'!A:L,12,FALSE)*J60</f>
        <v>45610.144610400006</v>
      </c>
      <c r="N60" s="51">
        <f t="shared" si="3"/>
        <v>938935.50474354008</v>
      </c>
    </row>
    <row r="61" spans="1:14">
      <c r="A61" t="s">
        <v>856</v>
      </c>
      <c r="B61" t="s">
        <v>1214</v>
      </c>
      <c r="C61" t="s">
        <v>1242</v>
      </c>
      <c r="D61" t="s">
        <v>1189</v>
      </c>
      <c r="E61" s="5">
        <v>2034488.91</v>
      </c>
      <c r="F61" t="s">
        <v>673</v>
      </c>
      <c r="G61" s="50" t="s">
        <v>658</v>
      </c>
      <c r="H61" s="50" t="s">
        <v>695</v>
      </c>
      <c r="I61" s="72">
        <f t="shared" si="2"/>
        <v>2034.4889099999998</v>
      </c>
      <c r="J61" s="72">
        <f>VLOOKUP(A61,'GHG Factors FY20'!A:L,8,FALSE)*I61</f>
        <v>78531.271926000001</v>
      </c>
      <c r="K61" s="72">
        <f>VLOOKUP(A61,'GHG Factors FY20'!A:L,10,FALSE)*J61</f>
        <v>5537239.9835022604</v>
      </c>
      <c r="L61" s="72">
        <f>VLOOKUP(A61,'GHG Factors FY20'!A:L,11,FALSE)*J61</f>
        <v>0</v>
      </c>
      <c r="M61" s="72">
        <f>VLOOKUP(A61,'GHG Factors FY20'!A:L,12,FALSE)*J61</f>
        <v>282712.57893359999</v>
      </c>
      <c r="N61" s="51">
        <f t="shared" si="3"/>
        <v>5819952.5624358607</v>
      </c>
    </row>
    <row r="62" spans="1:14">
      <c r="A62" t="s">
        <v>857</v>
      </c>
      <c r="B62" t="s">
        <v>1215</v>
      </c>
      <c r="C62" t="s">
        <v>1242</v>
      </c>
      <c r="D62" t="s">
        <v>1216</v>
      </c>
      <c r="E62" s="5">
        <v>1046820.1799999999</v>
      </c>
      <c r="F62" t="s">
        <v>673</v>
      </c>
      <c r="G62" s="50" t="s">
        <v>658</v>
      </c>
      <c r="H62" s="50" t="s">
        <v>695</v>
      </c>
      <c r="I62" s="72">
        <f t="shared" si="2"/>
        <v>1046.8201799999999</v>
      </c>
      <c r="J62" s="72">
        <f>VLOOKUP(A62,'GHG Factors FY20'!A:L,8,FALSE)*I62</f>
        <v>40407.258948000002</v>
      </c>
      <c r="K62" s="72">
        <f>VLOOKUP(A62,'GHG Factors FY20'!A:L,10,FALSE)*J62</f>
        <v>2849115.8284234805</v>
      </c>
      <c r="L62" s="72">
        <f>VLOOKUP(A62,'GHG Factors FY20'!A:L,11,FALSE)*J62</f>
        <v>0</v>
      </c>
      <c r="M62" s="72">
        <f>VLOOKUP(A62,'GHG Factors FY20'!A:L,12,FALSE)*J62</f>
        <v>145466.1322128</v>
      </c>
      <c r="N62" s="51">
        <f t="shared" si="3"/>
        <v>2994581.9606362805</v>
      </c>
    </row>
    <row r="63" spans="1:14">
      <c r="A63" t="s">
        <v>858</v>
      </c>
      <c r="B63" t="s">
        <v>1205</v>
      </c>
      <c r="C63" t="s">
        <v>1243</v>
      </c>
      <c r="D63" t="s">
        <v>1190</v>
      </c>
      <c r="E63" s="5">
        <v>632.91599999999994</v>
      </c>
      <c r="F63" t="s">
        <v>673</v>
      </c>
      <c r="G63" s="50" t="s">
        <v>658</v>
      </c>
      <c r="H63" s="50" t="s">
        <v>695</v>
      </c>
      <c r="I63" s="72">
        <f t="shared" si="2"/>
        <v>0.63291599999999992</v>
      </c>
      <c r="J63" s="72">
        <f>VLOOKUP(A63,'GHG Factors FY20'!A:L,8,FALSE)*I63</f>
        <v>14.810234399999997</v>
      </c>
      <c r="K63" s="72">
        <f>VLOOKUP(A63,'GHG Factors FY20'!A:L,10,FALSE)*J63</f>
        <v>5.924093759999999</v>
      </c>
      <c r="L63" s="72">
        <f>VLOOKUP(A63,'GHG Factors FY20'!A:L,11,FALSE)*J63</f>
        <v>0</v>
      </c>
      <c r="M63" s="72">
        <f>VLOOKUP(A63,'GHG Factors FY20'!A:L,12,FALSE)*J63</f>
        <v>0</v>
      </c>
      <c r="N63" s="51">
        <f t="shared" si="3"/>
        <v>5.924093759999999</v>
      </c>
    </row>
    <row r="64" spans="1:14">
      <c r="A64" t="s">
        <v>859</v>
      </c>
      <c r="B64" t="s">
        <v>1206</v>
      </c>
      <c r="C64" t="s">
        <v>1243</v>
      </c>
      <c r="D64" t="s">
        <v>1192</v>
      </c>
      <c r="E64" s="5">
        <v>17648.635000000002</v>
      </c>
      <c r="F64" t="s">
        <v>673</v>
      </c>
      <c r="G64" s="50" t="s">
        <v>658</v>
      </c>
      <c r="H64" s="50" t="s">
        <v>695</v>
      </c>
      <c r="I64" s="72">
        <f t="shared" si="2"/>
        <v>17.648635000000002</v>
      </c>
      <c r="J64" s="72">
        <f>VLOOKUP(A64,'GHG Factors FY20'!A:L,8,FALSE)*I64</f>
        <v>412.97805900000003</v>
      </c>
      <c r="K64" s="72">
        <f>VLOOKUP(A64,'GHG Factors FY20'!A:L,10,FALSE)*J64</f>
        <v>165.19122360000003</v>
      </c>
      <c r="L64" s="72">
        <f>VLOOKUP(A64,'GHG Factors FY20'!A:L,11,FALSE)*J64</f>
        <v>0</v>
      </c>
      <c r="M64" s="72">
        <f>VLOOKUP(A64,'GHG Factors FY20'!A:L,12,FALSE)*J64</f>
        <v>0</v>
      </c>
      <c r="N64" s="51">
        <f t="shared" si="3"/>
        <v>165.19122360000003</v>
      </c>
    </row>
    <row r="65" spans="1:14">
      <c r="A65" t="s">
        <v>860</v>
      </c>
      <c r="B65" t="s">
        <v>1209</v>
      </c>
      <c r="C65" t="s">
        <v>1243</v>
      </c>
      <c r="D65" t="s">
        <v>1210</v>
      </c>
      <c r="E65" s="5">
        <v>2610.1660000000002</v>
      </c>
      <c r="F65" t="s">
        <v>673</v>
      </c>
      <c r="G65" s="50" t="s">
        <v>658</v>
      </c>
      <c r="H65" s="50" t="s">
        <v>695</v>
      </c>
      <c r="I65" s="72">
        <f t="shared" si="2"/>
        <v>2.610166</v>
      </c>
      <c r="J65" s="72">
        <f>VLOOKUP(A65,'GHG Factors FY20'!A:L,8,FALSE)*I65</f>
        <v>61.077884399999995</v>
      </c>
      <c r="K65" s="72">
        <f>VLOOKUP(A65,'GHG Factors FY20'!A:L,10,FALSE)*J65</f>
        <v>24.431153760000001</v>
      </c>
      <c r="L65" s="72">
        <f>VLOOKUP(A65,'GHG Factors FY20'!A:L,11,FALSE)*J65</f>
        <v>0</v>
      </c>
      <c r="M65" s="72">
        <f>VLOOKUP(A65,'GHG Factors FY20'!A:L,12,FALSE)*J65</f>
        <v>0</v>
      </c>
      <c r="N65" s="51">
        <f t="shared" si="3"/>
        <v>24.431153760000001</v>
      </c>
    </row>
    <row r="66" spans="1:14">
      <c r="A66" t="s">
        <v>861</v>
      </c>
      <c r="B66" t="s">
        <v>1211</v>
      </c>
      <c r="C66" t="s">
        <v>1243</v>
      </c>
      <c r="D66" t="s">
        <v>1193</v>
      </c>
      <c r="E66" s="5">
        <v>1.0509999999999999</v>
      </c>
      <c r="F66" t="s">
        <v>673</v>
      </c>
      <c r="G66" s="50" t="s">
        <v>658</v>
      </c>
      <c r="H66" s="50" t="s">
        <v>695</v>
      </c>
      <c r="I66" s="72">
        <f t="shared" si="2"/>
        <v>1.0509999999999999E-3</v>
      </c>
      <c r="J66" s="72">
        <f>VLOOKUP(A66,'GHG Factors FY20'!A:L,8,FALSE)*I66</f>
        <v>2.4593399999999994E-2</v>
      </c>
      <c r="K66" s="72">
        <f>VLOOKUP(A66,'GHG Factors FY20'!A:L,10,FALSE)*J66</f>
        <v>9.8373599999999981E-3</v>
      </c>
      <c r="L66" s="72">
        <f>VLOOKUP(A66,'GHG Factors FY20'!A:L,11,FALSE)*J66</f>
        <v>0</v>
      </c>
      <c r="M66" s="72">
        <f>VLOOKUP(A66,'GHG Factors FY20'!A:L,12,FALSE)*J66</f>
        <v>0</v>
      </c>
      <c r="N66" s="51">
        <f t="shared" si="3"/>
        <v>9.8373599999999981E-3</v>
      </c>
    </row>
    <row r="67" spans="1:14">
      <c r="A67" t="s">
        <v>862</v>
      </c>
      <c r="B67" t="s">
        <v>1212</v>
      </c>
      <c r="C67" t="s">
        <v>1243</v>
      </c>
      <c r="D67" t="s">
        <v>1213</v>
      </c>
      <c r="E67" s="5">
        <v>0</v>
      </c>
      <c r="F67" t="s">
        <v>673</v>
      </c>
      <c r="G67" s="50" t="s">
        <v>658</v>
      </c>
      <c r="H67" s="50" t="s">
        <v>695</v>
      </c>
      <c r="I67" s="72">
        <f t="shared" si="2"/>
        <v>0</v>
      </c>
      <c r="J67" s="72">
        <f>VLOOKUP(A67,'GHG Factors FY20'!A:L,8,FALSE)*I67</f>
        <v>0</v>
      </c>
      <c r="K67" s="72">
        <f>VLOOKUP(A67,'GHG Factors FY20'!A:L,10,FALSE)*J67</f>
        <v>0</v>
      </c>
      <c r="L67" s="72">
        <f>VLOOKUP(A67,'GHG Factors FY20'!A:L,11,FALSE)*J67</f>
        <v>0</v>
      </c>
      <c r="M67" s="72">
        <f>VLOOKUP(A67,'GHG Factors FY20'!A:L,12,FALSE)*J67</f>
        <v>0</v>
      </c>
      <c r="N67" s="51">
        <f t="shared" si="3"/>
        <v>0</v>
      </c>
    </row>
    <row r="68" spans="1:14">
      <c r="A68" t="s">
        <v>863</v>
      </c>
      <c r="B68" t="s">
        <v>1214</v>
      </c>
      <c r="C68" t="s">
        <v>1243</v>
      </c>
      <c r="D68" t="s">
        <v>1189</v>
      </c>
      <c r="E68" s="5">
        <v>121.53</v>
      </c>
      <c r="F68" t="s">
        <v>673</v>
      </c>
      <c r="G68" s="50" t="s">
        <v>658</v>
      </c>
      <c r="H68" s="50" t="s">
        <v>695</v>
      </c>
      <c r="I68" s="72">
        <f t="shared" si="2"/>
        <v>0.12153</v>
      </c>
      <c r="J68" s="72">
        <f>VLOOKUP(A68,'GHG Factors FY20'!A:L,8,FALSE)*I68</f>
        <v>2.8438019999999997</v>
      </c>
      <c r="K68" s="72">
        <f>VLOOKUP(A68,'GHG Factors FY20'!A:L,10,FALSE)*J68</f>
        <v>1.1375207999999999</v>
      </c>
      <c r="L68" s="72">
        <f>VLOOKUP(A68,'GHG Factors FY20'!A:L,11,FALSE)*J68</f>
        <v>0</v>
      </c>
      <c r="M68" s="72">
        <f>VLOOKUP(A68,'GHG Factors FY20'!A:L,12,FALSE)*J68</f>
        <v>0</v>
      </c>
      <c r="N68" s="51">
        <f t="shared" si="3"/>
        <v>1.1375207999999999</v>
      </c>
    </row>
    <row r="69" spans="1:14">
      <c r="A69" t="s">
        <v>864</v>
      </c>
      <c r="B69" t="s">
        <v>1206</v>
      </c>
      <c r="C69" t="s">
        <v>1244</v>
      </c>
      <c r="D69" t="s">
        <v>1192</v>
      </c>
      <c r="E69" s="5">
        <v>1438.76</v>
      </c>
      <c r="F69" t="s">
        <v>673</v>
      </c>
      <c r="G69" s="50" t="s">
        <v>658</v>
      </c>
      <c r="H69" s="50" t="s">
        <v>695</v>
      </c>
      <c r="I69" s="72">
        <f t="shared" si="2"/>
        <v>1.43876</v>
      </c>
      <c r="J69" s="72">
        <f>VLOOKUP(A69,'GHG Factors FY20'!A:L,8,FALSE)*I69</f>
        <v>37.695512000000001</v>
      </c>
      <c r="K69" s="72">
        <f>VLOOKUP(A69,'GHG Factors FY20'!A:L,10,FALSE)*J69</f>
        <v>2295.6566807999998</v>
      </c>
      <c r="L69" s="72">
        <f>VLOOKUP(A69,'GHG Factors FY20'!A:L,11,FALSE)*J69</f>
        <v>0</v>
      </c>
      <c r="M69" s="72">
        <f>VLOOKUP(A69,'GHG Factors FY20'!A:L,12,FALSE)*J69</f>
        <v>135.70384319999999</v>
      </c>
      <c r="N69" s="51">
        <f t="shared" si="3"/>
        <v>2431.3605239999997</v>
      </c>
    </row>
    <row r="70" spans="1:14">
      <c r="A70" t="s">
        <v>865</v>
      </c>
      <c r="B70" t="s">
        <v>1209</v>
      </c>
      <c r="C70" t="s">
        <v>1244</v>
      </c>
      <c r="D70" t="s">
        <v>1210</v>
      </c>
      <c r="E70" s="5">
        <v>0</v>
      </c>
      <c r="F70" t="s">
        <v>673</v>
      </c>
      <c r="G70" s="50" t="s">
        <v>658</v>
      </c>
      <c r="H70" s="50" t="s">
        <v>695</v>
      </c>
      <c r="I70" s="72">
        <f t="shared" si="2"/>
        <v>0</v>
      </c>
      <c r="J70" s="72">
        <f>VLOOKUP(A70,'GHG Factors FY20'!A:L,8,FALSE)*I70</f>
        <v>0</v>
      </c>
      <c r="K70" s="72">
        <f>VLOOKUP(A70,'GHG Factors FY20'!A:L,10,FALSE)*J70</f>
        <v>0</v>
      </c>
      <c r="L70" s="72">
        <f>VLOOKUP(A70,'GHG Factors FY20'!A:L,11,FALSE)*J70</f>
        <v>0</v>
      </c>
      <c r="M70" s="72">
        <f>VLOOKUP(A70,'GHG Factors FY20'!A:L,12,FALSE)*J70</f>
        <v>0</v>
      </c>
      <c r="N70" s="51">
        <f t="shared" si="3"/>
        <v>0</v>
      </c>
    </row>
    <row r="71" spans="1:14">
      <c r="A71" t="s">
        <v>866</v>
      </c>
      <c r="B71" t="s">
        <v>1211</v>
      </c>
      <c r="C71" t="s">
        <v>1244</v>
      </c>
      <c r="D71" t="s">
        <v>1193</v>
      </c>
      <c r="E71" s="5">
        <v>0</v>
      </c>
      <c r="F71" t="s">
        <v>673</v>
      </c>
      <c r="G71" s="50" t="s">
        <v>658</v>
      </c>
      <c r="H71" s="50" t="s">
        <v>695</v>
      </c>
      <c r="I71" s="72">
        <f t="shared" si="2"/>
        <v>0</v>
      </c>
      <c r="J71" s="72">
        <f>VLOOKUP(A71,'GHG Factors FY20'!A:L,8,FALSE)*I71</f>
        <v>0</v>
      </c>
      <c r="K71" s="72">
        <f>VLOOKUP(A71,'GHG Factors FY20'!A:L,10,FALSE)*J71</f>
        <v>0</v>
      </c>
      <c r="L71" s="72">
        <f>VLOOKUP(A71,'GHG Factors FY20'!A:L,11,FALSE)*J71</f>
        <v>0</v>
      </c>
      <c r="M71" s="72">
        <f>VLOOKUP(A71,'GHG Factors FY20'!A:L,12,FALSE)*J71</f>
        <v>0</v>
      </c>
      <c r="N71" s="51">
        <f t="shared" si="3"/>
        <v>0</v>
      </c>
    </row>
    <row r="72" spans="1:14">
      <c r="A72" t="s">
        <v>867</v>
      </c>
      <c r="B72" t="s">
        <v>1214</v>
      </c>
      <c r="C72" t="s">
        <v>1244</v>
      </c>
      <c r="D72" t="s">
        <v>1189</v>
      </c>
      <c r="E72" s="5">
        <v>819.92000000000007</v>
      </c>
      <c r="F72" t="s">
        <v>673</v>
      </c>
      <c r="G72" s="50" t="s">
        <v>658</v>
      </c>
      <c r="H72" s="50" t="s">
        <v>695</v>
      </c>
      <c r="I72" s="72">
        <f t="shared" si="2"/>
        <v>0.81992000000000009</v>
      </c>
      <c r="J72" s="72">
        <f>VLOOKUP(A72,'GHG Factors FY20'!A:L,8,FALSE)*I72</f>
        <v>21.481904</v>
      </c>
      <c r="K72" s="72">
        <f>VLOOKUP(A72,'GHG Factors FY20'!A:L,10,FALSE)*J72</f>
        <v>1308.2479536000001</v>
      </c>
      <c r="L72" s="72">
        <f>VLOOKUP(A72,'GHG Factors FY20'!A:L,11,FALSE)*J72</f>
        <v>0</v>
      </c>
      <c r="M72" s="72">
        <f>VLOOKUP(A72,'GHG Factors FY20'!A:L,12,FALSE)*J72</f>
        <v>77.334854399999998</v>
      </c>
      <c r="N72" s="51">
        <f t="shared" si="3"/>
        <v>1385.5828080000001</v>
      </c>
    </row>
    <row r="73" spans="1:14">
      <c r="A73" t="s">
        <v>868</v>
      </c>
      <c r="B73" t="s">
        <v>1214</v>
      </c>
      <c r="C73" t="s">
        <v>1245</v>
      </c>
      <c r="D73" t="s">
        <v>1189</v>
      </c>
      <c r="E73" s="5">
        <v>763.40000000000009</v>
      </c>
      <c r="F73" t="s">
        <v>673</v>
      </c>
      <c r="G73" s="50" t="s">
        <v>658</v>
      </c>
      <c r="H73" s="50" t="s">
        <v>695</v>
      </c>
      <c r="I73" s="72">
        <f t="shared" si="2"/>
        <v>0.76340000000000008</v>
      </c>
      <c r="J73" s="72">
        <f>VLOOKUP(A73,'GHG Factors FY20'!A:L,8,FALSE)*I73</f>
        <v>26.108280000000004</v>
      </c>
      <c r="K73" s="72">
        <f>VLOOKUP(A73,'GHG Factors FY20'!A:L,10,FALSE)*J73</f>
        <v>1819.7471160000005</v>
      </c>
      <c r="L73" s="72">
        <f>VLOOKUP(A73,'GHG Factors FY20'!A:L,11,FALSE)*J73</f>
        <v>0</v>
      </c>
      <c r="M73" s="72">
        <f>VLOOKUP(A73,'GHG Factors FY20'!A:L,12,FALSE)*J73</f>
        <v>93.989808000000011</v>
      </c>
      <c r="N73" s="51">
        <f t="shared" si="3"/>
        <v>1913.7369240000005</v>
      </c>
    </row>
    <row r="74" spans="1:14">
      <c r="A74" t="s">
        <v>869</v>
      </c>
      <c r="B74" t="s">
        <v>1205</v>
      </c>
      <c r="C74" t="s">
        <v>1246</v>
      </c>
      <c r="D74" t="s">
        <v>1190</v>
      </c>
      <c r="E74" s="5">
        <v>12852.674000000001</v>
      </c>
      <c r="F74" t="s">
        <v>673</v>
      </c>
      <c r="G74" s="50" t="s">
        <v>658</v>
      </c>
      <c r="H74" s="50" t="s">
        <v>695</v>
      </c>
      <c r="I74" s="72">
        <f t="shared" si="2"/>
        <v>12.852674</v>
      </c>
      <c r="J74" s="72">
        <f>VLOOKUP(A74,'GHG Factors FY20'!A:L,8,FALSE)*I74</f>
        <v>439.56145080000005</v>
      </c>
      <c r="K74" s="72">
        <f>VLOOKUP(A74,'GHG Factors FY20'!A:L,10,FALSE)*J74</f>
        <v>29723.145303096004</v>
      </c>
      <c r="L74" s="72">
        <f>VLOOKUP(A74,'GHG Factors FY20'!A:L,11,FALSE)*J74</f>
        <v>0</v>
      </c>
      <c r="M74" s="72">
        <f>VLOOKUP(A74,'GHG Factors FY20'!A:L,12,FALSE)*J74</f>
        <v>1582.4212228800002</v>
      </c>
      <c r="N74" s="51">
        <f t="shared" si="3"/>
        <v>31305.566525976003</v>
      </c>
    </row>
    <row r="75" spans="1:14">
      <c r="A75" t="s">
        <v>870</v>
      </c>
      <c r="B75" t="s">
        <v>1206</v>
      </c>
      <c r="C75" t="s">
        <v>1246</v>
      </c>
      <c r="D75" t="s">
        <v>1192</v>
      </c>
      <c r="E75" s="5">
        <v>310883.71499999997</v>
      </c>
      <c r="F75" t="s">
        <v>673</v>
      </c>
      <c r="G75" s="50" t="s">
        <v>658</v>
      </c>
      <c r="H75" s="50" t="s">
        <v>695</v>
      </c>
      <c r="I75" s="72">
        <f t="shared" si="2"/>
        <v>310.883715</v>
      </c>
      <c r="J75" s="72">
        <f>VLOOKUP(A75,'GHG Factors FY20'!A:L,8,FALSE)*I75</f>
        <v>10632.223053000002</v>
      </c>
      <c r="K75" s="72">
        <f>VLOOKUP(A75,'GHG Factors FY20'!A:L,10,FALSE)*J75</f>
        <v>718950.92284386011</v>
      </c>
      <c r="L75" s="72">
        <f>VLOOKUP(A75,'GHG Factors FY20'!A:L,11,FALSE)*J75</f>
        <v>0</v>
      </c>
      <c r="M75" s="72">
        <f>VLOOKUP(A75,'GHG Factors FY20'!A:L,12,FALSE)*J75</f>
        <v>38276.002990800007</v>
      </c>
      <c r="N75" s="51">
        <f t="shared" si="3"/>
        <v>757226.92583466007</v>
      </c>
    </row>
    <row r="76" spans="1:14">
      <c r="A76" t="s">
        <v>871</v>
      </c>
      <c r="B76" t="s">
        <v>1207</v>
      </c>
      <c r="C76" t="s">
        <v>1246</v>
      </c>
      <c r="D76" t="s">
        <v>1208</v>
      </c>
      <c r="E76" s="5">
        <v>6978.6</v>
      </c>
      <c r="F76" t="s">
        <v>673</v>
      </c>
      <c r="G76" s="50" t="s">
        <v>658</v>
      </c>
      <c r="H76" s="50" t="s">
        <v>695</v>
      </c>
      <c r="I76" s="72">
        <f t="shared" si="2"/>
        <v>6.9786000000000001</v>
      </c>
      <c r="J76" s="72">
        <f>VLOOKUP(A76,'GHG Factors FY20'!A:L,8,FALSE)*I76</f>
        <v>238.66812000000002</v>
      </c>
      <c r="K76" s="72">
        <f>VLOOKUP(A76,'GHG Factors FY20'!A:L,10,FALSE)*J76</f>
        <v>16138.738274400002</v>
      </c>
      <c r="L76" s="72">
        <f>VLOOKUP(A76,'GHG Factors FY20'!A:L,11,FALSE)*J76</f>
        <v>0</v>
      </c>
      <c r="M76" s="72">
        <f>VLOOKUP(A76,'GHG Factors FY20'!A:L,12,FALSE)*J76</f>
        <v>859.20523200000002</v>
      </c>
      <c r="N76" s="51">
        <f t="shared" si="3"/>
        <v>16997.943506400003</v>
      </c>
    </row>
    <row r="77" spans="1:14">
      <c r="A77" t="s">
        <v>872</v>
      </c>
      <c r="B77" t="s">
        <v>1209</v>
      </c>
      <c r="C77" t="s">
        <v>1246</v>
      </c>
      <c r="D77" t="s">
        <v>1210</v>
      </c>
      <c r="E77" s="5">
        <v>133787.234</v>
      </c>
      <c r="F77" t="s">
        <v>673</v>
      </c>
      <c r="G77" s="50" t="s">
        <v>658</v>
      </c>
      <c r="H77" s="50" t="s">
        <v>695</v>
      </c>
      <c r="I77" s="72">
        <f t="shared" si="2"/>
        <v>133.78723399999998</v>
      </c>
      <c r="J77" s="72">
        <f>VLOOKUP(A77,'GHG Factors FY20'!A:L,8,FALSE)*I77</f>
        <v>4575.5234027999995</v>
      </c>
      <c r="K77" s="72">
        <f>VLOOKUP(A77,'GHG Factors FY20'!A:L,10,FALSE)*J77</f>
        <v>309396.89249733597</v>
      </c>
      <c r="L77" s="72">
        <f>VLOOKUP(A77,'GHG Factors FY20'!A:L,11,FALSE)*J77</f>
        <v>0</v>
      </c>
      <c r="M77" s="72">
        <f>VLOOKUP(A77,'GHG Factors FY20'!A:L,12,FALSE)*J77</f>
        <v>16471.884250079998</v>
      </c>
      <c r="N77" s="51">
        <f t="shared" si="3"/>
        <v>325868.77674741595</v>
      </c>
    </row>
    <row r="78" spans="1:14">
      <c r="A78" t="s">
        <v>873</v>
      </c>
      <c r="B78" t="s">
        <v>1211</v>
      </c>
      <c r="C78" t="s">
        <v>1246</v>
      </c>
      <c r="D78" t="s">
        <v>1193</v>
      </c>
      <c r="E78" s="5">
        <v>73927.168999999994</v>
      </c>
      <c r="F78" t="s">
        <v>673</v>
      </c>
      <c r="G78" s="50" t="s">
        <v>658</v>
      </c>
      <c r="H78" s="50" t="s">
        <v>695</v>
      </c>
      <c r="I78" s="72">
        <f t="shared" si="2"/>
        <v>73.927168999999992</v>
      </c>
      <c r="J78" s="72">
        <f>VLOOKUP(A78,'GHG Factors FY20'!A:L,8,FALSE)*I78</f>
        <v>2528.3091798</v>
      </c>
      <c r="K78" s="72">
        <f>VLOOKUP(A78,'GHG Factors FY20'!A:L,10,FALSE)*J78</f>
        <v>170964.26673807602</v>
      </c>
      <c r="L78" s="72">
        <f>VLOOKUP(A78,'GHG Factors FY20'!A:L,11,FALSE)*J78</f>
        <v>0</v>
      </c>
      <c r="M78" s="72">
        <f>VLOOKUP(A78,'GHG Factors FY20'!A:L,12,FALSE)*J78</f>
        <v>9101.9130472800007</v>
      </c>
      <c r="N78" s="51">
        <f t="shared" si="3"/>
        <v>180066.17978535601</v>
      </c>
    </row>
    <row r="79" spans="1:14">
      <c r="A79" t="s">
        <v>874</v>
      </c>
      <c r="B79" t="s">
        <v>1212</v>
      </c>
      <c r="C79" t="s">
        <v>1246</v>
      </c>
      <c r="D79" t="s">
        <v>1213</v>
      </c>
      <c r="E79" s="5">
        <v>21426.83</v>
      </c>
      <c r="F79" t="s">
        <v>673</v>
      </c>
      <c r="G79" s="50" t="s">
        <v>658</v>
      </c>
      <c r="H79" s="50" t="s">
        <v>695</v>
      </c>
      <c r="I79" s="72">
        <f t="shared" si="2"/>
        <v>21.426830000000002</v>
      </c>
      <c r="J79" s="72">
        <f>VLOOKUP(A79,'GHG Factors FY20'!A:L,8,FALSE)*I79</f>
        <v>732.79758600000014</v>
      </c>
      <c r="K79" s="72">
        <f>VLOOKUP(A79,'GHG Factors FY20'!A:L,10,FALSE)*J79</f>
        <v>49551.772765320013</v>
      </c>
      <c r="L79" s="72">
        <f>VLOOKUP(A79,'GHG Factors FY20'!A:L,11,FALSE)*J79</f>
        <v>0</v>
      </c>
      <c r="M79" s="72">
        <f>VLOOKUP(A79,'GHG Factors FY20'!A:L,12,FALSE)*J79</f>
        <v>2638.0713096000004</v>
      </c>
      <c r="N79" s="51">
        <f t="shared" si="3"/>
        <v>52189.844074920016</v>
      </c>
    </row>
    <row r="80" spans="1:14">
      <c r="A80" t="s">
        <v>875</v>
      </c>
      <c r="B80" t="s">
        <v>1214</v>
      </c>
      <c r="C80" t="s">
        <v>1246</v>
      </c>
      <c r="D80" t="s">
        <v>1189</v>
      </c>
      <c r="E80" s="5">
        <v>335906.89</v>
      </c>
      <c r="F80" t="s">
        <v>673</v>
      </c>
      <c r="G80" s="50" t="s">
        <v>658</v>
      </c>
      <c r="H80" s="50" t="s">
        <v>695</v>
      </c>
      <c r="I80" s="72">
        <f t="shared" si="2"/>
        <v>335.90689000000003</v>
      </c>
      <c r="J80" s="72">
        <f>VLOOKUP(A80,'GHG Factors FY20'!A:L,8,FALSE)*I80</f>
        <v>11488.015638000003</v>
      </c>
      <c r="K80" s="72">
        <f>VLOOKUP(A80,'GHG Factors FY20'!A:L,10,FALSE)*J80</f>
        <v>776819.61744156026</v>
      </c>
      <c r="L80" s="72">
        <f>VLOOKUP(A80,'GHG Factors FY20'!A:L,11,FALSE)*J80</f>
        <v>0</v>
      </c>
      <c r="M80" s="72">
        <f>VLOOKUP(A80,'GHG Factors FY20'!A:L,12,FALSE)*J80</f>
        <v>41356.856296800011</v>
      </c>
      <c r="N80" s="51">
        <f t="shared" si="3"/>
        <v>818176.47373836022</v>
      </c>
    </row>
    <row r="81" spans="1:14">
      <c r="A81" t="s">
        <v>876</v>
      </c>
      <c r="B81" t="s">
        <v>1215</v>
      </c>
      <c r="C81" t="s">
        <v>1246</v>
      </c>
      <c r="D81" t="s">
        <v>1216</v>
      </c>
      <c r="E81" s="5">
        <v>65952.479999999996</v>
      </c>
      <c r="F81" t="s">
        <v>673</v>
      </c>
      <c r="G81" s="50" t="s">
        <v>658</v>
      </c>
      <c r="H81" s="50" t="s">
        <v>695</v>
      </c>
      <c r="I81" s="72">
        <f t="shared" si="2"/>
        <v>65.952479999999994</v>
      </c>
      <c r="J81" s="72">
        <f>VLOOKUP(A81,'GHG Factors FY20'!A:L,8,FALSE)*I81</f>
        <v>2255.5748159999998</v>
      </c>
      <c r="K81" s="72">
        <f>VLOOKUP(A81,'GHG Factors FY20'!A:L,10,FALSE)*J81</f>
        <v>152521.96905792001</v>
      </c>
      <c r="L81" s="72">
        <f>VLOOKUP(A81,'GHG Factors FY20'!A:L,11,FALSE)*J81</f>
        <v>0</v>
      </c>
      <c r="M81" s="72">
        <f>VLOOKUP(A81,'GHG Factors FY20'!A:L,12,FALSE)*J81</f>
        <v>8120.0693375999999</v>
      </c>
      <c r="N81" s="51">
        <f t="shared" si="3"/>
        <v>160642.03839552001</v>
      </c>
    </row>
    <row r="83" spans="1:14">
      <c r="A83" s="647"/>
    </row>
    <row r="85" spans="1:14">
      <c r="D85" t="s">
        <v>1249</v>
      </c>
      <c r="E85" s="5">
        <v>10565116.949999999</v>
      </c>
      <c r="K85">
        <v>28301.704800000007</v>
      </c>
      <c r="M85">
        <v>1449.8618000000001</v>
      </c>
    </row>
    <row r="86" spans="1:14">
      <c r="D86" t="s">
        <v>1248</v>
      </c>
      <c r="E86" s="5">
        <f>SUM(E49:E81)</f>
        <v>10565116.949999999</v>
      </c>
      <c r="K86">
        <f>SUM(K48:K81)/1000</f>
        <v>28301.704489803855</v>
      </c>
      <c r="M86">
        <f>SUM(M48:M81)/1000</f>
        <v>1449.8620098134397</v>
      </c>
    </row>
    <row r="87" spans="1:14">
      <c r="K87" s="5">
        <f>K85-K86</f>
        <v>3.1019615198601969E-4</v>
      </c>
    </row>
  </sheetData>
  <autoFilter ref="A3:N36" xr:uid="{9D04C135-6F04-42E2-B546-02C2D51AEB5B}"/>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00B050"/>
  </sheetPr>
  <dimension ref="A2:N41"/>
  <sheetViews>
    <sheetView zoomScale="70" zoomScaleNormal="70" workbookViewId="0">
      <selection activeCell="F4" sqref="F4"/>
    </sheetView>
  </sheetViews>
  <sheetFormatPr defaultColWidth="8.8984375" defaultRowHeight="13.8"/>
  <cols>
    <col min="1" max="1" width="29.59765625" bestFit="1" customWidth="1"/>
    <col min="2" max="2" width="42.09765625" bestFit="1" customWidth="1"/>
    <col min="3" max="3" width="7" bestFit="1" customWidth="1"/>
    <col min="4" max="4" width="7.5" bestFit="1" customWidth="1"/>
    <col min="5" max="5" width="25.59765625" bestFit="1" customWidth="1"/>
    <col min="6" max="6" width="20" bestFit="1" customWidth="1"/>
    <col min="7" max="7" width="10.59765625" customWidth="1"/>
    <col min="8" max="8" width="7" bestFit="1" customWidth="1"/>
    <col min="9" max="9" width="7.5" bestFit="1" customWidth="1"/>
    <col min="10" max="10" width="25.59765625" bestFit="1" customWidth="1"/>
    <col min="11" max="11" width="20" bestFit="1" customWidth="1"/>
    <col min="13" max="13" width="23.59765625" bestFit="1" customWidth="1"/>
    <col min="14" max="14" width="21.59765625" bestFit="1" customWidth="1"/>
  </cols>
  <sheetData>
    <row r="2" spans="1:14" s="62" customFormat="1">
      <c r="A2" s="658" t="s">
        <v>91</v>
      </c>
      <c r="B2" s="658" t="s">
        <v>1250</v>
      </c>
    </row>
    <row r="3" spans="1:14">
      <c r="A3" s="36" t="s">
        <v>750</v>
      </c>
      <c r="B3" s="34" t="s">
        <v>1200</v>
      </c>
      <c r="C3" s="34" t="s">
        <v>156</v>
      </c>
      <c r="D3" s="34" t="s">
        <v>1187</v>
      </c>
      <c r="E3" s="34" t="s">
        <v>1219</v>
      </c>
      <c r="F3" s="37" t="s">
        <v>1240</v>
      </c>
      <c r="G3" s="37" t="s">
        <v>649</v>
      </c>
      <c r="H3" s="37" t="s">
        <v>684</v>
      </c>
      <c r="I3" s="37" t="s">
        <v>650</v>
      </c>
      <c r="J3" s="37" t="s">
        <v>651</v>
      </c>
      <c r="K3" s="37" t="s">
        <v>652</v>
      </c>
      <c r="L3" s="37" t="s">
        <v>653</v>
      </c>
      <c r="M3" s="37" t="s">
        <v>654</v>
      </c>
      <c r="N3" s="37" t="s">
        <v>751</v>
      </c>
    </row>
    <row r="4" spans="1:14">
      <c r="A4" t="s">
        <v>880</v>
      </c>
      <c r="B4" t="s">
        <v>1251</v>
      </c>
      <c r="C4" t="s">
        <v>35</v>
      </c>
      <c r="D4" t="s">
        <v>1192</v>
      </c>
      <c r="E4" s="5">
        <v>3386.18</v>
      </c>
      <c r="F4" s="1" t="s">
        <v>673</v>
      </c>
      <c r="G4" s="50" t="s">
        <v>658</v>
      </c>
      <c r="H4" s="50" t="s">
        <v>695</v>
      </c>
      <c r="I4" s="72">
        <f>E4/1000</f>
        <v>3.38618</v>
      </c>
      <c r="J4" s="72">
        <f>VLOOKUP(A4,'GHG Factors FY21'!A:L,8,FALSE)*I4</f>
        <v>130.706548</v>
      </c>
      <c r="K4" s="72">
        <f>VLOOKUP(A4,'GHG Factors FY21'!A:L,10,FALSE)*J4</f>
        <v>9097.1757407999994</v>
      </c>
      <c r="L4" s="72">
        <f>VLOOKUP(A4,'GHG Factors FY21'!A:L,11,FALSE)*J4</f>
        <v>0</v>
      </c>
      <c r="M4" s="72">
        <f>VLOOKUP(A4,'GHG Factors FY21'!A:L,12,FALSE)*J4</f>
        <v>470.54357279999999</v>
      </c>
      <c r="N4" s="51">
        <f>SUM(K4,L4,M4)</f>
        <v>9567.7193135999987</v>
      </c>
    </row>
    <row r="5" spans="1:14">
      <c r="A5" t="s">
        <v>881</v>
      </c>
      <c r="B5" t="s">
        <v>1252</v>
      </c>
      <c r="C5" t="s">
        <v>35</v>
      </c>
      <c r="D5" t="s">
        <v>1208</v>
      </c>
      <c r="E5" s="5">
        <v>0</v>
      </c>
      <c r="F5" s="1" t="s">
        <v>673</v>
      </c>
      <c r="G5" s="50" t="s">
        <v>658</v>
      </c>
      <c r="H5" s="50" t="s">
        <v>695</v>
      </c>
      <c r="I5" s="72">
        <f t="shared" ref="I5:I15" si="0">E5/1000</f>
        <v>0</v>
      </c>
      <c r="J5" s="72">
        <f>VLOOKUP(A5,'GHG Factors FY21'!A:L,8,FALSE)*I5</f>
        <v>0</v>
      </c>
      <c r="K5" s="72">
        <f>VLOOKUP(A5,'GHG Factors FY21'!A:L,10,FALSE)*J5</f>
        <v>0</v>
      </c>
      <c r="L5" s="72">
        <f>VLOOKUP(A5,'GHG Factors FY21'!A:L,11,FALSE)*J5</f>
        <v>0</v>
      </c>
      <c r="M5" s="72">
        <f>VLOOKUP(A5,'GHG Factors FY21'!A:L,12,FALSE)*J5</f>
        <v>0</v>
      </c>
      <c r="N5" s="51">
        <f t="shared" ref="N5:N15" si="1">SUM(K5,L5,M5)</f>
        <v>0</v>
      </c>
    </row>
    <row r="6" spans="1:14">
      <c r="A6" t="s">
        <v>882</v>
      </c>
      <c r="B6" t="s">
        <v>1253</v>
      </c>
      <c r="C6" t="s">
        <v>35</v>
      </c>
      <c r="D6" t="s">
        <v>1210</v>
      </c>
      <c r="E6" s="5">
        <v>65845.31</v>
      </c>
      <c r="F6" s="1" t="s">
        <v>673</v>
      </c>
      <c r="G6" s="50" t="s">
        <v>658</v>
      </c>
      <c r="H6" s="50" t="s">
        <v>695</v>
      </c>
      <c r="I6" s="72">
        <f t="shared" si="0"/>
        <v>65.845309999999998</v>
      </c>
      <c r="J6" s="72">
        <f>VLOOKUP(A6,'GHG Factors FY21'!A:L,8,FALSE)*I6</f>
        <v>2541.6289660000002</v>
      </c>
      <c r="K6" s="72">
        <f>VLOOKUP(A6,'GHG Factors FY21'!A:L,10,FALSE)*J6</f>
        <v>176897.37603360001</v>
      </c>
      <c r="L6" s="72">
        <f>VLOOKUP(A6,'GHG Factors FY21'!A:L,11,FALSE)*J6</f>
        <v>0</v>
      </c>
      <c r="M6" s="72">
        <f>VLOOKUP(A6,'GHG Factors FY21'!A:L,12,FALSE)*J6</f>
        <v>9149.8642776000015</v>
      </c>
      <c r="N6" s="51">
        <f t="shared" si="1"/>
        <v>186047.2403112</v>
      </c>
    </row>
    <row r="7" spans="1:14">
      <c r="A7" t="s">
        <v>883</v>
      </c>
      <c r="B7" t="s">
        <v>1254</v>
      </c>
      <c r="C7" t="s">
        <v>35</v>
      </c>
      <c r="D7" t="s">
        <v>1193</v>
      </c>
      <c r="E7" s="5">
        <v>13261.990000000002</v>
      </c>
      <c r="F7" s="1" t="s">
        <v>673</v>
      </c>
      <c r="G7" s="50" t="s">
        <v>658</v>
      </c>
      <c r="H7" s="50" t="s">
        <v>695</v>
      </c>
      <c r="I7" s="72">
        <f t="shared" si="0"/>
        <v>13.261990000000001</v>
      </c>
      <c r="J7" s="72">
        <f>VLOOKUP(A7,'GHG Factors FY21'!A:L,8,FALSE)*I7</f>
        <v>511.91281400000003</v>
      </c>
      <c r="K7" s="72">
        <f>VLOOKUP(A7,'GHG Factors FY21'!A:L,10,FALSE)*J7</f>
        <v>35629.131854400002</v>
      </c>
      <c r="L7" s="72">
        <f>VLOOKUP(A7,'GHG Factors FY21'!A:L,11,FALSE)*J7</f>
        <v>0</v>
      </c>
      <c r="M7" s="72">
        <f>VLOOKUP(A7,'GHG Factors FY21'!A:L,12,FALSE)*J7</f>
        <v>1842.8861304000002</v>
      </c>
      <c r="N7" s="51">
        <f t="shared" si="1"/>
        <v>37472.017984800004</v>
      </c>
    </row>
    <row r="8" spans="1:14">
      <c r="A8" t="s">
        <v>884</v>
      </c>
      <c r="B8" t="s">
        <v>1255</v>
      </c>
      <c r="C8" t="s">
        <v>35</v>
      </c>
      <c r="D8" t="s">
        <v>1213</v>
      </c>
      <c r="E8" s="5">
        <v>2800.19</v>
      </c>
      <c r="F8" s="1" t="s">
        <v>673</v>
      </c>
      <c r="G8" s="50" t="s">
        <v>658</v>
      </c>
      <c r="H8" s="50" t="s">
        <v>695</v>
      </c>
      <c r="I8" s="72">
        <f t="shared" si="0"/>
        <v>2.8001900000000002</v>
      </c>
      <c r="J8" s="72">
        <f>VLOOKUP(A8,'GHG Factors FY21'!A:L,8,FALSE)*I8</f>
        <v>108.08733400000001</v>
      </c>
      <c r="K8" s="72">
        <f>VLOOKUP(A8,'GHG Factors FY21'!A:L,10,FALSE)*J8</f>
        <v>7522.8784464</v>
      </c>
      <c r="L8" s="72">
        <f>VLOOKUP(A8,'GHG Factors FY21'!A:L,11,FALSE)*J8</f>
        <v>0</v>
      </c>
      <c r="M8" s="72">
        <f>VLOOKUP(A8,'GHG Factors FY21'!A:L,12,FALSE)*J8</f>
        <v>389.11440240000007</v>
      </c>
      <c r="N8" s="51">
        <f t="shared" si="1"/>
        <v>7911.9928488000005</v>
      </c>
    </row>
    <row r="9" spans="1:14">
      <c r="A9" t="s">
        <v>885</v>
      </c>
      <c r="B9" t="s">
        <v>1256</v>
      </c>
      <c r="C9" t="s">
        <v>35</v>
      </c>
      <c r="D9" t="s">
        <v>1189</v>
      </c>
      <c r="E9" s="5">
        <v>2665.25</v>
      </c>
      <c r="F9" s="1" t="s">
        <v>673</v>
      </c>
      <c r="G9" s="50" t="s">
        <v>658</v>
      </c>
      <c r="H9" s="50" t="s">
        <v>695</v>
      </c>
      <c r="I9" s="72">
        <f t="shared" si="0"/>
        <v>2.6652499999999999</v>
      </c>
      <c r="J9" s="72">
        <f>VLOOKUP(A9,'GHG Factors FY21'!A:L,8,FALSE)*I9</f>
        <v>102.87864999999999</v>
      </c>
      <c r="K9" s="72">
        <f>VLOOKUP(A9,'GHG Factors FY21'!A:L,10,FALSE)*J9</f>
        <v>7160.3540399999993</v>
      </c>
      <c r="L9" s="72">
        <f>VLOOKUP(A9,'GHG Factors FY21'!A:L,11,FALSE)*J9</f>
        <v>0</v>
      </c>
      <c r="M9" s="72">
        <f>VLOOKUP(A9,'GHG Factors FY21'!A:L,12,FALSE)*J9</f>
        <v>370.36313999999999</v>
      </c>
      <c r="N9" s="51">
        <f t="shared" si="1"/>
        <v>7530.7171799999996</v>
      </c>
    </row>
    <row r="10" spans="1:14">
      <c r="A10" t="s">
        <v>886</v>
      </c>
      <c r="B10" t="s">
        <v>1257</v>
      </c>
      <c r="C10" t="s">
        <v>35</v>
      </c>
      <c r="D10" t="s">
        <v>1216</v>
      </c>
      <c r="E10" s="5">
        <v>6490.7999999999993</v>
      </c>
      <c r="F10" s="1" t="s">
        <v>673</v>
      </c>
      <c r="G10" s="50" t="s">
        <v>658</v>
      </c>
      <c r="H10" s="50" t="s">
        <v>695</v>
      </c>
      <c r="I10" s="72">
        <f t="shared" si="0"/>
        <v>6.4907999999999992</v>
      </c>
      <c r="J10" s="72">
        <f>VLOOKUP(A10,'GHG Factors FY21'!A:L,8,FALSE)*I10</f>
        <v>250.54487999999998</v>
      </c>
      <c r="K10" s="72">
        <f>VLOOKUP(A10,'GHG Factors FY21'!A:L,10,FALSE)*J10</f>
        <v>17437.923647999996</v>
      </c>
      <c r="L10" s="72">
        <f>VLOOKUP(A10,'GHG Factors FY21'!A:L,11,FALSE)*J10</f>
        <v>0</v>
      </c>
      <c r="M10" s="72">
        <f>VLOOKUP(A10,'GHG Factors FY21'!A:L,12,FALSE)*J10</f>
        <v>901.96156799999994</v>
      </c>
      <c r="N10" s="51">
        <f t="shared" si="1"/>
        <v>18339.885215999995</v>
      </c>
    </row>
    <row r="11" spans="1:14">
      <c r="A11" t="s">
        <v>887</v>
      </c>
      <c r="B11" t="s">
        <v>1253</v>
      </c>
      <c r="C11" t="s">
        <v>667</v>
      </c>
      <c r="D11" t="s">
        <v>1210</v>
      </c>
      <c r="E11" s="5">
        <v>47.02000000000001</v>
      </c>
      <c r="F11" s="1" t="s">
        <v>673</v>
      </c>
      <c r="G11" s="50" t="s">
        <v>658</v>
      </c>
      <c r="H11" s="50" t="s">
        <v>695</v>
      </c>
      <c r="I11" s="72">
        <f t="shared" si="0"/>
        <v>4.7020000000000013E-2</v>
      </c>
      <c r="J11" s="72">
        <f>VLOOKUP(A11,'GHG Factors FY21'!A:L,8,FALSE)*I11</f>
        <v>1.1002680000000002</v>
      </c>
      <c r="K11" s="72">
        <f>VLOOKUP(A11,'GHG Factors FY21'!A:L,10,FALSE)*J11</f>
        <v>76.578652800000015</v>
      </c>
      <c r="L11" s="72">
        <f>VLOOKUP(A11,'GHG Factors FY21'!A:L,11,FALSE)*J11</f>
        <v>0</v>
      </c>
      <c r="M11" s="72">
        <f>VLOOKUP(A11,'GHG Factors FY21'!A:L,12,FALSE)*J11</f>
        <v>0</v>
      </c>
      <c r="N11" s="51">
        <f t="shared" si="1"/>
        <v>76.578652800000015</v>
      </c>
    </row>
    <row r="12" spans="1:14">
      <c r="A12" t="s">
        <v>888</v>
      </c>
      <c r="B12" t="s">
        <v>1251</v>
      </c>
      <c r="C12" t="s">
        <v>1234</v>
      </c>
      <c r="D12" t="s">
        <v>1192</v>
      </c>
      <c r="E12" s="5">
        <v>100.23099999999999</v>
      </c>
      <c r="F12" s="1" t="s">
        <v>673</v>
      </c>
      <c r="G12" s="50" t="s">
        <v>658</v>
      </c>
      <c r="H12" s="50" t="s">
        <v>695</v>
      </c>
      <c r="I12" s="72">
        <f t="shared" si="0"/>
        <v>0.100231</v>
      </c>
      <c r="J12" s="72">
        <f>VLOOKUP(A12,'GHG Factors FY21'!A:L,8,FALSE)*I12</f>
        <v>3.4279002000000003</v>
      </c>
      <c r="K12" s="72">
        <f>VLOOKUP(A12,'GHG Factors FY21'!A:L,10,FALSE)*J12</f>
        <v>238.58185392000001</v>
      </c>
      <c r="L12" s="72">
        <f>VLOOKUP(A12,'GHG Factors FY21'!A:L,11,FALSE)*J12</f>
        <v>0</v>
      </c>
      <c r="M12" s="72">
        <f>VLOOKUP(A12,'GHG Factors FY21'!A:L,12,FALSE)*J12</f>
        <v>12.340440720000002</v>
      </c>
      <c r="N12" s="51">
        <f t="shared" si="1"/>
        <v>250.92229464000002</v>
      </c>
    </row>
    <row r="13" spans="1:14">
      <c r="A13" t="s">
        <v>889</v>
      </c>
      <c r="B13" t="s">
        <v>1253</v>
      </c>
      <c r="C13" t="s">
        <v>1234</v>
      </c>
      <c r="D13" t="s">
        <v>1210</v>
      </c>
      <c r="E13" s="5">
        <v>1867.5700000000002</v>
      </c>
      <c r="F13" s="1" t="s">
        <v>673</v>
      </c>
      <c r="G13" s="50" t="s">
        <v>658</v>
      </c>
      <c r="H13" s="50" t="s">
        <v>695</v>
      </c>
      <c r="I13" s="72">
        <f t="shared" si="0"/>
        <v>1.8675700000000002</v>
      </c>
      <c r="J13" s="72">
        <f>VLOOKUP(A13,'GHG Factors FY21'!A:L,8,FALSE)*I13</f>
        <v>63.870894000000014</v>
      </c>
      <c r="K13" s="72">
        <f>VLOOKUP(A13,'GHG Factors FY21'!A:L,10,FALSE)*J13</f>
        <v>4445.4142224000007</v>
      </c>
      <c r="L13" s="72">
        <f>VLOOKUP(A13,'GHG Factors FY21'!A:L,11,FALSE)*J13</f>
        <v>0</v>
      </c>
      <c r="M13" s="72">
        <f>VLOOKUP(A13,'GHG Factors FY21'!A:L,12,FALSE)*J13</f>
        <v>229.93521840000005</v>
      </c>
      <c r="N13" s="51">
        <f t="shared" si="1"/>
        <v>4675.3494408000006</v>
      </c>
    </row>
    <row r="14" spans="1:14">
      <c r="A14" t="s">
        <v>890</v>
      </c>
      <c r="B14" t="s">
        <v>1255</v>
      </c>
      <c r="C14" t="s">
        <v>1234</v>
      </c>
      <c r="D14" t="s">
        <v>1213</v>
      </c>
      <c r="E14" s="5">
        <v>58.773400000000002</v>
      </c>
      <c r="F14" s="1" t="s">
        <v>673</v>
      </c>
      <c r="G14" s="50" t="s">
        <v>658</v>
      </c>
      <c r="H14" s="50" t="s">
        <v>695</v>
      </c>
      <c r="I14" s="72">
        <f t="shared" si="0"/>
        <v>5.8773400000000003E-2</v>
      </c>
      <c r="J14" s="72">
        <f>VLOOKUP(A14,'GHG Factors FY21'!A:L,8,FALSE)*I14</f>
        <v>2.0100502800000002</v>
      </c>
      <c r="K14" s="72">
        <f>VLOOKUP(A14,'GHG Factors FY21'!A:L,10,FALSE)*J14</f>
        <v>139.899499488</v>
      </c>
      <c r="L14" s="72">
        <f>VLOOKUP(A14,'GHG Factors FY21'!A:L,11,FALSE)*J14</f>
        <v>0</v>
      </c>
      <c r="M14" s="72">
        <f>VLOOKUP(A14,'GHG Factors FY21'!A:L,12,FALSE)*J14</f>
        <v>7.2361810080000009</v>
      </c>
      <c r="N14" s="51">
        <f t="shared" si="1"/>
        <v>147.13568049599999</v>
      </c>
    </row>
    <row r="15" spans="1:14">
      <c r="A15" t="s">
        <v>891</v>
      </c>
      <c r="B15" t="s">
        <v>1256</v>
      </c>
      <c r="C15" t="s">
        <v>1234</v>
      </c>
      <c r="D15" t="s">
        <v>1189</v>
      </c>
      <c r="E15" s="5">
        <v>235.45000000000002</v>
      </c>
      <c r="F15" s="1" t="s">
        <v>673</v>
      </c>
      <c r="G15" s="50" t="s">
        <v>658</v>
      </c>
      <c r="H15" s="50" t="s">
        <v>695</v>
      </c>
      <c r="I15" s="72">
        <f t="shared" si="0"/>
        <v>0.23545000000000002</v>
      </c>
      <c r="J15" s="72">
        <f>VLOOKUP(A15,'GHG Factors FY21'!A:L,8,FALSE)*I15</f>
        <v>8.0523900000000008</v>
      </c>
      <c r="K15" s="72">
        <f>VLOOKUP(A15,'GHG Factors FY21'!A:L,10,FALSE)*J15</f>
        <v>560.44634400000007</v>
      </c>
      <c r="L15" s="72">
        <f>VLOOKUP(A15,'GHG Factors FY21'!A:L,11,FALSE)*J15</f>
        <v>0</v>
      </c>
      <c r="M15" s="72">
        <f>VLOOKUP(A15,'GHG Factors FY21'!A:L,12,FALSE)*J15</f>
        <v>28.988604000000002</v>
      </c>
      <c r="N15" s="51">
        <f t="shared" si="1"/>
        <v>589.43494800000008</v>
      </c>
    </row>
    <row r="17" spans="1:14">
      <c r="A17" s="810"/>
      <c r="B17" t="s">
        <v>1258</v>
      </c>
      <c r="E17" s="5">
        <f>SUM(E4:E15)</f>
        <v>96758.764400000015</v>
      </c>
      <c r="J17" s="244">
        <f>K17/1000</f>
        <v>259.20576033580807</v>
      </c>
      <c r="K17" s="241">
        <f>SUM(K4:K15)</f>
        <v>259205.76033580804</v>
      </c>
      <c r="M17">
        <f>SUM(M4:M15)</f>
        <v>13403.233535328001</v>
      </c>
    </row>
    <row r="18" spans="1:14">
      <c r="K18">
        <v>178.16780000000003</v>
      </c>
      <c r="M18">
        <v>9.2166999999999941</v>
      </c>
    </row>
    <row r="19" spans="1:14">
      <c r="D19" t="s">
        <v>35</v>
      </c>
      <c r="E19" s="241">
        <f>SUM(E4:E10)</f>
        <v>94449.72</v>
      </c>
      <c r="K19" s="5">
        <f>K17/1000-K18</f>
        <v>81.037960335808037</v>
      </c>
      <c r="M19" s="5">
        <f>M17/1000-M18</f>
        <v>4.1865335353280066</v>
      </c>
    </row>
    <row r="22" spans="1:14">
      <c r="A22" s="657" t="s">
        <v>3</v>
      </c>
      <c r="B22" s="657" t="s">
        <v>1259</v>
      </c>
      <c r="C22" s="62"/>
      <c r="D22" s="62"/>
      <c r="E22" s="62"/>
      <c r="F22" s="62"/>
      <c r="G22" s="62"/>
      <c r="H22" s="62"/>
      <c r="I22" s="62"/>
      <c r="J22" s="62"/>
      <c r="K22" s="62"/>
      <c r="L22" s="62"/>
      <c r="M22" s="62"/>
      <c r="N22" s="62"/>
    </row>
    <row r="23" spans="1:14">
      <c r="A23" s="36" t="s">
        <v>750</v>
      </c>
      <c r="B23" s="34" t="s">
        <v>1200</v>
      </c>
      <c r="C23" s="34" t="s">
        <v>156</v>
      </c>
      <c r="D23" s="34" t="s">
        <v>1187</v>
      </c>
      <c r="E23" s="34" t="s">
        <v>1219</v>
      </c>
      <c r="F23" s="37" t="s">
        <v>1240</v>
      </c>
      <c r="G23" s="37" t="s">
        <v>649</v>
      </c>
      <c r="H23" s="37" t="s">
        <v>684</v>
      </c>
      <c r="I23" s="37" t="s">
        <v>650</v>
      </c>
      <c r="J23" s="37" t="s">
        <v>651</v>
      </c>
      <c r="K23" s="37" t="s">
        <v>652</v>
      </c>
      <c r="L23" s="37" t="s">
        <v>653</v>
      </c>
      <c r="M23" s="37" t="s">
        <v>654</v>
      </c>
      <c r="N23" s="37" t="s">
        <v>751</v>
      </c>
    </row>
    <row r="24" spans="1:14">
      <c r="A24" t="s">
        <v>880</v>
      </c>
      <c r="B24" t="s">
        <v>1251</v>
      </c>
      <c r="C24" t="s">
        <v>35</v>
      </c>
      <c r="D24" t="s">
        <v>1192</v>
      </c>
      <c r="E24" s="5">
        <v>3872.0299999999997</v>
      </c>
      <c r="F24" s="1" t="s">
        <v>673</v>
      </c>
      <c r="G24" s="50" t="s">
        <v>658</v>
      </c>
      <c r="H24" s="50" t="s">
        <v>695</v>
      </c>
      <c r="I24" s="72">
        <f>E24/1000</f>
        <v>3.8720299999999996</v>
      </c>
      <c r="J24" s="72">
        <f>VLOOKUP(A24,'GHG Factors FY20'!A:L,8,FALSE)*I24</f>
        <v>149.46035799999999</v>
      </c>
      <c r="K24" s="72">
        <f>VLOOKUP(A24,'GHG Factors FY20'!A:L,10,FALSE)*J24</f>
        <v>10492.1171316</v>
      </c>
      <c r="L24" s="72">
        <f>VLOOKUP(A24,'GHG Factors FY20'!A:L,11,FALSE)*J24</f>
        <v>0</v>
      </c>
      <c r="M24" s="72">
        <f>VLOOKUP(A24,'GHG Factors FY20'!A:L,12,FALSE)*J24</f>
        <v>538.05728879999992</v>
      </c>
      <c r="N24" s="51">
        <f>SUM(K24,L24,M24)</f>
        <v>11030.174420400001</v>
      </c>
    </row>
    <row r="25" spans="1:14">
      <c r="A25" t="s">
        <v>881</v>
      </c>
      <c r="B25" t="s">
        <v>1252</v>
      </c>
      <c r="C25" t="s">
        <v>35</v>
      </c>
      <c r="D25" t="s">
        <v>1208</v>
      </c>
      <c r="E25" s="5">
        <v>28.07</v>
      </c>
      <c r="F25" s="1" t="s">
        <v>673</v>
      </c>
      <c r="G25" s="50" t="s">
        <v>658</v>
      </c>
      <c r="H25" s="50" t="s">
        <v>695</v>
      </c>
      <c r="I25" s="72">
        <f t="shared" ref="I25:I35" si="2">E25/1000</f>
        <v>2.8070000000000001E-2</v>
      </c>
      <c r="J25" s="72">
        <f>VLOOKUP(A25,'GHG Factors FY20'!A:L,8,FALSE)*I25</f>
        <v>1.0835020000000002</v>
      </c>
      <c r="K25" s="72">
        <f>VLOOKUP(A25,'GHG Factors FY20'!A:L,10,FALSE)*J25</f>
        <v>76.061840400000023</v>
      </c>
      <c r="L25" s="72">
        <f>VLOOKUP(A25,'GHG Factors FY20'!A:L,11,FALSE)*J25</f>
        <v>0</v>
      </c>
      <c r="M25" s="72">
        <f>VLOOKUP(A25,'GHG Factors FY20'!A:L,12,FALSE)*J25</f>
        <v>3.9006072000000009</v>
      </c>
      <c r="N25" s="51">
        <f t="shared" ref="N25:N35" si="3">SUM(K25,L25,M25)</f>
        <v>79.962447600000019</v>
      </c>
    </row>
    <row r="26" spans="1:14">
      <c r="A26" t="s">
        <v>882</v>
      </c>
      <c r="B26" t="s">
        <v>1253</v>
      </c>
      <c r="C26" t="s">
        <v>35</v>
      </c>
      <c r="D26" t="s">
        <v>1210</v>
      </c>
      <c r="E26" s="5">
        <v>31346.010000000002</v>
      </c>
      <c r="F26" s="1" t="s">
        <v>673</v>
      </c>
      <c r="G26" s="50" t="s">
        <v>658</v>
      </c>
      <c r="H26" s="50" t="s">
        <v>695</v>
      </c>
      <c r="I26" s="72">
        <f t="shared" si="2"/>
        <v>31.346010000000003</v>
      </c>
      <c r="J26" s="72">
        <f>VLOOKUP(A26,'GHG Factors FY20'!A:L,8,FALSE)*I26</f>
        <v>1209.9559860000002</v>
      </c>
      <c r="K26" s="72">
        <f>VLOOKUP(A26,'GHG Factors FY20'!A:L,10,FALSE)*J26</f>
        <v>84938.910217200013</v>
      </c>
      <c r="L26" s="72">
        <f>VLOOKUP(A26,'GHG Factors FY20'!A:L,11,FALSE)*J26</f>
        <v>0</v>
      </c>
      <c r="M26" s="72">
        <f>VLOOKUP(A26,'GHG Factors FY20'!A:L,12,FALSE)*J26</f>
        <v>4355.8415496000007</v>
      </c>
      <c r="N26" s="51">
        <f t="shared" si="3"/>
        <v>89294.751766800007</v>
      </c>
    </row>
    <row r="27" spans="1:14">
      <c r="A27" t="s">
        <v>883</v>
      </c>
      <c r="B27" t="s">
        <v>1254</v>
      </c>
      <c r="C27" t="s">
        <v>35</v>
      </c>
      <c r="D27" t="s">
        <v>1193</v>
      </c>
      <c r="E27" s="5">
        <v>5726.76</v>
      </c>
      <c r="F27" s="1" t="s">
        <v>673</v>
      </c>
      <c r="G27" s="50" t="s">
        <v>658</v>
      </c>
      <c r="H27" s="50" t="s">
        <v>695</v>
      </c>
      <c r="I27" s="72">
        <f t="shared" si="2"/>
        <v>5.7267600000000005</v>
      </c>
      <c r="J27" s="72">
        <f>VLOOKUP(A27,'GHG Factors FY20'!A:L,8,FALSE)*I27</f>
        <v>221.05293600000002</v>
      </c>
      <c r="K27" s="72">
        <f>VLOOKUP(A27,'GHG Factors FY20'!A:L,10,FALSE)*J27</f>
        <v>15517.916107200002</v>
      </c>
      <c r="L27" s="72">
        <f>VLOOKUP(A27,'GHG Factors FY20'!A:L,11,FALSE)*J27</f>
        <v>0</v>
      </c>
      <c r="M27" s="72">
        <f>VLOOKUP(A27,'GHG Factors FY20'!A:L,12,FALSE)*J27</f>
        <v>795.79056960000003</v>
      </c>
      <c r="N27" s="51">
        <f t="shared" si="3"/>
        <v>16313.706676800002</v>
      </c>
    </row>
    <row r="28" spans="1:14">
      <c r="A28" t="s">
        <v>884</v>
      </c>
      <c r="B28" t="s">
        <v>1255</v>
      </c>
      <c r="C28" t="s">
        <v>35</v>
      </c>
      <c r="D28" t="s">
        <v>1213</v>
      </c>
      <c r="E28" s="5">
        <v>2095.2600000000002</v>
      </c>
      <c r="F28" s="1" t="s">
        <v>673</v>
      </c>
      <c r="G28" s="50" t="s">
        <v>658</v>
      </c>
      <c r="H28" s="50" t="s">
        <v>695</v>
      </c>
      <c r="I28" s="72">
        <f t="shared" si="2"/>
        <v>2.0952600000000001</v>
      </c>
      <c r="J28" s="72">
        <f>VLOOKUP(A28,'GHG Factors FY20'!A:L,8,FALSE)*I28</f>
        <v>80.877036000000004</v>
      </c>
      <c r="K28" s="72">
        <f>VLOOKUP(A28,'GHG Factors FY20'!A:L,10,FALSE)*J28</f>
        <v>5677.5679272000007</v>
      </c>
      <c r="L28" s="72">
        <f>VLOOKUP(A28,'GHG Factors FY20'!A:L,11,FALSE)*J28</f>
        <v>0</v>
      </c>
      <c r="M28" s="72">
        <f>VLOOKUP(A28,'GHG Factors FY20'!A:L,12,FALSE)*J28</f>
        <v>291.15732960000003</v>
      </c>
      <c r="N28" s="51">
        <f t="shared" si="3"/>
        <v>5968.7252568000004</v>
      </c>
    </row>
    <row r="29" spans="1:14">
      <c r="A29" t="s">
        <v>885</v>
      </c>
      <c r="B29" t="s">
        <v>1256</v>
      </c>
      <c r="C29" t="s">
        <v>35</v>
      </c>
      <c r="D29" t="s">
        <v>1189</v>
      </c>
      <c r="E29" s="5">
        <v>4902.5500000000011</v>
      </c>
      <c r="F29" s="1" t="s">
        <v>673</v>
      </c>
      <c r="G29" s="50" t="s">
        <v>658</v>
      </c>
      <c r="H29" s="50" t="s">
        <v>695</v>
      </c>
      <c r="I29" s="72">
        <f t="shared" si="2"/>
        <v>4.9025500000000015</v>
      </c>
      <c r="J29" s="72">
        <f>VLOOKUP(A29,'GHG Factors FY20'!A:L,8,FALSE)*I29</f>
        <v>189.23843000000008</v>
      </c>
      <c r="K29" s="72">
        <f>VLOOKUP(A29,'GHG Factors FY20'!A:L,10,FALSE)*J29</f>
        <v>13284.537786000006</v>
      </c>
      <c r="L29" s="72">
        <f>VLOOKUP(A29,'GHG Factors FY20'!A:L,11,FALSE)*J29</f>
        <v>0</v>
      </c>
      <c r="M29" s="72">
        <f>VLOOKUP(A29,'GHG Factors FY20'!A:L,12,FALSE)*J29</f>
        <v>681.2583480000003</v>
      </c>
      <c r="N29" s="51">
        <f t="shared" si="3"/>
        <v>13965.796134000007</v>
      </c>
    </row>
    <row r="30" spans="1:14">
      <c r="A30" t="s">
        <v>886</v>
      </c>
      <c r="B30" t="s">
        <v>1257</v>
      </c>
      <c r="C30" t="s">
        <v>35</v>
      </c>
      <c r="D30" t="s">
        <v>1216</v>
      </c>
      <c r="E30" s="5">
        <v>1555.21</v>
      </c>
      <c r="F30" s="1" t="s">
        <v>673</v>
      </c>
      <c r="G30" s="50" t="s">
        <v>658</v>
      </c>
      <c r="H30" s="50" t="s">
        <v>695</v>
      </c>
      <c r="I30" s="72">
        <f t="shared" si="2"/>
        <v>1.55521</v>
      </c>
      <c r="J30" s="72">
        <f>VLOOKUP(A30,'GHG Factors FY20'!A:L,8,FALSE)*I30</f>
        <v>60.031106000000001</v>
      </c>
      <c r="K30" s="72">
        <f>VLOOKUP(A30,'GHG Factors FY20'!A:L,10,FALSE)*J30</f>
        <v>4214.1836412000002</v>
      </c>
      <c r="L30" s="72">
        <f>VLOOKUP(A30,'GHG Factors FY20'!A:L,11,FALSE)*J30</f>
        <v>0</v>
      </c>
      <c r="M30" s="72">
        <f>VLOOKUP(A30,'GHG Factors FY20'!A:L,12,FALSE)*J30</f>
        <v>216.11198160000001</v>
      </c>
      <c r="N30" s="51">
        <f t="shared" si="3"/>
        <v>4430.2956228000003</v>
      </c>
    </row>
    <row r="31" spans="1:14">
      <c r="A31" t="s">
        <v>887</v>
      </c>
      <c r="B31" t="s">
        <v>1253</v>
      </c>
      <c r="C31" t="s">
        <v>667</v>
      </c>
      <c r="D31" t="s">
        <v>1210</v>
      </c>
      <c r="E31" s="5">
        <v>81.599999999999994</v>
      </c>
      <c r="F31" s="1" t="s">
        <v>673</v>
      </c>
      <c r="G31" s="50" t="s">
        <v>658</v>
      </c>
      <c r="H31" s="50" t="s">
        <v>695</v>
      </c>
      <c r="I31" s="72">
        <f t="shared" si="2"/>
        <v>8.1599999999999992E-2</v>
      </c>
      <c r="J31" s="72">
        <f>VLOOKUP(A31,'GHG Factors FY20'!A:L,8,FALSE)*I31</f>
        <v>1.9094399999999998</v>
      </c>
      <c r="K31" s="72">
        <f>VLOOKUP(A31,'GHG Factors FY20'!A:L,10,FALSE)*J31</f>
        <v>0.51554880000000003</v>
      </c>
      <c r="L31" s="72">
        <f>VLOOKUP(A31,'GHG Factors FY20'!A:L,11,FALSE)*J31</f>
        <v>0</v>
      </c>
      <c r="M31" s="72">
        <f>VLOOKUP(A31,'GHG Factors FY20'!A:L,12,FALSE)*J31</f>
        <v>0</v>
      </c>
      <c r="N31" s="51">
        <f t="shared" si="3"/>
        <v>0.51554880000000003</v>
      </c>
    </row>
    <row r="32" spans="1:14">
      <c r="A32" t="s">
        <v>888</v>
      </c>
      <c r="B32" t="s">
        <v>1251</v>
      </c>
      <c r="C32" t="s">
        <v>1234</v>
      </c>
      <c r="D32" t="s">
        <v>1192</v>
      </c>
      <c r="E32" s="5">
        <v>88.25</v>
      </c>
      <c r="F32" s="1" t="s">
        <v>673</v>
      </c>
      <c r="G32" s="50" t="s">
        <v>658</v>
      </c>
      <c r="H32" s="50" t="s">
        <v>695</v>
      </c>
      <c r="I32" s="72">
        <f t="shared" si="2"/>
        <v>8.8249999999999995E-2</v>
      </c>
      <c r="J32" s="72">
        <f>VLOOKUP(A32,'GHG Factors FY20'!A:L,8,FALSE)*I32</f>
        <v>3.0181499999999999</v>
      </c>
      <c r="K32" s="72">
        <f>VLOOKUP(A32,'GHG Factors FY20'!A:L,10,FALSE)*J32</f>
        <v>204.63057000000003</v>
      </c>
      <c r="L32" s="72">
        <f>VLOOKUP(A32,'GHG Factors FY20'!A:L,11,FALSE)*J32</f>
        <v>0</v>
      </c>
      <c r="M32" s="72">
        <f>VLOOKUP(A32,'GHG Factors FY20'!A:L,12,FALSE)*J32</f>
        <v>10.86534</v>
      </c>
      <c r="N32" s="51">
        <f t="shared" si="3"/>
        <v>215.49591000000004</v>
      </c>
    </row>
    <row r="33" spans="1:14">
      <c r="A33" t="s">
        <v>889</v>
      </c>
      <c r="B33" t="s">
        <v>1253</v>
      </c>
      <c r="C33" t="s">
        <v>1234</v>
      </c>
      <c r="D33" t="s">
        <v>1210</v>
      </c>
      <c r="E33" s="5">
        <v>1727.01</v>
      </c>
      <c r="F33" s="1" t="s">
        <v>673</v>
      </c>
      <c r="G33" s="50" t="s">
        <v>658</v>
      </c>
      <c r="H33" s="50" t="s">
        <v>695</v>
      </c>
      <c r="I33" s="72">
        <f t="shared" si="2"/>
        <v>1.7270099999999999</v>
      </c>
      <c r="J33" s="72">
        <f>VLOOKUP(A33,'GHG Factors FY20'!A:L,8,FALSE)*I33</f>
        <v>59.063742000000005</v>
      </c>
      <c r="K33" s="72">
        <f>VLOOKUP(A33,'GHG Factors FY20'!A:L,10,FALSE)*J33</f>
        <v>4004.5217076000008</v>
      </c>
      <c r="L33" s="72">
        <f>VLOOKUP(A33,'GHG Factors FY20'!A:L,11,FALSE)*J33</f>
        <v>0</v>
      </c>
      <c r="M33" s="72">
        <f>VLOOKUP(A33,'GHG Factors FY20'!A:L,12,FALSE)*J33</f>
        <v>212.62947120000001</v>
      </c>
      <c r="N33" s="51">
        <f t="shared" si="3"/>
        <v>4217.1511788000007</v>
      </c>
    </row>
    <row r="34" spans="1:14">
      <c r="A34" t="s">
        <v>890</v>
      </c>
      <c r="B34" t="s">
        <v>1255</v>
      </c>
      <c r="C34" t="s">
        <v>1234</v>
      </c>
      <c r="D34" t="s">
        <v>1213</v>
      </c>
      <c r="E34" s="5">
        <v>0</v>
      </c>
      <c r="F34" s="1" t="s">
        <v>673</v>
      </c>
      <c r="G34" s="50" t="s">
        <v>658</v>
      </c>
      <c r="H34" s="50" t="s">
        <v>695</v>
      </c>
      <c r="I34" s="72">
        <f t="shared" si="2"/>
        <v>0</v>
      </c>
      <c r="J34" s="72">
        <f>VLOOKUP(A34,'GHG Factors FY20'!A:L,8,FALSE)*I34</f>
        <v>0</v>
      </c>
      <c r="K34" s="72">
        <f>VLOOKUP(A34,'GHG Factors FY20'!A:L,10,FALSE)*J34</f>
        <v>0</v>
      </c>
      <c r="L34" s="72">
        <f>VLOOKUP(A34,'GHG Factors FY20'!A:L,11,FALSE)*J34</f>
        <v>0</v>
      </c>
      <c r="M34" s="72">
        <f>VLOOKUP(A34,'GHG Factors FY20'!A:L,12,FALSE)*J34</f>
        <v>0</v>
      </c>
      <c r="N34" s="51">
        <f t="shared" si="3"/>
        <v>0</v>
      </c>
    </row>
    <row r="35" spans="1:14">
      <c r="A35" t="s">
        <v>891</v>
      </c>
      <c r="B35" t="s">
        <v>1256</v>
      </c>
      <c r="C35" t="s">
        <v>1234</v>
      </c>
      <c r="D35" t="s">
        <v>1189</v>
      </c>
      <c r="E35" s="5">
        <v>17145.990000000002</v>
      </c>
      <c r="F35" s="1" t="s">
        <v>673</v>
      </c>
      <c r="G35" s="50" t="s">
        <v>658</v>
      </c>
      <c r="H35" s="50" t="s">
        <v>695</v>
      </c>
      <c r="I35" s="72">
        <f t="shared" si="2"/>
        <v>17.145990000000001</v>
      </c>
      <c r="J35" s="72">
        <f>VLOOKUP(A35,'GHG Factors FY20'!A:L,8,FALSE)*I35</f>
        <v>586.39285800000005</v>
      </c>
      <c r="K35" s="72">
        <f>VLOOKUP(A35,'GHG Factors FY20'!A:L,10,FALSE)*J35</f>
        <v>39757.435772400007</v>
      </c>
      <c r="L35" s="72">
        <f>VLOOKUP(A35,'GHG Factors FY20'!A:L,11,FALSE)*J35</f>
        <v>0</v>
      </c>
      <c r="M35" s="72">
        <f>VLOOKUP(A35,'GHG Factors FY20'!A:L,12,FALSE)*J35</f>
        <v>2111.0142888</v>
      </c>
      <c r="N35" s="51">
        <f t="shared" si="3"/>
        <v>41868.450061200005</v>
      </c>
    </row>
    <row r="37" spans="1:14">
      <c r="E37">
        <f>SUM(E24:E35)</f>
        <v>68568.740000000005</v>
      </c>
      <c r="K37">
        <f>SUM(K24:K35)</f>
        <v>178168.39824960002</v>
      </c>
      <c r="M37">
        <f>SUM(M24:M35)</f>
        <v>9216.6267743999997</v>
      </c>
    </row>
    <row r="38" spans="1:14">
      <c r="A38" s="647"/>
      <c r="D38" t="s">
        <v>1173</v>
      </c>
      <c r="E38">
        <v>68568.739999999991</v>
      </c>
      <c r="K38">
        <v>178.16780000000003</v>
      </c>
      <c r="M38">
        <v>9.2166999999999941</v>
      </c>
    </row>
    <row r="39" spans="1:14">
      <c r="E39">
        <f>E37-E38</f>
        <v>0</v>
      </c>
      <c r="K39" s="5">
        <f>K37/1000-K38</f>
        <v>5.9824959998877603E-4</v>
      </c>
      <c r="M39" s="5">
        <f>M37/1000-M38</f>
        <v>-7.3225599994231061E-5</v>
      </c>
    </row>
    <row r="40" spans="1:14">
      <c r="D40" t="s">
        <v>35</v>
      </c>
      <c r="E40" s="241">
        <f>SUM(E24:E30)</f>
        <v>49525.890000000007</v>
      </c>
    </row>
    <row r="41" spans="1:14">
      <c r="E41" s="3">
        <f>E19/E40-1</f>
        <v>0.9070776920919541</v>
      </c>
    </row>
  </sheetData>
  <autoFilter ref="A3:N3" xr:uid="{DBF302D5-0ABF-4D25-B089-93E089C51A3D}"/>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00B050"/>
  </sheetPr>
  <dimension ref="A2:Q57"/>
  <sheetViews>
    <sheetView zoomScale="70" zoomScaleNormal="70" workbookViewId="0">
      <selection activeCell="H15" sqref="H15"/>
    </sheetView>
  </sheetViews>
  <sheetFormatPr defaultColWidth="8.8984375" defaultRowHeight="13.8"/>
  <cols>
    <col min="1" max="1" width="42.09765625" customWidth="1"/>
    <col min="2" max="2" width="14.59765625" customWidth="1"/>
    <col min="3" max="3" width="11.3984375" customWidth="1"/>
    <col min="4" max="4" width="26.09765625" customWidth="1"/>
    <col min="5" max="5" width="28" customWidth="1"/>
    <col min="6" max="6" width="13.59765625" customWidth="1"/>
    <col min="7" max="7" width="7.5" bestFit="1" customWidth="1"/>
    <col min="8" max="8" width="12.59765625" customWidth="1"/>
    <col min="9" max="9" width="20" bestFit="1" customWidth="1"/>
    <col min="10" max="10" width="14.59765625" bestFit="1" customWidth="1"/>
    <col min="11" max="11" width="41.09765625" bestFit="1" customWidth="1"/>
    <col min="12" max="12" width="26.09765625" bestFit="1" customWidth="1"/>
    <col min="13" max="13" width="42.09765625" bestFit="1" customWidth="1"/>
    <col min="14" max="14" width="13.59765625" bestFit="1" customWidth="1"/>
    <col min="15" max="15" width="7.5" bestFit="1" customWidth="1"/>
    <col min="16" max="16" width="22.59765625" bestFit="1" customWidth="1"/>
    <col min="17" max="17" width="20" bestFit="1" customWidth="1"/>
  </cols>
  <sheetData>
    <row r="2" spans="1:17" s="850" customFormat="1">
      <c r="A2" s="849" t="s">
        <v>91</v>
      </c>
      <c r="B2" s="849" t="s">
        <v>1260</v>
      </c>
    </row>
    <row r="3" spans="1:17">
      <c r="A3" s="36" t="s">
        <v>750</v>
      </c>
      <c r="B3" s="36" t="s">
        <v>646</v>
      </c>
      <c r="C3" s="36" t="s">
        <v>647</v>
      </c>
      <c r="D3" s="36" t="s">
        <v>648</v>
      </c>
      <c r="E3" s="36" t="s">
        <v>1200</v>
      </c>
      <c r="F3" s="36" t="s">
        <v>156</v>
      </c>
      <c r="G3" s="36" t="s">
        <v>1187</v>
      </c>
      <c r="H3" s="36" t="s">
        <v>1219</v>
      </c>
      <c r="I3" s="36" t="s">
        <v>1240</v>
      </c>
      <c r="J3" s="37" t="s">
        <v>649</v>
      </c>
      <c r="K3" s="37" t="s">
        <v>684</v>
      </c>
      <c r="L3" s="37" t="s">
        <v>650</v>
      </c>
      <c r="M3" s="37" t="s">
        <v>651</v>
      </c>
      <c r="N3" s="37" t="s">
        <v>652</v>
      </c>
      <c r="O3" s="37" t="s">
        <v>653</v>
      </c>
      <c r="P3" s="37" t="s">
        <v>654</v>
      </c>
      <c r="Q3" s="37" t="s">
        <v>751</v>
      </c>
    </row>
    <row r="4" spans="1:17">
      <c r="A4" s="31" t="s">
        <v>828</v>
      </c>
      <c r="B4" s="31" t="s">
        <v>671</v>
      </c>
      <c r="C4" s="31" t="s">
        <v>35</v>
      </c>
      <c r="D4" s="31" t="s">
        <v>672</v>
      </c>
      <c r="E4" s="31" t="s">
        <v>1205</v>
      </c>
      <c r="F4" s="31" t="s">
        <v>1261</v>
      </c>
      <c r="G4" s="31" t="s">
        <v>1190</v>
      </c>
      <c r="H4" s="31">
        <v>0</v>
      </c>
      <c r="I4" s="31" t="s">
        <v>673</v>
      </c>
      <c r="J4" s="31" t="s">
        <v>658</v>
      </c>
      <c r="K4" s="31" t="s">
        <v>686</v>
      </c>
      <c r="L4" s="31">
        <f>H4/1000</f>
        <v>0</v>
      </c>
      <c r="M4" s="31">
        <f>VLOOKUP(A4,'GHG Factors FY20'!A:L,8,FALSE)*L4</f>
        <v>0</v>
      </c>
      <c r="N4" s="31">
        <f>VLOOKUP(A4,'GHG Factors FY20'!A:L,10,FALSE)*M4</f>
        <v>0</v>
      </c>
      <c r="O4" s="31">
        <f>VLOOKUP(A4,'GHG Factors FY20'!A:L,11,FALSE)*M4</f>
        <v>0</v>
      </c>
      <c r="P4" s="31">
        <f>VLOOKUP(A4,'GHG Factors FY20'!A:L,12,FALSE)*M4</f>
        <v>0</v>
      </c>
      <c r="Q4" s="31">
        <f>SUM(N4,O4,P4)</f>
        <v>0</v>
      </c>
    </row>
    <row r="5" spans="1:17">
      <c r="A5" s="32" t="s">
        <v>829</v>
      </c>
      <c r="B5" s="32" t="s">
        <v>671</v>
      </c>
      <c r="C5" s="32" t="s">
        <v>35</v>
      </c>
      <c r="D5" s="32" t="s">
        <v>672</v>
      </c>
      <c r="E5" s="32" t="s">
        <v>1206</v>
      </c>
      <c r="F5" s="32" t="s">
        <v>1261</v>
      </c>
      <c r="G5" s="32" t="s">
        <v>1192</v>
      </c>
      <c r="H5" s="31">
        <v>91.600000000000009</v>
      </c>
      <c r="I5" s="32" t="s">
        <v>673</v>
      </c>
      <c r="J5" s="32" t="s">
        <v>658</v>
      </c>
      <c r="K5" s="32" t="s">
        <v>686</v>
      </c>
      <c r="L5" s="32">
        <f t="shared" ref="L5:L19" si="0">H5/1000</f>
        <v>9.1600000000000015E-2</v>
      </c>
      <c r="M5" s="32">
        <f>VLOOKUP(A5,'GHG Factors FY20'!A:L,8,FALSE)*L5</f>
        <v>3.5357600000000007</v>
      </c>
      <c r="N5" s="32">
        <f>VLOOKUP(A5,'GHG Factors FY20'!A:L,10,FALSE)*M5</f>
        <v>249.30643760000007</v>
      </c>
      <c r="O5" s="32">
        <f>VLOOKUP(A5,'GHG Factors FY20'!A:L,11,FALSE)*M5</f>
        <v>0</v>
      </c>
      <c r="P5" s="32">
        <f>VLOOKUP(A5,'GHG Factors FY20'!A:L,12,FALSE)*M5</f>
        <v>12.728736000000003</v>
      </c>
      <c r="Q5" s="32">
        <f t="shared" ref="Q5:Q19" si="1">SUM(N5,O5,P5)</f>
        <v>262.03517360000006</v>
      </c>
    </row>
    <row r="6" spans="1:17">
      <c r="A6" s="31" t="s">
        <v>830</v>
      </c>
      <c r="B6" s="31" t="s">
        <v>671</v>
      </c>
      <c r="C6" s="31" t="s">
        <v>35</v>
      </c>
      <c r="D6" s="31" t="s">
        <v>672</v>
      </c>
      <c r="E6" s="31" t="s">
        <v>1214</v>
      </c>
      <c r="F6" s="31" t="s">
        <v>1261</v>
      </c>
      <c r="G6" s="31" t="s">
        <v>1208</v>
      </c>
      <c r="H6" s="31">
        <v>456.57799999999992</v>
      </c>
      <c r="I6" s="31" t="s">
        <v>673</v>
      </c>
      <c r="J6" s="31" t="s">
        <v>658</v>
      </c>
      <c r="K6" s="31" t="s">
        <v>686</v>
      </c>
      <c r="L6" s="31">
        <f t="shared" si="0"/>
        <v>0.45657799999999993</v>
      </c>
      <c r="M6" s="31">
        <f>VLOOKUP(A6,'GHG Factors FY20'!A:L,8,FALSE)*L6</f>
        <v>17.623910799999997</v>
      </c>
      <c r="N6" s="31">
        <f>VLOOKUP(A6,'GHG Factors FY20'!A:L,10,FALSE)*M6</f>
        <v>1242.6619505079998</v>
      </c>
      <c r="O6" s="31">
        <f>VLOOKUP(A6,'GHG Factors FY20'!A:L,11,FALSE)*M6</f>
        <v>0</v>
      </c>
      <c r="P6" s="31">
        <f>VLOOKUP(A6,'GHG Factors FY20'!A:L,12,FALSE)*M6</f>
        <v>63.446078879999995</v>
      </c>
      <c r="Q6" s="31">
        <f t="shared" si="1"/>
        <v>1306.1080293879997</v>
      </c>
    </row>
    <row r="7" spans="1:17">
      <c r="A7" s="32" t="s">
        <v>831</v>
      </c>
      <c r="B7" s="32" t="s">
        <v>671</v>
      </c>
      <c r="C7" s="32" t="s">
        <v>35</v>
      </c>
      <c r="D7" s="32" t="s">
        <v>672</v>
      </c>
      <c r="E7" s="32" t="s">
        <v>1209</v>
      </c>
      <c r="F7" s="32" t="s">
        <v>1261</v>
      </c>
      <c r="G7" s="32" t="s">
        <v>1210</v>
      </c>
      <c r="H7" s="31">
        <v>349.04</v>
      </c>
      <c r="I7" s="32" t="s">
        <v>673</v>
      </c>
      <c r="J7" s="32" t="s">
        <v>658</v>
      </c>
      <c r="K7" s="32" t="s">
        <v>686</v>
      </c>
      <c r="L7" s="32">
        <f t="shared" si="0"/>
        <v>0.34904000000000002</v>
      </c>
      <c r="M7" s="32">
        <f>VLOOKUP(A7,'GHG Factors FY20'!A:L,8,FALSE)*L7</f>
        <v>13.472944000000002</v>
      </c>
      <c r="N7" s="32">
        <f>VLOOKUP(A7,'GHG Factors FY20'!A:L,10,FALSE)*M7</f>
        <v>949.97728144000018</v>
      </c>
      <c r="O7" s="32">
        <f>VLOOKUP(A7,'GHG Factors FY20'!A:L,11,FALSE)*M7</f>
        <v>0</v>
      </c>
      <c r="P7" s="32">
        <f>VLOOKUP(A7,'GHG Factors FY20'!A:L,12,FALSE)*M7</f>
        <v>48.502598400000011</v>
      </c>
      <c r="Q7" s="32">
        <f t="shared" si="1"/>
        <v>998.47987984000019</v>
      </c>
    </row>
    <row r="8" spans="1:17">
      <c r="A8" s="31" t="s">
        <v>832</v>
      </c>
      <c r="B8" s="31" t="s">
        <v>671</v>
      </c>
      <c r="C8" s="31" t="s">
        <v>35</v>
      </c>
      <c r="D8" s="31" t="s">
        <v>672</v>
      </c>
      <c r="E8" s="31" t="s">
        <v>1215</v>
      </c>
      <c r="F8" s="31" t="s">
        <v>1261</v>
      </c>
      <c r="G8" s="31" t="s">
        <v>1193</v>
      </c>
      <c r="H8" s="31">
        <v>314.22199999999998</v>
      </c>
      <c r="I8" s="31" t="s">
        <v>673</v>
      </c>
      <c r="J8" s="31" t="s">
        <v>658</v>
      </c>
      <c r="K8" s="31" t="s">
        <v>686</v>
      </c>
      <c r="L8" s="31">
        <f t="shared" si="0"/>
        <v>0.314222</v>
      </c>
      <c r="M8" s="31">
        <f>VLOOKUP(A8,'GHG Factors FY20'!A:L,8,FALSE)*L8</f>
        <v>12.1289692</v>
      </c>
      <c r="N8" s="31">
        <f>VLOOKUP(A8,'GHG Factors FY20'!A:L,10,FALSE)*M8</f>
        <v>855.21361829200009</v>
      </c>
      <c r="O8" s="31">
        <f>VLOOKUP(A8,'GHG Factors FY20'!A:L,11,FALSE)*M8</f>
        <v>0</v>
      </c>
      <c r="P8" s="31">
        <f>VLOOKUP(A8,'GHG Factors FY20'!A:L,12,FALSE)*M8</f>
        <v>43.664289119999999</v>
      </c>
      <c r="Q8" s="31">
        <f t="shared" si="1"/>
        <v>898.87790741200013</v>
      </c>
    </row>
    <row r="9" spans="1:17">
      <c r="A9" s="32" t="s">
        <v>833</v>
      </c>
      <c r="B9" s="32" t="s">
        <v>671</v>
      </c>
      <c r="C9" s="32" t="s">
        <v>35</v>
      </c>
      <c r="D9" s="32" t="s">
        <v>672</v>
      </c>
      <c r="E9" s="32" t="s">
        <v>1211</v>
      </c>
      <c r="F9" s="32" t="s">
        <v>1261</v>
      </c>
      <c r="G9" s="32" t="s">
        <v>1213</v>
      </c>
      <c r="H9" s="31">
        <v>551.36</v>
      </c>
      <c r="I9" s="32" t="s">
        <v>673</v>
      </c>
      <c r="J9" s="32" t="s">
        <v>658</v>
      </c>
      <c r="K9" s="32" t="s">
        <v>686</v>
      </c>
      <c r="L9" s="32">
        <f t="shared" si="0"/>
        <v>0.55135999999999996</v>
      </c>
      <c r="M9" s="32">
        <f>VLOOKUP(A9,'GHG Factors FY20'!A:L,8,FALSE)*L9</f>
        <v>21.282495999999998</v>
      </c>
      <c r="N9" s="32">
        <f>VLOOKUP(A9,'GHG Factors FY20'!A:L,10,FALSE)*M9</f>
        <v>1500.6287929600001</v>
      </c>
      <c r="O9" s="32">
        <f>VLOOKUP(A9,'GHG Factors FY20'!A:L,11,FALSE)*M9</f>
        <v>0</v>
      </c>
      <c r="P9" s="32">
        <f>VLOOKUP(A9,'GHG Factors FY20'!A:L,12,FALSE)*M9</f>
        <v>76.616985599999992</v>
      </c>
      <c r="Q9" s="32">
        <f t="shared" si="1"/>
        <v>1577.24577856</v>
      </c>
    </row>
    <row r="10" spans="1:17">
      <c r="A10" s="31" t="s">
        <v>834</v>
      </c>
      <c r="B10" s="31" t="s">
        <v>671</v>
      </c>
      <c r="C10" s="31" t="s">
        <v>35</v>
      </c>
      <c r="D10" s="31" t="s">
        <v>672</v>
      </c>
      <c r="E10" s="31" t="s">
        <v>1212</v>
      </c>
      <c r="F10" s="31" t="s">
        <v>1261</v>
      </c>
      <c r="G10" s="31" t="s">
        <v>1189</v>
      </c>
      <c r="H10" s="31">
        <v>230.23999999999998</v>
      </c>
      <c r="I10" s="31" t="s">
        <v>673</v>
      </c>
      <c r="J10" s="31" t="s">
        <v>658</v>
      </c>
      <c r="K10" s="31" t="s">
        <v>686</v>
      </c>
      <c r="L10" s="31">
        <f t="shared" si="0"/>
        <v>0.23023999999999997</v>
      </c>
      <c r="M10" s="31">
        <f>VLOOKUP(A10,'GHG Factors FY20'!A:L,8,FALSE)*L10</f>
        <v>8.8872640000000001</v>
      </c>
      <c r="N10" s="31">
        <f>VLOOKUP(A10,'GHG Factors FY20'!A:L,10,FALSE)*M10</f>
        <v>626.64098464000006</v>
      </c>
      <c r="O10" s="31">
        <f>VLOOKUP(A10,'GHG Factors FY20'!A:L,11,FALSE)*M10</f>
        <v>0</v>
      </c>
      <c r="P10" s="31">
        <f>VLOOKUP(A10,'GHG Factors FY20'!A:L,12,FALSE)*M10</f>
        <v>31.994150400000002</v>
      </c>
      <c r="Q10" s="31">
        <f t="shared" si="1"/>
        <v>658.63513504000002</v>
      </c>
    </row>
    <row r="11" spans="1:17">
      <c r="A11" s="32" t="s">
        <v>835</v>
      </c>
      <c r="B11" s="32" t="s">
        <v>671</v>
      </c>
      <c r="C11" s="32" t="s">
        <v>35</v>
      </c>
      <c r="D11" s="32" t="s">
        <v>672</v>
      </c>
      <c r="E11" s="32" t="s">
        <v>1207</v>
      </c>
      <c r="F11" s="32" t="s">
        <v>1261</v>
      </c>
      <c r="G11" s="32" t="s">
        <v>1216</v>
      </c>
      <c r="H11" s="31">
        <v>114.32000000000001</v>
      </c>
      <c r="I11" s="32" t="s">
        <v>673</v>
      </c>
      <c r="J11" s="32" t="s">
        <v>658</v>
      </c>
      <c r="K11" s="32" t="s">
        <v>686</v>
      </c>
      <c r="L11" s="32">
        <f t="shared" si="0"/>
        <v>0.11432</v>
      </c>
      <c r="M11" s="32">
        <f>VLOOKUP(A11,'GHG Factors FY20'!A:L,8,FALSE)*L11</f>
        <v>4.4127520000000002</v>
      </c>
      <c r="N11" s="32">
        <f>VLOOKUP(A11,'GHG Factors FY20'!A:L,10,FALSE)*M11</f>
        <v>311.14314352000002</v>
      </c>
      <c r="O11" s="32">
        <f>VLOOKUP(A11,'GHG Factors FY20'!A:L,11,FALSE)*M11</f>
        <v>0</v>
      </c>
      <c r="P11" s="32">
        <f>VLOOKUP(A11,'GHG Factors FY20'!A:L,12,FALSE)*M11</f>
        <v>15.885907200000002</v>
      </c>
      <c r="Q11" s="32">
        <f t="shared" si="1"/>
        <v>327.02905072000004</v>
      </c>
    </row>
    <row r="12" spans="1:17">
      <c r="A12" s="31" t="s">
        <v>836</v>
      </c>
      <c r="B12" s="31" t="s">
        <v>671</v>
      </c>
      <c r="C12" s="31" t="s">
        <v>1234</v>
      </c>
      <c r="D12" s="31" t="s">
        <v>672</v>
      </c>
      <c r="E12" s="31" t="s">
        <v>1205</v>
      </c>
      <c r="F12" s="31" t="s">
        <v>1262</v>
      </c>
      <c r="G12" s="31" t="s">
        <v>1190</v>
      </c>
      <c r="H12" s="31">
        <v>1209.829</v>
      </c>
      <c r="I12" s="31" t="s">
        <v>673</v>
      </c>
      <c r="J12" s="31" t="s">
        <v>658</v>
      </c>
      <c r="K12" s="31" t="s">
        <v>686</v>
      </c>
      <c r="L12" s="31">
        <f t="shared" si="0"/>
        <v>1.209829</v>
      </c>
      <c r="M12" s="31">
        <f>VLOOKUP(A12,'GHG Factors FY20'!A:L,8,FALSE)*L12</f>
        <v>41.376151800000002</v>
      </c>
      <c r="N12" s="31">
        <f>VLOOKUP(A12,'GHG Factors FY20'!A:L,10,FALSE)*M12</f>
        <v>2797.8553847160006</v>
      </c>
      <c r="O12" s="31">
        <f>VLOOKUP(A12,'GHG Factors FY20'!A:L,11,FALSE)*M12</f>
        <v>0</v>
      </c>
      <c r="P12" s="31">
        <f>VLOOKUP(A12,'GHG Factors FY20'!A:L,12,FALSE)*M12</f>
        <v>148.95414648000002</v>
      </c>
      <c r="Q12" s="31">
        <f t="shared" si="1"/>
        <v>2946.8095311960005</v>
      </c>
    </row>
    <row r="13" spans="1:17">
      <c r="A13" s="32" t="s">
        <v>837</v>
      </c>
      <c r="B13" s="32" t="s">
        <v>671</v>
      </c>
      <c r="C13" s="32" t="s">
        <v>1234</v>
      </c>
      <c r="D13" s="32" t="s">
        <v>672</v>
      </c>
      <c r="E13" s="32" t="s">
        <v>1206</v>
      </c>
      <c r="F13" s="32" t="s">
        <v>1262</v>
      </c>
      <c r="G13" s="32" t="s">
        <v>1192</v>
      </c>
      <c r="H13" s="31">
        <v>3523.2820000000002</v>
      </c>
      <c r="I13" s="32" t="s">
        <v>673</v>
      </c>
      <c r="J13" s="32" t="s">
        <v>658</v>
      </c>
      <c r="K13" s="32" t="s">
        <v>686</v>
      </c>
      <c r="L13" s="32">
        <f t="shared" si="0"/>
        <v>3.523282</v>
      </c>
      <c r="M13" s="32">
        <f>VLOOKUP(A13,'GHG Factors FY20'!A:L,8,FALSE)*L13</f>
        <v>120.49624440000001</v>
      </c>
      <c r="N13" s="32">
        <f>VLOOKUP(A13,'GHG Factors FY20'!A:L,10,FALSE)*M13</f>
        <v>8147.9560463280013</v>
      </c>
      <c r="O13" s="32">
        <f>VLOOKUP(A13,'GHG Factors FY20'!A:L,11,FALSE)*M13</f>
        <v>0</v>
      </c>
      <c r="P13" s="32">
        <f>VLOOKUP(A13,'GHG Factors FY20'!A:L,12,FALSE)*M13</f>
        <v>433.78647984000003</v>
      </c>
      <c r="Q13" s="32">
        <f t="shared" si="1"/>
        <v>8581.7425261680019</v>
      </c>
    </row>
    <row r="14" spans="1:17">
      <c r="A14" s="31" t="s">
        <v>838</v>
      </c>
      <c r="B14" s="31" t="s">
        <v>671</v>
      </c>
      <c r="C14" s="31" t="s">
        <v>1234</v>
      </c>
      <c r="D14" s="31" t="s">
        <v>672</v>
      </c>
      <c r="E14" s="31" t="s">
        <v>1214</v>
      </c>
      <c r="F14" s="31" t="s">
        <v>1262</v>
      </c>
      <c r="G14" s="31" t="s">
        <v>1208</v>
      </c>
      <c r="H14" s="31">
        <v>1045.46</v>
      </c>
      <c r="I14" s="31" t="s">
        <v>673</v>
      </c>
      <c r="J14" s="31" t="s">
        <v>658</v>
      </c>
      <c r="K14" s="31" t="s">
        <v>686</v>
      </c>
      <c r="L14" s="31">
        <f t="shared" si="0"/>
        <v>1.0454600000000001</v>
      </c>
      <c r="M14" s="31">
        <f>VLOOKUP(A14,'GHG Factors FY20'!A:L,8,FALSE)*L14</f>
        <v>35.754732000000004</v>
      </c>
      <c r="N14" s="31">
        <f>VLOOKUP(A14,'GHG Factors FY20'!A:L,10,FALSE)*M14</f>
        <v>2417.7349778400003</v>
      </c>
      <c r="O14" s="31">
        <f>VLOOKUP(A14,'GHG Factors FY20'!A:L,11,FALSE)*M14</f>
        <v>0</v>
      </c>
      <c r="P14" s="31">
        <f>VLOOKUP(A14,'GHG Factors FY20'!A:L,12,FALSE)*M14</f>
        <v>128.71703520000003</v>
      </c>
      <c r="Q14" s="31">
        <f t="shared" si="1"/>
        <v>2546.4520130400001</v>
      </c>
    </row>
    <row r="15" spans="1:17">
      <c r="A15" s="32" t="s">
        <v>839</v>
      </c>
      <c r="B15" s="32" t="s">
        <v>671</v>
      </c>
      <c r="C15" s="32" t="s">
        <v>1234</v>
      </c>
      <c r="D15" s="32" t="s">
        <v>672</v>
      </c>
      <c r="E15" s="32" t="s">
        <v>1209</v>
      </c>
      <c r="F15" s="32" t="s">
        <v>1262</v>
      </c>
      <c r="G15" s="32" t="s">
        <v>1210</v>
      </c>
      <c r="H15" s="31">
        <v>8427.3975181472269</v>
      </c>
      <c r="I15" s="32" t="s">
        <v>673</v>
      </c>
      <c r="J15" s="32" t="s">
        <v>658</v>
      </c>
      <c r="K15" s="32" t="s">
        <v>686</v>
      </c>
      <c r="L15" s="32">
        <f t="shared" si="0"/>
        <v>8.4273975181472274</v>
      </c>
      <c r="M15" s="32">
        <f>VLOOKUP(A15,'GHG Factors FY20'!A:L,8,FALSE)*L15</f>
        <v>288.2169951206352</v>
      </c>
      <c r="N15" s="32">
        <f>VLOOKUP(A15,'GHG Factors FY20'!A:L,10,FALSE)*M15</f>
        <v>19489.233210057355</v>
      </c>
      <c r="O15" s="32">
        <f>VLOOKUP(A15,'GHG Factors FY20'!A:L,11,FALSE)*M15</f>
        <v>0</v>
      </c>
      <c r="P15" s="32">
        <f>VLOOKUP(A15,'GHG Factors FY20'!A:L,12,FALSE)*M15</f>
        <v>1037.5811824342868</v>
      </c>
      <c r="Q15" s="32">
        <f t="shared" si="1"/>
        <v>20526.81439249164</v>
      </c>
    </row>
    <row r="16" spans="1:17">
      <c r="A16" s="31" t="s">
        <v>840</v>
      </c>
      <c r="B16" s="31" t="s">
        <v>671</v>
      </c>
      <c r="C16" s="31" t="s">
        <v>1234</v>
      </c>
      <c r="D16" s="31" t="s">
        <v>672</v>
      </c>
      <c r="E16" s="31" t="s">
        <v>1215</v>
      </c>
      <c r="F16" s="31" t="s">
        <v>1262</v>
      </c>
      <c r="G16" s="31" t="s">
        <v>1193</v>
      </c>
      <c r="H16" s="31">
        <v>1865.9700000000003</v>
      </c>
      <c r="I16" s="31" t="s">
        <v>673</v>
      </c>
      <c r="J16" s="31" t="s">
        <v>658</v>
      </c>
      <c r="K16" s="31" t="s">
        <v>686</v>
      </c>
      <c r="L16" s="31">
        <f t="shared" si="0"/>
        <v>1.8659700000000004</v>
      </c>
      <c r="M16" s="31">
        <f>VLOOKUP(A16,'GHG Factors FY20'!A:L,8,FALSE)*L16</f>
        <v>63.816174000000018</v>
      </c>
      <c r="N16" s="31">
        <f>VLOOKUP(A16,'GHG Factors FY20'!A:L,10,FALSE)*M16</f>
        <v>4315.2496858800014</v>
      </c>
      <c r="O16" s="31">
        <f>VLOOKUP(A16,'GHG Factors FY20'!A:L,11,FALSE)*M16</f>
        <v>0</v>
      </c>
      <c r="P16" s="31">
        <f>VLOOKUP(A16,'GHG Factors FY20'!A:L,12,FALSE)*M16</f>
        <v>229.73822640000006</v>
      </c>
      <c r="Q16" s="31">
        <f t="shared" si="1"/>
        <v>4544.9879122800012</v>
      </c>
    </row>
    <row r="17" spans="1:17">
      <c r="A17" s="32" t="s">
        <v>841</v>
      </c>
      <c r="B17" s="32" t="s">
        <v>671</v>
      </c>
      <c r="C17" s="32" t="s">
        <v>1234</v>
      </c>
      <c r="D17" s="32" t="s">
        <v>672</v>
      </c>
      <c r="E17" s="32" t="s">
        <v>1211</v>
      </c>
      <c r="F17" s="32" t="s">
        <v>1262</v>
      </c>
      <c r="G17" s="32" t="s">
        <v>1213</v>
      </c>
      <c r="H17" s="31">
        <v>3650.8249999999994</v>
      </c>
      <c r="I17" s="32" t="s">
        <v>673</v>
      </c>
      <c r="J17" s="32" t="s">
        <v>658</v>
      </c>
      <c r="K17" s="32" t="s">
        <v>686</v>
      </c>
      <c r="L17" s="32">
        <f t="shared" si="0"/>
        <v>3.6508249999999993</v>
      </c>
      <c r="M17" s="32">
        <f>VLOOKUP(A17,'GHG Factors FY20'!A:L,8,FALSE)*L17</f>
        <v>124.85821499999999</v>
      </c>
      <c r="N17" s="32">
        <f>VLOOKUP(A17,'GHG Factors FY20'!A:L,10,FALSE)*M17</f>
        <v>8442.9124983000002</v>
      </c>
      <c r="O17" s="32">
        <f>VLOOKUP(A17,'GHG Factors FY20'!A:L,11,FALSE)*M17</f>
        <v>0</v>
      </c>
      <c r="P17" s="32">
        <f>VLOOKUP(A17,'GHG Factors FY20'!A:L,12,FALSE)*M17</f>
        <v>449.48957399999995</v>
      </c>
      <c r="Q17" s="32">
        <f t="shared" si="1"/>
        <v>8892.4020722999994</v>
      </c>
    </row>
    <row r="18" spans="1:17">
      <c r="A18" s="31" t="s">
        <v>842</v>
      </c>
      <c r="B18" s="31" t="s">
        <v>671</v>
      </c>
      <c r="C18" s="31" t="s">
        <v>1234</v>
      </c>
      <c r="D18" s="31" t="s">
        <v>672</v>
      </c>
      <c r="E18" s="31" t="s">
        <v>1212</v>
      </c>
      <c r="F18" s="31" t="s">
        <v>1262</v>
      </c>
      <c r="G18" s="31" t="s">
        <v>1189</v>
      </c>
      <c r="H18" s="31">
        <v>9547.6029999999992</v>
      </c>
      <c r="I18" s="31" t="s">
        <v>673</v>
      </c>
      <c r="J18" s="31" t="s">
        <v>658</v>
      </c>
      <c r="K18" s="31" t="s">
        <v>686</v>
      </c>
      <c r="L18" s="31">
        <f t="shared" si="0"/>
        <v>9.5476029999999987</v>
      </c>
      <c r="M18" s="31">
        <f>VLOOKUP(A18,'GHG Factors FY20'!A:L,8,FALSE)*L18</f>
        <v>326.52802259999999</v>
      </c>
      <c r="N18" s="31">
        <f>VLOOKUP(A18,'GHG Factors FY20'!A:L,10,FALSE)*M18</f>
        <v>22079.824888211999</v>
      </c>
      <c r="O18" s="31">
        <f>VLOOKUP(A18,'GHG Factors FY20'!A:L,11,FALSE)*M18</f>
        <v>0</v>
      </c>
      <c r="P18" s="31">
        <f>VLOOKUP(A18,'GHG Factors FY20'!A:L,12,FALSE)*M18</f>
        <v>1175.50088136</v>
      </c>
      <c r="Q18" s="31">
        <f t="shared" si="1"/>
        <v>23255.325769571999</v>
      </c>
    </row>
    <row r="19" spans="1:17">
      <c r="A19" s="32" t="s">
        <v>843</v>
      </c>
      <c r="B19" s="32" t="s">
        <v>671</v>
      </c>
      <c r="C19" s="32" t="s">
        <v>1234</v>
      </c>
      <c r="D19" s="32" t="s">
        <v>672</v>
      </c>
      <c r="E19" s="32" t="s">
        <v>1207</v>
      </c>
      <c r="F19" s="32" t="s">
        <v>1262</v>
      </c>
      <c r="G19" s="32" t="s">
        <v>1216</v>
      </c>
      <c r="H19" s="31">
        <v>2058.4378000000002</v>
      </c>
      <c r="I19" s="32" t="s">
        <v>673</v>
      </c>
      <c r="J19" s="32" t="s">
        <v>658</v>
      </c>
      <c r="K19" s="32" t="s">
        <v>686</v>
      </c>
      <c r="L19" s="32">
        <f t="shared" si="0"/>
        <v>2.0584378000000001</v>
      </c>
      <c r="M19" s="32">
        <f>VLOOKUP(A19,'GHG Factors FY20'!A:L,8,FALSE)*L19</f>
        <v>70.398572760000008</v>
      </c>
      <c r="N19" s="32">
        <f>VLOOKUP(A19,'GHG Factors FY20'!A:L,10,FALSE)*M19</f>
        <v>4760.3514900312011</v>
      </c>
      <c r="O19" s="32">
        <f>VLOOKUP(A19,'GHG Factors FY20'!A:L,11,FALSE)*M19</f>
        <v>0</v>
      </c>
      <c r="P19" s="32">
        <f>VLOOKUP(A19,'GHG Factors FY20'!A:L,12,FALSE)*M19</f>
        <v>253.43486193600003</v>
      </c>
      <c r="Q19" s="32">
        <f t="shared" si="1"/>
        <v>5013.786351967201</v>
      </c>
    </row>
    <row r="21" spans="1:17">
      <c r="A21" s="647"/>
      <c r="B21" t="s">
        <v>1263</v>
      </c>
      <c r="H21">
        <f>SUM(H4:H19)</f>
        <v>33436.164318147232</v>
      </c>
    </row>
    <row r="25" spans="1:17">
      <c r="A25" s="657" t="s">
        <v>3</v>
      </c>
      <c r="B25" s="657" t="s">
        <v>1264</v>
      </c>
      <c r="C25" s="62"/>
      <c r="D25" s="62"/>
      <c r="E25" s="62"/>
      <c r="F25" s="62"/>
      <c r="G25" s="62"/>
      <c r="H25" s="62"/>
      <c r="I25" s="62"/>
      <c r="J25" s="62"/>
      <c r="K25" s="62"/>
      <c r="L25" s="62"/>
      <c r="M25" s="62"/>
      <c r="N25" s="62"/>
      <c r="O25" s="62"/>
      <c r="P25" s="62"/>
      <c r="Q25" s="62"/>
    </row>
    <row r="26" spans="1:17">
      <c r="A26" s="36" t="s">
        <v>750</v>
      </c>
      <c r="B26" s="36" t="s">
        <v>646</v>
      </c>
      <c r="C26" s="36" t="s">
        <v>647</v>
      </c>
      <c r="D26" s="36" t="s">
        <v>648</v>
      </c>
      <c r="E26" s="36" t="s">
        <v>1200</v>
      </c>
      <c r="F26" s="36" t="s">
        <v>156</v>
      </c>
      <c r="G26" s="36" t="s">
        <v>1187</v>
      </c>
      <c r="H26" s="36" t="s">
        <v>1219</v>
      </c>
      <c r="I26" s="36" t="s">
        <v>1240</v>
      </c>
      <c r="J26" s="37" t="s">
        <v>649</v>
      </c>
      <c r="K26" s="37" t="s">
        <v>684</v>
      </c>
      <c r="L26" s="37" t="s">
        <v>650</v>
      </c>
      <c r="M26" s="37" t="s">
        <v>651</v>
      </c>
      <c r="N26" s="37" t="s">
        <v>652</v>
      </c>
      <c r="O26" s="37" t="s">
        <v>653</v>
      </c>
      <c r="P26" s="37" t="s">
        <v>654</v>
      </c>
      <c r="Q26" s="37" t="s">
        <v>751</v>
      </c>
    </row>
    <row r="27" spans="1:17">
      <c r="A27" s="31" t="s">
        <v>828</v>
      </c>
      <c r="B27" s="31" t="s">
        <v>671</v>
      </c>
      <c r="C27" s="31" t="s">
        <v>35</v>
      </c>
      <c r="D27" s="31" t="s">
        <v>672</v>
      </c>
      <c r="E27" s="31" t="s">
        <v>1205</v>
      </c>
      <c r="F27" s="31" t="s">
        <v>1261</v>
      </c>
      <c r="G27" s="31" t="s">
        <v>1190</v>
      </c>
      <c r="H27" s="31">
        <f>B49</f>
        <v>51.92</v>
      </c>
      <c r="I27" s="31" t="s">
        <v>673</v>
      </c>
      <c r="J27" s="31" t="s">
        <v>658</v>
      </c>
      <c r="K27" s="31" t="s">
        <v>686</v>
      </c>
      <c r="L27" s="31">
        <f>H27/1000</f>
        <v>5.1920000000000001E-2</v>
      </c>
      <c r="M27" s="31">
        <f>VLOOKUP(A27,'GHG Factors FY20'!A:L,8,FALSE)*L27</f>
        <v>2.0041120000000001</v>
      </c>
      <c r="N27" s="31">
        <f>VLOOKUP(A27,'GHG Factors FY20'!A:L,10,FALSE)*M27</f>
        <v>141.30993712000003</v>
      </c>
      <c r="O27" s="31">
        <f>VLOOKUP(A27,'GHG Factors FY20'!A:L,11,FALSE)*M27</f>
        <v>0</v>
      </c>
      <c r="P27" s="31">
        <f>VLOOKUP(A27,'GHG Factors FY20'!A:L,12,FALSE)*M27</f>
        <v>7.2148032000000004</v>
      </c>
      <c r="Q27" s="31">
        <f>SUM(N27,O27,P27)</f>
        <v>148.52474032000003</v>
      </c>
    </row>
    <row r="28" spans="1:17">
      <c r="A28" s="32" t="s">
        <v>829</v>
      </c>
      <c r="B28" s="32" t="s">
        <v>671</v>
      </c>
      <c r="C28" s="32" t="s">
        <v>35</v>
      </c>
      <c r="D28" s="32" t="s">
        <v>672</v>
      </c>
      <c r="E28" s="32" t="s">
        <v>1206</v>
      </c>
      <c r="F28" s="32" t="s">
        <v>1261</v>
      </c>
      <c r="G28" s="32" t="s">
        <v>1192</v>
      </c>
      <c r="H28" s="32">
        <f t="shared" ref="H28:H34" si="2">B50</f>
        <v>426.40000000000003</v>
      </c>
      <c r="I28" s="32" t="s">
        <v>673</v>
      </c>
      <c r="J28" s="32" t="s">
        <v>658</v>
      </c>
      <c r="K28" s="32" t="s">
        <v>686</v>
      </c>
      <c r="L28" s="32">
        <f t="shared" ref="L28:L42" si="3">H28/1000</f>
        <v>0.42640000000000006</v>
      </c>
      <c r="M28" s="32">
        <f>VLOOKUP(A28,'GHG Factors FY20'!A:L,8,FALSE)*L28</f>
        <v>16.459040000000002</v>
      </c>
      <c r="N28" s="32">
        <f>VLOOKUP(A28,'GHG Factors FY20'!A:L,10,FALSE)*M28</f>
        <v>1160.5269104000001</v>
      </c>
      <c r="O28" s="32">
        <f>VLOOKUP(A28,'GHG Factors FY20'!A:L,11,FALSE)*M28</f>
        <v>0</v>
      </c>
      <c r="P28" s="32">
        <f>VLOOKUP(A28,'GHG Factors FY20'!A:L,12,FALSE)*M28</f>
        <v>59.252544000000007</v>
      </c>
      <c r="Q28" s="32">
        <f t="shared" ref="Q28:Q42" si="4">SUM(N28,O28,P28)</f>
        <v>1219.7794544000001</v>
      </c>
    </row>
    <row r="29" spans="1:17">
      <c r="A29" s="31" t="s">
        <v>830</v>
      </c>
      <c r="B29" s="31" t="s">
        <v>671</v>
      </c>
      <c r="C29" s="31" t="s">
        <v>35</v>
      </c>
      <c r="D29" s="31" t="s">
        <v>672</v>
      </c>
      <c r="E29" s="31" t="s">
        <v>1214</v>
      </c>
      <c r="F29" s="31" t="s">
        <v>1261</v>
      </c>
      <c r="G29" s="31" t="s">
        <v>1208</v>
      </c>
      <c r="H29" s="31">
        <f t="shared" si="2"/>
        <v>723.83999999999992</v>
      </c>
      <c r="I29" s="31" t="s">
        <v>673</v>
      </c>
      <c r="J29" s="31" t="s">
        <v>658</v>
      </c>
      <c r="K29" s="31" t="s">
        <v>686</v>
      </c>
      <c r="L29" s="31">
        <f t="shared" si="3"/>
        <v>0.72383999999999993</v>
      </c>
      <c r="M29" s="31">
        <f>VLOOKUP(A29,'GHG Factors FY20'!A:L,8,FALSE)*L29</f>
        <v>27.940223999999997</v>
      </c>
      <c r="N29" s="31">
        <f>VLOOKUP(A29,'GHG Factors FY20'!A:L,10,FALSE)*M29</f>
        <v>1970.06519424</v>
      </c>
      <c r="O29" s="31">
        <f>VLOOKUP(A29,'GHG Factors FY20'!A:L,11,FALSE)*M29</f>
        <v>0</v>
      </c>
      <c r="P29" s="31">
        <f>VLOOKUP(A29,'GHG Factors FY20'!A:L,12,FALSE)*M29</f>
        <v>100.58480639999999</v>
      </c>
      <c r="Q29" s="31">
        <f t="shared" si="4"/>
        <v>2070.6500006400001</v>
      </c>
    </row>
    <row r="30" spans="1:17">
      <c r="A30" s="32" t="s">
        <v>831</v>
      </c>
      <c r="B30" s="32" t="s">
        <v>671</v>
      </c>
      <c r="C30" s="32" t="s">
        <v>35</v>
      </c>
      <c r="D30" s="32" t="s">
        <v>672</v>
      </c>
      <c r="E30" s="32" t="s">
        <v>1209</v>
      </c>
      <c r="F30" s="32" t="s">
        <v>1261</v>
      </c>
      <c r="G30" s="32" t="s">
        <v>1210</v>
      </c>
      <c r="H30" s="32">
        <f t="shared" si="2"/>
        <v>709.19999999999993</v>
      </c>
      <c r="I30" s="32" t="s">
        <v>673</v>
      </c>
      <c r="J30" s="32" t="s">
        <v>658</v>
      </c>
      <c r="K30" s="32" t="s">
        <v>686</v>
      </c>
      <c r="L30" s="32">
        <f t="shared" si="3"/>
        <v>0.70919999999999994</v>
      </c>
      <c r="M30" s="32">
        <f>VLOOKUP(A30,'GHG Factors FY20'!A:L,8,FALSE)*L30</f>
        <v>27.375119999999999</v>
      </c>
      <c r="N30" s="32">
        <f>VLOOKUP(A30,'GHG Factors FY20'!A:L,10,FALSE)*M30</f>
        <v>1930.2197112000001</v>
      </c>
      <c r="O30" s="32">
        <f>VLOOKUP(A30,'GHG Factors FY20'!A:L,11,FALSE)*M30</f>
        <v>0</v>
      </c>
      <c r="P30" s="32">
        <f>VLOOKUP(A30,'GHG Factors FY20'!A:L,12,FALSE)*M30</f>
        <v>98.550432000000001</v>
      </c>
      <c r="Q30" s="32">
        <f t="shared" si="4"/>
        <v>2028.7701432000001</v>
      </c>
    </row>
    <row r="31" spans="1:17">
      <c r="A31" s="31" t="s">
        <v>832</v>
      </c>
      <c r="B31" s="31" t="s">
        <v>671</v>
      </c>
      <c r="C31" s="31" t="s">
        <v>35</v>
      </c>
      <c r="D31" s="31" t="s">
        <v>672</v>
      </c>
      <c r="E31" s="31" t="s">
        <v>1215</v>
      </c>
      <c r="F31" s="31" t="s">
        <v>1261</v>
      </c>
      <c r="G31" s="31" t="s">
        <v>1193</v>
      </c>
      <c r="H31" s="31">
        <f t="shared" si="2"/>
        <v>0</v>
      </c>
      <c r="I31" s="31" t="s">
        <v>673</v>
      </c>
      <c r="J31" s="31" t="s">
        <v>658</v>
      </c>
      <c r="K31" s="31" t="s">
        <v>686</v>
      </c>
      <c r="L31" s="31">
        <f t="shared" si="3"/>
        <v>0</v>
      </c>
      <c r="M31" s="31">
        <f>VLOOKUP(A31,'GHG Factors FY20'!A:L,8,FALSE)*L31</f>
        <v>0</v>
      </c>
      <c r="N31" s="31">
        <f>VLOOKUP(A31,'GHG Factors FY20'!A:L,10,FALSE)*M31</f>
        <v>0</v>
      </c>
      <c r="O31" s="31">
        <f>VLOOKUP(A31,'GHG Factors FY20'!A:L,11,FALSE)*M31</f>
        <v>0</v>
      </c>
      <c r="P31" s="31">
        <f>VLOOKUP(A31,'GHG Factors FY20'!A:L,12,FALSE)*M31</f>
        <v>0</v>
      </c>
      <c r="Q31" s="31">
        <f t="shared" si="4"/>
        <v>0</v>
      </c>
    </row>
    <row r="32" spans="1:17">
      <c r="A32" s="32" t="s">
        <v>833</v>
      </c>
      <c r="B32" s="32" t="s">
        <v>671</v>
      </c>
      <c r="C32" s="32" t="s">
        <v>35</v>
      </c>
      <c r="D32" s="32" t="s">
        <v>672</v>
      </c>
      <c r="E32" s="32" t="s">
        <v>1211</v>
      </c>
      <c r="F32" s="32" t="s">
        <v>1261</v>
      </c>
      <c r="G32" s="32" t="s">
        <v>1213</v>
      </c>
      <c r="H32" s="32">
        <f t="shared" si="2"/>
        <v>49.04</v>
      </c>
      <c r="I32" s="32" t="s">
        <v>673</v>
      </c>
      <c r="J32" s="32" t="s">
        <v>658</v>
      </c>
      <c r="K32" s="32" t="s">
        <v>686</v>
      </c>
      <c r="L32" s="32">
        <f t="shared" si="3"/>
        <v>4.904E-2</v>
      </c>
      <c r="M32" s="32">
        <f>VLOOKUP(A32,'GHG Factors FY20'!A:L,8,FALSE)*L32</f>
        <v>1.8929440000000002</v>
      </c>
      <c r="N32" s="32">
        <f>VLOOKUP(A32,'GHG Factors FY20'!A:L,10,FALSE)*M32</f>
        <v>133.47148144000002</v>
      </c>
      <c r="O32" s="32">
        <f>VLOOKUP(A32,'GHG Factors FY20'!A:L,11,FALSE)*M32</f>
        <v>0</v>
      </c>
      <c r="P32" s="32">
        <f>VLOOKUP(A32,'GHG Factors FY20'!A:L,12,FALSE)*M32</f>
        <v>6.8145984000000004</v>
      </c>
      <c r="Q32" s="32">
        <f t="shared" si="4"/>
        <v>140.28607984000001</v>
      </c>
    </row>
    <row r="33" spans="1:17">
      <c r="A33" s="31" t="s">
        <v>834</v>
      </c>
      <c r="B33" s="31" t="s">
        <v>671</v>
      </c>
      <c r="C33" s="31" t="s">
        <v>35</v>
      </c>
      <c r="D33" s="31" t="s">
        <v>672</v>
      </c>
      <c r="E33" s="31" t="s">
        <v>1212</v>
      </c>
      <c r="F33" s="31" t="s">
        <v>1261</v>
      </c>
      <c r="G33" s="31" t="s">
        <v>1189</v>
      </c>
      <c r="H33" s="31">
        <f t="shared" si="2"/>
        <v>592.1715743028592</v>
      </c>
      <c r="I33" s="31" t="s">
        <v>673</v>
      </c>
      <c r="J33" s="31" t="s">
        <v>658</v>
      </c>
      <c r="K33" s="31" t="s">
        <v>686</v>
      </c>
      <c r="L33" s="31">
        <f t="shared" si="3"/>
        <v>0.59217157430285916</v>
      </c>
      <c r="M33" s="31">
        <f>VLOOKUP(A33,'GHG Factors FY20'!A:L,8,FALSE)*L33</f>
        <v>22.857822768090365</v>
      </c>
      <c r="N33" s="31">
        <f>VLOOKUP(A33,'GHG Factors FY20'!A:L,10,FALSE)*M33</f>
        <v>1611.7050833780518</v>
      </c>
      <c r="O33" s="31">
        <f>VLOOKUP(A33,'GHG Factors FY20'!A:L,11,FALSE)*M33</f>
        <v>0</v>
      </c>
      <c r="P33" s="31">
        <f>VLOOKUP(A33,'GHG Factors FY20'!A:L,12,FALSE)*M33</f>
        <v>82.288161965125312</v>
      </c>
      <c r="Q33" s="31">
        <f t="shared" si="4"/>
        <v>1693.993245343177</v>
      </c>
    </row>
    <row r="34" spans="1:17">
      <c r="A34" s="32" t="s">
        <v>835</v>
      </c>
      <c r="B34" s="32" t="s">
        <v>671</v>
      </c>
      <c r="C34" s="32" t="s">
        <v>35</v>
      </c>
      <c r="D34" s="32" t="s">
        <v>672</v>
      </c>
      <c r="E34" s="32" t="s">
        <v>1207</v>
      </c>
      <c r="F34" s="32" t="s">
        <v>1261</v>
      </c>
      <c r="G34" s="32" t="s">
        <v>1216</v>
      </c>
      <c r="H34" s="32">
        <f t="shared" si="2"/>
        <v>973.52</v>
      </c>
      <c r="I34" s="32" t="s">
        <v>673</v>
      </c>
      <c r="J34" s="32" t="s">
        <v>658</v>
      </c>
      <c r="K34" s="32" t="s">
        <v>686</v>
      </c>
      <c r="L34" s="32">
        <f t="shared" si="3"/>
        <v>0.97351999999999994</v>
      </c>
      <c r="M34" s="32">
        <f>VLOOKUP(A34,'GHG Factors FY20'!A:L,8,FALSE)*L34</f>
        <v>37.577871999999999</v>
      </c>
      <c r="N34" s="32">
        <f>VLOOKUP(A34,'GHG Factors FY20'!A:L,10,FALSE)*M34</f>
        <v>2649.61575472</v>
      </c>
      <c r="O34" s="32">
        <f>VLOOKUP(A34,'GHG Factors FY20'!A:L,11,FALSE)*M34</f>
        <v>0</v>
      </c>
      <c r="P34" s="32">
        <f>VLOOKUP(A34,'GHG Factors FY20'!A:L,12,FALSE)*M34</f>
        <v>135.28033920000001</v>
      </c>
      <c r="Q34" s="32">
        <f t="shared" si="4"/>
        <v>2784.8960939200001</v>
      </c>
    </row>
    <row r="35" spans="1:17">
      <c r="A35" s="31" t="s">
        <v>836</v>
      </c>
      <c r="B35" s="31" t="s">
        <v>671</v>
      </c>
      <c r="C35" s="31" t="s">
        <v>1234</v>
      </c>
      <c r="D35" s="31" t="s">
        <v>672</v>
      </c>
      <c r="E35" s="31" t="s">
        <v>1205</v>
      </c>
      <c r="F35" s="31" t="s">
        <v>1262</v>
      </c>
      <c r="G35" s="31" t="s">
        <v>1190</v>
      </c>
      <c r="H35" s="31">
        <f>C49</f>
        <v>2199.7982699888266</v>
      </c>
      <c r="I35" s="31" t="s">
        <v>673</v>
      </c>
      <c r="J35" s="31" t="s">
        <v>658</v>
      </c>
      <c r="K35" s="31" t="s">
        <v>686</v>
      </c>
      <c r="L35" s="31">
        <f t="shared" si="3"/>
        <v>2.1997982699888268</v>
      </c>
      <c r="M35" s="31">
        <f>VLOOKUP(A35,'GHG Factors FY20'!A:L,8,FALSE)*L35</f>
        <v>75.233100833617883</v>
      </c>
      <c r="N35" s="31">
        <f>VLOOKUP(A35,'GHG Factors FY20'!A:L,10,FALSE)*M35</f>
        <v>5087.2622783692414</v>
      </c>
      <c r="O35" s="31">
        <f>VLOOKUP(A35,'GHG Factors FY20'!A:L,11,FALSE)*M35</f>
        <v>0</v>
      </c>
      <c r="P35" s="31">
        <f>VLOOKUP(A35,'GHG Factors FY20'!A:L,12,FALSE)*M35</f>
        <v>270.83916300102436</v>
      </c>
      <c r="Q35" s="31">
        <f t="shared" si="4"/>
        <v>5358.101441370266</v>
      </c>
    </row>
    <row r="36" spans="1:17">
      <c r="A36" s="32" t="s">
        <v>837</v>
      </c>
      <c r="B36" s="32" t="s">
        <v>671</v>
      </c>
      <c r="C36" s="32" t="s">
        <v>1234</v>
      </c>
      <c r="D36" s="32" t="s">
        <v>672</v>
      </c>
      <c r="E36" s="32" t="s">
        <v>1206</v>
      </c>
      <c r="F36" s="32" t="s">
        <v>1262</v>
      </c>
      <c r="G36" s="32" t="s">
        <v>1192</v>
      </c>
      <c r="H36" s="32">
        <f t="shared" ref="H36:H42" si="5">C50</f>
        <v>8703.179057006726</v>
      </c>
      <c r="I36" s="32" t="s">
        <v>673</v>
      </c>
      <c r="J36" s="32" t="s">
        <v>658</v>
      </c>
      <c r="K36" s="32" t="s">
        <v>686</v>
      </c>
      <c r="L36" s="32">
        <f t="shared" si="3"/>
        <v>8.7031790570067251</v>
      </c>
      <c r="M36" s="32">
        <f>VLOOKUP(A36,'GHG Factors FY20'!A:L,8,FALSE)*L36</f>
        <v>297.64872374963005</v>
      </c>
      <c r="N36" s="32">
        <f>VLOOKUP(A36,'GHG Factors FY20'!A:L,10,FALSE)*M36</f>
        <v>20127.006699949987</v>
      </c>
      <c r="O36" s="32">
        <f>VLOOKUP(A36,'GHG Factors FY20'!A:L,11,FALSE)*M36</f>
        <v>0</v>
      </c>
      <c r="P36" s="32">
        <f>VLOOKUP(A36,'GHG Factors FY20'!A:L,12,FALSE)*M36</f>
        <v>1071.5354054986683</v>
      </c>
      <c r="Q36" s="32">
        <f t="shared" si="4"/>
        <v>21198.542105448654</v>
      </c>
    </row>
    <row r="37" spans="1:17">
      <c r="A37" s="31" t="s">
        <v>838</v>
      </c>
      <c r="B37" s="31" t="s">
        <v>671</v>
      </c>
      <c r="C37" s="31" t="s">
        <v>1234</v>
      </c>
      <c r="D37" s="31" t="s">
        <v>672</v>
      </c>
      <c r="E37" s="31" t="s">
        <v>1214</v>
      </c>
      <c r="F37" s="31" t="s">
        <v>1262</v>
      </c>
      <c r="G37" s="31" t="s">
        <v>1208</v>
      </c>
      <c r="H37" s="31">
        <f t="shared" si="5"/>
        <v>2182.5272007746585</v>
      </c>
      <c r="I37" s="31" t="s">
        <v>673</v>
      </c>
      <c r="J37" s="31" t="s">
        <v>658</v>
      </c>
      <c r="K37" s="31" t="s">
        <v>686</v>
      </c>
      <c r="L37" s="31">
        <f t="shared" si="3"/>
        <v>2.1825272007746586</v>
      </c>
      <c r="M37" s="31">
        <f>VLOOKUP(A37,'GHG Factors FY20'!A:L,8,FALSE)*L37</f>
        <v>74.642430266493335</v>
      </c>
      <c r="N37" s="31">
        <f>VLOOKUP(A37,'GHG Factors FY20'!A:L,10,FALSE)*M37</f>
        <v>5047.3211346202797</v>
      </c>
      <c r="O37" s="31">
        <f>VLOOKUP(A37,'GHG Factors FY20'!A:L,11,FALSE)*M37</f>
        <v>0</v>
      </c>
      <c r="P37" s="31">
        <f>VLOOKUP(A37,'GHG Factors FY20'!A:L,12,FALSE)*M37</f>
        <v>268.71274895937603</v>
      </c>
      <c r="Q37" s="31">
        <f t="shared" si="4"/>
        <v>5316.0338835796556</v>
      </c>
    </row>
    <row r="38" spans="1:17">
      <c r="A38" s="32" t="s">
        <v>839</v>
      </c>
      <c r="B38" s="32" t="s">
        <v>671</v>
      </c>
      <c r="C38" s="32" t="s">
        <v>1234</v>
      </c>
      <c r="D38" s="32" t="s">
        <v>672</v>
      </c>
      <c r="E38" s="32" t="s">
        <v>1209</v>
      </c>
      <c r="F38" s="32" t="s">
        <v>1262</v>
      </c>
      <c r="G38" s="32" t="s">
        <v>1210</v>
      </c>
      <c r="H38" s="32">
        <f t="shared" si="5"/>
        <v>16153.859169556314</v>
      </c>
      <c r="I38" s="32" t="s">
        <v>673</v>
      </c>
      <c r="J38" s="32" t="s">
        <v>658</v>
      </c>
      <c r="K38" s="32" t="s">
        <v>686</v>
      </c>
      <c r="L38" s="32">
        <f t="shared" si="3"/>
        <v>16.153859169556313</v>
      </c>
      <c r="M38" s="32">
        <f>VLOOKUP(A38,'GHG Factors FY20'!A:L,8,FALSE)*L38</f>
        <v>552.4619835988259</v>
      </c>
      <c r="N38" s="32">
        <f>VLOOKUP(A38,'GHG Factors FY20'!A:L,10,FALSE)*M38</f>
        <v>37357.479330952607</v>
      </c>
      <c r="O38" s="32">
        <f>VLOOKUP(A38,'GHG Factors FY20'!A:L,11,FALSE)*M38</f>
        <v>0</v>
      </c>
      <c r="P38" s="32">
        <f>VLOOKUP(A38,'GHG Factors FY20'!A:L,12,FALSE)*M38</f>
        <v>1988.8631409557734</v>
      </c>
      <c r="Q38" s="32">
        <f t="shared" si="4"/>
        <v>39346.342471908378</v>
      </c>
    </row>
    <row r="39" spans="1:17">
      <c r="A39" s="31" t="s">
        <v>840</v>
      </c>
      <c r="B39" s="31" t="s">
        <v>671</v>
      </c>
      <c r="C39" s="31" t="s">
        <v>1234</v>
      </c>
      <c r="D39" s="31" t="s">
        <v>672</v>
      </c>
      <c r="E39" s="31" t="s">
        <v>1215</v>
      </c>
      <c r="F39" s="31" t="s">
        <v>1262</v>
      </c>
      <c r="G39" s="31" t="s">
        <v>1193</v>
      </c>
      <c r="H39" s="31">
        <f t="shared" si="5"/>
        <v>2146.7609454859517</v>
      </c>
      <c r="I39" s="31" t="s">
        <v>673</v>
      </c>
      <c r="J39" s="31" t="s">
        <v>658</v>
      </c>
      <c r="K39" s="31" t="s">
        <v>686</v>
      </c>
      <c r="L39" s="31">
        <f t="shared" si="3"/>
        <v>2.1467609454859518</v>
      </c>
      <c r="M39" s="31">
        <f>VLOOKUP(A39,'GHG Factors FY20'!A:L,8,FALSE)*L39</f>
        <v>73.41922433561956</v>
      </c>
      <c r="N39" s="31">
        <f>VLOOKUP(A39,'GHG Factors FY20'!A:L,10,FALSE)*M39</f>
        <v>4964.6079495745953</v>
      </c>
      <c r="O39" s="31">
        <f>VLOOKUP(A39,'GHG Factors FY20'!A:L,11,FALSE)*M39</f>
        <v>0</v>
      </c>
      <c r="P39" s="31">
        <f>VLOOKUP(A39,'GHG Factors FY20'!A:L,12,FALSE)*M39</f>
        <v>264.30920760823045</v>
      </c>
      <c r="Q39" s="31">
        <f t="shared" si="4"/>
        <v>5228.9171571828256</v>
      </c>
    </row>
    <row r="40" spans="1:17">
      <c r="A40" s="32" t="s">
        <v>841</v>
      </c>
      <c r="B40" s="32" t="s">
        <v>671</v>
      </c>
      <c r="C40" s="32" t="s">
        <v>1234</v>
      </c>
      <c r="D40" s="32" t="s">
        <v>672</v>
      </c>
      <c r="E40" s="32" t="s">
        <v>1211</v>
      </c>
      <c r="F40" s="32" t="s">
        <v>1262</v>
      </c>
      <c r="G40" s="32" t="s">
        <v>1213</v>
      </c>
      <c r="H40" s="32">
        <f t="shared" si="5"/>
        <v>3933.3685397277613</v>
      </c>
      <c r="I40" s="32" t="s">
        <v>673</v>
      </c>
      <c r="J40" s="32" t="s">
        <v>658</v>
      </c>
      <c r="K40" s="32" t="s">
        <v>686</v>
      </c>
      <c r="L40" s="32">
        <f t="shared" si="3"/>
        <v>3.9333685397277613</v>
      </c>
      <c r="M40" s="32">
        <f>VLOOKUP(A40,'GHG Factors FY20'!A:L,8,FALSE)*L40</f>
        <v>134.52120405868945</v>
      </c>
      <c r="N40" s="32">
        <f>VLOOKUP(A40,'GHG Factors FY20'!A:L,10,FALSE)*M40</f>
        <v>9096.3238184485817</v>
      </c>
      <c r="O40" s="32">
        <f>VLOOKUP(A40,'GHG Factors FY20'!A:L,11,FALSE)*M40</f>
        <v>0</v>
      </c>
      <c r="P40" s="32">
        <f>VLOOKUP(A40,'GHG Factors FY20'!A:L,12,FALSE)*M40</f>
        <v>484.27633461128204</v>
      </c>
      <c r="Q40" s="32">
        <f t="shared" si="4"/>
        <v>9580.6001530598642</v>
      </c>
    </row>
    <row r="41" spans="1:17">
      <c r="A41" s="31" t="s">
        <v>842</v>
      </c>
      <c r="B41" s="31" t="s">
        <v>671</v>
      </c>
      <c r="C41" s="31" t="s">
        <v>1234</v>
      </c>
      <c r="D41" s="31" t="s">
        <v>672</v>
      </c>
      <c r="E41" s="31" t="s">
        <v>1212</v>
      </c>
      <c r="F41" s="31" t="s">
        <v>1262</v>
      </c>
      <c r="G41" s="31" t="s">
        <v>1189</v>
      </c>
      <c r="H41" s="31">
        <f t="shared" si="5"/>
        <v>19473.217548220218</v>
      </c>
      <c r="I41" s="31" t="s">
        <v>673</v>
      </c>
      <c r="J41" s="31" t="s">
        <v>658</v>
      </c>
      <c r="K41" s="31" t="s">
        <v>686</v>
      </c>
      <c r="L41" s="31">
        <f t="shared" si="3"/>
        <v>19.473217548220219</v>
      </c>
      <c r="M41" s="31">
        <f>VLOOKUP(A41,'GHG Factors FY20'!A:L,8,FALSE)*L41</f>
        <v>665.9840401491316</v>
      </c>
      <c r="N41" s="31">
        <f>VLOOKUP(A41,'GHG Factors FY20'!A:L,10,FALSE)*M41</f>
        <v>45033.84079488428</v>
      </c>
      <c r="O41" s="31">
        <f>VLOOKUP(A41,'GHG Factors FY20'!A:L,11,FALSE)*M41</f>
        <v>0</v>
      </c>
      <c r="P41" s="31">
        <f>VLOOKUP(A41,'GHG Factors FY20'!A:L,12,FALSE)*M41</f>
        <v>2397.5425445368737</v>
      </c>
      <c r="Q41" s="31">
        <f t="shared" si="4"/>
        <v>47431.383339421154</v>
      </c>
    </row>
    <row r="42" spans="1:17">
      <c r="A42" s="32" t="s">
        <v>843</v>
      </c>
      <c r="B42" s="32" t="s">
        <v>671</v>
      </c>
      <c r="C42" s="32" t="s">
        <v>1234</v>
      </c>
      <c r="D42" s="32" t="s">
        <v>672</v>
      </c>
      <c r="E42" s="32" t="s">
        <v>1207</v>
      </c>
      <c r="F42" s="32" t="s">
        <v>1262</v>
      </c>
      <c r="G42" s="32" t="s">
        <v>1216</v>
      </c>
      <c r="H42" s="32">
        <f t="shared" si="5"/>
        <v>5805.3423192141554</v>
      </c>
      <c r="I42" s="32" t="s">
        <v>673</v>
      </c>
      <c r="J42" s="32" t="s">
        <v>658</v>
      </c>
      <c r="K42" s="32" t="s">
        <v>686</v>
      </c>
      <c r="L42" s="32">
        <f t="shared" si="3"/>
        <v>5.8053423192141551</v>
      </c>
      <c r="M42" s="32">
        <f>VLOOKUP(A42,'GHG Factors FY20'!A:L,8,FALSE)*L42</f>
        <v>198.54270731712413</v>
      </c>
      <c r="N42" s="32">
        <f>VLOOKUP(A42,'GHG Factors FY20'!A:L,10,FALSE)*M42</f>
        <v>13425.457868783935</v>
      </c>
      <c r="O42" s="32">
        <f>VLOOKUP(A42,'GHG Factors FY20'!A:L,11,FALSE)*M42</f>
        <v>0</v>
      </c>
      <c r="P42" s="32">
        <f>VLOOKUP(A42,'GHG Factors FY20'!A:L,12,FALSE)*M42</f>
        <v>714.75374634164689</v>
      </c>
      <c r="Q42" s="32">
        <f t="shared" si="4"/>
        <v>14140.211615125581</v>
      </c>
    </row>
    <row r="43" spans="1:17">
      <c r="A43" s="647"/>
    </row>
    <row r="45" spans="1:17">
      <c r="A45" s="9" t="s">
        <v>1265</v>
      </c>
      <c r="B45" s="9" t="s">
        <v>1266</v>
      </c>
      <c r="C45" s="433"/>
      <c r="D45" s="433"/>
    </row>
    <row r="46" spans="1:17">
      <c r="A46" s="9"/>
      <c r="B46" s="433"/>
      <c r="C46" s="433"/>
      <c r="D46" s="433"/>
    </row>
    <row r="47" spans="1:17">
      <c r="A47" s="9" t="s">
        <v>1267</v>
      </c>
      <c r="B47" s="9" t="s">
        <v>1268</v>
      </c>
      <c r="C47" s="9"/>
      <c r="D47" s="9"/>
    </row>
    <row r="48" spans="1:17">
      <c r="A48" s="9" t="s">
        <v>42</v>
      </c>
      <c r="B48" s="9" t="s">
        <v>35</v>
      </c>
      <c r="C48" s="9" t="s">
        <v>659</v>
      </c>
      <c r="D48" s="9" t="s">
        <v>53</v>
      </c>
    </row>
    <row r="49" spans="1:4">
      <c r="A49" s="434" t="s">
        <v>1190</v>
      </c>
      <c r="B49" s="435">
        <v>51.92</v>
      </c>
      <c r="C49" s="435">
        <v>2199.7982699888266</v>
      </c>
      <c r="D49" s="435">
        <v>2251.7182699888267</v>
      </c>
    </row>
    <row r="50" spans="1:4">
      <c r="A50" s="434" t="s">
        <v>1192</v>
      </c>
      <c r="B50" s="435">
        <v>426.40000000000003</v>
      </c>
      <c r="C50" s="435">
        <v>8703.179057006726</v>
      </c>
      <c r="D50" s="435">
        <v>9129.5790570067256</v>
      </c>
    </row>
    <row r="51" spans="1:4">
      <c r="A51" s="434" t="s">
        <v>1208</v>
      </c>
      <c r="B51" s="435">
        <v>723.83999999999992</v>
      </c>
      <c r="C51" s="435">
        <v>2182.5272007746585</v>
      </c>
      <c r="D51" s="435">
        <v>2906.3672007746582</v>
      </c>
    </row>
    <row r="52" spans="1:4">
      <c r="A52" s="434" t="s">
        <v>1210</v>
      </c>
      <c r="B52" s="435">
        <v>709.19999999999993</v>
      </c>
      <c r="C52" s="435">
        <v>16153.859169556314</v>
      </c>
      <c r="D52" s="435">
        <v>16863.059169556313</v>
      </c>
    </row>
    <row r="53" spans="1:4">
      <c r="A53" s="434" t="s">
        <v>1193</v>
      </c>
      <c r="B53" s="435"/>
      <c r="C53" s="435">
        <v>2146.7609454859517</v>
      </c>
      <c r="D53" s="435">
        <v>2146.7609454859517</v>
      </c>
    </row>
    <row r="54" spans="1:4">
      <c r="A54" s="434" t="s">
        <v>1213</v>
      </c>
      <c r="B54" s="435">
        <v>49.04</v>
      </c>
      <c r="C54" s="435">
        <v>3933.3685397277613</v>
      </c>
      <c r="D54" s="435">
        <v>3982.4085397277613</v>
      </c>
    </row>
    <row r="55" spans="1:4">
      <c r="A55" s="434" t="s">
        <v>1189</v>
      </c>
      <c r="B55" s="435">
        <v>592.1715743028592</v>
      </c>
      <c r="C55" s="435">
        <v>19473.217548220218</v>
      </c>
      <c r="D55" s="435">
        <v>20065.389122523076</v>
      </c>
    </row>
    <row r="56" spans="1:4">
      <c r="A56" s="434" t="s">
        <v>1216</v>
      </c>
      <c r="B56" s="435">
        <v>973.52</v>
      </c>
      <c r="C56" s="435">
        <v>5805.3423192141554</v>
      </c>
      <c r="D56" s="435">
        <v>6778.8623192141549</v>
      </c>
    </row>
    <row r="57" spans="1:4">
      <c r="A57" s="434" t="s">
        <v>53</v>
      </c>
      <c r="B57" s="435">
        <v>3526.0915743028586</v>
      </c>
      <c r="C57" s="435">
        <v>60598.053049974616</v>
      </c>
      <c r="D57" s="435">
        <v>64124.144624277462</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00B050"/>
  </sheetPr>
  <dimension ref="A2:Q65"/>
  <sheetViews>
    <sheetView topLeftCell="A16" zoomScale="70" zoomScaleNormal="70" workbookViewId="0">
      <selection activeCell="H15" sqref="H15"/>
    </sheetView>
  </sheetViews>
  <sheetFormatPr defaultColWidth="9" defaultRowHeight="13.2"/>
  <cols>
    <col min="1" max="1" width="26.59765625" style="19" bestFit="1" customWidth="1"/>
    <col min="2" max="2" width="16.59765625" style="19" bestFit="1" customWidth="1"/>
    <col min="3" max="3" width="14.59765625" style="19" bestFit="1" customWidth="1"/>
    <col min="4" max="4" width="19.59765625" style="19" bestFit="1" customWidth="1"/>
    <col min="5" max="5" width="22.59765625" style="19" customWidth="1"/>
    <col min="6" max="6" width="9.5" style="19" bestFit="1" customWidth="1"/>
    <col min="7" max="7" width="12" style="19" bestFit="1" customWidth="1"/>
    <col min="8" max="8" width="24" style="20" customWidth="1"/>
    <col min="9" max="9" width="25.59765625" style="20" bestFit="1" customWidth="1"/>
    <col min="10" max="10" width="20.5" style="19" bestFit="1" customWidth="1"/>
    <col min="11" max="11" width="18.09765625" style="19" customWidth="1"/>
    <col min="12" max="12" width="29.59765625" style="19" customWidth="1"/>
    <col min="13" max="13" width="17.09765625" style="19" customWidth="1"/>
    <col min="14" max="16" width="25.59765625" style="19" customWidth="1"/>
    <col min="17" max="17" width="23.59765625" style="19" customWidth="1"/>
    <col min="18" max="19" width="8.59765625" style="19" bestFit="1" customWidth="1"/>
    <col min="20" max="20" width="9.59765625" style="19" bestFit="1" customWidth="1"/>
    <col min="21" max="21" width="16.59765625" style="19" bestFit="1" customWidth="1"/>
    <col min="22" max="22" width="14.59765625" style="19" bestFit="1" customWidth="1"/>
    <col min="23" max="23" width="19.59765625" style="19" bestFit="1" customWidth="1"/>
    <col min="24" max="24" width="21.59765625" style="19" bestFit="1" customWidth="1"/>
    <col min="25" max="25" width="42.09765625" style="19" bestFit="1" customWidth="1"/>
    <col min="26" max="26" width="7" style="19" bestFit="1" customWidth="1"/>
    <col min="27" max="27" width="7.5" style="19" bestFit="1" customWidth="1"/>
    <col min="28" max="28" width="22.59765625" style="19" bestFit="1" customWidth="1"/>
    <col min="29" max="29" width="20.5" style="19" bestFit="1" customWidth="1"/>
    <col min="30" max="31" width="11.59765625" style="19" bestFit="1" customWidth="1"/>
    <col min="32" max="32" width="16.59765625" style="19" bestFit="1" customWidth="1"/>
    <col min="33" max="33" width="41.09765625" style="19" bestFit="1" customWidth="1"/>
    <col min="34" max="34" width="24" style="19" bestFit="1" customWidth="1"/>
    <col min="35" max="35" width="42.09765625" style="19" bestFit="1" customWidth="1"/>
    <col min="36" max="36" width="8.59765625" style="19" bestFit="1" customWidth="1"/>
    <col min="37" max="37" width="9.5" style="19" bestFit="1" customWidth="1"/>
    <col min="38" max="38" width="24.59765625" style="19" bestFit="1" customWidth="1"/>
    <col min="39" max="39" width="22.5" style="19" bestFit="1" customWidth="1"/>
    <col min="40" max="16384" width="9" style="19"/>
  </cols>
  <sheetData>
    <row r="2" spans="1:17">
      <c r="A2" s="857" t="s">
        <v>91</v>
      </c>
      <c r="B2" s="812" t="s">
        <v>1199</v>
      </c>
    </row>
    <row r="3" spans="1:17" ht="13.8">
      <c r="A3" s="126" t="s">
        <v>750</v>
      </c>
      <c r="B3" s="127" t="s">
        <v>646</v>
      </c>
      <c r="C3" s="127" t="s">
        <v>647</v>
      </c>
      <c r="D3" s="127" t="s">
        <v>648</v>
      </c>
      <c r="E3" s="127" t="s">
        <v>1200</v>
      </c>
      <c r="F3" s="127" t="s">
        <v>156</v>
      </c>
      <c r="G3" s="127" t="s">
        <v>1187</v>
      </c>
      <c r="H3" s="128" t="s">
        <v>1219</v>
      </c>
      <c r="I3" s="129" t="s">
        <v>1220</v>
      </c>
      <c r="J3" s="119" t="s">
        <v>649</v>
      </c>
      <c r="K3" s="119" t="s">
        <v>684</v>
      </c>
      <c r="L3" s="119" t="s">
        <v>650</v>
      </c>
      <c r="M3" s="119" t="s">
        <v>651</v>
      </c>
      <c r="N3" s="119" t="s">
        <v>652</v>
      </c>
      <c r="O3" s="119" t="s">
        <v>653</v>
      </c>
      <c r="P3" s="119" t="s">
        <v>654</v>
      </c>
      <c r="Q3" s="119" t="s">
        <v>751</v>
      </c>
    </row>
    <row r="4" spans="1:17" ht="13.8">
      <c r="A4" t="s">
        <v>1031</v>
      </c>
      <c r="B4" s="19" t="s">
        <v>665</v>
      </c>
      <c r="C4" s="19" t="s">
        <v>656</v>
      </c>
      <c r="D4" s="19" t="s">
        <v>666</v>
      </c>
      <c r="E4" s="19" t="s">
        <v>706</v>
      </c>
      <c r="F4" s="19" t="s">
        <v>35</v>
      </c>
      <c r="G4" s="19" t="s">
        <v>1190</v>
      </c>
      <c r="H4" s="847">
        <v>22188</v>
      </c>
      <c r="I4" s="20" t="s">
        <v>673</v>
      </c>
      <c r="J4" s="31" t="s">
        <v>658</v>
      </c>
      <c r="K4" s="31" t="s">
        <v>686</v>
      </c>
      <c r="L4" s="31">
        <f>H4/1000</f>
        <v>22.187999999999999</v>
      </c>
      <c r="M4" s="31">
        <f>VLOOKUP(A4,'GHG Factors FY21'!A:L,8,FALSE)*L4</f>
        <v>856.45679999999993</v>
      </c>
      <c r="N4" s="209">
        <f>VLOOKUP(A4,'GHG Factors FY21'!A:L,10,FALSE)*M4</f>
        <v>59609.393279999989</v>
      </c>
      <c r="O4" s="209">
        <f>VLOOKUP(A4,'GHG Factors FY21'!A:L,11,FALSE)*M4</f>
        <v>0</v>
      </c>
      <c r="P4" s="209">
        <f>VLOOKUP(A4,'GHG Factors FY21'!A:L,12,FALSE)*M4</f>
        <v>3083.2444799999998</v>
      </c>
      <c r="Q4" s="31">
        <f>SUM(N4,O4,P4)</f>
        <v>62692.637759999991</v>
      </c>
    </row>
    <row r="5" spans="1:17" ht="13.8">
      <c r="A5" t="s">
        <v>1034</v>
      </c>
      <c r="B5" s="19" t="s">
        <v>665</v>
      </c>
      <c r="C5" s="19" t="s">
        <v>656</v>
      </c>
      <c r="D5" s="19" t="s">
        <v>666</v>
      </c>
      <c r="E5" s="19" t="s">
        <v>707</v>
      </c>
      <c r="F5" s="19" t="s">
        <v>35</v>
      </c>
      <c r="G5" s="19" t="s">
        <v>1192</v>
      </c>
      <c r="H5" s="847">
        <v>568770</v>
      </c>
      <c r="I5" s="20" t="s">
        <v>673</v>
      </c>
      <c r="J5" s="31" t="s">
        <v>658</v>
      </c>
      <c r="K5" s="31" t="s">
        <v>686</v>
      </c>
      <c r="L5" s="31">
        <f t="shared" ref="L5:L30" si="0">H5/1000</f>
        <v>568.77</v>
      </c>
      <c r="M5" s="31">
        <f>VLOOKUP(A5,'GHG Factors FY21'!A:L,8,FALSE)*L5</f>
        <v>21954.522000000001</v>
      </c>
      <c r="N5" s="209">
        <f>VLOOKUP(A5,'GHG Factors FY21'!A:L,10,FALSE)*M5</f>
        <v>1528034.7312</v>
      </c>
      <c r="O5" s="209">
        <f>VLOOKUP(A5,'GHG Factors FY21'!A:L,11,FALSE)*M5</f>
        <v>0</v>
      </c>
      <c r="P5" s="209">
        <f>VLOOKUP(A5,'GHG Factors FY21'!A:L,12,FALSE)*M5</f>
        <v>79036.279200000004</v>
      </c>
      <c r="Q5" s="31">
        <f t="shared" ref="Q5:Q30" si="1">SUM(N5,O5,P5)</f>
        <v>1607071.0104</v>
      </c>
    </row>
    <row r="6" spans="1:17" ht="13.8">
      <c r="A6" t="s">
        <v>1038</v>
      </c>
      <c r="B6" s="19" t="s">
        <v>665</v>
      </c>
      <c r="C6" s="19" t="s">
        <v>656</v>
      </c>
      <c r="D6" s="19" t="s">
        <v>666</v>
      </c>
      <c r="E6" s="19" t="s">
        <v>708</v>
      </c>
      <c r="F6" s="19" t="s">
        <v>35</v>
      </c>
      <c r="G6" s="19" t="s">
        <v>1208</v>
      </c>
      <c r="H6" s="847">
        <v>1270</v>
      </c>
      <c r="I6" s="20" t="s">
        <v>673</v>
      </c>
      <c r="J6" s="31" t="s">
        <v>658</v>
      </c>
      <c r="K6" s="31" t="s">
        <v>686</v>
      </c>
      <c r="L6" s="31">
        <f t="shared" si="0"/>
        <v>1.27</v>
      </c>
      <c r="M6" s="31">
        <f>VLOOKUP(A6,'GHG Factors FY21'!A:L,8,FALSE)*L6</f>
        <v>49.022000000000006</v>
      </c>
      <c r="N6" s="209">
        <f>VLOOKUP(A6,'GHG Factors FY21'!A:L,10,FALSE)*M6</f>
        <v>3411.9312</v>
      </c>
      <c r="O6" s="209">
        <f>VLOOKUP(A6,'GHG Factors FY21'!A:L,11,FALSE)*M6</f>
        <v>0</v>
      </c>
      <c r="P6" s="209">
        <f>VLOOKUP(A6,'GHG Factors FY21'!A:L,12,FALSE)*M6</f>
        <v>176.47920000000002</v>
      </c>
      <c r="Q6" s="31">
        <f t="shared" si="1"/>
        <v>3588.4104000000002</v>
      </c>
    </row>
    <row r="7" spans="1:17" ht="13.8">
      <c r="A7" t="s">
        <v>1041</v>
      </c>
      <c r="B7" s="19" t="s">
        <v>665</v>
      </c>
      <c r="C7" s="19" t="s">
        <v>656</v>
      </c>
      <c r="D7" s="19" t="s">
        <v>666</v>
      </c>
      <c r="E7" s="19" t="s">
        <v>709</v>
      </c>
      <c r="F7" s="19" t="s">
        <v>35</v>
      </c>
      <c r="G7" s="19" t="s">
        <v>1210</v>
      </c>
      <c r="H7" s="847">
        <v>101108</v>
      </c>
      <c r="I7" s="20" t="s">
        <v>673</v>
      </c>
      <c r="J7" s="31" t="s">
        <v>658</v>
      </c>
      <c r="K7" s="31" t="s">
        <v>686</v>
      </c>
      <c r="L7" s="31">
        <f t="shared" si="0"/>
        <v>101.108</v>
      </c>
      <c r="M7" s="31">
        <f>VLOOKUP(A7,'GHG Factors FY21'!A:L,8,FALSE)*L7</f>
        <v>3902.7688000000003</v>
      </c>
      <c r="N7" s="209">
        <f>VLOOKUP(A7,'GHG Factors FY21'!A:L,10,FALSE)*M7</f>
        <v>271632.70847999997</v>
      </c>
      <c r="O7" s="209">
        <f>VLOOKUP(A7,'GHG Factors FY21'!A:L,11,FALSE)*M7</f>
        <v>0</v>
      </c>
      <c r="P7" s="209">
        <f>VLOOKUP(A7,'GHG Factors FY21'!A:L,12,FALSE)*M7</f>
        <v>14049.967680000002</v>
      </c>
      <c r="Q7" s="31">
        <f t="shared" si="1"/>
        <v>285682.67615999997</v>
      </c>
    </row>
    <row r="8" spans="1:17" ht="13.8">
      <c r="A8" t="s">
        <v>1045</v>
      </c>
      <c r="B8" s="19" t="s">
        <v>665</v>
      </c>
      <c r="C8" s="19" t="s">
        <v>656</v>
      </c>
      <c r="D8" s="19" t="s">
        <v>666</v>
      </c>
      <c r="E8" s="19" t="s">
        <v>710</v>
      </c>
      <c r="F8" s="19" t="s">
        <v>35</v>
      </c>
      <c r="G8" s="19" t="s">
        <v>1193</v>
      </c>
      <c r="H8" s="847">
        <v>12291</v>
      </c>
      <c r="I8" s="20" t="s">
        <v>673</v>
      </c>
      <c r="J8" s="31" t="s">
        <v>658</v>
      </c>
      <c r="K8" s="31" t="s">
        <v>686</v>
      </c>
      <c r="L8" s="31">
        <f t="shared" si="0"/>
        <v>12.291</v>
      </c>
      <c r="M8" s="31">
        <f>VLOOKUP(A8,'GHG Factors FY21'!A:L,8,FALSE)*L8</f>
        <v>474.43260000000004</v>
      </c>
      <c r="N8" s="209">
        <f>VLOOKUP(A8,'GHG Factors FY21'!A:L,10,FALSE)*M8</f>
        <v>33020.508959999999</v>
      </c>
      <c r="O8" s="209">
        <f>VLOOKUP(A8,'GHG Factors FY21'!A:L,11,FALSE)*M8</f>
        <v>0</v>
      </c>
      <c r="P8" s="209">
        <f>VLOOKUP(A8,'GHG Factors FY21'!A:L,12,FALSE)*M8</f>
        <v>1707.9573600000001</v>
      </c>
      <c r="Q8" s="31">
        <f t="shared" si="1"/>
        <v>34728.46632</v>
      </c>
    </row>
    <row r="9" spans="1:17" ht="13.8">
      <c r="A9" t="s">
        <v>1048</v>
      </c>
      <c r="B9" s="19" t="s">
        <v>665</v>
      </c>
      <c r="C9" s="19" t="s">
        <v>656</v>
      </c>
      <c r="D9" s="19" t="s">
        <v>666</v>
      </c>
      <c r="E9" s="19" t="s">
        <v>711</v>
      </c>
      <c r="F9" s="19" t="s">
        <v>35</v>
      </c>
      <c r="G9" s="19" t="s">
        <v>1213</v>
      </c>
      <c r="H9" s="847">
        <v>18701</v>
      </c>
      <c r="I9" s="20" t="s">
        <v>673</v>
      </c>
      <c r="J9" s="31" t="s">
        <v>658</v>
      </c>
      <c r="K9" s="31" t="s">
        <v>686</v>
      </c>
      <c r="L9" s="31">
        <f t="shared" si="0"/>
        <v>18.701000000000001</v>
      </c>
      <c r="M9" s="31">
        <f>VLOOKUP(A9,'GHG Factors FY21'!A:L,8,FALSE)*L9</f>
        <v>721.85860000000002</v>
      </c>
      <c r="N9" s="209">
        <f>VLOOKUP(A9,'GHG Factors FY21'!A:L,10,FALSE)*M9</f>
        <v>50241.358560000001</v>
      </c>
      <c r="O9" s="209">
        <f>VLOOKUP(A9,'GHG Factors FY21'!A:L,11,FALSE)*M9</f>
        <v>0</v>
      </c>
      <c r="P9" s="209">
        <f>VLOOKUP(A9,'GHG Factors FY21'!A:L,12,FALSE)*M9</f>
        <v>2598.6909600000004</v>
      </c>
      <c r="Q9" s="31">
        <f t="shared" si="1"/>
        <v>52840.04952</v>
      </c>
    </row>
    <row r="10" spans="1:17" ht="13.8">
      <c r="A10" t="s">
        <v>1051</v>
      </c>
      <c r="B10" s="19" t="s">
        <v>665</v>
      </c>
      <c r="C10" s="19" t="s">
        <v>656</v>
      </c>
      <c r="D10" s="19" t="s">
        <v>666</v>
      </c>
      <c r="E10" s="19" t="s">
        <v>712</v>
      </c>
      <c r="F10" s="19" t="s">
        <v>35</v>
      </c>
      <c r="G10" s="19" t="s">
        <v>1189</v>
      </c>
      <c r="H10" s="847">
        <v>222865</v>
      </c>
      <c r="I10" s="20" t="s">
        <v>673</v>
      </c>
      <c r="J10" s="31" t="s">
        <v>658</v>
      </c>
      <c r="K10" s="31" t="s">
        <v>686</v>
      </c>
      <c r="L10" s="31">
        <f t="shared" si="0"/>
        <v>222.86500000000001</v>
      </c>
      <c r="M10" s="31">
        <f>VLOOKUP(A10,'GHG Factors FY21'!A:L,8,FALSE)*L10</f>
        <v>8602.5889999999999</v>
      </c>
      <c r="N10" s="209">
        <f>VLOOKUP(A10,'GHG Factors FY21'!A:L,10,FALSE)*M10</f>
        <v>598740.19439999992</v>
      </c>
      <c r="O10" s="209">
        <f>VLOOKUP(A10,'GHG Factors FY21'!A:L,11,FALSE)*M10</f>
        <v>0</v>
      </c>
      <c r="P10" s="209">
        <f>VLOOKUP(A10,'GHG Factors FY21'!A:L,12,FALSE)*M10</f>
        <v>30969.320400000001</v>
      </c>
      <c r="Q10" s="31">
        <f t="shared" si="1"/>
        <v>629709.51479999989</v>
      </c>
    </row>
    <row r="11" spans="1:17" ht="13.8">
      <c r="A11" t="s">
        <v>1054</v>
      </c>
      <c r="B11" s="19" t="s">
        <v>665</v>
      </c>
      <c r="C11" s="19" t="s">
        <v>656</v>
      </c>
      <c r="D11" s="19" t="s">
        <v>666</v>
      </c>
      <c r="E11" s="19" t="s">
        <v>713</v>
      </c>
      <c r="F11" s="19" t="s">
        <v>35</v>
      </c>
      <c r="G11" s="19" t="s">
        <v>1216</v>
      </c>
      <c r="H11" s="847">
        <v>69395</v>
      </c>
      <c r="I11" s="20" t="s">
        <v>673</v>
      </c>
      <c r="J11" s="31" t="s">
        <v>658</v>
      </c>
      <c r="K11" s="31" t="s">
        <v>686</v>
      </c>
      <c r="L11" s="31">
        <f t="shared" si="0"/>
        <v>69.394999999999996</v>
      </c>
      <c r="M11" s="31">
        <f>VLOOKUP(A11,'GHG Factors FY21'!A:L,8,FALSE)*L11</f>
        <v>2678.6469999999999</v>
      </c>
      <c r="N11" s="209">
        <f>VLOOKUP(A11,'GHG Factors FY21'!A:L,10,FALSE)*M11</f>
        <v>186433.83119999999</v>
      </c>
      <c r="O11" s="209">
        <f>VLOOKUP(A11,'GHG Factors FY21'!A:L,11,FALSE)*M11</f>
        <v>0</v>
      </c>
      <c r="P11" s="209">
        <f>VLOOKUP(A11,'GHG Factors FY21'!A:L,12,FALSE)*M11</f>
        <v>9643.1291999999994</v>
      </c>
      <c r="Q11" s="31">
        <f t="shared" si="1"/>
        <v>196076.96039999998</v>
      </c>
    </row>
    <row r="12" spans="1:17" ht="13.8">
      <c r="A12" t="s">
        <v>1035</v>
      </c>
      <c r="B12" s="19" t="s">
        <v>665</v>
      </c>
      <c r="C12" s="19" t="s">
        <v>667</v>
      </c>
      <c r="D12" s="19" t="s">
        <v>666</v>
      </c>
      <c r="E12" s="19" t="s">
        <v>707</v>
      </c>
      <c r="F12" s="19" t="s">
        <v>667</v>
      </c>
      <c r="G12" s="19" t="s">
        <v>1192</v>
      </c>
      <c r="H12" s="847">
        <v>1275</v>
      </c>
      <c r="I12" s="20" t="s">
        <v>673</v>
      </c>
      <c r="J12" s="31" t="s">
        <v>658</v>
      </c>
      <c r="K12" s="31" t="s">
        <v>686</v>
      </c>
      <c r="L12" s="31">
        <f t="shared" si="0"/>
        <v>1.2749999999999999</v>
      </c>
      <c r="M12" s="31">
        <f>VLOOKUP(A12,'GHG Factors FY21'!A:L,8,FALSE)*L12</f>
        <v>29.834999999999997</v>
      </c>
      <c r="N12" s="209">
        <f>VLOOKUP(A12,'GHG Factors FY21'!A:L,10,FALSE)*M12</f>
        <v>2076.5159999999996</v>
      </c>
      <c r="O12" s="209">
        <f>VLOOKUP(A12,'GHG Factors FY21'!A:L,11,FALSE)*M12</f>
        <v>0</v>
      </c>
      <c r="P12" s="209">
        <f>VLOOKUP(A12,'GHG Factors FY21'!A:L,12,FALSE)*M12</f>
        <v>0</v>
      </c>
      <c r="Q12" s="31">
        <f t="shared" si="1"/>
        <v>2076.5159999999996</v>
      </c>
    </row>
    <row r="13" spans="1:17" ht="13.8">
      <c r="A13" t="s">
        <v>1042</v>
      </c>
      <c r="B13" s="19" t="s">
        <v>665</v>
      </c>
      <c r="C13" s="19" t="s">
        <v>667</v>
      </c>
      <c r="D13" s="19" t="s">
        <v>666</v>
      </c>
      <c r="E13" s="19" t="s">
        <v>709</v>
      </c>
      <c r="F13" s="19" t="s">
        <v>667</v>
      </c>
      <c r="G13" s="19" t="s">
        <v>1210</v>
      </c>
      <c r="H13" s="847">
        <v>0</v>
      </c>
      <c r="I13" s="20" t="s">
        <v>673</v>
      </c>
      <c r="J13" s="31" t="s">
        <v>658</v>
      </c>
      <c r="K13" s="31" t="s">
        <v>686</v>
      </c>
      <c r="L13" s="31">
        <f t="shared" si="0"/>
        <v>0</v>
      </c>
      <c r="M13" s="31">
        <f>VLOOKUP(A13,'GHG Factors FY21'!A:L,8,FALSE)*L13</f>
        <v>0</v>
      </c>
      <c r="N13" s="209">
        <f>VLOOKUP(A13,'GHG Factors FY21'!A:L,10,FALSE)*M13</f>
        <v>0</v>
      </c>
      <c r="O13" s="209">
        <f>VLOOKUP(A13,'GHG Factors FY21'!A:L,11,FALSE)*M13</f>
        <v>0</v>
      </c>
      <c r="P13" s="209">
        <f>VLOOKUP(A13,'GHG Factors FY21'!A:L,12,FALSE)*M13</f>
        <v>0</v>
      </c>
      <c r="Q13" s="31">
        <f t="shared" si="1"/>
        <v>0</v>
      </c>
    </row>
    <row r="14" spans="1:17" ht="13.8">
      <c r="A14" t="s">
        <v>1067</v>
      </c>
      <c r="B14" s="19" t="s">
        <v>665</v>
      </c>
      <c r="C14" s="19" t="s">
        <v>667</v>
      </c>
      <c r="D14" s="19" t="s">
        <v>666</v>
      </c>
      <c r="E14" s="19" t="s">
        <v>709</v>
      </c>
      <c r="F14" s="19" t="s">
        <v>667</v>
      </c>
      <c r="G14" s="19" t="s">
        <v>1210</v>
      </c>
      <c r="H14" s="847">
        <v>0</v>
      </c>
      <c r="I14" s="20" t="s">
        <v>673</v>
      </c>
      <c r="J14" s="31" t="s">
        <v>658</v>
      </c>
      <c r="K14" s="31" t="s">
        <v>686</v>
      </c>
      <c r="L14" s="31">
        <f t="shared" ref="L14" si="2">H14/1000</f>
        <v>0</v>
      </c>
      <c r="M14" s="31">
        <f>VLOOKUP(A14,'GHG Factors FY21'!A:L,8,FALSE)*L14</f>
        <v>0</v>
      </c>
      <c r="N14" s="209">
        <f>VLOOKUP(A14,'GHG Factors FY21'!A:L,10,FALSE)*M14</f>
        <v>0</v>
      </c>
      <c r="O14" s="209">
        <f>VLOOKUP(A14,'GHG Factors FY21'!A:L,11,FALSE)*M14</f>
        <v>0</v>
      </c>
      <c r="P14" s="209">
        <f>VLOOKUP(A14,'GHG Factors FY21'!A:L,12,FALSE)*M14</f>
        <v>0</v>
      </c>
      <c r="Q14" s="31">
        <f t="shared" ref="Q14" si="3">SUM(N14,O14,P14)</f>
        <v>0</v>
      </c>
    </row>
    <row r="15" spans="1:17" ht="13.8">
      <c r="A15" t="s">
        <v>1032</v>
      </c>
      <c r="B15" s="19" t="s">
        <v>665</v>
      </c>
      <c r="C15" s="19" t="s">
        <v>660</v>
      </c>
      <c r="D15" s="19" t="s">
        <v>666</v>
      </c>
      <c r="E15" s="19" t="s">
        <v>706</v>
      </c>
      <c r="F15" s="19" t="s">
        <v>1228</v>
      </c>
      <c r="G15" s="19" t="s">
        <v>1190</v>
      </c>
      <c r="H15" s="847">
        <v>0</v>
      </c>
      <c r="I15" s="20" t="s">
        <v>673</v>
      </c>
      <c r="J15" s="31" t="s">
        <v>658</v>
      </c>
      <c r="K15" s="31" t="s">
        <v>686</v>
      </c>
      <c r="L15" s="31">
        <f t="shared" si="0"/>
        <v>0</v>
      </c>
      <c r="M15" s="31">
        <f>VLOOKUP(A15,'GHG Factors FY21'!A:L,8,FALSE)*L15</f>
        <v>0</v>
      </c>
      <c r="N15" s="209">
        <f>VLOOKUP(A15,'GHG Factors FY21'!A:L,10,FALSE)*M15</f>
        <v>0</v>
      </c>
      <c r="O15" s="209">
        <f>VLOOKUP(A15,'GHG Factors FY21'!A:L,11,FALSE)*M15</f>
        <v>0</v>
      </c>
      <c r="P15" s="209">
        <f>VLOOKUP(A15,'GHG Factors FY21'!A:L,12,FALSE)*M15</f>
        <v>0</v>
      </c>
      <c r="Q15" s="31">
        <f t="shared" si="1"/>
        <v>0</v>
      </c>
    </row>
    <row r="16" spans="1:17" ht="13.8">
      <c r="A16" t="s">
        <v>1036</v>
      </c>
      <c r="B16" s="19" t="s">
        <v>665</v>
      </c>
      <c r="C16" s="19" t="s">
        <v>660</v>
      </c>
      <c r="D16" s="19" t="s">
        <v>666</v>
      </c>
      <c r="E16" s="19" t="s">
        <v>707</v>
      </c>
      <c r="F16" s="19" t="s">
        <v>1228</v>
      </c>
      <c r="G16" s="19" t="s">
        <v>1192</v>
      </c>
      <c r="H16" s="847">
        <v>0</v>
      </c>
      <c r="I16" s="20" t="s">
        <v>673</v>
      </c>
      <c r="J16" s="31" t="s">
        <v>658</v>
      </c>
      <c r="K16" s="31" t="s">
        <v>686</v>
      </c>
      <c r="L16" s="31">
        <f t="shared" si="0"/>
        <v>0</v>
      </c>
      <c r="M16" s="31">
        <f>VLOOKUP(A16,'GHG Factors FY21'!A:L,8,FALSE)*L16</f>
        <v>0</v>
      </c>
      <c r="N16" s="209">
        <f>VLOOKUP(A16,'GHG Factors FY21'!A:L,10,FALSE)*M16</f>
        <v>0</v>
      </c>
      <c r="O16" s="209">
        <f>VLOOKUP(A16,'GHG Factors FY21'!A:L,11,FALSE)*M16</f>
        <v>0</v>
      </c>
      <c r="P16" s="209">
        <f>VLOOKUP(A16,'GHG Factors FY21'!A:L,12,FALSE)*M16</f>
        <v>0</v>
      </c>
      <c r="Q16" s="31">
        <f t="shared" si="1"/>
        <v>0</v>
      </c>
    </row>
    <row r="17" spans="1:17" ht="13.8">
      <c r="A17" t="s">
        <v>1039</v>
      </c>
      <c r="B17" s="19" t="s">
        <v>665</v>
      </c>
      <c r="C17" s="19" t="s">
        <v>660</v>
      </c>
      <c r="D17" s="19" t="s">
        <v>666</v>
      </c>
      <c r="E17" s="19" t="s">
        <v>708</v>
      </c>
      <c r="F17" s="19" t="s">
        <v>1228</v>
      </c>
      <c r="G17" s="19" t="s">
        <v>1208</v>
      </c>
      <c r="H17" s="847">
        <v>0</v>
      </c>
      <c r="I17" s="20" t="s">
        <v>673</v>
      </c>
      <c r="J17" s="31" t="s">
        <v>658</v>
      </c>
      <c r="K17" s="31" t="s">
        <v>686</v>
      </c>
      <c r="L17" s="31">
        <f t="shared" si="0"/>
        <v>0</v>
      </c>
      <c r="M17" s="31">
        <f>VLOOKUP(A17,'GHG Factors FY21'!A:L,8,FALSE)*L17</f>
        <v>0</v>
      </c>
      <c r="N17" s="209">
        <f>VLOOKUP(A17,'GHG Factors FY21'!A:L,10,FALSE)*M17</f>
        <v>0</v>
      </c>
      <c r="O17" s="209">
        <f>VLOOKUP(A17,'GHG Factors FY21'!A:L,11,FALSE)*M17</f>
        <v>0</v>
      </c>
      <c r="P17" s="209">
        <f>VLOOKUP(A17,'GHG Factors FY21'!A:L,12,FALSE)*M17</f>
        <v>0</v>
      </c>
      <c r="Q17" s="31">
        <f t="shared" si="1"/>
        <v>0</v>
      </c>
    </row>
    <row r="18" spans="1:17" ht="13.8">
      <c r="A18" t="s">
        <v>1043</v>
      </c>
      <c r="B18" s="19" t="s">
        <v>665</v>
      </c>
      <c r="C18" s="19" t="s">
        <v>660</v>
      </c>
      <c r="D18" s="19" t="s">
        <v>666</v>
      </c>
      <c r="E18" s="19" t="s">
        <v>709</v>
      </c>
      <c r="F18" s="19" t="s">
        <v>1228</v>
      </c>
      <c r="G18" s="19" t="s">
        <v>1210</v>
      </c>
      <c r="H18" s="847">
        <v>0</v>
      </c>
      <c r="I18" s="20" t="s">
        <v>673</v>
      </c>
      <c r="J18" s="31" t="s">
        <v>658</v>
      </c>
      <c r="K18" s="31" t="s">
        <v>686</v>
      </c>
      <c r="L18" s="31">
        <f t="shared" si="0"/>
        <v>0</v>
      </c>
      <c r="M18" s="31">
        <f>VLOOKUP(A18,'GHG Factors FY21'!A:L,8,FALSE)*L18</f>
        <v>0</v>
      </c>
      <c r="N18" s="209">
        <f>VLOOKUP(A18,'GHG Factors FY21'!A:L,10,FALSE)*M18</f>
        <v>0</v>
      </c>
      <c r="O18" s="209">
        <f>VLOOKUP(A18,'GHG Factors FY21'!A:L,11,FALSE)*M18</f>
        <v>0</v>
      </c>
      <c r="P18" s="209">
        <f>VLOOKUP(A18,'GHG Factors FY21'!A:L,12,FALSE)*M18</f>
        <v>0</v>
      </c>
      <c r="Q18" s="31">
        <f t="shared" si="1"/>
        <v>0</v>
      </c>
    </row>
    <row r="19" spans="1:17" ht="13.8">
      <c r="A19" t="s">
        <v>1046</v>
      </c>
      <c r="B19" s="19" t="s">
        <v>665</v>
      </c>
      <c r="C19" s="19" t="s">
        <v>660</v>
      </c>
      <c r="D19" s="19" t="s">
        <v>666</v>
      </c>
      <c r="E19" s="19" t="s">
        <v>710</v>
      </c>
      <c r="F19" s="19" t="s">
        <v>1228</v>
      </c>
      <c r="G19" s="19" t="s">
        <v>1193</v>
      </c>
      <c r="H19" s="847">
        <v>0</v>
      </c>
      <c r="I19" s="20" t="s">
        <v>673</v>
      </c>
      <c r="J19" s="31" t="s">
        <v>658</v>
      </c>
      <c r="K19" s="31" t="s">
        <v>686</v>
      </c>
      <c r="L19" s="31">
        <f t="shared" si="0"/>
        <v>0</v>
      </c>
      <c r="M19" s="31">
        <f>VLOOKUP(A19,'GHG Factors FY21'!A:L,8,FALSE)*L19</f>
        <v>0</v>
      </c>
      <c r="N19" s="209">
        <f>VLOOKUP(A19,'GHG Factors FY21'!A:L,10,FALSE)*M19</f>
        <v>0</v>
      </c>
      <c r="O19" s="209">
        <f>VLOOKUP(A19,'GHG Factors FY21'!A:L,11,FALSE)*M19</f>
        <v>0</v>
      </c>
      <c r="P19" s="209">
        <f>VLOOKUP(A19,'GHG Factors FY21'!A:L,12,FALSE)*M19</f>
        <v>0</v>
      </c>
      <c r="Q19" s="31">
        <f t="shared" si="1"/>
        <v>0</v>
      </c>
    </row>
    <row r="20" spans="1:17" ht="13.8">
      <c r="A20" t="s">
        <v>1049</v>
      </c>
      <c r="B20" s="19" t="s">
        <v>665</v>
      </c>
      <c r="C20" s="19" t="s">
        <v>660</v>
      </c>
      <c r="D20" s="19" t="s">
        <v>666</v>
      </c>
      <c r="E20" s="19" t="s">
        <v>711</v>
      </c>
      <c r="F20" s="19" t="s">
        <v>1228</v>
      </c>
      <c r="G20" s="19" t="s">
        <v>1213</v>
      </c>
      <c r="H20" s="847">
        <v>0</v>
      </c>
      <c r="I20" s="20" t="s">
        <v>673</v>
      </c>
      <c r="J20" s="31" t="s">
        <v>658</v>
      </c>
      <c r="K20" s="31" t="s">
        <v>686</v>
      </c>
      <c r="L20" s="31">
        <f t="shared" si="0"/>
        <v>0</v>
      </c>
      <c r="M20" s="31">
        <f>VLOOKUP(A20,'GHG Factors FY21'!A:L,8,FALSE)*L20</f>
        <v>0</v>
      </c>
      <c r="N20" s="209">
        <f>VLOOKUP(A20,'GHG Factors FY21'!A:L,10,FALSE)*M20</f>
        <v>0</v>
      </c>
      <c r="O20" s="209">
        <f>VLOOKUP(A20,'GHG Factors FY21'!A:L,11,FALSE)*M20</f>
        <v>0</v>
      </c>
      <c r="P20" s="209">
        <f>VLOOKUP(A20,'GHG Factors FY21'!A:L,12,FALSE)*M20</f>
        <v>0</v>
      </c>
      <c r="Q20" s="31">
        <f t="shared" si="1"/>
        <v>0</v>
      </c>
    </row>
    <row r="21" spans="1:17" ht="13.8">
      <c r="A21" t="s">
        <v>1052</v>
      </c>
      <c r="B21" s="19" t="s">
        <v>665</v>
      </c>
      <c r="C21" s="19" t="s">
        <v>660</v>
      </c>
      <c r="D21" s="19" t="s">
        <v>666</v>
      </c>
      <c r="E21" s="19" t="s">
        <v>712</v>
      </c>
      <c r="F21" s="19" t="s">
        <v>1228</v>
      </c>
      <c r="G21" s="19" t="s">
        <v>1189</v>
      </c>
      <c r="H21" s="847">
        <v>0</v>
      </c>
      <c r="I21" s="20" t="s">
        <v>673</v>
      </c>
      <c r="J21" s="31" t="s">
        <v>658</v>
      </c>
      <c r="K21" s="31" t="s">
        <v>686</v>
      </c>
      <c r="L21" s="31">
        <f t="shared" si="0"/>
        <v>0</v>
      </c>
      <c r="M21" s="31">
        <f>VLOOKUP(A21,'GHG Factors FY21'!A:L,8,FALSE)*L21</f>
        <v>0</v>
      </c>
      <c r="N21" s="209">
        <f>VLOOKUP(A21,'GHG Factors FY21'!A:L,10,FALSE)*M21</f>
        <v>0</v>
      </c>
      <c r="O21" s="209">
        <f>VLOOKUP(A21,'GHG Factors FY21'!A:L,11,FALSE)*M21</f>
        <v>0</v>
      </c>
      <c r="P21" s="209">
        <f>VLOOKUP(A21,'GHG Factors FY21'!A:L,12,FALSE)*M21</f>
        <v>0</v>
      </c>
      <c r="Q21" s="31">
        <f t="shared" si="1"/>
        <v>0</v>
      </c>
    </row>
    <row r="22" spans="1:17" ht="13.8">
      <c r="A22" t="s">
        <v>1055</v>
      </c>
      <c r="B22" s="19" t="s">
        <v>665</v>
      </c>
      <c r="C22" s="19" t="s">
        <v>660</v>
      </c>
      <c r="D22" s="19" t="s">
        <v>666</v>
      </c>
      <c r="E22" s="19" t="s">
        <v>713</v>
      </c>
      <c r="F22" s="19" t="s">
        <v>1228</v>
      </c>
      <c r="G22" s="19" t="s">
        <v>1216</v>
      </c>
      <c r="H22" s="847">
        <v>0</v>
      </c>
      <c r="I22" s="20" t="s">
        <v>673</v>
      </c>
      <c r="J22" s="31" t="s">
        <v>658</v>
      </c>
      <c r="K22" s="31" t="s">
        <v>686</v>
      </c>
      <c r="L22" s="31">
        <f t="shared" si="0"/>
        <v>0</v>
      </c>
      <c r="M22" s="31">
        <f>VLOOKUP(A22,'GHG Factors FY21'!A:L,8,FALSE)*L22</f>
        <v>0</v>
      </c>
      <c r="N22" s="209">
        <f>VLOOKUP(A22,'GHG Factors FY21'!A:L,10,FALSE)*M22</f>
        <v>0</v>
      </c>
      <c r="O22" s="209">
        <f>VLOOKUP(A22,'GHG Factors FY21'!A:L,11,FALSE)*M22</f>
        <v>0</v>
      </c>
      <c r="P22" s="209">
        <f>VLOOKUP(A22,'GHG Factors FY21'!A:L,12,FALSE)*M22</f>
        <v>0</v>
      </c>
      <c r="Q22" s="31">
        <f t="shared" si="1"/>
        <v>0</v>
      </c>
    </row>
    <row r="23" spans="1:17" ht="13.8">
      <c r="A23" t="s">
        <v>1033</v>
      </c>
      <c r="B23" s="19" t="s">
        <v>665</v>
      </c>
      <c r="C23" s="19" t="s">
        <v>659</v>
      </c>
      <c r="D23" s="19" t="s">
        <v>666</v>
      </c>
      <c r="E23" s="19" t="s">
        <v>706</v>
      </c>
      <c r="F23" s="19" t="s">
        <v>1234</v>
      </c>
      <c r="G23" s="19" t="s">
        <v>1190</v>
      </c>
      <c r="H23" s="847">
        <v>0</v>
      </c>
      <c r="I23" s="20" t="s">
        <v>673</v>
      </c>
      <c r="J23" s="31" t="s">
        <v>658</v>
      </c>
      <c r="K23" s="31" t="s">
        <v>686</v>
      </c>
      <c r="L23" s="31">
        <f t="shared" si="0"/>
        <v>0</v>
      </c>
      <c r="M23" s="31">
        <f>VLOOKUP(A23,'GHG Factors FY21'!A:L,8,FALSE)*L23</f>
        <v>0</v>
      </c>
      <c r="N23" s="209">
        <f>VLOOKUP(A23,'GHG Factors FY21'!A:L,10,FALSE)*M23</f>
        <v>0</v>
      </c>
      <c r="O23" s="209">
        <f>VLOOKUP(A23,'GHG Factors FY21'!A:L,11,FALSE)*M23</f>
        <v>0</v>
      </c>
      <c r="P23" s="209">
        <f>VLOOKUP(A23,'GHG Factors FY21'!A:L,12,FALSE)*M23</f>
        <v>0</v>
      </c>
      <c r="Q23" s="31">
        <f t="shared" si="1"/>
        <v>0</v>
      </c>
    </row>
    <row r="24" spans="1:17" ht="13.8">
      <c r="A24" t="s">
        <v>1037</v>
      </c>
      <c r="B24" s="19" t="s">
        <v>665</v>
      </c>
      <c r="C24" s="19" t="s">
        <v>659</v>
      </c>
      <c r="D24" s="19" t="s">
        <v>666</v>
      </c>
      <c r="E24" s="19" t="s">
        <v>707</v>
      </c>
      <c r="F24" s="19" t="s">
        <v>1234</v>
      </c>
      <c r="G24" s="19" t="s">
        <v>1192</v>
      </c>
      <c r="H24" s="847">
        <v>2201</v>
      </c>
      <c r="I24" s="20" t="s">
        <v>673</v>
      </c>
      <c r="J24" s="31" t="s">
        <v>658</v>
      </c>
      <c r="K24" s="31" t="s">
        <v>686</v>
      </c>
      <c r="L24" s="31">
        <f t="shared" si="0"/>
        <v>2.2010000000000001</v>
      </c>
      <c r="M24" s="31">
        <f>VLOOKUP(A24,'GHG Factors FY21'!A:L,8,FALSE)*L24</f>
        <v>75.274200000000008</v>
      </c>
      <c r="N24" s="209">
        <f>VLOOKUP(A24,'GHG Factors FY21'!A:L,10,FALSE)*M24</f>
        <v>5239.0843199999999</v>
      </c>
      <c r="O24" s="209">
        <f>VLOOKUP(A24,'GHG Factors FY21'!A:L,11,FALSE)*M24</f>
        <v>0</v>
      </c>
      <c r="P24" s="209">
        <f>VLOOKUP(A24,'GHG Factors FY21'!A:L,12,FALSE)*M24</f>
        <v>270.98712000000006</v>
      </c>
      <c r="Q24" s="31">
        <f t="shared" si="1"/>
        <v>5510.0714399999997</v>
      </c>
    </row>
    <row r="25" spans="1:17" ht="13.8">
      <c r="A25" t="s">
        <v>1040</v>
      </c>
      <c r="B25" s="19" t="s">
        <v>665</v>
      </c>
      <c r="C25" s="19" t="s">
        <v>659</v>
      </c>
      <c r="D25" s="19" t="s">
        <v>666</v>
      </c>
      <c r="E25" s="19" t="s">
        <v>708</v>
      </c>
      <c r="F25" s="19" t="s">
        <v>1234</v>
      </c>
      <c r="G25" s="19" t="s">
        <v>1208</v>
      </c>
      <c r="H25" s="847">
        <v>0</v>
      </c>
      <c r="I25" s="20" t="s">
        <v>673</v>
      </c>
      <c r="J25" s="31" t="s">
        <v>658</v>
      </c>
      <c r="K25" s="31" t="s">
        <v>686</v>
      </c>
      <c r="L25" s="31">
        <f t="shared" si="0"/>
        <v>0</v>
      </c>
      <c r="M25" s="31">
        <f>VLOOKUP(A25,'GHG Factors FY21'!A:L,8,FALSE)*L25</f>
        <v>0</v>
      </c>
      <c r="N25" s="209">
        <f>VLOOKUP(A25,'GHG Factors FY21'!A:L,10,FALSE)*M25</f>
        <v>0</v>
      </c>
      <c r="O25" s="209">
        <f>VLOOKUP(A25,'GHG Factors FY21'!A:L,11,FALSE)*M25</f>
        <v>0</v>
      </c>
      <c r="P25" s="209">
        <f>VLOOKUP(A25,'GHG Factors FY21'!A:L,12,FALSE)*M25</f>
        <v>0</v>
      </c>
      <c r="Q25" s="31">
        <f t="shared" si="1"/>
        <v>0</v>
      </c>
    </row>
    <row r="26" spans="1:17" ht="13.8">
      <c r="A26" t="s">
        <v>1044</v>
      </c>
      <c r="B26" s="19" t="s">
        <v>665</v>
      </c>
      <c r="C26" s="19" t="s">
        <v>659</v>
      </c>
      <c r="D26" s="19" t="s">
        <v>666</v>
      </c>
      <c r="E26" s="19" t="s">
        <v>709</v>
      </c>
      <c r="F26" s="19" t="s">
        <v>1234</v>
      </c>
      <c r="G26" s="19" t="s">
        <v>1210</v>
      </c>
      <c r="H26" s="847">
        <v>565</v>
      </c>
      <c r="I26" s="20" t="s">
        <v>673</v>
      </c>
      <c r="J26" s="31" t="s">
        <v>658</v>
      </c>
      <c r="K26" s="31" t="s">
        <v>686</v>
      </c>
      <c r="L26" s="31">
        <f t="shared" si="0"/>
        <v>0.56499999999999995</v>
      </c>
      <c r="M26" s="31">
        <f>VLOOKUP(A26,'GHG Factors FY21'!A:L,8,FALSE)*L26</f>
        <v>19.323</v>
      </c>
      <c r="N26" s="209">
        <f>VLOOKUP(A26,'GHG Factors FY21'!A:L,10,FALSE)*M26</f>
        <v>1344.8807999999999</v>
      </c>
      <c r="O26" s="209">
        <f>VLOOKUP(A26,'GHG Factors FY21'!A:L,11,FALSE)*M26</f>
        <v>0</v>
      </c>
      <c r="P26" s="209">
        <f>VLOOKUP(A26,'GHG Factors FY21'!A:L,12,FALSE)*M26</f>
        <v>69.56280000000001</v>
      </c>
      <c r="Q26" s="31">
        <f t="shared" si="1"/>
        <v>1414.4435999999998</v>
      </c>
    </row>
    <row r="27" spans="1:17" ht="13.8">
      <c r="A27" t="s">
        <v>1047</v>
      </c>
      <c r="B27" s="19" t="s">
        <v>665</v>
      </c>
      <c r="C27" s="19" t="s">
        <v>659</v>
      </c>
      <c r="D27" s="19" t="s">
        <v>666</v>
      </c>
      <c r="E27" s="19" t="s">
        <v>710</v>
      </c>
      <c r="F27" s="19" t="s">
        <v>1234</v>
      </c>
      <c r="G27" s="19" t="s">
        <v>1193</v>
      </c>
      <c r="H27" s="847">
        <v>334</v>
      </c>
      <c r="I27" s="20" t="s">
        <v>673</v>
      </c>
      <c r="J27" s="31" t="s">
        <v>658</v>
      </c>
      <c r="K27" s="31" t="s">
        <v>686</v>
      </c>
      <c r="L27" s="31">
        <f t="shared" si="0"/>
        <v>0.33400000000000002</v>
      </c>
      <c r="M27" s="31">
        <f>VLOOKUP(A27,'GHG Factors FY21'!A:L,8,FALSE)*L27</f>
        <v>11.422800000000002</v>
      </c>
      <c r="N27" s="209">
        <f>VLOOKUP(A27,'GHG Factors FY21'!A:L,10,FALSE)*M27</f>
        <v>795.02688000000012</v>
      </c>
      <c r="O27" s="209">
        <f>VLOOKUP(A27,'GHG Factors FY21'!A:L,11,FALSE)*M27</f>
        <v>0</v>
      </c>
      <c r="P27" s="209">
        <f>VLOOKUP(A27,'GHG Factors FY21'!A:L,12,FALSE)*M27</f>
        <v>41.122080000000011</v>
      </c>
      <c r="Q27" s="31">
        <f t="shared" si="1"/>
        <v>836.1489600000001</v>
      </c>
    </row>
    <row r="28" spans="1:17" ht="13.8">
      <c r="A28" t="s">
        <v>1050</v>
      </c>
      <c r="B28" s="19" t="s">
        <v>665</v>
      </c>
      <c r="C28" s="19" t="s">
        <v>659</v>
      </c>
      <c r="D28" s="19" t="s">
        <v>666</v>
      </c>
      <c r="E28" s="19" t="s">
        <v>711</v>
      </c>
      <c r="F28" s="19" t="s">
        <v>1234</v>
      </c>
      <c r="G28" s="19" t="s">
        <v>1213</v>
      </c>
      <c r="H28" s="847">
        <v>427</v>
      </c>
      <c r="I28" s="20" t="s">
        <v>673</v>
      </c>
      <c r="J28" s="31" t="s">
        <v>658</v>
      </c>
      <c r="K28" s="31" t="s">
        <v>686</v>
      </c>
      <c r="L28" s="31">
        <f t="shared" si="0"/>
        <v>0.42699999999999999</v>
      </c>
      <c r="M28" s="31">
        <f>VLOOKUP(A28,'GHG Factors FY21'!A:L,8,FALSE)*L28</f>
        <v>14.603400000000001</v>
      </c>
      <c r="N28" s="209">
        <f>VLOOKUP(A28,'GHG Factors FY21'!A:L,10,FALSE)*M28</f>
        <v>1016.3966399999999</v>
      </c>
      <c r="O28" s="209">
        <f>VLOOKUP(A28,'GHG Factors FY21'!A:L,11,FALSE)*M28</f>
        <v>0</v>
      </c>
      <c r="P28" s="209">
        <f>VLOOKUP(A28,'GHG Factors FY21'!A:L,12,FALSE)*M28</f>
        <v>52.572240000000001</v>
      </c>
      <c r="Q28" s="31">
        <f t="shared" si="1"/>
        <v>1068.9688799999999</v>
      </c>
    </row>
    <row r="29" spans="1:17" ht="13.8">
      <c r="A29" t="s">
        <v>1053</v>
      </c>
      <c r="B29" s="19" t="s">
        <v>665</v>
      </c>
      <c r="C29" s="19" t="s">
        <v>659</v>
      </c>
      <c r="D29" s="19" t="s">
        <v>666</v>
      </c>
      <c r="E29" s="19" t="s">
        <v>712</v>
      </c>
      <c r="F29" s="19" t="s">
        <v>1234</v>
      </c>
      <c r="G29" s="19" t="s">
        <v>1189</v>
      </c>
      <c r="H29" s="847">
        <v>3396</v>
      </c>
      <c r="I29" s="20" t="s">
        <v>673</v>
      </c>
      <c r="J29" s="31" t="s">
        <v>658</v>
      </c>
      <c r="K29" s="31" t="s">
        <v>686</v>
      </c>
      <c r="L29" s="31">
        <f t="shared" si="0"/>
        <v>3.3959999999999999</v>
      </c>
      <c r="M29" s="31">
        <f>VLOOKUP(A29,'GHG Factors FY21'!A:L,8,FALSE)*L29</f>
        <v>116.14320000000001</v>
      </c>
      <c r="N29" s="209">
        <f>VLOOKUP(A29,'GHG Factors FY21'!A:L,10,FALSE)*M29</f>
        <v>8083.5667199999998</v>
      </c>
      <c r="O29" s="209">
        <f>VLOOKUP(A29,'GHG Factors FY21'!A:L,11,FALSE)*M29</f>
        <v>0</v>
      </c>
      <c r="P29" s="209">
        <f>VLOOKUP(A29,'GHG Factors FY21'!A:L,12,FALSE)*M29</f>
        <v>418.11552000000006</v>
      </c>
      <c r="Q29" s="31">
        <f t="shared" si="1"/>
        <v>8501.6822400000001</v>
      </c>
    </row>
    <row r="30" spans="1:17" ht="13.8">
      <c r="A30" t="s">
        <v>1056</v>
      </c>
      <c r="B30" s="19" t="s">
        <v>665</v>
      </c>
      <c r="C30" s="19" t="s">
        <v>659</v>
      </c>
      <c r="D30" s="19" t="s">
        <v>666</v>
      </c>
      <c r="E30" s="19" t="s">
        <v>713</v>
      </c>
      <c r="F30" s="19" t="s">
        <v>1234</v>
      </c>
      <c r="G30" s="19" t="s">
        <v>1216</v>
      </c>
      <c r="H30" s="847">
        <v>307</v>
      </c>
      <c r="I30" s="20" t="s">
        <v>673</v>
      </c>
      <c r="J30" s="31" t="s">
        <v>658</v>
      </c>
      <c r="K30" s="31" t="s">
        <v>686</v>
      </c>
      <c r="L30" s="31">
        <f t="shared" si="0"/>
        <v>0.307</v>
      </c>
      <c r="M30" s="31">
        <f>VLOOKUP(A30,'GHG Factors FY21'!A:L,8,FALSE)*L30</f>
        <v>10.499400000000001</v>
      </c>
      <c r="N30" s="209">
        <f>VLOOKUP(A30,'GHG Factors FY21'!A:L,10,FALSE)*M30</f>
        <v>730.75824</v>
      </c>
      <c r="O30" s="209">
        <f>VLOOKUP(A30,'GHG Factors FY21'!A:L,11,FALSE)*M30</f>
        <v>0</v>
      </c>
      <c r="P30" s="209">
        <f>VLOOKUP(A30,'GHG Factors FY21'!A:L,12,FALSE)*M30</f>
        <v>37.797840000000008</v>
      </c>
      <c r="Q30" s="31">
        <f t="shared" si="1"/>
        <v>768.55608000000007</v>
      </c>
    </row>
    <row r="31" spans="1:17" ht="13.8">
      <c r="A31" s="25"/>
      <c r="H31" s="847"/>
    </row>
    <row r="32" spans="1:17">
      <c r="H32" s="847">
        <f>SUM(Table1[Consumption Quantity (L)])</f>
        <v>1025093</v>
      </c>
    </row>
    <row r="33" spans="1:17">
      <c r="A33" s="812"/>
      <c r="B33" s="19" t="s">
        <v>1269</v>
      </c>
      <c r="M33" s="19" t="s">
        <v>1270</v>
      </c>
      <c r="N33" s="730">
        <f>SUM(N4:N11)/1000</f>
        <v>2731.1246572800001</v>
      </c>
      <c r="O33" s="731">
        <f>N33/'ENV Model_FY20'!D33</f>
        <v>0.42206234258332043</v>
      </c>
    </row>
    <row r="34" spans="1:17">
      <c r="B34" s="661" t="s">
        <v>1271</v>
      </c>
    </row>
    <row r="36" spans="1:17">
      <c r="A36" s="659" t="s">
        <v>3</v>
      </c>
      <c r="B36" s="660">
        <v>44028</v>
      </c>
    </row>
    <row r="37" spans="1:17" ht="13.8">
      <c r="A37" s="126" t="s">
        <v>750</v>
      </c>
      <c r="B37" s="127" t="s">
        <v>646</v>
      </c>
      <c r="C37" s="127" t="s">
        <v>647</v>
      </c>
      <c r="D37" s="127" t="s">
        <v>648</v>
      </c>
      <c r="E37" s="127" t="s">
        <v>1200</v>
      </c>
      <c r="F37" s="127" t="s">
        <v>156</v>
      </c>
      <c r="G37" s="127" t="s">
        <v>1187</v>
      </c>
      <c r="H37" s="128" t="s">
        <v>1219</v>
      </c>
      <c r="I37" s="129" t="s">
        <v>1220</v>
      </c>
      <c r="J37" s="119" t="s">
        <v>649</v>
      </c>
      <c r="K37" s="119" t="s">
        <v>684</v>
      </c>
      <c r="L37" s="119" t="s">
        <v>650</v>
      </c>
      <c r="M37" s="119" t="s">
        <v>651</v>
      </c>
      <c r="N37" s="119" t="s">
        <v>652</v>
      </c>
      <c r="O37" s="119" t="s">
        <v>653</v>
      </c>
      <c r="P37" s="119" t="s">
        <v>654</v>
      </c>
      <c r="Q37" s="119" t="s">
        <v>751</v>
      </c>
    </row>
    <row r="38" spans="1:17" ht="13.8">
      <c r="A38" t="s">
        <v>1031</v>
      </c>
      <c r="B38" s="19" t="s">
        <v>665</v>
      </c>
      <c r="C38" s="19" t="s">
        <v>656</v>
      </c>
      <c r="D38" s="19" t="s">
        <v>666</v>
      </c>
      <c r="E38" s="19" t="s">
        <v>706</v>
      </c>
      <c r="F38" s="19" t="s">
        <v>35</v>
      </c>
      <c r="G38" s="19" t="s">
        <v>1190</v>
      </c>
      <c r="H38" s="20">
        <v>984.00009999999997</v>
      </c>
      <c r="I38" s="20" t="s">
        <v>673</v>
      </c>
      <c r="J38" s="31" t="s">
        <v>658</v>
      </c>
      <c r="K38" s="31" t="s">
        <v>686</v>
      </c>
      <c r="L38" s="31">
        <f>H38/1000</f>
        <v>0.98400009999999993</v>
      </c>
      <c r="M38" s="31">
        <f>VLOOKUP(A38,'GHG Factors FY20'!A:L,8,FALSE)*L38</f>
        <v>37.982403859999998</v>
      </c>
      <c r="N38" s="209">
        <f>VLOOKUP(A38,'GHG Factors FY20'!A:L,10,FALSE)*M38</f>
        <v>2666.3647509719999</v>
      </c>
      <c r="O38" s="209">
        <f>VLOOKUP(A38,'GHG Factors FY20'!A:L,11,FALSE)*M38</f>
        <v>0</v>
      </c>
      <c r="P38" s="209">
        <f>VLOOKUP(A38,'GHG Factors FY20'!A:L,12,FALSE)*M38</f>
        <v>136.73665389600001</v>
      </c>
      <c r="Q38" s="31">
        <f>SUM(N38,O38,P38)</f>
        <v>2803.1014048679999</v>
      </c>
    </row>
    <row r="39" spans="1:17" ht="13.8">
      <c r="A39" t="s">
        <v>1034</v>
      </c>
      <c r="B39" s="19" t="s">
        <v>665</v>
      </c>
      <c r="C39" s="19" t="s">
        <v>656</v>
      </c>
      <c r="D39" s="19" t="s">
        <v>666</v>
      </c>
      <c r="E39" s="19" t="s">
        <v>707</v>
      </c>
      <c r="F39" s="19" t="s">
        <v>35</v>
      </c>
      <c r="G39" s="19" t="s">
        <v>1192</v>
      </c>
      <c r="H39" s="20">
        <v>550776.53820000007</v>
      </c>
      <c r="I39" s="20" t="s">
        <v>673</v>
      </c>
      <c r="J39" s="31" t="s">
        <v>658</v>
      </c>
      <c r="K39" s="31" t="s">
        <v>686</v>
      </c>
      <c r="L39" s="31">
        <f t="shared" ref="L39:L63" si="4">H39/1000</f>
        <v>550.77653820000012</v>
      </c>
      <c r="M39" s="31">
        <f>VLOOKUP(A39,'GHG Factors FY20'!A:L,8,FALSE)*L39</f>
        <v>21259.974374520007</v>
      </c>
      <c r="N39" s="209">
        <f>VLOOKUP(A39,'GHG Factors FY20'!A:L,10,FALSE)*M39</f>
        <v>1492450.2010913044</v>
      </c>
      <c r="O39" s="209">
        <f>VLOOKUP(A39,'GHG Factors FY20'!A:L,11,FALSE)*M39</f>
        <v>0</v>
      </c>
      <c r="P39" s="209">
        <f>VLOOKUP(A39,'GHG Factors FY20'!A:L,12,FALSE)*M39</f>
        <v>76535.907748272031</v>
      </c>
      <c r="Q39" s="31">
        <f t="shared" ref="Q39:Q63" si="5">SUM(N39,O39,P39)</f>
        <v>1568986.1088395764</v>
      </c>
    </row>
    <row r="40" spans="1:17" ht="13.8">
      <c r="A40" t="s">
        <v>1038</v>
      </c>
      <c r="B40" s="19" t="s">
        <v>665</v>
      </c>
      <c r="C40" s="19" t="s">
        <v>656</v>
      </c>
      <c r="D40" s="19" t="s">
        <v>666</v>
      </c>
      <c r="E40" s="19" t="s">
        <v>708</v>
      </c>
      <c r="F40" s="19" t="s">
        <v>35</v>
      </c>
      <c r="G40" s="19" t="s">
        <v>1208</v>
      </c>
      <c r="H40" s="20">
        <v>7362.0605999999989</v>
      </c>
      <c r="I40" s="20" t="s">
        <v>673</v>
      </c>
      <c r="J40" s="31" t="s">
        <v>658</v>
      </c>
      <c r="K40" s="31" t="s">
        <v>686</v>
      </c>
      <c r="L40" s="31">
        <f t="shared" si="4"/>
        <v>7.3620605999999986</v>
      </c>
      <c r="M40" s="31">
        <f>VLOOKUP(A40,'GHG Factors FY20'!A:L,8,FALSE)*L40</f>
        <v>284.17553915999997</v>
      </c>
      <c r="N40" s="209">
        <f>VLOOKUP(A40,'GHG Factors FY20'!A:L,10,FALSE)*M40</f>
        <v>19949.122849031999</v>
      </c>
      <c r="O40" s="209">
        <f>VLOOKUP(A40,'GHG Factors FY20'!A:L,11,FALSE)*M40</f>
        <v>0</v>
      </c>
      <c r="P40" s="209">
        <f>VLOOKUP(A40,'GHG Factors FY20'!A:L,12,FALSE)*M40</f>
        <v>1023.0319409759999</v>
      </c>
      <c r="Q40" s="31">
        <f t="shared" si="5"/>
        <v>20972.154790008</v>
      </c>
    </row>
    <row r="41" spans="1:17" ht="13.8">
      <c r="A41" t="s">
        <v>1041</v>
      </c>
      <c r="B41" s="19" t="s">
        <v>665</v>
      </c>
      <c r="C41" s="19" t="s">
        <v>656</v>
      </c>
      <c r="D41" s="19" t="s">
        <v>666</v>
      </c>
      <c r="E41" s="19" t="s">
        <v>709</v>
      </c>
      <c r="F41" s="19" t="s">
        <v>35</v>
      </c>
      <c r="G41" s="19" t="s">
        <v>1210</v>
      </c>
      <c r="H41" s="20">
        <v>180069.3461</v>
      </c>
      <c r="I41" s="20" t="s">
        <v>673</v>
      </c>
      <c r="J41" s="31" t="s">
        <v>658</v>
      </c>
      <c r="K41" s="31" t="s">
        <v>686</v>
      </c>
      <c r="L41" s="31">
        <f t="shared" si="4"/>
        <v>180.06934609999999</v>
      </c>
      <c r="M41" s="31">
        <f>VLOOKUP(A41,'GHG Factors FY20'!A:L,8,FALSE)*L41</f>
        <v>6950.6767594599996</v>
      </c>
      <c r="N41" s="209">
        <f>VLOOKUP(A41,'GHG Factors FY20'!A:L,10,FALSE)*M41</f>
        <v>487937.50851409201</v>
      </c>
      <c r="O41" s="209">
        <f>VLOOKUP(A41,'GHG Factors FY20'!A:L,11,FALSE)*M41</f>
        <v>0</v>
      </c>
      <c r="P41" s="209">
        <f>VLOOKUP(A41,'GHG Factors FY20'!A:L,12,FALSE)*M41</f>
        <v>25022.436334055998</v>
      </c>
      <c r="Q41" s="31">
        <f t="shared" si="5"/>
        <v>512959.94484814804</v>
      </c>
    </row>
    <row r="42" spans="1:17" ht="13.8">
      <c r="A42" t="s">
        <v>1045</v>
      </c>
      <c r="B42" s="19" t="s">
        <v>665</v>
      </c>
      <c r="C42" s="19" t="s">
        <v>656</v>
      </c>
      <c r="D42" s="19" t="s">
        <v>666</v>
      </c>
      <c r="E42" s="19" t="s">
        <v>710</v>
      </c>
      <c r="F42" s="19" t="s">
        <v>35</v>
      </c>
      <c r="G42" s="19" t="s">
        <v>1193</v>
      </c>
      <c r="H42" s="20">
        <v>108493.01039999997</v>
      </c>
      <c r="I42" s="20" t="s">
        <v>673</v>
      </c>
      <c r="J42" s="31" t="s">
        <v>658</v>
      </c>
      <c r="K42" s="31" t="s">
        <v>686</v>
      </c>
      <c r="L42" s="31">
        <f t="shared" si="4"/>
        <v>108.49301039999997</v>
      </c>
      <c r="M42" s="31">
        <f>VLOOKUP(A42,'GHG Factors FY20'!A:L,8,FALSE)*L42</f>
        <v>4187.8302014399987</v>
      </c>
      <c r="N42" s="209">
        <f>VLOOKUP(A42,'GHG Factors FY20'!A:L,10,FALSE)*M42</f>
        <v>293985.68014108791</v>
      </c>
      <c r="O42" s="209">
        <f>VLOOKUP(A42,'GHG Factors FY20'!A:L,11,FALSE)*M42</f>
        <v>0</v>
      </c>
      <c r="P42" s="209">
        <f>VLOOKUP(A42,'GHG Factors FY20'!A:L,12,FALSE)*M42</f>
        <v>15076.188725183996</v>
      </c>
      <c r="Q42" s="31">
        <f t="shared" si="5"/>
        <v>309061.86886627192</v>
      </c>
    </row>
    <row r="43" spans="1:17" ht="13.8">
      <c r="A43" t="s">
        <v>1048</v>
      </c>
      <c r="B43" s="19" t="s">
        <v>665</v>
      </c>
      <c r="C43" s="19" t="s">
        <v>656</v>
      </c>
      <c r="D43" s="19" t="s">
        <v>666</v>
      </c>
      <c r="E43" s="19" t="s">
        <v>711</v>
      </c>
      <c r="F43" s="19" t="s">
        <v>35</v>
      </c>
      <c r="G43" s="19" t="s">
        <v>1213</v>
      </c>
      <c r="H43" s="20">
        <v>9027.5574000000015</v>
      </c>
      <c r="I43" s="20" t="s">
        <v>673</v>
      </c>
      <c r="J43" s="31" t="s">
        <v>658</v>
      </c>
      <c r="K43" s="31" t="s">
        <v>686</v>
      </c>
      <c r="L43" s="31">
        <f t="shared" si="4"/>
        <v>9.027557400000001</v>
      </c>
      <c r="M43" s="31">
        <f>VLOOKUP(A43,'GHG Factors FY20'!A:L,8,FALSE)*L43</f>
        <v>348.46371564000003</v>
      </c>
      <c r="N43" s="209">
        <f>VLOOKUP(A43,'GHG Factors FY20'!A:L,10,FALSE)*M43</f>
        <v>24462.152837928003</v>
      </c>
      <c r="O43" s="209">
        <f>VLOOKUP(A43,'GHG Factors FY20'!A:L,11,FALSE)*M43</f>
        <v>0</v>
      </c>
      <c r="P43" s="209">
        <f>VLOOKUP(A43,'GHG Factors FY20'!A:L,12,FALSE)*M43</f>
        <v>1254.4693763040002</v>
      </c>
      <c r="Q43" s="31">
        <f t="shared" si="5"/>
        <v>25716.622214232004</v>
      </c>
    </row>
    <row r="44" spans="1:17" ht="13.8">
      <c r="A44" t="s">
        <v>1051</v>
      </c>
      <c r="B44" s="19" t="s">
        <v>665</v>
      </c>
      <c r="C44" s="19" t="s">
        <v>656</v>
      </c>
      <c r="D44" s="19" t="s">
        <v>666</v>
      </c>
      <c r="E44" s="19" t="s">
        <v>712</v>
      </c>
      <c r="F44" s="19" t="s">
        <v>35</v>
      </c>
      <c r="G44" s="19" t="s">
        <v>1189</v>
      </c>
      <c r="H44" s="20">
        <v>175340.51389999999</v>
      </c>
      <c r="I44" s="20" t="s">
        <v>673</v>
      </c>
      <c r="J44" s="31" t="s">
        <v>658</v>
      </c>
      <c r="K44" s="31" t="s">
        <v>686</v>
      </c>
      <c r="L44" s="31">
        <f t="shared" si="4"/>
        <v>175.34051389999999</v>
      </c>
      <c r="M44" s="31">
        <f>VLOOKUP(A44,'GHG Factors FY20'!A:L,8,FALSE)*L44</f>
        <v>6768.1438365399999</v>
      </c>
      <c r="N44" s="209">
        <f>VLOOKUP(A44,'GHG Factors FY20'!A:L,10,FALSE)*M44</f>
        <v>475123.69732510799</v>
      </c>
      <c r="O44" s="209">
        <f>VLOOKUP(A44,'GHG Factors FY20'!A:L,11,FALSE)*M44</f>
        <v>0</v>
      </c>
      <c r="P44" s="209">
        <f>VLOOKUP(A44,'GHG Factors FY20'!A:L,12,FALSE)*M44</f>
        <v>24365.317811543999</v>
      </c>
      <c r="Q44" s="31">
        <f t="shared" si="5"/>
        <v>499489.01513665199</v>
      </c>
    </row>
    <row r="45" spans="1:17" ht="13.8">
      <c r="A45" t="s">
        <v>1054</v>
      </c>
      <c r="B45" s="19" t="s">
        <v>665</v>
      </c>
      <c r="C45" s="19" t="s">
        <v>656</v>
      </c>
      <c r="D45" s="19" t="s">
        <v>666</v>
      </c>
      <c r="E45" s="19" t="s">
        <v>713</v>
      </c>
      <c r="F45" s="19" t="s">
        <v>35</v>
      </c>
      <c r="G45" s="19" t="s">
        <v>1216</v>
      </c>
      <c r="H45" s="20">
        <v>48827.801400000004</v>
      </c>
      <c r="I45" s="20" t="s">
        <v>673</v>
      </c>
      <c r="J45" s="31" t="s">
        <v>658</v>
      </c>
      <c r="K45" s="31" t="s">
        <v>686</v>
      </c>
      <c r="L45" s="31">
        <f t="shared" si="4"/>
        <v>48.827801400000006</v>
      </c>
      <c r="M45" s="31">
        <f>VLOOKUP(A45,'GHG Factors FY20'!A:L,8,FALSE)*L45</f>
        <v>1884.7531340400003</v>
      </c>
      <c r="N45" s="209">
        <f>VLOOKUP(A45,'GHG Factors FY20'!A:L,10,FALSE)*M45</f>
        <v>132309.67000960803</v>
      </c>
      <c r="O45" s="209">
        <f>VLOOKUP(A45,'GHG Factors FY20'!A:L,11,FALSE)*M45</f>
        <v>0</v>
      </c>
      <c r="P45" s="209">
        <f>VLOOKUP(A45,'GHG Factors FY20'!A:L,12,FALSE)*M45</f>
        <v>6785.1112825440014</v>
      </c>
      <c r="Q45" s="31">
        <f t="shared" si="5"/>
        <v>139094.78129215204</v>
      </c>
    </row>
    <row r="46" spans="1:17" ht="13.8">
      <c r="A46" t="s">
        <v>1035</v>
      </c>
      <c r="B46" s="19" t="s">
        <v>665</v>
      </c>
      <c r="C46" s="19" t="s">
        <v>667</v>
      </c>
      <c r="D46" s="19" t="s">
        <v>666</v>
      </c>
      <c r="E46" s="19" t="s">
        <v>707</v>
      </c>
      <c r="F46" s="19" t="s">
        <v>667</v>
      </c>
      <c r="G46" s="19" t="s">
        <v>1192</v>
      </c>
      <c r="H46" s="20">
        <v>0</v>
      </c>
      <c r="I46" s="20" t="s">
        <v>673</v>
      </c>
      <c r="J46" s="31" t="s">
        <v>658</v>
      </c>
      <c r="K46" s="31" t="s">
        <v>686</v>
      </c>
      <c r="L46" s="31">
        <f t="shared" si="4"/>
        <v>0</v>
      </c>
      <c r="M46" s="31">
        <f>VLOOKUP(A46,'GHG Factors FY20'!A:L,8,FALSE)*L46</f>
        <v>0</v>
      </c>
      <c r="N46" s="209">
        <f>VLOOKUP(A46,'GHG Factors FY20'!A:L,10,FALSE)*M46</f>
        <v>0</v>
      </c>
      <c r="O46" s="209">
        <f>VLOOKUP(A46,'GHG Factors FY20'!A:L,11,FALSE)*M46</f>
        <v>0</v>
      </c>
      <c r="P46" s="209">
        <f>VLOOKUP(A46,'GHG Factors FY20'!A:L,12,FALSE)*M46</f>
        <v>0</v>
      </c>
      <c r="Q46" s="31">
        <f t="shared" si="5"/>
        <v>0</v>
      </c>
    </row>
    <row r="47" spans="1:17" ht="13.8">
      <c r="A47" t="s">
        <v>1042</v>
      </c>
      <c r="B47" s="19" t="s">
        <v>665</v>
      </c>
      <c r="C47" s="19" t="s">
        <v>667</v>
      </c>
      <c r="D47" s="19" t="s">
        <v>666</v>
      </c>
      <c r="E47" s="19" t="s">
        <v>709</v>
      </c>
      <c r="F47" s="19" t="s">
        <v>667</v>
      </c>
      <c r="G47" s="19" t="s">
        <v>1210</v>
      </c>
      <c r="H47" s="20">
        <v>0</v>
      </c>
      <c r="I47" s="20" t="s">
        <v>673</v>
      </c>
      <c r="J47" s="31" t="s">
        <v>658</v>
      </c>
      <c r="K47" s="31" t="s">
        <v>686</v>
      </c>
      <c r="L47" s="31">
        <f t="shared" si="4"/>
        <v>0</v>
      </c>
      <c r="M47" s="31">
        <f>VLOOKUP(A47,'GHG Factors FY20'!A:L,8,FALSE)*L47</f>
        <v>0</v>
      </c>
      <c r="N47" s="209">
        <f>VLOOKUP(A47,'GHG Factors FY20'!A:L,10,FALSE)*M47</f>
        <v>0</v>
      </c>
      <c r="O47" s="209">
        <f>VLOOKUP(A47,'GHG Factors FY20'!A:L,11,FALSE)*M47</f>
        <v>0</v>
      </c>
      <c r="P47" s="209">
        <f>VLOOKUP(A47,'GHG Factors FY20'!A:L,12,FALSE)*M47</f>
        <v>0</v>
      </c>
      <c r="Q47" s="31">
        <f t="shared" si="5"/>
        <v>0</v>
      </c>
    </row>
    <row r="48" spans="1:17" ht="13.8">
      <c r="A48" t="s">
        <v>1032</v>
      </c>
      <c r="B48" s="19" t="s">
        <v>665</v>
      </c>
      <c r="C48" s="19" t="s">
        <v>660</v>
      </c>
      <c r="D48" s="19" t="s">
        <v>666</v>
      </c>
      <c r="E48" s="19" t="s">
        <v>706</v>
      </c>
      <c r="F48" s="19" t="s">
        <v>1228</v>
      </c>
      <c r="G48" s="19" t="s">
        <v>1190</v>
      </c>
      <c r="H48" s="20">
        <v>0</v>
      </c>
      <c r="I48" s="20" t="s">
        <v>673</v>
      </c>
      <c r="J48" s="31" t="s">
        <v>658</v>
      </c>
      <c r="K48" s="31" t="s">
        <v>686</v>
      </c>
      <c r="L48" s="31">
        <f t="shared" si="4"/>
        <v>0</v>
      </c>
      <c r="M48" s="31">
        <f>VLOOKUP(A48,'GHG Factors FY20'!A:L,8,FALSE)*L48</f>
        <v>0</v>
      </c>
      <c r="N48" s="209">
        <f>VLOOKUP(A48,'GHG Factors FY20'!A:L,10,FALSE)*M48</f>
        <v>0</v>
      </c>
      <c r="O48" s="209">
        <f>VLOOKUP(A48,'GHG Factors FY20'!A:L,11,FALSE)*M48</f>
        <v>0</v>
      </c>
      <c r="P48" s="209">
        <f>VLOOKUP(A48,'GHG Factors FY20'!A:L,12,FALSE)*M48</f>
        <v>0</v>
      </c>
      <c r="Q48" s="31">
        <f t="shared" si="5"/>
        <v>0</v>
      </c>
    </row>
    <row r="49" spans="1:17" ht="13.8">
      <c r="A49" t="s">
        <v>1036</v>
      </c>
      <c r="B49" s="19" t="s">
        <v>665</v>
      </c>
      <c r="C49" s="19" t="s">
        <v>660</v>
      </c>
      <c r="D49" s="19" t="s">
        <v>666</v>
      </c>
      <c r="E49" s="19" t="s">
        <v>707</v>
      </c>
      <c r="F49" s="19" t="s">
        <v>1228</v>
      </c>
      <c r="G49" s="19" t="s">
        <v>1192</v>
      </c>
      <c r="H49" s="20">
        <v>0</v>
      </c>
      <c r="I49" s="20" t="s">
        <v>673</v>
      </c>
      <c r="J49" s="31" t="s">
        <v>658</v>
      </c>
      <c r="K49" s="31" t="s">
        <v>686</v>
      </c>
      <c r="L49" s="31">
        <f t="shared" si="4"/>
        <v>0</v>
      </c>
      <c r="M49" s="31">
        <f>VLOOKUP(A49,'GHG Factors FY20'!A:L,8,FALSE)*L49</f>
        <v>0</v>
      </c>
      <c r="N49" s="209">
        <f>VLOOKUP(A49,'GHG Factors FY20'!A:L,10,FALSE)*M49</f>
        <v>0</v>
      </c>
      <c r="O49" s="209">
        <f>VLOOKUP(A49,'GHG Factors FY20'!A:L,11,FALSE)*M49</f>
        <v>0</v>
      </c>
      <c r="P49" s="209">
        <f>VLOOKUP(A49,'GHG Factors FY20'!A:L,12,FALSE)*M49</f>
        <v>0</v>
      </c>
      <c r="Q49" s="31">
        <f t="shared" si="5"/>
        <v>0</v>
      </c>
    </row>
    <row r="50" spans="1:17" ht="13.8">
      <c r="A50" t="s">
        <v>1039</v>
      </c>
      <c r="B50" s="19" t="s">
        <v>665</v>
      </c>
      <c r="C50" s="19" t="s">
        <v>660</v>
      </c>
      <c r="D50" s="19" t="s">
        <v>666</v>
      </c>
      <c r="E50" s="19" t="s">
        <v>708</v>
      </c>
      <c r="F50" s="19" t="s">
        <v>1228</v>
      </c>
      <c r="G50" s="19" t="s">
        <v>1208</v>
      </c>
      <c r="H50" s="20">
        <v>0</v>
      </c>
      <c r="I50" s="20" t="s">
        <v>673</v>
      </c>
      <c r="J50" s="31" t="s">
        <v>658</v>
      </c>
      <c r="K50" s="31" t="s">
        <v>686</v>
      </c>
      <c r="L50" s="31">
        <f t="shared" si="4"/>
        <v>0</v>
      </c>
      <c r="M50" s="31">
        <f>VLOOKUP(A50,'GHG Factors FY20'!A:L,8,FALSE)*L50</f>
        <v>0</v>
      </c>
      <c r="N50" s="209">
        <f>VLOOKUP(A50,'GHG Factors FY20'!A:L,10,FALSE)*M50</f>
        <v>0</v>
      </c>
      <c r="O50" s="209">
        <f>VLOOKUP(A50,'GHG Factors FY20'!A:L,11,FALSE)*M50</f>
        <v>0</v>
      </c>
      <c r="P50" s="209">
        <f>VLOOKUP(A50,'GHG Factors FY20'!A:L,12,FALSE)*M50</f>
        <v>0</v>
      </c>
      <c r="Q50" s="31">
        <f t="shared" si="5"/>
        <v>0</v>
      </c>
    </row>
    <row r="51" spans="1:17" ht="13.8">
      <c r="A51" t="s">
        <v>1043</v>
      </c>
      <c r="B51" s="19" t="s">
        <v>665</v>
      </c>
      <c r="C51" s="19" t="s">
        <v>660</v>
      </c>
      <c r="D51" s="19" t="s">
        <v>666</v>
      </c>
      <c r="E51" s="19" t="s">
        <v>709</v>
      </c>
      <c r="F51" s="19" t="s">
        <v>1228</v>
      </c>
      <c r="G51" s="19" t="s">
        <v>1210</v>
      </c>
      <c r="H51" s="20">
        <v>0</v>
      </c>
      <c r="I51" s="20" t="s">
        <v>673</v>
      </c>
      <c r="J51" s="31" t="s">
        <v>658</v>
      </c>
      <c r="K51" s="31" t="s">
        <v>686</v>
      </c>
      <c r="L51" s="31">
        <f t="shared" si="4"/>
        <v>0</v>
      </c>
      <c r="M51" s="31">
        <f>VLOOKUP(A51,'GHG Factors FY20'!A:L,8,FALSE)*L51</f>
        <v>0</v>
      </c>
      <c r="N51" s="209">
        <f>VLOOKUP(A51,'GHG Factors FY20'!A:L,10,FALSE)*M51</f>
        <v>0</v>
      </c>
      <c r="O51" s="209">
        <f>VLOOKUP(A51,'GHG Factors FY20'!A:L,11,FALSE)*M51</f>
        <v>0</v>
      </c>
      <c r="P51" s="209">
        <f>VLOOKUP(A51,'GHG Factors FY20'!A:L,12,FALSE)*M51</f>
        <v>0</v>
      </c>
      <c r="Q51" s="31">
        <f t="shared" si="5"/>
        <v>0</v>
      </c>
    </row>
    <row r="52" spans="1:17" ht="13.8">
      <c r="A52" t="s">
        <v>1046</v>
      </c>
      <c r="B52" s="19" t="s">
        <v>665</v>
      </c>
      <c r="C52" s="19" t="s">
        <v>660</v>
      </c>
      <c r="D52" s="19" t="s">
        <v>666</v>
      </c>
      <c r="E52" s="19" t="s">
        <v>710</v>
      </c>
      <c r="F52" s="19" t="s">
        <v>1228</v>
      </c>
      <c r="G52" s="19" t="s">
        <v>1193</v>
      </c>
      <c r="H52" s="20">
        <v>0</v>
      </c>
      <c r="I52" s="20" t="s">
        <v>673</v>
      </c>
      <c r="J52" s="31" t="s">
        <v>658</v>
      </c>
      <c r="K52" s="31" t="s">
        <v>686</v>
      </c>
      <c r="L52" s="31">
        <f t="shared" si="4"/>
        <v>0</v>
      </c>
      <c r="M52" s="31">
        <f>VLOOKUP(A52,'GHG Factors FY20'!A:L,8,FALSE)*L52</f>
        <v>0</v>
      </c>
      <c r="N52" s="209">
        <f>VLOOKUP(A52,'GHG Factors FY20'!A:L,10,FALSE)*M52</f>
        <v>0</v>
      </c>
      <c r="O52" s="209">
        <f>VLOOKUP(A52,'GHG Factors FY20'!A:L,11,FALSE)*M52</f>
        <v>0</v>
      </c>
      <c r="P52" s="209">
        <f>VLOOKUP(A52,'GHG Factors FY20'!A:L,12,FALSE)*M52</f>
        <v>0</v>
      </c>
      <c r="Q52" s="31">
        <f t="shared" si="5"/>
        <v>0</v>
      </c>
    </row>
    <row r="53" spans="1:17" ht="13.8">
      <c r="A53" t="s">
        <v>1049</v>
      </c>
      <c r="B53" s="19" t="s">
        <v>665</v>
      </c>
      <c r="C53" s="19" t="s">
        <v>660</v>
      </c>
      <c r="D53" s="19" t="s">
        <v>666</v>
      </c>
      <c r="E53" s="19" t="s">
        <v>711</v>
      </c>
      <c r="F53" s="19" t="s">
        <v>1228</v>
      </c>
      <c r="G53" s="19" t="s">
        <v>1213</v>
      </c>
      <c r="H53" s="20">
        <v>0</v>
      </c>
      <c r="I53" s="20" t="s">
        <v>673</v>
      </c>
      <c r="J53" s="31" t="s">
        <v>658</v>
      </c>
      <c r="K53" s="31" t="s">
        <v>686</v>
      </c>
      <c r="L53" s="31">
        <f t="shared" si="4"/>
        <v>0</v>
      </c>
      <c r="M53" s="31">
        <f>VLOOKUP(A53,'GHG Factors FY20'!A:L,8,FALSE)*L53</f>
        <v>0</v>
      </c>
      <c r="N53" s="209">
        <f>VLOOKUP(A53,'GHG Factors FY20'!A:L,10,FALSE)*M53</f>
        <v>0</v>
      </c>
      <c r="O53" s="209">
        <f>VLOOKUP(A53,'GHG Factors FY20'!A:L,11,FALSE)*M53</f>
        <v>0</v>
      </c>
      <c r="P53" s="209">
        <f>VLOOKUP(A53,'GHG Factors FY20'!A:L,12,FALSE)*M53</f>
        <v>0</v>
      </c>
      <c r="Q53" s="31">
        <f t="shared" si="5"/>
        <v>0</v>
      </c>
    </row>
    <row r="54" spans="1:17" ht="13.8">
      <c r="A54" t="s">
        <v>1052</v>
      </c>
      <c r="B54" s="19" t="s">
        <v>665</v>
      </c>
      <c r="C54" s="19" t="s">
        <v>660</v>
      </c>
      <c r="D54" s="19" t="s">
        <v>666</v>
      </c>
      <c r="E54" s="19" t="s">
        <v>712</v>
      </c>
      <c r="F54" s="19" t="s">
        <v>1228</v>
      </c>
      <c r="G54" s="19" t="s">
        <v>1189</v>
      </c>
      <c r="H54" s="20">
        <v>0</v>
      </c>
      <c r="I54" s="20" t="s">
        <v>673</v>
      </c>
      <c r="J54" s="31" t="s">
        <v>658</v>
      </c>
      <c r="K54" s="31" t="s">
        <v>686</v>
      </c>
      <c r="L54" s="31">
        <f t="shared" si="4"/>
        <v>0</v>
      </c>
      <c r="M54" s="31">
        <f>VLOOKUP(A54,'GHG Factors FY20'!A:L,8,FALSE)*L54</f>
        <v>0</v>
      </c>
      <c r="N54" s="209">
        <f>VLOOKUP(A54,'GHG Factors FY20'!A:L,10,FALSE)*M54</f>
        <v>0</v>
      </c>
      <c r="O54" s="209">
        <f>VLOOKUP(A54,'GHG Factors FY20'!A:L,11,FALSE)*M54</f>
        <v>0</v>
      </c>
      <c r="P54" s="209">
        <f>VLOOKUP(A54,'GHG Factors FY20'!A:L,12,FALSE)*M54</f>
        <v>0</v>
      </c>
      <c r="Q54" s="31">
        <f t="shared" si="5"/>
        <v>0</v>
      </c>
    </row>
    <row r="55" spans="1:17" ht="13.8">
      <c r="A55" t="s">
        <v>1055</v>
      </c>
      <c r="B55" s="19" t="s">
        <v>665</v>
      </c>
      <c r="C55" s="19" t="s">
        <v>660</v>
      </c>
      <c r="D55" s="19" t="s">
        <v>666</v>
      </c>
      <c r="E55" s="19" t="s">
        <v>713</v>
      </c>
      <c r="F55" s="19" t="s">
        <v>1228</v>
      </c>
      <c r="G55" s="19" t="s">
        <v>1216</v>
      </c>
      <c r="H55" s="20">
        <v>0</v>
      </c>
      <c r="I55" s="20" t="s">
        <v>673</v>
      </c>
      <c r="J55" s="31" t="s">
        <v>658</v>
      </c>
      <c r="K55" s="31" t="s">
        <v>686</v>
      </c>
      <c r="L55" s="31">
        <f t="shared" si="4"/>
        <v>0</v>
      </c>
      <c r="M55" s="31">
        <f>VLOOKUP(A55,'GHG Factors FY20'!A:L,8,FALSE)*L55</f>
        <v>0</v>
      </c>
      <c r="N55" s="209">
        <f>VLOOKUP(A55,'GHG Factors FY20'!A:L,10,FALSE)*M55</f>
        <v>0</v>
      </c>
      <c r="O55" s="209">
        <f>VLOOKUP(A55,'GHG Factors FY20'!A:L,11,FALSE)*M55</f>
        <v>0</v>
      </c>
      <c r="P55" s="209">
        <f>VLOOKUP(A55,'GHG Factors FY20'!A:L,12,FALSE)*M55</f>
        <v>0</v>
      </c>
      <c r="Q55" s="31">
        <f t="shared" si="5"/>
        <v>0</v>
      </c>
    </row>
    <row r="56" spans="1:17" ht="13.8">
      <c r="A56" t="s">
        <v>1033</v>
      </c>
      <c r="B56" s="19" t="s">
        <v>665</v>
      </c>
      <c r="C56" s="19" t="s">
        <v>659</v>
      </c>
      <c r="D56" s="19" t="s">
        <v>666</v>
      </c>
      <c r="E56" s="19" t="s">
        <v>706</v>
      </c>
      <c r="F56" s="19" t="s">
        <v>1234</v>
      </c>
      <c r="G56" s="19" t="s">
        <v>1190</v>
      </c>
      <c r="H56" s="20">
        <v>0</v>
      </c>
      <c r="I56" s="20" t="s">
        <v>673</v>
      </c>
      <c r="J56" s="31" t="s">
        <v>658</v>
      </c>
      <c r="K56" s="31" t="s">
        <v>686</v>
      </c>
      <c r="L56" s="31">
        <f t="shared" si="4"/>
        <v>0</v>
      </c>
      <c r="M56" s="31">
        <f>VLOOKUP(A56,'GHG Factors FY20'!A:L,8,FALSE)*L56</f>
        <v>0</v>
      </c>
      <c r="N56" s="209">
        <f>VLOOKUP(A56,'GHG Factors FY20'!A:L,10,FALSE)*M56</f>
        <v>0</v>
      </c>
      <c r="O56" s="209">
        <f>VLOOKUP(A56,'GHG Factors FY20'!A:L,11,FALSE)*M56</f>
        <v>0</v>
      </c>
      <c r="P56" s="209">
        <f>VLOOKUP(A56,'GHG Factors FY20'!A:L,12,FALSE)*M56</f>
        <v>0</v>
      </c>
      <c r="Q56" s="31">
        <f t="shared" si="5"/>
        <v>0</v>
      </c>
    </row>
    <row r="57" spans="1:17" ht="13.8">
      <c r="A57" t="s">
        <v>1037</v>
      </c>
      <c r="B57" s="19" t="s">
        <v>665</v>
      </c>
      <c r="C57" s="19" t="s">
        <v>659</v>
      </c>
      <c r="D57" s="19" t="s">
        <v>666</v>
      </c>
      <c r="E57" s="19" t="s">
        <v>707</v>
      </c>
      <c r="F57" s="19" t="s">
        <v>1234</v>
      </c>
      <c r="G57" s="19" t="s">
        <v>1192</v>
      </c>
      <c r="H57" s="20">
        <v>4215.9413000000004</v>
      </c>
      <c r="I57" s="20" t="s">
        <v>673</v>
      </c>
      <c r="J57" s="31" t="s">
        <v>658</v>
      </c>
      <c r="K57" s="31" t="s">
        <v>686</v>
      </c>
      <c r="L57" s="31">
        <f t="shared" si="4"/>
        <v>4.2159413000000008</v>
      </c>
      <c r="M57" s="31">
        <f>VLOOKUP(A57,'GHG Factors FY20'!A:L,8,FALSE)*L57</f>
        <v>144.18519246000002</v>
      </c>
      <c r="N57" s="209">
        <f>VLOOKUP(A57,'GHG Factors FY20'!A:L,10,FALSE)*M57</f>
        <v>9775.7560487880037</v>
      </c>
      <c r="O57" s="209">
        <f>VLOOKUP(A57,'GHG Factors FY20'!A:L,11,FALSE)*M57</f>
        <v>0</v>
      </c>
      <c r="P57" s="209">
        <f>VLOOKUP(A57,'GHG Factors FY20'!A:L,12,FALSE)*M57</f>
        <v>519.06669285600015</v>
      </c>
      <c r="Q57" s="31">
        <f t="shared" si="5"/>
        <v>10294.822741644004</v>
      </c>
    </row>
    <row r="58" spans="1:17" ht="13.8">
      <c r="A58" t="s">
        <v>1040</v>
      </c>
      <c r="B58" s="19" t="s">
        <v>665</v>
      </c>
      <c r="C58" s="19" t="s">
        <v>659</v>
      </c>
      <c r="D58" s="19" t="s">
        <v>666</v>
      </c>
      <c r="E58" s="19" t="s">
        <v>708</v>
      </c>
      <c r="F58" s="19" t="s">
        <v>1234</v>
      </c>
      <c r="G58" s="19" t="s">
        <v>1208</v>
      </c>
      <c r="H58" s="20">
        <v>0</v>
      </c>
      <c r="I58" s="20" t="s">
        <v>673</v>
      </c>
      <c r="J58" s="31" t="s">
        <v>658</v>
      </c>
      <c r="K58" s="31" t="s">
        <v>686</v>
      </c>
      <c r="L58" s="31">
        <f t="shared" si="4"/>
        <v>0</v>
      </c>
      <c r="M58" s="31">
        <f>VLOOKUP(A58,'GHG Factors FY20'!A:L,8,FALSE)*L58</f>
        <v>0</v>
      </c>
      <c r="N58" s="209">
        <f>VLOOKUP(A58,'GHG Factors FY20'!A:L,10,FALSE)*M58</f>
        <v>0</v>
      </c>
      <c r="O58" s="209">
        <f>VLOOKUP(A58,'GHG Factors FY20'!A:L,11,FALSE)*M58</f>
        <v>0</v>
      </c>
      <c r="P58" s="209">
        <f>VLOOKUP(A58,'GHG Factors FY20'!A:L,12,FALSE)*M58</f>
        <v>0</v>
      </c>
      <c r="Q58" s="31">
        <f t="shared" si="5"/>
        <v>0</v>
      </c>
    </row>
    <row r="59" spans="1:17" ht="13.8">
      <c r="A59" t="s">
        <v>1044</v>
      </c>
      <c r="B59" s="19" t="s">
        <v>665</v>
      </c>
      <c r="C59" s="19" t="s">
        <v>659</v>
      </c>
      <c r="D59" s="19" t="s">
        <v>666</v>
      </c>
      <c r="E59" s="19" t="s">
        <v>709</v>
      </c>
      <c r="F59" s="19" t="s">
        <v>1234</v>
      </c>
      <c r="G59" s="19" t="s">
        <v>1210</v>
      </c>
      <c r="H59" s="20">
        <v>1910.4066</v>
      </c>
      <c r="I59" s="20" t="s">
        <v>673</v>
      </c>
      <c r="J59" s="31" t="s">
        <v>658</v>
      </c>
      <c r="K59" s="31" t="s">
        <v>686</v>
      </c>
      <c r="L59" s="31">
        <f t="shared" si="4"/>
        <v>1.9104066</v>
      </c>
      <c r="M59" s="31">
        <f>VLOOKUP(A59,'GHG Factors FY20'!A:L,8,FALSE)*L59</f>
        <v>65.33590572</v>
      </c>
      <c r="N59" s="209">
        <f>VLOOKUP(A59,'GHG Factors FY20'!A:L,10,FALSE)*M59</f>
        <v>4429.7744078160003</v>
      </c>
      <c r="O59" s="209">
        <f>VLOOKUP(A59,'GHG Factors FY20'!A:L,11,FALSE)*M59</f>
        <v>0</v>
      </c>
      <c r="P59" s="209">
        <f>VLOOKUP(A59,'GHG Factors FY20'!A:L,12,FALSE)*M59</f>
        <v>235.20926059199999</v>
      </c>
      <c r="Q59" s="31">
        <f t="shared" si="5"/>
        <v>4664.9836684080001</v>
      </c>
    </row>
    <row r="60" spans="1:17" ht="13.8">
      <c r="A60" t="s">
        <v>1047</v>
      </c>
      <c r="B60" s="19" t="s">
        <v>665</v>
      </c>
      <c r="C60" s="19" t="s">
        <v>659</v>
      </c>
      <c r="D60" s="19" t="s">
        <v>666</v>
      </c>
      <c r="E60" s="19" t="s">
        <v>710</v>
      </c>
      <c r="F60" s="19" t="s">
        <v>1234</v>
      </c>
      <c r="G60" s="19" t="s">
        <v>1193</v>
      </c>
      <c r="H60" s="20">
        <v>259.72629999999998</v>
      </c>
      <c r="I60" s="20" t="s">
        <v>673</v>
      </c>
      <c r="J60" s="31" t="s">
        <v>658</v>
      </c>
      <c r="K60" s="31" t="s">
        <v>686</v>
      </c>
      <c r="L60" s="31">
        <f t="shared" si="4"/>
        <v>0.25972629999999997</v>
      </c>
      <c r="M60" s="31">
        <f>VLOOKUP(A60,'GHG Factors FY20'!A:L,8,FALSE)*L60</f>
        <v>8.88263946</v>
      </c>
      <c r="N60" s="209">
        <f>VLOOKUP(A60,'GHG Factors FY20'!A:L,10,FALSE)*M60</f>
        <v>602.24295538800015</v>
      </c>
      <c r="O60" s="209">
        <f>VLOOKUP(A60,'GHG Factors FY20'!A:L,11,FALSE)*M60</f>
        <v>0</v>
      </c>
      <c r="P60" s="209">
        <f>VLOOKUP(A60,'GHG Factors FY20'!A:L,12,FALSE)*M60</f>
        <v>31.977502056000002</v>
      </c>
      <c r="Q60" s="31">
        <f t="shared" si="5"/>
        <v>634.2204574440002</v>
      </c>
    </row>
    <row r="61" spans="1:17" ht="13.8">
      <c r="A61" t="s">
        <v>1050</v>
      </c>
      <c r="B61" s="19" t="s">
        <v>665</v>
      </c>
      <c r="C61" s="19" t="s">
        <v>659</v>
      </c>
      <c r="D61" s="19" t="s">
        <v>666</v>
      </c>
      <c r="E61" s="19" t="s">
        <v>711</v>
      </c>
      <c r="F61" s="19" t="s">
        <v>1234</v>
      </c>
      <c r="G61" s="19" t="s">
        <v>1213</v>
      </c>
      <c r="H61" s="20">
        <v>0</v>
      </c>
      <c r="I61" s="20" t="s">
        <v>673</v>
      </c>
      <c r="J61" s="31" t="s">
        <v>658</v>
      </c>
      <c r="K61" s="31" t="s">
        <v>686</v>
      </c>
      <c r="L61" s="31">
        <f t="shared" si="4"/>
        <v>0</v>
      </c>
      <c r="M61" s="31">
        <f>VLOOKUP(A61,'GHG Factors FY20'!A:L,8,FALSE)*L61</f>
        <v>0</v>
      </c>
      <c r="N61" s="209">
        <f>VLOOKUP(A61,'GHG Factors FY20'!A:L,10,FALSE)*M61</f>
        <v>0</v>
      </c>
      <c r="O61" s="209">
        <f>VLOOKUP(A61,'GHG Factors FY20'!A:L,11,FALSE)*M61</f>
        <v>0</v>
      </c>
      <c r="P61" s="209">
        <f>VLOOKUP(A61,'GHG Factors FY20'!A:L,12,FALSE)*M61</f>
        <v>0</v>
      </c>
      <c r="Q61" s="31">
        <f t="shared" si="5"/>
        <v>0</v>
      </c>
    </row>
    <row r="62" spans="1:17" ht="13.8">
      <c r="A62" t="s">
        <v>1053</v>
      </c>
      <c r="B62" s="19" t="s">
        <v>665</v>
      </c>
      <c r="C62" s="19" t="s">
        <v>659</v>
      </c>
      <c r="D62" s="19" t="s">
        <v>666</v>
      </c>
      <c r="E62" s="19" t="s">
        <v>712</v>
      </c>
      <c r="F62" s="19" t="s">
        <v>1234</v>
      </c>
      <c r="G62" s="19" t="s">
        <v>1189</v>
      </c>
      <c r="H62" s="20">
        <v>10549.650100000001</v>
      </c>
      <c r="I62" s="20" t="s">
        <v>673</v>
      </c>
      <c r="J62" s="31" t="s">
        <v>658</v>
      </c>
      <c r="K62" s="31" t="s">
        <v>686</v>
      </c>
      <c r="L62" s="31">
        <f t="shared" si="4"/>
        <v>10.549650100000001</v>
      </c>
      <c r="M62" s="31">
        <f>VLOOKUP(A62,'GHG Factors FY20'!A:L,8,FALSE)*L62</f>
        <v>360.79803342000008</v>
      </c>
      <c r="N62" s="209">
        <f>VLOOKUP(A62,'GHG Factors FY20'!A:L,10,FALSE)*M62</f>
        <v>24462.10666587601</v>
      </c>
      <c r="O62" s="209">
        <f>VLOOKUP(A62,'GHG Factors FY20'!A:L,11,FALSE)*M62</f>
        <v>0</v>
      </c>
      <c r="P62" s="209">
        <f>VLOOKUP(A62,'GHG Factors FY20'!A:L,12,FALSE)*M62</f>
        <v>1298.8729203120004</v>
      </c>
      <c r="Q62" s="31">
        <f t="shared" si="5"/>
        <v>25760.979586188012</v>
      </c>
    </row>
    <row r="63" spans="1:17" ht="13.8">
      <c r="A63" t="s">
        <v>1056</v>
      </c>
      <c r="B63" s="19" t="s">
        <v>665</v>
      </c>
      <c r="C63" s="19" t="s">
        <v>659</v>
      </c>
      <c r="D63" s="19" t="s">
        <v>666</v>
      </c>
      <c r="E63" s="19" t="s">
        <v>713</v>
      </c>
      <c r="F63" s="19" t="s">
        <v>1234</v>
      </c>
      <c r="G63" s="19" t="s">
        <v>1216</v>
      </c>
      <c r="H63" s="20">
        <v>4172.4142999999995</v>
      </c>
      <c r="I63" s="20" t="s">
        <v>673</v>
      </c>
      <c r="J63" s="31" t="s">
        <v>658</v>
      </c>
      <c r="K63" s="31" t="s">
        <v>686</v>
      </c>
      <c r="L63" s="31">
        <f t="shared" si="4"/>
        <v>4.1724142999999998</v>
      </c>
      <c r="M63" s="31">
        <f>VLOOKUP(A63,'GHG Factors FY20'!A:L,8,FALSE)*L63</f>
        <v>142.69656906</v>
      </c>
      <c r="N63" s="209">
        <f>VLOOKUP(A63,'GHG Factors FY20'!A:L,10,FALSE)*M63</f>
        <v>9674.8273822680021</v>
      </c>
      <c r="O63" s="209">
        <f>VLOOKUP(A63,'GHG Factors FY20'!A:L,11,FALSE)*M63</f>
        <v>0</v>
      </c>
      <c r="P63" s="209">
        <f>VLOOKUP(A63,'GHG Factors FY20'!A:L,12,FALSE)*M63</f>
        <v>513.70764861600003</v>
      </c>
      <c r="Q63" s="31">
        <f t="shared" si="5"/>
        <v>10188.535030884002</v>
      </c>
    </row>
    <row r="64" spans="1:17" ht="13.8">
      <c r="A64" s="25"/>
    </row>
    <row r="65" spans="1:8">
      <c r="A65" s="812"/>
      <c r="H65" s="20">
        <f>SUM(Table121[Consumption Quantity (L)])</f>
        <v>1101988.9667000002</v>
      </c>
    </row>
  </sheetData>
  <sortState xmlns:xlrd2="http://schemas.microsoft.com/office/spreadsheetml/2017/richdata2" ref="B24:G30">
    <sortCondition ref="G24:G30"/>
  </sortState>
  <pageMargins left="0.7" right="0.7" top="0.75" bottom="0.75" header="0.3" footer="0.3"/>
  <pageSetup paperSize="9" orientation="portrait" r:id="rId1"/>
  <tableParts count="2">
    <tablePart r:id="rId2"/>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00B050"/>
  </sheetPr>
  <dimension ref="A1:Y52"/>
  <sheetViews>
    <sheetView zoomScale="70" zoomScaleNormal="70" workbookViewId="0">
      <selection activeCell="H15" sqref="H15"/>
    </sheetView>
  </sheetViews>
  <sheetFormatPr defaultColWidth="8.8984375" defaultRowHeight="13.8"/>
  <cols>
    <col min="1" max="1" width="37.5" bestFit="1" customWidth="1"/>
    <col min="2" max="2" width="14.59765625" bestFit="1" customWidth="1"/>
    <col min="3" max="3" width="17.59765625" bestFit="1" customWidth="1"/>
    <col min="4" max="4" width="16.59765625" customWidth="1"/>
    <col min="5" max="5" width="21.5" customWidth="1"/>
    <col min="6" max="6" width="7" bestFit="1" customWidth="1"/>
    <col min="7" max="7" width="7.5" bestFit="1" customWidth="1"/>
    <col min="8" max="8" width="25.59765625" bestFit="1" customWidth="1"/>
    <col min="9" max="9" width="20.5" bestFit="1" customWidth="1"/>
    <col min="10" max="10" width="14.59765625" bestFit="1" customWidth="1"/>
    <col min="11" max="11" width="21.59765625" bestFit="1" customWidth="1"/>
    <col min="12" max="12" width="41.09765625" bestFit="1" customWidth="1"/>
    <col min="13" max="13" width="17.09765625" bestFit="1" customWidth="1"/>
    <col min="14" max="14" width="42.09765625" bestFit="1" customWidth="1"/>
    <col min="15" max="15" width="7.5" bestFit="1" customWidth="1"/>
    <col min="16" max="16" width="22.59765625" bestFit="1" customWidth="1"/>
    <col min="17" max="17" width="20.5" bestFit="1" customWidth="1"/>
  </cols>
  <sheetData>
    <row r="1" spans="1:25">
      <c r="A1" s="817" t="s">
        <v>91</v>
      </c>
      <c r="B1" s="817" t="s">
        <v>1175</v>
      </c>
    </row>
    <row r="2" spans="1:25">
      <c r="A2" t="s">
        <v>750</v>
      </c>
      <c r="B2" t="s">
        <v>646</v>
      </c>
      <c r="C2" t="s">
        <v>647</v>
      </c>
      <c r="D2" t="s">
        <v>648</v>
      </c>
      <c r="E2" t="s">
        <v>1200</v>
      </c>
      <c r="F2" t="s">
        <v>156</v>
      </c>
      <c r="G2" t="s">
        <v>1187</v>
      </c>
      <c r="H2" s="431" t="s">
        <v>1219</v>
      </c>
      <c r="I2" s="1" t="s">
        <v>1220</v>
      </c>
      <c r="J2" s="37" t="s">
        <v>649</v>
      </c>
      <c r="K2" s="37" t="s">
        <v>684</v>
      </c>
      <c r="L2" s="37" t="s">
        <v>650</v>
      </c>
      <c r="M2" s="37" t="s">
        <v>651</v>
      </c>
      <c r="N2" s="37" t="s">
        <v>652</v>
      </c>
      <c r="O2" s="37" t="s">
        <v>653</v>
      </c>
      <c r="P2" s="37" t="s">
        <v>654</v>
      </c>
      <c r="Q2" s="37" t="s">
        <v>751</v>
      </c>
    </row>
    <row r="3" spans="1:25">
      <c r="A3" t="s">
        <v>963</v>
      </c>
      <c r="B3" s="23" t="s">
        <v>665</v>
      </c>
      <c r="C3" t="s">
        <v>1272</v>
      </c>
      <c r="D3" t="s">
        <v>666</v>
      </c>
      <c r="E3" t="s">
        <v>1205</v>
      </c>
      <c r="F3" t="s">
        <v>656</v>
      </c>
      <c r="G3" t="s">
        <v>1190</v>
      </c>
      <c r="H3" s="431">
        <v>554.79040000000009</v>
      </c>
      <c r="I3" s="1" t="s">
        <v>673</v>
      </c>
      <c r="J3" s="50" t="s">
        <v>658</v>
      </c>
      <c r="K3" s="50" t="s">
        <v>686</v>
      </c>
      <c r="L3" s="211">
        <f t="shared" ref="L3:L17" si="0">H3/1000</f>
        <v>0.55479040000000013</v>
      </c>
      <c r="M3" s="72">
        <f>VLOOKUP(A3,'GHG Factors FY21'!A:L,8,FALSE)*L3</f>
        <v>21.414909440000006</v>
      </c>
      <c r="N3" s="72">
        <f>VLOOKUP(A3,'GHG Factors FY21'!A:L,10,FALSE)*M3</f>
        <v>1503.3266426880004</v>
      </c>
      <c r="O3" s="72">
        <f>VLOOKUP(A3,'GHG Factors FY21'!A:L,11,FALSE)*M3</f>
        <v>0</v>
      </c>
      <c r="P3" s="72">
        <f>VLOOKUP(A3,'GHG Factors FY21'!A:L,12,FALSE)*M3</f>
        <v>77.09367398400002</v>
      </c>
      <c r="Q3" s="51">
        <f t="shared" ref="Q3:Q17" si="1">SUM(N3,O3,P3)</f>
        <v>1580.4203166720004</v>
      </c>
      <c r="S3" t="s">
        <v>963</v>
      </c>
      <c r="T3">
        <v>555.87959999999998</v>
      </c>
      <c r="U3">
        <v>21.480000000000004</v>
      </c>
      <c r="V3">
        <v>1.5064999999999995</v>
      </c>
      <c r="W3">
        <v>7.6800000000000007E-2</v>
      </c>
      <c r="X3" s="241">
        <f>Grounds_Fuels33[[#This Row],[Sum of Scope 1 kg CO2-e]]/1000-V3</f>
        <v>-3.17335731199897E-3</v>
      </c>
      <c r="Y3" s="5">
        <f>Grounds_Fuels33[[#This Row],[Sum of Scope 3 kg CO2-e]]/1000-W3</f>
        <v>2.9367398400001465E-4</v>
      </c>
    </row>
    <row r="4" spans="1:25">
      <c r="A4" t="s">
        <v>964</v>
      </c>
      <c r="B4" s="23" t="s">
        <v>665</v>
      </c>
      <c r="C4" t="s">
        <v>1272</v>
      </c>
      <c r="D4" t="s">
        <v>666</v>
      </c>
      <c r="E4" t="s">
        <v>1206</v>
      </c>
      <c r="F4" t="s">
        <v>656</v>
      </c>
      <c r="G4" t="s">
        <v>1192</v>
      </c>
      <c r="H4" s="431">
        <v>22875.150200000004</v>
      </c>
      <c r="I4" s="1" t="s">
        <v>673</v>
      </c>
      <c r="J4" s="50" t="s">
        <v>658</v>
      </c>
      <c r="K4" s="50" t="s">
        <v>686</v>
      </c>
      <c r="L4" s="211">
        <f t="shared" si="0"/>
        <v>22.875150200000004</v>
      </c>
      <c r="M4" s="72">
        <f>VLOOKUP(A4,'GHG Factors FY21'!A:L,8,FALSE)*L4</f>
        <v>882.98079772000017</v>
      </c>
      <c r="N4" s="72">
        <f>VLOOKUP(A4,'GHG Factors FY21'!A:L,10,FALSE)*M4</f>
        <v>61985.251999944012</v>
      </c>
      <c r="O4" s="72">
        <f>VLOOKUP(A4,'GHG Factors FY21'!A:L,11,FALSE)*M4</f>
        <v>0</v>
      </c>
      <c r="P4" s="72">
        <f>VLOOKUP(A4,'GHG Factors FY21'!A:L,12,FALSE)*M4</f>
        <v>3178.7308717920005</v>
      </c>
      <c r="Q4" s="51">
        <f t="shared" si="1"/>
        <v>65163.982871736014</v>
      </c>
      <c r="S4" t="s">
        <v>964</v>
      </c>
      <c r="T4">
        <v>22942.079900000001</v>
      </c>
      <c r="U4">
        <v>885.6</v>
      </c>
      <c r="V4">
        <v>62.166700000000006</v>
      </c>
      <c r="W4">
        <v>3.1877999999999997</v>
      </c>
      <c r="X4" s="241">
        <f>Grounds_Fuels33[[#This Row],[Sum of Scope 1 kg CO2-e]]/1000-V4</f>
        <v>-0.18144800005599393</v>
      </c>
      <c r="Y4" s="5">
        <f>Grounds_Fuels33[[#This Row],[Sum of Scope 3 kg CO2-e]]/1000-W4</f>
        <v>-9.0691282079990998E-3</v>
      </c>
    </row>
    <row r="5" spans="1:25">
      <c r="A5" t="s">
        <v>965</v>
      </c>
      <c r="B5" s="23" t="s">
        <v>665</v>
      </c>
      <c r="C5" t="s">
        <v>1272</v>
      </c>
      <c r="D5" t="s">
        <v>666</v>
      </c>
      <c r="E5" t="s">
        <v>1207</v>
      </c>
      <c r="F5" t="s">
        <v>656</v>
      </c>
      <c r="G5" t="s">
        <v>1208</v>
      </c>
      <c r="H5" s="431">
        <v>1197.8001999999999</v>
      </c>
      <c r="I5" s="1" t="s">
        <v>673</v>
      </c>
      <c r="J5" s="50" t="s">
        <v>658</v>
      </c>
      <c r="K5" s="50" t="s">
        <v>686</v>
      </c>
      <c r="L5" s="211">
        <f t="shared" si="0"/>
        <v>1.1978001999999999</v>
      </c>
      <c r="M5" s="72">
        <f>VLOOKUP(A5,'GHG Factors FY21'!A:L,8,FALSE)*L5</f>
        <v>46.235087719999996</v>
      </c>
      <c r="N5" s="72">
        <f>VLOOKUP(A5,'GHG Factors FY21'!A:L,10,FALSE)*M5</f>
        <v>3245.7031579439999</v>
      </c>
      <c r="O5" s="72">
        <f>VLOOKUP(A5,'GHG Factors FY21'!A:L,11,FALSE)*M5</f>
        <v>0</v>
      </c>
      <c r="P5" s="72">
        <f>VLOOKUP(A5,'GHG Factors FY21'!A:L,12,FALSE)*M5</f>
        <v>166.44631579199998</v>
      </c>
      <c r="Q5" s="51">
        <f t="shared" si="1"/>
        <v>3412.1494737359999</v>
      </c>
      <c r="S5" t="s">
        <v>965</v>
      </c>
      <c r="T5">
        <v>1229.1402</v>
      </c>
      <c r="U5">
        <v>47.459999999999994</v>
      </c>
      <c r="V5">
        <v>3.3306000000000009</v>
      </c>
      <c r="W5">
        <v>0.17100000000000004</v>
      </c>
      <c r="X5" s="241">
        <f>Grounds_Fuels33[[#This Row],[Sum of Scope 1 kg CO2-e]]/1000-V5</f>
        <v>-8.489684205600101E-2</v>
      </c>
      <c r="Y5" s="5">
        <f>Grounds_Fuels33[[#This Row],[Sum of Scope 3 kg CO2-e]]/1000-W5</f>
        <v>-4.5536842080000639E-3</v>
      </c>
    </row>
    <row r="6" spans="1:25">
      <c r="A6" t="s">
        <v>966</v>
      </c>
      <c r="B6" s="23" t="s">
        <v>665</v>
      </c>
      <c r="C6" t="s">
        <v>1272</v>
      </c>
      <c r="D6" t="s">
        <v>666</v>
      </c>
      <c r="E6" t="s">
        <v>1209</v>
      </c>
      <c r="F6" t="s">
        <v>656</v>
      </c>
      <c r="G6" t="s">
        <v>1210</v>
      </c>
      <c r="H6" s="431">
        <v>19458.909800000001</v>
      </c>
      <c r="I6" s="1" t="s">
        <v>673</v>
      </c>
      <c r="J6" s="50" t="s">
        <v>658</v>
      </c>
      <c r="K6" s="50" t="s">
        <v>686</v>
      </c>
      <c r="L6" s="211">
        <f t="shared" si="0"/>
        <v>19.458909800000001</v>
      </c>
      <c r="M6" s="72">
        <f>VLOOKUP(A6,'GHG Factors FY21'!A:L,8,FALSE)*L6</f>
        <v>751.11391828000001</v>
      </c>
      <c r="N6" s="72">
        <f>VLOOKUP(A6,'GHG Factors FY21'!A:L,10,FALSE)*M6</f>
        <v>52728.197063256004</v>
      </c>
      <c r="O6" s="72">
        <f>VLOOKUP(A6,'GHG Factors FY21'!A:L,11,FALSE)*M6</f>
        <v>0</v>
      </c>
      <c r="P6" s="72">
        <f>VLOOKUP(A6,'GHG Factors FY21'!A:L,12,FALSE)*M6</f>
        <v>2704.0101058079999</v>
      </c>
      <c r="Q6" s="51">
        <f t="shared" si="1"/>
        <v>55432.207169064</v>
      </c>
      <c r="S6" t="s">
        <v>966</v>
      </c>
      <c r="T6">
        <v>14214.039699999998</v>
      </c>
      <c r="U6">
        <v>548.6400000000001</v>
      </c>
      <c r="V6">
        <v>38.516300000000001</v>
      </c>
      <c r="W6">
        <v>1.9751999999999998</v>
      </c>
      <c r="X6" s="241">
        <f>Grounds_Fuels33[[#This Row],[Sum of Scope 1 kg CO2-e]]/1000-V6</f>
        <v>14.211897063256004</v>
      </c>
      <c r="Y6" s="5">
        <f>Grounds_Fuels33[[#This Row],[Sum of Scope 3 kg CO2-e]]/1000-W6</f>
        <v>0.7288101058080001</v>
      </c>
    </row>
    <row r="7" spans="1:25">
      <c r="A7" t="s">
        <v>967</v>
      </c>
      <c r="B7" s="23" t="s">
        <v>665</v>
      </c>
      <c r="C7" t="s">
        <v>1272</v>
      </c>
      <c r="D7" t="s">
        <v>666</v>
      </c>
      <c r="E7" t="s">
        <v>1211</v>
      </c>
      <c r="F7" t="s">
        <v>656</v>
      </c>
      <c r="G7" t="s">
        <v>1193</v>
      </c>
      <c r="H7" s="431">
        <v>9948.7403000000013</v>
      </c>
      <c r="I7" s="1" t="s">
        <v>673</v>
      </c>
      <c r="J7" s="50" t="s">
        <v>658</v>
      </c>
      <c r="K7" s="50" t="s">
        <v>686</v>
      </c>
      <c r="L7" s="211">
        <f t="shared" si="0"/>
        <v>9.9487403000000008</v>
      </c>
      <c r="M7" s="72">
        <f>VLOOKUP(A7,'GHG Factors FY21'!A:L,8,FALSE)*L7</f>
        <v>384.02137558000004</v>
      </c>
      <c r="N7" s="72">
        <f>VLOOKUP(A7,'GHG Factors FY21'!A:L,10,FALSE)*M7</f>
        <v>26958.300565716003</v>
      </c>
      <c r="O7" s="72">
        <f>VLOOKUP(A7,'GHG Factors FY21'!A:L,11,FALSE)*M7</f>
        <v>0</v>
      </c>
      <c r="P7" s="72">
        <f>VLOOKUP(A7,'GHG Factors FY21'!A:L,12,FALSE)*M7</f>
        <v>1382.4769520880002</v>
      </c>
      <c r="Q7" s="51">
        <f t="shared" si="1"/>
        <v>28340.777517804003</v>
      </c>
      <c r="S7" t="s">
        <v>967</v>
      </c>
      <c r="T7">
        <v>9794.01</v>
      </c>
      <c r="U7">
        <v>378.05</v>
      </c>
      <c r="V7">
        <v>26.538599999999995</v>
      </c>
      <c r="W7">
        <v>1.3612999999999997</v>
      </c>
      <c r="X7" s="241">
        <f>Grounds_Fuels33[[#This Row],[Sum of Scope 1 kg CO2-e]]/1000-V7</f>
        <v>0.41970056571600622</v>
      </c>
      <c r="Y7" s="5">
        <f>Grounds_Fuels33[[#This Row],[Sum of Scope 3 kg CO2-e]]/1000-W7</f>
        <v>2.1176952088000522E-2</v>
      </c>
    </row>
    <row r="8" spans="1:25">
      <c r="A8" t="s">
        <v>968</v>
      </c>
      <c r="B8" s="23" t="s">
        <v>665</v>
      </c>
      <c r="C8" t="s">
        <v>1272</v>
      </c>
      <c r="D8" t="s">
        <v>666</v>
      </c>
      <c r="E8" t="s">
        <v>1214</v>
      </c>
      <c r="F8" t="s">
        <v>656</v>
      </c>
      <c r="G8" t="s">
        <v>1189</v>
      </c>
      <c r="H8" s="431">
        <v>33699.159799999994</v>
      </c>
      <c r="I8" s="1" t="s">
        <v>673</v>
      </c>
      <c r="J8" s="50" t="s">
        <v>658</v>
      </c>
      <c r="K8" s="50" t="s">
        <v>686</v>
      </c>
      <c r="L8" s="211">
        <f t="shared" si="0"/>
        <v>33.699159799999997</v>
      </c>
      <c r="M8" s="72">
        <f>VLOOKUP(A8,'GHG Factors FY21'!A:L,8,FALSE)*L8</f>
        <v>1300.78756828</v>
      </c>
      <c r="N8" s="72">
        <f>VLOOKUP(A8,'GHG Factors FY21'!A:L,10,FALSE)*M8</f>
        <v>91315.287293255999</v>
      </c>
      <c r="O8" s="72">
        <f>VLOOKUP(A8,'GHG Factors FY21'!A:L,11,FALSE)*M8</f>
        <v>0</v>
      </c>
      <c r="P8" s="72">
        <f>VLOOKUP(A8,'GHG Factors FY21'!A:L,12,FALSE)*M8</f>
        <v>4682.8352458079999</v>
      </c>
      <c r="Q8" s="51">
        <f t="shared" si="1"/>
        <v>95998.122539064003</v>
      </c>
      <c r="S8" t="s">
        <v>968</v>
      </c>
      <c r="T8">
        <v>29776.670299999998</v>
      </c>
      <c r="U8">
        <v>1149.3600000000001</v>
      </c>
      <c r="V8">
        <v>80.686300000000017</v>
      </c>
      <c r="W8">
        <v>4.1381999999999994</v>
      </c>
      <c r="X8" s="241">
        <f>Grounds_Fuels33[[#This Row],[Sum of Scope 1 kg CO2-e]]/1000-V8</f>
        <v>10.628987293255975</v>
      </c>
      <c r="Y8" s="5">
        <f>Grounds_Fuels33[[#This Row],[Sum of Scope 3 kg CO2-e]]/1000-W8</f>
        <v>0.54463524580800016</v>
      </c>
    </row>
    <row r="9" spans="1:25">
      <c r="A9" t="s">
        <v>969</v>
      </c>
      <c r="B9" s="23" t="s">
        <v>665</v>
      </c>
      <c r="C9" t="s">
        <v>1272</v>
      </c>
      <c r="D9" t="s">
        <v>666</v>
      </c>
      <c r="E9" t="s">
        <v>1215</v>
      </c>
      <c r="F9" t="s">
        <v>656</v>
      </c>
      <c r="G9" t="s">
        <v>1216</v>
      </c>
      <c r="H9" s="431">
        <v>16239.150300000001</v>
      </c>
      <c r="I9" s="1" t="s">
        <v>673</v>
      </c>
      <c r="J9" s="50" t="s">
        <v>658</v>
      </c>
      <c r="K9" s="50" t="s">
        <v>686</v>
      </c>
      <c r="L9" s="211">
        <f t="shared" si="0"/>
        <v>16.239150300000002</v>
      </c>
      <c r="M9" s="72">
        <f>VLOOKUP(A9,'GHG Factors FY21'!A:L,8,FALSE)*L9</f>
        <v>626.83120158000008</v>
      </c>
      <c r="N9" s="72">
        <f>VLOOKUP(A9,'GHG Factors FY21'!A:L,10,FALSE)*M9</f>
        <v>44003.550350916004</v>
      </c>
      <c r="O9" s="72">
        <f>VLOOKUP(A9,'GHG Factors FY21'!A:L,11,FALSE)*M9</f>
        <v>0</v>
      </c>
      <c r="P9" s="72">
        <f>VLOOKUP(A9,'GHG Factors FY21'!A:L,12,FALSE)*M9</f>
        <v>2256.5923256880005</v>
      </c>
      <c r="Q9" s="51">
        <f t="shared" si="1"/>
        <v>46260.142676604002</v>
      </c>
      <c r="S9" t="s">
        <v>969</v>
      </c>
      <c r="T9">
        <v>11492.259599999999</v>
      </c>
      <c r="U9">
        <v>443.58</v>
      </c>
      <c r="V9">
        <v>31.140599999999999</v>
      </c>
      <c r="W9">
        <v>1.5972</v>
      </c>
      <c r="X9" s="241">
        <f>Grounds_Fuels33[[#This Row],[Sum of Scope 1 kg CO2-e]]/1000-V9</f>
        <v>12.862950350916002</v>
      </c>
      <c r="Y9" s="5">
        <f>Grounds_Fuels33[[#This Row],[Sum of Scope 3 kg CO2-e]]/1000-W9</f>
        <v>0.65939232568800055</v>
      </c>
    </row>
    <row r="10" spans="1:25">
      <c r="A10" t="s">
        <v>970</v>
      </c>
      <c r="B10" s="23" t="s">
        <v>665</v>
      </c>
      <c r="C10" t="s">
        <v>1273</v>
      </c>
      <c r="D10" t="s">
        <v>666</v>
      </c>
      <c r="E10" t="s">
        <v>1205</v>
      </c>
      <c r="F10" t="s">
        <v>1234</v>
      </c>
      <c r="G10" t="s">
        <v>1190</v>
      </c>
      <c r="H10" s="431">
        <v>474.7602</v>
      </c>
      <c r="I10" s="1" t="s">
        <v>673</v>
      </c>
      <c r="J10" s="50" t="s">
        <v>658</v>
      </c>
      <c r="K10" s="50" t="s">
        <v>686</v>
      </c>
      <c r="L10" s="211">
        <f t="shared" si="0"/>
        <v>0.47476020000000002</v>
      </c>
      <c r="M10" s="72">
        <f>VLOOKUP(A10,'GHG Factors FY21'!A:L,8,FALSE)*L10</f>
        <v>16.236798840000002</v>
      </c>
      <c r="N10" s="72">
        <f>VLOOKUP(A10,'GHG Factors FY21'!A:L,10,FALSE)*M10</f>
        <v>1100.8549613520004</v>
      </c>
      <c r="O10" s="72">
        <f>VLOOKUP(A10,'GHG Factors FY21'!A:L,11,FALSE)*M10</f>
        <v>0</v>
      </c>
      <c r="P10" s="72">
        <f>VLOOKUP(A10,'GHG Factors FY21'!A:L,12,FALSE)*M10</f>
        <v>58.452475824000011</v>
      </c>
      <c r="Q10" s="51">
        <f t="shared" si="1"/>
        <v>1159.3074371760003</v>
      </c>
      <c r="S10" t="s">
        <v>970</v>
      </c>
      <c r="T10">
        <v>475.69020000000006</v>
      </c>
      <c r="U10">
        <v>16.269999999999996</v>
      </c>
      <c r="V10">
        <v>1.1028000000000002</v>
      </c>
      <c r="W10">
        <v>5.8799999999999991E-2</v>
      </c>
      <c r="X10" s="241">
        <f>Grounds_Fuels33[[#This Row],[Sum of Scope 1 kg CO2-e]]/1000-V10</f>
        <v>-1.945038647999775E-3</v>
      </c>
      <c r="Y10" s="5">
        <f>Grounds_Fuels33[[#This Row],[Sum of Scope 3 kg CO2-e]]/1000-W10</f>
        <v>-3.4752417599998031E-4</v>
      </c>
    </row>
    <row r="11" spans="1:25">
      <c r="A11" t="s">
        <v>971</v>
      </c>
      <c r="B11" s="23" t="s">
        <v>665</v>
      </c>
      <c r="C11" t="s">
        <v>1273</v>
      </c>
      <c r="D11" t="s">
        <v>666</v>
      </c>
      <c r="E11" t="s">
        <v>1206</v>
      </c>
      <c r="F11" t="s">
        <v>1234</v>
      </c>
      <c r="G11" t="s">
        <v>1192</v>
      </c>
      <c r="H11" s="431">
        <v>19575.559799999999</v>
      </c>
      <c r="I11" s="1" t="s">
        <v>673</v>
      </c>
      <c r="J11" s="50" t="s">
        <v>658</v>
      </c>
      <c r="K11" s="50" t="s">
        <v>686</v>
      </c>
      <c r="L11" s="211">
        <f t="shared" si="0"/>
        <v>19.575559800000001</v>
      </c>
      <c r="M11" s="72">
        <f>VLOOKUP(A11,'GHG Factors FY21'!A:L,8,FALSE)*L11</f>
        <v>669.48414516000003</v>
      </c>
      <c r="N11" s="72">
        <f>VLOOKUP(A11,'GHG Factors FY21'!A:L,10,FALSE)*M11</f>
        <v>45391.025041848006</v>
      </c>
      <c r="O11" s="72">
        <f>VLOOKUP(A11,'GHG Factors FY21'!A:L,11,FALSE)*M11</f>
        <v>0</v>
      </c>
      <c r="P11" s="72">
        <f>VLOOKUP(A11,'GHG Factors FY21'!A:L,12,FALSE)*M11</f>
        <v>2410.1429225760003</v>
      </c>
      <c r="Q11" s="51">
        <f t="shared" si="1"/>
        <v>47801.167964424007</v>
      </c>
      <c r="S11" t="s">
        <v>971</v>
      </c>
      <c r="T11">
        <v>19632.830300000001</v>
      </c>
      <c r="U11">
        <v>671.44999999999993</v>
      </c>
      <c r="V11">
        <v>45.523699999999991</v>
      </c>
      <c r="W11">
        <v>2.4167999999999998</v>
      </c>
      <c r="X11" s="241">
        <f>Grounds_Fuels33[[#This Row],[Sum of Scope 1 kg CO2-e]]/1000-V11</f>
        <v>-0.13267495815198771</v>
      </c>
      <c r="Y11" s="5">
        <f>Grounds_Fuels33[[#This Row],[Sum of Scope 3 kg CO2-e]]/1000-W11</f>
        <v>-6.6570774239993469E-3</v>
      </c>
    </row>
    <row r="12" spans="1:25">
      <c r="A12" t="s">
        <v>972</v>
      </c>
      <c r="B12" s="23" t="s">
        <v>665</v>
      </c>
      <c r="C12" t="s">
        <v>1273</v>
      </c>
      <c r="D12" t="s">
        <v>666</v>
      </c>
      <c r="E12" t="s">
        <v>1207</v>
      </c>
      <c r="F12" t="s">
        <v>1234</v>
      </c>
      <c r="G12" t="s">
        <v>1208</v>
      </c>
      <c r="H12" s="431">
        <v>1351.2498000000001</v>
      </c>
      <c r="I12" s="1" t="s">
        <v>673</v>
      </c>
      <c r="J12" s="50" t="s">
        <v>658</v>
      </c>
      <c r="K12" s="50" t="s">
        <v>686</v>
      </c>
      <c r="L12" s="211">
        <f t="shared" si="0"/>
        <v>1.3512497999999999</v>
      </c>
      <c r="M12" s="72">
        <f>VLOOKUP(A12,'GHG Factors FY21'!A:L,8,FALSE)*L12</f>
        <v>46.212743160000002</v>
      </c>
      <c r="N12" s="72">
        <f>VLOOKUP(A12,'GHG Factors FY21'!A:L,10,FALSE)*M12</f>
        <v>3133.2239862480005</v>
      </c>
      <c r="O12" s="72">
        <f>VLOOKUP(A12,'GHG Factors FY21'!A:L,11,FALSE)*M12</f>
        <v>0</v>
      </c>
      <c r="P12" s="72">
        <f>VLOOKUP(A12,'GHG Factors FY21'!A:L,12,FALSE)*M12</f>
        <v>166.36587537600002</v>
      </c>
      <c r="Q12" s="51">
        <f t="shared" si="1"/>
        <v>3299.5898616240006</v>
      </c>
      <c r="S12" t="s">
        <v>972</v>
      </c>
      <c r="T12">
        <v>1386.6000999999999</v>
      </c>
      <c r="U12">
        <v>47.459999999999994</v>
      </c>
      <c r="V12">
        <v>3.2149000000000001</v>
      </c>
      <c r="W12">
        <v>0.17100000000000004</v>
      </c>
      <c r="X12" s="241">
        <f>Grounds_Fuels33[[#This Row],[Sum of Scope 1 kg CO2-e]]/1000-V12</f>
        <v>-8.1676013751999399E-2</v>
      </c>
      <c r="Y12" s="5">
        <f>Grounds_Fuels33[[#This Row],[Sum of Scope 3 kg CO2-e]]/1000-W12</f>
        <v>-4.6341246240000078E-3</v>
      </c>
    </row>
    <row r="13" spans="1:25">
      <c r="A13" t="s">
        <v>973</v>
      </c>
      <c r="B13" s="23" t="s">
        <v>665</v>
      </c>
      <c r="C13" t="s">
        <v>1273</v>
      </c>
      <c r="D13" t="s">
        <v>666</v>
      </c>
      <c r="E13" t="s">
        <v>1209</v>
      </c>
      <c r="F13" t="s">
        <v>1234</v>
      </c>
      <c r="G13" t="s">
        <v>1210</v>
      </c>
      <c r="H13" s="431">
        <v>27170.8698</v>
      </c>
      <c r="I13" s="1" t="s">
        <v>673</v>
      </c>
      <c r="J13" s="50" t="s">
        <v>658</v>
      </c>
      <c r="K13" s="50" t="s">
        <v>686</v>
      </c>
      <c r="L13" s="211">
        <f t="shared" si="0"/>
        <v>27.170869800000002</v>
      </c>
      <c r="M13" s="72">
        <f>VLOOKUP(A13,'GHG Factors FY21'!A:L,8,FALSE)*L13</f>
        <v>929.24374716000011</v>
      </c>
      <c r="N13" s="72">
        <f>VLOOKUP(A13,'GHG Factors FY21'!A:L,10,FALSE)*M13</f>
        <v>63002.726057448017</v>
      </c>
      <c r="O13" s="72">
        <f>VLOOKUP(A13,'GHG Factors FY21'!A:L,11,FALSE)*M13</f>
        <v>0</v>
      </c>
      <c r="P13" s="72">
        <f>VLOOKUP(A13,'GHG Factors FY21'!A:L,12,FALSE)*M13</f>
        <v>3345.2774897760005</v>
      </c>
      <c r="Q13" s="51">
        <f t="shared" si="1"/>
        <v>66348.003547224012</v>
      </c>
      <c r="S13" t="s">
        <v>973</v>
      </c>
      <c r="T13">
        <v>19847.3501</v>
      </c>
      <c r="U13">
        <v>678.77</v>
      </c>
      <c r="V13">
        <v>46.021300000000004</v>
      </c>
      <c r="W13">
        <v>2.4438</v>
      </c>
      <c r="X13" s="241">
        <f>Grounds_Fuels33[[#This Row],[Sum of Scope 1 kg CO2-e]]/1000-V13</f>
        <v>16.981426057448012</v>
      </c>
      <c r="Y13" s="5">
        <f>Grounds_Fuels33[[#This Row],[Sum of Scope 3 kg CO2-e]]/1000-W13</f>
        <v>0.90147748977600051</v>
      </c>
    </row>
    <row r="14" spans="1:25">
      <c r="A14" t="s">
        <v>974</v>
      </c>
      <c r="B14" s="23" t="s">
        <v>665</v>
      </c>
      <c r="C14" t="s">
        <v>1273</v>
      </c>
      <c r="D14" t="s">
        <v>666</v>
      </c>
      <c r="E14" t="s">
        <v>1211</v>
      </c>
      <c r="F14" t="s">
        <v>1234</v>
      </c>
      <c r="G14" t="s">
        <v>1193</v>
      </c>
      <c r="H14" s="431">
        <v>12377.0298</v>
      </c>
      <c r="I14" s="1" t="s">
        <v>673</v>
      </c>
      <c r="J14" s="50" t="s">
        <v>658</v>
      </c>
      <c r="K14" s="50" t="s">
        <v>686</v>
      </c>
      <c r="L14" s="211">
        <f t="shared" si="0"/>
        <v>12.377029800000001</v>
      </c>
      <c r="M14" s="72">
        <f>VLOOKUP(A14,'GHG Factors FY21'!A:L,8,FALSE)*L14</f>
        <v>423.29441916000007</v>
      </c>
      <c r="N14" s="72">
        <f>VLOOKUP(A14,'GHG Factors FY21'!A:L,10,FALSE)*M14</f>
        <v>28699.36161904801</v>
      </c>
      <c r="O14" s="72">
        <f>VLOOKUP(A14,'GHG Factors FY21'!A:L,11,FALSE)*M14</f>
        <v>0</v>
      </c>
      <c r="P14" s="72">
        <f>VLOOKUP(A14,'GHG Factors FY21'!A:L,12,FALSE)*M14</f>
        <v>1523.8599089760003</v>
      </c>
      <c r="Q14" s="51">
        <f t="shared" si="1"/>
        <v>30223.221528024009</v>
      </c>
      <c r="S14" t="s">
        <v>974</v>
      </c>
      <c r="T14">
        <v>12184.529899999998</v>
      </c>
      <c r="U14">
        <v>416.76</v>
      </c>
      <c r="V14">
        <v>28.252800000000001</v>
      </c>
      <c r="W14">
        <v>1.5005999999999999</v>
      </c>
      <c r="X14" s="241">
        <f>Grounds_Fuels33[[#This Row],[Sum of Scope 1 kg CO2-e]]/1000-V14</f>
        <v>0.4465616190480084</v>
      </c>
      <c r="Y14" s="5">
        <f>Grounds_Fuels33[[#This Row],[Sum of Scope 3 kg CO2-e]]/1000-W14</f>
        <v>2.3259908976000387E-2</v>
      </c>
    </row>
    <row r="15" spans="1:25">
      <c r="A15" t="s">
        <v>975</v>
      </c>
      <c r="B15" s="23" t="s">
        <v>665</v>
      </c>
      <c r="C15" t="s">
        <v>1273</v>
      </c>
      <c r="D15" t="s">
        <v>666</v>
      </c>
      <c r="E15" t="s">
        <v>1212</v>
      </c>
      <c r="F15" t="s">
        <v>1234</v>
      </c>
      <c r="G15" t="s">
        <v>1213</v>
      </c>
      <c r="H15" s="431">
        <v>1535.7201000000002</v>
      </c>
      <c r="I15" s="1" t="s">
        <v>673</v>
      </c>
      <c r="J15" s="50" t="s">
        <v>658</v>
      </c>
      <c r="K15" s="50" t="s">
        <v>686</v>
      </c>
      <c r="L15" s="211">
        <f t="shared" si="0"/>
        <v>1.5357201000000003</v>
      </c>
      <c r="M15" s="72">
        <f>VLOOKUP(A15,'GHG Factors FY21'!A:L,8,FALSE)*L15</f>
        <v>52.521627420000016</v>
      </c>
      <c r="N15" s="72">
        <f>VLOOKUP(A15,'GHG Factors FY21'!A:L,10,FALSE)*M15</f>
        <v>3560.9663390760015</v>
      </c>
      <c r="O15" s="72">
        <f>VLOOKUP(A15,'GHG Factors FY21'!A:L,11,FALSE)*M15</f>
        <v>0</v>
      </c>
      <c r="P15" s="72">
        <f>VLOOKUP(A15,'GHG Factors FY21'!A:L,12,FALSE)*M15</f>
        <v>189.07785871200005</v>
      </c>
      <c r="Q15" s="51">
        <f t="shared" si="1"/>
        <v>3750.0441977880014</v>
      </c>
      <c r="S15" t="s">
        <v>975</v>
      </c>
      <c r="T15">
        <v>1535.7196999999999</v>
      </c>
      <c r="U15">
        <v>52.550000000000011</v>
      </c>
      <c r="V15">
        <v>3.5610000000000004</v>
      </c>
      <c r="W15">
        <v>0.18900000000000006</v>
      </c>
      <c r="X15" s="241">
        <f>Grounds_Fuels33[[#This Row],[Sum of Scope 1 kg CO2-e]]/1000-V15</f>
        <v>-3.3660923998812819E-5</v>
      </c>
      <c r="Y15" s="5">
        <f>Grounds_Fuels33[[#This Row],[Sum of Scope 3 kg CO2-e]]/1000-W15</f>
        <v>7.7858712000000718E-5</v>
      </c>
    </row>
    <row r="16" spans="1:25">
      <c r="A16" t="s">
        <v>976</v>
      </c>
      <c r="B16" s="23" t="s">
        <v>665</v>
      </c>
      <c r="C16" t="s">
        <v>1273</v>
      </c>
      <c r="D16" t="s">
        <v>666</v>
      </c>
      <c r="E16" t="s">
        <v>1214</v>
      </c>
      <c r="F16" t="s">
        <v>1234</v>
      </c>
      <c r="G16" t="s">
        <v>1189</v>
      </c>
      <c r="H16" s="431">
        <v>41039.729999999996</v>
      </c>
      <c r="I16" s="1" t="s">
        <v>673</v>
      </c>
      <c r="J16" s="50" t="s">
        <v>658</v>
      </c>
      <c r="K16" s="50" t="s">
        <v>686</v>
      </c>
      <c r="L16" s="211">
        <f t="shared" si="0"/>
        <v>41.039729999999999</v>
      </c>
      <c r="M16" s="72">
        <f>VLOOKUP(A16,'GHG Factors FY21'!A:L,8,FALSE)*L16</f>
        <v>1403.5587660000001</v>
      </c>
      <c r="N16" s="72">
        <f>VLOOKUP(A16,'GHG Factors FY21'!A:L,10,FALSE)*M16</f>
        <v>95161.284334800017</v>
      </c>
      <c r="O16" s="72">
        <f>VLOOKUP(A16,'GHG Factors FY21'!A:L,11,FALSE)*M16</f>
        <v>0</v>
      </c>
      <c r="P16" s="72">
        <f>VLOOKUP(A16,'GHG Factors FY21'!A:L,12,FALSE)*M16</f>
        <v>5052.8115576000009</v>
      </c>
      <c r="Q16" s="51">
        <f t="shared" si="1"/>
        <v>100214.09589240002</v>
      </c>
      <c r="S16" t="s">
        <v>976</v>
      </c>
      <c r="T16">
        <v>36262.8102</v>
      </c>
      <c r="U16">
        <v>1240.1500000000001</v>
      </c>
      <c r="V16">
        <v>84.084600000000009</v>
      </c>
      <c r="W16">
        <v>4.4652000000000003</v>
      </c>
      <c r="X16" s="241">
        <f>Grounds_Fuels33[[#This Row],[Sum of Scope 1 kg CO2-e]]/1000-V16</f>
        <v>11.076684334800007</v>
      </c>
      <c r="Y16" s="5">
        <f>Grounds_Fuels33[[#This Row],[Sum of Scope 3 kg CO2-e]]/1000-W16</f>
        <v>0.58761155760000072</v>
      </c>
    </row>
    <row r="17" spans="1:25">
      <c r="A17" t="s">
        <v>977</v>
      </c>
      <c r="B17" s="23" t="s">
        <v>665</v>
      </c>
      <c r="C17" t="s">
        <v>1273</v>
      </c>
      <c r="D17" t="s">
        <v>666</v>
      </c>
      <c r="E17" t="s">
        <v>1215</v>
      </c>
      <c r="F17" t="s">
        <v>1234</v>
      </c>
      <c r="G17" t="s">
        <v>1216</v>
      </c>
      <c r="H17" s="431">
        <v>13831.900000000001</v>
      </c>
      <c r="I17" s="1" t="s">
        <v>673</v>
      </c>
      <c r="J17" s="50" t="s">
        <v>658</v>
      </c>
      <c r="K17" s="50" t="s">
        <v>686</v>
      </c>
      <c r="L17" s="211">
        <f t="shared" si="0"/>
        <v>13.831900000000001</v>
      </c>
      <c r="M17" s="72">
        <f>VLOOKUP(A17,'GHG Factors FY21'!A:L,8,FALSE)*L17</f>
        <v>473.0509800000001</v>
      </c>
      <c r="N17" s="72">
        <f>VLOOKUP(A17,'GHG Factors FY21'!A:L,10,FALSE)*M17</f>
        <v>32072.856444000012</v>
      </c>
      <c r="O17" s="72">
        <f>VLOOKUP(A17,'GHG Factors FY21'!A:L,11,FALSE)*M17</f>
        <v>0</v>
      </c>
      <c r="P17" s="72">
        <f>VLOOKUP(A17,'GHG Factors FY21'!A:L,12,FALSE)*M17</f>
        <v>1702.9835280000004</v>
      </c>
      <c r="Q17" s="51">
        <f t="shared" si="1"/>
        <v>33775.839972000009</v>
      </c>
      <c r="S17" t="s">
        <v>977</v>
      </c>
      <c r="T17">
        <v>9788.6796000000013</v>
      </c>
      <c r="U17">
        <v>334.81</v>
      </c>
      <c r="V17">
        <v>22.697900000000004</v>
      </c>
      <c r="W17">
        <v>1.2054</v>
      </c>
      <c r="X17" s="241">
        <f>Grounds_Fuels33[[#This Row],[Sum of Scope 1 kg CO2-e]]/1000-V17</f>
        <v>9.3749564440000057</v>
      </c>
      <c r="Y17" s="5">
        <f>Grounds_Fuels33[[#This Row],[Sum of Scope 3 kg CO2-e]]/1000-W17</f>
        <v>0.4975835280000005</v>
      </c>
    </row>
    <row r="18" spans="1:25">
      <c r="A18" s="4" t="s">
        <v>1063</v>
      </c>
      <c r="B18" s="23" t="s">
        <v>665</v>
      </c>
      <c r="C18" t="s">
        <v>1273</v>
      </c>
      <c r="D18" t="s">
        <v>666</v>
      </c>
      <c r="E18" t="s">
        <v>1207</v>
      </c>
      <c r="F18" t="s">
        <v>1234</v>
      </c>
      <c r="G18" t="s">
        <v>1208</v>
      </c>
      <c r="H18" s="431">
        <v>66.666699999999992</v>
      </c>
      <c r="I18" s="1" t="s">
        <v>673</v>
      </c>
      <c r="J18" s="50" t="s">
        <v>658</v>
      </c>
      <c r="K18" s="50" t="s">
        <v>686</v>
      </c>
      <c r="L18" s="211">
        <f t="shared" ref="L18:L20" si="2">H18/1000</f>
        <v>6.6666699999999995E-2</v>
      </c>
      <c r="M18" s="72">
        <f>VLOOKUP(A18,'GHG Factors FY21'!A:L,8,FALSE)*L18</f>
        <v>2.28000114</v>
      </c>
      <c r="N18" s="72">
        <f>VLOOKUP(A18,'GHG Factors FY21'!A:L,10,FALSE)*M18</f>
        <v>154.58407729200002</v>
      </c>
      <c r="O18" s="72">
        <f>VLOOKUP(A18,'GHG Factors FY21'!A:L,11,FALSE)*M18</f>
        <v>0</v>
      </c>
      <c r="P18" s="72">
        <f>VLOOKUP(A18,'GHG Factors FY21'!A:L,12,FALSE)*M18</f>
        <v>8.2080041040000005</v>
      </c>
      <c r="Q18" s="51">
        <f t="shared" ref="Q18:Q20" si="3">SUM(N18,O18,P18)</f>
        <v>162.79208139600001</v>
      </c>
      <c r="S18" s="80" t="s">
        <v>1063</v>
      </c>
      <c r="T18" s="80">
        <v>199.64049999999997</v>
      </c>
      <c r="U18" s="80">
        <v>6.84</v>
      </c>
      <c r="V18" s="80">
        <v>0.46270000000000006</v>
      </c>
      <c r="W18" s="80">
        <v>2.4599999999999997E-2</v>
      </c>
      <c r="X18" s="81">
        <f>Grounds_Fuels33[[#This Row],[Sum of Scope 1 kg CO2-e]]/1000-V18</f>
        <v>-0.30811592270800003</v>
      </c>
      <c r="Y18" s="81">
        <f>Grounds_Fuels33[[#This Row],[Sum of Scope 3 kg CO2-e]]/1000-W18</f>
        <v>-1.6391995895999996E-2</v>
      </c>
    </row>
    <row r="19" spans="1:25">
      <c r="A19" s="4" t="s">
        <v>1064</v>
      </c>
      <c r="B19" s="23" t="s">
        <v>665</v>
      </c>
      <c r="C19" t="s">
        <v>1273</v>
      </c>
      <c r="D19" t="s">
        <v>666</v>
      </c>
      <c r="E19" t="s">
        <v>1209</v>
      </c>
      <c r="F19" t="s">
        <v>1234</v>
      </c>
      <c r="G19" t="s">
        <v>1210</v>
      </c>
      <c r="H19" s="431">
        <v>21.777700000000003</v>
      </c>
      <c r="I19" s="1" t="s">
        <v>673</v>
      </c>
      <c r="J19" s="50" t="s">
        <v>658</v>
      </c>
      <c r="K19" s="50" t="s">
        <v>686</v>
      </c>
      <c r="L19" s="211">
        <f t="shared" si="2"/>
        <v>2.1777700000000004E-2</v>
      </c>
      <c r="M19" s="72">
        <f>VLOOKUP(A19,'GHG Factors FY21'!A:L,8,FALSE)*L19</f>
        <v>0.7447973400000002</v>
      </c>
      <c r="N19" s="72">
        <f>VLOOKUP(A19,'GHG Factors FY21'!A:L,10,FALSE)*M19</f>
        <v>50.497259652000025</v>
      </c>
      <c r="O19" s="72">
        <f>VLOOKUP(A19,'GHG Factors FY21'!A:L,11,FALSE)*M19</f>
        <v>0</v>
      </c>
      <c r="P19" s="72">
        <f>VLOOKUP(A19,'GHG Factors FY21'!A:L,12,FALSE)*M19</f>
        <v>2.6812704240000009</v>
      </c>
      <c r="Q19" s="51">
        <f t="shared" si="3"/>
        <v>53.17853007600003</v>
      </c>
      <c r="S19" s="80" t="s">
        <v>1064</v>
      </c>
      <c r="T19" s="80">
        <v>65.216099999999997</v>
      </c>
      <c r="U19" s="80">
        <v>2.23</v>
      </c>
      <c r="V19" s="80">
        <v>0.1512</v>
      </c>
      <c r="W19" s="80">
        <v>8.3000000000000001E-3</v>
      </c>
      <c r="X19" s="81">
        <f>Grounds_Fuels33[[#This Row],[Sum of Scope 1 kg CO2-e]]/1000-V19</f>
        <v>-0.10070274034799997</v>
      </c>
      <c r="Y19" s="81">
        <f>Grounds_Fuels33[[#This Row],[Sum of Scope 3 kg CO2-e]]/1000-W19</f>
        <v>-5.6187295759999988E-3</v>
      </c>
    </row>
    <row r="20" spans="1:25">
      <c r="A20" s="4" t="s">
        <v>1065</v>
      </c>
      <c r="B20" s="23" t="s">
        <v>665</v>
      </c>
      <c r="C20" t="s">
        <v>1273</v>
      </c>
      <c r="D20" t="s">
        <v>666</v>
      </c>
      <c r="E20" t="s">
        <v>1215</v>
      </c>
      <c r="F20" t="s">
        <v>1234</v>
      </c>
      <c r="G20" t="s">
        <v>1216</v>
      </c>
      <c r="H20" s="431">
        <v>0</v>
      </c>
      <c r="I20" s="1" t="s">
        <v>673</v>
      </c>
      <c r="J20" s="50" t="s">
        <v>658</v>
      </c>
      <c r="K20" s="50" t="s">
        <v>686</v>
      </c>
      <c r="L20" s="211">
        <f t="shared" si="2"/>
        <v>0</v>
      </c>
      <c r="M20" s="72">
        <f>VLOOKUP(A20,'GHG Factors FY21'!A:L,8,FALSE)*L20</f>
        <v>0</v>
      </c>
      <c r="N20" s="72">
        <f>VLOOKUP(A20,'GHG Factors FY21'!A:L,10,FALSE)*M20</f>
        <v>0</v>
      </c>
      <c r="O20" s="72">
        <f>VLOOKUP(A20,'GHG Factors FY21'!A:L,11,FALSE)*M20</f>
        <v>0</v>
      </c>
      <c r="P20" s="72">
        <f>VLOOKUP(A20,'GHG Factors FY21'!A:L,12,FALSE)*M20</f>
        <v>0</v>
      </c>
      <c r="Q20" s="51">
        <f t="shared" si="3"/>
        <v>0</v>
      </c>
      <c r="S20" t="s">
        <v>1065</v>
      </c>
      <c r="T20">
        <v>0</v>
      </c>
      <c r="U20">
        <v>0</v>
      </c>
      <c r="V20">
        <v>0</v>
      </c>
    </row>
    <row r="21" spans="1:25">
      <c r="A21" t="s">
        <v>1068</v>
      </c>
      <c r="B21" s="23" t="s">
        <v>665</v>
      </c>
      <c r="C21" t="s">
        <v>1273</v>
      </c>
      <c r="D21" t="s">
        <v>666</v>
      </c>
      <c r="E21" t="s">
        <v>1209</v>
      </c>
      <c r="F21" t="s">
        <v>1234</v>
      </c>
      <c r="G21" t="s">
        <v>1210</v>
      </c>
      <c r="H21" s="431">
        <v>4598.3999000000003</v>
      </c>
      <c r="I21" s="1" t="s">
        <v>673</v>
      </c>
      <c r="J21" s="50" t="s">
        <v>658</v>
      </c>
      <c r="K21" s="50" t="s">
        <v>686</v>
      </c>
      <c r="L21" s="211">
        <f t="shared" ref="L21:L22" si="4">H21/1000</f>
        <v>4.5983999000000004</v>
      </c>
      <c r="M21" s="72">
        <f>VLOOKUP(A21,'GHG Factors FY21'!A:L,8,FALSE)*L21</f>
        <v>157.26527658000003</v>
      </c>
      <c r="N21" s="72">
        <f>VLOOKUP(A21,'GHG Factors FY21'!A:L,10,FALSE)*M21</f>
        <v>10662.585752124003</v>
      </c>
      <c r="O21" s="72">
        <f>VLOOKUP(A21,'GHG Factors FY21'!A:L,11,FALSE)*M21</f>
        <v>0</v>
      </c>
      <c r="P21" s="72">
        <f>VLOOKUP(A21,'GHG Factors FY21'!A:L,12,FALSE)*M21</f>
        <v>566.1549956880001</v>
      </c>
      <c r="Q21" s="51">
        <f t="shared" ref="Q21:Q22" si="5">SUM(N21,O21,P21)</f>
        <v>11228.740747812004</v>
      </c>
    </row>
    <row r="22" spans="1:25">
      <c r="A22" t="s">
        <v>1069</v>
      </c>
      <c r="B22" s="23" t="s">
        <v>665</v>
      </c>
      <c r="C22" t="s">
        <v>1273</v>
      </c>
      <c r="D22" t="s">
        <v>666</v>
      </c>
      <c r="E22" t="s">
        <v>1215</v>
      </c>
      <c r="F22" t="s">
        <v>1234</v>
      </c>
      <c r="G22" t="s">
        <v>1216</v>
      </c>
      <c r="H22" s="431">
        <v>278.39999999999998</v>
      </c>
      <c r="I22" s="1" t="s">
        <v>673</v>
      </c>
      <c r="J22" s="50" t="s">
        <v>658</v>
      </c>
      <c r="K22" s="50" t="s">
        <v>686</v>
      </c>
      <c r="L22" s="211">
        <f t="shared" si="4"/>
        <v>0.27839999999999998</v>
      </c>
      <c r="M22" s="72">
        <f>VLOOKUP(A22,'GHG Factors FY21'!A:L,8,FALSE)*L22</f>
        <v>9.5212800000000009</v>
      </c>
      <c r="N22" s="72">
        <f>VLOOKUP(A22,'GHG Factors FY21'!A:L,10,FALSE)*M22</f>
        <v>645.54278400000021</v>
      </c>
      <c r="O22" s="72">
        <f>VLOOKUP(A22,'GHG Factors FY21'!A:L,11,FALSE)*M22</f>
        <v>0</v>
      </c>
      <c r="P22" s="72">
        <f>VLOOKUP(A22,'GHG Factors FY21'!A:L,12,FALSE)*M22</f>
        <v>34.276608000000003</v>
      </c>
      <c r="Q22" s="51">
        <f t="shared" si="5"/>
        <v>679.81939200000022</v>
      </c>
    </row>
    <row r="23" spans="1:25">
      <c r="A23" s="25"/>
      <c r="B23" s="23"/>
      <c r="H23" s="432"/>
      <c r="L23" s="39"/>
      <c r="M23" s="39"/>
      <c r="N23" s="39"/>
      <c r="O23" s="39"/>
      <c r="P23" s="39"/>
      <c r="Q23" s="39"/>
    </row>
    <row r="24" spans="1:25">
      <c r="A24" s="647"/>
      <c r="B24" s="19" t="s">
        <v>1274</v>
      </c>
      <c r="H24" s="240">
        <f>SUM(Grounds_Fuels33[Consumption Quantity (L)])</f>
        <v>226295.7648</v>
      </c>
    </row>
    <row r="25" spans="1:25">
      <c r="A25" t="s">
        <v>1275</v>
      </c>
    </row>
    <row r="26" spans="1:25">
      <c r="A26" t="s">
        <v>1276</v>
      </c>
    </row>
    <row r="27" spans="1:25">
      <c r="A27" t="s">
        <v>1277</v>
      </c>
    </row>
    <row r="29" spans="1:25">
      <c r="A29" s="662" t="s">
        <v>3</v>
      </c>
      <c r="B29" s="662" t="s">
        <v>1278</v>
      </c>
    </row>
    <row r="30" spans="1:25">
      <c r="A30" t="s">
        <v>750</v>
      </c>
      <c r="B30" t="s">
        <v>646</v>
      </c>
      <c r="C30" t="s">
        <v>647</v>
      </c>
      <c r="D30" t="s">
        <v>648</v>
      </c>
      <c r="E30" t="s">
        <v>1200</v>
      </c>
      <c r="F30" t="s">
        <v>156</v>
      </c>
      <c r="G30" t="s">
        <v>1187</v>
      </c>
      <c r="H30" s="431" t="s">
        <v>1219</v>
      </c>
      <c r="I30" s="1" t="s">
        <v>1220</v>
      </c>
      <c r="J30" s="37" t="s">
        <v>649</v>
      </c>
      <c r="K30" s="37" t="s">
        <v>684</v>
      </c>
      <c r="L30" s="37" t="s">
        <v>650</v>
      </c>
      <c r="M30" s="37" t="s">
        <v>651</v>
      </c>
      <c r="N30" s="37" t="s">
        <v>652</v>
      </c>
      <c r="O30" s="37" t="s">
        <v>653</v>
      </c>
      <c r="P30" s="37" t="s">
        <v>654</v>
      </c>
      <c r="Q30" s="37" t="s">
        <v>751</v>
      </c>
    </row>
    <row r="31" spans="1:25">
      <c r="A31" t="s">
        <v>963</v>
      </c>
      <c r="B31" s="23" t="s">
        <v>665</v>
      </c>
      <c r="C31" t="s">
        <v>1272</v>
      </c>
      <c r="D31" t="s">
        <v>666</v>
      </c>
      <c r="E31" t="s">
        <v>1205</v>
      </c>
      <c r="F31" t="s">
        <v>656</v>
      </c>
      <c r="G31" t="s">
        <v>1190</v>
      </c>
      <c r="H31" s="431">
        <v>555.87959999999998</v>
      </c>
      <c r="I31" s="1" t="s">
        <v>673</v>
      </c>
      <c r="J31" s="50" t="s">
        <v>658</v>
      </c>
      <c r="K31" s="50" t="s">
        <v>686</v>
      </c>
      <c r="L31" s="211">
        <f t="shared" ref="L31:L48" si="6">H31/1000</f>
        <v>0.55587960000000003</v>
      </c>
      <c r="M31" s="50">
        <f>VLOOKUP(A31,'GHG Factors FY20'!A:L,8,FALSE)*L31</f>
        <v>21.456952560000001</v>
      </c>
      <c r="N31" s="50">
        <f>VLOOKUP(A31,'GHG Factors FY20'!A:L,10,FALSE)*M31</f>
        <v>1506.2780697120002</v>
      </c>
      <c r="O31" s="50">
        <f>VLOOKUP(A31,'GHG Factors FY20'!A:L,11,FALSE)*M31</f>
        <v>0</v>
      </c>
      <c r="P31" s="50">
        <f>VLOOKUP(A31,'GHG Factors FY20'!A:L,12,FALSE)*M31</f>
        <v>77.245029216000006</v>
      </c>
      <c r="Q31" s="51">
        <f t="shared" ref="Q31:Q48" si="7">SUM(N31,O31,P31)</f>
        <v>1583.5230989280001</v>
      </c>
      <c r="S31" t="s">
        <v>963</v>
      </c>
      <c r="T31">
        <v>555.87959999999998</v>
      </c>
      <c r="U31">
        <v>21.480000000000004</v>
      </c>
      <c r="V31">
        <v>1.5064999999999995</v>
      </c>
      <c r="W31">
        <v>7.6800000000000007E-2</v>
      </c>
      <c r="X31" s="241">
        <f>Grounds_Fuels3322[[#This Row],[Sum of Scope 1 kg CO2-e]]/1000-V31</f>
        <v>-2.219302879993279E-4</v>
      </c>
      <c r="Y31" s="5">
        <f>Grounds_Fuels3322[[#This Row],[Sum of Scope 3 kg CO2-e]]/1000-W31</f>
        <v>4.4502921599999523E-4</v>
      </c>
    </row>
    <row r="32" spans="1:25">
      <c r="A32" t="s">
        <v>964</v>
      </c>
      <c r="B32" s="23" t="s">
        <v>665</v>
      </c>
      <c r="C32" t="s">
        <v>1272</v>
      </c>
      <c r="D32" t="s">
        <v>666</v>
      </c>
      <c r="E32" t="s">
        <v>1206</v>
      </c>
      <c r="F32" t="s">
        <v>656</v>
      </c>
      <c r="G32" t="s">
        <v>1192</v>
      </c>
      <c r="H32" s="431">
        <v>22942.079900000001</v>
      </c>
      <c r="I32" s="1" t="s">
        <v>673</v>
      </c>
      <c r="J32" s="50" t="s">
        <v>658</v>
      </c>
      <c r="K32" s="50" t="s">
        <v>686</v>
      </c>
      <c r="L32" s="211">
        <f t="shared" si="6"/>
        <v>22.9420799</v>
      </c>
      <c r="M32" s="50">
        <f>VLOOKUP(A32,'GHG Factors FY20'!A:L,8,FALSE)*L32</f>
        <v>885.56428414000004</v>
      </c>
      <c r="N32" s="50">
        <f>VLOOKUP(A32,'GHG Factors FY20'!A:L,10,FALSE)*M32</f>
        <v>62166.612746628009</v>
      </c>
      <c r="O32" s="50">
        <f>VLOOKUP(A32,'GHG Factors FY20'!A:L,11,FALSE)*M32</f>
        <v>0</v>
      </c>
      <c r="P32" s="50">
        <f>VLOOKUP(A32,'GHG Factors FY20'!A:L,12,FALSE)*M32</f>
        <v>3188.031422904</v>
      </c>
      <c r="Q32" s="51">
        <f t="shared" si="7"/>
        <v>65354.64416953201</v>
      </c>
      <c r="S32" t="s">
        <v>964</v>
      </c>
      <c r="T32">
        <v>22942.079900000001</v>
      </c>
      <c r="U32">
        <v>885.6</v>
      </c>
      <c r="V32">
        <v>62.166700000000006</v>
      </c>
      <c r="W32">
        <v>3.1877999999999997</v>
      </c>
      <c r="X32" s="241">
        <f>Grounds_Fuels3322[[#This Row],[Sum of Scope 1 kg CO2-e]]/1000-V32</f>
        <v>-8.7253371994222562E-5</v>
      </c>
      <c r="Y32" s="5">
        <f>Grounds_Fuels3322[[#This Row],[Sum of Scope 3 kg CO2-e]]/1000-W32</f>
        <v>2.3142290400013366E-4</v>
      </c>
    </row>
    <row r="33" spans="1:25">
      <c r="A33" t="s">
        <v>965</v>
      </c>
      <c r="B33" s="23" t="s">
        <v>665</v>
      </c>
      <c r="C33" t="s">
        <v>1272</v>
      </c>
      <c r="D33" t="s">
        <v>666</v>
      </c>
      <c r="E33" t="s">
        <v>1207</v>
      </c>
      <c r="F33" t="s">
        <v>656</v>
      </c>
      <c r="G33" t="s">
        <v>1208</v>
      </c>
      <c r="H33" s="431">
        <v>1229.1402</v>
      </c>
      <c r="I33" s="1" t="s">
        <v>673</v>
      </c>
      <c r="J33" s="50" t="s">
        <v>658</v>
      </c>
      <c r="K33" s="50" t="s">
        <v>686</v>
      </c>
      <c r="L33" s="211">
        <f t="shared" si="6"/>
        <v>1.2291402</v>
      </c>
      <c r="M33" s="50">
        <f>VLOOKUP(A33,'GHG Factors FY20'!A:L,8,FALSE)*L33</f>
        <v>47.444811720000004</v>
      </c>
      <c r="N33" s="50">
        <f>VLOOKUP(A33,'GHG Factors FY20'!A:L,10,FALSE)*M33</f>
        <v>3330.6257827440004</v>
      </c>
      <c r="O33" s="50">
        <f>VLOOKUP(A33,'GHG Factors FY20'!A:L,11,FALSE)*M33</f>
        <v>0</v>
      </c>
      <c r="P33" s="50">
        <f>VLOOKUP(A33,'GHG Factors FY20'!A:L,12,FALSE)*M33</f>
        <v>170.80132219200001</v>
      </c>
      <c r="Q33" s="51">
        <f t="shared" si="7"/>
        <v>3501.4271049360004</v>
      </c>
      <c r="S33" t="s">
        <v>965</v>
      </c>
      <c r="T33">
        <v>1229.1402</v>
      </c>
      <c r="U33">
        <v>47.459999999999994</v>
      </c>
      <c r="V33">
        <v>3.3306000000000009</v>
      </c>
      <c r="W33">
        <v>0.17100000000000004</v>
      </c>
      <c r="X33" s="241">
        <f>Grounds_Fuels3322[[#This Row],[Sum of Scope 1 kg CO2-e]]/1000-V33</f>
        <v>2.5782743999336333E-5</v>
      </c>
      <c r="Y33" s="5">
        <f>Grounds_Fuels3322[[#This Row],[Sum of Scope 3 kg CO2-e]]/1000-W33</f>
        <v>-1.986778080000362E-4</v>
      </c>
    </row>
    <row r="34" spans="1:25">
      <c r="A34" t="s">
        <v>966</v>
      </c>
      <c r="B34" s="23" t="s">
        <v>665</v>
      </c>
      <c r="C34" t="s">
        <v>1272</v>
      </c>
      <c r="D34" t="s">
        <v>666</v>
      </c>
      <c r="E34" t="s">
        <v>1209</v>
      </c>
      <c r="F34" t="s">
        <v>656</v>
      </c>
      <c r="G34" t="s">
        <v>1210</v>
      </c>
      <c r="H34" s="431">
        <v>14214.039699999998</v>
      </c>
      <c r="I34" s="1" t="s">
        <v>673</v>
      </c>
      <c r="J34" s="50" t="s">
        <v>658</v>
      </c>
      <c r="K34" s="50" t="s">
        <v>686</v>
      </c>
      <c r="L34" s="211">
        <f t="shared" si="6"/>
        <v>14.214039699999997</v>
      </c>
      <c r="M34" s="50">
        <f>VLOOKUP(A34,'GHG Factors FY20'!A:L,8,FALSE)*L34</f>
        <v>548.66193241999986</v>
      </c>
      <c r="N34" s="50">
        <f>VLOOKUP(A34,'GHG Factors FY20'!A:L,10,FALSE)*M34</f>
        <v>38516.067655883991</v>
      </c>
      <c r="O34" s="50">
        <f>VLOOKUP(A34,'GHG Factors FY20'!A:L,11,FALSE)*M34</f>
        <v>0</v>
      </c>
      <c r="P34" s="50">
        <f>VLOOKUP(A34,'GHG Factors FY20'!A:L,12,FALSE)*M34</f>
        <v>1975.1829567119996</v>
      </c>
      <c r="Q34" s="51">
        <f t="shared" si="7"/>
        <v>40491.250612595992</v>
      </c>
      <c r="S34" t="s">
        <v>966</v>
      </c>
      <c r="T34">
        <v>14214.039699999998</v>
      </c>
      <c r="U34">
        <v>548.6400000000001</v>
      </c>
      <c r="V34">
        <v>38.516300000000001</v>
      </c>
      <c r="W34">
        <v>1.9751999999999998</v>
      </c>
      <c r="X34" s="241">
        <f>Grounds_Fuels3322[[#This Row],[Sum of Scope 1 kg CO2-e]]/1000-V34</f>
        <v>-2.323441160072548E-4</v>
      </c>
      <c r="Y34" s="5">
        <f>Grounds_Fuels3322[[#This Row],[Sum of Scope 3 kg CO2-e]]/1000-W34</f>
        <v>-1.704328800022914E-5</v>
      </c>
    </row>
    <row r="35" spans="1:25">
      <c r="A35" t="s">
        <v>967</v>
      </c>
      <c r="B35" s="23" t="s">
        <v>665</v>
      </c>
      <c r="C35" t="s">
        <v>1272</v>
      </c>
      <c r="D35" t="s">
        <v>666</v>
      </c>
      <c r="E35" t="s">
        <v>1211</v>
      </c>
      <c r="F35" t="s">
        <v>656</v>
      </c>
      <c r="G35" t="s">
        <v>1193</v>
      </c>
      <c r="H35" s="431">
        <v>9794.01</v>
      </c>
      <c r="I35" s="1" t="s">
        <v>673</v>
      </c>
      <c r="J35" s="50" t="s">
        <v>658</v>
      </c>
      <c r="K35" s="50" t="s">
        <v>686</v>
      </c>
      <c r="L35" s="211">
        <f t="shared" si="6"/>
        <v>9.7940100000000001</v>
      </c>
      <c r="M35" s="50">
        <f>VLOOKUP(A35,'GHG Factors FY20'!A:L,8,FALSE)*L35</f>
        <v>378.04878600000001</v>
      </c>
      <c r="N35" s="50">
        <f>VLOOKUP(A35,'GHG Factors FY20'!A:L,10,FALSE)*M35</f>
        <v>26539.0247772</v>
      </c>
      <c r="O35" s="50">
        <f>VLOOKUP(A35,'GHG Factors FY20'!A:L,11,FALSE)*M35</f>
        <v>0</v>
      </c>
      <c r="P35" s="50">
        <f>VLOOKUP(A35,'GHG Factors FY20'!A:L,12,FALSE)*M35</f>
        <v>1360.9756296</v>
      </c>
      <c r="Q35" s="51">
        <f t="shared" si="7"/>
        <v>27900.000406800002</v>
      </c>
      <c r="S35" t="s">
        <v>967</v>
      </c>
      <c r="T35">
        <v>9794.01</v>
      </c>
      <c r="U35">
        <v>378.05</v>
      </c>
      <c r="V35">
        <v>26.538599999999995</v>
      </c>
      <c r="W35">
        <v>1.3612999999999997</v>
      </c>
      <c r="X35" s="241">
        <f>Grounds_Fuels3322[[#This Row],[Sum of Scope 1 kg CO2-e]]/1000-V35</f>
        <v>4.2477720000633212E-4</v>
      </c>
      <c r="Y35" s="5">
        <f>Grounds_Fuels3322[[#This Row],[Sum of Scope 3 kg CO2-e]]/1000-W35</f>
        <v>-3.243703999997738E-4</v>
      </c>
    </row>
    <row r="36" spans="1:25">
      <c r="A36" t="s">
        <v>968</v>
      </c>
      <c r="B36" s="23" t="s">
        <v>665</v>
      </c>
      <c r="C36" t="s">
        <v>1272</v>
      </c>
      <c r="D36" t="s">
        <v>666</v>
      </c>
      <c r="E36" t="s">
        <v>1214</v>
      </c>
      <c r="F36" t="s">
        <v>656</v>
      </c>
      <c r="G36" t="s">
        <v>1189</v>
      </c>
      <c r="H36" s="431">
        <v>29776.670299999998</v>
      </c>
      <c r="I36" s="1" t="s">
        <v>673</v>
      </c>
      <c r="J36" s="50" t="s">
        <v>658</v>
      </c>
      <c r="K36" s="50" t="s">
        <v>686</v>
      </c>
      <c r="L36" s="211">
        <f t="shared" si="6"/>
        <v>29.776670299999999</v>
      </c>
      <c r="M36" s="50">
        <f>VLOOKUP(A36,'GHG Factors FY20'!A:L,8,FALSE)*L36</f>
        <v>1149.37947358</v>
      </c>
      <c r="N36" s="50">
        <f>VLOOKUP(A36,'GHG Factors FY20'!A:L,10,FALSE)*M36</f>
        <v>80686.439045316001</v>
      </c>
      <c r="O36" s="50">
        <f>VLOOKUP(A36,'GHG Factors FY20'!A:L,11,FALSE)*M36</f>
        <v>0</v>
      </c>
      <c r="P36" s="50">
        <f>VLOOKUP(A36,'GHG Factors FY20'!A:L,12,FALSE)*M36</f>
        <v>4137.766104888</v>
      </c>
      <c r="Q36" s="51">
        <f t="shared" si="7"/>
        <v>84824.205150203998</v>
      </c>
      <c r="S36" t="s">
        <v>968</v>
      </c>
      <c r="T36">
        <v>29776.670299999998</v>
      </c>
      <c r="U36">
        <v>1149.3600000000001</v>
      </c>
      <c r="V36">
        <v>80.686300000000017</v>
      </c>
      <c r="W36">
        <v>4.1381999999999994</v>
      </c>
      <c r="X36" s="241">
        <f>Grounds_Fuels3322[[#This Row],[Sum of Scope 1 kg CO2-e]]/1000-V36</f>
        <v>1.3904531598996073E-4</v>
      </c>
      <c r="Y36" s="5">
        <f>Grounds_Fuels3322[[#This Row],[Sum of Scope 3 kg CO2-e]]/1000-W36</f>
        <v>-4.3389511199976027E-4</v>
      </c>
    </row>
    <row r="37" spans="1:25">
      <c r="A37" t="s">
        <v>969</v>
      </c>
      <c r="B37" s="23" t="s">
        <v>665</v>
      </c>
      <c r="C37" t="s">
        <v>1272</v>
      </c>
      <c r="D37" t="s">
        <v>666</v>
      </c>
      <c r="E37" t="s">
        <v>1215</v>
      </c>
      <c r="F37" t="s">
        <v>656</v>
      </c>
      <c r="G37" t="s">
        <v>1216</v>
      </c>
      <c r="H37" s="431">
        <v>11492.259599999999</v>
      </c>
      <c r="I37" s="1" t="s">
        <v>673</v>
      </c>
      <c r="J37" s="50" t="s">
        <v>658</v>
      </c>
      <c r="K37" s="50" t="s">
        <v>686</v>
      </c>
      <c r="L37" s="211">
        <f t="shared" si="6"/>
        <v>11.492259599999999</v>
      </c>
      <c r="M37" s="50">
        <f>VLOOKUP(A37,'GHG Factors FY20'!A:L,8,FALSE)*L37</f>
        <v>443.60122055999994</v>
      </c>
      <c r="N37" s="50">
        <f>VLOOKUP(A37,'GHG Factors FY20'!A:L,10,FALSE)*M37</f>
        <v>31140.805683311999</v>
      </c>
      <c r="O37" s="50">
        <f>VLOOKUP(A37,'GHG Factors FY20'!A:L,11,FALSE)*M37</f>
        <v>0</v>
      </c>
      <c r="P37" s="50">
        <f>VLOOKUP(A37,'GHG Factors FY20'!A:L,12,FALSE)*M37</f>
        <v>1596.9643940159999</v>
      </c>
      <c r="Q37" s="51">
        <f t="shared" si="7"/>
        <v>32737.770077327998</v>
      </c>
      <c r="S37" t="s">
        <v>969</v>
      </c>
      <c r="T37">
        <v>11492.259599999999</v>
      </c>
      <c r="U37">
        <v>443.58</v>
      </c>
      <c r="V37">
        <v>31.140599999999999</v>
      </c>
      <c r="W37">
        <v>1.5972</v>
      </c>
      <c r="X37" s="241">
        <f>Grounds_Fuels3322[[#This Row],[Sum of Scope 1 kg CO2-e]]/1000-V37</f>
        <v>2.0568331200010448E-4</v>
      </c>
      <c r="Y37" s="5">
        <f>Grounds_Fuels3322[[#This Row],[Sum of Scope 3 kg CO2-e]]/1000-W37</f>
        <v>-2.3560598400007571E-4</v>
      </c>
    </row>
    <row r="38" spans="1:25">
      <c r="A38" t="s">
        <v>970</v>
      </c>
      <c r="B38" s="23" t="s">
        <v>665</v>
      </c>
      <c r="C38" t="s">
        <v>1273</v>
      </c>
      <c r="D38" t="s">
        <v>666</v>
      </c>
      <c r="E38" t="s">
        <v>1205</v>
      </c>
      <c r="F38" t="s">
        <v>1234</v>
      </c>
      <c r="G38" t="s">
        <v>1190</v>
      </c>
      <c r="H38" s="431">
        <v>475.69020000000006</v>
      </c>
      <c r="I38" s="1" t="s">
        <v>673</v>
      </c>
      <c r="J38" s="50" t="s">
        <v>658</v>
      </c>
      <c r="K38" s="50" t="s">
        <v>686</v>
      </c>
      <c r="L38" s="211">
        <f t="shared" si="6"/>
        <v>0.47569020000000006</v>
      </c>
      <c r="M38" s="50">
        <f>VLOOKUP(A38,'GHG Factors FY20'!A:L,8,FALSE)*L38</f>
        <v>16.268604840000002</v>
      </c>
      <c r="N38" s="50">
        <f>VLOOKUP(A38,'GHG Factors FY20'!A:L,10,FALSE)*M38</f>
        <v>1103.0114081520003</v>
      </c>
      <c r="O38" s="50">
        <f>VLOOKUP(A38,'GHG Factors FY20'!A:L,11,FALSE)*M38</f>
        <v>0</v>
      </c>
      <c r="P38" s="50">
        <f>VLOOKUP(A38,'GHG Factors FY20'!A:L,12,FALSE)*M38</f>
        <v>58.566977424000008</v>
      </c>
      <c r="Q38" s="51">
        <f t="shared" si="7"/>
        <v>1161.5783855760003</v>
      </c>
      <c r="S38" t="s">
        <v>970</v>
      </c>
      <c r="T38">
        <v>475.69020000000006</v>
      </c>
      <c r="U38">
        <v>16.269999999999996</v>
      </c>
      <c r="V38">
        <v>1.1028000000000002</v>
      </c>
      <c r="W38">
        <v>5.8799999999999991E-2</v>
      </c>
      <c r="X38" s="241">
        <f>Grounds_Fuels3322[[#This Row],[Sum of Scope 1 kg CO2-e]]/1000-V38</f>
        <v>2.1140815200015872E-4</v>
      </c>
      <c r="Y38" s="5">
        <f>Grounds_Fuels3322[[#This Row],[Sum of Scope 3 kg CO2-e]]/1000-W38</f>
        <v>-2.3302257599998322E-4</v>
      </c>
    </row>
    <row r="39" spans="1:25">
      <c r="A39" t="s">
        <v>971</v>
      </c>
      <c r="B39" s="23" t="s">
        <v>665</v>
      </c>
      <c r="C39" t="s">
        <v>1273</v>
      </c>
      <c r="D39" t="s">
        <v>666</v>
      </c>
      <c r="E39" t="s">
        <v>1206</v>
      </c>
      <c r="F39" t="s">
        <v>1234</v>
      </c>
      <c r="G39" t="s">
        <v>1192</v>
      </c>
      <c r="H39" s="431">
        <v>19632.830300000001</v>
      </c>
      <c r="I39" s="1" t="s">
        <v>673</v>
      </c>
      <c r="J39" s="50" t="s">
        <v>658</v>
      </c>
      <c r="K39" s="50" t="s">
        <v>686</v>
      </c>
      <c r="L39" s="211">
        <f t="shared" si="6"/>
        <v>19.632830300000002</v>
      </c>
      <c r="M39" s="50">
        <f>VLOOKUP(A39,'GHG Factors FY20'!A:L,8,FALSE)*L39</f>
        <v>671.44279626000014</v>
      </c>
      <c r="N39" s="50">
        <f>VLOOKUP(A39,'GHG Factors FY20'!A:L,10,FALSE)*M39</f>
        <v>45523.821586428014</v>
      </c>
      <c r="O39" s="50">
        <f>VLOOKUP(A39,'GHG Factors FY20'!A:L,11,FALSE)*M39</f>
        <v>0</v>
      </c>
      <c r="P39" s="50">
        <f>VLOOKUP(A39,'GHG Factors FY20'!A:L,12,FALSE)*M39</f>
        <v>2417.1940665360007</v>
      </c>
      <c r="Q39" s="51">
        <f t="shared" si="7"/>
        <v>47941.015652964015</v>
      </c>
      <c r="S39" t="s">
        <v>971</v>
      </c>
      <c r="T39">
        <v>19632.830300000001</v>
      </c>
      <c r="U39">
        <v>671.44999999999993</v>
      </c>
      <c r="V39">
        <v>45.523699999999991</v>
      </c>
      <c r="W39">
        <v>2.4167999999999998</v>
      </c>
      <c r="X39" s="241">
        <f>Grounds_Fuels3322[[#This Row],[Sum of Scope 1 kg CO2-e]]/1000-V39</f>
        <v>1.215864280226242E-4</v>
      </c>
      <c r="Y39" s="5">
        <f>Grounds_Fuels3322[[#This Row],[Sum of Scope 3 kg CO2-e]]/1000-W39</f>
        <v>3.9406653600071451E-4</v>
      </c>
    </row>
    <row r="40" spans="1:25">
      <c r="A40" t="s">
        <v>972</v>
      </c>
      <c r="B40" s="23" t="s">
        <v>665</v>
      </c>
      <c r="C40" t="s">
        <v>1273</v>
      </c>
      <c r="D40" t="s">
        <v>666</v>
      </c>
      <c r="E40" t="s">
        <v>1207</v>
      </c>
      <c r="F40" t="s">
        <v>1234</v>
      </c>
      <c r="G40" t="s">
        <v>1208</v>
      </c>
      <c r="H40" s="431">
        <v>1386.6000999999999</v>
      </c>
      <c r="I40" s="1" t="s">
        <v>673</v>
      </c>
      <c r="J40" s="50" t="s">
        <v>658</v>
      </c>
      <c r="K40" s="50" t="s">
        <v>686</v>
      </c>
      <c r="L40" s="211">
        <f t="shared" si="6"/>
        <v>1.3866000999999999</v>
      </c>
      <c r="M40" s="50">
        <f>VLOOKUP(A40,'GHG Factors FY20'!A:L,8,FALSE)*L40</f>
        <v>47.421723419999999</v>
      </c>
      <c r="N40" s="50">
        <f>VLOOKUP(A40,'GHG Factors FY20'!A:L,10,FALSE)*M40</f>
        <v>3215.1928478760005</v>
      </c>
      <c r="O40" s="50">
        <f>VLOOKUP(A40,'GHG Factors FY20'!A:L,11,FALSE)*M40</f>
        <v>0</v>
      </c>
      <c r="P40" s="50">
        <f>VLOOKUP(A40,'GHG Factors FY20'!A:L,12,FALSE)*M40</f>
        <v>170.71820431200001</v>
      </c>
      <c r="Q40" s="51">
        <f t="shared" si="7"/>
        <v>3385.9110521880007</v>
      </c>
      <c r="S40" t="s">
        <v>972</v>
      </c>
      <c r="T40">
        <v>1386.6000999999999</v>
      </c>
      <c r="U40">
        <v>47.459999999999994</v>
      </c>
      <c r="V40">
        <v>3.2149000000000001</v>
      </c>
      <c r="W40">
        <v>0.17100000000000004</v>
      </c>
      <c r="X40" s="241">
        <f>Grounds_Fuels3322[[#This Row],[Sum of Scope 1 kg CO2-e]]/1000-V40</f>
        <v>2.9284787600047935E-4</v>
      </c>
      <c r="Y40" s="5">
        <f>Grounds_Fuels3322[[#This Row],[Sum of Scope 3 kg CO2-e]]/1000-W40</f>
        <v>-2.8179568800001942E-4</v>
      </c>
    </row>
    <row r="41" spans="1:25">
      <c r="A41" t="s">
        <v>973</v>
      </c>
      <c r="B41" s="23" t="s">
        <v>665</v>
      </c>
      <c r="C41" t="s">
        <v>1273</v>
      </c>
      <c r="D41" t="s">
        <v>666</v>
      </c>
      <c r="E41" t="s">
        <v>1209</v>
      </c>
      <c r="F41" t="s">
        <v>1234</v>
      </c>
      <c r="G41" t="s">
        <v>1210</v>
      </c>
      <c r="H41" s="431">
        <v>19847.3501</v>
      </c>
      <c r="I41" s="1" t="s">
        <v>673</v>
      </c>
      <c r="J41" s="50" t="s">
        <v>658</v>
      </c>
      <c r="K41" s="50" t="s">
        <v>686</v>
      </c>
      <c r="L41" s="211">
        <f t="shared" si="6"/>
        <v>19.8473501</v>
      </c>
      <c r="M41" s="50">
        <f>VLOOKUP(A41,'GHG Factors FY20'!A:L,8,FALSE)*L41</f>
        <v>678.77937342000007</v>
      </c>
      <c r="N41" s="50">
        <f>VLOOKUP(A41,'GHG Factors FY20'!A:L,10,FALSE)*M41</f>
        <v>46021.241517876013</v>
      </c>
      <c r="O41" s="50">
        <f>VLOOKUP(A41,'GHG Factors FY20'!A:L,11,FALSE)*M41</f>
        <v>0</v>
      </c>
      <c r="P41" s="50">
        <f>VLOOKUP(A41,'GHG Factors FY20'!A:L,12,FALSE)*M41</f>
        <v>2443.6057443120003</v>
      </c>
      <c r="Q41" s="51">
        <f t="shared" si="7"/>
        <v>48464.847262188014</v>
      </c>
      <c r="S41" t="s">
        <v>973</v>
      </c>
      <c r="T41">
        <v>19847.3501</v>
      </c>
      <c r="U41">
        <v>678.77</v>
      </c>
      <c r="V41">
        <v>46.021300000000004</v>
      </c>
      <c r="W41">
        <v>2.4438</v>
      </c>
      <c r="X41" s="241">
        <f>Grounds_Fuels3322[[#This Row],[Sum of Scope 1 kg CO2-e]]/1000-V41</f>
        <v>-5.8482123989733736E-5</v>
      </c>
      <c r="Y41" s="5">
        <f>Grounds_Fuels3322[[#This Row],[Sum of Scope 3 kg CO2-e]]/1000-W41</f>
        <v>-1.9425568799968929E-4</v>
      </c>
    </row>
    <row r="42" spans="1:25">
      <c r="A42" t="s">
        <v>974</v>
      </c>
      <c r="B42" s="23" t="s">
        <v>665</v>
      </c>
      <c r="C42" t="s">
        <v>1273</v>
      </c>
      <c r="D42" t="s">
        <v>666</v>
      </c>
      <c r="E42" t="s">
        <v>1211</v>
      </c>
      <c r="F42" t="s">
        <v>1234</v>
      </c>
      <c r="G42" t="s">
        <v>1193</v>
      </c>
      <c r="H42" s="431">
        <v>12184.529899999998</v>
      </c>
      <c r="I42" s="1" t="s">
        <v>673</v>
      </c>
      <c r="J42" s="50" t="s">
        <v>658</v>
      </c>
      <c r="K42" s="50" t="s">
        <v>686</v>
      </c>
      <c r="L42" s="211">
        <f t="shared" si="6"/>
        <v>12.184529899999998</v>
      </c>
      <c r="M42" s="50">
        <f>VLOOKUP(A42,'GHG Factors FY20'!A:L,8,FALSE)*L42</f>
        <v>416.71092257999993</v>
      </c>
      <c r="N42" s="50">
        <f>VLOOKUP(A42,'GHG Factors FY20'!A:L,10,FALSE)*M42</f>
        <v>28253.000550924</v>
      </c>
      <c r="O42" s="50">
        <f>VLOOKUP(A42,'GHG Factors FY20'!A:L,11,FALSE)*M42</f>
        <v>0</v>
      </c>
      <c r="P42" s="50">
        <f>VLOOKUP(A42,'GHG Factors FY20'!A:L,12,FALSE)*M42</f>
        <v>1500.1593212879998</v>
      </c>
      <c r="Q42" s="51">
        <f t="shared" si="7"/>
        <v>29753.159872212</v>
      </c>
      <c r="S42" t="s">
        <v>974</v>
      </c>
      <c r="T42">
        <v>12184.529899999998</v>
      </c>
      <c r="U42">
        <v>416.76</v>
      </c>
      <c r="V42">
        <v>28.252800000000001</v>
      </c>
      <c r="W42">
        <v>1.5005999999999999</v>
      </c>
      <c r="X42" s="241">
        <f>Grounds_Fuels3322[[#This Row],[Sum of Scope 1 kg CO2-e]]/1000-V42</f>
        <v>2.0055092399928753E-4</v>
      </c>
      <c r="Y42" s="5">
        <f>Grounds_Fuels3322[[#This Row],[Sum of Scope 3 kg CO2-e]]/1000-W42</f>
        <v>-4.4067871200015318E-4</v>
      </c>
    </row>
    <row r="43" spans="1:25">
      <c r="A43" t="s">
        <v>975</v>
      </c>
      <c r="B43" s="23" t="s">
        <v>665</v>
      </c>
      <c r="C43" t="s">
        <v>1273</v>
      </c>
      <c r="D43" t="s">
        <v>666</v>
      </c>
      <c r="E43" t="s">
        <v>1212</v>
      </c>
      <c r="F43" t="s">
        <v>1234</v>
      </c>
      <c r="G43" t="s">
        <v>1213</v>
      </c>
      <c r="H43" s="431">
        <v>1535.7196999999999</v>
      </c>
      <c r="I43" s="1" t="s">
        <v>673</v>
      </c>
      <c r="J43" s="50" t="s">
        <v>658</v>
      </c>
      <c r="K43" s="50" t="s">
        <v>686</v>
      </c>
      <c r="L43" s="211">
        <f t="shared" si="6"/>
        <v>1.5357196999999998</v>
      </c>
      <c r="M43" s="50">
        <f>VLOOKUP(A43,'GHG Factors FY20'!A:L,8,FALSE)*L43</f>
        <v>52.521613739999999</v>
      </c>
      <c r="N43" s="50">
        <f>VLOOKUP(A43,'GHG Factors FY20'!A:L,10,FALSE)*M43</f>
        <v>3560.9654115720004</v>
      </c>
      <c r="O43" s="50">
        <f>VLOOKUP(A43,'GHG Factors FY20'!A:L,11,FALSE)*M43</f>
        <v>0</v>
      </c>
      <c r="P43" s="50">
        <f>VLOOKUP(A43,'GHG Factors FY20'!A:L,12,FALSE)*M43</f>
        <v>189.07780946400001</v>
      </c>
      <c r="Q43" s="51">
        <f t="shared" si="7"/>
        <v>3750.0432210360004</v>
      </c>
      <c r="S43" t="s">
        <v>975</v>
      </c>
      <c r="T43">
        <v>1535.7196999999999</v>
      </c>
      <c r="U43">
        <v>52.550000000000011</v>
      </c>
      <c r="V43">
        <v>3.5610000000000004</v>
      </c>
      <c r="W43">
        <v>0.18900000000000006</v>
      </c>
      <c r="X43" s="241">
        <f>Grounds_Fuels3322[[#This Row],[Sum of Scope 1 kg CO2-e]]/1000-V43</f>
        <v>-3.4588427999970861E-5</v>
      </c>
      <c r="Y43" s="5">
        <f>Grounds_Fuels3322[[#This Row],[Sum of Scope 3 kg CO2-e]]/1000-W43</f>
        <v>7.7809463999961581E-5</v>
      </c>
    </row>
    <row r="44" spans="1:25">
      <c r="A44" t="s">
        <v>976</v>
      </c>
      <c r="B44" s="23" t="s">
        <v>665</v>
      </c>
      <c r="C44" t="s">
        <v>1273</v>
      </c>
      <c r="D44" t="s">
        <v>666</v>
      </c>
      <c r="E44" t="s">
        <v>1214</v>
      </c>
      <c r="F44" t="s">
        <v>1234</v>
      </c>
      <c r="G44" t="s">
        <v>1189</v>
      </c>
      <c r="H44" s="431">
        <v>36262.8102</v>
      </c>
      <c r="I44" s="1" t="s">
        <v>673</v>
      </c>
      <c r="J44" s="50" t="s">
        <v>658</v>
      </c>
      <c r="K44" s="50" t="s">
        <v>686</v>
      </c>
      <c r="L44" s="211">
        <f t="shared" si="6"/>
        <v>36.262810199999997</v>
      </c>
      <c r="M44" s="50">
        <f>VLOOKUP(A44,'GHG Factors FY20'!A:L,8,FALSE)*L44</f>
        <v>1240.18810884</v>
      </c>
      <c r="N44" s="50">
        <f>VLOOKUP(A44,'GHG Factors FY20'!A:L,10,FALSE)*M44</f>
        <v>84084.753779352017</v>
      </c>
      <c r="O44" s="50">
        <f>VLOOKUP(A44,'GHG Factors FY20'!A:L,11,FALSE)*M44</f>
        <v>0</v>
      </c>
      <c r="P44" s="50">
        <f>VLOOKUP(A44,'GHG Factors FY20'!A:L,12,FALSE)*M44</f>
        <v>4464.6771918240001</v>
      </c>
      <c r="Q44" s="51">
        <f t="shared" si="7"/>
        <v>88549.430971176014</v>
      </c>
      <c r="S44" t="s">
        <v>976</v>
      </c>
      <c r="T44">
        <v>36262.8102</v>
      </c>
      <c r="U44">
        <v>1240.1500000000001</v>
      </c>
      <c r="V44">
        <v>84.084600000000009</v>
      </c>
      <c r="W44">
        <v>4.4652000000000003</v>
      </c>
      <c r="X44" s="241">
        <f>Grounds_Fuels3322[[#This Row],[Sum of Scope 1 kg CO2-e]]/1000-V44</f>
        <v>1.5377935200433512E-4</v>
      </c>
      <c r="Y44" s="5">
        <f>Grounds_Fuels3322[[#This Row],[Sum of Scope 3 kg CO2-e]]/1000-W44</f>
        <v>-5.228081760000336E-4</v>
      </c>
    </row>
    <row r="45" spans="1:25">
      <c r="A45" t="s">
        <v>977</v>
      </c>
      <c r="B45" s="23" t="s">
        <v>665</v>
      </c>
      <c r="C45" t="s">
        <v>1273</v>
      </c>
      <c r="D45" t="s">
        <v>666</v>
      </c>
      <c r="E45" t="s">
        <v>1215</v>
      </c>
      <c r="F45" t="s">
        <v>1234</v>
      </c>
      <c r="G45" t="s">
        <v>1216</v>
      </c>
      <c r="H45" s="431">
        <v>9788.6796000000013</v>
      </c>
      <c r="I45" s="1" t="s">
        <v>673</v>
      </c>
      <c r="J45" s="50" t="s">
        <v>658</v>
      </c>
      <c r="K45" s="50" t="s">
        <v>686</v>
      </c>
      <c r="L45" s="211">
        <f t="shared" si="6"/>
        <v>9.7886796000000018</v>
      </c>
      <c r="M45" s="50">
        <f>VLOOKUP(A45,'GHG Factors FY20'!A:L,8,FALSE)*L45</f>
        <v>334.77284232000011</v>
      </c>
      <c r="N45" s="50">
        <f>VLOOKUP(A45,'GHG Factors FY20'!A:L,10,FALSE)*M45</f>
        <v>22697.598709296009</v>
      </c>
      <c r="O45" s="50">
        <f>VLOOKUP(A45,'GHG Factors FY20'!A:L,11,FALSE)*M45</f>
        <v>0</v>
      </c>
      <c r="P45" s="50">
        <f>VLOOKUP(A45,'GHG Factors FY20'!A:L,12,FALSE)*M45</f>
        <v>1205.1822323520005</v>
      </c>
      <c r="Q45" s="51">
        <f t="shared" si="7"/>
        <v>23902.780941648009</v>
      </c>
      <c r="S45" t="s">
        <v>977</v>
      </c>
      <c r="T45">
        <v>9788.6796000000013</v>
      </c>
      <c r="U45">
        <v>334.81</v>
      </c>
      <c r="V45">
        <v>22.697900000000004</v>
      </c>
      <c r="W45">
        <v>1.2054</v>
      </c>
      <c r="X45" s="241">
        <f>Grounds_Fuels3322[[#This Row],[Sum of Scope 1 kg CO2-e]]/1000-V45</f>
        <v>-3.0129070399453894E-4</v>
      </c>
      <c r="Y45" s="5">
        <f>Grounds_Fuels3322[[#This Row],[Sum of Scope 3 kg CO2-e]]/1000-W45</f>
        <v>-2.1776764799952275E-4</v>
      </c>
    </row>
    <row r="46" spans="1:25">
      <c r="A46" s="4" t="s">
        <v>1063</v>
      </c>
      <c r="B46" s="23" t="s">
        <v>665</v>
      </c>
      <c r="C46" t="s">
        <v>1273</v>
      </c>
      <c r="D46" t="s">
        <v>666</v>
      </c>
      <c r="E46" t="s">
        <v>1207</v>
      </c>
      <c r="F46" t="s">
        <v>1234</v>
      </c>
      <c r="G46" t="s">
        <v>1208</v>
      </c>
      <c r="H46" s="431">
        <v>199.64049999999997</v>
      </c>
      <c r="I46" s="1" t="s">
        <v>673</v>
      </c>
      <c r="J46" s="50" t="s">
        <v>658</v>
      </c>
      <c r="K46" s="50" t="s">
        <v>686</v>
      </c>
      <c r="L46" s="211">
        <f t="shared" si="6"/>
        <v>0.19964049999999997</v>
      </c>
      <c r="M46" s="50">
        <f>VLOOKUP(A46,'GHG Factors FY20'!A:L,8,FALSE)*L46</f>
        <v>6.8277050999999993</v>
      </c>
      <c r="N46" s="50">
        <f>VLOOKUP(A46,'GHG Factors FY20'!A:L,10,FALSE)*M46</f>
        <v>462.91840578000006</v>
      </c>
      <c r="O46" s="50">
        <f>VLOOKUP(A46,'GHG Factors FY20'!A:L,11,FALSE)*M46</f>
        <v>0</v>
      </c>
      <c r="P46" s="50">
        <f>VLOOKUP(A46,'GHG Factors FY20'!A:L,12,FALSE)*M46</f>
        <v>24.579738359999997</v>
      </c>
      <c r="Q46" s="51">
        <f t="shared" si="7"/>
        <v>487.49814414000008</v>
      </c>
      <c r="S46" s="80" t="s">
        <v>1063</v>
      </c>
      <c r="T46" s="80">
        <v>199.64049999999997</v>
      </c>
      <c r="U46" s="80">
        <v>6.84</v>
      </c>
      <c r="V46" s="80">
        <v>0.46270000000000006</v>
      </c>
      <c r="W46" s="80">
        <v>2.4599999999999997E-2</v>
      </c>
      <c r="X46" s="81">
        <f>Grounds_Fuels3322[[#This Row],[Sum of Scope 1 kg CO2-e]]/1000-V46</f>
        <v>2.1840577999998612E-4</v>
      </c>
      <c r="Y46" s="81">
        <f>Grounds_Fuels3322[[#This Row],[Sum of Scope 3 kg CO2-e]]/1000-W46</f>
        <v>-2.0261640000001496E-5</v>
      </c>
    </row>
    <row r="47" spans="1:25">
      <c r="A47" s="4" t="s">
        <v>1064</v>
      </c>
      <c r="B47" s="23" t="s">
        <v>665</v>
      </c>
      <c r="C47" t="s">
        <v>1273</v>
      </c>
      <c r="D47" t="s">
        <v>666</v>
      </c>
      <c r="E47" t="s">
        <v>1209</v>
      </c>
      <c r="F47" t="s">
        <v>1234</v>
      </c>
      <c r="G47" t="s">
        <v>1210</v>
      </c>
      <c r="H47" s="431">
        <v>65.216099999999997</v>
      </c>
      <c r="I47" s="1" t="s">
        <v>673</v>
      </c>
      <c r="J47" s="50" t="s">
        <v>658</v>
      </c>
      <c r="K47" s="50" t="s">
        <v>686</v>
      </c>
      <c r="L47" s="211">
        <f t="shared" si="6"/>
        <v>6.5216099999999999E-2</v>
      </c>
      <c r="M47" s="50">
        <f>VLOOKUP(A47,'GHG Factors FY20'!A:L,8,FALSE)*L47</f>
        <v>2.2303906200000001</v>
      </c>
      <c r="N47" s="50">
        <f>VLOOKUP(A47,'GHG Factors FY20'!A:L,10,FALSE)*M47</f>
        <v>151.22048403600004</v>
      </c>
      <c r="O47" s="50">
        <f>VLOOKUP(A47,'GHG Factors FY20'!A:L,11,FALSE)*M47</f>
        <v>0</v>
      </c>
      <c r="P47" s="50">
        <f>VLOOKUP(A47,'GHG Factors FY20'!A:L,12,FALSE)*M47</f>
        <v>8.0294062320000013</v>
      </c>
      <c r="Q47" s="51">
        <f t="shared" si="7"/>
        <v>159.24989026800006</v>
      </c>
      <c r="S47" s="80" t="s">
        <v>1064</v>
      </c>
      <c r="T47" s="80">
        <v>65.216099999999997</v>
      </c>
      <c r="U47" s="80">
        <v>2.23</v>
      </c>
      <c r="V47" s="80">
        <v>0.1512</v>
      </c>
      <c r="W47" s="80">
        <v>8.3000000000000001E-3</v>
      </c>
      <c r="X47" s="81">
        <f>Grounds_Fuels3322[[#This Row],[Sum of Scope 1 kg CO2-e]]/1000-V47</f>
        <v>2.0484036000051331E-5</v>
      </c>
      <c r="Y47" s="81">
        <f>Grounds_Fuels3322[[#This Row],[Sum of Scope 3 kg CO2-e]]/1000-W47</f>
        <v>-2.7059376799999819E-4</v>
      </c>
    </row>
    <row r="48" spans="1:25">
      <c r="A48" s="4" t="s">
        <v>1065</v>
      </c>
      <c r="B48" s="23" t="s">
        <v>665</v>
      </c>
      <c r="C48" t="s">
        <v>1273</v>
      </c>
      <c r="D48" t="s">
        <v>666</v>
      </c>
      <c r="E48" t="s">
        <v>1215</v>
      </c>
      <c r="F48" t="s">
        <v>1234</v>
      </c>
      <c r="G48" t="s">
        <v>1216</v>
      </c>
      <c r="H48" s="431">
        <v>0</v>
      </c>
      <c r="I48" s="1" t="s">
        <v>673</v>
      </c>
      <c r="J48" s="50" t="s">
        <v>658</v>
      </c>
      <c r="K48" s="50" t="s">
        <v>686</v>
      </c>
      <c r="L48" s="211">
        <f t="shared" si="6"/>
        <v>0</v>
      </c>
      <c r="M48" s="50">
        <f>VLOOKUP(A48,'GHG Factors FY20'!A:L,8,FALSE)*L48</f>
        <v>0</v>
      </c>
      <c r="N48" s="50">
        <f>VLOOKUP(A48,'GHG Factors FY20'!A:L,10,FALSE)*M48</f>
        <v>0</v>
      </c>
      <c r="O48" s="50">
        <f>VLOOKUP(A48,'GHG Factors FY20'!A:L,11,FALSE)*M48</f>
        <v>0</v>
      </c>
      <c r="P48" s="50">
        <f>VLOOKUP(A48,'GHG Factors FY20'!A:L,12,FALSE)*M48</f>
        <v>0</v>
      </c>
      <c r="Q48" s="51">
        <f t="shared" si="7"/>
        <v>0</v>
      </c>
      <c r="S48" t="s">
        <v>1065</v>
      </c>
      <c r="T48">
        <v>0</v>
      </c>
      <c r="U48">
        <v>0</v>
      </c>
      <c r="V48">
        <v>0</v>
      </c>
    </row>
    <row r="49" spans="1:17">
      <c r="A49" s="25"/>
      <c r="B49" s="23"/>
      <c r="H49" s="432"/>
      <c r="L49" s="39"/>
      <c r="M49" s="39"/>
      <c r="N49" s="39"/>
      <c r="O49" s="39"/>
      <c r="P49" s="39"/>
      <c r="Q49" s="39"/>
    </row>
    <row r="50" spans="1:17">
      <c r="A50" s="647"/>
    </row>
    <row r="51" spans="1:17">
      <c r="A51" t="s">
        <v>1275</v>
      </c>
    </row>
    <row r="52" spans="1:17">
      <c r="A52" t="s">
        <v>1279</v>
      </c>
    </row>
  </sheetData>
  <pageMargins left="0.7" right="0.7" top="0.75" bottom="0.75" header="0.3" footer="0.3"/>
  <pageSetup paperSize="9" orientation="portrait" r:id="rId1"/>
  <tableParts count="2">
    <tablePart r:id="rId2"/>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sheetPr>
  <dimension ref="A1:K24"/>
  <sheetViews>
    <sheetView zoomScale="80" zoomScaleNormal="80" workbookViewId="0">
      <selection activeCell="H15" sqref="H15"/>
    </sheetView>
  </sheetViews>
  <sheetFormatPr defaultColWidth="8.8984375" defaultRowHeight="13.8"/>
  <cols>
    <col min="1" max="1" width="27.59765625" customWidth="1"/>
    <col min="2" max="2" width="29.59765625" customWidth="1"/>
    <col min="3" max="3" width="9.09765625" bestFit="1" customWidth="1"/>
    <col min="4" max="4" width="7.5" bestFit="1" customWidth="1"/>
    <col min="5" max="5" width="9.59765625" bestFit="1" customWidth="1"/>
    <col min="6" max="6" width="31.3984375" bestFit="1" customWidth="1"/>
    <col min="8" max="8" width="11.09765625" bestFit="1" customWidth="1"/>
    <col min="11" max="11" width="21.59765625" bestFit="1" customWidth="1"/>
  </cols>
  <sheetData>
    <row r="1" spans="1:11">
      <c r="A1" s="813" t="s">
        <v>91</v>
      </c>
      <c r="B1" s="813" t="s">
        <v>1280</v>
      </c>
    </row>
    <row r="2" spans="1:11">
      <c r="A2" t="s">
        <v>1281</v>
      </c>
      <c r="B2" t="s">
        <v>1187</v>
      </c>
      <c r="C2" s="1" t="s">
        <v>673</v>
      </c>
      <c r="D2" s="37" t="s">
        <v>649</v>
      </c>
      <c r="E2" s="37" t="s">
        <v>684</v>
      </c>
      <c r="F2" s="37" t="s">
        <v>650</v>
      </c>
      <c r="G2" s="37" t="s">
        <v>651</v>
      </c>
      <c r="H2" s="37" t="s">
        <v>652</v>
      </c>
      <c r="I2" s="37" t="s">
        <v>653</v>
      </c>
      <c r="J2" s="37" t="s">
        <v>654</v>
      </c>
      <c r="K2" s="37" t="s">
        <v>751</v>
      </c>
    </row>
    <row r="3" spans="1:11">
      <c r="A3" t="s">
        <v>956</v>
      </c>
      <c r="B3" t="s">
        <v>1192</v>
      </c>
      <c r="C3">
        <v>579.6454</v>
      </c>
      <c r="D3" s="50" t="s">
        <v>658</v>
      </c>
      <c r="E3" s="50" t="s">
        <v>686</v>
      </c>
      <c r="F3" s="72">
        <f>C3/1000</f>
        <v>0.57964539999999998</v>
      </c>
      <c r="G3" s="72">
        <f>VLOOKUP(A3,'GHG Factors FY21'!A:L,8,FALSE)*F3</f>
        <v>22.374312440000001</v>
      </c>
      <c r="H3" s="72">
        <f>VLOOKUP(A3,'GHG Factors FY21'!A:L,10,FALSE)*G3</f>
        <v>1570.6767332880002</v>
      </c>
      <c r="I3" s="72">
        <f>VLOOKUP(A3,'GHG Factors FY21'!A:L,11,FALSE)*G3</f>
        <v>0</v>
      </c>
      <c r="J3" s="72">
        <f>VLOOKUP(A3,'GHG Factors FY21'!A:L,12,FALSE)*G3</f>
        <v>80.547524784000004</v>
      </c>
      <c r="K3" s="51">
        <f>SUM(H3,I3,J3)</f>
        <v>1651.2242580720001</v>
      </c>
    </row>
    <row r="4" spans="1:11">
      <c r="A4" t="s">
        <v>957</v>
      </c>
      <c r="B4" t="s">
        <v>1208</v>
      </c>
      <c r="C4">
        <v>0</v>
      </c>
      <c r="D4" s="50" t="s">
        <v>658</v>
      </c>
      <c r="E4" s="50" t="s">
        <v>686</v>
      </c>
      <c r="F4" s="72">
        <f t="shared" ref="F4:F9" si="0">C4/1000</f>
        <v>0</v>
      </c>
      <c r="G4" s="72">
        <f>VLOOKUP(A4,'GHG Factors FY21'!A:L,8,FALSE)*F4</f>
        <v>0</v>
      </c>
      <c r="H4" s="72">
        <f>VLOOKUP(A4,'GHG Factors FY21'!A:L,10,FALSE)*G4</f>
        <v>0</v>
      </c>
      <c r="I4" s="72">
        <f>VLOOKUP(A4,'GHG Factors FY21'!A:L,11,FALSE)*G4</f>
        <v>0</v>
      </c>
      <c r="J4" s="72">
        <f>VLOOKUP(A4,'GHG Factors FY21'!A:L,12,FALSE)*G4</f>
        <v>0</v>
      </c>
      <c r="K4" s="51">
        <f t="shared" ref="K4:K9" si="1">SUM(H4,I4,J4)</f>
        <v>0</v>
      </c>
    </row>
    <row r="5" spans="1:11">
      <c r="A5" t="s">
        <v>958</v>
      </c>
      <c r="B5" t="s">
        <v>1210</v>
      </c>
      <c r="C5">
        <v>44.689399999999999</v>
      </c>
      <c r="D5" s="50" t="s">
        <v>658</v>
      </c>
      <c r="E5" s="50" t="s">
        <v>686</v>
      </c>
      <c r="F5" s="72">
        <f t="shared" si="0"/>
        <v>4.4689399999999997E-2</v>
      </c>
      <c r="G5" s="72">
        <f>VLOOKUP(A5,'GHG Factors FY21'!A:L,8,FALSE)*F5</f>
        <v>1.7250108399999999</v>
      </c>
      <c r="H5" s="72">
        <f>VLOOKUP(A5,'GHG Factors FY21'!A:L,10,FALSE)*G5</f>
        <v>121.09576096799999</v>
      </c>
      <c r="I5" s="72">
        <f>VLOOKUP(A5,'GHG Factors FY21'!A:L,11,FALSE)*G5</f>
        <v>0</v>
      </c>
      <c r="J5" s="72">
        <f>VLOOKUP(A5,'GHG Factors FY21'!A:L,12,FALSE)*G5</f>
        <v>6.2100390240000003</v>
      </c>
      <c r="K5" s="51">
        <f t="shared" si="1"/>
        <v>127.30579999199999</v>
      </c>
    </row>
    <row r="6" spans="1:11">
      <c r="A6" t="s">
        <v>959</v>
      </c>
      <c r="B6" t="s">
        <v>1193</v>
      </c>
      <c r="C6">
        <v>173.53250000000003</v>
      </c>
      <c r="D6" s="50" t="s">
        <v>658</v>
      </c>
      <c r="E6" s="50" t="s">
        <v>686</v>
      </c>
      <c r="F6" s="72">
        <f t="shared" si="0"/>
        <v>0.17353250000000003</v>
      </c>
      <c r="G6" s="72">
        <f>VLOOKUP(A6,'GHG Factors FY21'!A:L,8,FALSE)*F6</f>
        <v>6.6983545000000015</v>
      </c>
      <c r="H6" s="72">
        <f>VLOOKUP(A6,'GHG Factors FY21'!A:L,10,FALSE)*G6</f>
        <v>470.2244859000001</v>
      </c>
      <c r="I6" s="72">
        <f>VLOOKUP(A6,'GHG Factors FY21'!A:L,11,FALSE)*G6</f>
        <v>0</v>
      </c>
      <c r="J6" s="72">
        <f>VLOOKUP(A6,'GHG Factors FY21'!A:L,12,FALSE)*G6</f>
        <v>24.114076200000007</v>
      </c>
      <c r="K6" s="51">
        <f t="shared" si="1"/>
        <v>494.3385621000001</v>
      </c>
    </row>
    <row r="7" spans="1:11">
      <c r="A7" t="s">
        <v>960</v>
      </c>
      <c r="B7" t="s">
        <v>1213</v>
      </c>
      <c r="C7">
        <v>5.23</v>
      </c>
      <c r="D7" s="50" t="s">
        <v>658</v>
      </c>
      <c r="E7" s="50" t="s">
        <v>686</v>
      </c>
      <c r="F7" s="72">
        <f t="shared" si="0"/>
        <v>5.2300000000000003E-3</v>
      </c>
      <c r="G7" s="72">
        <f>VLOOKUP(A7,'GHG Factors FY21'!A:L,8,FALSE)*F7</f>
        <v>0.20187800000000003</v>
      </c>
      <c r="H7" s="72">
        <f>VLOOKUP(A7,'GHG Factors FY21'!A:L,10,FALSE)*G7</f>
        <v>14.171835600000003</v>
      </c>
      <c r="I7" s="72">
        <f>VLOOKUP(A7,'GHG Factors FY21'!A:L,11,FALSE)*G7</f>
        <v>0</v>
      </c>
      <c r="J7" s="72">
        <f>VLOOKUP(A7,'GHG Factors FY21'!A:L,12,FALSE)*G7</f>
        <v>0.7267608000000001</v>
      </c>
      <c r="K7" s="51">
        <f t="shared" si="1"/>
        <v>14.898596400000002</v>
      </c>
    </row>
    <row r="8" spans="1:11">
      <c r="A8" t="s">
        <v>961</v>
      </c>
      <c r="B8" t="s">
        <v>1189</v>
      </c>
      <c r="C8">
        <v>210.15020000000001</v>
      </c>
      <c r="D8" s="50" t="s">
        <v>658</v>
      </c>
      <c r="E8" s="50" t="s">
        <v>686</v>
      </c>
      <c r="F8" s="72">
        <f t="shared" si="0"/>
        <v>0.21015020000000001</v>
      </c>
      <c r="G8" s="72">
        <f>VLOOKUP(A8,'GHG Factors FY21'!A:L,8,FALSE)*F8</f>
        <v>8.1117977200000002</v>
      </c>
      <c r="H8" s="72">
        <f>VLOOKUP(A8,'GHG Factors FY21'!A:L,10,FALSE)*G8</f>
        <v>569.44819994400007</v>
      </c>
      <c r="I8" s="72">
        <f>VLOOKUP(A8,'GHG Factors FY21'!A:L,11,FALSE)*G8</f>
        <v>0</v>
      </c>
      <c r="J8" s="72">
        <f>VLOOKUP(A8,'GHG Factors FY21'!A:L,12,FALSE)*G8</f>
        <v>29.202471792000001</v>
      </c>
      <c r="K8" s="51">
        <f t="shared" si="1"/>
        <v>598.65067173600005</v>
      </c>
    </row>
    <row r="9" spans="1:11">
      <c r="A9" t="s">
        <v>962</v>
      </c>
      <c r="B9" t="s">
        <v>1216</v>
      </c>
      <c r="C9">
        <v>0</v>
      </c>
      <c r="D9" s="50" t="s">
        <v>658</v>
      </c>
      <c r="E9" s="50" t="s">
        <v>686</v>
      </c>
      <c r="F9" s="72">
        <f t="shared" si="0"/>
        <v>0</v>
      </c>
      <c r="G9" s="72">
        <f>VLOOKUP(A9,'GHG Factors FY21'!A:L,8,FALSE)*F9</f>
        <v>0</v>
      </c>
      <c r="H9" s="72">
        <f>VLOOKUP(A9,'GHG Factors FY21'!A:L,10,FALSE)*G9</f>
        <v>0</v>
      </c>
      <c r="I9" s="72">
        <f>VLOOKUP(A9,'GHG Factors FY21'!A:L,11,FALSE)*G9</f>
        <v>0</v>
      </c>
      <c r="J9" s="72">
        <f>VLOOKUP(A9,'GHG Factors FY21'!A:L,12,FALSE)*G9</f>
        <v>0</v>
      </c>
      <c r="K9" s="51">
        <f t="shared" si="1"/>
        <v>0</v>
      </c>
    </row>
    <row r="10" spans="1:11">
      <c r="C10" s="7"/>
      <c r="F10" s="73"/>
      <c r="G10" s="73"/>
      <c r="H10" s="73"/>
      <c r="I10" s="73"/>
      <c r="J10" s="73"/>
      <c r="K10" s="73"/>
    </row>
    <row r="11" spans="1:11">
      <c r="C11" s="241">
        <f>SUM(C3:C9)</f>
        <v>1013.2475000000001</v>
      </c>
    </row>
    <row r="12" spans="1:11">
      <c r="C12" s="241"/>
    </row>
    <row r="13" spans="1:11">
      <c r="A13" t="s">
        <v>1282</v>
      </c>
      <c r="C13" s="241"/>
    </row>
    <row r="15" spans="1:11">
      <c r="A15" s="653" t="s">
        <v>3</v>
      </c>
      <c r="B15" s="653" t="s">
        <v>1174</v>
      </c>
      <c r="D15" t="s">
        <v>1283</v>
      </c>
    </row>
    <row r="16" spans="1:11">
      <c r="A16" t="s">
        <v>1281</v>
      </c>
      <c r="B16" t="s">
        <v>1187</v>
      </c>
      <c r="C16" s="1" t="s">
        <v>673</v>
      </c>
      <c r="D16" s="37" t="s">
        <v>649</v>
      </c>
      <c r="E16" s="37" t="s">
        <v>684</v>
      </c>
      <c r="F16" s="37" t="s">
        <v>650</v>
      </c>
      <c r="G16" s="37" t="s">
        <v>651</v>
      </c>
      <c r="H16" s="37" t="s">
        <v>652</v>
      </c>
      <c r="I16" s="37" t="s">
        <v>653</v>
      </c>
      <c r="J16" s="37" t="s">
        <v>654</v>
      </c>
      <c r="K16" s="37" t="s">
        <v>751</v>
      </c>
    </row>
    <row r="17" spans="1:11">
      <c r="A17" t="s">
        <v>956</v>
      </c>
      <c r="B17" t="s">
        <v>1192</v>
      </c>
      <c r="C17">
        <v>48.378500000000003</v>
      </c>
      <c r="D17" s="50" t="s">
        <v>658</v>
      </c>
      <c r="E17" s="50" t="s">
        <v>686</v>
      </c>
      <c r="F17" s="72">
        <f>C17/1000</f>
        <v>4.8378500000000005E-2</v>
      </c>
      <c r="G17" s="72">
        <f>VLOOKUP(A17,'GHG Factors FY20'!A:L,8,FALSE)*F17</f>
        <v>1.8674101000000003</v>
      </c>
      <c r="H17" s="72">
        <f>VLOOKUP(A17,'GHG Factors FY20'!A:L,10,FALSE)*G17</f>
        <v>131.09218902000003</v>
      </c>
      <c r="I17" s="72">
        <f>VLOOKUP(A17,'GHG Factors FY20'!A:L,11,FALSE)*G17</f>
        <v>0</v>
      </c>
      <c r="J17" s="72">
        <f>VLOOKUP(A17,'GHG Factors FY20'!A:L,12,FALSE)*G17</f>
        <v>6.7226763600000012</v>
      </c>
      <c r="K17" s="51">
        <f>SUM(H17,I17,J17)</f>
        <v>137.81486538000004</v>
      </c>
    </row>
    <row r="18" spans="1:11">
      <c r="A18" t="s">
        <v>957</v>
      </c>
      <c r="B18" t="s">
        <v>1208</v>
      </c>
      <c r="C18">
        <v>0</v>
      </c>
      <c r="D18" s="50" t="s">
        <v>658</v>
      </c>
      <c r="E18" s="50" t="s">
        <v>686</v>
      </c>
      <c r="F18" s="72">
        <f t="shared" ref="F18:F23" si="2">C18/1000</f>
        <v>0</v>
      </c>
      <c r="G18" s="72">
        <f>VLOOKUP(A18,'GHG Factors FY20'!A:L,8,FALSE)*F18</f>
        <v>0</v>
      </c>
      <c r="H18" s="72">
        <f>VLOOKUP(A18,'GHG Factors FY20'!A:L,10,FALSE)*G18</f>
        <v>0</v>
      </c>
      <c r="I18" s="72">
        <f>VLOOKUP(A18,'GHG Factors FY20'!A:L,11,FALSE)*G18</f>
        <v>0</v>
      </c>
      <c r="J18" s="72">
        <f>VLOOKUP(A18,'GHG Factors FY20'!A:L,12,FALSE)*G18</f>
        <v>0</v>
      </c>
      <c r="K18" s="51">
        <f t="shared" ref="K18:K23" si="3">SUM(H18,I18,J18)</f>
        <v>0</v>
      </c>
    </row>
    <row r="19" spans="1:11">
      <c r="A19" t="s">
        <v>958</v>
      </c>
      <c r="B19" t="s">
        <v>1210</v>
      </c>
      <c r="C19">
        <v>21.302500000000002</v>
      </c>
      <c r="D19" s="50" t="s">
        <v>658</v>
      </c>
      <c r="E19" s="50" t="s">
        <v>686</v>
      </c>
      <c r="F19" s="72">
        <f t="shared" si="2"/>
        <v>2.1302500000000002E-2</v>
      </c>
      <c r="G19" s="72">
        <f>VLOOKUP(A19,'GHG Factors FY20'!A:L,8,FALSE)*F19</f>
        <v>0.82227650000000008</v>
      </c>
      <c r="H19" s="72">
        <f>VLOOKUP(A19,'GHG Factors FY20'!A:L,10,FALSE)*G19</f>
        <v>57.723810300000011</v>
      </c>
      <c r="I19" s="72">
        <f>VLOOKUP(A19,'GHG Factors FY20'!A:L,11,FALSE)*G19</f>
        <v>0</v>
      </c>
      <c r="J19" s="72">
        <f>VLOOKUP(A19,'GHG Factors FY20'!A:L,12,FALSE)*G19</f>
        <v>2.9601954000000004</v>
      </c>
      <c r="K19" s="51">
        <f t="shared" si="3"/>
        <v>60.684005700000014</v>
      </c>
    </row>
    <row r="20" spans="1:11">
      <c r="A20" t="s">
        <v>959</v>
      </c>
      <c r="B20" t="s">
        <v>1193</v>
      </c>
      <c r="C20">
        <v>107.29039999999999</v>
      </c>
      <c r="D20" s="50" t="s">
        <v>658</v>
      </c>
      <c r="E20" s="50" t="s">
        <v>686</v>
      </c>
      <c r="F20" s="72">
        <f t="shared" si="2"/>
        <v>0.10729039999999999</v>
      </c>
      <c r="G20" s="72">
        <f>VLOOKUP(A20,'GHG Factors FY20'!A:L,8,FALSE)*F20</f>
        <v>4.1414094400000003</v>
      </c>
      <c r="H20" s="72">
        <f>VLOOKUP(A20,'GHG Factors FY20'!A:L,10,FALSE)*G20</f>
        <v>290.72694268800001</v>
      </c>
      <c r="I20" s="72">
        <f>VLOOKUP(A20,'GHG Factors FY20'!A:L,11,FALSE)*G20</f>
        <v>0</v>
      </c>
      <c r="J20" s="72">
        <f>VLOOKUP(A20,'GHG Factors FY20'!A:L,12,FALSE)*G20</f>
        <v>14.909073984000001</v>
      </c>
      <c r="K20" s="51">
        <f t="shared" si="3"/>
        <v>305.63601667199998</v>
      </c>
    </row>
    <row r="21" spans="1:11">
      <c r="A21" t="s">
        <v>960</v>
      </c>
      <c r="B21" t="s">
        <v>1213</v>
      </c>
      <c r="C21">
        <v>1.395</v>
      </c>
      <c r="D21" s="50" t="s">
        <v>658</v>
      </c>
      <c r="E21" s="50" t="s">
        <v>686</v>
      </c>
      <c r="F21" s="72">
        <f t="shared" si="2"/>
        <v>1.395E-3</v>
      </c>
      <c r="G21" s="72">
        <f>VLOOKUP(A21,'GHG Factors FY20'!A:L,8,FALSE)*F21</f>
        <v>5.3846999999999999E-2</v>
      </c>
      <c r="H21" s="72">
        <f>VLOOKUP(A21,'GHG Factors FY20'!A:L,10,FALSE)*G21</f>
        <v>3.7800594000000003</v>
      </c>
      <c r="I21" s="72">
        <f>VLOOKUP(A21,'GHG Factors FY20'!A:L,11,FALSE)*G21</f>
        <v>0</v>
      </c>
      <c r="J21" s="72">
        <f>VLOOKUP(A21,'GHG Factors FY20'!A:L,12,FALSE)*G21</f>
        <v>0.1938492</v>
      </c>
      <c r="K21" s="51">
        <f t="shared" si="3"/>
        <v>3.9739086000000001</v>
      </c>
    </row>
    <row r="22" spans="1:11">
      <c r="A22" t="s">
        <v>961</v>
      </c>
      <c r="B22" t="s">
        <v>1189</v>
      </c>
      <c r="C22">
        <v>501.06450000000001</v>
      </c>
      <c r="D22" s="50" t="s">
        <v>658</v>
      </c>
      <c r="E22" s="50" t="s">
        <v>686</v>
      </c>
      <c r="F22" s="72">
        <f t="shared" si="2"/>
        <v>0.50106450000000002</v>
      </c>
      <c r="G22" s="72">
        <f>VLOOKUP(A22,'GHG Factors FY20'!A:L,8,FALSE)*F22</f>
        <v>19.341089700000001</v>
      </c>
      <c r="H22" s="72">
        <f>VLOOKUP(A22,'GHG Factors FY20'!A:L,10,FALSE)*G22</f>
        <v>1357.7444969400001</v>
      </c>
      <c r="I22" s="72">
        <f>VLOOKUP(A22,'GHG Factors FY20'!A:L,11,FALSE)*G22</f>
        <v>0</v>
      </c>
      <c r="J22" s="72">
        <f>VLOOKUP(A22,'GHG Factors FY20'!A:L,12,FALSE)*G22</f>
        <v>69.627922920000003</v>
      </c>
      <c r="K22" s="51">
        <f t="shared" si="3"/>
        <v>1427.37241986</v>
      </c>
    </row>
    <row r="23" spans="1:11">
      <c r="A23" t="s">
        <v>962</v>
      </c>
      <c r="B23" t="s">
        <v>1216</v>
      </c>
      <c r="C23">
        <v>0.125</v>
      </c>
      <c r="D23" s="50" t="s">
        <v>658</v>
      </c>
      <c r="E23" s="50" t="s">
        <v>686</v>
      </c>
      <c r="F23" s="72">
        <f t="shared" si="2"/>
        <v>1.25E-4</v>
      </c>
      <c r="G23" s="72">
        <f>VLOOKUP(A23,'GHG Factors FY20'!A:L,8,FALSE)*F23</f>
        <v>4.8250000000000003E-3</v>
      </c>
      <c r="H23" s="72">
        <f>VLOOKUP(A23,'GHG Factors FY20'!A:L,10,FALSE)*G23</f>
        <v>0.33871500000000004</v>
      </c>
      <c r="I23" s="72">
        <f>VLOOKUP(A23,'GHG Factors FY20'!A:L,11,FALSE)*G23</f>
        <v>0</v>
      </c>
      <c r="J23" s="72">
        <f>VLOOKUP(A23,'GHG Factors FY20'!A:L,12,FALSE)*G23</f>
        <v>1.737E-2</v>
      </c>
      <c r="K23" s="51">
        <f t="shared" si="3"/>
        <v>0.35608500000000004</v>
      </c>
    </row>
    <row r="24" spans="1:11">
      <c r="C24" s="7"/>
      <c r="F24" s="73"/>
      <c r="G24" s="73"/>
      <c r="H24" s="73"/>
      <c r="I24" s="73"/>
      <c r="J24" s="73"/>
      <c r="K24" s="73"/>
    </row>
  </sheetData>
  <pageMargins left="0.7" right="0.7" top="0.75" bottom="0.75" header="0.3" footer="0.3"/>
  <pageSetup paperSize="9" orientation="portrait" r:id="rId1"/>
  <tableParts count="2">
    <tablePart r:id="rId2"/>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219D2-7C3F-4E48-828B-8253EC5037C2}">
  <sheetPr codeName="Sheet27">
    <tabColor rgb="FF00B050"/>
  </sheetPr>
  <dimension ref="A2:T82"/>
  <sheetViews>
    <sheetView zoomScale="70" zoomScaleNormal="70" workbookViewId="0">
      <selection activeCell="H15" sqref="H15"/>
    </sheetView>
  </sheetViews>
  <sheetFormatPr defaultColWidth="9" defaultRowHeight="13.8" outlineLevelCol="1"/>
  <cols>
    <col min="1" max="1" width="90.09765625" style="10" bestFit="1" customWidth="1"/>
    <col min="2" max="2" width="17.5" style="10" bestFit="1" customWidth="1"/>
    <col min="3" max="5" width="12" style="10" bestFit="1" customWidth="1"/>
    <col min="6" max="6" width="18.09765625" style="10" bestFit="1" customWidth="1" outlineLevel="1"/>
    <col min="7" max="8" width="12" style="10" bestFit="1" customWidth="1" outlineLevel="1"/>
    <col min="9" max="9" width="21.59765625" style="10" customWidth="1" outlineLevel="1"/>
    <col min="10" max="10" width="22.59765625" style="10" customWidth="1"/>
    <col min="11" max="11" width="28" style="10" customWidth="1"/>
    <col min="12" max="12" width="16.59765625" style="10" bestFit="1" customWidth="1"/>
    <col min="13" max="13" width="15.5" style="10" bestFit="1" customWidth="1"/>
    <col min="14" max="15" width="17.09765625" style="10" bestFit="1" customWidth="1"/>
    <col min="16" max="16" width="17.09765625" style="10" customWidth="1" outlineLevel="1"/>
    <col min="17" max="17" width="11.59765625" style="10" customWidth="1" outlineLevel="1"/>
    <col min="18" max="18" width="13.09765625" style="10" customWidth="1" outlineLevel="1"/>
    <col min="19" max="19" width="18.59765625" style="10" customWidth="1" outlineLevel="1"/>
    <col min="20" max="20" width="17.09765625" style="10" customWidth="1" outlineLevel="1"/>
    <col min="21" max="21" width="28.59765625" style="10" customWidth="1"/>
    <col min="22" max="23" width="12.59765625" style="10" bestFit="1" customWidth="1"/>
    <col min="24" max="24" width="16.59765625" style="10" bestFit="1" customWidth="1"/>
    <col min="25" max="25" width="22.09765625" style="10" bestFit="1" customWidth="1"/>
    <col min="26" max="26" width="26.59765625" style="10" bestFit="1" customWidth="1"/>
    <col min="27" max="27" width="70.5" style="10" customWidth="1"/>
    <col min="28" max="28" width="11.59765625" style="10" bestFit="1" customWidth="1"/>
    <col min="29" max="29" width="21.59765625" style="10" bestFit="1" customWidth="1"/>
    <col min="30" max="30" width="7.5" style="10" bestFit="1" customWidth="1"/>
    <col min="31" max="31" width="12.5" style="10" bestFit="1" customWidth="1"/>
    <col min="32" max="32" width="13.5" style="10" bestFit="1" customWidth="1"/>
    <col min="33" max="33" width="12.59765625" style="10" bestFit="1" customWidth="1"/>
    <col min="34" max="34" width="7.09765625" style="10" bestFit="1" customWidth="1"/>
    <col min="35" max="35" width="80.59765625" style="10" bestFit="1" customWidth="1"/>
    <col min="36" max="36" width="26.59765625" style="10" bestFit="1" customWidth="1"/>
    <col min="37" max="37" width="19.09765625" style="10" bestFit="1" customWidth="1"/>
    <col min="38" max="38" width="18.59765625" style="10" bestFit="1" customWidth="1"/>
    <col min="39" max="39" width="17.09765625" style="10" bestFit="1" customWidth="1"/>
    <col min="40" max="40" width="29.59765625" style="10" bestFit="1" customWidth="1"/>
    <col min="41" max="16384" width="9" style="10"/>
  </cols>
  <sheetData>
    <row r="2" spans="1:18" ht="14.4" thickBot="1">
      <c r="B2" s="818" t="s">
        <v>91</v>
      </c>
      <c r="C2" s="818" t="s">
        <v>1284</v>
      </c>
    </row>
    <row r="3" spans="1:18" s="18" customFormat="1" ht="14.4">
      <c r="A3" s="53" t="s">
        <v>732</v>
      </c>
      <c r="B3" s="44" t="s">
        <v>1285</v>
      </c>
      <c r="C3" s="494" t="s">
        <v>1286</v>
      </c>
      <c r="D3" s="494" t="s">
        <v>1187</v>
      </c>
      <c r="E3" s="494" t="s">
        <v>1287</v>
      </c>
      <c r="F3" s="494" t="s">
        <v>234</v>
      </c>
      <c r="G3" s="44" t="s">
        <v>649</v>
      </c>
      <c r="H3" s="494" t="s">
        <v>684</v>
      </c>
      <c r="I3" s="494" t="s">
        <v>650</v>
      </c>
      <c r="J3" s="494" t="s">
        <v>651</v>
      </c>
      <c r="K3" s="494" t="s">
        <v>652</v>
      </c>
      <c r="L3" s="494" t="s">
        <v>653</v>
      </c>
      <c r="M3" s="494" t="s">
        <v>654</v>
      </c>
      <c r="N3" s="45" t="s">
        <v>751</v>
      </c>
      <c r="P3" s="115" t="s">
        <v>820</v>
      </c>
    </row>
    <row r="4" spans="1:18" ht="14.4">
      <c r="A4" s="54" t="s">
        <v>820</v>
      </c>
      <c r="B4" s="40" t="s">
        <v>155</v>
      </c>
      <c r="C4" s="10" t="s">
        <v>155</v>
      </c>
      <c r="D4" s="10" t="s">
        <v>1190</v>
      </c>
      <c r="E4" s="10" t="s">
        <v>663</v>
      </c>
      <c r="F4" s="74">
        <f>E24</f>
        <v>77837.450657894733</v>
      </c>
      <c r="G4" s="75" t="s">
        <v>663</v>
      </c>
      <c r="H4" t="s">
        <v>104</v>
      </c>
      <c r="I4" s="74">
        <f>F4</f>
        <v>77837.450657894733</v>
      </c>
      <c r="J4" s="74">
        <f>VLOOKUP(A4,'GHG Factors FY21'!A:L,8,FALSE)*I4</f>
        <v>280.21482236842104</v>
      </c>
      <c r="K4" s="74">
        <f>VLOOKUP(A4,'GHG Factors FY21'!A:L,10,FALSE)*I4</f>
        <v>0</v>
      </c>
      <c r="L4" s="74">
        <f>VLOOKUP(A4,'GHG Factors FY21'!A:L,11,FALSE)*I4</f>
        <v>63048.335032894734</v>
      </c>
      <c r="M4" s="74">
        <f>VLOOKUP(A4,'GHG Factors FY21'!A:L,12,FALSE)*I4</f>
        <v>7005.3705592105262</v>
      </c>
      <c r="N4" s="41">
        <f>SUM(K4,L4,M4)</f>
        <v>70053.705592105267</v>
      </c>
      <c r="O4" s="888"/>
      <c r="P4" s="116" t="s">
        <v>821</v>
      </c>
    </row>
    <row r="5" spans="1:18" ht="14.4">
      <c r="A5" s="54" t="s">
        <v>821</v>
      </c>
      <c r="B5" s="40" t="s">
        <v>155</v>
      </c>
      <c r="C5" s="10" t="s">
        <v>155</v>
      </c>
      <c r="D5" s="10" t="s">
        <v>1192</v>
      </c>
      <c r="E5" s="10" t="s">
        <v>663</v>
      </c>
      <c r="F5" s="74">
        <f t="shared" ref="F5:F9" si="0">E25</f>
        <v>402138.0311842105</v>
      </c>
      <c r="G5" s="75" t="s">
        <v>663</v>
      </c>
      <c r="H5" t="s">
        <v>104</v>
      </c>
      <c r="I5" s="74">
        <f t="shared" ref="I5:I21" si="1">F5</f>
        <v>402138.0311842105</v>
      </c>
      <c r="J5" s="74">
        <f>VLOOKUP(A5,'GHG Factors FY21'!A:L,8,FALSE)*I5</f>
        <v>1447.6969122631579</v>
      </c>
      <c r="K5" s="74">
        <f>VLOOKUP(A5,'GHG Factors FY21'!A:L,10,FALSE)*I5</f>
        <v>0</v>
      </c>
      <c r="L5" s="74">
        <f>VLOOKUP(A5,'GHG Factors FY21'!A:L,11,FALSE)*I5</f>
        <v>325731.80525921052</v>
      </c>
      <c r="M5" s="74">
        <f>VLOOKUP(A5,'GHG Factors FY21'!A:L,12,FALSE)*I5</f>
        <v>36192.422806578943</v>
      </c>
      <c r="N5" s="41">
        <f t="shared" ref="N5:N20" si="2">SUM(K5,L5,M5)</f>
        <v>361924.22806578944</v>
      </c>
      <c r="P5" s="122" t="s">
        <v>1288</v>
      </c>
    </row>
    <row r="6" spans="1:18" ht="14.4">
      <c r="A6" s="54" t="s">
        <v>822</v>
      </c>
      <c r="B6" s="40" t="s">
        <v>155</v>
      </c>
      <c r="C6" s="10" t="s">
        <v>155</v>
      </c>
      <c r="D6" s="10" t="s">
        <v>1210</v>
      </c>
      <c r="E6" s="10" t="s">
        <v>663</v>
      </c>
      <c r="F6" s="74">
        <f t="shared" si="0"/>
        <v>72552.465789473688</v>
      </c>
      <c r="G6" s="75" t="s">
        <v>663</v>
      </c>
      <c r="H6" t="s">
        <v>104</v>
      </c>
      <c r="I6" s="74">
        <f t="shared" si="1"/>
        <v>72552.465789473688</v>
      </c>
      <c r="J6" s="74">
        <f>VLOOKUP(A6,'GHG Factors FY21'!A:L,8,FALSE)*I6</f>
        <v>261.18887684210529</v>
      </c>
      <c r="K6" s="74">
        <f>VLOOKUP(A6,'GHG Factors FY21'!A:L,10,FALSE)*I6</f>
        <v>0</v>
      </c>
      <c r="L6" s="74">
        <f>VLOOKUP(A6,'GHG Factors FY21'!A:L,11,FALSE)*I6</f>
        <v>58767.497289473693</v>
      </c>
      <c r="M6" s="74">
        <f>VLOOKUP(A6,'GHG Factors FY21'!A:L,12,FALSE)*I6</f>
        <v>8706.2958947368425</v>
      </c>
      <c r="N6" s="41">
        <f t="shared" si="2"/>
        <v>67473.793184210532</v>
      </c>
      <c r="P6" s="116" t="s">
        <v>822</v>
      </c>
    </row>
    <row r="7" spans="1:18" ht="14.4">
      <c r="A7" s="54" t="s">
        <v>823</v>
      </c>
      <c r="B7" s="40" t="s">
        <v>155</v>
      </c>
      <c r="C7" s="10" t="s">
        <v>155</v>
      </c>
      <c r="D7" s="10" t="s">
        <v>1193</v>
      </c>
      <c r="E7" s="10" t="s">
        <v>663</v>
      </c>
      <c r="F7" s="74">
        <f t="shared" si="0"/>
        <v>7344.0740000000005</v>
      </c>
      <c r="G7" s="75" t="s">
        <v>663</v>
      </c>
      <c r="H7" t="s">
        <v>104</v>
      </c>
      <c r="I7" s="74">
        <f t="shared" si="1"/>
        <v>7344.0740000000005</v>
      </c>
      <c r="J7" s="74">
        <f>VLOOKUP(A7,'GHG Factors FY21'!A:L,8,FALSE)*I7</f>
        <v>26.438666400000002</v>
      </c>
      <c r="K7" s="74">
        <f>VLOOKUP(A7,'GHG Factors FY21'!A:L,10,FALSE)*I7</f>
        <v>0</v>
      </c>
      <c r="L7" s="74">
        <f>VLOOKUP(A7,'GHG Factors FY21'!A:L,11,FALSE)*I7</f>
        <v>3157.9518200000002</v>
      </c>
      <c r="M7" s="74">
        <f>VLOOKUP(A7,'GHG Factors FY21'!A:L,12,FALSE)*I7</f>
        <v>660.96666000000005</v>
      </c>
      <c r="N7" s="41">
        <f t="shared" si="2"/>
        <v>3818.9184800000003</v>
      </c>
      <c r="P7" s="115" t="s">
        <v>823</v>
      </c>
    </row>
    <row r="8" spans="1:18" ht="14.4">
      <c r="A8" s="54" t="s">
        <v>824</v>
      </c>
      <c r="B8" s="40" t="s">
        <v>155</v>
      </c>
      <c r="C8" s="10" t="s">
        <v>155</v>
      </c>
      <c r="D8" s="10" t="s">
        <v>1189</v>
      </c>
      <c r="E8" s="10" t="s">
        <v>663</v>
      </c>
      <c r="F8" s="74">
        <f t="shared" si="0"/>
        <v>650385.60624834325</v>
      </c>
      <c r="G8" s="75" t="s">
        <v>663</v>
      </c>
      <c r="H8" t="s">
        <v>104</v>
      </c>
      <c r="I8" s="74">
        <f t="shared" si="1"/>
        <v>650385.60624834325</v>
      </c>
      <c r="J8" s="74">
        <f>VLOOKUP(A8,'GHG Factors FY21'!A:L,8,FALSE)*I8</f>
        <v>2341.3881824940358</v>
      </c>
      <c r="K8" s="74">
        <f>VLOOKUP(A8,'GHG Factors FY21'!A:L,10,FALSE)*I8</f>
        <v>0</v>
      </c>
      <c r="L8" s="74">
        <f>VLOOKUP(A8,'GHG Factors FY21'!A:L,11,FALSE)*I8</f>
        <v>637377.89412337635</v>
      </c>
      <c r="M8" s="74">
        <f>VLOOKUP(A8,'GHG Factors FY21'!A:L,12,FALSE)*I8</f>
        <v>71542.41668731776</v>
      </c>
      <c r="N8" s="41">
        <f t="shared" si="2"/>
        <v>708920.31081069412</v>
      </c>
      <c r="P8" s="123" t="s">
        <v>1289</v>
      </c>
    </row>
    <row r="9" spans="1:18" ht="14.4">
      <c r="A9" s="54" t="s">
        <v>825</v>
      </c>
      <c r="B9" s="40" t="s">
        <v>155</v>
      </c>
      <c r="C9" s="10" t="s">
        <v>155</v>
      </c>
      <c r="D9" s="10" t="s">
        <v>1216</v>
      </c>
      <c r="E9" s="10" t="s">
        <v>663</v>
      </c>
      <c r="F9" s="74">
        <f t="shared" si="0"/>
        <v>38829.60317460318</v>
      </c>
      <c r="G9" s="75" t="s">
        <v>663</v>
      </c>
      <c r="H9" t="s">
        <v>104</v>
      </c>
      <c r="I9" s="74">
        <f t="shared" si="1"/>
        <v>38829.60317460318</v>
      </c>
      <c r="J9" s="74">
        <f>VLOOKUP(A9,'GHG Factors FY21'!A:L,8,FALSE)*I9</f>
        <v>139.78657142857145</v>
      </c>
      <c r="K9" s="74">
        <f>VLOOKUP(A9,'GHG Factors FY21'!A:L,10,FALSE)*I9</f>
        <v>0</v>
      </c>
      <c r="L9" s="74">
        <f>VLOOKUP(A9,'GHG Factors FY21'!A:L,11,FALSE)*I9</f>
        <v>26404.130158730164</v>
      </c>
      <c r="M9" s="74">
        <f>VLOOKUP(A9,'GHG Factors FY21'!A:L,12,FALSE)*I9</f>
        <v>776.59206349206363</v>
      </c>
      <c r="N9" s="41">
        <f t="shared" si="2"/>
        <v>27180.722222222226</v>
      </c>
      <c r="O9" s="241"/>
      <c r="P9" s="115" t="s">
        <v>824</v>
      </c>
      <c r="Q9"/>
      <c r="R9"/>
    </row>
    <row r="10" spans="1:18" ht="14.4">
      <c r="A10" s="54" t="s">
        <v>826</v>
      </c>
      <c r="B10" s="40" t="s">
        <v>666</v>
      </c>
      <c r="C10" s="10" t="s">
        <v>34</v>
      </c>
      <c r="D10" s="10" t="s">
        <v>1189</v>
      </c>
      <c r="E10" s="10" t="s">
        <v>669</v>
      </c>
      <c r="F10" s="74">
        <f>E30/1000</f>
        <v>639.7719201509625</v>
      </c>
      <c r="G10" s="75" t="s">
        <v>669</v>
      </c>
      <c r="H10" t="s">
        <v>686</v>
      </c>
      <c r="I10" s="74">
        <f t="shared" si="1"/>
        <v>639.7719201509625</v>
      </c>
      <c r="J10" s="74">
        <f>VLOOKUP(A10,'GHG Factors FY21'!A:L,8,FALSE)*I10</f>
        <v>639.7719201509625</v>
      </c>
      <c r="K10" s="74">
        <f>VLOOKUP(A10,'GHG Factors FY21'!A:L,10,FALSE)*J10</f>
        <v>32967.4470453791</v>
      </c>
      <c r="L10" s="74">
        <f>VLOOKUP(A10,'GHG Factors FY21'!A:L,11,FALSE)*I10</f>
        <v>0</v>
      </c>
      <c r="M10" s="74">
        <f>VLOOKUP(A10,'GHG Factors FY21'!A:L,12,FALSE)*I10</f>
        <v>2495.1104885887535</v>
      </c>
      <c r="N10" s="41">
        <f t="shared" si="2"/>
        <v>35462.557533967854</v>
      </c>
      <c r="O10" s="241"/>
      <c r="P10" s="116" t="s">
        <v>825</v>
      </c>
      <c r="Q10"/>
      <c r="R10"/>
    </row>
    <row r="11" spans="1:18" ht="14.4">
      <c r="A11" s="54" t="s">
        <v>827</v>
      </c>
      <c r="B11" s="40" t="s">
        <v>666</v>
      </c>
      <c r="C11" s="10" t="s">
        <v>35</v>
      </c>
      <c r="D11" s="10" t="s">
        <v>1192</v>
      </c>
      <c r="E11" s="10" t="s">
        <v>787</v>
      </c>
      <c r="F11" s="74">
        <f>E31/1000</f>
        <v>6.2278100999999984</v>
      </c>
      <c r="G11" s="75" t="s">
        <v>787</v>
      </c>
      <c r="H11" t="s">
        <v>686</v>
      </c>
      <c r="I11" s="74">
        <f t="shared" si="1"/>
        <v>6.2278100999999984</v>
      </c>
      <c r="J11" s="74">
        <f>VLOOKUP(A11,'GHG Factors FY21'!A:L,8,FALSE)*I11</f>
        <v>240.39346985999995</v>
      </c>
      <c r="K11" s="74">
        <f>VLOOKUP(A11,'GHG Factors FY21'!A:L,10,FALSE)*J11</f>
        <v>16875.621584171997</v>
      </c>
      <c r="L11" s="74">
        <f>VLOOKUP(A11,'GHG Factors FY21'!A:L,11,FALSE)*I11</f>
        <v>0</v>
      </c>
      <c r="M11" s="74">
        <f>VLOOKUP(A11,'GHG Factors FY21'!A:L,12,FALSE)*J11</f>
        <v>865.41649149599982</v>
      </c>
      <c r="N11" s="41">
        <f t="shared" si="2"/>
        <v>17741.038075667995</v>
      </c>
      <c r="P11" s="115" t="s">
        <v>820</v>
      </c>
    </row>
    <row r="12" spans="1:18" ht="14.4">
      <c r="A12" s="54" t="s">
        <v>786</v>
      </c>
      <c r="B12" s="40" t="s">
        <v>671</v>
      </c>
      <c r="C12" s="10" t="s">
        <v>35</v>
      </c>
      <c r="D12" s="10" t="s">
        <v>1190</v>
      </c>
      <c r="E12" s="10" t="s">
        <v>787</v>
      </c>
      <c r="F12" s="74">
        <f>E32/1000</f>
        <v>11.571999999999999</v>
      </c>
      <c r="G12" s="75" t="s">
        <v>787</v>
      </c>
      <c r="H12" t="s">
        <v>686</v>
      </c>
      <c r="I12" s="74">
        <f t="shared" si="1"/>
        <v>11.571999999999999</v>
      </c>
      <c r="J12" s="74">
        <f>VLOOKUP(A12,'GHG Factors FY21'!A:L,8,FALSE)*I12</f>
        <v>446.67919999999998</v>
      </c>
      <c r="K12" s="74">
        <f>VLOOKUP(A12,'GHG Factors FY21'!A:L,10,FALSE)*J12</f>
        <v>31450.682472000004</v>
      </c>
      <c r="L12" s="74">
        <f>VLOOKUP(A12,'GHG Factors FY21'!A:L,11,FALSE)*I12</f>
        <v>0</v>
      </c>
      <c r="M12" s="74">
        <f>VLOOKUP(A12,'GHG Factors FY21'!A:L,12,FALSE)*J12</f>
        <v>1608.04512</v>
      </c>
      <c r="N12" s="41">
        <f t="shared" si="2"/>
        <v>33058.727592000003</v>
      </c>
      <c r="P12" s="116" t="s">
        <v>821</v>
      </c>
    </row>
    <row r="13" spans="1:18" ht="14.4">
      <c r="A13" s="54" t="s">
        <v>788</v>
      </c>
      <c r="B13" s="40" t="s">
        <v>671</v>
      </c>
      <c r="C13" s="10" t="s">
        <v>35</v>
      </c>
      <c r="D13" s="10" t="s">
        <v>1192</v>
      </c>
      <c r="E13" s="10" t="s">
        <v>787</v>
      </c>
      <c r="F13" s="74">
        <f t="shared" ref="F13:F20" si="3">E33/1000</f>
        <v>101.00722989999997</v>
      </c>
      <c r="G13" s="75" t="s">
        <v>787</v>
      </c>
      <c r="H13" t="s">
        <v>686</v>
      </c>
      <c r="I13" s="74">
        <f t="shared" si="1"/>
        <v>101.00722989999997</v>
      </c>
      <c r="J13" s="74">
        <f>VLOOKUP(A13,'GHG Factors FY21'!A:L,8,FALSE)*I13</f>
        <v>3898.8790741399989</v>
      </c>
      <c r="K13" s="74">
        <f>VLOOKUP(A13,'GHG Factors FY21'!A:L,10,FALSE)*J13</f>
        <v>274520.07561019738</v>
      </c>
      <c r="L13" s="74">
        <f>VLOOKUP(A13,'GHG Factors FY21'!A:L,11,FALSE)*I13</f>
        <v>0</v>
      </c>
      <c r="M13" s="74">
        <f>VLOOKUP(A13,'GHG Factors FY21'!A:L,12,FALSE)*J13</f>
        <v>14035.964666903996</v>
      </c>
      <c r="N13" s="41">
        <f t="shared" si="2"/>
        <v>288556.04027710139</v>
      </c>
      <c r="P13" s="115" t="s">
        <v>822</v>
      </c>
    </row>
    <row r="14" spans="1:18" ht="14.4">
      <c r="A14" s="54" t="s">
        <v>789</v>
      </c>
      <c r="B14" s="40" t="s">
        <v>671</v>
      </c>
      <c r="C14" s="10" t="s">
        <v>35</v>
      </c>
      <c r="D14" s="10" t="s">
        <v>1210</v>
      </c>
      <c r="E14" s="10" t="s">
        <v>787</v>
      </c>
      <c r="F14" s="74">
        <f t="shared" si="3"/>
        <v>22.600999999999999</v>
      </c>
      <c r="G14" s="75" t="s">
        <v>787</v>
      </c>
      <c r="H14" t="s">
        <v>686</v>
      </c>
      <c r="I14" s="74">
        <f t="shared" si="1"/>
        <v>22.600999999999999</v>
      </c>
      <c r="J14" s="74">
        <f>VLOOKUP(A14,'GHG Factors FY21'!A:L,8,FALSE)*I14</f>
        <v>872.39859999999999</v>
      </c>
      <c r="K14" s="74">
        <f>VLOOKUP(A14,'GHG Factors FY21'!A:L,10,FALSE)*J14</f>
        <v>61425.585426000005</v>
      </c>
      <c r="L14" s="74">
        <f>VLOOKUP(A14,'GHG Factors FY21'!A:L,11,FALSE)*I14</f>
        <v>0</v>
      </c>
      <c r="M14" s="74">
        <f>VLOOKUP(A14,'GHG Factors FY21'!A:L,12,FALSE)*J14</f>
        <v>3140.6349599999999</v>
      </c>
      <c r="N14" s="41">
        <f t="shared" si="2"/>
        <v>64566.220386000008</v>
      </c>
      <c r="P14" s="116" t="s">
        <v>823</v>
      </c>
    </row>
    <row r="15" spans="1:18" ht="14.4">
      <c r="A15" s="54" t="s">
        <v>790</v>
      </c>
      <c r="B15" s="40" t="s">
        <v>671</v>
      </c>
      <c r="C15" s="10" t="s">
        <v>35</v>
      </c>
      <c r="D15" s="10" t="s">
        <v>1189</v>
      </c>
      <c r="E15" s="10" t="s">
        <v>787</v>
      </c>
      <c r="F15" s="74">
        <f t="shared" si="3"/>
        <v>36.962000000000003</v>
      </c>
      <c r="G15" s="75" t="s">
        <v>787</v>
      </c>
      <c r="H15" t="s">
        <v>686</v>
      </c>
      <c r="I15" s="74">
        <f t="shared" si="1"/>
        <v>36.962000000000003</v>
      </c>
      <c r="J15" s="74">
        <f>VLOOKUP(A15,'GHG Factors FY21'!A:L,8,FALSE)*I15</f>
        <v>1426.7332000000001</v>
      </c>
      <c r="K15" s="74">
        <f>VLOOKUP(A15,'GHG Factors FY21'!A:L,10,FALSE)*J15</f>
        <v>100456.28461200002</v>
      </c>
      <c r="L15" s="74">
        <f>VLOOKUP(A15,'GHG Factors FY21'!A:L,11,FALSE)*I15</f>
        <v>0</v>
      </c>
      <c r="M15" s="74">
        <f>VLOOKUP(A15,'GHG Factors FY21'!A:L,12,FALSE)*J15</f>
        <v>5136.239520000001</v>
      </c>
      <c r="N15" s="41">
        <f t="shared" si="2"/>
        <v>105592.52413200002</v>
      </c>
      <c r="P15" s="115" t="s">
        <v>824</v>
      </c>
    </row>
    <row r="16" spans="1:18" ht="14.4">
      <c r="A16" s="54" t="s">
        <v>791</v>
      </c>
      <c r="B16" s="40" t="s">
        <v>671</v>
      </c>
      <c r="C16" s="10" t="s">
        <v>35</v>
      </c>
      <c r="D16" s="10" t="s">
        <v>1216</v>
      </c>
      <c r="E16" s="10" t="s">
        <v>787</v>
      </c>
      <c r="F16" s="74">
        <f t="shared" si="3"/>
        <v>20.841799999999999</v>
      </c>
      <c r="G16" s="75" t="s">
        <v>787</v>
      </c>
      <c r="H16" t="s">
        <v>686</v>
      </c>
      <c r="I16" s="74">
        <f t="shared" si="1"/>
        <v>20.841799999999999</v>
      </c>
      <c r="J16" s="74">
        <f>VLOOKUP(A16,'GHG Factors FY21'!A:L,8,FALSE)*I16</f>
        <v>804.49347999999998</v>
      </c>
      <c r="K16" s="74">
        <f>VLOOKUP(A16,'GHG Factors FY21'!A:L,10,FALSE)*J16</f>
        <v>56644.385926800009</v>
      </c>
      <c r="L16" s="74">
        <f>VLOOKUP(A16,'GHG Factors FY21'!A:L,11,FALSE)*I16</f>
        <v>0</v>
      </c>
      <c r="M16" s="74">
        <f>VLOOKUP(A16,'GHG Factors FY21'!A:L,12,FALSE)*J16</f>
        <v>2896.176528</v>
      </c>
      <c r="N16" s="41">
        <f t="shared" si="2"/>
        <v>59540.562454800005</v>
      </c>
      <c r="P16" s="116" t="s">
        <v>825</v>
      </c>
    </row>
    <row r="17" spans="1:16" ht="14.4">
      <c r="A17" s="54" t="s">
        <v>792</v>
      </c>
      <c r="B17" s="40" t="s">
        <v>671</v>
      </c>
      <c r="C17" s="10" t="s">
        <v>1234</v>
      </c>
      <c r="D17" s="10" t="s">
        <v>1192</v>
      </c>
      <c r="E17" s="10" t="s">
        <v>787</v>
      </c>
      <c r="F17" s="74">
        <f t="shared" si="3"/>
        <v>22.584440000000001</v>
      </c>
      <c r="G17" s="75" t="s">
        <v>787</v>
      </c>
      <c r="H17" t="s">
        <v>686</v>
      </c>
      <c r="I17" s="74">
        <f t="shared" si="1"/>
        <v>22.584440000000001</v>
      </c>
      <c r="J17" s="74">
        <f>VLOOKUP(A17,'GHG Factors FY21'!A:L,8,FALSE)*I17</f>
        <v>772.38784800000008</v>
      </c>
      <c r="K17" s="74">
        <f>VLOOKUP(A17,'GHG Factors FY21'!A:L,10,FALSE)*J17</f>
        <v>52228.866281760005</v>
      </c>
      <c r="L17" s="74">
        <f>VLOOKUP(A17,'GHG Factors FY21'!A:L,11,FALSE)*I17</f>
        <v>0</v>
      </c>
      <c r="M17" s="74">
        <f>VLOOKUP(A17,'GHG Factors FY21'!A:L,12,FALSE)*J17</f>
        <v>2780.5962528000005</v>
      </c>
      <c r="N17" s="41">
        <f t="shared" si="2"/>
        <v>55009.462534560007</v>
      </c>
      <c r="P17" s="115" t="s">
        <v>826</v>
      </c>
    </row>
    <row r="18" spans="1:16" ht="14.4">
      <c r="A18" s="54" t="s">
        <v>793</v>
      </c>
      <c r="B18" s="40" t="s">
        <v>671</v>
      </c>
      <c r="C18" s="10" t="s">
        <v>1234</v>
      </c>
      <c r="D18" s="10" t="s">
        <v>1210</v>
      </c>
      <c r="E18" s="10" t="s">
        <v>787</v>
      </c>
      <c r="F18" s="74">
        <f t="shared" si="3"/>
        <v>7.4206799999999991</v>
      </c>
      <c r="G18" s="75" t="s">
        <v>787</v>
      </c>
      <c r="H18" t="s">
        <v>686</v>
      </c>
      <c r="I18" s="74">
        <f t="shared" si="1"/>
        <v>7.4206799999999991</v>
      </c>
      <c r="J18" s="74">
        <f>VLOOKUP(A18,'GHG Factors FY21'!A:L,8,FALSE)*I18</f>
        <v>253.78725599999999</v>
      </c>
      <c r="K18" s="74">
        <f>VLOOKUP(A18,'GHG Factors FY21'!A:L,10,FALSE)*J18</f>
        <v>17161.094250720002</v>
      </c>
      <c r="L18" s="74">
        <f>VLOOKUP(A18,'GHG Factors FY21'!A:L,11,FALSE)*I18</f>
        <v>0</v>
      </c>
      <c r="M18" s="74">
        <f>VLOOKUP(A18,'GHG Factors FY21'!A:L,12,FALSE)*J18</f>
        <v>913.63412159999996</v>
      </c>
      <c r="N18" s="41">
        <f t="shared" si="2"/>
        <v>18074.728372320002</v>
      </c>
      <c r="P18" s="116" t="s">
        <v>827</v>
      </c>
    </row>
    <row r="19" spans="1:16" ht="14.4">
      <c r="A19" s="54" t="s">
        <v>794</v>
      </c>
      <c r="B19" s="40" t="s">
        <v>671</v>
      </c>
      <c r="C19" s="10" t="s">
        <v>1234</v>
      </c>
      <c r="D19" s="10" t="s">
        <v>1189</v>
      </c>
      <c r="E19" s="10" t="s">
        <v>787</v>
      </c>
      <c r="F19" s="74">
        <f t="shared" si="3"/>
        <v>15.856159999999999</v>
      </c>
      <c r="G19" s="75" t="s">
        <v>787</v>
      </c>
      <c r="H19" t="s">
        <v>686</v>
      </c>
      <c r="I19" s="74">
        <f t="shared" si="1"/>
        <v>15.856159999999999</v>
      </c>
      <c r="J19" s="74">
        <f>VLOOKUP(A19,'GHG Factors FY21'!A:L,8,FALSE)*I19</f>
        <v>542.28067199999998</v>
      </c>
      <c r="K19" s="74">
        <f>VLOOKUP(A19,'GHG Factors FY21'!A:L,10,FALSE)*J19</f>
        <v>36669.01904064</v>
      </c>
      <c r="L19" s="74">
        <f>VLOOKUP(A19,'GHG Factors FY21'!A:L,11,FALSE)*I19</f>
        <v>0</v>
      </c>
      <c r="M19" s="74">
        <f>VLOOKUP(A19,'GHG Factors FY21'!A:L,12,FALSE)*J19</f>
        <v>1952.2104191999999</v>
      </c>
      <c r="N19" s="41">
        <f t="shared" si="2"/>
        <v>38621.229459839997</v>
      </c>
      <c r="P19" s="115" t="s">
        <v>786</v>
      </c>
    </row>
    <row r="20" spans="1:16" ht="14.4">
      <c r="A20" s="54" t="s">
        <v>795</v>
      </c>
      <c r="B20" s="40" t="s">
        <v>671</v>
      </c>
      <c r="C20" s="10" t="s">
        <v>1234</v>
      </c>
      <c r="D20" s="10" t="s">
        <v>1216</v>
      </c>
      <c r="E20" s="10" t="s">
        <v>787</v>
      </c>
      <c r="F20" s="74">
        <f t="shared" si="3"/>
        <v>2.8568399999999996</v>
      </c>
      <c r="G20" s="75" t="s">
        <v>787</v>
      </c>
      <c r="H20" t="s">
        <v>686</v>
      </c>
      <c r="I20" s="74">
        <f t="shared" si="1"/>
        <v>2.8568399999999996</v>
      </c>
      <c r="J20" s="74">
        <f>VLOOKUP(A20,'GHG Factors FY21'!A:L,8,FALSE)*I20</f>
        <v>97.703927999999991</v>
      </c>
      <c r="K20" s="74">
        <f>VLOOKUP(A20,'GHG Factors FY21'!A:L,10,FALSE)*J20</f>
        <v>6606.7396113599998</v>
      </c>
      <c r="L20" s="74">
        <f>VLOOKUP(A20,'GHG Factors FY21'!A:L,11,FALSE)*I20</f>
        <v>0</v>
      </c>
      <c r="M20" s="74">
        <f>VLOOKUP(A20,'GHG Factors FY21'!A:L,12,FALSE)*J20</f>
        <v>351.73414079999998</v>
      </c>
      <c r="N20" s="41">
        <f t="shared" si="2"/>
        <v>6958.47375216</v>
      </c>
      <c r="P20" s="116" t="s">
        <v>788</v>
      </c>
    </row>
    <row r="21" spans="1:16" ht="15" thickBot="1">
      <c r="A21" s="822" t="s">
        <v>1290</v>
      </c>
      <c r="B21" s="42" t="s">
        <v>1291</v>
      </c>
      <c r="C21" s="823" t="s">
        <v>1291</v>
      </c>
      <c r="D21" s="823" t="s">
        <v>1189</v>
      </c>
      <c r="E21" s="823" t="s">
        <v>787</v>
      </c>
      <c r="F21" s="824">
        <f>E41</f>
        <v>22.321681864235099</v>
      </c>
      <c r="G21" s="42" t="s">
        <v>787</v>
      </c>
      <c r="H21" s="823" t="s">
        <v>686</v>
      </c>
      <c r="I21" s="825">
        <f t="shared" si="1"/>
        <v>22.321681864235099</v>
      </c>
      <c r="J21" s="881"/>
      <c r="K21" s="824"/>
      <c r="L21" s="824"/>
      <c r="M21" s="824"/>
      <c r="N21" s="43"/>
      <c r="P21" s="115"/>
    </row>
    <row r="23" spans="1:16" ht="14.4">
      <c r="B23" s="121" t="s">
        <v>1292</v>
      </c>
      <c r="C23" s="121" t="s">
        <v>1293</v>
      </c>
      <c r="D23" s="121" t="s">
        <v>1187</v>
      </c>
      <c r="E23" s="121" t="s">
        <v>1294</v>
      </c>
    </row>
    <row r="24" spans="1:16" ht="14.4">
      <c r="B24" s="819" t="s">
        <v>155</v>
      </c>
      <c r="C24" s="819" t="s">
        <v>1295</v>
      </c>
      <c r="D24" s="738" t="s">
        <v>1190</v>
      </c>
      <c r="E24" s="738">
        <v>77837.450657894733</v>
      </c>
      <c r="F24" s="10" t="s">
        <v>663</v>
      </c>
    </row>
    <row r="25" spans="1:16" customFormat="1" ht="14.4">
      <c r="B25" s="819" t="s">
        <v>155</v>
      </c>
      <c r="C25" s="819" t="s">
        <v>1295</v>
      </c>
      <c r="D25" s="738" t="s">
        <v>1192</v>
      </c>
      <c r="E25" s="738">
        <v>402138.0311842105</v>
      </c>
      <c r="F25" s="10" t="s">
        <v>663</v>
      </c>
    </row>
    <row r="26" spans="1:16" customFormat="1" ht="14.4">
      <c r="B26" s="819" t="s">
        <v>155</v>
      </c>
      <c r="C26" s="819" t="s">
        <v>1295</v>
      </c>
      <c r="D26" s="738" t="s">
        <v>1210</v>
      </c>
      <c r="E26" s="738">
        <v>72552.465789473688</v>
      </c>
      <c r="F26" s="10" t="s">
        <v>663</v>
      </c>
      <c r="G26" s="240"/>
      <c r="H26" s="240"/>
      <c r="I26" s="240"/>
    </row>
    <row r="27" spans="1:16" customFormat="1" ht="14.4">
      <c r="B27" s="819" t="s">
        <v>155</v>
      </c>
      <c r="C27" s="819" t="s">
        <v>1295</v>
      </c>
      <c r="D27" s="738" t="s">
        <v>1193</v>
      </c>
      <c r="E27" s="738">
        <v>7344.0740000000005</v>
      </c>
      <c r="F27" s="10" t="s">
        <v>663</v>
      </c>
      <c r="G27" s="240"/>
      <c r="H27" s="240"/>
      <c r="I27" s="240"/>
    </row>
    <row r="28" spans="1:16" customFormat="1" ht="14.4">
      <c r="B28" s="819" t="s">
        <v>155</v>
      </c>
      <c r="C28" s="819" t="s">
        <v>1295</v>
      </c>
      <c r="D28" s="738" t="s">
        <v>1189</v>
      </c>
      <c r="E28" s="738">
        <v>650385.60624834325</v>
      </c>
      <c r="F28" s="10" t="s">
        <v>663</v>
      </c>
      <c r="G28" s="240"/>
      <c r="H28" s="240"/>
      <c r="I28" s="240"/>
    </row>
    <row r="29" spans="1:16" customFormat="1" ht="14.4">
      <c r="B29" s="820" t="s">
        <v>155</v>
      </c>
      <c r="C29" s="819" t="s">
        <v>1295</v>
      </c>
      <c r="D29" s="738" t="s">
        <v>1216</v>
      </c>
      <c r="E29" s="738">
        <v>38829.60317460318</v>
      </c>
      <c r="F29" s="10" t="s">
        <v>663</v>
      </c>
      <c r="G29" s="240"/>
      <c r="H29" s="240"/>
      <c r="I29" s="240"/>
    </row>
    <row r="30" spans="1:16" customFormat="1" ht="14.4">
      <c r="B30" s="820" t="s">
        <v>1296</v>
      </c>
      <c r="C30" s="819" t="s">
        <v>1297</v>
      </c>
      <c r="D30" s="738" t="s">
        <v>1189</v>
      </c>
      <c r="E30" s="738">
        <v>639771.92015096254</v>
      </c>
      <c r="F30" s="240" t="s">
        <v>670</v>
      </c>
      <c r="G30" s="240"/>
      <c r="H30" s="240"/>
      <c r="I30" s="240"/>
    </row>
    <row r="31" spans="1:16" customFormat="1" ht="14.4">
      <c r="B31" s="820" t="s">
        <v>1298</v>
      </c>
      <c r="C31" s="819" t="s">
        <v>1272</v>
      </c>
      <c r="D31" s="738" t="s">
        <v>1192</v>
      </c>
      <c r="E31" s="738">
        <v>6227.8100999999988</v>
      </c>
      <c r="F31" s="240" t="s">
        <v>673</v>
      </c>
      <c r="G31" s="240"/>
      <c r="H31" s="240"/>
      <c r="I31" s="240"/>
    </row>
    <row r="32" spans="1:16" customFormat="1" ht="14.4">
      <c r="B32" s="819" t="s">
        <v>1299</v>
      </c>
      <c r="C32" s="819" t="s">
        <v>1300</v>
      </c>
      <c r="D32" s="738" t="s">
        <v>1190</v>
      </c>
      <c r="E32" s="738">
        <v>11572</v>
      </c>
      <c r="F32" s="240" t="s">
        <v>673</v>
      </c>
      <c r="G32" s="240"/>
      <c r="H32" s="240"/>
      <c r="I32" s="240"/>
    </row>
    <row r="33" spans="1:15" customFormat="1" ht="14.4">
      <c r="B33" s="819" t="s">
        <v>1299</v>
      </c>
      <c r="C33" s="819" t="s">
        <v>1300</v>
      </c>
      <c r="D33" s="738" t="s">
        <v>1192</v>
      </c>
      <c r="E33" s="738">
        <v>101007.22989999998</v>
      </c>
      <c r="F33" s="240" t="s">
        <v>673</v>
      </c>
      <c r="G33" s="240"/>
      <c r="H33" s="240"/>
      <c r="I33" s="240"/>
    </row>
    <row r="34" spans="1:15" customFormat="1" ht="14.4">
      <c r="B34" s="819" t="s">
        <v>1299</v>
      </c>
      <c r="C34" s="819" t="s">
        <v>1300</v>
      </c>
      <c r="D34" s="738" t="s">
        <v>1210</v>
      </c>
      <c r="E34" s="738">
        <v>22601</v>
      </c>
      <c r="F34" s="240" t="s">
        <v>673</v>
      </c>
      <c r="G34" s="240"/>
      <c r="H34" s="240"/>
      <c r="I34" s="240"/>
    </row>
    <row r="35" spans="1:15" customFormat="1" ht="14.4">
      <c r="B35" s="819" t="s">
        <v>1299</v>
      </c>
      <c r="C35" s="819" t="s">
        <v>1300</v>
      </c>
      <c r="D35" s="738" t="s">
        <v>1189</v>
      </c>
      <c r="E35" s="738">
        <v>36962</v>
      </c>
      <c r="F35" s="240" t="s">
        <v>673</v>
      </c>
      <c r="G35" s="240"/>
      <c r="H35" s="240"/>
      <c r="I35" s="240"/>
    </row>
    <row r="36" spans="1:15" customFormat="1" ht="14.4">
      <c r="B36" s="819" t="s">
        <v>1299</v>
      </c>
      <c r="C36" s="819" t="s">
        <v>1300</v>
      </c>
      <c r="D36" s="738" t="s">
        <v>1216</v>
      </c>
      <c r="E36" s="738">
        <v>20841.8</v>
      </c>
      <c r="F36" s="240" t="s">
        <v>673</v>
      </c>
      <c r="G36" s="240"/>
      <c r="H36" s="240"/>
      <c r="I36" s="240"/>
    </row>
    <row r="37" spans="1:15" customFormat="1" ht="14.4">
      <c r="B37" s="819" t="s">
        <v>1299</v>
      </c>
      <c r="C37" s="819" t="s">
        <v>1301</v>
      </c>
      <c r="D37" s="738" t="s">
        <v>1192</v>
      </c>
      <c r="E37" s="738">
        <v>22584.440000000002</v>
      </c>
      <c r="F37" s="240" t="s">
        <v>673</v>
      </c>
      <c r="G37" s="240"/>
      <c r="H37" s="240"/>
      <c r="I37" s="240"/>
    </row>
    <row r="38" spans="1:15" customFormat="1" ht="14.4">
      <c r="B38" s="819" t="s">
        <v>1299</v>
      </c>
      <c r="C38" s="819" t="s">
        <v>1301</v>
      </c>
      <c r="D38" s="738" t="s">
        <v>1210</v>
      </c>
      <c r="E38" s="738">
        <v>7420.6799999999994</v>
      </c>
      <c r="F38" s="240" t="s">
        <v>673</v>
      </c>
      <c r="G38" s="240"/>
      <c r="H38" s="240"/>
      <c r="I38" s="240"/>
    </row>
    <row r="39" spans="1:15" ht="14.4">
      <c r="A39"/>
      <c r="B39" s="819" t="s">
        <v>1299</v>
      </c>
      <c r="C39" s="819" t="s">
        <v>1301</v>
      </c>
      <c r="D39" s="738" t="s">
        <v>1189</v>
      </c>
      <c r="E39" s="738">
        <v>15856.16</v>
      </c>
      <c r="F39" s="240" t="s">
        <v>673</v>
      </c>
    </row>
    <row r="40" spans="1:15" ht="14.4">
      <c r="B40" s="820" t="s">
        <v>1299</v>
      </c>
      <c r="C40" s="819" t="s">
        <v>1301</v>
      </c>
      <c r="D40" s="738" t="s">
        <v>1216</v>
      </c>
      <c r="E40" s="738">
        <v>2856.8399999999997</v>
      </c>
      <c r="F40" s="240" t="s">
        <v>673</v>
      </c>
    </row>
    <row r="41" spans="1:15" ht="14.4">
      <c r="B41" s="820" t="s">
        <v>1291</v>
      </c>
      <c r="C41" s="819" t="s">
        <v>1302</v>
      </c>
      <c r="D41" s="738" t="s">
        <v>1189</v>
      </c>
      <c r="E41" s="738">
        <v>22.321681864235099</v>
      </c>
      <c r="F41" s="240" t="s">
        <v>787</v>
      </c>
    </row>
    <row r="42" spans="1:15" ht="14.4">
      <c r="B42" s="821" t="s">
        <v>53</v>
      </c>
      <c r="C42" s="821"/>
      <c r="D42" s="821"/>
      <c r="E42" s="821">
        <v>2136811.4328873521</v>
      </c>
    </row>
    <row r="43" spans="1:15">
      <c r="A43" s="10" t="s">
        <v>3</v>
      </c>
      <c r="E43" s="10">
        <f>SUM(E24:E41)</f>
        <v>2136811.4328873521</v>
      </c>
    </row>
    <row r="45" spans="1:15" ht="14.4" thickBot="1">
      <c r="B45" s="10" t="s">
        <v>3</v>
      </c>
    </row>
    <row r="46" spans="1:15">
      <c r="A46" s="53" t="s">
        <v>732</v>
      </c>
      <c r="B46" s="44" t="s">
        <v>1285</v>
      </c>
      <c r="C46" s="494" t="s">
        <v>1286</v>
      </c>
      <c r="D46" s="494" t="s">
        <v>1187</v>
      </c>
      <c r="E46" s="494" t="s">
        <v>1287</v>
      </c>
      <c r="F46" s="494" t="s">
        <v>234</v>
      </c>
      <c r="G46" s="44" t="s">
        <v>649</v>
      </c>
      <c r="H46" s="494" t="s">
        <v>684</v>
      </c>
      <c r="I46" s="494" t="s">
        <v>650</v>
      </c>
      <c r="J46" s="494" t="s">
        <v>651</v>
      </c>
      <c r="K46" s="494" t="s">
        <v>652</v>
      </c>
      <c r="L46" s="494" t="s">
        <v>653</v>
      </c>
      <c r="M46" s="494" t="s">
        <v>654</v>
      </c>
      <c r="N46" s="45" t="s">
        <v>751</v>
      </c>
      <c r="O46" s="18"/>
    </row>
    <row r="47" spans="1:15" ht="14.4">
      <c r="A47" s="54" t="s">
        <v>820</v>
      </c>
      <c r="B47" s="40" t="s">
        <v>155</v>
      </c>
      <c r="C47" s="10" t="s">
        <v>155</v>
      </c>
      <c r="D47" s="10" t="s">
        <v>1190</v>
      </c>
      <c r="E47" s="10" t="s">
        <v>663</v>
      </c>
      <c r="F47" s="74">
        <f>F69</f>
        <v>77837.450400000002</v>
      </c>
      <c r="G47" s="75" t="s">
        <v>663</v>
      </c>
      <c r="H47" t="s">
        <v>104</v>
      </c>
      <c r="I47" s="74">
        <f>F47</f>
        <v>77837.450400000002</v>
      </c>
      <c r="J47" s="74">
        <f>VLOOKUP(A47,'GHG Factors FY20'!A:L,8,FALSE)*I47</f>
        <v>280.21482143999998</v>
      </c>
      <c r="K47" s="74">
        <f>VLOOKUP(A47,'GHG Factors FY20'!A:L,10,FALSE)*I47</f>
        <v>0</v>
      </c>
      <c r="L47" s="74">
        <f>VLOOKUP(A47,'GHG Factors FY20'!A:L,11,FALSE)*I47</f>
        <v>63048.334824000005</v>
      </c>
      <c r="M47" s="74">
        <f>VLOOKUP(A47,'GHG Factors FY20'!A:L,12,FALSE)*I47</f>
        <v>7005.3705359999994</v>
      </c>
      <c r="N47" s="41">
        <f>SUM(K47,L47,M47)</f>
        <v>70053.705360000007</v>
      </c>
    </row>
    <row r="48" spans="1:15" ht="14.4">
      <c r="A48" s="54" t="s">
        <v>821</v>
      </c>
      <c r="B48" s="40" t="s">
        <v>155</v>
      </c>
      <c r="C48" s="10" t="s">
        <v>155</v>
      </c>
      <c r="D48" s="10" t="s">
        <v>1192</v>
      </c>
      <c r="E48" s="10" t="s">
        <v>663</v>
      </c>
      <c r="F48" s="74">
        <f t="shared" ref="F48:F52" si="4">F70</f>
        <v>614238.78460000001</v>
      </c>
      <c r="G48" s="75" t="s">
        <v>663</v>
      </c>
      <c r="H48" t="s">
        <v>104</v>
      </c>
      <c r="I48" s="74">
        <f t="shared" ref="I48:I63" si="5">F48</f>
        <v>614238.78460000001</v>
      </c>
      <c r="J48" s="74">
        <f>VLOOKUP(A48,'GHG Factors FY20'!A:L,8,FALSE)*I48</f>
        <v>2211.2596245599998</v>
      </c>
      <c r="K48" s="74">
        <f>VLOOKUP(A48,'GHG Factors FY20'!A:L,10,FALSE)*I48</f>
        <v>0</v>
      </c>
      <c r="L48" s="74">
        <f>VLOOKUP(A48,'GHG Factors FY20'!A:L,11,FALSE)*I48</f>
        <v>497533.41552600003</v>
      </c>
      <c r="M48" s="74">
        <f>VLOOKUP(A48,'GHG Factors FY20'!A:L,12,FALSE)*I48</f>
        <v>55281.490614000002</v>
      </c>
      <c r="N48" s="41">
        <f t="shared" ref="N48:N63" si="6">SUM(K48,L48,M48)</f>
        <v>552814.90613999998</v>
      </c>
    </row>
    <row r="49" spans="1:15" ht="14.4">
      <c r="A49" s="54" t="s">
        <v>822</v>
      </c>
      <c r="B49" s="40" t="s">
        <v>155</v>
      </c>
      <c r="C49" s="10" t="s">
        <v>155</v>
      </c>
      <c r="D49" s="10" t="s">
        <v>1210</v>
      </c>
      <c r="E49" s="10" t="s">
        <v>663</v>
      </c>
      <c r="F49" s="74">
        <f t="shared" si="4"/>
        <v>162555.69699999993</v>
      </c>
      <c r="G49" s="75" t="s">
        <v>663</v>
      </c>
      <c r="H49" t="s">
        <v>104</v>
      </c>
      <c r="I49" s="74">
        <f t="shared" si="5"/>
        <v>162555.69699999993</v>
      </c>
      <c r="J49" s="74">
        <f>VLOOKUP(A49,'GHG Factors FY20'!A:L,8,FALSE)*I49</f>
        <v>585.20050919999971</v>
      </c>
      <c r="K49" s="74">
        <f>VLOOKUP(A49,'GHG Factors FY20'!A:L,10,FALSE)*I49</f>
        <v>0</v>
      </c>
      <c r="L49" s="74">
        <f>VLOOKUP(A49,'GHG Factors FY20'!A:L,11,FALSE)*I49</f>
        <v>131670.11456999995</v>
      </c>
      <c r="M49" s="74">
        <f>VLOOKUP(A49,'GHG Factors FY20'!A:L,12,FALSE)*I49</f>
        <v>19506.683639999992</v>
      </c>
      <c r="N49" s="41">
        <f t="shared" si="6"/>
        <v>151176.79820999995</v>
      </c>
    </row>
    <row r="50" spans="1:15" ht="14.4">
      <c r="A50" s="54" t="s">
        <v>823</v>
      </c>
      <c r="B50" s="40" t="s">
        <v>155</v>
      </c>
      <c r="C50" s="10" t="s">
        <v>155</v>
      </c>
      <c r="D50" s="10" t="s">
        <v>1193</v>
      </c>
      <c r="E50" s="10" t="s">
        <v>663</v>
      </c>
      <c r="F50" s="74">
        <f t="shared" si="4"/>
        <v>10128.000100000001</v>
      </c>
      <c r="G50" s="75" t="s">
        <v>663</v>
      </c>
      <c r="H50" t="s">
        <v>104</v>
      </c>
      <c r="I50" s="74">
        <f t="shared" si="5"/>
        <v>10128.000100000001</v>
      </c>
      <c r="J50" s="74">
        <f>VLOOKUP(A50,'GHG Factors FY20'!A:L,8,FALSE)*I50</f>
        <v>36.46080036</v>
      </c>
      <c r="K50" s="74">
        <f>VLOOKUP(A50,'GHG Factors FY20'!A:L,10,FALSE)*I50</f>
        <v>0</v>
      </c>
      <c r="L50" s="74">
        <f>VLOOKUP(A50,'GHG Factors FY20'!A:L,11,FALSE)*I50</f>
        <v>4456.320044000001</v>
      </c>
      <c r="M50" s="74">
        <f>VLOOKUP(A50,'GHG Factors FY20'!A:L,12,FALSE)*I50</f>
        <v>1012.8000100000002</v>
      </c>
      <c r="N50" s="41">
        <f t="shared" si="6"/>
        <v>5469.1200540000009</v>
      </c>
    </row>
    <row r="51" spans="1:15" ht="14.4">
      <c r="A51" s="54" t="s">
        <v>824</v>
      </c>
      <c r="B51" s="40" t="s">
        <v>155</v>
      </c>
      <c r="C51" s="10" t="s">
        <v>155</v>
      </c>
      <c r="D51" s="10" t="s">
        <v>1189</v>
      </c>
      <c r="E51" s="10" t="s">
        <v>663</v>
      </c>
      <c r="F51" s="74">
        <f t="shared" si="4"/>
        <v>855320.12900000019</v>
      </c>
      <c r="G51" s="75" t="s">
        <v>663</v>
      </c>
      <c r="H51" t="s">
        <v>104</v>
      </c>
      <c r="I51" s="74">
        <f t="shared" si="5"/>
        <v>855320.12900000019</v>
      </c>
      <c r="J51" s="74">
        <f>VLOOKUP(A51,'GHG Factors FY20'!A:L,8,FALSE)*I51</f>
        <v>3079.1524644000006</v>
      </c>
      <c r="K51" s="74">
        <f>VLOOKUP(A51,'GHG Factors FY20'!A:L,10,FALSE)*I51</f>
        <v>0</v>
      </c>
      <c r="L51" s="74">
        <f>VLOOKUP(A51,'GHG Factors FY20'!A:L,11,FALSE)*I51</f>
        <v>872426.53158000018</v>
      </c>
      <c r="M51" s="74">
        <f>VLOOKUP(A51,'GHG Factors FY20'!A:L,12,FALSE)*I51</f>
        <v>85532.012900000031</v>
      </c>
      <c r="N51" s="41">
        <f t="shared" si="6"/>
        <v>957958.54448000016</v>
      </c>
    </row>
    <row r="52" spans="1:15" ht="14.4">
      <c r="A52" s="54" t="s">
        <v>825</v>
      </c>
      <c r="B52" s="40" t="s">
        <v>155</v>
      </c>
      <c r="C52" s="10" t="s">
        <v>155</v>
      </c>
      <c r="D52" s="10" t="s">
        <v>1216</v>
      </c>
      <c r="E52" s="10" t="s">
        <v>663</v>
      </c>
      <c r="F52" s="74">
        <f t="shared" si="4"/>
        <v>118093.48270000004</v>
      </c>
      <c r="G52" s="75" t="s">
        <v>663</v>
      </c>
      <c r="H52" t="s">
        <v>104</v>
      </c>
      <c r="I52" s="74">
        <f t="shared" si="5"/>
        <v>118093.48270000004</v>
      </c>
      <c r="J52" s="74">
        <f>VLOOKUP(A52,'GHG Factors FY20'!A:L,8,FALSE)*I52</f>
        <v>425.13653772000015</v>
      </c>
      <c r="K52" s="74">
        <f>VLOOKUP(A52,'GHG Factors FY20'!A:L,10,FALSE)*I52</f>
        <v>0</v>
      </c>
      <c r="L52" s="74">
        <f>VLOOKUP(A52,'GHG Factors FY20'!A:L,11,FALSE)*I52</f>
        <v>81484.503063000026</v>
      </c>
      <c r="M52" s="74">
        <f>VLOOKUP(A52,'GHG Factors FY20'!A:L,12,FALSE)*I52</f>
        <v>4723.739308000002</v>
      </c>
      <c r="N52" s="41">
        <f t="shared" si="6"/>
        <v>86208.242371000029</v>
      </c>
      <c r="O52" s="241"/>
    </row>
    <row r="53" spans="1:15" ht="14.4">
      <c r="A53" s="54" t="s">
        <v>826</v>
      </c>
      <c r="B53" s="40" t="s">
        <v>666</v>
      </c>
      <c r="C53" s="10" t="s">
        <v>34</v>
      </c>
      <c r="D53" s="10" t="s">
        <v>1189</v>
      </c>
      <c r="E53" s="10" t="s">
        <v>669</v>
      </c>
      <c r="F53" s="74">
        <f>G75/1000</f>
        <v>311.76292980000005</v>
      </c>
      <c r="G53" s="75" t="s">
        <v>669</v>
      </c>
      <c r="H53" t="s">
        <v>686</v>
      </c>
      <c r="I53" s="74">
        <f t="shared" si="5"/>
        <v>311.76292980000005</v>
      </c>
      <c r="J53" s="74">
        <f>VLOOKUP(A53,'GHG Factors FY20'!A:L,8,FALSE)*I53</f>
        <v>311.76292980000005</v>
      </c>
      <c r="K53" s="74">
        <f>VLOOKUP(A53,'GHG Factors FY20'!A:L,10,FALSE)*J53</f>
        <v>16065.143772594003</v>
      </c>
      <c r="L53" s="74">
        <f>VLOOKUP(A53,'GHG Factors FY20'!A:L,11,FALSE)*I53</f>
        <v>0</v>
      </c>
      <c r="M53" s="74">
        <f>VLOOKUP(A53,'GHG Factors FY20'!A:L,12,FALSE)*I53</f>
        <v>1215.8754262200002</v>
      </c>
      <c r="N53" s="41">
        <f t="shared" si="6"/>
        <v>17281.019198814003</v>
      </c>
      <c r="O53" s="241"/>
    </row>
    <row r="54" spans="1:15" ht="14.4">
      <c r="A54" s="54" t="s">
        <v>827</v>
      </c>
      <c r="B54" s="40" t="s">
        <v>666</v>
      </c>
      <c r="C54" s="10" t="s">
        <v>35</v>
      </c>
      <c r="D54" s="10" t="s">
        <v>1192</v>
      </c>
      <c r="E54" s="10" t="s">
        <v>787</v>
      </c>
      <c r="F54" s="74">
        <f>D76/1000</f>
        <v>6.2278099000000013</v>
      </c>
      <c r="G54" s="75" t="s">
        <v>787</v>
      </c>
      <c r="H54" t="s">
        <v>686</v>
      </c>
      <c r="I54" s="74">
        <f t="shared" si="5"/>
        <v>6.2278099000000013</v>
      </c>
      <c r="J54" s="74">
        <f>VLOOKUP(A54,'GHG Factors FY20'!A:L,8,FALSE)*I54</f>
        <v>240.39346214000005</v>
      </c>
      <c r="K54" s="74">
        <f>VLOOKUP(A54,'GHG Factors FY20'!A:L,10,FALSE)*J54</f>
        <v>16875.621042228006</v>
      </c>
      <c r="L54" s="74">
        <f>VLOOKUP(A54,'GHG Factors FY20'!A:L,11,FALSE)*I54</f>
        <v>0</v>
      </c>
      <c r="M54" s="74">
        <f>VLOOKUP(A54,'GHG Factors FY20'!A:L,12,FALSE)*J54</f>
        <v>865.41646370400019</v>
      </c>
      <c r="N54" s="41">
        <f t="shared" si="6"/>
        <v>17741.037505932007</v>
      </c>
    </row>
    <row r="55" spans="1:15" ht="14.4">
      <c r="A55" s="54" t="s">
        <v>786</v>
      </c>
      <c r="B55" s="40" t="s">
        <v>671</v>
      </c>
      <c r="C55" s="10" t="s">
        <v>35</v>
      </c>
      <c r="D55" s="10" t="s">
        <v>1190</v>
      </c>
      <c r="E55" s="10" t="s">
        <v>787</v>
      </c>
      <c r="F55" s="74">
        <f>E77/1000</f>
        <v>11.572000200000002</v>
      </c>
      <c r="G55" s="75" t="s">
        <v>787</v>
      </c>
      <c r="H55" t="s">
        <v>686</v>
      </c>
      <c r="I55" s="74">
        <f t="shared" si="5"/>
        <v>11.572000200000002</v>
      </c>
      <c r="J55" s="74">
        <f>VLOOKUP(A55,'GHG Factors FY20'!A:L,8,FALSE)*I55</f>
        <v>446.67920772000008</v>
      </c>
      <c r="K55" s="74">
        <f>VLOOKUP(A55,'GHG Factors FY20'!A:L,10,FALSE)*J55</f>
        <v>31495.350936337207</v>
      </c>
      <c r="L55" s="74">
        <f>VLOOKUP(A55,'GHG Factors FY20'!A:L,11,FALSE)*I55</f>
        <v>0</v>
      </c>
      <c r="M55" s="74">
        <f>VLOOKUP(A55,'GHG Factors FY20'!A:L,12,FALSE)*J55</f>
        <v>1608.0451477920003</v>
      </c>
      <c r="N55" s="41">
        <f t="shared" si="6"/>
        <v>33103.396084129206</v>
      </c>
    </row>
    <row r="56" spans="1:15" ht="14.4">
      <c r="A56" s="54" t="s">
        <v>788</v>
      </c>
      <c r="B56" s="40" t="s">
        <v>671</v>
      </c>
      <c r="C56" s="10" t="s">
        <v>35</v>
      </c>
      <c r="D56" s="10" t="s">
        <v>1192</v>
      </c>
      <c r="E56" s="10" t="s">
        <v>787</v>
      </c>
      <c r="F56" s="74">
        <f t="shared" ref="F56:F59" si="7">E78/1000</f>
        <v>99.903529899999995</v>
      </c>
      <c r="G56" s="75" t="s">
        <v>787</v>
      </c>
      <c r="H56" t="s">
        <v>686</v>
      </c>
      <c r="I56" s="74">
        <f t="shared" si="5"/>
        <v>99.903529899999995</v>
      </c>
      <c r="J56" s="74">
        <f>VLOOKUP(A56,'GHG Factors FY20'!A:L,8,FALSE)*I56</f>
        <v>3856.2762541399998</v>
      </c>
      <c r="K56" s="74">
        <f>VLOOKUP(A56,'GHG Factors FY20'!A:L,10,FALSE)*J56</f>
        <v>271906.0386794114</v>
      </c>
      <c r="L56" s="74">
        <f>VLOOKUP(A56,'GHG Factors FY20'!A:L,11,FALSE)*I56</f>
        <v>0</v>
      </c>
      <c r="M56" s="74">
        <f>VLOOKUP(A56,'GHG Factors FY20'!A:L,12,FALSE)*J56</f>
        <v>13882.594514904</v>
      </c>
      <c r="N56" s="41">
        <f t="shared" si="6"/>
        <v>285788.63319431542</v>
      </c>
    </row>
    <row r="57" spans="1:15" ht="14.4">
      <c r="A57" s="54" t="s">
        <v>789</v>
      </c>
      <c r="B57" s="40" t="s">
        <v>671</v>
      </c>
      <c r="C57" s="10" t="s">
        <v>35</v>
      </c>
      <c r="D57" s="10" t="s">
        <v>1210</v>
      </c>
      <c r="E57" s="10" t="s">
        <v>787</v>
      </c>
      <c r="F57" s="74">
        <f t="shared" si="7"/>
        <v>22.078999700000004</v>
      </c>
      <c r="G57" s="75" t="s">
        <v>787</v>
      </c>
      <c r="H57" t="s">
        <v>686</v>
      </c>
      <c r="I57" s="74">
        <f t="shared" si="5"/>
        <v>22.078999700000004</v>
      </c>
      <c r="J57" s="74">
        <f>VLOOKUP(A57,'GHG Factors FY20'!A:L,8,FALSE)*I57</f>
        <v>852.24938842000017</v>
      </c>
      <c r="K57" s="74">
        <f>VLOOKUP(A57,'GHG Factors FY20'!A:L,10,FALSE)*J57</f>
        <v>60092.104377494215</v>
      </c>
      <c r="L57" s="74">
        <f>VLOOKUP(A57,'GHG Factors FY20'!A:L,11,FALSE)*I57</f>
        <v>0</v>
      </c>
      <c r="M57" s="74">
        <f>VLOOKUP(A57,'GHG Factors FY20'!A:L,12,FALSE)*J57</f>
        <v>3068.0977983120006</v>
      </c>
      <c r="N57" s="41">
        <f t="shared" si="6"/>
        <v>63160.202175806218</v>
      </c>
    </row>
    <row r="58" spans="1:15" ht="14.4">
      <c r="A58" s="54" t="s">
        <v>790</v>
      </c>
      <c r="B58" s="40" t="s">
        <v>671</v>
      </c>
      <c r="C58" s="10" t="s">
        <v>35</v>
      </c>
      <c r="D58" s="10" t="s">
        <v>1189</v>
      </c>
      <c r="E58" s="10" t="s">
        <v>787</v>
      </c>
      <c r="F58" s="74">
        <f t="shared" si="7"/>
        <v>32.762000299999997</v>
      </c>
      <c r="G58" s="75" t="s">
        <v>787</v>
      </c>
      <c r="H58" t="s">
        <v>686</v>
      </c>
      <c r="I58" s="74">
        <f t="shared" si="5"/>
        <v>32.762000299999997</v>
      </c>
      <c r="J58" s="74">
        <f>VLOOKUP(A58,'GHG Factors FY20'!A:L,8,FALSE)*I58</f>
        <v>1264.6132115799999</v>
      </c>
      <c r="K58" s="74">
        <f>VLOOKUP(A58,'GHG Factors FY20'!A:L,10,FALSE)*J58</f>
        <v>89167.877548505799</v>
      </c>
      <c r="L58" s="74">
        <f>VLOOKUP(A58,'GHG Factors FY20'!A:L,11,FALSE)*I58</f>
        <v>0</v>
      </c>
      <c r="M58" s="74">
        <f>VLOOKUP(A58,'GHG Factors FY20'!A:L,12,FALSE)*J58</f>
        <v>4552.6075616879998</v>
      </c>
      <c r="N58" s="41">
        <f t="shared" si="6"/>
        <v>93720.485110193797</v>
      </c>
    </row>
    <row r="59" spans="1:15" ht="14.4">
      <c r="A59" s="54" t="s">
        <v>791</v>
      </c>
      <c r="B59" s="40" t="s">
        <v>671</v>
      </c>
      <c r="C59" s="10" t="s">
        <v>35</v>
      </c>
      <c r="D59" s="10" t="s">
        <v>1216</v>
      </c>
      <c r="E59" s="10" t="s">
        <v>787</v>
      </c>
      <c r="F59" s="74">
        <f t="shared" si="7"/>
        <v>22.426999800000004</v>
      </c>
      <c r="G59" s="75" t="s">
        <v>787</v>
      </c>
      <c r="H59" t="s">
        <v>686</v>
      </c>
      <c r="I59" s="74">
        <f t="shared" si="5"/>
        <v>22.426999800000004</v>
      </c>
      <c r="J59" s="74">
        <f>VLOOKUP(A59,'GHG Factors FY20'!A:L,8,FALSE)*I59</f>
        <v>865.68219228000021</v>
      </c>
      <c r="K59" s="74">
        <f>VLOOKUP(A59,'GHG Factors FY20'!A:L,10,FALSE)*J59</f>
        <v>61039.251377662818</v>
      </c>
      <c r="L59" s="74">
        <f>VLOOKUP(A59,'GHG Factors FY20'!A:L,11,FALSE)*I59</f>
        <v>0</v>
      </c>
      <c r="M59" s="74">
        <f>VLOOKUP(A59,'GHG Factors FY20'!A:L,12,FALSE)*J59</f>
        <v>3116.4558922080009</v>
      </c>
      <c r="N59" s="41">
        <f t="shared" si="6"/>
        <v>64155.707269870822</v>
      </c>
    </row>
    <row r="60" spans="1:15" ht="14.4">
      <c r="A60" s="54" t="s">
        <v>792</v>
      </c>
      <c r="B60" s="40" t="s">
        <v>671</v>
      </c>
      <c r="C60" s="10" t="s">
        <v>1234</v>
      </c>
      <c r="D60" s="10" t="s">
        <v>1192</v>
      </c>
      <c r="E60" s="10" t="s">
        <v>787</v>
      </c>
      <c r="F60" s="74">
        <f>H78/1000</f>
        <v>25.310000599999995</v>
      </c>
      <c r="G60" s="75" t="s">
        <v>787</v>
      </c>
      <c r="H60" t="s">
        <v>686</v>
      </c>
      <c r="I60" s="74">
        <f t="shared" si="5"/>
        <v>25.310000599999995</v>
      </c>
      <c r="J60" s="74">
        <f>VLOOKUP(A60,'GHG Factors FY20'!A:L,8,FALSE)*I60</f>
        <v>865.60202051999988</v>
      </c>
      <c r="K60" s="74">
        <f>VLOOKUP(A60,'GHG Factors FY20'!A:L,10,FALSE)*J60</f>
        <v>58532.008627562398</v>
      </c>
      <c r="L60" s="74">
        <f>VLOOKUP(A60,'GHG Factors FY20'!A:L,11,FALSE)*I60</f>
        <v>0</v>
      </c>
      <c r="M60" s="74">
        <f>VLOOKUP(A60,'GHG Factors FY20'!A:L,12,FALSE)*J60</f>
        <v>3116.1672738719994</v>
      </c>
      <c r="N60" s="41">
        <f t="shared" si="6"/>
        <v>61648.175901434399</v>
      </c>
    </row>
    <row r="61" spans="1:15" ht="14.4">
      <c r="A61" s="54" t="s">
        <v>793</v>
      </c>
      <c r="B61" s="40" t="s">
        <v>671</v>
      </c>
      <c r="C61" s="10" t="s">
        <v>1234</v>
      </c>
      <c r="D61" s="10" t="s">
        <v>1210</v>
      </c>
      <c r="E61" s="10" t="s">
        <v>787</v>
      </c>
      <c r="F61" s="74">
        <f t="shared" ref="F61:F63" si="8">H79/1000</f>
        <v>4.2210000000000001</v>
      </c>
      <c r="G61" s="75" t="s">
        <v>787</v>
      </c>
      <c r="H61" t="s">
        <v>686</v>
      </c>
      <c r="I61" s="74">
        <f t="shared" si="5"/>
        <v>4.2210000000000001</v>
      </c>
      <c r="J61" s="74">
        <f>VLOOKUP(A61,'GHG Factors FY20'!A:L,8,FALSE)*I61</f>
        <v>144.35820000000001</v>
      </c>
      <c r="K61" s="74">
        <f>VLOOKUP(A61,'GHG Factors FY20'!A:L,10,FALSE)*J61</f>
        <v>9761.5014840000022</v>
      </c>
      <c r="L61" s="74">
        <f>VLOOKUP(A61,'GHG Factors FY20'!A:L,11,FALSE)*I61</f>
        <v>0</v>
      </c>
      <c r="M61" s="74">
        <f>VLOOKUP(A61,'GHG Factors FY20'!A:L,12,FALSE)*J61</f>
        <v>519.68952000000002</v>
      </c>
      <c r="N61" s="41">
        <f t="shared" si="6"/>
        <v>10281.191004000002</v>
      </c>
    </row>
    <row r="62" spans="1:15" ht="14.4">
      <c r="A62" s="54" t="s">
        <v>794</v>
      </c>
      <c r="B62" s="40" t="s">
        <v>671</v>
      </c>
      <c r="C62" s="10" t="s">
        <v>1234</v>
      </c>
      <c r="D62" s="10" t="s">
        <v>1189</v>
      </c>
      <c r="E62" s="10" t="s">
        <v>787</v>
      </c>
      <c r="F62" s="74">
        <f t="shared" si="8"/>
        <v>14.111000300000008</v>
      </c>
      <c r="G62" s="75" t="s">
        <v>787</v>
      </c>
      <c r="H62" t="s">
        <v>686</v>
      </c>
      <c r="I62" s="74">
        <f t="shared" si="5"/>
        <v>14.111000300000008</v>
      </c>
      <c r="J62" s="74">
        <f>VLOOKUP(A62,'GHG Factors FY20'!A:L,8,FALSE)*I62</f>
        <v>482.5962102600003</v>
      </c>
      <c r="K62" s="74">
        <f>VLOOKUP(A62,'GHG Factors FY20'!A:L,10,FALSE)*J62</f>
        <v>32633.155737781224</v>
      </c>
      <c r="L62" s="74">
        <f>VLOOKUP(A62,'GHG Factors FY20'!A:L,11,FALSE)*I62</f>
        <v>0</v>
      </c>
      <c r="M62" s="74">
        <f>VLOOKUP(A62,'GHG Factors FY20'!A:L,12,FALSE)*J62</f>
        <v>1737.346356936001</v>
      </c>
      <c r="N62" s="41">
        <f t="shared" si="6"/>
        <v>34370.502094717223</v>
      </c>
    </row>
    <row r="63" spans="1:15" ht="14.4">
      <c r="A63" s="54" t="s">
        <v>795</v>
      </c>
      <c r="B63" s="40" t="s">
        <v>671</v>
      </c>
      <c r="C63" s="10" t="s">
        <v>1234</v>
      </c>
      <c r="D63" s="10" t="s">
        <v>1216</v>
      </c>
      <c r="E63" s="10" t="s">
        <v>787</v>
      </c>
      <c r="F63" s="74">
        <f t="shared" si="8"/>
        <v>2.6789999000000004</v>
      </c>
      <c r="G63" s="75" t="s">
        <v>787</v>
      </c>
      <c r="H63" t="s">
        <v>686</v>
      </c>
      <c r="I63" s="74">
        <f t="shared" si="5"/>
        <v>2.6789999000000004</v>
      </c>
      <c r="J63" s="74">
        <f>VLOOKUP(A63,'GHG Factors FY20'!A:L,8,FALSE)*I63</f>
        <v>91.621796580000023</v>
      </c>
      <c r="K63" s="74">
        <f>VLOOKUP(A63,'GHG Factors FY20'!A:L,10,FALSE)*J63</f>
        <v>6195.4658847396022</v>
      </c>
      <c r="L63" s="74">
        <f>VLOOKUP(A63,'GHG Factors FY20'!A:L,11,FALSE)*I63</f>
        <v>0</v>
      </c>
      <c r="M63" s="74">
        <f>VLOOKUP(A63,'GHG Factors FY20'!A:L,12,FALSE)*J63</f>
        <v>329.83846768800009</v>
      </c>
      <c r="N63" s="41">
        <f t="shared" si="6"/>
        <v>6525.3043524276027</v>
      </c>
    </row>
    <row r="64" spans="1:15" ht="14.4" thickBot="1">
      <c r="A64" s="42"/>
      <c r="B64" s="42"/>
      <c r="C64" s="823"/>
      <c r="D64" s="823"/>
      <c r="E64" s="823"/>
      <c r="F64" s="824"/>
      <c r="G64" s="42"/>
      <c r="H64" s="823"/>
      <c r="I64" s="823"/>
      <c r="J64" s="881"/>
      <c r="K64" s="824"/>
      <c r="L64" s="824"/>
      <c r="M64" s="824"/>
      <c r="N64" s="43"/>
    </row>
    <row r="68" spans="1:15" ht="14.4">
      <c r="A68" t="s">
        <v>150</v>
      </c>
      <c r="B68" t="s">
        <v>1303</v>
      </c>
      <c r="C68" t="s">
        <v>1304</v>
      </c>
      <c r="D68" t="s">
        <v>1272</v>
      </c>
      <c r="E68" t="s">
        <v>1300</v>
      </c>
      <c r="F68" t="s">
        <v>1295</v>
      </c>
      <c r="G68" t="s">
        <v>1297</v>
      </c>
      <c r="H68" t="s">
        <v>1301</v>
      </c>
      <c r="I68" t="s">
        <v>685</v>
      </c>
      <c r="J68" t="s">
        <v>53</v>
      </c>
      <c r="K68"/>
      <c r="L68"/>
      <c r="M68"/>
      <c r="N68"/>
      <c r="O68"/>
    </row>
    <row r="69" spans="1:15" ht="14.4">
      <c r="A69" t="s">
        <v>155</v>
      </c>
      <c r="B69" t="s">
        <v>1305</v>
      </c>
      <c r="C69" t="s">
        <v>663</v>
      </c>
      <c r="D69" s="240"/>
      <c r="E69" s="240"/>
      <c r="F69" s="240">
        <v>77837.450400000002</v>
      </c>
      <c r="G69" s="240"/>
      <c r="H69" s="240"/>
      <c r="I69" s="240"/>
      <c r="J69" s="240">
        <v>77837.450400000002</v>
      </c>
      <c r="K69"/>
      <c r="L69"/>
      <c r="M69"/>
      <c r="N69"/>
      <c r="O69"/>
    </row>
    <row r="70" spans="1:15" ht="14.4">
      <c r="A70" t="s">
        <v>155</v>
      </c>
      <c r="B70" t="s">
        <v>1306</v>
      </c>
      <c r="C70" t="s">
        <v>663</v>
      </c>
      <c r="D70" s="240"/>
      <c r="E70" s="240"/>
      <c r="F70" s="240">
        <v>614238.78460000001</v>
      </c>
      <c r="G70" s="240"/>
      <c r="H70" s="240"/>
      <c r="I70" s="240"/>
      <c r="J70" s="240">
        <v>614238.78460000001</v>
      </c>
      <c r="K70"/>
      <c r="L70"/>
      <c r="M70"/>
      <c r="N70"/>
      <c r="O70"/>
    </row>
    <row r="71" spans="1:15" ht="14.4">
      <c r="A71" t="s">
        <v>155</v>
      </c>
      <c r="B71" t="s">
        <v>1307</v>
      </c>
      <c r="C71" t="s">
        <v>663</v>
      </c>
      <c r="D71" s="240"/>
      <c r="E71" s="240"/>
      <c r="F71" s="240">
        <v>162555.69699999993</v>
      </c>
      <c r="G71" s="240"/>
      <c r="H71" s="240"/>
      <c r="I71" s="240"/>
      <c r="J71" s="240">
        <v>162555.69699999993</v>
      </c>
      <c r="K71"/>
      <c r="L71"/>
      <c r="M71"/>
      <c r="N71"/>
      <c r="O71"/>
    </row>
    <row r="72" spans="1:15" ht="14.4">
      <c r="A72" t="s">
        <v>155</v>
      </c>
      <c r="B72" t="s">
        <v>1308</v>
      </c>
      <c r="C72" t="s">
        <v>663</v>
      </c>
      <c r="D72" s="240"/>
      <c r="E72" s="240"/>
      <c r="F72" s="240">
        <v>10128.000100000001</v>
      </c>
      <c r="G72" s="240"/>
      <c r="H72" s="240"/>
      <c r="I72" s="240"/>
      <c r="J72" s="240">
        <v>10128.000100000001</v>
      </c>
      <c r="K72"/>
      <c r="L72"/>
      <c r="M72"/>
      <c r="N72"/>
      <c r="O72"/>
    </row>
    <row r="73" spans="1:15" ht="14.4">
      <c r="A73" t="s">
        <v>155</v>
      </c>
      <c r="B73" t="s">
        <v>1309</v>
      </c>
      <c r="C73" t="s">
        <v>663</v>
      </c>
      <c r="D73" s="240"/>
      <c r="E73" s="240"/>
      <c r="F73" s="240">
        <v>855320.12900000019</v>
      </c>
      <c r="G73" s="240"/>
      <c r="H73" s="240"/>
      <c r="I73" s="240"/>
      <c r="J73" s="240">
        <v>855320.12900000019</v>
      </c>
      <c r="K73"/>
      <c r="L73"/>
      <c r="M73"/>
      <c r="N73"/>
      <c r="O73"/>
    </row>
    <row r="74" spans="1:15" ht="14.4">
      <c r="A74" t="s">
        <v>155</v>
      </c>
      <c r="B74" t="s">
        <v>1310</v>
      </c>
      <c r="C74" t="s">
        <v>663</v>
      </c>
      <c r="D74" s="240"/>
      <c r="E74" s="240"/>
      <c r="F74" s="240">
        <v>118093.48270000004</v>
      </c>
      <c r="G74" s="240"/>
      <c r="H74" s="240"/>
      <c r="I74" s="240"/>
      <c r="J74" s="240">
        <v>118093.48270000004</v>
      </c>
      <c r="K74"/>
      <c r="L74"/>
      <c r="M74"/>
      <c r="N74"/>
      <c r="O74"/>
    </row>
    <row r="75" spans="1:15" ht="14.4">
      <c r="A75" t="s">
        <v>1296</v>
      </c>
      <c r="B75" t="s">
        <v>1309</v>
      </c>
      <c r="C75" t="s">
        <v>670</v>
      </c>
      <c r="D75" s="240"/>
      <c r="E75" s="240"/>
      <c r="F75" s="240"/>
      <c r="G75" s="240">
        <v>311762.92980000004</v>
      </c>
      <c r="H75" s="240"/>
      <c r="I75" s="240"/>
      <c r="J75" s="240">
        <v>311762.92980000004</v>
      </c>
      <c r="K75"/>
      <c r="L75"/>
      <c r="M75"/>
      <c r="N75"/>
      <c r="O75"/>
    </row>
    <row r="76" spans="1:15" ht="14.4">
      <c r="A76" t="s">
        <v>1298</v>
      </c>
      <c r="B76" t="s">
        <v>1306</v>
      </c>
      <c r="C76" t="s">
        <v>673</v>
      </c>
      <c r="D76" s="240">
        <v>6227.8099000000011</v>
      </c>
      <c r="E76" s="240"/>
      <c r="F76" s="240"/>
      <c r="G76" s="240"/>
      <c r="H76" s="240"/>
      <c r="I76" s="240"/>
      <c r="J76" s="240">
        <v>6227.8099000000011</v>
      </c>
      <c r="K76"/>
      <c r="L76"/>
      <c r="M76"/>
      <c r="N76"/>
      <c r="O76"/>
    </row>
    <row r="77" spans="1:15" ht="14.4">
      <c r="A77" t="s">
        <v>1299</v>
      </c>
      <c r="B77" t="s">
        <v>1305</v>
      </c>
      <c r="C77" t="s">
        <v>673</v>
      </c>
      <c r="D77" s="240"/>
      <c r="E77" s="240">
        <v>11572.000200000002</v>
      </c>
      <c r="F77" s="240"/>
      <c r="G77" s="240"/>
      <c r="H77" s="240"/>
      <c r="I77" s="240"/>
      <c r="J77" s="240">
        <v>11572.000200000002</v>
      </c>
      <c r="K77"/>
      <c r="L77"/>
      <c r="M77"/>
      <c r="N77"/>
      <c r="O77"/>
    </row>
    <row r="78" spans="1:15" ht="14.4">
      <c r="A78" t="s">
        <v>1299</v>
      </c>
      <c r="B78" t="s">
        <v>1306</v>
      </c>
      <c r="C78" t="s">
        <v>673</v>
      </c>
      <c r="D78" s="240"/>
      <c r="E78" s="240">
        <v>99903.529899999994</v>
      </c>
      <c r="F78" s="240"/>
      <c r="G78" s="240"/>
      <c r="H78" s="240">
        <v>25310.000599999996</v>
      </c>
      <c r="I78" s="240"/>
      <c r="J78" s="240">
        <v>125213.53049999999</v>
      </c>
      <c r="K78"/>
      <c r="L78"/>
      <c r="M78"/>
      <c r="N78"/>
      <c r="O78"/>
    </row>
    <row r="79" spans="1:15" ht="14.4">
      <c r="A79" t="s">
        <v>1299</v>
      </c>
      <c r="B79" t="s">
        <v>1307</v>
      </c>
      <c r="C79" t="s">
        <v>673</v>
      </c>
      <c r="D79" s="240"/>
      <c r="E79" s="240">
        <v>22078.999700000004</v>
      </c>
      <c r="F79" s="240"/>
      <c r="G79" s="240"/>
      <c r="H79" s="240">
        <v>4221</v>
      </c>
      <c r="I79" s="240"/>
      <c r="J79" s="240">
        <v>26299.999700000004</v>
      </c>
      <c r="K79"/>
      <c r="L79"/>
      <c r="M79"/>
      <c r="N79"/>
      <c r="O79"/>
    </row>
    <row r="80" spans="1:15" ht="14.4">
      <c r="A80" t="s">
        <v>1299</v>
      </c>
      <c r="B80" t="s">
        <v>1309</v>
      </c>
      <c r="C80" t="s">
        <v>673</v>
      </c>
      <c r="D80" s="240"/>
      <c r="E80" s="240">
        <v>32762.0003</v>
      </c>
      <c r="F80" s="240"/>
      <c r="G80" s="240"/>
      <c r="H80" s="240">
        <v>14111.000300000007</v>
      </c>
      <c r="I80" s="240"/>
      <c r="J80" s="240">
        <v>46873.000600000007</v>
      </c>
      <c r="K80"/>
      <c r="L80"/>
      <c r="M80"/>
      <c r="N80"/>
      <c r="O80"/>
    </row>
    <row r="81" spans="1:15" ht="14.4">
      <c r="A81" t="s">
        <v>1299</v>
      </c>
      <c r="B81" t="s">
        <v>1310</v>
      </c>
      <c r="C81" t="s">
        <v>673</v>
      </c>
      <c r="D81" s="240"/>
      <c r="E81" s="240">
        <v>22426.999800000005</v>
      </c>
      <c r="F81" s="240"/>
      <c r="G81" s="240"/>
      <c r="H81" s="240">
        <v>2678.9999000000003</v>
      </c>
      <c r="I81" s="240"/>
      <c r="J81" s="240">
        <v>25105.999700000004</v>
      </c>
      <c r="K81"/>
      <c r="L81"/>
      <c r="M81"/>
      <c r="N81"/>
      <c r="O81"/>
    </row>
    <row r="82" spans="1:15" ht="14.4">
      <c r="A82"/>
      <c r="B82"/>
      <c r="C82"/>
      <c r="D82" s="8"/>
      <c r="E82"/>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D441-B477-4D50-929F-EE69FFFD8349}">
  <sheetPr codeName="Sheet28">
    <tabColor rgb="FF00B050"/>
  </sheetPr>
  <dimension ref="A1:AN54"/>
  <sheetViews>
    <sheetView topLeftCell="V1" zoomScale="80" zoomScaleNormal="80" workbookViewId="0">
      <selection activeCell="H15" sqref="H15"/>
    </sheetView>
  </sheetViews>
  <sheetFormatPr defaultColWidth="8.59765625" defaultRowHeight="13.8"/>
  <cols>
    <col min="1" max="1" width="45.59765625" style="178" bestFit="1" customWidth="1"/>
    <col min="2" max="2" width="17.09765625" style="620" bestFit="1" customWidth="1"/>
    <col min="3" max="3" width="9.3984375" style="178" customWidth="1"/>
    <col min="4" max="4" width="43.8984375" style="178" bestFit="1" customWidth="1"/>
    <col min="5" max="5" width="16.8984375" style="178" bestFit="1" customWidth="1"/>
    <col min="6" max="6" width="8" style="178" bestFit="1" customWidth="1"/>
    <col min="7" max="7" width="8.59765625" style="178"/>
    <col min="8" max="8" width="19.8984375" style="178" customWidth="1"/>
    <col min="9" max="9" width="15.3984375" style="178" customWidth="1"/>
    <col min="10" max="10" width="9" style="178" customWidth="1"/>
    <col min="11" max="17" width="8.59765625" style="178"/>
    <col min="18" max="18" width="9" style="624" customWidth="1"/>
    <col min="19" max="22" width="8.59765625" style="178"/>
    <col min="23" max="23" width="43.8984375" style="178" bestFit="1" customWidth="1"/>
    <col min="24" max="24" width="20.5" style="178" bestFit="1" customWidth="1"/>
    <col min="25" max="25" width="11.59765625" style="178" bestFit="1" customWidth="1"/>
    <col min="26" max="27" width="12" style="178" bestFit="1" customWidth="1"/>
    <col min="28" max="28" width="43.8984375" style="178" bestFit="1" customWidth="1"/>
    <col min="29" max="29" width="28.59765625" style="178" bestFit="1" customWidth="1"/>
    <col min="30" max="31" width="9.8984375" style="178" bestFit="1" customWidth="1"/>
    <col min="32" max="32" width="8.59765625" style="178"/>
    <col min="33" max="33" width="43.8984375" style="178" bestFit="1" customWidth="1"/>
    <col min="34" max="34" width="16.5" style="178" bestFit="1" customWidth="1"/>
    <col min="35" max="16384" width="8.59765625" style="178"/>
  </cols>
  <sheetData>
    <row r="1" spans="1:40">
      <c r="A1" s="9" t="s">
        <v>91</v>
      </c>
      <c r="B1" s="664" t="s">
        <v>1311</v>
      </c>
      <c r="H1" s="621"/>
      <c r="I1" s="621"/>
      <c r="J1" s="621"/>
      <c r="K1" s="622"/>
      <c r="L1" s="622"/>
      <c r="M1" s="622"/>
      <c r="N1" s="622"/>
      <c r="O1" s="622"/>
      <c r="P1" s="622"/>
      <c r="Q1" s="622"/>
      <c r="R1" s="623"/>
      <c r="AA1" s="9" t="s">
        <v>127</v>
      </c>
      <c r="AB1" s="9" t="s">
        <v>1312</v>
      </c>
    </row>
    <row r="2" spans="1:40">
      <c r="A2" s="239" t="s">
        <v>42</v>
      </c>
      <c r="B2" t="s">
        <v>1313</v>
      </c>
      <c r="C2" s="453"/>
      <c r="D2" s="711" t="s">
        <v>42</v>
      </c>
      <c r="E2" s="711" t="s">
        <v>1313</v>
      </c>
      <c r="F2" s="453"/>
      <c r="G2" s="453"/>
      <c r="H2" s="453"/>
      <c r="I2" s="453"/>
      <c r="J2" s="453"/>
      <c r="K2" s="453"/>
      <c r="L2" s="453"/>
      <c r="M2" s="453"/>
      <c r="N2" s="453"/>
      <c r="O2" s="453"/>
      <c r="P2" s="453"/>
      <c r="Q2" s="453"/>
      <c r="R2" s="663"/>
      <c r="W2" s="707"/>
      <c r="X2" s="707" t="s">
        <v>1314</v>
      </c>
      <c r="Y2" s="707" t="s">
        <v>1315</v>
      </c>
      <c r="AA2" s="9"/>
      <c r="AB2" s="9" t="s">
        <v>1316</v>
      </c>
    </row>
    <row r="3" spans="1:40">
      <c r="A3" s="4" t="s">
        <v>1317</v>
      </c>
      <c r="B3">
        <v>1357.5236</v>
      </c>
      <c r="D3" s="709" t="s">
        <v>1317</v>
      </c>
      <c r="E3" s="710">
        <v>1357.5236</v>
      </c>
      <c r="W3" s="845" t="s">
        <v>1318</v>
      </c>
      <c r="X3" s="858">
        <v>236474</v>
      </c>
      <c r="Y3" s="858">
        <v>113326</v>
      </c>
      <c r="AA3" s="435"/>
      <c r="AB3" s="9" t="s">
        <v>1319</v>
      </c>
    </row>
    <row r="4" spans="1:40">
      <c r="A4" s="17" t="s">
        <v>1317</v>
      </c>
      <c r="B4">
        <v>1357.5236</v>
      </c>
      <c r="D4" s="707" t="s">
        <v>1317</v>
      </c>
      <c r="E4" s="708">
        <v>1357.5236</v>
      </c>
      <c r="W4" s="845" t="s">
        <v>1320</v>
      </c>
      <c r="X4" s="858">
        <v>212</v>
      </c>
      <c r="Y4" s="858">
        <v>19622</v>
      </c>
    </row>
    <row r="5" spans="1:40">
      <c r="A5" s="4" t="s">
        <v>1321</v>
      </c>
      <c r="B5">
        <v>2939.4555000000109</v>
      </c>
      <c r="D5" s="709" t="s">
        <v>1321</v>
      </c>
      <c r="E5" s="710">
        <v>2939.4555000000109</v>
      </c>
      <c r="W5" s="845" t="s">
        <v>1322</v>
      </c>
      <c r="X5" s="858">
        <v>14757</v>
      </c>
      <c r="Y5" s="858">
        <v>7838</v>
      </c>
    </row>
    <row r="6" spans="1:40">
      <c r="A6" s="17" t="s">
        <v>1323</v>
      </c>
      <c r="B6">
        <v>280.98090000000019</v>
      </c>
      <c r="D6" s="707" t="s">
        <v>1323</v>
      </c>
      <c r="E6" s="708">
        <v>280.98090000000019</v>
      </c>
      <c r="W6" s="805" t="s">
        <v>1324</v>
      </c>
    </row>
    <row r="7" spans="1:40">
      <c r="A7" s="17" t="s">
        <v>1325</v>
      </c>
      <c r="B7">
        <v>2557.1991000000107</v>
      </c>
      <c r="D7" s="707" t="s">
        <v>1325</v>
      </c>
      <c r="E7" s="708">
        <v>2557.1991000000107</v>
      </c>
      <c r="AB7" s="709" t="s">
        <v>1326</v>
      </c>
      <c r="AC7" s="709" t="s">
        <v>91</v>
      </c>
      <c r="AD7" s="709" t="s">
        <v>3</v>
      </c>
      <c r="AE7" s="709" t="s">
        <v>92</v>
      </c>
    </row>
    <row r="8" spans="1:40">
      <c r="A8" s="17" t="s">
        <v>1327</v>
      </c>
      <c r="B8">
        <v>101.27550000000002</v>
      </c>
      <c r="D8" s="707" t="s">
        <v>1327</v>
      </c>
      <c r="E8" s="708">
        <v>101.27550000000002</v>
      </c>
      <c r="W8" s="709" t="s">
        <v>1328</v>
      </c>
      <c r="X8" s="709" t="s">
        <v>91</v>
      </c>
      <c r="Y8" s="709" t="s">
        <v>3</v>
      </c>
      <c r="Z8" s="709" t="s">
        <v>92</v>
      </c>
      <c r="AB8" s="707" t="s">
        <v>1329</v>
      </c>
      <c r="AC8" s="708">
        <f>X38</f>
        <v>817.51260000000002</v>
      </c>
      <c r="AD8" s="854">
        <v>1004.4229000000008</v>
      </c>
      <c r="AE8" s="854">
        <v>1693.8436000000092</v>
      </c>
    </row>
    <row r="9" spans="1:40">
      <c r="A9" s="4" t="s">
        <v>1330</v>
      </c>
      <c r="B9">
        <v>4416.5629999999965</v>
      </c>
      <c r="D9" s="709" t="s">
        <v>1330</v>
      </c>
      <c r="E9" s="710">
        <v>4416.5629999999965</v>
      </c>
      <c r="W9" s="707" t="s">
        <v>1331</v>
      </c>
      <c r="X9" s="708">
        <f>X19</f>
        <v>3745.5554999999999</v>
      </c>
      <c r="Y9" s="854">
        <v>5055.8383000000613</v>
      </c>
      <c r="Z9" s="854">
        <v>3767.3518000000381</v>
      </c>
      <c r="AB9" s="707" t="s">
        <v>1332</v>
      </c>
      <c r="AC9" s="708">
        <f>X47</f>
        <v>1664.8027999999999</v>
      </c>
      <c r="AD9" s="854">
        <v>1945.9360999999999</v>
      </c>
      <c r="AE9" s="854">
        <v>3162.8577000000087</v>
      </c>
    </row>
    <row r="10" spans="1:40">
      <c r="A10" s="17" t="s">
        <v>1333</v>
      </c>
      <c r="B10">
        <v>3091.3034999999995</v>
      </c>
      <c r="D10" s="707" t="s">
        <v>1333</v>
      </c>
      <c r="E10" s="708">
        <f>3091.3035-102.24</f>
        <v>2989.0635000000002</v>
      </c>
      <c r="W10" s="707" t="s">
        <v>1334</v>
      </c>
      <c r="X10" s="708">
        <f>X28</f>
        <v>5727.4156999999996</v>
      </c>
      <c r="Y10" s="854">
        <v>7573.7364000001226</v>
      </c>
      <c r="Z10" s="854">
        <v>6692.3182000000506</v>
      </c>
      <c r="AB10" s="707" t="s">
        <v>1335</v>
      </c>
      <c r="AC10" s="804">
        <f>AC8/AC9</f>
        <v>0.49105671854948829</v>
      </c>
      <c r="AD10" s="855">
        <v>0.51616437970393836</v>
      </c>
      <c r="AE10" s="804">
        <v>0.53554214595237859</v>
      </c>
    </row>
    <row r="11" spans="1:40">
      <c r="A11" s="17" t="s">
        <v>1336</v>
      </c>
      <c r="B11">
        <v>11.437799999999999</v>
      </c>
      <c r="D11" s="707" t="s">
        <v>1337</v>
      </c>
      <c r="E11" s="707">
        <f>102.24</f>
        <v>102.24</v>
      </c>
      <c r="W11" s="707" t="s">
        <v>1338</v>
      </c>
      <c r="X11" s="804">
        <f>X9/X10</f>
        <v>0.65396955558857028</v>
      </c>
      <c r="Y11" s="855">
        <v>0.66754875440343808</v>
      </c>
      <c r="Z11" s="855">
        <v>0.56293674141196837</v>
      </c>
    </row>
    <row r="12" spans="1:40">
      <c r="A12" s="17" t="s">
        <v>1339</v>
      </c>
      <c r="B12">
        <v>604.16599999999698</v>
      </c>
      <c r="D12" s="707" t="s">
        <v>1336</v>
      </c>
      <c r="E12" s="708">
        <v>11.437799999999999</v>
      </c>
      <c r="AN12" s="846"/>
    </row>
    <row r="13" spans="1:40">
      <c r="A13" s="17" t="s">
        <v>1340</v>
      </c>
      <c r="B13">
        <v>48.281699999999965</v>
      </c>
      <c r="D13" s="707" t="s">
        <v>1339</v>
      </c>
      <c r="E13" s="708">
        <v>604.16599999999698</v>
      </c>
      <c r="AN13" s="846"/>
    </row>
    <row r="14" spans="1:40">
      <c r="A14" s="17" t="s">
        <v>1341</v>
      </c>
      <c r="B14">
        <v>32.216599999999993</v>
      </c>
      <c r="D14" s="707" t="s">
        <v>1340</v>
      </c>
      <c r="E14" s="708">
        <v>48.281699999999965</v>
      </c>
      <c r="W14" s="806" t="s">
        <v>1342</v>
      </c>
      <c r="X14" s="806" t="s">
        <v>91</v>
      </c>
      <c r="AB14" s="806" t="s">
        <v>1342</v>
      </c>
      <c r="AC14" s="806" t="s">
        <v>3</v>
      </c>
      <c r="AG14" s="807" t="s">
        <v>1342</v>
      </c>
      <c r="AH14" s="806" t="s">
        <v>92</v>
      </c>
      <c r="AN14" s="846"/>
    </row>
    <row r="15" spans="1:40">
      <c r="A15" s="17" t="s">
        <v>1343</v>
      </c>
      <c r="B15">
        <v>629.15739999999926</v>
      </c>
      <c r="D15" s="707" t="s">
        <v>1341</v>
      </c>
      <c r="E15" s="708">
        <v>32.216599999999993</v>
      </c>
      <c r="W15" s="213" t="s">
        <v>1344</v>
      </c>
      <c r="X15" s="213" t="s">
        <v>1266</v>
      </c>
      <c r="Y15" t="s">
        <v>1312</v>
      </c>
      <c r="AB15" s="213" t="s">
        <v>1344</v>
      </c>
      <c r="AC15" s="856" t="s">
        <v>1266</v>
      </c>
      <c r="AD15" t="s">
        <v>1312</v>
      </c>
      <c r="AG15" s="707" t="s">
        <v>1344</v>
      </c>
      <c r="AH15" s="859" t="s">
        <v>1266</v>
      </c>
      <c r="AI15" t="s">
        <v>1312</v>
      </c>
      <c r="AN15" s="846"/>
    </row>
    <row r="16" spans="1:40">
      <c r="A16" s="4" t="s">
        <v>53</v>
      </c>
      <c r="B16">
        <v>8713.542100000006</v>
      </c>
      <c r="D16" s="707" t="s">
        <v>1343</v>
      </c>
      <c r="E16" s="708">
        <v>629.15739999999926</v>
      </c>
      <c r="W16" s="213" t="s">
        <v>1345</v>
      </c>
      <c r="X16" s="213" t="s">
        <v>1266</v>
      </c>
      <c r="Y16" t="s">
        <v>1316</v>
      </c>
      <c r="AB16" s="213" t="s">
        <v>1345</v>
      </c>
      <c r="AC16" s="856" t="s">
        <v>1266</v>
      </c>
      <c r="AD16" t="s">
        <v>1346</v>
      </c>
      <c r="AG16" s="707" t="s">
        <v>1345</v>
      </c>
      <c r="AH16" s="859" t="s">
        <v>1266</v>
      </c>
      <c r="AI16" t="s">
        <v>1346</v>
      </c>
      <c r="AN16" s="846"/>
    </row>
    <row r="17" spans="1:40">
      <c r="D17" s="709" t="s">
        <v>53</v>
      </c>
      <c r="E17" s="710">
        <v>8713.542100000006</v>
      </c>
      <c r="W17" s="213" t="s">
        <v>1347</v>
      </c>
      <c r="X17" s="856" t="s">
        <v>1266</v>
      </c>
      <c r="Y17" t="s">
        <v>1348</v>
      </c>
      <c r="AB17" s="213" t="s">
        <v>1347</v>
      </c>
      <c r="AC17" s="856" t="s">
        <v>1266</v>
      </c>
      <c r="AD17" t="s">
        <v>1349</v>
      </c>
      <c r="AG17" s="213" t="s">
        <v>1347</v>
      </c>
      <c r="AH17" s="856" t="s">
        <v>1266</v>
      </c>
      <c r="AI17" t="s">
        <v>1349</v>
      </c>
      <c r="AN17" s="846"/>
    </row>
    <row r="18" spans="1:40">
      <c r="W18" s="121" t="s">
        <v>42</v>
      </c>
      <c r="X18" s="121" t="s">
        <v>1350</v>
      </c>
      <c r="Z18" s="453"/>
      <c r="AB18" s="121" t="s">
        <v>42</v>
      </c>
      <c r="AC18" s="121" t="s">
        <v>1313</v>
      </c>
      <c r="AG18" s="121" t="s">
        <v>42</v>
      </c>
      <c r="AH18" s="121" t="s">
        <v>1313</v>
      </c>
      <c r="AN18" s="846"/>
    </row>
    <row r="19" spans="1:40" ht="14.4" thickBot="1">
      <c r="A19" s="33" t="s">
        <v>3</v>
      </c>
      <c r="B19" s="654">
        <v>44028</v>
      </c>
      <c r="W19" s="852" t="s">
        <v>1330</v>
      </c>
      <c r="X19" s="46">
        <v>3745.5554999999999</v>
      </c>
      <c r="AB19" s="852" t="s">
        <v>1330</v>
      </c>
      <c r="AC19" s="46">
        <v>5055.8382999999958</v>
      </c>
      <c r="AG19" s="852" t="s">
        <v>1330</v>
      </c>
      <c r="AH19" s="46">
        <v>3767.3517999999926</v>
      </c>
      <c r="AN19" s="846"/>
    </row>
    <row r="20" spans="1:40" ht="53.1" customHeight="1" thickBot="1">
      <c r="A20" s="477" t="s">
        <v>42</v>
      </c>
      <c r="B20" s="619" t="s">
        <v>1351</v>
      </c>
      <c r="C20" s="644"/>
      <c r="D20" s="645" t="s">
        <v>1352</v>
      </c>
      <c r="E20" s="478" t="s">
        <v>1353</v>
      </c>
      <c r="F20" s="453"/>
      <c r="G20" s="453"/>
      <c r="H20" s="618"/>
      <c r="I20" s="691" t="s">
        <v>91</v>
      </c>
      <c r="J20" s="882" t="s">
        <v>3</v>
      </c>
      <c r="K20" s="706" t="s">
        <v>92</v>
      </c>
      <c r="L20" s="454" t="s">
        <v>93</v>
      </c>
      <c r="M20" s="454" t="s">
        <v>94</v>
      </c>
      <c r="N20" s="454" t="s">
        <v>95</v>
      </c>
      <c r="O20" s="454" t="s">
        <v>1074</v>
      </c>
      <c r="P20" s="454" t="s">
        <v>1354</v>
      </c>
      <c r="Q20" s="454" t="s">
        <v>1355</v>
      </c>
      <c r="R20" s="455" t="s">
        <v>1356</v>
      </c>
      <c r="W20" s="17" t="s">
        <v>1333</v>
      </c>
      <c r="X20">
        <v>3238.83</v>
      </c>
      <c r="AB20" s="17" t="s">
        <v>1333</v>
      </c>
      <c r="AC20">
        <v>3608.251299999999</v>
      </c>
      <c r="AG20" s="17" t="s">
        <v>1333</v>
      </c>
      <c r="AH20">
        <v>2807.3288999999986</v>
      </c>
      <c r="AN20" s="846"/>
    </row>
    <row r="21" spans="1:40" ht="14.4" thickBot="1">
      <c r="A21" s="465" t="s">
        <v>1317</v>
      </c>
      <c r="B21" s="466">
        <v>2689.6891878787878</v>
      </c>
      <c r="C21" s="467">
        <f>B21</f>
        <v>2689.6891878787878</v>
      </c>
      <c r="D21" s="467">
        <v>-27.58097410000002</v>
      </c>
      <c r="E21" s="468"/>
      <c r="H21" s="436" t="s">
        <v>208</v>
      </c>
      <c r="I21" s="715">
        <f>I22+I32</f>
        <v>7356.0185000000074</v>
      </c>
      <c r="J21" s="87">
        <v>9905.6903054605973</v>
      </c>
      <c r="K21" s="87">
        <v>9987.9637218999997</v>
      </c>
      <c r="L21" s="87">
        <v>13423.475845599998</v>
      </c>
      <c r="M21" s="87">
        <v>13675.5866379</v>
      </c>
      <c r="N21" s="87">
        <v>15044</v>
      </c>
      <c r="O21" s="87">
        <v>17033</v>
      </c>
      <c r="P21" s="87">
        <v>19520</v>
      </c>
      <c r="Q21" s="87">
        <v>24929</v>
      </c>
      <c r="R21" s="437">
        <v>-8.2372562346223477E-3</v>
      </c>
      <c r="W21" s="17" t="s">
        <v>1339</v>
      </c>
      <c r="X21">
        <v>233.56800000000001</v>
      </c>
      <c r="AB21" s="17" t="s">
        <v>1339</v>
      </c>
      <c r="AC21">
        <v>312.70399999999614</v>
      </c>
      <c r="AG21" s="17" t="s">
        <v>1339</v>
      </c>
      <c r="AH21">
        <v>498.99529999999351</v>
      </c>
      <c r="AN21" s="846"/>
    </row>
    <row r="22" spans="1:40" ht="14.4" thickBot="1">
      <c r="A22" s="469" t="s">
        <v>1317</v>
      </c>
      <c r="B22" s="470">
        <v>2689.6891878787878</v>
      </c>
      <c r="C22" s="438">
        <f t="shared" ref="C22:C36" si="0">B22</f>
        <v>2689.6891878787878</v>
      </c>
      <c r="D22" s="438">
        <v>-27.58097410000002</v>
      </c>
      <c r="E22" s="439">
        <f t="shared" ref="E22:E36" si="1">C22+D22</f>
        <v>2662.108213778788</v>
      </c>
      <c r="H22" s="440" t="s">
        <v>209</v>
      </c>
      <c r="I22" s="692">
        <f>GETPIVOTDATA("Total Data",$A$2,"Category renamed","Recycled Waste")</f>
        <v>4416.5629999999965</v>
      </c>
      <c r="J22" s="699">
        <v>6190.4875608969687</v>
      </c>
      <c r="K22" s="89">
        <v>5597.1838300999989</v>
      </c>
      <c r="L22" s="89">
        <v>7148.3863379000004</v>
      </c>
      <c r="M22" s="90">
        <v>7635.1314973000008</v>
      </c>
      <c r="N22" s="90">
        <v>9712.3706540000021</v>
      </c>
      <c r="O22" s="90">
        <v>11981.704099</v>
      </c>
      <c r="P22" s="90">
        <v>14080</v>
      </c>
      <c r="Q22" s="90">
        <v>18523.238053445311</v>
      </c>
      <c r="R22" s="441">
        <v>0.10600040105996844</v>
      </c>
      <c r="W22" s="17" t="s">
        <v>1340</v>
      </c>
      <c r="X22">
        <v>26.635000000000002</v>
      </c>
      <c r="AB22" s="17" t="s">
        <v>1340</v>
      </c>
      <c r="AC22">
        <v>61.085999999999991</v>
      </c>
      <c r="AG22" s="17" t="s">
        <v>1340</v>
      </c>
      <c r="AH22">
        <v>64.74799999999999</v>
      </c>
      <c r="AN22" s="846"/>
    </row>
    <row r="23" spans="1:40" ht="14.4" thickBot="1">
      <c r="A23" s="465" t="s">
        <v>1321</v>
      </c>
      <c r="B23" s="466">
        <v>3609.1125363636252</v>
      </c>
      <c r="C23" s="471">
        <f>SUM(C24:C28)</f>
        <v>3609.1125363636252</v>
      </c>
      <c r="D23" s="467">
        <f>SUM(D24:D28)</f>
        <v>106.03220820000311</v>
      </c>
      <c r="E23" s="468">
        <f>SUM(E24:E28)</f>
        <v>3715.1447445636286</v>
      </c>
      <c r="H23" s="442" t="s">
        <v>210</v>
      </c>
      <c r="I23" s="693">
        <f>SUM(I24:I26)</f>
        <v>684.66429999999696</v>
      </c>
      <c r="J23" s="539">
        <v>1024.5510491969669</v>
      </c>
      <c r="K23" s="85">
        <v>2001.8171568999999</v>
      </c>
      <c r="L23" s="85">
        <v>1999.9896635</v>
      </c>
      <c r="M23" s="83">
        <v>2657.9914417999998</v>
      </c>
      <c r="N23" s="83">
        <v>2828.8702700000013</v>
      </c>
      <c r="O23" s="83">
        <v>2413.1087990000001</v>
      </c>
      <c r="P23" s="83">
        <v>2985.0176079999992</v>
      </c>
      <c r="Q23" s="83">
        <v>3236.2107570137532</v>
      </c>
      <c r="R23" s="443">
        <v>-0.48818949539648299</v>
      </c>
      <c r="W23" s="17" t="s">
        <v>1341</v>
      </c>
      <c r="X23">
        <v>0.66800000000000004</v>
      </c>
      <c r="AB23" s="17" t="s">
        <v>1341</v>
      </c>
      <c r="AC23">
        <v>8.4870000000000001</v>
      </c>
      <c r="AG23" s="17" t="s">
        <v>1341</v>
      </c>
      <c r="AH23">
        <v>1.8639999999999999</v>
      </c>
      <c r="AN23" s="846"/>
    </row>
    <row r="24" spans="1:40" ht="21.6" customHeight="1">
      <c r="A24" s="472" t="s">
        <v>1323</v>
      </c>
      <c r="B24" s="470">
        <v>419.19487272727275</v>
      </c>
      <c r="C24" s="438">
        <f t="shared" si="0"/>
        <v>419.19487272727275</v>
      </c>
      <c r="D24" s="438">
        <v>54.574704299999929</v>
      </c>
      <c r="E24" s="439">
        <f t="shared" si="1"/>
        <v>473.7695770272727</v>
      </c>
      <c r="H24" s="444" t="s">
        <v>1357</v>
      </c>
      <c r="I24" s="694">
        <f>GETPIVOTDATA("Total Data",$A$2,"Category renamed","Recycled Waste","Data Type","Operational Waste Cardboard &amp; Paper")</f>
        <v>604.16599999999698</v>
      </c>
      <c r="J24" s="700">
        <v>837.46235196363352</v>
      </c>
      <c r="K24" s="85">
        <v>1601.1470934999998</v>
      </c>
      <c r="L24" s="85">
        <v>1840.4082077</v>
      </c>
      <c r="M24" s="91">
        <v>2369.7508726999999</v>
      </c>
      <c r="N24" s="91">
        <v>2241.4581600000001</v>
      </c>
      <c r="O24" s="91">
        <v>2183.6304999999988</v>
      </c>
      <c r="P24" s="91">
        <v>2287.2951449999996</v>
      </c>
      <c r="Q24" s="91">
        <v>2285.9921799999984</v>
      </c>
      <c r="R24" s="445">
        <v>-0.47696101416079317</v>
      </c>
      <c r="W24" s="17" t="s">
        <v>1343</v>
      </c>
      <c r="X24">
        <v>245.8545</v>
      </c>
      <c r="AB24" s="17" t="s">
        <v>1343</v>
      </c>
      <c r="AC24">
        <v>1065.3100000000004</v>
      </c>
      <c r="AG24" s="17" t="s">
        <v>1343</v>
      </c>
      <c r="AH24">
        <v>394.41560000000015</v>
      </c>
      <c r="AN24" s="846"/>
    </row>
    <row r="25" spans="1:40" ht="30.6" customHeight="1">
      <c r="A25" s="473" t="s">
        <v>1358</v>
      </c>
      <c r="B25" s="470">
        <v>3.2000000000000001E-2</v>
      </c>
      <c r="C25" s="438">
        <f t="shared" si="0"/>
        <v>3.2000000000000001E-2</v>
      </c>
      <c r="D25" s="438">
        <v>-5.3999999999999999E-2</v>
      </c>
      <c r="E25" s="439">
        <f t="shared" si="1"/>
        <v>-2.1999999999999999E-2</v>
      </c>
      <c r="F25" s="178" t="s">
        <v>1359</v>
      </c>
      <c r="H25" s="444" t="s">
        <v>1360</v>
      </c>
      <c r="I25" s="694">
        <f>GETPIVOTDATA("Total Data",$A$2,"Category renamed","Recycled Waste","Data Type","Operational Waste Recycled Co-mingled")</f>
        <v>48.281699999999965</v>
      </c>
      <c r="J25" s="700">
        <v>142.42989270000015</v>
      </c>
      <c r="K25" s="85">
        <v>390.20330730000001</v>
      </c>
      <c r="L25" s="85">
        <v>143.88327269999999</v>
      </c>
      <c r="M25" s="91">
        <v>138.53730909999999</v>
      </c>
      <c r="N25" s="91">
        <v>190.47364999999999</v>
      </c>
      <c r="O25" s="91">
        <v>198.021919</v>
      </c>
      <c r="P25" s="91">
        <v>211.77357800000004</v>
      </c>
      <c r="Q25" s="91">
        <v>147.19513000000003</v>
      </c>
      <c r="R25" s="445">
        <v>-0.63498542929956314</v>
      </c>
      <c r="W25" s="852" t="s">
        <v>1091</v>
      </c>
      <c r="X25" s="46">
        <v>1981.8602000000001</v>
      </c>
      <c r="AB25" s="852" t="s">
        <v>1091</v>
      </c>
      <c r="AC25" s="46">
        <v>2517.898100000039</v>
      </c>
      <c r="AG25" s="852" t="s">
        <v>1091</v>
      </c>
      <c r="AH25" s="46">
        <v>2924.966400000013</v>
      </c>
    </row>
    <row r="26" spans="1:40" ht="20.399999999999999" customHeight="1">
      <c r="A26" s="473" t="s">
        <v>1325</v>
      </c>
      <c r="B26" s="470">
        <v>3189.3232636363527</v>
      </c>
      <c r="C26" s="438">
        <f t="shared" si="0"/>
        <v>3189.3232636363527</v>
      </c>
      <c r="D26" s="438">
        <v>51.998553900003188</v>
      </c>
      <c r="E26" s="439">
        <f t="shared" si="1"/>
        <v>3241.3218175363559</v>
      </c>
      <c r="H26" s="446" t="s">
        <v>1361</v>
      </c>
      <c r="I26" s="695">
        <f>GETPIVOTDATA("Total Data",$A$2,"Category renamed","Recycled Waste","Data Type","Operational Waste Recycled Other")</f>
        <v>32.216599999999993</v>
      </c>
      <c r="J26" s="700">
        <v>44.658804533333331</v>
      </c>
      <c r="K26" s="85">
        <v>10.4667561</v>
      </c>
      <c r="L26" s="85">
        <v>15.698183100000001</v>
      </c>
      <c r="M26" s="91">
        <v>149.70326</v>
      </c>
      <c r="N26" s="91">
        <v>396.93846000000121</v>
      </c>
      <c r="O26" s="91">
        <v>31.456380000001445</v>
      </c>
      <c r="P26" s="91">
        <v>485.94888499999979</v>
      </c>
      <c r="Q26" s="91">
        <v>803.02344701375478</v>
      </c>
      <c r="R26" s="445">
        <v>3.2667283069043078</v>
      </c>
      <c r="W26" s="17" t="s">
        <v>1323</v>
      </c>
      <c r="X26">
        <v>131.22999999999999</v>
      </c>
      <c r="AB26" s="17" t="s">
        <v>1323</v>
      </c>
      <c r="AC26">
        <v>208.63000000000002</v>
      </c>
      <c r="AG26" s="17" t="s">
        <v>1323</v>
      </c>
      <c r="AH26">
        <v>76.272999999999968</v>
      </c>
    </row>
    <row r="27" spans="1:40" ht="30.6" customHeight="1">
      <c r="A27" s="473" t="s">
        <v>1327</v>
      </c>
      <c r="B27" s="470">
        <v>0.55640000000000001</v>
      </c>
      <c r="C27" s="438">
        <f t="shared" si="0"/>
        <v>0.55640000000000001</v>
      </c>
      <c r="D27" s="438">
        <v>-0.47705000000000003</v>
      </c>
      <c r="E27" s="439">
        <f t="shared" si="1"/>
        <v>7.9349999999999976E-2</v>
      </c>
      <c r="H27" s="447" t="s">
        <v>222</v>
      </c>
      <c r="I27" s="696">
        <f>GETPIVOTDATA("Total Data",$A$2,"Category renamed","Recycled Waste","Data Type","Waste Recycled - Construction and Demolition [t]")</f>
        <v>629.15739999999926</v>
      </c>
      <c r="J27" s="539">
        <v>1242.7233831000003</v>
      </c>
      <c r="K27" s="82">
        <v>609.79411010000013</v>
      </c>
      <c r="L27" s="82">
        <v>1283.2047132</v>
      </c>
      <c r="M27" s="83">
        <v>630.19825000000003</v>
      </c>
      <c r="N27" s="83">
        <v>1340.08132</v>
      </c>
      <c r="O27" s="83">
        <v>5632.5953</v>
      </c>
      <c r="P27" s="83">
        <v>9105.9823919999999</v>
      </c>
      <c r="Q27" s="83">
        <v>13226.027296431559</v>
      </c>
      <c r="R27" s="443">
        <v>1.0379393019985157</v>
      </c>
      <c r="W27" s="17" t="s">
        <v>1325</v>
      </c>
      <c r="X27">
        <v>1850.6302000000001</v>
      </c>
      <c r="AB27" s="17" t="s">
        <v>1325</v>
      </c>
      <c r="AC27">
        <v>2309.2681000000389</v>
      </c>
      <c r="AG27" s="17" t="s">
        <v>1358</v>
      </c>
      <c r="AH27">
        <v>5.3999999999999999E-2</v>
      </c>
    </row>
    <row r="28" spans="1:40" ht="20.399999999999999" customHeight="1" thickBot="1">
      <c r="A28" s="474" t="s">
        <v>1362</v>
      </c>
      <c r="B28" s="470">
        <v>6.0000000000000001E-3</v>
      </c>
      <c r="C28" s="438">
        <f t="shared" si="0"/>
        <v>6.0000000000000001E-3</v>
      </c>
      <c r="D28" s="438">
        <v>-0.01</v>
      </c>
      <c r="E28" s="439">
        <f t="shared" si="1"/>
        <v>-4.0000000000000001E-3</v>
      </c>
      <c r="F28" s="178" t="s">
        <v>1359</v>
      </c>
      <c r="H28" s="448" t="s">
        <v>215</v>
      </c>
      <c r="I28" s="883">
        <f>SUM(I29:I31)</f>
        <v>3102.7413000000001</v>
      </c>
      <c r="J28" s="539">
        <v>3923.2131286000008</v>
      </c>
      <c r="K28" s="82">
        <v>2985.51188</v>
      </c>
      <c r="L28" s="82">
        <v>3865.1919611999997</v>
      </c>
      <c r="M28" s="83">
        <v>4346.9418055000006</v>
      </c>
      <c r="N28" s="83">
        <v>5543.4190639999997</v>
      </c>
      <c r="O28" s="83">
        <v>3935.6</v>
      </c>
      <c r="P28" s="83">
        <v>1989.3</v>
      </c>
      <c r="Q28" s="83">
        <v>2061</v>
      </c>
      <c r="R28" s="443">
        <v>0.31408391133248514</v>
      </c>
      <c r="W28" s="853" t="s">
        <v>53</v>
      </c>
      <c r="X28" s="851">
        <v>5727.4156999999996</v>
      </c>
      <c r="AB28" s="853" t="s">
        <v>53</v>
      </c>
      <c r="AC28" s="851">
        <v>7573.7364000000343</v>
      </c>
      <c r="AG28" s="17" t="s">
        <v>1325</v>
      </c>
      <c r="AH28">
        <v>2848.6394000000132</v>
      </c>
    </row>
    <row r="29" spans="1:40" ht="21.6" customHeight="1" thickBot="1">
      <c r="A29" s="465" t="s">
        <v>1330</v>
      </c>
      <c r="B29" s="466">
        <v>6127.2506946969697</v>
      </c>
      <c r="C29" s="471">
        <f>SUM(C30:C36)</f>
        <v>6127.2506946969697</v>
      </c>
      <c r="D29" s="467">
        <f t="shared" ref="D29:E29" si="2">SUM(D30:D36)</f>
        <v>63.236866199997735</v>
      </c>
      <c r="E29" s="468">
        <f t="shared" si="2"/>
        <v>6190.4875608969687</v>
      </c>
      <c r="H29" s="446" t="s">
        <v>1363</v>
      </c>
      <c r="I29" s="697">
        <f>E10</f>
        <v>2989.0635000000002</v>
      </c>
      <c r="J29" s="700">
        <v>3758.0229286000008</v>
      </c>
      <c r="K29" s="85">
        <v>2970</v>
      </c>
      <c r="L29" s="85">
        <v>3841.4432471999999</v>
      </c>
      <c r="M29" s="91">
        <v>4327.0848485000006</v>
      </c>
      <c r="N29" s="91">
        <v>5527.4312789999994</v>
      </c>
      <c r="O29" s="91">
        <v>3920</v>
      </c>
      <c r="P29" s="91">
        <v>1974</v>
      </c>
      <c r="Q29" s="91">
        <v>2047</v>
      </c>
      <c r="R29" s="445">
        <v>0.26532758538720569</v>
      </c>
      <c r="AG29" s="853" t="s">
        <v>53</v>
      </c>
      <c r="AH29" s="851">
        <v>6692.3182000000061</v>
      </c>
    </row>
    <row r="30" spans="1:40" ht="41.1" customHeight="1">
      <c r="A30" s="472" t="s">
        <v>1333</v>
      </c>
      <c r="B30" s="470">
        <v>3722.0816000000004</v>
      </c>
      <c r="C30" s="438">
        <f t="shared" si="0"/>
        <v>3722.0816000000004</v>
      </c>
      <c r="D30" s="438">
        <v>35.941328600000247</v>
      </c>
      <c r="E30" s="439">
        <f t="shared" si="1"/>
        <v>3758.0229286000008</v>
      </c>
      <c r="H30" s="446" t="s">
        <v>1364</v>
      </c>
      <c r="I30" s="695">
        <f>GETPIVOTDATA("Total Data",$A$2,"Category renamed","Recycled Waste","Data Type","Mobile Phones Recycled")</f>
        <v>11.437799999999999</v>
      </c>
      <c r="J30" s="701">
        <v>19.662399999999998</v>
      </c>
      <c r="K30" s="85">
        <v>15.511879999999998</v>
      </c>
      <c r="L30" s="85">
        <v>23.748714000000007</v>
      </c>
      <c r="M30" s="91">
        <v>19.856956999999998</v>
      </c>
      <c r="N30" s="91">
        <v>15.987785000000001</v>
      </c>
      <c r="O30" s="91">
        <v>15.6</v>
      </c>
      <c r="P30" s="91">
        <v>15.3</v>
      </c>
      <c r="Q30" s="91">
        <v>14</v>
      </c>
      <c r="R30" s="445">
        <v>0.26757040410317767</v>
      </c>
    </row>
    <row r="31" spans="1:40">
      <c r="A31" s="473" t="s">
        <v>1336</v>
      </c>
      <c r="B31" s="470">
        <v>19.662399999999998</v>
      </c>
      <c r="C31" s="438">
        <f t="shared" si="0"/>
        <v>19.662399999999998</v>
      </c>
      <c r="D31" s="438">
        <v>0</v>
      </c>
      <c r="E31" s="439">
        <f t="shared" si="1"/>
        <v>19.662399999999998</v>
      </c>
      <c r="H31" s="446" t="s">
        <v>1365</v>
      </c>
      <c r="I31" s="695">
        <f>E11</f>
        <v>102.24</v>
      </c>
      <c r="J31" s="700">
        <v>145.52780000000001</v>
      </c>
      <c r="K31" s="92" t="s">
        <v>104</v>
      </c>
      <c r="L31" s="92" t="s">
        <v>104</v>
      </c>
      <c r="M31" s="92" t="s">
        <v>104</v>
      </c>
      <c r="N31" s="93" t="s">
        <v>104</v>
      </c>
      <c r="O31" s="94" t="s">
        <v>104</v>
      </c>
      <c r="P31" s="93" t="s">
        <v>104</v>
      </c>
      <c r="Q31" s="93" t="s">
        <v>104</v>
      </c>
      <c r="R31" s="445" t="s">
        <v>104</v>
      </c>
    </row>
    <row r="32" spans="1:40" ht="30.6" customHeight="1">
      <c r="A32" s="473" t="s">
        <v>1366</v>
      </c>
      <c r="B32" s="470">
        <v>145.52780000000001</v>
      </c>
      <c r="C32" s="438">
        <f t="shared" si="0"/>
        <v>145.52780000000001</v>
      </c>
      <c r="D32" s="438">
        <v>0</v>
      </c>
      <c r="E32" s="439">
        <f t="shared" si="1"/>
        <v>145.52780000000001</v>
      </c>
      <c r="H32" s="440" t="s">
        <v>219</v>
      </c>
      <c r="I32" s="716">
        <f>SUM(I34:I37)</f>
        <v>2939.4555000000109</v>
      </c>
      <c r="J32" s="702">
        <v>3715.2027445636286</v>
      </c>
      <c r="K32" s="89">
        <v>4390.7798917999989</v>
      </c>
      <c r="L32" s="89">
        <v>6275.0895076999986</v>
      </c>
      <c r="M32" s="90">
        <v>6040.4551405999991</v>
      </c>
      <c r="N32" s="90">
        <v>5331.3998849999998</v>
      </c>
      <c r="O32" s="90">
        <v>5051.2033599999895</v>
      </c>
      <c r="P32" s="90">
        <v>5439.6822385399746</v>
      </c>
      <c r="Q32" s="90">
        <v>6406.1724623999717</v>
      </c>
      <c r="R32" s="441">
        <v>-0.153862676764564</v>
      </c>
    </row>
    <row r="33" spans="1:35" ht="41.1" customHeight="1">
      <c r="A33" s="473" t="s">
        <v>1339</v>
      </c>
      <c r="B33" s="470">
        <v>837.64423636363665</v>
      </c>
      <c r="C33" s="438">
        <f t="shared" si="0"/>
        <v>837.64423636363665</v>
      </c>
      <c r="D33" s="438">
        <v>-0.18188440000311656</v>
      </c>
      <c r="E33" s="439">
        <f t="shared" si="1"/>
        <v>837.46235196363352</v>
      </c>
      <c r="H33" s="442" t="s">
        <v>210</v>
      </c>
      <c r="I33" s="714">
        <f>I34</f>
        <v>2557.1991000000107</v>
      </c>
      <c r="J33" s="539">
        <v>3241.4011675363558</v>
      </c>
      <c r="K33" s="82">
        <v>4277.2029047999986</v>
      </c>
      <c r="L33" s="82">
        <v>5752.4798485999991</v>
      </c>
      <c r="M33" s="83">
        <v>5604.5987314999993</v>
      </c>
      <c r="N33" s="83">
        <v>4501.5426049999996</v>
      </c>
      <c r="O33" s="83">
        <v>4682.9533599999895</v>
      </c>
      <c r="P33" s="83">
        <v>5402.2522385399743</v>
      </c>
      <c r="Q33" s="83">
        <v>6332.8624623999713</v>
      </c>
      <c r="R33" s="443">
        <v>-0.24216801501309104</v>
      </c>
      <c r="W33" s="806" t="s">
        <v>1342</v>
      </c>
      <c r="X33" s="806" t="s">
        <v>91</v>
      </c>
      <c r="AB33" s="806" t="s">
        <v>1342</v>
      </c>
      <c r="AC33" s="806" t="s">
        <v>3</v>
      </c>
      <c r="AD33"/>
      <c r="AG33" s="807" t="s">
        <v>1342</v>
      </c>
      <c r="AH33" s="807" t="s">
        <v>92</v>
      </c>
    </row>
    <row r="34" spans="1:35" ht="61.35" customHeight="1">
      <c r="A34" s="473" t="s">
        <v>1340</v>
      </c>
      <c r="B34" s="470">
        <v>134.58219999999997</v>
      </c>
      <c r="C34" s="438">
        <f t="shared" si="0"/>
        <v>134.58219999999997</v>
      </c>
      <c r="D34" s="438">
        <v>7.8476927000001808</v>
      </c>
      <c r="E34" s="439">
        <f t="shared" si="1"/>
        <v>142.42989270000015</v>
      </c>
      <c r="H34" s="444" t="s">
        <v>1367</v>
      </c>
      <c r="I34" s="712">
        <f>E7</f>
        <v>2557.1991000000107</v>
      </c>
      <c r="J34" s="700">
        <v>3241.3218175363559</v>
      </c>
      <c r="K34" s="85">
        <v>4188.4112460999986</v>
      </c>
      <c r="L34" s="85">
        <v>5592.3092960999993</v>
      </c>
      <c r="M34" s="91">
        <v>5387.7257344999989</v>
      </c>
      <c r="N34" s="91">
        <v>4404.5621899999996</v>
      </c>
      <c r="O34" s="91">
        <v>4578.5428299999894</v>
      </c>
      <c r="P34" s="91">
        <v>5111.0322275999742</v>
      </c>
      <c r="Q34" s="91">
        <v>6192.8217759999716</v>
      </c>
      <c r="R34" s="445">
        <v>-0.22612140329952479</v>
      </c>
      <c r="W34" s="213" t="s">
        <v>1344</v>
      </c>
      <c r="X34" s="213" t="s">
        <v>1368</v>
      </c>
      <c r="Y34" t="s">
        <v>1369</v>
      </c>
      <c r="AB34" s="213" t="s">
        <v>1344</v>
      </c>
      <c r="AC34" s="856" t="s">
        <v>1368</v>
      </c>
      <c r="AD34" t="s">
        <v>1370</v>
      </c>
      <c r="AG34" s="707" t="s">
        <v>1344</v>
      </c>
      <c r="AH34" s="859" t="s">
        <v>1368</v>
      </c>
      <c r="AI34" t="s">
        <v>1370</v>
      </c>
    </row>
    <row r="35" spans="1:35" ht="20.399999999999999" customHeight="1">
      <c r="A35" s="473" t="s">
        <v>1341</v>
      </c>
      <c r="B35" s="470">
        <v>46.650483333333334</v>
      </c>
      <c r="C35" s="438">
        <f t="shared" si="0"/>
        <v>46.650483333333334</v>
      </c>
      <c r="D35" s="438">
        <v>-1.9916787999999999</v>
      </c>
      <c r="E35" s="439">
        <f t="shared" si="1"/>
        <v>44.658804533333331</v>
      </c>
      <c r="H35" s="444" t="s">
        <v>1371</v>
      </c>
      <c r="I35" s="712">
        <f>E8</f>
        <v>101.27550000000002</v>
      </c>
      <c r="J35" s="700" t="s">
        <v>120</v>
      </c>
      <c r="K35" s="85">
        <v>87.959658700000006</v>
      </c>
      <c r="L35" s="85">
        <v>160.17055249999999</v>
      </c>
      <c r="M35" s="91">
        <v>216.872997</v>
      </c>
      <c r="N35" s="91">
        <v>96.980415000000022</v>
      </c>
      <c r="O35" s="91">
        <v>104.41053000000001</v>
      </c>
      <c r="P35" s="91">
        <v>291.22001094000001</v>
      </c>
      <c r="Q35" s="91">
        <v>140.0406864</v>
      </c>
      <c r="R35" s="445">
        <v>-1</v>
      </c>
      <c r="W35" s="213" t="s">
        <v>1345</v>
      </c>
      <c r="X35" s="213" t="s">
        <v>1266</v>
      </c>
      <c r="Y35" t="s">
        <v>1316</v>
      </c>
      <c r="AB35" s="213" t="s">
        <v>1345</v>
      </c>
      <c r="AC35" s="856" t="s">
        <v>1266</v>
      </c>
      <c r="AD35" t="s">
        <v>1372</v>
      </c>
      <c r="AG35" s="707" t="s">
        <v>1345</v>
      </c>
      <c r="AH35" s="859" t="s">
        <v>1266</v>
      </c>
      <c r="AI35" t="s">
        <v>1372</v>
      </c>
    </row>
    <row r="36" spans="1:35" ht="20.399999999999999" customHeight="1" thickBot="1">
      <c r="A36" s="474" t="s">
        <v>1343</v>
      </c>
      <c r="B36" s="470">
        <v>1221.1019749999998</v>
      </c>
      <c r="C36" s="438">
        <f t="shared" si="0"/>
        <v>1221.1019749999998</v>
      </c>
      <c r="D36" s="438">
        <v>21.621408100000419</v>
      </c>
      <c r="E36" s="439">
        <f t="shared" si="1"/>
        <v>1242.7233831000003</v>
      </c>
      <c r="H36" s="447" t="s">
        <v>222</v>
      </c>
      <c r="I36" s="713">
        <f>E6</f>
        <v>280.98090000000019</v>
      </c>
      <c r="J36" s="539">
        <v>473.7695770272727</v>
      </c>
      <c r="K36" s="82">
        <v>113.468987</v>
      </c>
      <c r="L36" s="82">
        <v>517.11465910000004</v>
      </c>
      <c r="M36" s="83">
        <v>430.08890910000002</v>
      </c>
      <c r="N36" s="83">
        <v>824.08228000000008</v>
      </c>
      <c r="O36" s="83">
        <v>364</v>
      </c>
      <c r="P36" s="83">
        <v>33.5</v>
      </c>
      <c r="Q36" s="83">
        <v>64.760000000000005</v>
      </c>
      <c r="R36" s="443">
        <v>3.1753221699888154</v>
      </c>
      <c r="W36" s="213" t="s">
        <v>1347</v>
      </c>
      <c r="X36" s="856" t="s">
        <v>1266</v>
      </c>
      <c r="Y36" t="s">
        <v>1348</v>
      </c>
      <c r="AB36" s="213" t="s">
        <v>1347</v>
      </c>
      <c r="AC36" s="856" t="s">
        <v>1266</v>
      </c>
      <c r="AD36" t="s">
        <v>1349</v>
      </c>
      <c r="AG36" s="213" t="s">
        <v>1347</v>
      </c>
      <c r="AH36" s="856" t="s">
        <v>1266</v>
      </c>
      <c r="AI36" t="s">
        <v>1349</v>
      </c>
    </row>
    <row r="37" spans="1:35" ht="30.6" customHeight="1" thickBot="1">
      <c r="A37" s="465" t="s">
        <v>53</v>
      </c>
      <c r="B37" s="466">
        <v>12426.052418939384</v>
      </c>
      <c r="C37" s="475">
        <f>C23+C29</f>
        <v>9736.3632310605954</v>
      </c>
      <c r="D37" s="475">
        <f t="shared" ref="D37:E37" si="3">D23+D29</f>
        <v>169.26907440000085</v>
      </c>
      <c r="E37" s="476">
        <f t="shared" si="3"/>
        <v>9905.6323054605964</v>
      </c>
      <c r="H37" s="447" t="s">
        <v>223</v>
      </c>
      <c r="I37" s="86" t="s">
        <v>120</v>
      </c>
      <c r="J37" s="541" t="s">
        <v>120</v>
      </c>
      <c r="K37" s="86" t="s">
        <v>120</v>
      </c>
      <c r="L37" s="86">
        <v>5.4950000000000001</v>
      </c>
      <c r="M37" s="86">
        <v>5.7675000000000001</v>
      </c>
      <c r="N37" s="95">
        <v>5.7750000000005457</v>
      </c>
      <c r="O37" s="95">
        <v>4.25</v>
      </c>
      <c r="P37" s="95">
        <v>3.9299999999999997</v>
      </c>
      <c r="Q37" s="95">
        <v>8.5500000000000007</v>
      </c>
      <c r="R37" s="443" t="s">
        <v>104</v>
      </c>
      <c r="W37" s="121" t="s">
        <v>42</v>
      </c>
      <c r="X37" s="121" t="s">
        <v>1350</v>
      </c>
      <c r="AB37" s="121" t="s">
        <v>42</v>
      </c>
      <c r="AC37" s="121" t="s">
        <v>1313</v>
      </c>
      <c r="AG37" s="121" t="s">
        <v>42</v>
      </c>
      <c r="AH37" s="121" t="s">
        <v>1313</v>
      </c>
    </row>
    <row r="38" spans="1:35" ht="32.1" customHeight="1">
      <c r="B38" s="178"/>
      <c r="H38" s="440" t="s">
        <v>224</v>
      </c>
      <c r="I38" s="717">
        <f>I22/I21</f>
        <v>0.60040129045352342</v>
      </c>
      <c r="J38" s="703">
        <v>62.494257038143111</v>
      </c>
      <c r="K38" s="96">
        <v>56.039288747388973</v>
      </c>
      <c r="L38" s="96">
        <v>53.25287146281957</v>
      </c>
      <c r="M38" s="97">
        <v>55.83037641793215</v>
      </c>
      <c r="N38" s="97">
        <v>64.559762390321737</v>
      </c>
      <c r="O38" s="97">
        <v>70.344062108847538</v>
      </c>
      <c r="P38" s="97">
        <v>72.131147540983605</v>
      </c>
      <c r="Q38" s="97">
        <v>74.303975504213213</v>
      </c>
      <c r="R38" s="441">
        <v>0.11518647782721714</v>
      </c>
      <c r="W38" s="852" t="s">
        <v>1330</v>
      </c>
      <c r="X38" s="46">
        <v>817.51260000000002</v>
      </c>
      <c r="AB38" s="852" t="s">
        <v>1330</v>
      </c>
      <c r="AC38" s="46">
        <v>1004.4228999999971</v>
      </c>
      <c r="AG38" s="852" t="s">
        <v>1330</v>
      </c>
      <c r="AH38" s="46">
        <v>1693.8435999999992</v>
      </c>
    </row>
    <row r="39" spans="1:35" ht="41.1" customHeight="1">
      <c r="B39" s="178"/>
      <c r="H39" s="450" t="s">
        <v>225</v>
      </c>
      <c r="I39" s="718">
        <f>(I23/(I23+I33))*100</f>
        <v>21.11946789614872</v>
      </c>
      <c r="J39" s="704">
        <v>24.016936832488074</v>
      </c>
      <c r="K39" s="86">
        <v>31.881044131558685</v>
      </c>
      <c r="L39" s="86">
        <v>25.798097759409831</v>
      </c>
      <c r="M39" s="98">
        <v>32.168985585042321</v>
      </c>
      <c r="N39" s="98">
        <v>38.590872277436361</v>
      </c>
      <c r="O39" s="98">
        <v>34.006308638932033</v>
      </c>
      <c r="P39" s="98">
        <v>35.589860140620345</v>
      </c>
      <c r="Q39" s="98">
        <v>33.819479512897161</v>
      </c>
      <c r="R39" s="443">
        <v>-0.24667031815579776</v>
      </c>
      <c r="W39" s="17" t="s">
        <v>1333</v>
      </c>
      <c r="X39">
        <v>175.12360000000001</v>
      </c>
      <c r="AB39" s="17" t="s">
        <v>1333</v>
      </c>
      <c r="AC39">
        <v>154.88789999999986</v>
      </c>
      <c r="AG39" s="17" t="s">
        <v>1333</v>
      </c>
      <c r="AH39">
        <v>160.53299999999996</v>
      </c>
    </row>
    <row r="40" spans="1:35" ht="20.399999999999999">
      <c r="B40" s="449"/>
      <c r="C40" s="449"/>
      <c r="D40" s="449"/>
      <c r="E40" s="449"/>
      <c r="H40" s="450" t="s">
        <v>226</v>
      </c>
      <c r="I40" s="719">
        <f>(I27/(I27+I36))*100</f>
        <v>69.127669937634721</v>
      </c>
      <c r="J40" s="704">
        <v>72.398979312321572</v>
      </c>
      <c r="K40" s="86">
        <v>84.311519908181978</v>
      </c>
      <c r="L40" s="86">
        <v>71.276504210507966</v>
      </c>
      <c r="M40" s="98">
        <v>59.436563443334457</v>
      </c>
      <c r="N40" s="98">
        <v>61.921442537893171</v>
      </c>
      <c r="O40" s="98">
        <v>93.929888848760569</v>
      </c>
      <c r="P40" s="98">
        <v>99.633458454613105</v>
      </c>
      <c r="Q40" s="98">
        <v>99.512745192924825</v>
      </c>
      <c r="R40" s="443">
        <v>-0.14129196827234947</v>
      </c>
      <c r="W40" s="17" t="s">
        <v>1339</v>
      </c>
      <c r="X40">
        <v>384.86099999999999</v>
      </c>
      <c r="AB40" s="17" t="s">
        <v>1339</v>
      </c>
      <c r="AC40">
        <v>505.82649999999722</v>
      </c>
      <c r="AG40" s="17" t="s">
        <v>1339</v>
      </c>
      <c r="AH40">
        <v>969.61679999999922</v>
      </c>
    </row>
    <row r="41" spans="1:35" ht="30.6" customHeight="1" thickBot="1">
      <c r="B41" s="449"/>
      <c r="C41" s="449"/>
      <c r="D41" s="449"/>
      <c r="E41" s="449"/>
      <c r="H41" s="451" t="s">
        <v>1373</v>
      </c>
      <c r="I41" s="720">
        <v>100</v>
      </c>
      <c r="J41" s="705">
        <v>100</v>
      </c>
      <c r="K41" s="884">
        <v>99.968375566501308</v>
      </c>
      <c r="L41" s="884">
        <v>99.858035535937631</v>
      </c>
      <c r="M41" s="885">
        <v>99.867496320218024</v>
      </c>
      <c r="N41" s="885">
        <v>99.895930833677895</v>
      </c>
      <c r="O41" s="885">
        <v>99.892127872888565</v>
      </c>
      <c r="P41" s="885">
        <v>99.802832588311432</v>
      </c>
      <c r="Q41" s="885">
        <v>99.586866710154382</v>
      </c>
      <c r="R41" s="452">
        <v>3.1634437710414964E-4</v>
      </c>
      <c r="W41" s="17" t="s">
        <v>1340</v>
      </c>
      <c r="X41">
        <v>22.706299999999999</v>
      </c>
      <c r="AB41" s="17" t="s">
        <v>1340</v>
      </c>
      <c r="AC41">
        <v>69.070200000000028</v>
      </c>
      <c r="AG41" s="17" t="s">
        <v>1340</v>
      </c>
      <c r="AH41">
        <v>80.313199999999995</v>
      </c>
    </row>
    <row r="42" spans="1:35">
      <c r="B42" s="449"/>
      <c r="C42" s="449"/>
      <c r="D42" s="449"/>
      <c r="E42" s="449"/>
      <c r="R42" s="178"/>
      <c r="W42" s="17" t="s">
        <v>1341</v>
      </c>
      <c r="X42">
        <v>1.0855999999999999</v>
      </c>
      <c r="AB42" s="17" t="s">
        <v>1341</v>
      </c>
      <c r="AC42">
        <v>33.610699999999987</v>
      </c>
      <c r="AG42" s="17" t="s">
        <v>1341</v>
      </c>
      <c r="AH42">
        <v>5.2264999999999979</v>
      </c>
    </row>
    <row r="43" spans="1:35">
      <c r="W43" s="17" t="s">
        <v>1343</v>
      </c>
      <c r="X43">
        <v>233.73609999999999</v>
      </c>
      <c r="AB43" s="17" t="s">
        <v>1343</v>
      </c>
      <c r="AC43">
        <v>241.02760000000001</v>
      </c>
      <c r="AG43" s="17" t="s">
        <v>1343</v>
      </c>
      <c r="AH43">
        <v>478.15409999999991</v>
      </c>
    </row>
    <row r="44" spans="1:35">
      <c r="W44" s="852" t="s">
        <v>1091</v>
      </c>
      <c r="X44" s="46">
        <v>847.29020000000003</v>
      </c>
      <c r="AB44" s="852" t="s">
        <v>1091</v>
      </c>
      <c r="AC44" s="46">
        <v>941.39959999999928</v>
      </c>
      <c r="AG44" s="852" t="s">
        <v>1091</v>
      </c>
      <c r="AH44" s="46">
        <v>1468.5150999999992</v>
      </c>
    </row>
    <row r="45" spans="1:35">
      <c r="W45" s="17" t="s">
        <v>1323</v>
      </c>
      <c r="X45">
        <v>6.52</v>
      </c>
      <c r="AB45" s="17" t="s">
        <v>1323</v>
      </c>
      <c r="AC45">
        <v>29.71</v>
      </c>
      <c r="AG45" s="17" t="s">
        <v>1323</v>
      </c>
      <c r="AH45">
        <v>76.734999999999999</v>
      </c>
    </row>
    <row r="46" spans="1:35">
      <c r="W46" s="17" t="s">
        <v>1325</v>
      </c>
      <c r="X46">
        <v>840.77020000000005</v>
      </c>
      <c r="AB46" s="17" t="s">
        <v>1358</v>
      </c>
      <c r="AC46">
        <v>1.6E-2</v>
      </c>
      <c r="AG46" s="17" t="s">
        <v>1325</v>
      </c>
      <c r="AH46">
        <v>1391.7700999999993</v>
      </c>
    </row>
    <row r="47" spans="1:35">
      <c r="W47" s="853" t="s">
        <v>53</v>
      </c>
      <c r="X47" s="851">
        <v>1664.8027999999999</v>
      </c>
      <c r="AB47" s="17" t="s">
        <v>1325</v>
      </c>
      <c r="AC47">
        <v>911.67059999999924</v>
      </c>
      <c r="AG47" s="17" t="s">
        <v>1362</v>
      </c>
      <c r="AH47">
        <v>0.01</v>
      </c>
    </row>
    <row r="48" spans="1:35">
      <c r="AB48" s="17" t="s">
        <v>1362</v>
      </c>
      <c r="AC48">
        <v>3.0000000000000001E-3</v>
      </c>
      <c r="AG48" s="853" t="s">
        <v>53</v>
      </c>
      <c r="AH48" s="851">
        <v>3162.3586999999989</v>
      </c>
    </row>
    <row r="49" spans="23:34">
      <c r="AB49" s="853" t="s">
        <v>53</v>
      </c>
      <c r="AC49" s="851">
        <v>1945.8224999999964</v>
      </c>
    </row>
    <row r="50" spans="23:34">
      <c r="W50" s="853" t="s">
        <v>1374</v>
      </c>
      <c r="X50" s="851">
        <v>173.8905</v>
      </c>
    </row>
    <row r="51" spans="23:34">
      <c r="AG51" s="853" t="s">
        <v>1375</v>
      </c>
      <c r="AH51" s="851">
        <v>101.01040000000003</v>
      </c>
    </row>
    <row r="52" spans="23:34">
      <c r="X52" s="178">
        <f>X28+X47+X50</f>
        <v>7566.1089999999995</v>
      </c>
      <c r="AB52" s="853" t="s">
        <v>1375</v>
      </c>
      <c r="AC52" s="851">
        <v>179.80420000000018</v>
      </c>
    </row>
    <row r="53" spans="23:34">
      <c r="AH53" s="178">
        <f>AH29+AH48+AH51</f>
        <v>9955.6873000000051</v>
      </c>
    </row>
    <row r="54" spans="23:34">
      <c r="AC54" s="178">
        <f>AC28+AC49+AC52</f>
        <v>9699.3631000000314</v>
      </c>
    </row>
  </sheetData>
  <phoneticPr fontId="353" type="noConversion"/>
  <pageMargins left="0.7" right="0.7" top="0.75" bottom="0.75" header="0.3" footer="0.3"/>
  <pageSetup paperSize="9" orientation="portrait" r:id="rId3"/>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00B050"/>
  </sheetPr>
  <dimension ref="A1:O48"/>
  <sheetViews>
    <sheetView zoomScale="80" zoomScaleNormal="80" workbookViewId="0">
      <selection activeCell="H15" sqref="H15"/>
    </sheetView>
  </sheetViews>
  <sheetFormatPr defaultColWidth="8.8984375" defaultRowHeight="13.8"/>
  <cols>
    <col min="1" max="1" width="38.5" bestFit="1" customWidth="1"/>
    <col min="2" max="2" width="23.09765625" bestFit="1" customWidth="1"/>
    <col min="3" max="10" width="12.59765625" bestFit="1" customWidth="1"/>
    <col min="11" max="12" width="11.09765625" bestFit="1" customWidth="1"/>
    <col min="13" max="13" width="20.59765625" customWidth="1"/>
    <col min="14" max="14" width="13.59765625" bestFit="1" customWidth="1"/>
    <col min="15" max="15" width="10.8984375" bestFit="1" customWidth="1"/>
  </cols>
  <sheetData>
    <row r="1" spans="1:14">
      <c r="A1" s="647" t="s">
        <v>91</v>
      </c>
      <c r="B1" s="647" t="s">
        <v>1199</v>
      </c>
    </row>
    <row r="2" spans="1:14">
      <c r="A2" t="s">
        <v>1376</v>
      </c>
      <c r="B2" t="s">
        <v>1268</v>
      </c>
    </row>
    <row r="3" spans="1:14">
      <c r="B3">
        <v>2020</v>
      </c>
      <c r="H3">
        <v>2021</v>
      </c>
      <c r="N3" t="s">
        <v>53</v>
      </c>
    </row>
    <row r="4" spans="1:14">
      <c r="A4" s="36" t="s">
        <v>42</v>
      </c>
      <c r="B4" s="36" t="s">
        <v>1377</v>
      </c>
      <c r="C4" s="36" t="s">
        <v>1378</v>
      </c>
      <c r="D4" s="36" t="s">
        <v>1379</v>
      </c>
      <c r="E4" s="36" t="s">
        <v>1380</v>
      </c>
      <c r="F4" s="36" t="s">
        <v>1381</v>
      </c>
      <c r="G4" s="36" t="s">
        <v>1382</v>
      </c>
      <c r="H4" s="36" t="s">
        <v>1383</v>
      </c>
      <c r="I4" s="36" t="s">
        <v>1384</v>
      </c>
      <c r="J4" s="36" t="s">
        <v>1385</v>
      </c>
      <c r="K4" s="36" t="s">
        <v>1386</v>
      </c>
      <c r="L4" s="36" t="s">
        <v>1387</v>
      </c>
      <c r="M4" s="36" t="s">
        <v>1388</v>
      </c>
      <c r="N4" s="36"/>
    </row>
    <row r="5" spans="1:14">
      <c r="A5" s="2" t="s">
        <v>1389</v>
      </c>
      <c r="B5" s="114">
        <v>202974.67670000007</v>
      </c>
      <c r="C5" s="114">
        <v>234190.32190000016</v>
      </c>
      <c r="D5" s="114">
        <v>200631.94400000016</v>
      </c>
      <c r="E5" s="114">
        <v>239336.42260000005</v>
      </c>
      <c r="F5" s="114">
        <v>301725.55720000016</v>
      </c>
      <c r="G5" s="114">
        <v>278581.7044000001</v>
      </c>
      <c r="H5" s="114">
        <v>137588.11110000001</v>
      </c>
      <c r="I5" s="114">
        <v>351032.82760000008</v>
      </c>
      <c r="J5" s="114">
        <v>723345.43829999957</v>
      </c>
      <c r="K5" s="114">
        <v>820392.61969999748</v>
      </c>
      <c r="L5" s="114">
        <f>SUM(L6:L7)</f>
        <v>1042009.8099999999</v>
      </c>
      <c r="M5" s="114">
        <f>SUM(M6:M7)</f>
        <v>500355.11</v>
      </c>
      <c r="N5" s="114">
        <f>SUM(B5:M5)</f>
        <v>5032164.5434999978</v>
      </c>
    </row>
    <row r="6" spans="1:14">
      <c r="A6" t="s">
        <v>1390</v>
      </c>
      <c r="B6" s="8">
        <v>173310.11670000007</v>
      </c>
      <c r="C6" s="8">
        <v>209173.61550000013</v>
      </c>
      <c r="D6" s="8">
        <v>188225.26120000015</v>
      </c>
      <c r="E6" s="8">
        <v>223868.44090000005</v>
      </c>
      <c r="F6" s="8">
        <v>275721.05450000014</v>
      </c>
      <c r="G6" s="8">
        <v>219949.88400000011</v>
      </c>
      <c r="H6" s="8">
        <v>99938.97040000002</v>
      </c>
      <c r="I6" s="8">
        <v>259033.0596000001</v>
      </c>
      <c r="J6" s="8">
        <v>399574.20709999936</v>
      </c>
      <c r="K6" s="8">
        <v>448262.4251999986</v>
      </c>
      <c r="L6" s="8">
        <v>638879.32999999996</v>
      </c>
      <c r="M6" s="8">
        <v>420800.22</v>
      </c>
      <c r="N6" s="8">
        <f t="shared" ref="N6:N12" si="0">SUM(B6:M6)</f>
        <v>3556736.5850999989</v>
      </c>
    </row>
    <row r="7" spans="1:14">
      <c r="A7" t="s">
        <v>1391</v>
      </c>
      <c r="B7" s="8">
        <v>29664.560000000005</v>
      </c>
      <c r="C7" s="8">
        <v>25016.70640000001</v>
      </c>
      <c r="D7" s="8">
        <v>12406.682800000002</v>
      </c>
      <c r="E7" s="8">
        <v>15467.981699999991</v>
      </c>
      <c r="F7" s="8">
        <v>26004.502699999997</v>
      </c>
      <c r="G7" s="8">
        <v>58631.820400000019</v>
      </c>
      <c r="H7" s="8">
        <v>37649.140699999982</v>
      </c>
      <c r="I7" s="8">
        <v>91999.767999999996</v>
      </c>
      <c r="J7" s="8">
        <v>323771.23120000021</v>
      </c>
      <c r="K7" s="8">
        <v>372130.19449999888</v>
      </c>
      <c r="L7" s="8">
        <v>403130.48</v>
      </c>
      <c r="M7" s="8">
        <v>79554.89</v>
      </c>
      <c r="N7" s="8">
        <f t="shared" si="0"/>
        <v>1475427.958399999</v>
      </c>
    </row>
    <row r="8" spans="1:14">
      <c r="A8" s="2" t="s">
        <v>571</v>
      </c>
      <c r="B8" s="114">
        <v>81104.868900000001</v>
      </c>
      <c r="C8" s="114">
        <v>133457.00120000003</v>
      </c>
      <c r="D8" s="114">
        <v>25540.215</v>
      </c>
      <c r="E8" s="114">
        <v>30018.703600000001</v>
      </c>
      <c r="F8" s="114">
        <v>23736.575199999999</v>
      </c>
      <c r="G8" s="114">
        <v>110078.25619999999</v>
      </c>
      <c r="H8" s="114">
        <v>22706.903999999999</v>
      </c>
      <c r="I8" s="114">
        <v>959.00519999999995</v>
      </c>
      <c r="J8" s="114">
        <v>44220.161099999998</v>
      </c>
      <c r="K8" s="114">
        <v>6527.6955000000007</v>
      </c>
      <c r="L8" s="114">
        <f>SUM(L9:L11)</f>
        <v>4942.8999999999996</v>
      </c>
      <c r="M8" s="114">
        <f>SUM(M9:M11)</f>
        <v>57345.7</v>
      </c>
      <c r="N8" s="114">
        <f t="shared" si="0"/>
        <v>540637.98590000009</v>
      </c>
    </row>
    <row r="9" spans="1:14">
      <c r="A9" t="s">
        <v>1392</v>
      </c>
      <c r="B9" s="8">
        <v>78133.868900000001</v>
      </c>
      <c r="C9" s="8">
        <v>128888.72560000002</v>
      </c>
      <c r="D9" s="8">
        <v>22114.008300000001</v>
      </c>
      <c r="E9" s="8">
        <v>27854.5016</v>
      </c>
      <c r="F9" s="8">
        <v>23736.575199999999</v>
      </c>
      <c r="G9" s="8">
        <v>104096.25619999999</v>
      </c>
      <c r="H9" s="8">
        <v>22706.903999999999</v>
      </c>
      <c r="I9" s="8">
        <v>0</v>
      </c>
      <c r="J9" s="8">
        <v>34685.602800000001</v>
      </c>
      <c r="K9" s="8">
        <v>0</v>
      </c>
      <c r="L9" s="8">
        <v>0</v>
      </c>
      <c r="M9" s="8">
        <v>42654</v>
      </c>
      <c r="N9" s="8">
        <f t="shared" si="0"/>
        <v>484870.44259999995</v>
      </c>
    </row>
    <row r="10" spans="1:14">
      <c r="A10" t="s">
        <v>1390</v>
      </c>
      <c r="B10" s="8">
        <v>2971</v>
      </c>
      <c r="C10" s="8">
        <v>4568.2755999999999</v>
      </c>
      <c r="D10" s="8">
        <v>3426.2066999999997</v>
      </c>
      <c r="E10" s="8">
        <v>2164.2020000000002</v>
      </c>
      <c r="F10" s="8">
        <v>0</v>
      </c>
      <c r="G10" s="8">
        <v>5982</v>
      </c>
      <c r="H10" s="8">
        <v>0</v>
      </c>
      <c r="I10" s="8">
        <v>0</v>
      </c>
      <c r="J10" s="8">
        <v>9534.5583000000006</v>
      </c>
      <c r="K10" s="8">
        <v>4293.1704000000009</v>
      </c>
      <c r="L10" s="8">
        <v>4463.3999999999996</v>
      </c>
      <c r="M10" s="8">
        <v>14212.2</v>
      </c>
      <c r="N10" s="8">
        <f t="shared" si="0"/>
        <v>51615.013000000006</v>
      </c>
    </row>
    <row r="11" spans="1:14">
      <c r="A11" t="s">
        <v>1391</v>
      </c>
      <c r="B11" s="8">
        <v>0</v>
      </c>
      <c r="C11" s="8">
        <v>0</v>
      </c>
      <c r="D11" s="8">
        <v>0</v>
      </c>
      <c r="E11" s="8">
        <v>0</v>
      </c>
      <c r="F11" s="8">
        <v>0</v>
      </c>
      <c r="G11" s="8">
        <v>0</v>
      </c>
      <c r="H11" s="8">
        <v>0</v>
      </c>
      <c r="I11" s="8">
        <v>959.00519999999995</v>
      </c>
      <c r="J11" s="8">
        <v>0</v>
      </c>
      <c r="K11" s="8">
        <v>2234.5250999999998</v>
      </c>
      <c r="L11" s="8">
        <v>479.5</v>
      </c>
      <c r="M11" s="8">
        <v>479.5</v>
      </c>
      <c r="N11" s="8">
        <f t="shared" si="0"/>
        <v>4152.5303000000004</v>
      </c>
    </row>
    <row r="12" spans="1:14">
      <c r="A12" s="2" t="s">
        <v>53</v>
      </c>
      <c r="B12" s="114">
        <v>284079.54560000007</v>
      </c>
      <c r="C12" s="114">
        <v>367647.32310000015</v>
      </c>
      <c r="D12" s="114">
        <v>226172.15900000019</v>
      </c>
      <c r="E12" s="114">
        <v>269355.12620000006</v>
      </c>
      <c r="F12" s="114">
        <v>325462.13240000018</v>
      </c>
      <c r="G12" s="114">
        <v>388659.96060000011</v>
      </c>
      <c r="H12" s="114">
        <v>160295.01510000002</v>
      </c>
      <c r="I12" s="114">
        <v>351991.83280000009</v>
      </c>
      <c r="J12" s="114">
        <v>767565.5993999996</v>
      </c>
      <c r="K12" s="114">
        <v>826920.31519999739</v>
      </c>
      <c r="L12" s="114">
        <f>SUM(L8,L5)</f>
        <v>1046952.71</v>
      </c>
      <c r="M12" s="114">
        <f>SUM(M8,M5)</f>
        <v>557700.80999999994</v>
      </c>
      <c r="N12" s="114">
        <f t="shared" si="0"/>
        <v>5572802.5293999976</v>
      </c>
    </row>
    <row r="14" spans="1:14">
      <c r="A14" t="s">
        <v>1393</v>
      </c>
    </row>
    <row r="16" spans="1:14">
      <c r="A16" t="s">
        <v>1394</v>
      </c>
      <c r="B16" s="113">
        <v>44021</v>
      </c>
    </row>
    <row r="17" spans="1:15">
      <c r="A17" s="80" t="s">
        <v>1395</v>
      </c>
      <c r="B17" s="80" t="s">
        <v>1396</v>
      </c>
    </row>
    <row r="18" spans="1:15">
      <c r="A18" t="s">
        <v>78</v>
      </c>
      <c r="B18" t="s">
        <v>1397</v>
      </c>
    </row>
    <row r="20" spans="1:15">
      <c r="A20" t="s">
        <v>1376</v>
      </c>
      <c r="B20" t="s">
        <v>1268</v>
      </c>
    </row>
    <row r="21" spans="1:15">
      <c r="B21" t="s">
        <v>1398</v>
      </c>
      <c r="H21" t="s">
        <v>1399</v>
      </c>
      <c r="N21" t="s">
        <v>53</v>
      </c>
    </row>
    <row r="22" spans="1:15">
      <c r="A22" s="36" t="s">
        <v>42</v>
      </c>
      <c r="B22" s="36" t="s">
        <v>1377</v>
      </c>
      <c r="C22" s="36" t="s">
        <v>1378</v>
      </c>
      <c r="D22" s="36" t="s">
        <v>1379</v>
      </c>
      <c r="E22" s="36" t="s">
        <v>1380</v>
      </c>
      <c r="F22" s="36" t="s">
        <v>1381</v>
      </c>
      <c r="G22" s="36" t="s">
        <v>1382</v>
      </c>
      <c r="H22" s="36" t="s">
        <v>1383</v>
      </c>
      <c r="I22" s="36" t="s">
        <v>1384</v>
      </c>
      <c r="J22" s="36" t="s">
        <v>1385</v>
      </c>
      <c r="K22" s="36" t="s">
        <v>1386</v>
      </c>
      <c r="L22" s="36" t="s">
        <v>1387</v>
      </c>
      <c r="M22" s="36" t="s">
        <v>1388</v>
      </c>
      <c r="N22" s="36"/>
    </row>
    <row r="23" spans="1:15">
      <c r="A23" s="2" t="s">
        <v>1389</v>
      </c>
      <c r="B23" s="114">
        <v>4119967.1298042098</v>
      </c>
      <c r="C23" s="114">
        <v>4180733.5109384009</v>
      </c>
      <c r="D23" s="114">
        <v>5337617.8830339611</v>
      </c>
      <c r="E23" s="114">
        <v>3765794.9547386821</v>
      </c>
      <c r="F23" s="114">
        <v>3530631.5331999813</v>
      </c>
      <c r="G23" s="114">
        <v>2115792.8903777339</v>
      </c>
      <c r="H23" s="114">
        <v>1362139.4119149405</v>
      </c>
      <c r="I23" s="114">
        <v>2998938.7142602699</v>
      </c>
      <c r="J23" s="114">
        <v>2087360.8701162781</v>
      </c>
      <c r="K23" s="114">
        <v>119620.95369117596</v>
      </c>
      <c r="L23" s="114">
        <v>113234.81160878223</v>
      </c>
      <c r="M23" s="114">
        <v>166834.03121270583</v>
      </c>
      <c r="N23" s="114">
        <v>29898666.694897123</v>
      </c>
      <c r="O23" s="240"/>
    </row>
    <row r="24" spans="1:15">
      <c r="A24" t="s">
        <v>1390</v>
      </c>
      <c r="B24" s="8">
        <v>2139520.7202928895</v>
      </c>
      <c r="C24" s="8">
        <v>2270755.2770384336</v>
      </c>
      <c r="D24" s="8">
        <v>2959057.4448339427</v>
      </c>
      <c r="E24" s="8">
        <v>2085293.8492647377</v>
      </c>
      <c r="F24" s="8">
        <v>2098234.7911999859</v>
      </c>
      <c r="G24" s="8">
        <v>1216407.5666777259</v>
      </c>
      <c r="H24" s="8">
        <v>795293.766814937</v>
      </c>
      <c r="I24" s="8">
        <v>1592175.6220375472</v>
      </c>
      <c r="J24" s="8">
        <v>1372803.3654708189</v>
      </c>
      <c r="K24" s="8">
        <v>87858.489657085171</v>
      </c>
      <c r="L24" s="8">
        <v>93706.507638967145</v>
      </c>
      <c r="M24" s="8">
        <v>124122.40321270579</v>
      </c>
      <c r="N24" s="8">
        <v>16835229.804139778</v>
      </c>
    </row>
    <row r="25" spans="1:15">
      <c r="A25" t="s">
        <v>1391</v>
      </c>
      <c r="B25" s="8">
        <v>1980446.4095113205</v>
      </c>
      <c r="C25" s="8">
        <v>1909978.2338999673</v>
      </c>
      <c r="D25" s="8">
        <v>2378560.4382000188</v>
      </c>
      <c r="E25" s="8">
        <v>1680501.1054739445</v>
      </c>
      <c r="F25" s="8">
        <v>1432396.7419999954</v>
      </c>
      <c r="G25" s="8">
        <v>899385.32370000787</v>
      </c>
      <c r="H25" s="8">
        <v>566845.64510000334</v>
      </c>
      <c r="I25" s="8">
        <v>1406763.0922227227</v>
      </c>
      <c r="J25" s="8">
        <v>714557.50464545912</v>
      </c>
      <c r="K25" s="8">
        <v>31762.464034090786</v>
      </c>
      <c r="L25" s="8">
        <v>19528.303969815079</v>
      </c>
      <c r="M25" s="8">
        <v>42711.628000000048</v>
      </c>
      <c r="N25" s="8">
        <v>13063436.890757347</v>
      </c>
    </row>
    <row r="26" spans="1:15">
      <c r="A26" s="2" t="s">
        <v>571</v>
      </c>
      <c r="B26" s="114">
        <v>2151328.0253000027</v>
      </c>
      <c r="C26" s="114">
        <v>2149703.8004000015</v>
      </c>
      <c r="D26" s="114">
        <v>2734430.1903999997</v>
      </c>
      <c r="E26" s="114">
        <v>2937097.8969000024</v>
      </c>
      <c r="F26" s="114">
        <v>3721227.9275999926</v>
      </c>
      <c r="G26" s="114">
        <v>1265931.9853000005</v>
      </c>
      <c r="H26" s="114">
        <v>1204928.5260000005</v>
      </c>
      <c r="I26" s="114">
        <v>1756254.5693000024</v>
      </c>
      <c r="J26" s="114">
        <v>452840.31950000004</v>
      </c>
      <c r="K26" s="114">
        <v>92384.459000000017</v>
      </c>
      <c r="L26" s="114">
        <v>111836.41099999998</v>
      </c>
      <c r="M26" s="114">
        <v>97440.919199999975</v>
      </c>
      <c r="N26" s="114">
        <v>18675405.029899999</v>
      </c>
    </row>
    <row r="27" spans="1:15">
      <c r="A27" t="s">
        <v>1392</v>
      </c>
      <c r="B27" s="8">
        <v>1906219.8329000028</v>
      </c>
      <c r="C27" s="8">
        <v>1873252.0997000011</v>
      </c>
      <c r="D27" s="8">
        <v>2390816.2938999995</v>
      </c>
      <c r="E27" s="8">
        <v>2579901.6377000022</v>
      </c>
      <c r="F27" s="8">
        <v>3326994.0076999925</v>
      </c>
      <c r="G27" s="8">
        <v>1183852.5666000005</v>
      </c>
      <c r="H27" s="8">
        <v>1044236.9935000007</v>
      </c>
      <c r="I27" s="8">
        <v>1592195.1790000023</v>
      </c>
      <c r="J27" s="8">
        <v>407858.41050000006</v>
      </c>
      <c r="K27" s="8">
        <v>81244.354300000021</v>
      </c>
      <c r="L27" s="8">
        <v>104439.32619999998</v>
      </c>
      <c r="M27" s="8">
        <v>94383.744799999986</v>
      </c>
      <c r="N27" s="8">
        <v>16585394.446799999</v>
      </c>
    </row>
    <row r="28" spans="1:15">
      <c r="A28" t="s">
        <v>1390</v>
      </c>
      <c r="B28" s="8">
        <v>226192.14849999998</v>
      </c>
      <c r="C28" s="8">
        <v>261168.44970000008</v>
      </c>
      <c r="D28" s="8">
        <v>315132.58490000019</v>
      </c>
      <c r="E28" s="8">
        <v>318647.94780000002</v>
      </c>
      <c r="F28" s="8">
        <v>356947.14700000035</v>
      </c>
      <c r="G28" s="8">
        <v>71461.406799999997</v>
      </c>
      <c r="H28" s="8">
        <v>143960.46519999995</v>
      </c>
      <c r="I28" s="8">
        <v>145450.23189999998</v>
      </c>
      <c r="J28" s="8">
        <v>41929.765900000006</v>
      </c>
      <c r="K28" s="8">
        <v>6047.4781000000003</v>
      </c>
      <c r="L28" s="8">
        <v>7397.0848000000005</v>
      </c>
      <c r="M28" s="8">
        <v>2556.4735000000001</v>
      </c>
      <c r="N28" s="8">
        <v>1896891.1841000007</v>
      </c>
    </row>
    <row r="29" spans="1:15">
      <c r="A29" t="s">
        <v>1391</v>
      </c>
      <c r="B29" s="8">
        <v>18916.043899999997</v>
      </c>
      <c r="C29" s="8">
        <v>15283.250999999997</v>
      </c>
      <c r="D29" s="8">
        <v>28481.31159999999</v>
      </c>
      <c r="E29" s="8">
        <v>38548.311399999991</v>
      </c>
      <c r="F29" s="8">
        <v>37286.772899999974</v>
      </c>
      <c r="G29" s="8">
        <v>10618.011900000001</v>
      </c>
      <c r="H29" s="8">
        <v>16731.067300000002</v>
      </c>
      <c r="I29" s="8">
        <v>18609.158399999997</v>
      </c>
      <c r="J29" s="8">
        <v>3052.1430999999998</v>
      </c>
      <c r="K29" s="8">
        <v>5092.6265999999996</v>
      </c>
      <c r="L29" s="8"/>
      <c r="M29" s="8">
        <v>500.70089999999999</v>
      </c>
      <c r="N29" s="8">
        <v>193119.39899999992</v>
      </c>
    </row>
    <row r="30" spans="1:15">
      <c r="A30" s="2" t="s">
        <v>53</v>
      </c>
      <c r="B30" s="114">
        <v>6271295.1551042125</v>
      </c>
      <c r="C30" s="114">
        <v>6330437.3113384023</v>
      </c>
      <c r="D30" s="114">
        <v>8072048.0734339608</v>
      </c>
      <c r="E30" s="114">
        <v>6702892.851638685</v>
      </c>
      <c r="F30" s="114">
        <v>7251859.4607999735</v>
      </c>
      <c r="G30" s="114">
        <v>3381724.8756777341</v>
      </c>
      <c r="H30" s="114">
        <v>2567067.9379149415</v>
      </c>
      <c r="I30" s="114">
        <v>4755193.2835602723</v>
      </c>
      <c r="J30" s="114">
        <v>2540201.1896162783</v>
      </c>
      <c r="K30" s="114">
        <v>212005.41269117597</v>
      </c>
      <c r="L30" s="114">
        <v>225071.22260878223</v>
      </c>
      <c r="M30" s="114">
        <v>264274.95041270583</v>
      </c>
      <c r="N30" s="114">
        <v>48574071.724797122</v>
      </c>
    </row>
    <row r="33" spans="1:14">
      <c r="A33" t="s">
        <v>78</v>
      </c>
      <c r="B33" t="s">
        <v>1397</v>
      </c>
    </row>
    <row r="35" spans="1:14">
      <c r="A35" t="s">
        <v>1400</v>
      </c>
      <c r="B35" t="s">
        <v>1268</v>
      </c>
    </row>
    <row r="36" spans="1:14">
      <c r="B36" t="s">
        <v>1398</v>
      </c>
      <c r="H36" t="s">
        <v>1399</v>
      </c>
      <c r="N36" t="s">
        <v>53</v>
      </c>
    </row>
    <row r="37" spans="1:14">
      <c r="A37" s="36" t="s">
        <v>42</v>
      </c>
      <c r="B37" s="36" t="s">
        <v>1377</v>
      </c>
      <c r="C37" s="36" t="s">
        <v>1378</v>
      </c>
      <c r="D37" s="36" t="s">
        <v>1379</v>
      </c>
      <c r="E37" s="36" t="s">
        <v>1380</v>
      </c>
      <c r="F37" s="36" t="s">
        <v>1381</v>
      </c>
      <c r="G37" s="36" t="s">
        <v>1382</v>
      </c>
      <c r="H37" s="36" t="s">
        <v>1383</v>
      </c>
      <c r="I37" s="36" t="s">
        <v>1384</v>
      </c>
      <c r="J37" s="36" t="s">
        <v>1385</v>
      </c>
      <c r="K37" s="36" t="s">
        <v>1386</v>
      </c>
      <c r="L37" s="36" t="s">
        <v>1387</v>
      </c>
      <c r="M37" s="36" t="s">
        <v>1388</v>
      </c>
      <c r="N37" s="36"/>
    </row>
    <row r="38" spans="1:14">
      <c r="A38" s="2" t="s">
        <v>1389</v>
      </c>
      <c r="B38" s="480">
        <v>816.58271547079562</v>
      </c>
      <c r="C38" s="480">
        <v>819.77825077957004</v>
      </c>
      <c r="D38" s="480">
        <v>1041.3045194472841</v>
      </c>
      <c r="E38" s="480">
        <v>734.87217244344674</v>
      </c>
      <c r="F38" s="480">
        <v>676.272981145941</v>
      </c>
      <c r="G38" s="480">
        <v>408.90770342529788</v>
      </c>
      <c r="H38" s="480">
        <v>262.17243065065736</v>
      </c>
      <c r="I38" s="480">
        <v>591.30329792551777</v>
      </c>
      <c r="J38" s="480">
        <v>388.07850581656123</v>
      </c>
      <c r="K38" s="480">
        <v>21.424200859894832</v>
      </c>
      <c r="L38" s="480">
        <v>19.344937792914394</v>
      </c>
      <c r="M38" s="480">
        <v>29.739208092072147</v>
      </c>
      <c r="N38" s="480">
        <v>5809.7809238499531</v>
      </c>
    </row>
    <row r="39" spans="1:14">
      <c r="A39" t="s">
        <v>1390</v>
      </c>
      <c r="B39" s="198">
        <v>332.75965762715254</v>
      </c>
      <c r="C39" s="198">
        <v>353.17056823778478</v>
      </c>
      <c r="D39" s="198">
        <v>460.22220439501484</v>
      </c>
      <c r="E39" s="198">
        <v>324.32575237614384</v>
      </c>
      <c r="F39" s="198">
        <v>326.33845707533271</v>
      </c>
      <c r="G39" s="198">
        <v>189.1878688453854</v>
      </c>
      <c r="H39" s="198">
        <v>123.69203955272701</v>
      </c>
      <c r="I39" s="198">
        <v>247.63107449549776</v>
      </c>
      <c r="J39" s="198">
        <v>213.51210743167476</v>
      </c>
      <c r="K39" s="198">
        <v>13.664630896366454</v>
      </c>
      <c r="L39" s="198">
        <v>14.574173133088568</v>
      </c>
      <c r="M39" s="198">
        <v>19.304757371672142</v>
      </c>
      <c r="N39" s="198">
        <v>2618.3832914378409</v>
      </c>
    </row>
    <row r="40" spans="1:14">
      <c r="A40" t="s">
        <v>1391</v>
      </c>
      <c r="B40" s="198">
        <v>483.82305784364303</v>
      </c>
      <c r="C40" s="198">
        <v>466.60768254178527</v>
      </c>
      <c r="D40" s="198">
        <v>581.08231505226922</v>
      </c>
      <c r="E40" s="198">
        <v>410.54642006730296</v>
      </c>
      <c r="F40" s="198">
        <v>349.93452407060823</v>
      </c>
      <c r="G40" s="198">
        <v>219.71983457991246</v>
      </c>
      <c r="H40" s="198">
        <v>138.48039109793038</v>
      </c>
      <c r="I40" s="198">
        <v>343.67222343002004</v>
      </c>
      <c r="J40" s="198">
        <v>174.56639838488644</v>
      </c>
      <c r="K40" s="198">
        <v>7.7595699635283779</v>
      </c>
      <c r="L40" s="198">
        <v>4.7707646598258258</v>
      </c>
      <c r="M40" s="198">
        <v>10.434450720400005</v>
      </c>
      <c r="N40" s="198">
        <v>3191.3976324121122</v>
      </c>
    </row>
    <row r="41" spans="1:14">
      <c r="A41" s="2" t="s">
        <v>571</v>
      </c>
      <c r="B41" s="480">
        <v>403.6029094899402</v>
      </c>
      <c r="C41" s="480">
        <v>401.86339042888608</v>
      </c>
      <c r="D41" s="480">
        <v>512.25784504419164</v>
      </c>
      <c r="E41" s="480">
        <v>551.350895351399</v>
      </c>
      <c r="F41" s="480">
        <v>699.58195476192441</v>
      </c>
      <c r="G41" s="480">
        <v>239.64663524238415</v>
      </c>
      <c r="H41" s="480">
        <v>225.77020110342102</v>
      </c>
      <c r="I41" s="480">
        <v>331.0385418766769</v>
      </c>
      <c r="J41" s="480">
        <v>85.106752693682054</v>
      </c>
      <c r="K41" s="480">
        <v>17.690177965428003</v>
      </c>
      <c r="L41" s="480">
        <v>21.082714004214004</v>
      </c>
      <c r="M41" s="480">
        <v>18.533067248404997</v>
      </c>
      <c r="N41" s="480">
        <v>3507.5250852105523</v>
      </c>
    </row>
    <row r="42" spans="1:14">
      <c r="A42" t="s">
        <v>1392</v>
      </c>
      <c r="B42" s="198">
        <v>363.80205510896519</v>
      </c>
      <c r="C42" s="198">
        <v>357.51016322774507</v>
      </c>
      <c r="D42" s="198">
        <v>456.28728969081465</v>
      </c>
      <c r="E42" s="198">
        <v>492.37422755504497</v>
      </c>
      <c r="F42" s="198">
        <v>634.95680636954444</v>
      </c>
      <c r="G42" s="198">
        <v>225.93826233561015</v>
      </c>
      <c r="H42" s="198">
        <v>199.29263020947502</v>
      </c>
      <c r="I42" s="198">
        <v>303.87044991214987</v>
      </c>
      <c r="J42" s="198">
        <v>77.839777643925046</v>
      </c>
      <c r="K42" s="198">
        <v>15.505485018155003</v>
      </c>
      <c r="L42" s="198">
        <v>19.932245405270006</v>
      </c>
      <c r="M42" s="198">
        <v>18.013137695079998</v>
      </c>
      <c r="N42" s="198">
        <v>3165.3225301717794</v>
      </c>
    </row>
    <row r="43" spans="1:14">
      <c r="A43" t="s">
        <v>1390</v>
      </c>
      <c r="B43" s="198">
        <v>35.179664856205001</v>
      </c>
      <c r="C43" s="198">
        <v>40.619528981841007</v>
      </c>
      <c r="D43" s="198">
        <v>49.012570929497009</v>
      </c>
      <c r="E43" s="198">
        <v>49.559315321334026</v>
      </c>
      <c r="F43" s="198">
        <v>55.515989772910018</v>
      </c>
      <c r="G43" s="198">
        <v>11.114392599604001</v>
      </c>
      <c r="H43" s="198">
        <v>22.390171152556</v>
      </c>
      <c r="I43" s="198">
        <v>22.621874567407009</v>
      </c>
      <c r="J43" s="198">
        <v>6.5213364904269993</v>
      </c>
      <c r="K43" s="198">
        <v>0.94056426889299993</v>
      </c>
      <c r="L43" s="198">
        <v>1.150468598944</v>
      </c>
      <c r="M43" s="198">
        <v>0.39760832345500002</v>
      </c>
      <c r="N43" s="198">
        <v>295.02348586307312</v>
      </c>
    </row>
    <row r="44" spans="1:14">
      <c r="A44" t="s">
        <v>1391</v>
      </c>
      <c r="B44" s="198">
        <v>4.6211895247699992</v>
      </c>
      <c r="C44" s="198">
        <v>3.7336982193000003</v>
      </c>
      <c r="D44" s="198">
        <v>6.9579844238800037</v>
      </c>
      <c r="E44" s="198">
        <v>9.4173524750200031</v>
      </c>
      <c r="F44" s="198">
        <v>9.1091586194699961</v>
      </c>
      <c r="G44" s="198">
        <v>2.5939803071699998</v>
      </c>
      <c r="H44" s="198">
        <v>4.0873997413900005</v>
      </c>
      <c r="I44" s="198">
        <v>4.5462173971200004</v>
      </c>
      <c r="J44" s="198">
        <v>0.74563855932999989</v>
      </c>
      <c r="K44" s="198">
        <v>1.2441286783799999</v>
      </c>
      <c r="L44" s="198"/>
      <c r="M44" s="198">
        <v>0.12232122986999999</v>
      </c>
      <c r="N44" s="198">
        <v>47.179069175700008</v>
      </c>
    </row>
    <row r="45" spans="1:14">
      <c r="A45" s="2" t="s">
        <v>53</v>
      </c>
      <c r="B45" s="480">
        <v>1220.1856249607356</v>
      </c>
      <c r="C45" s="480">
        <v>1221.6416412084563</v>
      </c>
      <c r="D45" s="480">
        <v>1553.5623644914756</v>
      </c>
      <c r="E45" s="480">
        <v>1286.2230677948455</v>
      </c>
      <c r="F45" s="480">
        <v>1375.8549359078654</v>
      </c>
      <c r="G45" s="480">
        <v>648.55433866768203</v>
      </c>
      <c r="H45" s="480">
        <v>487.94263175407838</v>
      </c>
      <c r="I45" s="480">
        <v>922.34183980219461</v>
      </c>
      <c r="J45" s="480">
        <v>473.18525851024333</v>
      </c>
      <c r="K45" s="480">
        <v>39.114378825322838</v>
      </c>
      <c r="L45" s="480">
        <v>40.427651797128405</v>
      </c>
      <c r="M45" s="480">
        <v>48.272275340477151</v>
      </c>
      <c r="N45" s="480">
        <v>9317.3060090605068</v>
      </c>
    </row>
    <row r="48" spans="1:14">
      <c r="A48" s="2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710AC-57CD-4345-AD32-01A26C98A993}">
  <sheetPr codeName="Sheet4">
    <tabColor rgb="FFFF0000"/>
  </sheetPr>
  <dimension ref="A1:Q221"/>
  <sheetViews>
    <sheetView showGridLines="0" topLeftCell="A112" zoomScale="91" workbookViewId="0">
      <selection activeCell="D106" sqref="D106"/>
    </sheetView>
  </sheetViews>
  <sheetFormatPr defaultColWidth="6.59765625" defaultRowHeight="13.8"/>
  <cols>
    <col min="1" max="1" width="7.59765625" customWidth="1"/>
    <col min="2" max="2" width="24.59765625" customWidth="1"/>
    <col min="3" max="4" width="18.8984375" customWidth="1"/>
    <col min="5" max="7" width="16.59765625" customWidth="1"/>
    <col min="8" max="8" width="18.3984375" customWidth="1"/>
    <col min="9" max="9" width="16.59765625" customWidth="1"/>
    <col min="10" max="10" width="19.09765625" customWidth="1"/>
    <col min="11" max="11" width="13.3984375" customWidth="1"/>
    <col min="12" max="12" width="12.09765625" bestFit="1" customWidth="1"/>
    <col min="13" max="14" width="9.3984375" bestFit="1" customWidth="1"/>
  </cols>
  <sheetData>
    <row r="1" spans="2:13" ht="245.1" customHeight="1">
      <c r="B1" s="1888"/>
      <c r="C1" s="1889"/>
      <c r="D1" s="1889"/>
      <c r="E1" s="1889"/>
      <c r="F1" s="1889"/>
      <c r="G1" s="1889"/>
      <c r="H1" s="1889"/>
      <c r="I1" s="1889"/>
      <c r="J1" s="1890"/>
      <c r="K1" s="242"/>
    </row>
    <row r="2" spans="2:13" ht="17.399999999999999">
      <c r="B2" s="891"/>
      <c r="C2" s="892"/>
      <c r="D2" s="892"/>
      <c r="E2" s="892"/>
      <c r="F2" s="513"/>
      <c r="G2" s="513"/>
      <c r="H2" s="513"/>
      <c r="I2" s="514"/>
      <c r="J2" s="140"/>
      <c r="K2" s="242"/>
    </row>
    <row r="3" spans="2:13" ht="22.8">
      <c r="B3" s="594" t="s">
        <v>87</v>
      </c>
      <c r="C3" s="513"/>
      <c r="D3" s="513"/>
      <c r="E3" s="513"/>
      <c r="F3" s="513"/>
      <c r="G3" s="515"/>
      <c r="H3" s="1891"/>
      <c r="I3" s="1891"/>
      <c r="J3" s="140"/>
      <c r="K3" s="242"/>
    </row>
    <row r="4" spans="2:13" ht="20.100000000000001" customHeight="1">
      <c r="B4" s="192" t="s">
        <v>88</v>
      </c>
      <c r="C4" s="516"/>
      <c r="D4" s="516"/>
      <c r="E4" s="516"/>
      <c r="F4" s="517"/>
      <c r="G4" s="518"/>
      <c r="H4" s="242"/>
      <c r="I4" s="519"/>
      <c r="J4" s="131" t="s">
        <v>89</v>
      </c>
      <c r="K4" s="242"/>
    </row>
    <row r="5" spans="2:13" ht="15" customHeight="1">
      <c r="B5" s="1881" t="s">
        <v>90</v>
      </c>
      <c r="C5" s="1887"/>
      <c r="D5" s="898"/>
      <c r="E5" s="520"/>
      <c r="F5" s="520"/>
      <c r="G5" s="521"/>
      <c r="H5" s="242"/>
      <c r="I5" s="242"/>
      <c r="J5" s="132"/>
      <c r="K5" s="242"/>
    </row>
    <row r="6" spans="2:13" ht="27" customHeight="1">
      <c r="B6" s="133"/>
      <c r="C6" s="522"/>
      <c r="D6" s="732" t="s">
        <v>91</v>
      </c>
      <c r="E6" s="523" t="s">
        <v>3</v>
      </c>
      <c r="F6" s="523" t="s">
        <v>92</v>
      </c>
      <c r="G6" s="523" t="s">
        <v>93</v>
      </c>
      <c r="H6" s="523" t="s">
        <v>94</v>
      </c>
      <c r="I6" s="523" t="s">
        <v>95</v>
      </c>
      <c r="J6" s="134" t="s">
        <v>96</v>
      </c>
      <c r="K6" s="242"/>
      <c r="L6" s="242"/>
    </row>
    <row r="7" spans="2:13" ht="15" customHeight="1">
      <c r="B7" s="135" t="s">
        <v>97</v>
      </c>
      <c r="C7" s="524"/>
      <c r="D7" s="88">
        <f>D8+D9</f>
        <v>52259.060765938309</v>
      </c>
      <c r="E7" s="87">
        <v>1180531</v>
      </c>
      <c r="F7" s="87">
        <f>F8+F9</f>
        <v>1237451.7424092996</v>
      </c>
      <c r="G7" s="87">
        <f>G8+G9</f>
        <v>1264404.8087140413</v>
      </c>
      <c r="H7" s="87">
        <f t="shared" ref="H7:I7" si="0">H8+H9</f>
        <v>1306142.9099660777</v>
      </c>
      <c r="I7" s="87">
        <f t="shared" si="0"/>
        <v>1339389.0203268565</v>
      </c>
      <c r="J7" s="865">
        <f>D7/E7-1</f>
        <v>-0.955732580706531</v>
      </c>
      <c r="K7" s="242"/>
      <c r="L7" s="242"/>
      <c r="M7" s="141"/>
    </row>
    <row r="8" spans="2:13" ht="20.85" customHeight="1">
      <c r="B8" s="136" t="s">
        <v>98</v>
      </c>
      <c r="C8" s="525"/>
      <c r="D8" s="84">
        <f>Level1!H53/1000</f>
        <v>1E-3</v>
      </c>
      <c r="E8" s="83">
        <v>36381</v>
      </c>
      <c r="F8" s="83">
        <v>46665.151100855452</v>
      </c>
      <c r="G8" s="83">
        <v>55130.796186942534</v>
      </c>
      <c r="H8" s="83">
        <v>52679.941165238975</v>
      </c>
      <c r="I8" s="137">
        <v>50628.437825967056</v>
      </c>
      <c r="J8" s="840">
        <f>D8/E8-1</f>
        <v>-0.999999972513125</v>
      </c>
      <c r="K8" s="242"/>
      <c r="L8" s="142"/>
      <c r="M8" s="143"/>
    </row>
    <row r="9" spans="2:13" ht="18" customHeight="1">
      <c r="B9" s="136" t="s">
        <v>99</v>
      </c>
      <c r="C9" s="525"/>
      <c r="D9" s="84">
        <f>Level1!I53/1000</f>
        <v>52259.059765938313</v>
      </c>
      <c r="E9" s="83">
        <v>1144150</v>
      </c>
      <c r="F9" s="83">
        <v>1190786.591308444</v>
      </c>
      <c r="G9" s="83">
        <v>1209274.0125270986</v>
      </c>
      <c r="H9" s="83">
        <v>1253462.9688008386</v>
      </c>
      <c r="I9" s="137">
        <v>1288760.5825008894</v>
      </c>
      <c r="J9" s="840">
        <f>D9/E9-1</f>
        <v>-0.95432499255697389</v>
      </c>
      <c r="K9" s="144"/>
      <c r="L9" s="242"/>
      <c r="M9" s="143"/>
    </row>
    <row r="10" spans="2:13">
      <c r="B10" s="135" t="s">
        <v>100</v>
      </c>
      <c r="C10" s="524"/>
      <c r="D10" s="88"/>
      <c r="E10" s="87"/>
      <c r="F10" s="87"/>
      <c r="G10" s="87"/>
      <c r="H10" s="87"/>
      <c r="I10" s="87"/>
      <c r="J10" s="865"/>
      <c r="K10" s="145"/>
      <c r="L10" s="242"/>
      <c r="M10" s="143"/>
    </row>
    <row r="11" spans="2:13" ht="23.1" customHeight="1">
      <c r="B11" s="1879" t="s">
        <v>101</v>
      </c>
      <c r="C11" s="1880"/>
      <c r="D11" s="84">
        <f>'Savings (CSR Only)'!G50</f>
        <v>18537.051963180005</v>
      </c>
      <c r="E11" s="83">
        <v>10407</v>
      </c>
      <c r="F11" s="83">
        <v>13747.313616000001</v>
      </c>
      <c r="G11" s="83">
        <v>22761.969109109152</v>
      </c>
      <c r="H11" s="83">
        <v>17345</v>
      </c>
      <c r="I11" s="137">
        <v>33628.60545223685</v>
      </c>
      <c r="J11" s="840">
        <f>D11/E11-1</f>
        <v>0.78120995130008697</v>
      </c>
      <c r="K11" s="242"/>
      <c r="L11" s="242"/>
    </row>
    <row r="12" spans="2:13" ht="26.4" customHeight="1">
      <c r="B12" s="1879" t="s">
        <v>102</v>
      </c>
      <c r="C12" s="1880"/>
      <c r="D12" s="506" t="s">
        <v>103</v>
      </c>
      <c r="E12" s="83">
        <f>'Savings (CSR Only)'!D99</f>
        <v>29440.734945352535</v>
      </c>
      <c r="F12" s="83">
        <f>'Savings (CSR Only)'!E99</f>
        <v>16121.270896071104</v>
      </c>
      <c r="G12" s="83">
        <f>'Savings (CSR Only)'!F99</f>
        <v>26324.880000000001</v>
      </c>
      <c r="H12" s="83">
        <f>'Savings (CSR Only)'!G99</f>
        <v>42601.300524667116</v>
      </c>
      <c r="I12" s="83" t="s">
        <v>104</v>
      </c>
      <c r="J12" s="840" t="e">
        <f>D12/E12-1</f>
        <v>#VALUE!</v>
      </c>
      <c r="K12" s="242"/>
    </row>
    <row r="13" spans="2:13" ht="26.4" customHeight="1">
      <c r="B13" s="894"/>
      <c r="C13" s="895"/>
      <c r="D13" s="895"/>
      <c r="E13" s="628"/>
      <c r="F13" s="90"/>
      <c r="G13" s="90"/>
      <c r="H13" s="90"/>
      <c r="I13" s="90"/>
      <c r="J13" s="490"/>
    </row>
    <row r="14" spans="2:13" ht="17.100000000000001" customHeight="1">
      <c r="B14" s="182" t="s">
        <v>105</v>
      </c>
      <c r="C14" s="526"/>
      <c r="D14" s="526"/>
      <c r="E14" s="527"/>
      <c r="F14" s="526"/>
      <c r="G14" s="526"/>
      <c r="H14" s="528"/>
      <c r="I14" s="528"/>
      <c r="J14" s="490"/>
      <c r="K14" s="242"/>
    </row>
    <row r="15" spans="2:13" ht="17.100000000000001" customHeight="1">
      <c r="B15" s="1884" t="s">
        <v>106</v>
      </c>
      <c r="C15" s="1885"/>
      <c r="D15" s="1885"/>
      <c r="E15" s="1885"/>
      <c r="F15" s="1885"/>
      <c r="G15" s="1885"/>
      <c r="H15" s="1885"/>
      <c r="I15" s="1885"/>
      <c r="J15" s="1886"/>
      <c r="K15" s="242"/>
    </row>
    <row r="16" spans="2:13" ht="30" customHeight="1">
      <c r="B16" s="1868" t="s">
        <v>107</v>
      </c>
      <c r="C16" s="1869"/>
      <c r="D16" s="1869"/>
      <c r="E16" s="1869"/>
      <c r="F16" s="1869"/>
      <c r="G16" s="1870"/>
      <c r="H16" s="1870"/>
      <c r="I16" s="1870"/>
      <c r="J16" s="1871"/>
      <c r="K16" s="242"/>
    </row>
    <row r="17" spans="1:17" ht="27" customHeight="1">
      <c r="B17" s="1868" t="s">
        <v>108</v>
      </c>
      <c r="C17" s="1869"/>
      <c r="D17" s="1869"/>
      <c r="E17" s="1869"/>
      <c r="F17" s="1869"/>
      <c r="G17" s="1870"/>
      <c r="H17" s="1870"/>
      <c r="I17" s="1870"/>
      <c r="J17" s="1871"/>
    </row>
    <row r="18" spans="1:17" ht="27" customHeight="1">
      <c r="B18" s="679"/>
      <c r="C18" s="903"/>
      <c r="D18" s="903"/>
      <c r="E18" s="903"/>
      <c r="F18" s="903"/>
      <c r="G18" s="904"/>
      <c r="H18" s="904"/>
      <c r="I18" s="904"/>
      <c r="J18" s="904"/>
      <c r="K18" s="678"/>
    </row>
    <row r="19" spans="1:17" ht="27" customHeight="1">
      <c r="A19" s="680"/>
      <c r="B19" s="192" t="s">
        <v>109</v>
      </c>
      <c r="C19" s="516"/>
      <c r="D19" s="516"/>
      <c r="E19" s="903"/>
      <c r="F19" s="903"/>
      <c r="G19" s="904"/>
      <c r="H19" s="904"/>
      <c r="I19" s="904"/>
      <c r="J19" s="904"/>
      <c r="K19" s="678"/>
    </row>
    <row r="20" spans="1:17" ht="27" customHeight="1">
      <c r="A20" s="680"/>
      <c r="B20" s="1881" t="s">
        <v>90</v>
      </c>
      <c r="C20" s="1887"/>
      <c r="D20" s="898"/>
      <c r="E20" s="903"/>
      <c r="F20" s="903"/>
      <c r="G20" s="904"/>
      <c r="H20" s="904"/>
      <c r="I20" s="904"/>
      <c r="J20" s="904"/>
      <c r="K20" s="678"/>
    </row>
    <row r="21" spans="1:17" ht="27" customHeight="1">
      <c r="B21" s="133"/>
      <c r="C21" s="522"/>
      <c r="D21" s="732" t="s">
        <v>91</v>
      </c>
      <c r="E21" s="903"/>
      <c r="F21" s="903"/>
      <c r="G21" s="904"/>
      <c r="H21" s="904"/>
      <c r="I21" s="904"/>
      <c r="J21" s="904"/>
      <c r="K21" s="678"/>
    </row>
    <row r="22" spans="1:17" ht="27" customHeight="1">
      <c r="B22" s="135" t="s">
        <v>97</v>
      </c>
      <c r="C22" s="524"/>
      <c r="D22" s="88">
        <f>'International FY21'!I26</f>
        <v>52790.05480965825</v>
      </c>
      <c r="E22" s="903"/>
      <c r="F22" s="903"/>
      <c r="G22" s="904"/>
      <c r="H22" s="904"/>
      <c r="I22" s="904"/>
      <c r="J22" s="904"/>
      <c r="K22" s="678"/>
    </row>
    <row r="23" spans="1:17" ht="27" customHeight="1">
      <c r="B23" s="136" t="s">
        <v>98</v>
      </c>
      <c r="C23" s="525"/>
      <c r="D23" s="84">
        <f>'International FY21'!C26</f>
        <v>530.99504371994681</v>
      </c>
      <c r="E23" s="903"/>
      <c r="F23" s="903"/>
      <c r="G23" s="904"/>
      <c r="H23" s="904"/>
      <c r="I23" s="904"/>
      <c r="J23" s="904"/>
      <c r="K23" s="678"/>
    </row>
    <row r="24" spans="1:17" ht="27" customHeight="1">
      <c r="A24" s="680"/>
      <c r="B24" s="136" t="s">
        <v>99</v>
      </c>
      <c r="C24" s="525"/>
      <c r="D24" s="84">
        <f>'International FY21'!D26</f>
        <v>52259.059765938306</v>
      </c>
      <c r="E24" s="903"/>
      <c r="F24" s="903"/>
      <c r="G24" s="904"/>
      <c r="H24" s="904"/>
      <c r="I24" s="904"/>
      <c r="J24" s="681"/>
    </row>
    <row r="25" spans="1:17" ht="27" customHeight="1">
      <c r="B25" s="1868" t="s">
        <v>110</v>
      </c>
      <c r="C25" s="1869"/>
      <c r="D25" s="1869"/>
      <c r="E25" s="1869"/>
      <c r="F25" s="1869"/>
      <c r="G25" s="1870"/>
      <c r="H25" s="1870"/>
      <c r="I25" s="1870"/>
      <c r="J25" s="1871"/>
      <c r="K25" s="678"/>
    </row>
    <row r="26" spans="1:17" ht="18" customHeight="1">
      <c r="B26" s="678"/>
      <c r="K26" s="682"/>
    </row>
    <row r="27" spans="1:17" ht="20.100000000000001" customHeight="1">
      <c r="B27" s="192" t="s">
        <v>111</v>
      </c>
      <c r="C27" s="516"/>
      <c r="D27" s="516"/>
      <c r="E27" s="516"/>
      <c r="F27" s="529"/>
      <c r="G27" s="530"/>
      <c r="H27" s="531"/>
      <c r="I27" s="531"/>
      <c r="J27" s="489" t="s">
        <v>112</v>
      </c>
      <c r="K27" s="242"/>
    </row>
    <row r="28" spans="1:17" ht="15" customHeight="1">
      <c r="B28" s="1881" t="s">
        <v>90</v>
      </c>
      <c r="C28" s="1882"/>
      <c r="D28" s="1882"/>
      <c r="E28" s="1882"/>
      <c r="F28" s="1882"/>
      <c r="G28" s="1883"/>
      <c r="H28" s="242"/>
      <c r="I28" s="242"/>
      <c r="J28" s="132"/>
      <c r="K28" s="242"/>
    </row>
    <row r="29" spans="1:17" ht="27" customHeight="1">
      <c r="B29" s="148"/>
      <c r="C29" s="532"/>
      <c r="D29" s="733" t="s">
        <v>91</v>
      </c>
      <c r="E29" s="533" t="s">
        <v>3</v>
      </c>
      <c r="F29" s="533" t="s">
        <v>92</v>
      </c>
      <c r="G29" s="533" t="s">
        <v>93</v>
      </c>
      <c r="H29" s="533" t="s">
        <v>94</v>
      </c>
      <c r="I29" s="533" t="s">
        <v>95</v>
      </c>
      <c r="J29" s="134" t="s">
        <v>96</v>
      </c>
      <c r="K29" s="242"/>
    </row>
    <row r="30" spans="1:17" ht="14.85" customHeight="1">
      <c r="B30" s="149" t="s">
        <v>113</v>
      </c>
      <c r="C30" s="534"/>
      <c r="D30" s="866"/>
      <c r="E30" s="683"/>
      <c r="F30" s="535"/>
      <c r="G30" s="535"/>
      <c r="H30" s="535"/>
      <c r="I30" s="535"/>
      <c r="J30" s="150"/>
      <c r="K30" s="242"/>
    </row>
    <row r="31" spans="1:17" ht="12.6" customHeight="1">
      <c r="B31" s="151" t="s">
        <v>114</v>
      </c>
      <c r="C31" s="536"/>
      <c r="D31" s="867">
        <f>SUM(D32:D36)</f>
        <v>7557.3321739715475</v>
      </c>
      <c r="E31" s="537">
        <v>7309</v>
      </c>
      <c r="F31" s="537">
        <f>SUM(F32:F36)</f>
        <v>9633.6189035345396</v>
      </c>
      <c r="G31" s="537">
        <v>11815.744710832301</v>
      </c>
      <c r="H31" s="537">
        <v>6247.5046084551441</v>
      </c>
      <c r="I31" s="537">
        <v>6342.5755893588903</v>
      </c>
      <c r="J31" s="596">
        <f>D31/E31-1</f>
        <v>3.3976217536126452E-2</v>
      </c>
      <c r="M31" s="243"/>
      <c r="N31" s="243"/>
      <c r="O31" s="141"/>
      <c r="P31" s="243"/>
      <c r="Q31" s="243"/>
    </row>
    <row r="32" spans="1:17">
      <c r="B32" s="152" t="s">
        <v>115</v>
      </c>
      <c r="C32" s="538"/>
      <c r="D32" s="868">
        <f>(Level1!H45+Level1!H46)/1000</f>
        <v>732.13524298690822</v>
      </c>
      <c r="E32" s="684">
        <v>844</v>
      </c>
      <c r="F32" s="539">
        <v>1162.5544190580358</v>
      </c>
      <c r="G32" s="539">
        <v>971.75120178203065</v>
      </c>
      <c r="H32" s="539">
        <v>863.14966511718069</v>
      </c>
      <c r="I32" s="539">
        <v>1369.5368676636028</v>
      </c>
      <c r="J32" s="596">
        <f>D32/E32-1</f>
        <v>-0.13254118129513248</v>
      </c>
    </row>
    <row r="33" spans="2:17">
      <c r="B33" s="152" t="s">
        <v>116</v>
      </c>
      <c r="C33" s="538"/>
      <c r="D33" s="84">
        <f>(Level1!H36+Level1!H41)/1000</f>
        <v>6470.9034228535602</v>
      </c>
      <c r="E33" s="539">
        <v>6007</v>
      </c>
      <c r="F33" s="539">
        <v>7543.9906692224422</v>
      </c>
      <c r="G33" s="539">
        <v>10272.078428480723</v>
      </c>
      <c r="H33" s="539">
        <v>4910.1347196406277</v>
      </c>
      <c r="I33" s="539">
        <v>4505.4792302498281</v>
      </c>
      <c r="J33" s="596">
        <f>D33/E33-1</f>
        <v>7.722713881364407E-2</v>
      </c>
    </row>
    <row r="34" spans="2:17">
      <c r="B34" s="152" t="s">
        <v>117</v>
      </c>
      <c r="C34" s="538"/>
      <c r="D34" s="84">
        <f>(Level1!H37+Level1!H43)/1000</f>
        <v>354.29350813107902</v>
      </c>
      <c r="E34" s="539">
        <v>456</v>
      </c>
      <c r="F34" s="539">
        <v>918.76453383557885</v>
      </c>
      <c r="G34" s="539">
        <v>492.0271962137503</v>
      </c>
      <c r="H34" s="539">
        <v>453.68227697013555</v>
      </c>
      <c r="I34" s="539">
        <v>402.9199203142021</v>
      </c>
      <c r="J34" s="596">
        <f>D34/E34-1</f>
        <v>-0.2230405523441249</v>
      </c>
    </row>
    <row r="35" spans="2:17">
      <c r="B35" s="152" t="s">
        <v>118</v>
      </c>
      <c r="C35" s="538"/>
      <c r="D35" s="84">
        <f>(Level1!H38+Level1!H44)/1000</f>
        <v>0</v>
      </c>
      <c r="E35" s="539">
        <v>1</v>
      </c>
      <c r="F35" s="539">
        <v>8.3092814184815236</v>
      </c>
      <c r="G35" s="539">
        <v>79.887884355798164</v>
      </c>
      <c r="H35" s="539">
        <v>20.537946727200005</v>
      </c>
      <c r="I35" s="539">
        <v>64.639571131257085</v>
      </c>
      <c r="J35" s="596">
        <f>D35/E35-1</f>
        <v>-1</v>
      </c>
    </row>
    <row r="36" spans="2:17">
      <c r="B36" s="152" t="s">
        <v>119</v>
      </c>
      <c r="C36" s="538"/>
      <c r="D36" s="869" t="s">
        <v>120</v>
      </c>
      <c r="E36" s="539" t="s">
        <v>120</v>
      </c>
      <c r="F36" s="540" t="s">
        <v>120</v>
      </c>
      <c r="G36" s="540" t="s">
        <v>120</v>
      </c>
      <c r="H36" s="540" t="s">
        <v>120</v>
      </c>
      <c r="I36" s="540" t="s">
        <v>120</v>
      </c>
      <c r="J36" s="596" t="s">
        <v>121</v>
      </c>
      <c r="L36" s="243"/>
    </row>
    <row r="37" spans="2:17" ht="14.1" customHeight="1">
      <c r="B37" s="151" t="s">
        <v>122</v>
      </c>
      <c r="C37" s="536"/>
      <c r="D37" s="798">
        <f>SUM(D38:D41)</f>
        <v>24994.956669117269</v>
      </c>
      <c r="E37" s="537">
        <f>SUM(E38:E41)</f>
        <v>29072</v>
      </c>
      <c r="F37" s="537">
        <v>37031.519718766715</v>
      </c>
      <c r="G37" s="537">
        <v>43315.051053126459</v>
      </c>
      <c r="H37" s="537">
        <v>46432.436551514627</v>
      </c>
      <c r="I37" s="537">
        <v>44285.86221552499</v>
      </c>
      <c r="J37" s="596">
        <f>D37/E37-1</f>
        <v>-0.14023952018721553</v>
      </c>
      <c r="M37" s="243"/>
      <c r="N37" s="243"/>
      <c r="O37" s="243"/>
      <c r="P37" s="243"/>
      <c r="Q37" s="243"/>
    </row>
    <row r="38" spans="2:17">
      <c r="B38" s="152" t="s">
        <v>116</v>
      </c>
      <c r="C38" s="538"/>
      <c r="D38" s="84">
        <f>(Level1!H47+Level1!H48)/1000</f>
        <v>23210.590254141283</v>
      </c>
      <c r="E38" s="539">
        <v>26595</v>
      </c>
      <c r="F38" s="83">
        <v>32451.705975792625</v>
      </c>
      <c r="G38" s="83">
        <v>36298.886999785231</v>
      </c>
      <c r="H38" s="83">
        <v>37938.516843723046</v>
      </c>
      <c r="I38" s="83">
        <v>35826.703851039674</v>
      </c>
      <c r="J38" s="596">
        <f>D38/E38-1</f>
        <v>-0.12725736965063794</v>
      </c>
    </row>
    <row r="39" spans="2:17">
      <c r="B39" s="152" t="s">
        <v>117</v>
      </c>
      <c r="C39" s="538"/>
      <c r="D39" s="84">
        <f>(Level1!H50+Level1!H51)/1000</f>
        <v>1782.8165851509045</v>
      </c>
      <c r="E39" s="539">
        <v>2473</v>
      </c>
      <c r="F39" s="83">
        <v>4474.0644309571308</v>
      </c>
      <c r="G39" s="83">
        <v>6643.8332649018384</v>
      </c>
      <c r="H39" s="83">
        <v>7677.1006094017821</v>
      </c>
      <c r="I39" s="83">
        <v>7257.7624828963144</v>
      </c>
      <c r="J39" s="596">
        <f>D39/E39-1</f>
        <v>-0.27908751105907625</v>
      </c>
      <c r="K39" s="242"/>
    </row>
    <row r="40" spans="2:17">
      <c r="B40" s="152" t="s">
        <v>123</v>
      </c>
      <c r="C40" s="538"/>
      <c r="D40" s="84">
        <f>Level1!H52/1000</f>
        <v>1.3983313454800002</v>
      </c>
      <c r="E40" s="539">
        <v>4</v>
      </c>
      <c r="F40" s="83">
        <v>105.38448490079999</v>
      </c>
      <c r="G40" s="83">
        <v>371.76205040939999</v>
      </c>
      <c r="H40" s="83">
        <v>816.20677472460011</v>
      </c>
      <c r="I40" s="83">
        <v>1200.8111858358</v>
      </c>
      <c r="J40" s="596">
        <f>D40/E40-1</f>
        <v>-0.65041716363000002</v>
      </c>
      <c r="K40" s="242"/>
    </row>
    <row r="41" spans="2:17">
      <c r="B41" s="152" t="s">
        <v>119</v>
      </c>
      <c r="C41" s="538"/>
      <c r="D41" s="869">
        <f>Level1!H49/1000</f>
        <v>0.15149847960000001</v>
      </c>
      <c r="E41" s="541" t="s">
        <v>120</v>
      </c>
      <c r="F41" s="541" t="s">
        <v>120</v>
      </c>
      <c r="G41" s="541" t="s">
        <v>120</v>
      </c>
      <c r="H41" s="541" t="s">
        <v>120</v>
      </c>
      <c r="I41" s="541" t="s">
        <v>120</v>
      </c>
      <c r="J41" s="596" t="s">
        <v>121</v>
      </c>
      <c r="K41" s="242"/>
    </row>
    <row r="42" spans="2:17" ht="13.35" customHeight="1">
      <c r="B42" s="149" t="s">
        <v>124</v>
      </c>
      <c r="C42" s="534"/>
      <c r="D42" s="870"/>
      <c r="E42" s="685"/>
      <c r="F42" s="535"/>
      <c r="G42" s="535"/>
      <c r="H42" s="535"/>
      <c r="I42" s="535"/>
      <c r="J42" s="596"/>
      <c r="K42" s="242"/>
    </row>
    <row r="43" spans="2:17" ht="13.35" customHeight="1">
      <c r="B43" s="151" t="s">
        <v>125</v>
      </c>
      <c r="C43" s="536"/>
      <c r="D43" s="871"/>
      <c r="E43" s="542"/>
      <c r="F43" s="542"/>
      <c r="G43" s="542"/>
      <c r="H43" s="542"/>
      <c r="I43" s="542"/>
      <c r="J43" s="596"/>
      <c r="K43" s="242"/>
    </row>
    <row r="44" spans="2:17">
      <c r="B44" s="152" t="s">
        <v>126</v>
      </c>
      <c r="C44" s="538"/>
      <c r="D44" s="506">
        <f>Level1!I39/1000</f>
        <v>1078324.7825145507</v>
      </c>
      <c r="E44" s="539">
        <v>1144150</v>
      </c>
      <c r="F44" s="83">
        <v>1190786.5913084438</v>
      </c>
      <c r="G44" s="83">
        <v>1209274.0125270986</v>
      </c>
      <c r="H44" s="83">
        <v>1253462.9688008386</v>
      </c>
      <c r="I44" s="83">
        <v>1288760.5825008894</v>
      </c>
      <c r="J44" s="596">
        <f>D44/E44-1</f>
        <v>-5.7531982244853674E-2</v>
      </c>
      <c r="K44" s="153"/>
      <c r="L44" s="244"/>
      <c r="M44" s="154"/>
    </row>
    <row r="45" spans="2:17">
      <c r="B45" s="161"/>
      <c r="J45" s="147"/>
    </row>
    <row r="46" spans="2:17">
      <c r="B46" s="146" t="s">
        <v>127</v>
      </c>
      <c r="C46" s="543"/>
      <c r="D46" s="543"/>
      <c r="E46" s="543"/>
      <c r="F46" s="543"/>
      <c r="G46" s="543"/>
      <c r="H46" s="544"/>
      <c r="I46" s="544"/>
      <c r="J46" s="147"/>
    </row>
    <row r="47" spans="2:17">
      <c r="B47" s="1884" t="s">
        <v>128</v>
      </c>
      <c r="C47" s="1885"/>
      <c r="D47" s="1885"/>
      <c r="E47" s="1885"/>
      <c r="F47" s="1885"/>
      <c r="G47" s="1885"/>
      <c r="H47" s="1885"/>
      <c r="I47" s="1885"/>
      <c r="J47" s="1886"/>
    </row>
    <row r="48" spans="2:17" ht="14.25" customHeight="1">
      <c r="B48" s="1868" t="s">
        <v>129</v>
      </c>
      <c r="C48" s="1869"/>
      <c r="D48" s="1869"/>
      <c r="E48" s="1869"/>
      <c r="F48" s="1869"/>
      <c r="G48" s="1869"/>
      <c r="H48" s="1869"/>
      <c r="I48" s="1869"/>
      <c r="J48" s="1878"/>
    </row>
    <row r="49" spans="2:11" ht="14.25" customHeight="1">
      <c r="B49" s="1868" t="s">
        <v>130</v>
      </c>
      <c r="C49" s="1869"/>
      <c r="D49" s="1869"/>
      <c r="E49" s="1869"/>
      <c r="F49" s="1869"/>
      <c r="G49" s="1869"/>
      <c r="H49" s="1869"/>
      <c r="I49" s="1869"/>
      <c r="J49" s="1878"/>
    </row>
    <row r="50" spans="2:11" ht="14.25" customHeight="1">
      <c r="B50" s="902"/>
      <c r="C50" s="903"/>
      <c r="D50" s="903"/>
      <c r="E50" s="903"/>
      <c r="F50" s="903"/>
      <c r="G50" s="903"/>
      <c r="H50" s="903"/>
      <c r="I50" s="903"/>
      <c r="J50" s="905"/>
    </row>
    <row r="51" spans="2:11" ht="24.75" customHeight="1">
      <c r="B51" s="156" t="s">
        <v>131</v>
      </c>
      <c r="C51" s="545"/>
      <c r="D51" s="545"/>
      <c r="E51" s="545"/>
      <c r="F51" s="517"/>
      <c r="G51" s="242"/>
      <c r="H51" s="242"/>
      <c r="J51" s="131" t="s">
        <v>132</v>
      </c>
    </row>
    <row r="52" spans="2:11" ht="20.100000000000001" customHeight="1">
      <c r="B52" s="160" t="s">
        <v>133</v>
      </c>
      <c r="C52" s="546"/>
      <c r="D52" s="546"/>
      <c r="E52" s="546"/>
      <c r="F52" s="522"/>
      <c r="G52" s="242"/>
      <c r="H52" s="242"/>
      <c r="I52" s="242"/>
      <c r="J52" s="132"/>
    </row>
    <row r="53" spans="2:11">
      <c r="B53" s="161"/>
      <c r="C53" s="896"/>
      <c r="D53" s="734" t="s">
        <v>91</v>
      </c>
      <c r="E53" s="523" t="s">
        <v>3</v>
      </c>
      <c r="F53" s="523" t="s">
        <v>92</v>
      </c>
      <c r="G53" s="523" t="s">
        <v>93</v>
      </c>
      <c r="H53" s="523" t="s">
        <v>94</v>
      </c>
      <c r="I53" s="523" t="s">
        <v>95</v>
      </c>
      <c r="J53" s="134" t="s">
        <v>96</v>
      </c>
    </row>
    <row r="54" spans="2:11">
      <c r="B54" s="135" t="s">
        <v>134</v>
      </c>
      <c r="C54" s="524"/>
      <c r="D54" s="88">
        <f>D55+D63</f>
        <v>5347211.7842310816</v>
      </c>
      <c r="E54" s="87">
        <v>5614246</v>
      </c>
      <c r="F54" s="87">
        <f>F55+F63</f>
        <v>5828252.2737057116</v>
      </c>
      <c r="G54" s="87">
        <v>6000983.8974163001</v>
      </c>
      <c r="H54" s="87">
        <v>6094922.8586030072</v>
      </c>
      <c r="I54" s="87">
        <v>6097739.6987548564</v>
      </c>
      <c r="J54" s="139">
        <f t="shared" ref="J54:J69" si="1">D54/E54-1</f>
        <v>-4.7563682775731309E-2</v>
      </c>
    </row>
    <row r="55" spans="2:11">
      <c r="B55" s="135" t="s">
        <v>114</v>
      </c>
      <c r="C55" s="524"/>
      <c r="D55" s="88">
        <f>SUM(D56:D62)</f>
        <v>4990796.1562418211</v>
      </c>
      <c r="E55" s="87">
        <v>5199937</v>
      </c>
      <c r="F55" s="87">
        <f>SUM(F56:F62)</f>
        <v>5299203.526034114</v>
      </c>
      <c r="G55" s="87">
        <v>5380400.7095750347</v>
      </c>
      <c r="H55" s="87">
        <v>5428398.4349270072</v>
      </c>
      <c r="I55" s="87">
        <v>5461120.7677780567</v>
      </c>
      <c r="J55" s="139">
        <f t="shared" si="1"/>
        <v>-4.021988030973811E-2</v>
      </c>
    </row>
    <row r="56" spans="2:11">
      <c r="B56" s="152" t="s">
        <v>126</v>
      </c>
      <c r="C56" s="538"/>
      <c r="D56" s="84">
        <f>Level1!$G$39</f>
        <v>4841292.2424850026</v>
      </c>
      <c r="E56" s="539">
        <v>5052048</v>
      </c>
      <c r="F56" s="83">
        <v>5122210.1351703824</v>
      </c>
      <c r="G56" s="83">
        <v>5176020.2627302445</v>
      </c>
      <c r="H56" s="83">
        <v>5310228.204456971</v>
      </c>
      <c r="I56" s="83">
        <v>5336996.4867206765</v>
      </c>
      <c r="J56" s="595">
        <f t="shared" si="1"/>
        <v>-4.1716895309584778E-2</v>
      </c>
    </row>
    <row r="57" spans="2:11" ht="21.6">
      <c r="B57" s="152" t="s">
        <v>135</v>
      </c>
      <c r="C57" s="538"/>
      <c r="D57" s="84">
        <f>Level1!$G$40</f>
        <v>37503.428181216121</v>
      </c>
      <c r="E57" s="539">
        <v>39185</v>
      </c>
      <c r="F57" s="83">
        <v>33233.973233004261</v>
      </c>
      <c r="G57" s="83">
        <v>30619.686337200234</v>
      </c>
      <c r="H57" s="83">
        <v>24444.452764800139</v>
      </c>
      <c r="I57" s="83">
        <v>26397.317750400187</v>
      </c>
      <c r="J57" s="595">
        <f t="shared" si="1"/>
        <v>-4.2913661318971008E-2</v>
      </c>
    </row>
    <row r="58" spans="2:11">
      <c r="B58" s="152" t="s">
        <v>115</v>
      </c>
      <c r="C58" s="538"/>
      <c r="D58" s="84">
        <f>Level1!$G$45+Level1!$G$46</f>
        <v>14207.941839450963</v>
      </c>
      <c r="E58" s="539">
        <v>16381</v>
      </c>
      <c r="F58" s="83">
        <v>22560.730041879211</v>
      </c>
      <c r="G58" s="83">
        <v>18857.970149078803</v>
      </c>
      <c r="H58" s="83">
        <v>16750.430140057844</v>
      </c>
      <c r="I58" s="83">
        <v>26577.466867137638</v>
      </c>
      <c r="J58" s="595">
        <f t="shared" si="1"/>
        <v>-0.1326572346345789</v>
      </c>
    </row>
    <row r="59" spans="2:11">
      <c r="B59" s="152" t="s">
        <v>116</v>
      </c>
      <c r="C59" s="538"/>
      <c r="D59" s="84">
        <f>Level1!$G$36+Level1!$G$41</f>
        <v>92544.658923771523</v>
      </c>
      <c r="E59" s="539">
        <v>85571</v>
      </c>
      <c r="F59" s="83">
        <v>107464.25454732824</v>
      </c>
      <c r="G59" s="83">
        <v>146325.90353961143</v>
      </c>
      <c r="H59" s="83">
        <v>69944.939026219785</v>
      </c>
      <c r="I59" s="83">
        <v>64180.615815524608</v>
      </c>
      <c r="J59" s="595">
        <f t="shared" si="1"/>
        <v>8.149558756788533E-2</v>
      </c>
    </row>
    <row r="60" spans="2:11">
      <c r="B60" s="152" t="s">
        <v>117</v>
      </c>
      <c r="C60" s="538"/>
      <c r="D60" s="84">
        <f>Level1!$G$37+Level1!$G$43</f>
        <v>5216.9495443807527</v>
      </c>
      <c r="E60" s="539">
        <v>6732</v>
      </c>
      <c r="F60" s="547">
        <v>13551.099319108836</v>
      </c>
      <c r="G60" s="547">
        <v>7257.0382922382041</v>
      </c>
      <c r="H60" s="547">
        <v>6691.4790113589306</v>
      </c>
      <c r="I60" s="547">
        <v>5942.7716860501778</v>
      </c>
      <c r="J60" s="595">
        <f t="shared" si="1"/>
        <v>-0.22505205817279372</v>
      </c>
    </row>
    <row r="61" spans="2:11">
      <c r="B61" s="152" t="s">
        <v>118</v>
      </c>
      <c r="C61" s="538"/>
      <c r="D61" s="84">
        <f>Level1!$G$38+Level1!$G$44</f>
        <v>0</v>
      </c>
      <c r="E61" s="539">
        <v>18</v>
      </c>
      <c r="F61" s="547">
        <v>137.11685509045418</v>
      </c>
      <c r="G61" s="547">
        <v>1318.2819200626759</v>
      </c>
      <c r="H61" s="547">
        <v>338.91001200000005</v>
      </c>
      <c r="I61" s="547">
        <v>1026.0308524674874</v>
      </c>
      <c r="J61" s="595">
        <f t="shared" si="1"/>
        <v>-1</v>
      </c>
    </row>
    <row r="62" spans="2:11">
      <c r="B62" s="152" t="s">
        <v>119</v>
      </c>
      <c r="C62" s="538"/>
      <c r="D62" s="872">
        <f>Level1!$G$42</f>
        <v>30.935267999999997</v>
      </c>
      <c r="E62" s="686">
        <v>2</v>
      </c>
      <c r="F62" s="548">
        <v>46.216867319999992</v>
      </c>
      <c r="G62" s="548">
        <v>1.5666065999999998</v>
      </c>
      <c r="H62" s="548" t="s">
        <v>120</v>
      </c>
      <c r="I62" s="548" t="s">
        <v>120</v>
      </c>
      <c r="J62" s="595">
        <f t="shared" si="1"/>
        <v>14.467633999999999</v>
      </c>
    </row>
    <row r="63" spans="2:11" ht="14.1" customHeight="1">
      <c r="B63" s="135" t="s">
        <v>136</v>
      </c>
      <c r="C63" s="524"/>
      <c r="D63" s="873">
        <f>SUM(D64:D67)</f>
        <v>356415.62798926065</v>
      </c>
      <c r="E63" s="549">
        <v>414309</v>
      </c>
      <c r="F63" s="549">
        <v>529048.74767159717</v>
      </c>
      <c r="G63" s="87">
        <v>620583.18784126523</v>
      </c>
      <c r="H63" s="87">
        <v>666524.42367600009</v>
      </c>
      <c r="I63" s="87">
        <v>636618.93097680004</v>
      </c>
      <c r="J63" s="139">
        <f t="shared" si="1"/>
        <v>-0.13973476803723628</v>
      </c>
    </row>
    <row r="64" spans="2:11">
      <c r="B64" s="152" t="s">
        <v>116</v>
      </c>
      <c r="C64" s="538"/>
      <c r="D64" s="84">
        <f>Level1!$G$47+Level1!$G$48</f>
        <v>329648.97841570002</v>
      </c>
      <c r="E64" s="539">
        <v>377185</v>
      </c>
      <c r="F64" s="539">
        <v>460242.90128310648</v>
      </c>
      <c r="G64" s="83">
        <v>514805.09406819806</v>
      </c>
      <c r="H64" s="83">
        <v>538059.09798199998</v>
      </c>
      <c r="I64" s="83">
        <v>508108.65661999997</v>
      </c>
      <c r="J64" s="595">
        <f t="shared" si="1"/>
        <v>-0.12602839875472238</v>
      </c>
      <c r="K64" s="242"/>
    </row>
    <row r="65" spans="2:11" ht="23.4" customHeight="1">
      <c r="B65" s="152" t="s">
        <v>117</v>
      </c>
      <c r="C65" s="538"/>
      <c r="D65" s="84">
        <f>Level1!$G$50+Level1!$G$51</f>
        <v>26364.97990988064</v>
      </c>
      <c r="E65" s="539">
        <v>36573</v>
      </c>
      <c r="F65" s="539">
        <v>66163.327286090658</v>
      </c>
      <c r="G65" s="83">
        <v>98251.781532101697</v>
      </c>
      <c r="H65" s="83">
        <v>113532.10643700004</v>
      </c>
      <c r="I65" s="83">
        <v>107331.01587450002</v>
      </c>
      <c r="J65" s="595">
        <f t="shared" si="1"/>
        <v>-0.27911355617858424</v>
      </c>
      <c r="K65" s="242"/>
    </row>
    <row r="66" spans="2:11" ht="23.25" customHeight="1">
      <c r="B66" s="152" t="s">
        <v>118</v>
      </c>
      <c r="C66" s="550"/>
      <c r="D66" s="84">
        <f>Level1!$G$52</f>
        <v>22.923464680000002</v>
      </c>
      <c r="E66" s="539">
        <v>59</v>
      </c>
      <c r="F66" s="539">
        <v>1730.4513119999999</v>
      </c>
      <c r="G66" s="83">
        <v>6104.4671660000004</v>
      </c>
      <c r="H66" s="83">
        <v>13402.410093999999</v>
      </c>
      <c r="I66" s="83">
        <v>19717.753462000004</v>
      </c>
      <c r="J66" s="595">
        <f t="shared" si="1"/>
        <v>-0.61146670033898309</v>
      </c>
      <c r="K66" s="242"/>
    </row>
    <row r="67" spans="2:11">
      <c r="B67" s="152" t="s">
        <v>119</v>
      </c>
      <c r="C67" s="538"/>
      <c r="D67" s="84">
        <f>Level1!$G$49</f>
        <v>378.74619900000005</v>
      </c>
      <c r="E67" s="539">
        <v>492</v>
      </c>
      <c r="F67" s="539">
        <v>912.06779040000004</v>
      </c>
      <c r="G67" s="83">
        <v>1421.8450749653464</v>
      </c>
      <c r="H67" s="83">
        <v>1530.8091630000001</v>
      </c>
      <c r="I67" s="83">
        <v>1461.5050202999996</v>
      </c>
      <c r="J67" s="595">
        <f t="shared" si="1"/>
        <v>-0.23019065243902426</v>
      </c>
      <c r="K67" s="242"/>
    </row>
    <row r="68" spans="2:11" ht="30" customHeight="1">
      <c r="B68" s="146" t="s">
        <v>137</v>
      </c>
      <c r="C68" s="543"/>
      <c r="D68" s="874"/>
      <c r="E68" s="551">
        <v>40381</v>
      </c>
      <c r="F68" s="551">
        <v>48774.952080000003</v>
      </c>
      <c r="G68" s="87">
        <v>83342.333642443831</v>
      </c>
      <c r="H68" s="87">
        <v>64309.860719999997</v>
      </c>
      <c r="I68" s="87">
        <v>123495.54346067883</v>
      </c>
      <c r="J68" s="139">
        <f t="shared" si="1"/>
        <v>-1</v>
      </c>
    </row>
    <row r="69" spans="2:11">
      <c r="B69" s="146" t="s">
        <v>138</v>
      </c>
      <c r="C69" s="524"/>
      <c r="D69" s="875">
        <f>'Savings (CSR Only)'!$L$36</f>
        <v>86275.024488208946</v>
      </c>
      <c r="E69" s="551">
        <v>116103</v>
      </c>
      <c r="F69" s="551">
        <v>65012.787181180749</v>
      </c>
      <c r="G69" s="87">
        <v>103010.4</v>
      </c>
      <c r="H69" s="87">
        <v>156940.19609299104</v>
      </c>
      <c r="I69" s="87" t="s">
        <v>104</v>
      </c>
      <c r="J69" s="139">
        <f t="shared" si="1"/>
        <v>-0.25690960192063128</v>
      </c>
    </row>
    <row r="70" spans="2:11">
      <c r="B70" s="162" t="s">
        <v>139</v>
      </c>
      <c r="C70" s="552"/>
      <c r="D70" s="876">
        <v>2.1</v>
      </c>
      <c r="E70" s="687">
        <v>2.1</v>
      </c>
      <c r="F70" s="553" t="s">
        <v>140</v>
      </c>
      <c r="G70" s="87"/>
      <c r="H70" s="87"/>
      <c r="I70" s="87"/>
      <c r="J70" s="139"/>
    </row>
    <row r="71" spans="2:11">
      <c r="B71" s="162" t="s">
        <v>141</v>
      </c>
      <c r="C71" s="552"/>
      <c r="D71" s="877"/>
      <c r="E71" s="687">
        <v>5.5</v>
      </c>
      <c r="F71" s="553" t="s">
        <v>142</v>
      </c>
      <c r="G71" s="87"/>
      <c r="H71" s="87"/>
      <c r="I71" s="87"/>
      <c r="J71" s="139"/>
    </row>
    <row r="72" spans="2:11" ht="16.5" customHeight="1">
      <c r="B72" s="146"/>
      <c r="C72" s="554"/>
      <c r="D72" s="554"/>
      <c r="E72" s="554"/>
      <c r="F72" s="629"/>
      <c r="G72" s="554"/>
      <c r="H72" s="242"/>
      <c r="I72" s="87"/>
      <c r="J72" s="163"/>
    </row>
    <row r="73" spans="2:11">
      <c r="B73" s="146" t="s">
        <v>127</v>
      </c>
      <c r="C73" s="543"/>
      <c r="D73" s="543"/>
      <c r="E73" s="543"/>
      <c r="F73" s="543"/>
      <c r="G73" s="543"/>
      <c r="H73" s="544"/>
      <c r="I73" s="544"/>
      <c r="J73" s="147"/>
    </row>
    <row r="74" spans="2:11" ht="14.25" customHeight="1">
      <c r="B74" s="1868" t="s">
        <v>143</v>
      </c>
      <c r="C74" s="1869"/>
      <c r="D74" s="1869"/>
      <c r="E74" s="1869"/>
      <c r="F74" s="1869"/>
      <c r="G74" s="1869"/>
      <c r="H74" s="1869"/>
      <c r="I74" s="1869"/>
      <c r="J74" s="1878"/>
    </row>
    <row r="75" spans="2:11" ht="14.25" customHeight="1">
      <c r="B75" s="1868" t="s">
        <v>144</v>
      </c>
      <c r="C75" s="1869"/>
      <c r="D75" s="1869"/>
      <c r="E75" s="1869"/>
      <c r="F75" s="1869"/>
      <c r="G75" s="1869"/>
      <c r="H75" s="1869"/>
      <c r="I75" s="1869"/>
      <c r="J75" s="1878"/>
    </row>
    <row r="76" spans="2:11" ht="14.25" customHeight="1">
      <c r="B76" s="1872" t="s">
        <v>145</v>
      </c>
      <c r="C76" s="1873"/>
      <c r="D76" s="1873"/>
      <c r="E76" s="1873"/>
      <c r="F76" s="1873"/>
      <c r="G76" s="1873"/>
      <c r="H76" s="1873"/>
      <c r="I76" s="1873"/>
      <c r="J76" s="1874"/>
    </row>
    <row r="77" spans="2:11" ht="15" customHeight="1">
      <c r="B77" s="1875" t="s">
        <v>146</v>
      </c>
      <c r="C77" s="1876"/>
      <c r="D77" s="1876"/>
      <c r="E77" s="1876"/>
      <c r="F77" s="1876"/>
      <c r="G77" s="1876"/>
      <c r="H77" s="1876"/>
      <c r="I77" s="1876"/>
      <c r="J77" s="1877"/>
    </row>
    <row r="78" spans="2:11" ht="15" customHeight="1">
      <c r="B78" s="1875" t="s">
        <v>147</v>
      </c>
      <c r="C78" s="1876"/>
      <c r="D78" s="1876"/>
      <c r="E78" s="1876"/>
      <c r="F78" s="1876"/>
      <c r="G78" s="1876"/>
      <c r="H78" s="1876"/>
      <c r="I78" s="1876"/>
      <c r="J78" s="1877"/>
    </row>
    <row r="79" spans="2:11" ht="26.25" customHeight="1">
      <c r="B79" s="1884" t="s">
        <v>148</v>
      </c>
      <c r="C79" s="1885"/>
      <c r="D79" s="1885"/>
      <c r="E79" s="1885"/>
      <c r="F79" s="1885"/>
      <c r="G79" s="1885"/>
      <c r="H79" s="1885"/>
      <c r="I79" s="1885"/>
      <c r="J79" s="1886"/>
      <c r="K79" s="242"/>
    </row>
    <row r="80" spans="2:11" ht="15" customHeight="1">
      <c r="B80" s="164"/>
      <c r="C80" s="242"/>
      <c r="D80" s="242"/>
      <c r="E80" s="242"/>
      <c r="F80" s="242"/>
      <c r="G80" s="242"/>
      <c r="H80" s="242"/>
      <c r="I80" s="242"/>
      <c r="J80" s="132"/>
      <c r="K80" s="242"/>
    </row>
    <row r="81" spans="2:11" ht="17.399999999999999">
      <c r="B81" s="192" t="s">
        <v>149</v>
      </c>
      <c r="C81" s="516"/>
      <c r="D81" s="516"/>
      <c r="E81" s="516"/>
      <c r="F81" s="556"/>
      <c r="G81" s="242"/>
      <c r="H81" s="242"/>
      <c r="I81" s="242"/>
      <c r="J81" s="131" t="s">
        <v>112</v>
      </c>
      <c r="K81" s="242"/>
    </row>
    <row r="82" spans="2:11">
      <c r="B82" s="1881" t="s">
        <v>90</v>
      </c>
      <c r="C82" s="1882"/>
      <c r="D82" s="1882"/>
      <c r="E82" s="1882"/>
      <c r="F82" s="1882"/>
      <c r="G82" s="1883"/>
      <c r="H82" s="242"/>
      <c r="I82" s="242"/>
      <c r="J82" s="132"/>
      <c r="K82" s="242"/>
    </row>
    <row r="83" spans="2:11">
      <c r="B83" s="897"/>
      <c r="C83" s="901"/>
      <c r="D83" s="901"/>
      <c r="E83" s="1895" t="s">
        <v>91</v>
      </c>
      <c r="F83" s="1896"/>
      <c r="G83" s="557"/>
      <c r="H83" s="242"/>
      <c r="I83" s="242"/>
      <c r="J83" s="132"/>
      <c r="K83" s="242"/>
    </row>
    <row r="84" spans="2:11" ht="30.6">
      <c r="B84" s="157" t="s">
        <v>150</v>
      </c>
      <c r="C84" s="558" t="s">
        <v>151</v>
      </c>
      <c r="D84" s="558"/>
      <c r="E84" s="495" t="s">
        <v>152</v>
      </c>
      <c r="F84" s="496" t="s">
        <v>153</v>
      </c>
      <c r="H84" s="242"/>
      <c r="I84" s="242"/>
      <c r="J84" s="132"/>
      <c r="K84" s="242"/>
    </row>
    <row r="85" spans="2:11" ht="16.350000000000001" customHeight="1">
      <c r="B85" s="1897" t="s">
        <v>154</v>
      </c>
      <c r="C85" s="526" t="s">
        <v>155</v>
      </c>
      <c r="D85" s="526"/>
      <c r="E85" s="497">
        <f>'Network splits for CSR FY21'!AA5</f>
        <v>964144.94403457851</v>
      </c>
      <c r="F85" s="498">
        <f>'Network splits for CSR FY21'!AC5</f>
        <v>0.82853862238286902</v>
      </c>
      <c r="H85" s="242"/>
      <c r="I85" s="242"/>
      <c r="J85" s="132"/>
      <c r="K85" s="242"/>
    </row>
    <row r="86" spans="2:11" ht="16.350000000000001" customHeight="1">
      <c r="B86" s="1897"/>
      <c r="C86" s="526" t="s">
        <v>156</v>
      </c>
      <c r="D86" s="526"/>
      <c r="E86" s="497">
        <f>'Network splits for CSR FY21'!AA6</f>
        <v>6915.2974415094104</v>
      </c>
      <c r="F86" s="498">
        <f>'Network splits for CSR FY21'!AC6</f>
        <v>5.942665624091575E-3</v>
      </c>
      <c r="H86" s="242"/>
      <c r="I86" s="242"/>
      <c r="J86" s="132"/>
      <c r="K86" s="242"/>
    </row>
    <row r="87" spans="2:11" ht="16.350000000000001" customHeight="1">
      <c r="B87" s="159" t="s">
        <v>157</v>
      </c>
      <c r="C87" s="559" t="s">
        <v>155</v>
      </c>
      <c r="D87" s="559"/>
      <c r="E87" s="499">
        <f>'Network splits for CSR FY21'!AA7</f>
        <v>39229.854248463191</v>
      </c>
      <c r="F87" s="500">
        <f>'Network splits for CSR FY21'!AC7</f>
        <v>3.3712202295318697E-2</v>
      </c>
      <c r="H87" s="242"/>
      <c r="I87" s="242"/>
      <c r="J87" s="132"/>
      <c r="K87" s="242"/>
    </row>
    <row r="88" spans="2:11" ht="16.350000000000001" customHeight="1">
      <c r="B88" s="159"/>
      <c r="C88" s="559" t="s">
        <v>156</v>
      </c>
      <c r="D88" s="559"/>
      <c r="E88" s="499">
        <f>'Network splits for CSR FY21'!AA8</f>
        <v>611.56252749593762</v>
      </c>
      <c r="F88" s="500">
        <f>'Network splits for CSR FY21'!AC8</f>
        <v>5.2554667964352982E-4</v>
      </c>
      <c r="H88" s="242"/>
      <c r="I88" s="242"/>
      <c r="J88" s="132"/>
      <c r="K88" s="242"/>
    </row>
    <row r="89" spans="2:11" ht="16.350000000000001" customHeight="1">
      <c r="B89" s="158" t="s">
        <v>158</v>
      </c>
      <c r="C89" s="526" t="s">
        <v>155</v>
      </c>
      <c r="D89" s="526"/>
      <c r="E89" s="497">
        <f>'Network splits for CSR FY21'!AA9</f>
        <v>127209.04499744732</v>
      </c>
      <c r="F89" s="498">
        <f>'Network splits for CSR FY21'!AC9</f>
        <v>0.10931718052243955</v>
      </c>
      <c r="H89" s="242"/>
      <c r="I89" s="242"/>
      <c r="J89" s="132"/>
      <c r="K89" s="242"/>
    </row>
    <row r="90" spans="2:11" ht="16.350000000000001" customHeight="1">
      <c r="B90" s="158"/>
      <c r="C90" s="526" t="s">
        <v>156</v>
      </c>
      <c r="D90" s="526"/>
      <c r="E90" s="497">
        <f>'Network splits for CSR FY21'!AA10</f>
        <v>563.62234333894605</v>
      </c>
      <c r="F90" s="498">
        <f>'Network splits for CSR FY21'!AC10</f>
        <v>4.8434924933600716E-4</v>
      </c>
      <c r="H90" s="242"/>
      <c r="I90" s="242"/>
      <c r="J90" s="132"/>
      <c r="K90" s="242"/>
    </row>
    <row r="91" spans="2:11" ht="16.350000000000001" customHeight="1">
      <c r="B91" s="159" t="s">
        <v>159</v>
      </c>
      <c r="C91" s="559" t="s">
        <v>156</v>
      </c>
      <c r="D91" s="559"/>
      <c r="E91" s="501">
        <f>'Network splits for CSR FY21'!AA11</f>
        <v>24994.956669117266</v>
      </c>
      <c r="F91" s="502">
        <f>'Network splits for CSR FY21'!AC11</f>
        <v>2.1479433246301603E-2</v>
      </c>
      <c r="H91" s="242"/>
      <c r="I91" s="242"/>
      <c r="J91" s="132"/>
      <c r="K91" s="242"/>
    </row>
    <row r="92" spans="2:11" ht="16.350000000000001" customHeight="1">
      <c r="B92" s="158"/>
      <c r="C92" s="526"/>
      <c r="D92" s="526"/>
      <c r="E92" s="503"/>
      <c r="F92" s="504"/>
      <c r="J92" s="181"/>
    </row>
    <row r="93" spans="2:11" ht="16.350000000000001" customHeight="1">
      <c r="B93" s="146" t="s">
        <v>127</v>
      </c>
      <c r="C93" s="526"/>
      <c r="D93" s="526"/>
      <c r="E93" s="503"/>
      <c r="F93" s="504"/>
      <c r="J93" s="181"/>
    </row>
    <row r="94" spans="2:11" ht="27" customHeight="1">
      <c r="B94" s="1897" t="s">
        <v>160</v>
      </c>
      <c r="C94" s="1915"/>
      <c r="D94" s="1915"/>
      <c r="E94" s="1915"/>
      <c r="F94" s="1915"/>
      <c r="G94" s="1915"/>
      <c r="H94" s="1915"/>
      <c r="I94" s="1915"/>
      <c r="J94" s="1916"/>
      <c r="K94" s="242"/>
    </row>
    <row r="95" spans="2:11" ht="16.350000000000001" customHeight="1">
      <c r="B95" s="158"/>
      <c r="C95" s="543"/>
      <c r="D95" s="543"/>
      <c r="E95" s="543"/>
      <c r="F95" s="543"/>
      <c r="G95" s="544"/>
      <c r="H95" s="544"/>
      <c r="I95" s="544"/>
      <c r="J95" s="147"/>
      <c r="K95" s="242"/>
    </row>
    <row r="96" spans="2:11" ht="16.350000000000001" customHeight="1">
      <c r="B96" s="417" t="s">
        <v>161</v>
      </c>
      <c r="C96" s="560"/>
      <c r="D96" s="560"/>
      <c r="E96" s="560"/>
      <c r="F96" s="560"/>
      <c r="G96" s="528"/>
      <c r="H96" s="528"/>
      <c r="I96" s="528"/>
      <c r="J96" s="489" t="s">
        <v>162</v>
      </c>
      <c r="K96" s="242"/>
    </row>
    <row r="97" spans="1:11" ht="16.350000000000001" customHeight="1">
      <c r="B97" s="1881" t="s">
        <v>90</v>
      </c>
      <c r="C97" s="1887"/>
      <c r="D97" s="898"/>
      <c r="E97" s="900"/>
      <c r="F97" s="900"/>
      <c r="G97" s="528"/>
      <c r="H97" s="528"/>
      <c r="I97" s="528"/>
      <c r="J97" s="490"/>
      <c r="K97" s="242"/>
    </row>
    <row r="98" spans="1:11" ht="16.350000000000001" customHeight="1">
      <c r="B98" s="899"/>
      <c r="D98" s="735" t="s">
        <v>91</v>
      </c>
      <c r="E98" s="561" t="s">
        <v>3</v>
      </c>
      <c r="F98" s="561" t="s">
        <v>163</v>
      </c>
      <c r="G98" s="561" t="s">
        <v>93</v>
      </c>
      <c r="H98" s="561" t="s">
        <v>94</v>
      </c>
      <c r="I98" s="561" t="s">
        <v>95</v>
      </c>
      <c r="J98" s="597" t="s">
        <v>164</v>
      </c>
      <c r="K98" s="242"/>
    </row>
    <row r="99" spans="1:11" ht="16.350000000000001" customHeight="1">
      <c r="B99" s="899" t="s">
        <v>165</v>
      </c>
      <c r="D99" s="88">
        <f>D100/D106</f>
        <v>9.8022582367300526</v>
      </c>
      <c r="E99" s="87">
        <f>E100/E106</f>
        <v>83.266800653184276</v>
      </c>
      <c r="F99" s="562">
        <f>F100/F106</f>
        <v>112.03169120282936</v>
      </c>
      <c r="G99" s="563">
        <v>142</v>
      </c>
      <c r="H99" s="563">
        <v>187</v>
      </c>
      <c r="I99" s="563">
        <v>256</v>
      </c>
      <c r="J99" s="505">
        <f t="shared" ref="J99:J106" si="2">D99/E99-1</f>
        <v>-0.88227891356655364</v>
      </c>
      <c r="K99" s="242"/>
    </row>
    <row r="100" spans="1:11" ht="37.5" customHeight="1">
      <c r="B100" s="598" t="s">
        <v>166</v>
      </c>
      <c r="C100" s="564"/>
      <c r="D100" s="688">
        <f>D8+D9+D101</f>
        <v>166214.11603533363</v>
      </c>
      <c r="E100" s="690">
        <v>1325774</v>
      </c>
      <c r="F100" s="565">
        <f>F101+F8+F9</f>
        <v>1403198.9300776892</v>
      </c>
      <c r="G100" s="565">
        <v>1445613</v>
      </c>
      <c r="H100" s="565">
        <v>1498597</v>
      </c>
      <c r="I100" s="180">
        <v>1540304</v>
      </c>
      <c r="J100" s="599">
        <f t="shared" si="2"/>
        <v>-0.87462861993421681</v>
      </c>
      <c r="K100" s="242"/>
    </row>
    <row r="101" spans="1:11" ht="22.8">
      <c r="B101" s="598" t="s">
        <v>167</v>
      </c>
      <c r="C101" s="564"/>
      <c r="D101" s="689">
        <f>SUM(D102:D105)</f>
        <v>113955.05526939532</v>
      </c>
      <c r="E101" s="690">
        <v>145243</v>
      </c>
      <c r="F101" s="565">
        <f>SUM(F102:F105)</f>
        <v>165747.18766838987</v>
      </c>
      <c r="G101" s="565">
        <v>181208</v>
      </c>
      <c r="H101" s="565">
        <v>192454</v>
      </c>
      <c r="I101" s="565">
        <v>200915</v>
      </c>
      <c r="J101" s="599">
        <f t="shared" si="2"/>
        <v>-0.21541791845806457</v>
      </c>
      <c r="K101" s="242"/>
    </row>
    <row r="102" spans="1:11">
      <c r="B102" s="600" t="s">
        <v>168</v>
      </c>
      <c r="C102" s="564"/>
      <c r="D102" s="868">
        <f>Level1!$J$39/1000</f>
        <v>124367.89339393991</v>
      </c>
      <c r="E102" s="684">
        <v>129581</v>
      </c>
      <c r="F102" s="565">
        <v>141117.29447856822</v>
      </c>
      <c r="G102" s="565">
        <v>156087</v>
      </c>
      <c r="H102" s="565">
        <v>168236</v>
      </c>
      <c r="I102" s="565">
        <v>173585</v>
      </c>
      <c r="J102" s="599">
        <f t="shared" si="2"/>
        <v>-4.0230485997639231E-2</v>
      </c>
      <c r="K102" s="242"/>
    </row>
    <row r="103" spans="1:11">
      <c r="A103" s="233"/>
      <c r="B103" s="600" t="s">
        <v>169</v>
      </c>
      <c r="C103" s="564"/>
      <c r="D103" s="868">
        <f>(Level1!$J$53-Level1!$J$39)/1000</f>
        <v>-23257.490733605118</v>
      </c>
      <c r="E103" s="684">
        <v>1886</v>
      </c>
      <c r="F103" s="565">
        <v>2431.9905421326457</v>
      </c>
      <c r="G103" s="565">
        <v>2874</v>
      </c>
      <c r="H103" s="565">
        <v>2745</v>
      </c>
      <c r="I103" s="565">
        <v>2694</v>
      </c>
      <c r="J103" s="599">
        <f t="shared" si="2"/>
        <v>-13.331649381550964</v>
      </c>
      <c r="K103" s="242"/>
    </row>
    <row r="104" spans="1:11">
      <c r="B104" s="600" t="s">
        <v>170</v>
      </c>
      <c r="C104" s="564"/>
      <c r="D104" s="868">
        <f>'Flights (CSR Only)'!$N$45</f>
        <v>9317.3060090605068</v>
      </c>
      <c r="E104" s="684">
        <v>9317</v>
      </c>
      <c r="F104" s="565">
        <v>16929.096377529007</v>
      </c>
      <c r="G104" s="565">
        <v>14717</v>
      </c>
      <c r="H104" s="565">
        <v>14225</v>
      </c>
      <c r="I104" s="565">
        <v>17710</v>
      </c>
      <c r="J104" s="599">
        <f t="shared" si="2"/>
        <v>3.2844162338285798E-5</v>
      </c>
    </row>
    <row r="105" spans="1:11">
      <c r="B105" s="600" t="s">
        <v>171</v>
      </c>
      <c r="C105" s="564"/>
      <c r="D105" s="868">
        <f>D162*1.2</f>
        <v>3527.346600000013</v>
      </c>
      <c r="E105" s="684">
        <v>4458</v>
      </c>
      <c r="F105" s="565">
        <v>5268.8062701599993</v>
      </c>
      <c r="G105" s="565">
        <v>7530</v>
      </c>
      <c r="H105" s="565">
        <v>7249</v>
      </c>
      <c r="I105" s="565">
        <v>6926</v>
      </c>
      <c r="J105" s="599">
        <f t="shared" si="2"/>
        <v>-0.2087602960969015</v>
      </c>
    </row>
    <row r="106" spans="1:11">
      <c r="B106" s="598" t="s">
        <v>172</v>
      </c>
      <c r="C106" s="564"/>
      <c r="D106" s="878">
        <f>'Petabytes (CSR)'!$N$5/1000</f>
        <v>16956.716709677421</v>
      </c>
      <c r="E106" s="684">
        <v>15922</v>
      </c>
      <c r="F106" s="565">
        <v>12525.017832117233</v>
      </c>
      <c r="G106" s="565">
        <v>10191</v>
      </c>
      <c r="H106" s="565">
        <v>8007</v>
      </c>
      <c r="I106" s="180">
        <v>6006</v>
      </c>
      <c r="J106" s="599">
        <f t="shared" si="2"/>
        <v>6.4986604049580565E-2</v>
      </c>
      <c r="K106" s="242"/>
    </row>
    <row r="107" spans="1:11">
      <c r="B107" s="182"/>
      <c r="C107" s="900"/>
      <c r="D107" s="900"/>
      <c r="E107" s="566"/>
      <c r="F107" s="567"/>
      <c r="G107" s="900"/>
      <c r="H107" s="900"/>
      <c r="I107" s="900"/>
      <c r="J107" s="490"/>
      <c r="K107" s="242"/>
    </row>
    <row r="108" spans="1:11" ht="18.899999999999999" customHeight="1">
      <c r="B108" s="182" t="s">
        <v>105</v>
      </c>
      <c r="C108" s="900"/>
      <c r="D108" s="900"/>
      <c r="E108" s="900"/>
      <c r="F108" s="900"/>
      <c r="G108" s="900"/>
      <c r="H108" s="900"/>
      <c r="I108" s="900"/>
      <c r="J108" s="490"/>
      <c r="K108" s="242"/>
    </row>
    <row r="109" spans="1:11" ht="18.75" customHeight="1">
      <c r="B109" s="1904" t="s">
        <v>173</v>
      </c>
      <c r="C109" s="1905"/>
      <c r="D109" s="1905"/>
      <c r="E109" s="1905"/>
      <c r="F109" s="1905"/>
      <c r="G109" s="1905"/>
      <c r="H109" s="1905"/>
      <c r="I109" s="1905"/>
      <c r="J109" s="1906"/>
      <c r="K109" s="242"/>
    </row>
    <row r="110" spans="1:11" ht="15.75" customHeight="1">
      <c r="B110" s="1912" t="s">
        <v>174</v>
      </c>
      <c r="C110" s="1913"/>
      <c r="D110" s="1913"/>
      <c r="E110" s="1913"/>
      <c r="F110" s="1913"/>
      <c r="G110" s="1913"/>
      <c r="H110" s="1913"/>
      <c r="I110" s="1913"/>
      <c r="J110" s="1914"/>
      <c r="K110" s="242"/>
    </row>
    <row r="111" spans="1:11" ht="26.25" customHeight="1">
      <c r="B111" s="1901" t="s">
        <v>175</v>
      </c>
      <c r="C111" s="1902"/>
      <c r="D111" s="1902"/>
      <c r="E111" s="1902"/>
      <c r="F111" s="1902"/>
      <c r="G111" s="1902"/>
      <c r="H111" s="1902"/>
      <c r="I111" s="1902"/>
      <c r="J111" s="1903"/>
      <c r="K111" s="242"/>
    </row>
    <row r="112" spans="1:11" ht="15.6" customHeight="1">
      <c r="B112" s="146"/>
      <c r="C112" s="543"/>
      <c r="D112" s="543"/>
      <c r="E112" s="543"/>
      <c r="F112" s="543"/>
      <c r="G112" s="544"/>
      <c r="H112" s="544"/>
      <c r="I112" s="544"/>
      <c r="J112" s="147"/>
      <c r="K112" s="242"/>
    </row>
    <row r="113" spans="2:11" ht="19.2">
      <c r="B113" s="192" t="s">
        <v>176</v>
      </c>
      <c r="C113" s="568"/>
      <c r="D113" s="568"/>
      <c r="E113" s="569"/>
      <c r="F113" s="570"/>
      <c r="G113" s="242"/>
      <c r="H113" s="571"/>
      <c r="I113" s="542"/>
      <c r="J113" s="131" t="s">
        <v>177</v>
      </c>
      <c r="K113" s="242"/>
    </row>
    <row r="114" spans="2:11">
      <c r="B114" s="1881" t="s">
        <v>90</v>
      </c>
      <c r="C114" s="1882"/>
      <c r="D114" s="1882"/>
      <c r="E114" s="1882"/>
      <c r="F114" s="1882"/>
      <c r="G114" s="1883"/>
      <c r="H114" s="571"/>
      <c r="I114" s="542"/>
      <c r="J114" s="132"/>
      <c r="K114" s="242"/>
    </row>
    <row r="115" spans="2:11">
      <c r="B115" s="897"/>
      <c r="C115" s="901"/>
      <c r="D115" s="901"/>
      <c r="E115" s="901"/>
      <c r="F115" s="901"/>
      <c r="G115" s="557"/>
      <c r="H115" s="571"/>
      <c r="I115" s="542"/>
      <c r="J115" s="132"/>
      <c r="K115" s="242"/>
    </row>
    <row r="116" spans="2:11" ht="25.2">
      <c r="B116" s="1910" t="s">
        <v>178</v>
      </c>
      <c r="C116" s="1911"/>
      <c r="D116" s="893"/>
      <c r="E116" s="643" t="s">
        <v>179</v>
      </c>
      <c r="G116" s="242"/>
      <c r="H116" s="571"/>
      <c r="I116" s="542"/>
      <c r="J116" s="132"/>
      <c r="K116" s="242"/>
    </row>
    <row r="117" spans="2:11">
      <c r="B117" s="601" t="s">
        <v>180</v>
      </c>
      <c r="C117" s="538"/>
      <c r="D117" s="538"/>
      <c r="E117" s="84"/>
      <c r="G117" s="242"/>
      <c r="H117" s="242"/>
      <c r="I117" s="242"/>
      <c r="J117" s="132"/>
      <c r="K117" s="242"/>
    </row>
    <row r="118" spans="2:11">
      <c r="B118" s="601" t="s">
        <v>181</v>
      </c>
      <c r="C118" s="538"/>
      <c r="D118" s="538"/>
      <c r="E118" s="84"/>
      <c r="G118" s="242"/>
      <c r="H118" s="242"/>
      <c r="I118" s="242"/>
      <c r="J118" s="132"/>
      <c r="K118" s="242"/>
    </row>
    <row r="119" spans="2:11">
      <c r="B119" s="601" t="s">
        <v>182</v>
      </c>
      <c r="C119" s="538"/>
      <c r="D119" s="538"/>
      <c r="E119" s="84"/>
      <c r="G119" s="242"/>
      <c r="H119" s="242"/>
      <c r="I119" s="242"/>
      <c r="J119" s="132"/>
      <c r="K119" s="242"/>
    </row>
    <row r="120" spans="2:11">
      <c r="B120" s="601" t="s">
        <v>183</v>
      </c>
      <c r="C120" s="538"/>
      <c r="D120" s="538"/>
      <c r="E120" s="84"/>
      <c r="G120" s="242"/>
      <c r="H120" s="242"/>
      <c r="I120" s="242"/>
      <c r="J120" s="132"/>
      <c r="K120" s="242"/>
    </row>
    <row r="121" spans="2:11">
      <c r="B121" s="601" t="s">
        <v>184</v>
      </c>
      <c r="C121" s="538"/>
      <c r="D121" s="538"/>
      <c r="E121" s="84"/>
      <c r="G121" s="242"/>
      <c r="H121" s="242"/>
      <c r="I121" s="242"/>
      <c r="J121" s="132"/>
      <c r="K121" s="242"/>
    </row>
    <row r="122" spans="2:11">
      <c r="B122" s="601" t="s">
        <v>185</v>
      </c>
      <c r="C122" s="538"/>
      <c r="D122" s="538"/>
      <c r="E122" s="84"/>
      <c r="G122" s="242"/>
      <c r="H122" s="242"/>
      <c r="I122" s="242"/>
      <c r="J122" s="132"/>
      <c r="K122" s="242"/>
    </row>
    <row r="123" spans="2:11">
      <c r="B123" s="601" t="s">
        <v>186</v>
      </c>
      <c r="C123" s="538"/>
      <c r="D123" s="538"/>
      <c r="E123" s="84"/>
      <c r="G123" s="242"/>
      <c r="H123" s="242"/>
      <c r="I123" s="242"/>
      <c r="J123" s="132"/>
      <c r="K123" s="242"/>
    </row>
    <row r="124" spans="2:11">
      <c r="B124" s="601" t="s">
        <v>187</v>
      </c>
      <c r="C124" s="538"/>
      <c r="D124" s="538"/>
      <c r="E124" s="84"/>
      <c r="G124" s="242"/>
      <c r="H124" s="242"/>
      <c r="I124" s="242"/>
      <c r="J124" s="132"/>
      <c r="K124" s="242"/>
    </row>
    <row r="125" spans="2:11">
      <c r="B125" s="601" t="s">
        <v>188</v>
      </c>
      <c r="C125" s="538"/>
      <c r="D125" s="538"/>
      <c r="E125" s="84"/>
      <c r="G125" s="242"/>
      <c r="H125" s="242"/>
      <c r="I125" s="242"/>
      <c r="J125" s="132"/>
      <c r="K125" s="242"/>
    </row>
    <row r="126" spans="2:11" ht="15" customHeight="1">
      <c r="B126" s="601" t="s">
        <v>189</v>
      </c>
      <c r="C126" s="538"/>
      <c r="D126" s="538"/>
      <c r="E126" s="84"/>
      <c r="G126" s="242"/>
      <c r="H126" s="242"/>
      <c r="I126" s="242"/>
      <c r="J126" s="132"/>
      <c r="K126" s="242"/>
    </row>
    <row r="127" spans="2:11">
      <c r="B127" s="601" t="s">
        <v>190</v>
      </c>
      <c r="C127" s="538"/>
      <c r="D127" s="538"/>
      <c r="E127" s="84"/>
      <c r="G127" s="242"/>
      <c r="H127" s="242"/>
      <c r="I127" s="242"/>
      <c r="J127" s="132"/>
      <c r="K127" s="242"/>
    </row>
    <row r="128" spans="2:11">
      <c r="B128" s="601" t="s">
        <v>191</v>
      </c>
      <c r="C128" s="538"/>
      <c r="D128" s="538"/>
      <c r="E128" s="84"/>
      <c r="G128" s="242"/>
      <c r="H128" s="242"/>
      <c r="I128" s="242"/>
      <c r="J128" s="132"/>
      <c r="K128" s="242"/>
    </row>
    <row r="129" spans="2:11">
      <c r="B129" s="601" t="s">
        <v>192</v>
      </c>
      <c r="C129" s="538"/>
      <c r="D129" s="538"/>
      <c r="E129" s="84"/>
      <c r="G129" s="242"/>
      <c r="H129" s="242"/>
      <c r="I129" s="242"/>
      <c r="J129" s="132"/>
      <c r="K129" s="242"/>
    </row>
    <row r="130" spans="2:11">
      <c r="B130" s="601" t="s">
        <v>193</v>
      </c>
      <c r="C130" s="538"/>
      <c r="D130" s="538"/>
      <c r="E130" s="84"/>
      <c r="G130" s="242"/>
      <c r="H130" s="242"/>
      <c r="I130" s="242"/>
      <c r="J130" s="132"/>
    </row>
    <row r="131" spans="2:11" ht="17.100000000000001" customHeight="1">
      <c r="B131" s="601" t="s">
        <v>194</v>
      </c>
      <c r="C131" s="538"/>
      <c r="D131" s="538"/>
      <c r="E131" s="506"/>
      <c r="G131" s="242"/>
      <c r="H131" s="242"/>
      <c r="I131" s="242"/>
      <c r="J131" s="132"/>
      <c r="K131" s="242"/>
    </row>
    <row r="132" spans="2:11" ht="17.100000000000001" customHeight="1">
      <c r="B132" s="1898"/>
      <c r="C132" s="1899"/>
      <c r="D132" s="1899"/>
      <c r="E132" s="1899"/>
      <c r="F132" s="1899"/>
      <c r="G132" s="1899"/>
      <c r="H132" s="1899"/>
      <c r="I132" s="1899"/>
      <c r="J132" s="1900"/>
      <c r="K132" s="242"/>
    </row>
    <row r="133" spans="2:11" ht="17.100000000000001" customHeight="1">
      <c r="B133" s="1872" t="s">
        <v>195</v>
      </c>
      <c r="C133" s="1873"/>
      <c r="D133" s="1873"/>
      <c r="E133" s="1873"/>
      <c r="F133" s="1873"/>
      <c r="G133" s="1873"/>
      <c r="H133" s="1873"/>
      <c r="I133" s="1873"/>
      <c r="J133" s="1874"/>
      <c r="K133" s="242"/>
    </row>
    <row r="134" spans="2:11" ht="17.100000000000001" customHeight="1">
      <c r="B134" s="1875" t="s">
        <v>196</v>
      </c>
      <c r="C134" s="1876"/>
      <c r="D134" s="1876"/>
      <c r="E134" s="1876"/>
      <c r="F134" s="1876"/>
      <c r="G134" s="1876"/>
      <c r="H134" s="1876"/>
      <c r="I134" s="1876"/>
      <c r="J134" s="1877"/>
      <c r="K134" s="242"/>
    </row>
    <row r="135" spans="2:11" ht="17.100000000000001" customHeight="1">
      <c r="B135" s="1907" t="s">
        <v>197</v>
      </c>
      <c r="C135" s="1908"/>
      <c r="D135" s="1908"/>
      <c r="E135" s="1908"/>
      <c r="F135" s="1908"/>
      <c r="G135" s="1908"/>
      <c r="H135" s="1908"/>
      <c r="I135" s="1908"/>
      <c r="J135" s="1909"/>
      <c r="K135" s="242"/>
    </row>
    <row r="136" spans="2:11" ht="26.25" customHeight="1">
      <c r="B136" s="1884" t="s">
        <v>198</v>
      </c>
      <c r="C136" s="1885"/>
      <c r="D136" s="1885"/>
      <c r="E136" s="1885"/>
      <c r="F136" s="1885"/>
      <c r="G136" s="1885"/>
      <c r="H136" s="1885"/>
      <c r="I136" s="1885"/>
      <c r="J136" s="1886"/>
      <c r="K136" s="242"/>
    </row>
    <row r="137" spans="2:11" ht="26.25" customHeight="1">
      <c r="K137" s="242"/>
    </row>
    <row r="138" spans="2:11" ht="21" customHeight="1">
      <c r="B138" s="155"/>
      <c r="C138" s="554"/>
      <c r="D138" s="554"/>
      <c r="E138" s="554"/>
      <c r="F138" s="554"/>
      <c r="G138" s="554"/>
      <c r="H138" s="242"/>
      <c r="I138" s="242"/>
      <c r="J138" s="132"/>
      <c r="K138" s="242"/>
    </row>
    <row r="139" spans="2:11" ht="20.100000000000001" customHeight="1">
      <c r="B139" s="156" t="s">
        <v>199</v>
      </c>
      <c r="C139" s="545"/>
      <c r="D139" s="545"/>
      <c r="E139" s="545"/>
      <c r="F139" s="517"/>
      <c r="G139" s="515"/>
      <c r="H139" s="242"/>
      <c r="I139" s="242"/>
      <c r="J139" s="131"/>
      <c r="K139" s="242"/>
    </row>
    <row r="140" spans="2:11">
      <c r="B140" s="897" t="s">
        <v>200</v>
      </c>
      <c r="C140" s="520"/>
      <c r="D140" s="520"/>
      <c r="E140" s="520"/>
      <c r="F140" s="572"/>
      <c r="G140" s="573"/>
      <c r="H140" s="242"/>
      <c r="I140" s="242"/>
      <c r="J140" s="132"/>
      <c r="K140" s="242"/>
    </row>
    <row r="141" spans="2:11" ht="27" customHeight="1">
      <c r="B141" s="165"/>
      <c r="C141" s="574"/>
      <c r="D141" s="734" t="s">
        <v>91</v>
      </c>
      <c r="E141" s="523" t="s">
        <v>3</v>
      </c>
      <c r="F141" s="523" t="s">
        <v>92</v>
      </c>
      <c r="G141" s="523" t="s">
        <v>93</v>
      </c>
      <c r="H141" s="523" t="s">
        <v>94</v>
      </c>
      <c r="I141" s="523" t="s">
        <v>95</v>
      </c>
      <c r="J141" s="134" t="s">
        <v>96</v>
      </c>
      <c r="K141" s="242"/>
    </row>
    <row r="142" spans="2:11">
      <c r="B142" s="135" t="s">
        <v>201</v>
      </c>
      <c r="C142" s="524"/>
      <c r="D142" s="88">
        <f>D143+D144</f>
        <v>5572802.5293999976</v>
      </c>
      <c r="E142" s="87">
        <f>E143+E144</f>
        <v>48574071.724797122</v>
      </c>
      <c r="F142" s="87">
        <v>86567327.066097647</v>
      </c>
      <c r="G142" s="87">
        <v>73908445.702636898</v>
      </c>
      <c r="H142" s="87">
        <v>70142808.122068703</v>
      </c>
      <c r="I142" s="87">
        <v>83664847.526481494</v>
      </c>
      <c r="J142" s="139">
        <f>D142/E142-1</f>
        <v>-0.88527207352569792</v>
      </c>
      <c r="K142" s="242"/>
    </row>
    <row r="143" spans="2:11">
      <c r="B143" s="511" t="s">
        <v>202</v>
      </c>
      <c r="C143" s="524"/>
      <c r="D143" s="84">
        <f>'Flights (CSR Only)'!N5</f>
        <v>5032164.5434999978</v>
      </c>
      <c r="E143" s="539">
        <f>'Flights (CSR Only)'!$N$23</f>
        <v>29898666.694897123</v>
      </c>
      <c r="F143" s="539">
        <v>51291684.617324896</v>
      </c>
      <c r="G143" s="83">
        <v>46566282.933354303</v>
      </c>
      <c r="H143" s="83">
        <v>43894274.957935318</v>
      </c>
      <c r="I143" s="83">
        <v>50480813.716648713</v>
      </c>
      <c r="J143" s="595">
        <f>D143/E143-1</f>
        <v>-0.83169267730728447</v>
      </c>
      <c r="K143" s="242"/>
    </row>
    <row r="144" spans="2:11">
      <c r="B144" s="511" t="s">
        <v>203</v>
      </c>
      <c r="C144" s="524"/>
      <c r="D144" s="736">
        <f>'Flights (CSR Only)'!N8</f>
        <v>540637.98590000009</v>
      </c>
      <c r="E144" s="83">
        <f>'Flights (CSR Only)'!$N$26</f>
        <v>18675405.029899999</v>
      </c>
      <c r="F144" s="83">
        <v>35275642.448772758</v>
      </c>
      <c r="G144" s="83">
        <v>27342162.769282594</v>
      </c>
      <c r="H144" s="83">
        <v>26248533.164133385</v>
      </c>
      <c r="I144" s="83">
        <v>33184034</v>
      </c>
      <c r="J144" s="595">
        <f>D144/E144-1</f>
        <v>-0.97105080264473953</v>
      </c>
      <c r="K144" s="242"/>
    </row>
    <row r="145" spans="2:16">
      <c r="B145" s="511"/>
      <c r="C145" s="524"/>
      <c r="D145" s="524"/>
      <c r="E145" s="642"/>
      <c r="F145" s="642"/>
      <c r="G145" s="642"/>
      <c r="H145" s="642"/>
      <c r="I145" s="642"/>
      <c r="J145" s="642"/>
      <c r="K145" s="242"/>
    </row>
    <row r="146" spans="2:16" ht="21" customHeight="1">
      <c r="B146" s="166"/>
      <c r="C146" s="575"/>
      <c r="D146" s="575"/>
      <c r="E146" s="575"/>
      <c r="F146" s="242"/>
      <c r="G146" s="242"/>
      <c r="H146" s="242"/>
      <c r="I146" s="242"/>
      <c r="J146" s="132"/>
      <c r="K146" s="242"/>
    </row>
    <row r="147" spans="2:16" ht="22.8">
      <c r="B147" s="594" t="s">
        <v>204</v>
      </c>
      <c r="C147" s="242"/>
      <c r="D147" s="242"/>
      <c r="E147" s="242"/>
      <c r="F147" s="242"/>
      <c r="G147" s="242"/>
      <c r="H147" s="242"/>
      <c r="I147" s="242"/>
      <c r="J147" s="132"/>
      <c r="K147" s="242"/>
    </row>
    <row r="148" spans="2:16" ht="20.100000000000001" customHeight="1">
      <c r="B148" s="156" t="s">
        <v>205</v>
      </c>
      <c r="C148" s="545"/>
      <c r="D148" s="545"/>
      <c r="E148" s="515"/>
      <c r="F148" s="242"/>
      <c r="G148" s="242"/>
      <c r="H148" s="242"/>
      <c r="J148" s="131" t="s">
        <v>206</v>
      </c>
      <c r="K148" s="242"/>
    </row>
    <row r="149" spans="2:16">
      <c r="B149" s="897" t="s">
        <v>207</v>
      </c>
      <c r="C149" s="520"/>
      <c r="D149" s="520"/>
      <c r="E149" s="518"/>
      <c r="F149" s="242"/>
      <c r="G149" s="242"/>
      <c r="H149" s="242"/>
      <c r="I149" s="242"/>
      <c r="J149" s="132"/>
      <c r="K149" s="242"/>
    </row>
    <row r="150" spans="2:16" ht="27" customHeight="1">
      <c r="B150" s="168"/>
      <c r="C150" s="576"/>
      <c r="D150" s="734" t="s">
        <v>91</v>
      </c>
      <c r="E150" s="523" t="s">
        <v>3</v>
      </c>
      <c r="F150" s="523" t="s">
        <v>92</v>
      </c>
      <c r="G150" s="523" t="s">
        <v>93</v>
      </c>
      <c r="H150" s="523" t="s">
        <v>94</v>
      </c>
      <c r="I150" s="523" t="s">
        <v>95</v>
      </c>
      <c r="J150" s="134" t="s">
        <v>96</v>
      </c>
    </row>
    <row r="151" spans="2:16">
      <c r="B151" s="135" t="s">
        <v>208</v>
      </c>
      <c r="C151" s="87"/>
      <c r="D151" s="88">
        <f>'Waste (CSR Only) FY21'!I21</f>
        <v>7356.0185000000074</v>
      </c>
      <c r="E151" s="87">
        <v>9905.6903054605973</v>
      </c>
      <c r="F151" s="87">
        <v>9987.9637218999997</v>
      </c>
      <c r="G151" s="87">
        <v>13423.475845599998</v>
      </c>
      <c r="H151" s="87">
        <v>13675.5866379</v>
      </c>
      <c r="I151" s="87">
        <v>15044</v>
      </c>
      <c r="J151" s="139">
        <f t="shared" ref="J151:J161" si="3">D151/E151-1</f>
        <v>-0.25739466173852232</v>
      </c>
    </row>
    <row r="152" spans="2:16" s="169" customFormat="1" ht="14.4">
      <c r="B152" s="902" t="s">
        <v>209</v>
      </c>
      <c r="C152" s="577"/>
      <c r="D152" s="507">
        <f>'Waste (CSR Only) FY21'!I22</f>
        <v>4416.5629999999965</v>
      </c>
      <c r="E152" s="577">
        <v>6190.4875608969687</v>
      </c>
      <c r="F152" s="577">
        <v>5597.1838300999989</v>
      </c>
      <c r="G152" s="577">
        <v>7148.3863379000004</v>
      </c>
      <c r="H152" s="90">
        <v>7635.1314973000008</v>
      </c>
      <c r="I152" s="90">
        <v>9712.3706540000021</v>
      </c>
      <c r="J152" s="602">
        <f t="shared" si="3"/>
        <v>-0.28655651811695748</v>
      </c>
      <c r="K152"/>
      <c r="L152"/>
    </row>
    <row r="153" spans="2:16">
      <c r="B153" s="170" t="s">
        <v>210</v>
      </c>
      <c r="C153" s="578"/>
      <c r="D153" s="508">
        <f>'Waste (CSR Only) FY21'!I23</f>
        <v>684.66429999999696</v>
      </c>
      <c r="E153" s="578">
        <v>1024.5510491969669</v>
      </c>
      <c r="F153" s="578">
        <v>2001.8171568999999</v>
      </c>
      <c r="G153" s="578">
        <v>1999.9896635</v>
      </c>
      <c r="H153" s="83">
        <v>2657.9914417999998</v>
      </c>
      <c r="I153" s="83">
        <v>2828.8702700000013</v>
      </c>
      <c r="J153" s="595">
        <f t="shared" si="3"/>
        <v>-0.33174213179847878</v>
      </c>
    </row>
    <row r="154" spans="2:16">
      <c r="B154" s="170" t="s">
        <v>211</v>
      </c>
      <c r="C154" s="578"/>
      <c r="D154" s="508">
        <f>'Waste (CSR Only) FY21'!I24</f>
        <v>604.16599999999698</v>
      </c>
      <c r="E154" s="578">
        <v>837.46235196363352</v>
      </c>
      <c r="F154" s="578">
        <v>1601.1470934999998</v>
      </c>
      <c r="G154" s="578">
        <v>1840.4082077</v>
      </c>
      <c r="H154" s="83">
        <v>2369.7508726999999</v>
      </c>
      <c r="I154" s="83">
        <v>2241.4581600000001</v>
      </c>
      <c r="J154" s="595">
        <f t="shared" si="3"/>
        <v>-0.27857533107800803</v>
      </c>
      <c r="K154" s="244"/>
    </row>
    <row r="155" spans="2:16">
      <c r="B155" s="170" t="s">
        <v>212</v>
      </c>
      <c r="C155" s="578"/>
      <c r="D155" s="508">
        <f>'Waste (CSR Only) FY21'!I25</f>
        <v>48.281699999999965</v>
      </c>
      <c r="E155" s="578">
        <v>142.42989270000015</v>
      </c>
      <c r="F155" s="578">
        <v>390.20330730000001</v>
      </c>
      <c r="G155" s="578">
        <v>143.88327269999999</v>
      </c>
      <c r="H155" s="83">
        <v>138.53730909999999</v>
      </c>
      <c r="I155" s="83">
        <v>190.47364999999999</v>
      </c>
      <c r="J155" s="595">
        <f t="shared" si="3"/>
        <v>-0.66101427807928193</v>
      </c>
    </row>
    <row r="156" spans="2:16">
      <c r="B156" s="170" t="s">
        <v>213</v>
      </c>
      <c r="C156" s="578"/>
      <c r="D156" s="508">
        <f>'Waste (CSR Only) FY21'!I26</f>
        <v>32.216599999999993</v>
      </c>
      <c r="E156" s="578">
        <v>44.658804533333331</v>
      </c>
      <c r="F156" s="578">
        <v>10.4667561</v>
      </c>
      <c r="G156" s="578">
        <v>15.698183100000001</v>
      </c>
      <c r="H156" s="83">
        <v>149.70326</v>
      </c>
      <c r="I156" s="83">
        <v>396.93846000000121</v>
      </c>
      <c r="J156" s="595">
        <f t="shared" si="3"/>
        <v>-0.27860585753132905</v>
      </c>
    </row>
    <row r="157" spans="2:16">
      <c r="B157" s="170" t="s">
        <v>214</v>
      </c>
      <c r="C157" s="578"/>
      <c r="D157" s="508">
        <f>'Waste (CSR Only) FY21'!I27</f>
        <v>629.15739999999926</v>
      </c>
      <c r="E157" s="578">
        <v>1242.7233831000003</v>
      </c>
      <c r="F157" s="578">
        <v>609.79411010000013</v>
      </c>
      <c r="G157" s="578">
        <v>1283.2047132</v>
      </c>
      <c r="H157" s="83">
        <v>630.19825000000003</v>
      </c>
      <c r="I157" s="83">
        <v>1340.08132</v>
      </c>
      <c r="J157" s="595">
        <f t="shared" si="3"/>
        <v>-0.49372691577545391</v>
      </c>
    </row>
    <row r="158" spans="2:16" s="169" customFormat="1" ht="14.4">
      <c r="B158" s="170" t="s">
        <v>215</v>
      </c>
      <c r="C158" s="578"/>
      <c r="D158" s="508">
        <f>'Waste (CSR Only) FY21'!I28</f>
        <v>3102.7413000000001</v>
      </c>
      <c r="E158" s="578">
        <v>3923.2131286000008</v>
      </c>
      <c r="F158" s="578">
        <v>2985.51188</v>
      </c>
      <c r="G158" s="578">
        <v>3865.1919611999997</v>
      </c>
      <c r="H158" s="83">
        <v>4346.9418055000006</v>
      </c>
      <c r="I158" s="83">
        <v>5543.4190639999997</v>
      </c>
      <c r="J158" s="595">
        <f t="shared" si="3"/>
        <v>-0.20913261699162033</v>
      </c>
      <c r="K158"/>
      <c r="L158"/>
      <c r="M158"/>
      <c r="N158"/>
    </row>
    <row r="159" spans="2:16" ht="14.4">
      <c r="B159" s="170" t="s">
        <v>216</v>
      </c>
      <c r="C159" s="578"/>
      <c r="D159" s="508">
        <f>'Waste (CSR Only) FY21'!I29</f>
        <v>2989.0635000000002</v>
      </c>
      <c r="E159" s="578">
        <v>3758.0229286000008</v>
      </c>
      <c r="F159" s="578">
        <v>2970</v>
      </c>
      <c r="G159" s="578">
        <v>3841.4432471999999</v>
      </c>
      <c r="H159" s="83">
        <v>4327.0848485000006</v>
      </c>
      <c r="I159" s="83">
        <v>5527.4312789999994</v>
      </c>
      <c r="J159" s="595">
        <f t="shared" si="3"/>
        <v>-0.20461807796539067</v>
      </c>
      <c r="K159" s="244"/>
      <c r="O159" s="169"/>
      <c r="P159" s="169"/>
    </row>
    <row r="160" spans="2:16" ht="14.4">
      <c r="B160" s="170" t="s">
        <v>217</v>
      </c>
      <c r="C160" s="579"/>
      <c r="D160" s="509">
        <f>'Waste (CSR Only) FY21'!I30</f>
        <v>11.437799999999999</v>
      </c>
      <c r="E160" s="627">
        <v>19.662399999999998</v>
      </c>
      <c r="F160" s="627">
        <v>15.511879999999998</v>
      </c>
      <c r="G160" s="627">
        <v>23.748714000000007</v>
      </c>
      <c r="H160" s="627">
        <v>19.856956999999998</v>
      </c>
      <c r="I160" s="95">
        <v>15.987785000000001</v>
      </c>
      <c r="J160" s="595">
        <f t="shared" si="3"/>
        <v>-0.41829074782325659</v>
      </c>
      <c r="O160" s="169"/>
      <c r="P160" s="169"/>
    </row>
    <row r="161" spans="2:16" ht="14.4">
      <c r="B161" s="170" t="s">
        <v>218</v>
      </c>
      <c r="C161" s="578"/>
      <c r="D161" s="508">
        <f>'Waste (CSR Only) FY21'!I31</f>
        <v>102.24</v>
      </c>
      <c r="E161" s="580">
        <v>145.52780000000001</v>
      </c>
      <c r="F161" s="578" t="s">
        <v>104</v>
      </c>
      <c r="G161" s="578" t="s">
        <v>104</v>
      </c>
      <c r="H161" s="578" t="s">
        <v>104</v>
      </c>
      <c r="I161" s="578" t="s">
        <v>104</v>
      </c>
      <c r="J161" s="595">
        <f t="shared" si="3"/>
        <v>-0.2974538198199933</v>
      </c>
      <c r="O161" s="169"/>
      <c r="P161" s="169"/>
    </row>
    <row r="162" spans="2:16" ht="14.4">
      <c r="B162" s="902" t="s">
        <v>219</v>
      </c>
      <c r="C162" s="577"/>
      <c r="D162" s="507">
        <f>'Waste (CSR Only) FY21'!I32</f>
        <v>2939.4555000000109</v>
      </c>
      <c r="E162" s="577">
        <v>3715.2027445636286</v>
      </c>
      <c r="F162" s="577">
        <v>4390.7798917999989</v>
      </c>
      <c r="G162" s="577">
        <v>6275.0895076999986</v>
      </c>
      <c r="H162" s="90">
        <v>6040.4551405999991</v>
      </c>
      <c r="I162" s="90">
        <v>5331.3998849999998</v>
      </c>
      <c r="J162" s="602">
        <f t="shared" ref="J162:J171" si="4">E162/F162-1</f>
        <v>-0.153862676764564</v>
      </c>
      <c r="O162" s="169"/>
      <c r="P162" s="169"/>
    </row>
    <row r="163" spans="2:16" ht="14.4">
      <c r="B163" s="170" t="s">
        <v>210</v>
      </c>
      <c r="C163" s="578"/>
      <c r="D163" s="508">
        <f>'Waste (CSR Only) FY21'!I33</f>
        <v>2557.1991000000107</v>
      </c>
      <c r="E163" s="578">
        <v>3241.4011675363558</v>
      </c>
      <c r="F163" s="578">
        <v>4277.2029047999986</v>
      </c>
      <c r="G163" s="578">
        <v>5752.4798485999991</v>
      </c>
      <c r="H163" s="83">
        <v>5604.5987314999993</v>
      </c>
      <c r="I163" s="83">
        <v>4501.5426049999996</v>
      </c>
      <c r="J163" s="595">
        <f>D163/E163-1</f>
        <v>-0.21108219321595934</v>
      </c>
      <c r="O163" s="169"/>
      <c r="P163" s="169"/>
    </row>
    <row r="164" spans="2:16" ht="14.4">
      <c r="B164" s="170" t="s">
        <v>220</v>
      </c>
      <c r="C164" s="578"/>
      <c r="D164" s="508">
        <f>'Waste (CSR Only) FY21'!I34</f>
        <v>2557.1991000000107</v>
      </c>
      <c r="E164" s="578">
        <v>3241.3218175363559</v>
      </c>
      <c r="F164" s="578">
        <v>4188.4112460999986</v>
      </c>
      <c r="G164" s="578">
        <v>5592.3092960999993</v>
      </c>
      <c r="H164" s="83">
        <v>5387.7257344999989</v>
      </c>
      <c r="I164" s="83">
        <v>4404.5621899999996</v>
      </c>
      <c r="J164" s="595">
        <f>D164/E164-1</f>
        <v>-0.21106287991370409</v>
      </c>
      <c r="O164" s="169"/>
      <c r="P164" s="169"/>
    </row>
    <row r="165" spans="2:16" ht="14.4">
      <c r="B165" s="170" t="s">
        <v>221</v>
      </c>
      <c r="C165" s="578"/>
      <c r="D165" s="508">
        <f>'Waste (CSR Only) FY21'!I35</f>
        <v>101.27550000000002</v>
      </c>
      <c r="E165" s="578" t="s">
        <v>120</v>
      </c>
      <c r="F165" s="578">
        <v>87.959658700000006</v>
      </c>
      <c r="G165" s="578">
        <v>160.17055249999999</v>
      </c>
      <c r="H165" s="83">
        <v>216.872997</v>
      </c>
      <c r="I165" s="83">
        <v>96.980415000000022</v>
      </c>
      <c r="J165" s="595">
        <v>1</v>
      </c>
      <c r="O165" s="169"/>
      <c r="P165" s="169"/>
    </row>
    <row r="166" spans="2:16">
      <c r="B166" s="136" t="s">
        <v>222</v>
      </c>
      <c r="C166" s="578"/>
      <c r="D166" s="508">
        <f>'Waste (CSR Only) FY21'!I36</f>
        <v>280.98090000000019</v>
      </c>
      <c r="E166" s="578">
        <v>473.7695770272727</v>
      </c>
      <c r="F166" s="578">
        <v>113.468987</v>
      </c>
      <c r="G166" s="578">
        <v>517.11465910000004</v>
      </c>
      <c r="H166" s="83">
        <v>430.08890910000002</v>
      </c>
      <c r="I166" s="83">
        <v>824.08228000000008</v>
      </c>
      <c r="J166" s="595">
        <f>D166/E166-1</f>
        <v>-0.40692498289347645</v>
      </c>
    </row>
    <row r="167" spans="2:16">
      <c r="B167" s="136" t="s">
        <v>223</v>
      </c>
      <c r="C167" s="579"/>
      <c r="D167" s="509" t="s">
        <v>120</v>
      </c>
      <c r="E167" s="580" t="s">
        <v>120</v>
      </c>
      <c r="F167" s="580" t="s">
        <v>120</v>
      </c>
      <c r="G167" s="580">
        <v>5.4950000000000001</v>
      </c>
      <c r="H167" s="580">
        <v>5.7675000000000001</v>
      </c>
      <c r="I167" s="547">
        <v>5.7750000000005457</v>
      </c>
      <c r="J167" s="595" t="s">
        <v>121</v>
      </c>
    </row>
    <row r="168" spans="2:16">
      <c r="B168" s="902" t="s">
        <v>224</v>
      </c>
      <c r="C168" s="581"/>
      <c r="D168" s="726">
        <f>'Waste (CSR Only) FY21'!I38*100</f>
        <v>60.040129045352344</v>
      </c>
      <c r="E168" s="581">
        <v>62.494257038143111</v>
      </c>
      <c r="F168" s="581">
        <v>56.039288747388973</v>
      </c>
      <c r="G168" s="581">
        <v>53.25287146281957</v>
      </c>
      <c r="H168" s="97">
        <v>55.83037641793215</v>
      </c>
      <c r="I168" s="97">
        <v>64.559762390321737</v>
      </c>
      <c r="J168" s="602">
        <f t="shared" si="4"/>
        <v>0.11518647782721714</v>
      </c>
    </row>
    <row r="169" spans="2:16">
      <c r="B169" s="171" t="s">
        <v>225</v>
      </c>
      <c r="C169" s="579"/>
      <c r="D169" s="509">
        <f>'Waste (CSR Only) FY21'!I39</f>
        <v>21.11946789614872</v>
      </c>
      <c r="E169" s="579">
        <v>24.016936832488074</v>
      </c>
      <c r="F169" s="579">
        <v>31.881044131558685</v>
      </c>
      <c r="G169" s="579">
        <v>25.798097759409831</v>
      </c>
      <c r="H169" s="98">
        <v>32.168985585042321</v>
      </c>
      <c r="I169" s="98">
        <v>38.590872277436361</v>
      </c>
      <c r="J169" s="595">
        <f t="shared" si="4"/>
        <v>-0.24667031815579776</v>
      </c>
    </row>
    <row r="170" spans="2:16">
      <c r="B170" s="172" t="s">
        <v>226</v>
      </c>
      <c r="C170" s="579"/>
      <c r="D170" s="509">
        <f>'Waste (CSR Only) FY21'!I40</f>
        <v>69.127669937634721</v>
      </c>
      <c r="E170" s="579">
        <v>72.398979312321572</v>
      </c>
      <c r="F170" s="579">
        <v>84.311519908181978</v>
      </c>
      <c r="G170" s="579">
        <v>71.276504210507966</v>
      </c>
      <c r="H170" s="98">
        <v>59.436563443334457</v>
      </c>
      <c r="I170" s="98">
        <v>61.921442537893171</v>
      </c>
      <c r="J170" s="595">
        <f t="shared" si="4"/>
        <v>-0.14129196827234947</v>
      </c>
    </row>
    <row r="171" spans="2:16">
      <c r="B171" s="171" t="s">
        <v>227</v>
      </c>
      <c r="C171" s="582"/>
      <c r="D171" s="510">
        <v>100</v>
      </c>
      <c r="E171" s="582">
        <v>100</v>
      </c>
      <c r="F171" s="582">
        <v>99.968375566501308</v>
      </c>
      <c r="G171" s="582">
        <v>99.858035535937631</v>
      </c>
      <c r="H171" s="583">
        <v>99.867496320218024</v>
      </c>
      <c r="I171" s="583">
        <v>99.895930833677895</v>
      </c>
      <c r="J171" s="595">
        <f t="shared" si="4"/>
        <v>3.1634437710414964E-4</v>
      </c>
    </row>
    <row r="172" spans="2:16">
      <c r="B172" s="173"/>
      <c r="C172" s="584"/>
      <c r="D172" s="584"/>
      <c r="E172" s="584"/>
      <c r="F172" s="584"/>
      <c r="G172" s="585"/>
      <c r="H172" s="585"/>
      <c r="I172" s="585"/>
      <c r="J172" s="174"/>
    </row>
    <row r="173" spans="2:16">
      <c r="B173" s="158" t="s">
        <v>127</v>
      </c>
      <c r="C173" s="526"/>
      <c r="D173" s="526"/>
      <c r="E173" s="526"/>
      <c r="F173" s="526"/>
      <c r="G173" s="586"/>
      <c r="H173" s="586"/>
      <c r="I173" s="586"/>
      <c r="J173" s="490"/>
      <c r="K173" s="242"/>
    </row>
    <row r="174" spans="2:16" ht="17.100000000000001" customHeight="1">
      <c r="B174" s="1892" t="s">
        <v>228</v>
      </c>
      <c r="C174" s="1893"/>
      <c r="D174" s="1893"/>
      <c r="E174" s="1893"/>
      <c r="F174" s="1893"/>
      <c r="G174" s="1893"/>
      <c r="H174" s="1893"/>
      <c r="I174" s="1893"/>
      <c r="J174" s="1894"/>
      <c r="K174" s="242"/>
    </row>
    <row r="175" spans="2:16" ht="17.100000000000001" customHeight="1">
      <c r="B175" s="182" t="s">
        <v>229</v>
      </c>
      <c r="C175" s="555"/>
      <c r="D175" s="555"/>
      <c r="E175" s="555"/>
      <c r="F175" s="555"/>
      <c r="G175" s="555"/>
      <c r="H175" s="528"/>
      <c r="I175" s="528"/>
      <c r="J175" s="490"/>
      <c r="K175" s="242"/>
    </row>
    <row r="176" spans="2:16" ht="17.100000000000001" customHeight="1">
      <c r="B176" s="182" t="s">
        <v>230</v>
      </c>
      <c r="C176" s="555"/>
      <c r="D176" s="555"/>
      <c r="E176" s="555"/>
      <c r="F176" s="555"/>
      <c r="G176" s="555"/>
      <c r="H176" s="528"/>
      <c r="I176" s="528"/>
      <c r="J176" s="490"/>
      <c r="K176" s="242"/>
    </row>
    <row r="177" spans="2:11" ht="17.100000000000001" customHeight="1">
      <c r="B177" s="182" t="s">
        <v>231</v>
      </c>
      <c r="C177" s="555"/>
      <c r="D177" s="555"/>
      <c r="E177" s="555"/>
      <c r="F177" s="555"/>
      <c r="G177" s="555"/>
      <c r="H177" s="528"/>
      <c r="I177" s="528"/>
      <c r="J177" s="490"/>
      <c r="K177" s="242"/>
    </row>
    <row r="178" spans="2:11" ht="17.100000000000001" customHeight="1">
      <c r="B178" s="182" t="s">
        <v>232</v>
      </c>
      <c r="C178" s="555"/>
      <c r="D178" s="555"/>
      <c r="E178" s="555"/>
      <c r="F178" s="555"/>
      <c r="G178" s="555"/>
      <c r="H178" s="528"/>
      <c r="I178" s="528"/>
      <c r="J178" s="490"/>
      <c r="K178" s="242"/>
    </row>
    <row r="179" spans="2:11">
      <c r="B179" s="173"/>
      <c r="C179" s="242"/>
      <c r="D179" s="242"/>
      <c r="E179" s="242"/>
      <c r="F179" s="242"/>
      <c r="G179" s="242"/>
      <c r="H179" s="242"/>
      <c r="I179" s="242"/>
      <c r="J179" s="132"/>
      <c r="K179" s="242"/>
    </row>
    <row r="180" spans="2:11" ht="20.100000000000001" customHeight="1">
      <c r="B180" s="156" t="s">
        <v>233</v>
      </c>
      <c r="C180" s="545"/>
      <c r="D180" s="545"/>
      <c r="E180" s="545"/>
      <c r="F180" s="517"/>
      <c r="G180" s="515"/>
      <c r="H180" s="242"/>
      <c r="I180" s="242"/>
      <c r="J180" s="175"/>
      <c r="K180" s="242"/>
    </row>
    <row r="181" spans="2:11">
      <c r="B181" s="160" t="s">
        <v>207</v>
      </c>
      <c r="C181" s="546"/>
      <c r="D181" s="546"/>
      <c r="E181" s="546"/>
      <c r="F181" s="522"/>
      <c r="G181" s="518"/>
      <c r="H181" s="242"/>
      <c r="I181" s="242"/>
      <c r="J181" s="132"/>
      <c r="K181" s="242"/>
    </row>
    <row r="182" spans="2:11" ht="27" customHeight="1">
      <c r="B182" s="168"/>
      <c r="C182" s="576"/>
      <c r="D182" s="733" t="s">
        <v>91</v>
      </c>
      <c r="E182" s="523" t="s">
        <v>3</v>
      </c>
      <c r="F182" s="523" t="s">
        <v>92</v>
      </c>
      <c r="G182" s="523" t="s">
        <v>93</v>
      </c>
      <c r="H182" s="523" t="s">
        <v>94</v>
      </c>
      <c r="I182" s="523" t="s">
        <v>95</v>
      </c>
      <c r="J182" s="134" t="s">
        <v>96</v>
      </c>
      <c r="K182" s="242"/>
    </row>
    <row r="183" spans="2:11">
      <c r="B183" s="135" t="s">
        <v>234</v>
      </c>
      <c r="C183" s="524"/>
      <c r="D183" s="721">
        <f>SUM(D184:D186)</f>
        <v>1432.0016000000001</v>
      </c>
      <c r="E183" s="549">
        <f>SUM(E184:E186)</f>
        <v>1137.7931000000001</v>
      </c>
      <c r="F183" s="549">
        <v>1809.8102849500001</v>
      </c>
      <c r="G183" s="87">
        <v>1453.5481389000001</v>
      </c>
      <c r="H183" s="87">
        <v>1594.2786013</v>
      </c>
      <c r="I183" s="87">
        <v>2003.7035976</v>
      </c>
      <c r="J183" s="139">
        <f>D183/E183-1</f>
        <v>0.2585782072329319</v>
      </c>
      <c r="K183" s="242"/>
    </row>
    <row r="184" spans="2:11">
      <c r="B184" s="171" t="s">
        <v>235</v>
      </c>
      <c r="C184" s="538"/>
      <c r="D184" s="722">
        <f>'Paper (CSR Only)'!B5</f>
        <v>29.045900000000003</v>
      </c>
      <c r="E184" s="539">
        <f>'Paper (CSR Only)'!B14</f>
        <v>61.958199999999998</v>
      </c>
      <c r="F184" s="539">
        <v>130.55628495000002</v>
      </c>
      <c r="G184" s="539">
        <v>156.27613889999998</v>
      </c>
      <c r="H184" s="539">
        <v>192.87860130000001</v>
      </c>
      <c r="I184" s="547">
        <v>238.15859760000001</v>
      </c>
      <c r="J184" s="595">
        <f>D184/E184-1</f>
        <v>-0.53120168113340926</v>
      </c>
      <c r="K184" s="176"/>
    </row>
    <row r="185" spans="2:11">
      <c r="B185" s="171" t="s">
        <v>236</v>
      </c>
      <c r="C185" s="538"/>
      <c r="D185" s="722">
        <f>'Paper (CSR Only)'!B4</f>
        <v>831.2157000000002</v>
      </c>
      <c r="E185" s="539">
        <f>'Paper (CSR Only)'!B13</f>
        <v>450.30489999999998</v>
      </c>
      <c r="F185" s="539">
        <v>953.25400000000002</v>
      </c>
      <c r="G185" s="83">
        <v>447.17200000000003</v>
      </c>
      <c r="H185" s="83">
        <v>447.2</v>
      </c>
      <c r="I185" s="83">
        <v>636.80499999999995</v>
      </c>
      <c r="J185" s="595">
        <f>D185/E185-1</f>
        <v>0.84589530338222008</v>
      </c>
      <c r="K185" s="242"/>
    </row>
    <row r="186" spans="2:11">
      <c r="B186" s="171" t="s">
        <v>237</v>
      </c>
      <c r="C186" s="538"/>
      <c r="D186" s="723">
        <f>'Paper (CSR Only)'!B3</f>
        <v>571.74</v>
      </c>
      <c r="E186" s="539">
        <f>'Paper (CSR Only)'!B12</f>
        <v>625.53000000000009</v>
      </c>
      <c r="F186" s="539">
        <v>726</v>
      </c>
      <c r="G186" s="83">
        <v>850.1</v>
      </c>
      <c r="H186" s="83">
        <v>954.19999999999993</v>
      </c>
      <c r="I186" s="83">
        <v>1128.74</v>
      </c>
      <c r="J186" s="595">
        <f>D186/E186-1</f>
        <v>-8.5991079564529338E-2</v>
      </c>
      <c r="K186" s="242"/>
    </row>
    <row r="187" spans="2:11">
      <c r="B187" s="167"/>
      <c r="C187" s="242"/>
      <c r="D187" s="242"/>
      <c r="E187" s="242"/>
      <c r="F187" s="242"/>
      <c r="G187" s="242"/>
      <c r="H187" s="242"/>
      <c r="I187" s="242"/>
      <c r="J187" s="132"/>
      <c r="K187" s="242"/>
    </row>
    <row r="188" spans="2:11" ht="20.100000000000001" customHeight="1">
      <c r="B188" s="156" t="s">
        <v>238</v>
      </c>
      <c r="C188" s="545"/>
      <c r="D188" s="545"/>
      <c r="E188" s="545"/>
      <c r="F188" s="517"/>
      <c r="G188" s="242"/>
      <c r="H188" s="242"/>
      <c r="J188" s="131" t="s">
        <v>239</v>
      </c>
      <c r="K188" s="242"/>
    </row>
    <row r="189" spans="2:11">
      <c r="B189" s="160" t="s">
        <v>240</v>
      </c>
      <c r="C189" s="546"/>
      <c r="D189" s="546"/>
      <c r="E189" s="546"/>
      <c r="F189" s="522"/>
      <c r="G189" s="242"/>
      <c r="H189" s="242"/>
      <c r="I189" s="242"/>
      <c r="J189" s="132"/>
      <c r="K189" s="242"/>
    </row>
    <row r="190" spans="2:11" ht="27" customHeight="1">
      <c r="B190" s="168"/>
      <c r="C190" s="576"/>
      <c r="D190" s="733" t="s">
        <v>91</v>
      </c>
      <c r="E190" s="523" t="s">
        <v>3</v>
      </c>
      <c r="F190" s="523" t="s">
        <v>92</v>
      </c>
      <c r="G190" s="523" t="s">
        <v>93</v>
      </c>
      <c r="H190" s="523" t="s">
        <v>94</v>
      </c>
      <c r="I190" s="523" t="s">
        <v>95</v>
      </c>
      <c r="J190" s="134" t="s">
        <v>96</v>
      </c>
      <c r="K190" s="242"/>
    </row>
    <row r="191" spans="2:11">
      <c r="B191" s="185"/>
      <c r="C191" s="587"/>
      <c r="D191" s="724"/>
      <c r="E191" s="588"/>
      <c r="F191" s="588"/>
      <c r="G191" s="588"/>
      <c r="H191" s="588"/>
      <c r="I191" s="588"/>
      <c r="J191" s="184"/>
      <c r="K191" s="242"/>
    </row>
    <row r="192" spans="2:11" ht="21.6">
      <c r="B192" s="171" t="s">
        <v>241</v>
      </c>
      <c r="C192" s="525"/>
      <c r="D192" s="698" t="s">
        <v>242</v>
      </c>
      <c r="E192" s="589">
        <f>'Water (CSR Only)'!D10/1000</f>
        <v>1424.7590398999998</v>
      </c>
      <c r="F192" s="589">
        <v>1063.2442300000027</v>
      </c>
      <c r="G192" s="83">
        <v>1014.9647299999998</v>
      </c>
      <c r="H192" s="83">
        <v>1039.4928199999983</v>
      </c>
      <c r="I192" s="83">
        <v>1054</v>
      </c>
      <c r="J192" s="138"/>
      <c r="K192" s="242"/>
    </row>
    <row r="193" spans="2:11" ht="21.6">
      <c r="B193" s="171" t="s">
        <v>243</v>
      </c>
      <c r="C193" s="525"/>
      <c r="D193" s="725">
        <f>'Waste (CSR Only) FY21'!E4</f>
        <v>1357.5236</v>
      </c>
      <c r="E193" s="83">
        <f>'Waste (CSR Only) FY21'!C21+'Waste (CSR Only) FY21'!D21</f>
        <v>2662.108213778788</v>
      </c>
      <c r="F193" s="83">
        <v>990.43068080000012</v>
      </c>
      <c r="G193" s="83">
        <v>2894.2066733000001</v>
      </c>
      <c r="H193" s="83">
        <v>1470.8847270000001</v>
      </c>
      <c r="I193" s="83">
        <v>1992</v>
      </c>
      <c r="J193" s="138">
        <f>D193/E193-1</f>
        <v>-0.49005694322507154</v>
      </c>
      <c r="K193" s="242"/>
    </row>
    <row r="194" spans="2:11">
      <c r="B194" s="173"/>
      <c r="C194" s="584"/>
      <c r="D194" s="584"/>
      <c r="E194" s="584"/>
      <c r="F194" s="584"/>
      <c r="G194" s="584"/>
      <c r="H194" s="590"/>
      <c r="I194" s="590"/>
      <c r="J194" s="177"/>
      <c r="K194" s="242"/>
    </row>
    <row r="195" spans="2:11" ht="17.100000000000001" customHeight="1">
      <c r="B195" s="158" t="s">
        <v>127</v>
      </c>
      <c r="C195" s="526"/>
      <c r="D195" s="526"/>
      <c r="E195" s="526"/>
      <c r="F195" s="526"/>
      <c r="G195" s="591"/>
      <c r="H195" s="592"/>
      <c r="I195" s="592"/>
      <c r="J195" s="183"/>
      <c r="K195" s="242"/>
    </row>
    <row r="196" spans="2:11" ht="17.100000000000001" customHeight="1">
      <c r="B196" s="182" t="s">
        <v>244</v>
      </c>
      <c r="C196" s="526"/>
      <c r="D196" s="526"/>
      <c r="E196" s="526"/>
      <c r="F196" s="526"/>
      <c r="G196" s="593"/>
      <c r="J196" s="181"/>
      <c r="K196" s="242"/>
    </row>
    <row r="197" spans="2:11" s="178" customFormat="1" ht="17.100000000000001" customHeight="1">
      <c r="B197" s="182" t="s">
        <v>245</v>
      </c>
      <c r="C197" s="526"/>
      <c r="D197" s="526"/>
      <c r="E197" s="526"/>
      <c r="F197" s="526"/>
      <c r="G197" s="593"/>
      <c r="H197"/>
      <c r="I197"/>
      <c r="J197" s="181"/>
    </row>
    <row r="198" spans="2:11" s="178" customFormat="1" ht="17.100000000000001" customHeight="1">
      <c r="B198" s="182"/>
      <c r="C198" s="526"/>
      <c r="D198" s="526"/>
      <c r="E198" s="526"/>
      <c r="F198" s="526"/>
      <c r="G198" s="593"/>
      <c r="H198"/>
      <c r="I198"/>
      <c r="J198" s="181"/>
    </row>
    <row r="199" spans="2:11" s="178" customFormat="1" ht="17.100000000000001" customHeight="1">
      <c r="B199" s="182"/>
      <c r="C199" s="526"/>
      <c r="D199" s="526"/>
      <c r="E199" s="526"/>
      <c r="F199" s="526"/>
      <c r="G199" s="593"/>
      <c r="H199"/>
      <c r="I199"/>
      <c r="J199" s="181"/>
    </row>
    <row r="200" spans="2:11" s="178" customFormat="1" ht="22.5" customHeight="1">
      <c r="B200" s="594" t="s">
        <v>246</v>
      </c>
      <c r="C200" s="526"/>
      <c r="D200" s="526"/>
      <c r="E200" s="526"/>
      <c r="F200" s="526"/>
      <c r="G200" s="593"/>
      <c r="H200"/>
      <c r="I200"/>
      <c r="J200" s="181"/>
    </row>
    <row r="201" spans="2:11" s="178" customFormat="1" ht="25.5" customHeight="1">
      <c r="B201" s="634" t="s">
        <v>247</v>
      </c>
      <c r="C201" s="568"/>
      <c r="D201" s="568"/>
      <c r="E201" s="569"/>
      <c r="F201" s="570"/>
      <c r="G201" s="242"/>
      <c r="H201" s="571"/>
      <c r="I201" s="542"/>
      <c r="J201" s="131" t="s">
        <v>248</v>
      </c>
    </row>
    <row r="202" spans="2:11" s="178" customFormat="1" ht="17.100000000000001" customHeight="1">
      <c r="B202" s="897"/>
      <c r="C202" s="901"/>
      <c r="D202" s="901"/>
      <c r="E202" s="901"/>
      <c r="F202" s="901"/>
      <c r="G202" s="557"/>
      <c r="H202" s="571"/>
      <c r="I202" s="542"/>
      <c r="J202" s="132"/>
    </row>
    <row r="203" spans="2:11" s="178" customFormat="1" ht="45" customHeight="1">
      <c r="B203" s="641" t="s">
        <v>178</v>
      </c>
      <c r="C203" s="512" t="s">
        <v>249</v>
      </c>
      <c r="D203" s="675"/>
      <c r="E203" s="1917" t="s">
        <v>250</v>
      </c>
      <c r="F203" s="1918"/>
      <c r="G203" s="512" t="s">
        <v>251</v>
      </c>
      <c r="H203" s="512" t="s">
        <v>252</v>
      </c>
      <c r="I203" s="1917" t="s">
        <v>253</v>
      </c>
      <c r="J203" s="1925"/>
    </row>
    <row r="204" spans="2:11" s="178" customFormat="1" ht="121.5" customHeight="1">
      <c r="B204" s="598" t="s">
        <v>254</v>
      </c>
      <c r="C204" s="84" t="s">
        <v>255</v>
      </c>
      <c r="D204" s="676"/>
      <c r="E204" s="1919" t="s">
        <v>256</v>
      </c>
      <c r="F204" s="1920"/>
      <c r="G204" s="639">
        <v>0</v>
      </c>
      <c r="H204" s="84" t="s">
        <v>257</v>
      </c>
      <c r="I204" s="1923" t="s">
        <v>258</v>
      </c>
      <c r="J204" s="1924"/>
    </row>
    <row r="205" spans="2:11" s="178" customFormat="1" ht="121.5" customHeight="1">
      <c r="B205" s="636" t="s">
        <v>181</v>
      </c>
      <c r="C205" s="637" t="s">
        <v>255</v>
      </c>
      <c r="D205" s="677"/>
      <c r="E205" s="1921" t="s">
        <v>259</v>
      </c>
      <c r="F205" s="1922"/>
      <c r="G205" s="640">
        <v>0</v>
      </c>
      <c r="H205" s="637" t="s">
        <v>260</v>
      </c>
      <c r="I205" s="1926" t="s">
        <v>261</v>
      </c>
      <c r="J205" s="1927"/>
    </row>
    <row r="206" spans="2:11" s="178" customFormat="1" ht="147" customHeight="1">
      <c r="B206" s="598" t="s">
        <v>182</v>
      </c>
      <c r="C206" s="84" t="s">
        <v>255</v>
      </c>
      <c r="D206" s="676"/>
      <c r="E206" s="1919" t="s">
        <v>262</v>
      </c>
      <c r="F206" s="1920"/>
      <c r="G206" s="639">
        <v>100</v>
      </c>
      <c r="H206" s="84" t="s">
        <v>263</v>
      </c>
      <c r="I206" s="1923" t="s">
        <v>264</v>
      </c>
      <c r="J206" s="1924"/>
    </row>
    <row r="207" spans="2:11" s="178" customFormat="1" ht="121.5" customHeight="1">
      <c r="B207" s="636" t="s">
        <v>183</v>
      </c>
      <c r="C207" s="637" t="s">
        <v>255</v>
      </c>
      <c r="D207" s="677"/>
      <c r="E207" s="1921" t="s">
        <v>259</v>
      </c>
      <c r="F207" s="1922"/>
      <c r="G207" s="640">
        <v>0</v>
      </c>
      <c r="H207" s="637" t="s">
        <v>265</v>
      </c>
      <c r="I207" s="1926" t="s">
        <v>266</v>
      </c>
      <c r="J207" s="1927"/>
    </row>
    <row r="208" spans="2:11" s="178" customFormat="1" ht="134.25" customHeight="1">
      <c r="B208" s="598" t="s">
        <v>184</v>
      </c>
      <c r="C208" s="84" t="s">
        <v>255</v>
      </c>
      <c r="D208" s="676"/>
      <c r="E208" s="1919" t="s">
        <v>267</v>
      </c>
      <c r="F208" s="1920"/>
      <c r="G208" s="639">
        <v>100</v>
      </c>
      <c r="H208" s="84" t="s">
        <v>268</v>
      </c>
      <c r="I208" s="1923" t="s">
        <v>269</v>
      </c>
      <c r="J208" s="1924"/>
    </row>
    <row r="209" spans="2:11" s="178" customFormat="1" ht="169.5" customHeight="1">
      <c r="B209" s="636" t="s">
        <v>185</v>
      </c>
      <c r="C209" s="637" t="s">
        <v>255</v>
      </c>
      <c r="D209" s="677"/>
      <c r="E209" s="1921" t="s">
        <v>270</v>
      </c>
      <c r="F209" s="1922"/>
      <c r="G209" s="640">
        <v>100</v>
      </c>
      <c r="H209" s="637" t="s">
        <v>271</v>
      </c>
      <c r="I209" s="1926" t="s">
        <v>272</v>
      </c>
      <c r="J209" s="1927"/>
    </row>
    <row r="210" spans="2:11" s="178" customFormat="1" ht="121.5" customHeight="1">
      <c r="B210" s="598" t="s">
        <v>186</v>
      </c>
      <c r="C210" s="84" t="s">
        <v>255</v>
      </c>
      <c r="D210" s="676"/>
      <c r="E210" s="1919" t="s">
        <v>273</v>
      </c>
      <c r="F210" s="1920"/>
      <c r="G210" s="639">
        <v>0</v>
      </c>
      <c r="H210" s="84" t="s">
        <v>274</v>
      </c>
      <c r="I210" s="1923" t="s">
        <v>275</v>
      </c>
      <c r="J210" s="1924"/>
    </row>
    <row r="211" spans="2:11" s="178" customFormat="1" ht="121.5" customHeight="1">
      <c r="B211" s="636" t="s">
        <v>187</v>
      </c>
      <c r="C211" s="637" t="s">
        <v>255</v>
      </c>
      <c r="D211" s="677"/>
      <c r="E211" s="1921" t="s">
        <v>259</v>
      </c>
      <c r="F211" s="1922"/>
      <c r="G211" s="640">
        <v>0</v>
      </c>
      <c r="H211" s="637" t="s">
        <v>276</v>
      </c>
      <c r="I211" s="1926" t="s">
        <v>277</v>
      </c>
      <c r="J211" s="1927"/>
    </row>
    <row r="212" spans="2:11" s="178" customFormat="1" ht="121.5" customHeight="1">
      <c r="B212" s="598" t="s">
        <v>188</v>
      </c>
      <c r="C212" s="84" t="s">
        <v>255</v>
      </c>
      <c r="D212" s="676"/>
      <c r="E212" s="1919" t="s">
        <v>278</v>
      </c>
      <c r="F212" s="1920"/>
      <c r="G212" s="639">
        <v>0</v>
      </c>
      <c r="H212" s="84" t="s">
        <v>279</v>
      </c>
      <c r="I212" s="1923" t="s">
        <v>280</v>
      </c>
      <c r="J212" s="1924"/>
    </row>
    <row r="213" spans="2:11" s="178" customFormat="1" ht="121.5" customHeight="1">
      <c r="B213" s="636" t="s">
        <v>281</v>
      </c>
      <c r="C213" s="637" t="s">
        <v>282</v>
      </c>
      <c r="D213" s="677"/>
      <c r="E213" s="1921" t="s">
        <v>104</v>
      </c>
      <c r="F213" s="1922"/>
      <c r="G213" s="640" t="s">
        <v>104</v>
      </c>
      <c r="H213" s="638" t="s">
        <v>104</v>
      </c>
      <c r="I213" s="1921" t="s">
        <v>283</v>
      </c>
      <c r="J213" s="1928"/>
    </row>
    <row r="214" spans="2:11" s="178" customFormat="1" ht="121.5" customHeight="1">
      <c r="B214" s="598" t="s">
        <v>190</v>
      </c>
      <c r="C214" s="84" t="s">
        <v>255</v>
      </c>
      <c r="D214" s="676"/>
      <c r="E214" s="1919" t="s">
        <v>278</v>
      </c>
      <c r="F214" s="1920"/>
      <c r="G214" s="639">
        <v>0</v>
      </c>
      <c r="H214" s="635" t="s">
        <v>284</v>
      </c>
      <c r="I214" s="1923" t="s">
        <v>285</v>
      </c>
      <c r="J214" s="1924"/>
    </row>
    <row r="215" spans="2:11" s="178" customFormat="1" ht="121.5" customHeight="1">
      <c r="B215" s="636" t="s">
        <v>191</v>
      </c>
      <c r="C215" s="637" t="s">
        <v>255</v>
      </c>
      <c r="D215" s="677"/>
      <c r="E215" s="1921" t="s">
        <v>278</v>
      </c>
      <c r="F215" s="1922"/>
      <c r="G215" s="640">
        <v>0</v>
      </c>
      <c r="H215" s="638" t="s">
        <v>286</v>
      </c>
      <c r="I215" s="1921" t="s">
        <v>287</v>
      </c>
      <c r="J215" s="1928"/>
    </row>
    <row r="216" spans="2:11" s="178" customFormat="1" ht="75" customHeight="1">
      <c r="B216" s="598" t="s">
        <v>288</v>
      </c>
      <c r="C216" s="84" t="s">
        <v>282</v>
      </c>
      <c r="D216" s="676"/>
      <c r="E216" s="1919" t="s">
        <v>104</v>
      </c>
      <c r="F216" s="1920"/>
      <c r="G216" s="639" t="s">
        <v>104</v>
      </c>
      <c r="H216" s="635" t="s">
        <v>104</v>
      </c>
      <c r="I216" s="1923" t="s">
        <v>289</v>
      </c>
      <c r="J216" s="1924"/>
    </row>
    <row r="217" spans="2:11" s="178" customFormat="1" ht="121.5" customHeight="1">
      <c r="B217" s="636" t="s">
        <v>290</v>
      </c>
      <c r="C217" s="637" t="s">
        <v>282</v>
      </c>
      <c r="D217" s="677"/>
      <c r="E217" s="1921" t="s">
        <v>104</v>
      </c>
      <c r="F217" s="1922"/>
      <c r="G217" s="640" t="s">
        <v>104</v>
      </c>
      <c r="H217" s="638" t="s">
        <v>104</v>
      </c>
      <c r="I217" s="1921" t="s">
        <v>291</v>
      </c>
      <c r="J217" s="1928"/>
    </row>
    <row r="218" spans="2:11" s="178" customFormat="1" ht="121.5" customHeight="1">
      <c r="B218" s="598" t="s">
        <v>194</v>
      </c>
      <c r="C218" s="84" t="s">
        <v>255</v>
      </c>
      <c r="D218" s="676"/>
      <c r="E218" s="1919" t="s">
        <v>259</v>
      </c>
      <c r="F218" s="1920"/>
      <c r="G218" s="639">
        <v>0</v>
      </c>
      <c r="H218" s="635" t="s">
        <v>292</v>
      </c>
      <c r="I218" s="1923" t="s">
        <v>293</v>
      </c>
      <c r="J218" s="1924"/>
    </row>
    <row r="219" spans="2:11" s="178" customFormat="1" ht="17.100000000000001" customHeight="1">
      <c r="B219" s="1884"/>
      <c r="C219" s="1885"/>
      <c r="D219" s="1885"/>
      <c r="E219" s="1885"/>
      <c r="F219" s="1885"/>
      <c r="G219" s="1885"/>
      <c r="H219" s="1885"/>
      <c r="I219" s="1885"/>
      <c r="J219" s="1886"/>
    </row>
    <row r="220" spans="2:11">
      <c r="B220" s="164"/>
      <c r="C220" s="242"/>
      <c r="D220" s="242"/>
      <c r="E220" s="242"/>
      <c r="F220" s="242"/>
      <c r="G220" s="242"/>
      <c r="H220" s="242"/>
      <c r="I220" s="242"/>
      <c r="J220" s="132"/>
      <c r="K220" s="242"/>
    </row>
    <row r="221" spans="2:11">
      <c r="B221" s="234"/>
      <c r="C221" s="603"/>
      <c r="D221" s="603"/>
      <c r="E221" s="604"/>
      <c r="F221" s="603"/>
      <c r="G221" s="603"/>
      <c r="H221" s="603"/>
      <c r="I221" s="179"/>
      <c r="J221" s="179" t="s">
        <v>294</v>
      </c>
    </row>
  </sheetData>
  <mergeCells count="69">
    <mergeCell ref="B219:J219"/>
    <mergeCell ref="B47:J47"/>
    <mergeCell ref="I216:J216"/>
    <mergeCell ref="E217:F217"/>
    <mergeCell ref="I217:J217"/>
    <mergeCell ref="E218:F218"/>
    <mergeCell ref="I218:J218"/>
    <mergeCell ref="I213:J213"/>
    <mergeCell ref="E214:F214"/>
    <mergeCell ref="E215:F215"/>
    <mergeCell ref="I214:J214"/>
    <mergeCell ref="I215:J215"/>
    <mergeCell ref="I208:J208"/>
    <mergeCell ref="I209:J209"/>
    <mergeCell ref="I210:J210"/>
    <mergeCell ref="I211:J211"/>
    <mergeCell ref="I212:J212"/>
    <mergeCell ref="I203:J203"/>
    <mergeCell ref="I204:J204"/>
    <mergeCell ref="I205:J205"/>
    <mergeCell ref="I206:J206"/>
    <mergeCell ref="I207:J207"/>
    <mergeCell ref="E203:F203"/>
    <mergeCell ref="E204:F204"/>
    <mergeCell ref="E205:F205"/>
    <mergeCell ref="E206:F206"/>
    <mergeCell ref="E216:F216"/>
    <mergeCell ref="E209:F209"/>
    <mergeCell ref="E210:F210"/>
    <mergeCell ref="E211:F211"/>
    <mergeCell ref="E212:F212"/>
    <mergeCell ref="E213:F213"/>
    <mergeCell ref="E207:F207"/>
    <mergeCell ref="E208:F208"/>
    <mergeCell ref="B136:J136"/>
    <mergeCell ref="B78:J78"/>
    <mergeCell ref="B116:C116"/>
    <mergeCell ref="B110:J110"/>
    <mergeCell ref="B94:J94"/>
    <mergeCell ref="B79:J79"/>
    <mergeCell ref="B1:J1"/>
    <mergeCell ref="H3:I3"/>
    <mergeCell ref="B5:C5"/>
    <mergeCell ref="B11:C11"/>
    <mergeCell ref="B174:J174"/>
    <mergeCell ref="B82:G82"/>
    <mergeCell ref="E83:F83"/>
    <mergeCell ref="B85:B86"/>
    <mergeCell ref="B114:G114"/>
    <mergeCell ref="B132:J132"/>
    <mergeCell ref="B133:J133"/>
    <mergeCell ref="B97:C97"/>
    <mergeCell ref="B111:J111"/>
    <mergeCell ref="B109:J109"/>
    <mergeCell ref="B134:J134"/>
    <mergeCell ref="B135:J135"/>
    <mergeCell ref="B16:J16"/>
    <mergeCell ref="B76:J76"/>
    <mergeCell ref="B77:J77"/>
    <mergeCell ref="B49:J49"/>
    <mergeCell ref="B12:C12"/>
    <mergeCell ref="B74:J74"/>
    <mergeCell ref="B75:J75"/>
    <mergeCell ref="B48:J48"/>
    <mergeCell ref="B17:J17"/>
    <mergeCell ref="B28:G28"/>
    <mergeCell ref="B15:J15"/>
    <mergeCell ref="B20:C20"/>
    <mergeCell ref="B25:J25"/>
  </mergeCells>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00B050"/>
  </sheetPr>
  <dimension ref="A1:B15"/>
  <sheetViews>
    <sheetView zoomScale="70" zoomScaleNormal="70" workbookViewId="0">
      <selection activeCell="H15" sqref="H15"/>
    </sheetView>
  </sheetViews>
  <sheetFormatPr defaultColWidth="8.8984375" defaultRowHeight="13.8"/>
  <cols>
    <col min="1" max="1" width="16.5" bestFit="1" customWidth="1"/>
    <col min="2" max="2" width="10.59765625" bestFit="1" customWidth="1"/>
    <col min="3" max="3" width="11.59765625" bestFit="1" customWidth="1"/>
  </cols>
  <sheetData>
    <row r="1" spans="1:2">
      <c r="A1" s="813" t="s">
        <v>91</v>
      </c>
      <c r="B1" s="813" t="s">
        <v>1401</v>
      </c>
    </row>
    <row r="2" spans="1:2">
      <c r="A2" s="36" t="s">
        <v>750</v>
      </c>
      <c r="B2" s="37" t="s">
        <v>1402</v>
      </c>
    </row>
    <row r="3" spans="1:2">
      <c r="A3" s="31" t="s">
        <v>237</v>
      </c>
      <c r="B3" s="47">
        <v>571.74</v>
      </c>
    </row>
    <row r="4" spans="1:2">
      <c r="A4" s="32" t="s">
        <v>1403</v>
      </c>
      <c r="B4" s="48">
        <v>831.2157000000002</v>
      </c>
    </row>
    <row r="5" spans="1:2">
      <c r="A5" s="31" t="s">
        <v>235</v>
      </c>
      <c r="B5" s="47">
        <v>29.045900000000003</v>
      </c>
    </row>
    <row r="6" spans="1:2">
      <c r="A6" s="32" t="s">
        <v>234</v>
      </c>
      <c r="B6" s="49">
        <f>SUM(B3:B5)</f>
        <v>1432.0016000000003</v>
      </c>
    </row>
    <row r="10" spans="1:2">
      <c r="A10" s="25" t="s">
        <v>3</v>
      </c>
      <c r="B10" s="25" t="s">
        <v>1264</v>
      </c>
    </row>
    <row r="11" spans="1:2">
      <c r="A11" s="36" t="s">
        <v>750</v>
      </c>
      <c r="B11" s="37" t="s">
        <v>1402</v>
      </c>
    </row>
    <row r="12" spans="1:2">
      <c r="A12" s="31" t="s">
        <v>237</v>
      </c>
      <c r="B12" s="47">
        <v>625.53000000000009</v>
      </c>
    </row>
    <row r="13" spans="1:2">
      <c r="A13" s="32" t="s">
        <v>1403</v>
      </c>
      <c r="B13" s="48">
        <v>450.30489999999998</v>
      </c>
    </row>
    <row r="14" spans="1:2">
      <c r="A14" s="31" t="s">
        <v>235</v>
      </c>
      <c r="B14" s="47">
        <v>61.958199999999998</v>
      </c>
    </row>
    <row r="15" spans="1:2">
      <c r="A15" s="32" t="s">
        <v>234</v>
      </c>
      <c r="B15" s="49">
        <f>SUM(B12:B14)</f>
        <v>1137.7931000000001</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8A42-AD22-4454-A783-8F0DB6A4929A}">
  <sheetPr codeName="Sheet7">
    <tabColor rgb="FF00B050"/>
  </sheetPr>
  <dimension ref="A1:E22"/>
  <sheetViews>
    <sheetView zoomScale="68" workbookViewId="0">
      <selection activeCell="H15" sqref="H15"/>
    </sheetView>
  </sheetViews>
  <sheetFormatPr defaultColWidth="8.8984375" defaultRowHeight="13.8"/>
  <cols>
    <col min="1" max="1" width="18.09765625" customWidth="1"/>
    <col min="2" max="2" width="24.59765625" customWidth="1"/>
  </cols>
  <sheetData>
    <row r="1" spans="1:5">
      <c r="A1" s="9" t="s">
        <v>1404</v>
      </c>
      <c r="C1" s="864" t="s">
        <v>92</v>
      </c>
      <c r="D1" s="864" t="s">
        <v>3</v>
      </c>
      <c r="E1" s="910" t="s">
        <v>1405</v>
      </c>
    </row>
    <row r="2" spans="1:5">
      <c r="A2" s="2044" t="s">
        <v>1406</v>
      </c>
      <c r="B2" s="861" t="s">
        <v>1407</v>
      </c>
      <c r="C2" s="863">
        <v>1171146</v>
      </c>
      <c r="D2" s="863">
        <v>1175196.51</v>
      </c>
      <c r="E2" s="861">
        <v>0</v>
      </c>
    </row>
    <row r="3" spans="1:5">
      <c r="A3" s="2044"/>
      <c r="B3" s="861" t="s">
        <v>1408</v>
      </c>
      <c r="C3" s="863">
        <v>431470</v>
      </c>
      <c r="D3" s="863">
        <v>363052.58</v>
      </c>
      <c r="E3" s="861">
        <v>0</v>
      </c>
    </row>
    <row r="4" spans="1:5" ht="39.6">
      <c r="A4" s="2044"/>
      <c r="B4" s="861" t="s">
        <v>1409</v>
      </c>
      <c r="C4" s="863">
        <v>145504</v>
      </c>
      <c r="D4" s="863">
        <v>132883.62</v>
      </c>
      <c r="E4" s="863">
        <v>130100</v>
      </c>
    </row>
    <row r="5" spans="1:5" ht="26.4">
      <c r="A5" s="2044"/>
      <c r="B5" s="861" t="s">
        <v>1410</v>
      </c>
      <c r="C5" s="863">
        <v>53001</v>
      </c>
      <c r="D5" s="863">
        <v>71057.259999999995</v>
      </c>
      <c r="E5" s="861">
        <v>0</v>
      </c>
    </row>
    <row r="6" spans="1:5">
      <c r="A6" s="2044"/>
      <c r="B6" s="861" t="s">
        <v>1411</v>
      </c>
      <c r="C6" s="863">
        <v>6239</v>
      </c>
      <c r="D6" s="863">
        <v>4308.82</v>
      </c>
      <c r="E6" s="861">
        <v>0</v>
      </c>
    </row>
    <row r="7" spans="1:5">
      <c r="A7" s="2044"/>
      <c r="B7" s="861" t="s">
        <v>1412</v>
      </c>
      <c r="C7" s="863">
        <v>15629</v>
      </c>
      <c r="D7" s="863">
        <v>9697.33</v>
      </c>
      <c r="E7" s="861">
        <v>0</v>
      </c>
    </row>
    <row r="8" spans="1:5">
      <c r="A8" s="2044"/>
      <c r="B8" s="861" t="s">
        <v>1413</v>
      </c>
      <c r="C8" s="863">
        <v>85814</v>
      </c>
      <c r="D8" s="863">
        <v>40634.620000000003</v>
      </c>
      <c r="E8" s="861">
        <v>0</v>
      </c>
    </row>
    <row r="9" spans="1:5">
      <c r="A9" s="2044"/>
      <c r="B9" s="861" t="s">
        <v>1414</v>
      </c>
      <c r="C9" s="863">
        <v>137620</v>
      </c>
      <c r="D9" s="863">
        <v>115561.45</v>
      </c>
      <c r="E9" s="863">
        <v>107747</v>
      </c>
    </row>
    <row r="10" spans="1:5" ht="26.4">
      <c r="A10" s="2044" t="s">
        <v>1415</v>
      </c>
      <c r="B10" s="861" t="s">
        <v>1416</v>
      </c>
      <c r="C10" s="863">
        <v>20258</v>
      </c>
      <c r="D10" s="863">
        <v>23765.95</v>
      </c>
      <c r="E10" s="861">
        <v>0</v>
      </c>
    </row>
    <row r="11" spans="1:5">
      <c r="A11" s="2044"/>
      <c r="B11" s="861" t="s">
        <v>1417</v>
      </c>
      <c r="C11" s="862"/>
      <c r="D11" s="862"/>
      <c r="E11" s="862"/>
    </row>
    <row r="12" spans="1:5">
      <c r="A12" s="2044"/>
      <c r="B12" s="861" t="s">
        <v>1418</v>
      </c>
      <c r="C12" s="863">
        <v>1454373</v>
      </c>
      <c r="D12" s="863">
        <v>1344929.73</v>
      </c>
      <c r="E12" s="861">
        <v>0</v>
      </c>
    </row>
    <row r="13" spans="1:5" ht="26.4">
      <c r="A13" s="2044"/>
      <c r="B13" s="861" t="s">
        <v>1419</v>
      </c>
      <c r="C13" s="863">
        <v>3021</v>
      </c>
      <c r="D13" s="863">
        <v>2242.59</v>
      </c>
      <c r="E13" s="861">
        <v>0</v>
      </c>
    </row>
    <row r="14" spans="1:5">
      <c r="A14" s="2044"/>
      <c r="B14" s="861" t="s">
        <v>1420</v>
      </c>
      <c r="C14" s="862"/>
      <c r="D14" s="862"/>
      <c r="E14" s="862"/>
    </row>
    <row r="15" spans="1:5">
      <c r="A15" s="2044"/>
      <c r="B15" s="861" t="s">
        <v>1421</v>
      </c>
      <c r="C15" s="862"/>
      <c r="D15" s="862"/>
      <c r="E15" s="862"/>
    </row>
    <row r="16" spans="1:5">
      <c r="A16" s="2044"/>
      <c r="B16" s="861" t="s">
        <v>1422</v>
      </c>
      <c r="C16" s="863">
        <v>280320</v>
      </c>
      <c r="D16" s="863">
        <v>173665.87</v>
      </c>
      <c r="E16" s="861">
        <v>0</v>
      </c>
    </row>
    <row r="17" spans="1:2">
      <c r="A17" s="860"/>
      <c r="B17" s="100"/>
    </row>
    <row r="18" spans="1:2">
      <c r="B18" s="100"/>
    </row>
    <row r="22" spans="1:2">
      <c r="A22" s="23"/>
    </row>
  </sheetData>
  <mergeCells count="2">
    <mergeCell ref="A2:A9"/>
    <mergeCell ref="A10:A1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F5AA2-8B66-4F02-9368-FDAF8B34D4CF}">
  <sheetPr codeName="Sheet40">
    <tabColor rgb="FF00B050"/>
  </sheetPr>
  <dimension ref="A1:N44"/>
  <sheetViews>
    <sheetView workbookViewId="0">
      <selection activeCell="B7" sqref="B7"/>
    </sheetView>
  </sheetViews>
  <sheetFormatPr defaultColWidth="8.8984375" defaultRowHeight="13.8"/>
  <cols>
    <col min="1" max="1" width="15.09765625" customWidth="1"/>
    <col min="3" max="3" width="9.8984375" bestFit="1" customWidth="1"/>
    <col min="10" max="10" width="9.8984375" bestFit="1" customWidth="1"/>
    <col min="14" max="14" width="11" customWidth="1"/>
  </cols>
  <sheetData>
    <row r="1" spans="1:14" ht="14.4" thickBot="1">
      <c r="A1" s="647" t="s">
        <v>91</v>
      </c>
      <c r="B1" s="647" t="s">
        <v>1199</v>
      </c>
      <c r="C1" s="99"/>
    </row>
    <row r="2" spans="1:14" ht="15" thickBot="1">
      <c r="A2" s="606" t="s">
        <v>1423</v>
      </c>
      <c r="B2" s="669">
        <v>44013</v>
      </c>
      <c r="C2" s="669">
        <v>44044</v>
      </c>
      <c r="D2" s="669">
        <v>44075</v>
      </c>
      <c r="E2" s="669">
        <v>44105</v>
      </c>
      <c r="F2" s="669">
        <v>44136</v>
      </c>
      <c r="G2" s="669">
        <v>44166</v>
      </c>
      <c r="H2" s="669">
        <v>44197</v>
      </c>
      <c r="I2" s="669">
        <v>44228</v>
      </c>
      <c r="J2" s="669">
        <v>44256</v>
      </c>
      <c r="K2" s="669">
        <v>43941</v>
      </c>
      <c r="L2" s="670">
        <v>43971</v>
      </c>
      <c r="M2" s="671">
        <v>44002</v>
      </c>
      <c r="N2" s="610" t="s">
        <v>234</v>
      </c>
    </row>
    <row r="3" spans="1:14" ht="15" thickBot="1">
      <c r="A3" s="611" t="s">
        <v>1424</v>
      </c>
      <c r="B3" s="612">
        <v>1276738</v>
      </c>
      <c r="C3" s="612">
        <v>1301286</v>
      </c>
      <c r="D3" s="612">
        <v>1236354</v>
      </c>
      <c r="E3" s="612">
        <v>1280956</v>
      </c>
      <c r="F3" s="612">
        <v>1234896</v>
      </c>
      <c r="G3" s="612">
        <v>1336572</v>
      </c>
      <c r="H3" s="612">
        <v>1303157</v>
      </c>
      <c r="I3" s="612">
        <v>1196270</v>
      </c>
      <c r="J3" s="612">
        <v>1271819</v>
      </c>
      <c r="K3" s="612">
        <v>1288288</v>
      </c>
      <c r="L3" s="612">
        <v>1270637</v>
      </c>
      <c r="M3" s="612">
        <f>L3/31*30</f>
        <v>1229648.7096774194</v>
      </c>
      <c r="N3" s="613">
        <f>SUM(B3:M3)</f>
        <v>15226621.709677419</v>
      </c>
    </row>
    <row r="4" spans="1:14" ht="15" thickBot="1">
      <c r="A4" s="611" t="s">
        <v>1425</v>
      </c>
      <c r="B4" s="612">
        <v>101752</v>
      </c>
      <c r="C4" s="612">
        <v>109871</v>
      </c>
      <c r="D4" s="612">
        <v>140699</v>
      </c>
      <c r="E4" s="612">
        <v>153570</v>
      </c>
      <c r="F4" s="612">
        <v>154791</v>
      </c>
      <c r="G4" s="612">
        <v>128123</v>
      </c>
      <c r="H4" s="612">
        <v>155908</v>
      </c>
      <c r="I4" s="612">
        <v>147432</v>
      </c>
      <c r="J4" s="612">
        <v>150897</v>
      </c>
      <c r="K4" s="612">
        <v>164977</v>
      </c>
      <c r="L4" s="612">
        <v>159325</v>
      </c>
      <c r="M4" s="612">
        <v>162750</v>
      </c>
      <c r="N4" s="614">
        <f>SUM(B4:M4)</f>
        <v>1730095</v>
      </c>
    </row>
    <row r="5" spans="1:14" ht="15" thickBot="1">
      <c r="A5" s="615" t="s">
        <v>1426</v>
      </c>
      <c r="B5" s="616">
        <f>SUM(B3:B4)</f>
        <v>1378490</v>
      </c>
      <c r="C5" s="616">
        <f t="shared" ref="C5:M5" si="0">SUM(C3:C4)</f>
        <v>1411157</v>
      </c>
      <c r="D5" s="616">
        <f t="shared" si="0"/>
        <v>1377053</v>
      </c>
      <c r="E5" s="616">
        <f t="shared" si="0"/>
        <v>1434526</v>
      </c>
      <c r="F5" s="616">
        <f t="shared" si="0"/>
        <v>1389687</v>
      </c>
      <c r="G5" s="616">
        <f t="shared" si="0"/>
        <v>1464695</v>
      </c>
      <c r="H5" s="616">
        <f t="shared" si="0"/>
        <v>1459065</v>
      </c>
      <c r="I5" s="616">
        <f t="shared" si="0"/>
        <v>1343702</v>
      </c>
      <c r="J5" s="616">
        <f t="shared" si="0"/>
        <v>1422716</v>
      </c>
      <c r="K5" s="616">
        <f t="shared" si="0"/>
        <v>1453265</v>
      </c>
      <c r="L5" s="616">
        <f t="shared" si="0"/>
        <v>1429962</v>
      </c>
      <c r="M5" s="616">
        <f t="shared" si="0"/>
        <v>1392398.7096774194</v>
      </c>
      <c r="N5" s="617">
        <f>SUM(B5:M5)</f>
        <v>16956716.709677421</v>
      </c>
    </row>
    <row r="8" spans="1:14" ht="14.4" thickBot="1">
      <c r="A8" t="s">
        <v>91</v>
      </c>
      <c r="B8" t="s">
        <v>1427</v>
      </c>
      <c r="C8" s="99"/>
    </row>
    <row r="9" spans="1:14" ht="15" thickBot="1">
      <c r="A9" s="606" t="s">
        <v>1423</v>
      </c>
      <c r="B9" s="607">
        <v>44013</v>
      </c>
      <c r="C9" s="607">
        <v>44044</v>
      </c>
      <c r="D9" s="607">
        <v>44075</v>
      </c>
      <c r="E9" s="607">
        <v>44105</v>
      </c>
      <c r="F9" s="607">
        <v>44136</v>
      </c>
      <c r="G9" s="607">
        <v>44166</v>
      </c>
      <c r="H9" s="607">
        <v>44197</v>
      </c>
      <c r="I9" s="607">
        <v>44228</v>
      </c>
      <c r="J9" s="607">
        <v>44256</v>
      </c>
    </row>
    <row r="10" spans="1:14" ht="15" thickBot="1">
      <c r="A10" s="611" t="s">
        <v>1424</v>
      </c>
      <c r="B10" s="612">
        <v>1276738</v>
      </c>
      <c r="C10" s="612">
        <v>1301286</v>
      </c>
      <c r="D10" s="612">
        <v>1236354</v>
      </c>
      <c r="E10" s="612">
        <v>1280956</v>
      </c>
      <c r="F10" s="612">
        <v>1234896</v>
      </c>
      <c r="G10" s="612">
        <v>1336572</v>
      </c>
      <c r="H10" s="612">
        <v>1303157</v>
      </c>
      <c r="I10" s="612">
        <v>1196270</v>
      </c>
      <c r="J10" s="612">
        <v>1271819</v>
      </c>
    </row>
    <row r="11" spans="1:14" ht="15" thickBot="1">
      <c r="A11" s="611" t="s">
        <v>1425</v>
      </c>
      <c r="B11" s="612">
        <v>101752</v>
      </c>
      <c r="C11" s="612">
        <v>109871</v>
      </c>
      <c r="D11" s="612">
        <v>140699</v>
      </c>
      <c r="E11" s="612">
        <v>153570</v>
      </c>
      <c r="F11" s="612">
        <v>154791</v>
      </c>
      <c r="G11" s="612">
        <v>128123</v>
      </c>
      <c r="H11" s="612">
        <v>155908</v>
      </c>
      <c r="I11" s="612">
        <v>147432</v>
      </c>
      <c r="J11" s="612">
        <v>150897</v>
      </c>
    </row>
    <row r="12" spans="1:14" ht="15" thickBot="1">
      <c r="A12" s="615" t="s">
        <v>1426</v>
      </c>
      <c r="B12" s="616">
        <f>SUM(B10:B11)</f>
        <v>1378490</v>
      </c>
      <c r="C12" s="616">
        <f t="shared" ref="C12:J12" si="1">SUM(C10:C11)</f>
        <v>1411157</v>
      </c>
      <c r="D12" s="616">
        <f t="shared" si="1"/>
        <v>1377053</v>
      </c>
      <c r="E12" s="616">
        <f t="shared" si="1"/>
        <v>1434526</v>
      </c>
      <c r="F12" s="616">
        <f t="shared" si="1"/>
        <v>1389687</v>
      </c>
      <c r="G12" s="616">
        <f t="shared" si="1"/>
        <v>1464695</v>
      </c>
      <c r="H12" s="616">
        <f t="shared" si="1"/>
        <v>1459065</v>
      </c>
      <c r="I12" s="616">
        <f t="shared" si="1"/>
        <v>1343702</v>
      </c>
      <c r="J12" s="616">
        <f t="shared" si="1"/>
        <v>1422716</v>
      </c>
    </row>
    <row r="14" spans="1:14">
      <c r="J14" s="100">
        <f>SUM(B12:J12)</f>
        <v>12681091</v>
      </c>
    </row>
    <row r="15" spans="1:14">
      <c r="I15" t="s">
        <v>1173</v>
      </c>
      <c r="J15">
        <v>12681.099999999999</v>
      </c>
    </row>
    <row r="16" spans="1:14" ht="14.4" thickBot="1">
      <c r="A16" t="s">
        <v>1428</v>
      </c>
      <c r="C16" s="99">
        <v>44028</v>
      </c>
    </row>
    <row r="17" spans="1:14" ht="15" thickBot="1">
      <c r="A17" s="606" t="s">
        <v>1423</v>
      </c>
      <c r="B17" s="607">
        <v>44031</v>
      </c>
      <c r="C17" s="607">
        <v>44062</v>
      </c>
      <c r="D17" s="607">
        <v>44093</v>
      </c>
      <c r="E17" s="607">
        <v>44123</v>
      </c>
      <c r="F17" s="607">
        <v>44154</v>
      </c>
      <c r="G17" s="607">
        <v>44184</v>
      </c>
      <c r="H17" s="607">
        <v>43850</v>
      </c>
      <c r="I17" s="607">
        <v>43881</v>
      </c>
      <c r="J17" s="607">
        <v>43910</v>
      </c>
      <c r="K17" s="607">
        <v>43941</v>
      </c>
      <c r="L17" s="608">
        <v>43971</v>
      </c>
      <c r="M17" s="609">
        <v>44002</v>
      </c>
      <c r="N17" s="610" t="s">
        <v>234</v>
      </c>
    </row>
    <row r="18" spans="1:14" ht="15" thickBot="1">
      <c r="A18" s="611" t="s">
        <v>1424</v>
      </c>
      <c r="B18" s="612">
        <v>1115893</v>
      </c>
      <c r="C18" s="612">
        <v>1105145</v>
      </c>
      <c r="D18" s="612">
        <v>1148430</v>
      </c>
      <c r="E18" s="612">
        <v>1199660</v>
      </c>
      <c r="F18" s="612">
        <v>1138235</v>
      </c>
      <c r="G18" s="612">
        <v>1240467</v>
      </c>
      <c r="H18" s="612">
        <v>1217355</v>
      </c>
      <c r="I18" s="612">
        <v>1134661</v>
      </c>
      <c r="J18" s="612">
        <v>1387038</v>
      </c>
      <c r="K18" s="612">
        <v>1426346</v>
      </c>
      <c r="L18" s="612">
        <v>1342209</v>
      </c>
      <c r="M18" s="612">
        <v>1252421</v>
      </c>
      <c r="N18" s="613">
        <v>14707861</v>
      </c>
    </row>
    <row r="19" spans="1:14" ht="15" thickBot="1">
      <c r="A19" s="611" t="s">
        <v>1425</v>
      </c>
      <c r="B19" s="612">
        <v>90813</v>
      </c>
      <c r="C19" s="612">
        <v>92215</v>
      </c>
      <c r="D19" s="612">
        <v>91811</v>
      </c>
      <c r="E19" s="612">
        <v>99959</v>
      </c>
      <c r="F19" s="612">
        <v>97312</v>
      </c>
      <c r="G19" s="612">
        <v>101251</v>
      </c>
      <c r="H19" s="612">
        <v>100528</v>
      </c>
      <c r="I19" s="612">
        <v>93245</v>
      </c>
      <c r="J19" s="612">
        <v>107347</v>
      </c>
      <c r="K19" s="612">
        <v>113077</v>
      </c>
      <c r="L19" s="612">
        <v>115127</v>
      </c>
      <c r="M19" s="612">
        <v>111302</v>
      </c>
      <c r="N19" s="614">
        <v>1213987</v>
      </c>
    </row>
    <row r="20" spans="1:14" ht="15" thickBot="1">
      <c r="A20" s="615" t="s">
        <v>1426</v>
      </c>
      <c r="B20" s="616">
        <v>1206707</v>
      </c>
      <c r="C20" s="616">
        <v>1197361</v>
      </c>
      <c r="D20" s="616">
        <v>1240240</v>
      </c>
      <c r="E20" s="616">
        <v>1299619</v>
      </c>
      <c r="F20" s="616">
        <v>1235547</v>
      </c>
      <c r="G20" s="616">
        <v>1341718</v>
      </c>
      <c r="H20" s="616">
        <v>1317883</v>
      </c>
      <c r="I20" s="616">
        <v>1227906</v>
      </c>
      <c r="J20" s="616">
        <v>1494384</v>
      </c>
      <c r="K20" s="616">
        <v>1539422</v>
      </c>
      <c r="L20" s="616">
        <v>1457336</v>
      </c>
      <c r="M20" s="616">
        <v>1363723</v>
      </c>
      <c r="N20" s="617">
        <v>15921848</v>
      </c>
    </row>
    <row r="23" spans="1:14" ht="14.4" thickBot="1"/>
    <row r="24" spans="1:14" ht="15" thickBot="1">
      <c r="A24" s="606" t="s">
        <v>1423</v>
      </c>
      <c r="B24" s="607">
        <v>44013</v>
      </c>
      <c r="C24" s="607">
        <v>44044</v>
      </c>
      <c r="D24" s="607">
        <v>44075</v>
      </c>
      <c r="E24" s="607">
        <v>44105</v>
      </c>
      <c r="F24" s="607">
        <v>44136</v>
      </c>
      <c r="G24" s="607">
        <v>44166</v>
      </c>
      <c r="H24" s="607">
        <v>44197</v>
      </c>
      <c r="I24" s="607">
        <v>44228</v>
      </c>
      <c r="J24" s="607">
        <v>44256</v>
      </c>
      <c r="K24" s="610" t="s">
        <v>234</v>
      </c>
    </row>
    <row r="25" spans="1:14" ht="15" thickBot="1">
      <c r="A25" s="611" t="s">
        <v>1429</v>
      </c>
      <c r="B25" s="612">
        <v>1276738</v>
      </c>
      <c r="C25" s="612">
        <v>1301286</v>
      </c>
      <c r="D25" s="612">
        <v>1236354</v>
      </c>
      <c r="E25" s="612">
        <v>1280956</v>
      </c>
      <c r="F25" s="612">
        <v>1234896</v>
      </c>
      <c r="G25" s="612">
        <v>1336572</v>
      </c>
      <c r="H25" s="612">
        <v>1303157</v>
      </c>
      <c r="I25" s="612">
        <v>1196270</v>
      </c>
      <c r="J25" s="612">
        <v>1271819</v>
      </c>
      <c r="K25" s="613">
        <f>SUM(B25:J25)</f>
        <v>11438048</v>
      </c>
    </row>
    <row r="26" spans="1:14" ht="15" thickBot="1">
      <c r="A26" s="611" t="s">
        <v>1430</v>
      </c>
      <c r="B26" s="612">
        <v>101752</v>
      </c>
      <c r="C26" s="612">
        <v>109871</v>
      </c>
      <c r="D26" s="612">
        <v>140699</v>
      </c>
      <c r="E26" s="612">
        <v>153570</v>
      </c>
      <c r="F26" s="612">
        <v>154791</v>
      </c>
      <c r="G26" s="612">
        <v>128123</v>
      </c>
      <c r="H26" s="612">
        <v>155908</v>
      </c>
      <c r="I26" s="612">
        <v>147432</v>
      </c>
      <c r="J26" s="612">
        <v>150897</v>
      </c>
      <c r="K26" s="613">
        <f>SUM(B26:J26)</f>
        <v>1243043</v>
      </c>
    </row>
    <row r="27" spans="1:14" ht="15" thickBot="1">
      <c r="A27" s="615" t="s">
        <v>1426</v>
      </c>
      <c r="B27" s="616">
        <f>SUM(B25:B26)</f>
        <v>1378490</v>
      </c>
      <c r="C27" s="616">
        <f t="shared" ref="C27:J27" si="2">SUM(C25:C26)</f>
        <v>1411157</v>
      </c>
      <c r="D27" s="616">
        <f t="shared" si="2"/>
        <v>1377053</v>
      </c>
      <c r="E27" s="616">
        <f t="shared" si="2"/>
        <v>1434526</v>
      </c>
      <c r="F27" s="616">
        <f t="shared" si="2"/>
        <v>1389687</v>
      </c>
      <c r="G27" s="616">
        <f t="shared" si="2"/>
        <v>1464695</v>
      </c>
      <c r="H27" s="616">
        <f t="shared" si="2"/>
        <v>1459065</v>
      </c>
      <c r="I27" s="616">
        <f t="shared" si="2"/>
        <v>1343702</v>
      </c>
      <c r="J27" s="616">
        <f t="shared" si="2"/>
        <v>1422716</v>
      </c>
      <c r="K27" s="617">
        <f>SUM(K25:K26)</f>
        <v>12681091</v>
      </c>
    </row>
    <row r="29" spans="1:14" ht="14.4" thickBot="1">
      <c r="J29" t="s">
        <v>1173</v>
      </c>
      <c r="K29" s="9"/>
    </row>
    <row r="30" spans="1:14" ht="15" thickBot="1">
      <c r="A30" s="665" t="s">
        <v>1431</v>
      </c>
      <c r="B30" s="667">
        <v>44013</v>
      </c>
      <c r="C30" s="667">
        <v>44044</v>
      </c>
      <c r="D30" s="667">
        <v>44075</v>
      </c>
      <c r="E30" s="667">
        <v>44105</v>
      </c>
      <c r="F30" s="667">
        <v>44136</v>
      </c>
      <c r="G30" s="667">
        <v>44166</v>
      </c>
      <c r="H30" s="667">
        <v>44197</v>
      </c>
      <c r="I30" s="667">
        <v>44228</v>
      </c>
      <c r="J30" s="667">
        <v>44256</v>
      </c>
    </row>
    <row r="31" spans="1:14" ht="15" thickBot="1">
      <c r="A31" s="666" t="s">
        <v>1429</v>
      </c>
      <c r="B31" s="668">
        <v>1276738</v>
      </c>
      <c r="C31" s="668">
        <v>1301286</v>
      </c>
      <c r="D31" s="668">
        <v>1236354</v>
      </c>
      <c r="E31" s="668">
        <v>1280956</v>
      </c>
      <c r="F31" s="668">
        <v>1234896</v>
      </c>
      <c r="G31" s="668">
        <v>1336572</v>
      </c>
      <c r="H31" s="668">
        <v>1303157</v>
      </c>
      <c r="I31" s="668">
        <v>1196270</v>
      </c>
      <c r="J31" s="668">
        <v>1271819</v>
      </c>
    </row>
    <row r="32" spans="1:14" ht="15" thickBot="1">
      <c r="A32" s="666" t="s">
        <v>1430</v>
      </c>
      <c r="B32" s="668">
        <v>101752</v>
      </c>
      <c r="C32" s="668">
        <v>109871</v>
      </c>
      <c r="D32" s="668">
        <v>140699</v>
      </c>
      <c r="E32" s="668">
        <v>153570</v>
      </c>
      <c r="F32" s="668">
        <v>154791</v>
      </c>
      <c r="G32" s="668">
        <v>128123</v>
      </c>
      <c r="H32" s="668">
        <v>155908</v>
      </c>
      <c r="I32" s="668">
        <v>147432</v>
      </c>
      <c r="J32" s="668">
        <v>150897</v>
      </c>
    </row>
    <row r="34" spans="1:3" ht="14.4" thickBot="1"/>
    <row r="35" spans="1:3" ht="15" thickBot="1">
      <c r="A35" s="665" t="s">
        <v>1431</v>
      </c>
      <c r="B35" s="666" t="s">
        <v>1429</v>
      </c>
      <c r="C35" s="666" t="s">
        <v>1430</v>
      </c>
    </row>
    <row r="36" spans="1:3" ht="15" thickBot="1">
      <c r="A36" s="667">
        <v>44013</v>
      </c>
      <c r="B36" s="668">
        <v>1276738</v>
      </c>
      <c r="C36" s="668">
        <v>101752</v>
      </c>
    </row>
    <row r="37" spans="1:3" ht="15" thickBot="1">
      <c r="A37" s="667">
        <v>44044</v>
      </c>
      <c r="B37" s="668">
        <v>1301286</v>
      </c>
      <c r="C37" s="668">
        <v>109871</v>
      </c>
    </row>
    <row r="38" spans="1:3" ht="15" thickBot="1">
      <c r="A38" s="667">
        <v>44075</v>
      </c>
      <c r="B38" s="668">
        <v>1236354</v>
      </c>
      <c r="C38" s="668">
        <v>140699</v>
      </c>
    </row>
    <row r="39" spans="1:3" ht="15" thickBot="1">
      <c r="A39" s="667">
        <v>44105</v>
      </c>
      <c r="B39" s="668">
        <v>1280956</v>
      </c>
      <c r="C39" s="668">
        <v>153570</v>
      </c>
    </row>
    <row r="40" spans="1:3" ht="15" thickBot="1">
      <c r="A40" s="667">
        <v>44136</v>
      </c>
      <c r="B40" s="668">
        <v>1234896</v>
      </c>
      <c r="C40" s="668">
        <v>154791</v>
      </c>
    </row>
    <row r="41" spans="1:3" ht="15" thickBot="1">
      <c r="A41" s="667">
        <v>44166</v>
      </c>
      <c r="B41" s="668">
        <v>1336572</v>
      </c>
      <c r="C41" s="668">
        <v>128123</v>
      </c>
    </row>
    <row r="42" spans="1:3" ht="15" thickBot="1">
      <c r="A42" s="667">
        <v>44197</v>
      </c>
      <c r="B42" s="668">
        <v>1303157</v>
      </c>
      <c r="C42" s="668">
        <v>155908</v>
      </c>
    </row>
    <row r="43" spans="1:3" ht="15" thickBot="1">
      <c r="A43" s="667">
        <v>44228</v>
      </c>
      <c r="B43" s="668">
        <v>1196270</v>
      </c>
      <c r="C43" s="668">
        <v>147432</v>
      </c>
    </row>
    <row r="44" spans="1:3" ht="15" thickBot="1">
      <c r="A44" s="667">
        <v>44256</v>
      </c>
      <c r="B44" s="668">
        <v>1271819</v>
      </c>
      <c r="C44" s="668">
        <v>150897</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00B050"/>
  </sheetPr>
  <dimension ref="A1:O109"/>
  <sheetViews>
    <sheetView topLeftCell="A36" zoomScale="80" zoomScaleNormal="80" workbookViewId="0">
      <selection activeCell="B7" sqref="B7"/>
    </sheetView>
  </sheetViews>
  <sheetFormatPr defaultColWidth="8.8984375" defaultRowHeight="13.8"/>
  <cols>
    <col min="1" max="1" width="41.3984375" bestFit="1" customWidth="1"/>
    <col min="2" max="2" width="23.09765625" customWidth="1"/>
    <col min="3" max="3" width="15.09765625" bestFit="1" customWidth="1"/>
    <col min="4" max="4" width="14.8984375" bestFit="1" customWidth="1"/>
    <col min="5" max="5" width="17.59765625" customWidth="1"/>
    <col min="6" max="6" width="36.59765625" customWidth="1"/>
    <col min="7" max="7" width="18.59765625" customWidth="1"/>
    <col min="8" max="8" width="34.8984375" customWidth="1"/>
    <col min="9" max="9" width="17.09765625" customWidth="1"/>
    <col min="10" max="10" width="15.09765625" customWidth="1"/>
    <col min="11" max="11" width="23.59765625" customWidth="1"/>
    <col min="12" max="12" width="29.59765625" customWidth="1"/>
    <col min="13" max="13" width="18.59765625" bestFit="1" customWidth="1"/>
    <col min="14" max="14" width="15.09765625" bestFit="1" customWidth="1"/>
    <col min="15" max="15" width="12.09765625" bestFit="1" customWidth="1"/>
    <col min="16" max="16" width="24" bestFit="1" customWidth="1"/>
    <col min="17" max="17" width="36.59765625" bestFit="1" customWidth="1"/>
    <col min="18" max="18" width="14.59765625" bestFit="1" customWidth="1"/>
    <col min="19" max="19" width="81" customWidth="1"/>
    <col min="20" max="20" width="17.09765625" bestFit="1" customWidth="1"/>
    <col min="21" max="21" width="15.09765625" bestFit="1" customWidth="1"/>
    <col min="22" max="22" width="23.59765625" bestFit="1" customWidth="1"/>
    <col min="23" max="23" width="29.59765625" bestFit="1" customWidth="1"/>
  </cols>
  <sheetData>
    <row r="1" spans="1:12">
      <c r="A1" s="647" t="s">
        <v>91</v>
      </c>
      <c r="B1" s="647"/>
    </row>
    <row r="2" spans="1:12">
      <c r="A2" s="848" t="s">
        <v>1432</v>
      </c>
    </row>
    <row r="3" spans="1:12" ht="15">
      <c r="A3" s="456" t="s">
        <v>1433</v>
      </c>
      <c r="B3" s="457" t="s">
        <v>1190</v>
      </c>
      <c r="C3" s="457" t="s">
        <v>1192</v>
      </c>
      <c r="D3" s="457" t="s">
        <v>1208</v>
      </c>
      <c r="E3" s="457" t="s">
        <v>1210</v>
      </c>
      <c r="F3" s="457" t="s">
        <v>1193</v>
      </c>
      <c r="G3" s="457" t="s">
        <v>1213</v>
      </c>
      <c r="H3" s="457" t="s">
        <v>1189</v>
      </c>
      <c r="I3" s="457" t="s">
        <v>1216</v>
      </c>
      <c r="J3" s="456" t="s">
        <v>1434</v>
      </c>
      <c r="K3" s="460" t="s">
        <v>669</v>
      </c>
      <c r="L3" s="460" t="s">
        <v>49</v>
      </c>
    </row>
    <row r="4" spans="1:12">
      <c r="A4" s="458" t="s">
        <v>1435</v>
      </c>
      <c r="B4" s="829">
        <v>197855.11200000005</v>
      </c>
      <c r="C4" s="829">
        <v>420057.76799999998</v>
      </c>
      <c r="D4" s="829">
        <v>2186.4960000000001</v>
      </c>
      <c r="E4" s="829">
        <v>414124.62000000017</v>
      </c>
      <c r="F4" s="829">
        <v>453686.53200000006</v>
      </c>
      <c r="G4" s="829">
        <v>4350.2160000000003</v>
      </c>
      <c r="H4" s="829">
        <v>562851.9</v>
      </c>
      <c r="I4" s="829">
        <v>589317.6120000002</v>
      </c>
      <c r="J4" s="459">
        <f>SUM(B4:I4)</f>
        <v>2644430.2560000005</v>
      </c>
      <c r="K4">
        <f>0.0036</f>
        <v>3.5999999999999999E-3</v>
      </c>
      <c r="L4">
        <f>J4*K4</f>
        <v>9519.948921600002</v>
      </c>
    </row>
    <row r="5" spans="1:12">
      <c r="A5" s="458" t="s">
        <v>1436</v>
      </c>
      <c r="B5" s="829">
        <v>768929.14799999981</v>
      </c>
      <c r="C5" s="829">
        <v>3514598.7239999976</v>
      </c>
      <c r="D5" s="829">
        <v>0</v>
      </c>
      <c r="E5" s="829">
        <v>536727.8280000001</v>
      </c>
      <c r="F5" s="829">
        <v>613801.81200000027</v>
      </c>
      <c r="G5" s="829">
        <v>266866.39199999999</v>
      </c>
      <c r="H5" s="829">
        <v>1772747.1840000001</v>
      </c>
      <c r="I5" s="829">
        <v>389560.70400000003</v>
      </c>
      <c r="J5" s="459">
        <f t="shared" ref="J5:J30" si="0">SUM(B5:I5)</f>
        <v>7863231.7919999976</v>
      </c>
      <c r="K5">
        <f t="shared" ref="K5:K30" si="1">0.0036</f>
        <v>3.5999999999999999E-3</v>
      </c>
      <c r="L5">
        <f t="shared" ref="L5:L30" si="2">J5*K5</f>
        <v>28307.634451199989</v>
      </c>
    </row>
    <row r="6" spans="1:12">
      <c r="A6" s="458" t="s">
        <v>1437</v>
      </c>
      <c r="B6" s="829">
        <v>0</v>
      </c>
      <c r="C6" s="829">
        <v>550928.66399999999</v>
      </c>
      <c r="D6" s="829">
        <v>0</v>
      </c>
      <c r="E6" s="829">
        <v>0</v>
      </c>
      <c r="F6" s="829">
        <v>0</v>
      </c>
      <c r="G6" s="829">
        <v>0</v>
      </c>
      <c r="H6" s="829">
        <v>1151076.264</v>
      </c>
      <c r="I6" s="829">
        <v>0</v>
      </c>
      <c r="J6" s="459">
        <f t="shared" si="0"/>
        <v>1702004.9279999998</v>
      </c>
      <c r="K6">
        <f t="shared" si="1"/>
        <v>3.5999999999999999E-3</v>
      </c>
      <c r="L6">
        <f t="shared" si="2"/>
        <v>6127.2177407999989</v>
      </c>
    </row>
    <row r="7" spans="1:12">
      <c r="A7" s="458" t="s">
        <v>1438</v>
      </c>
      <c r="B7" s="829">
        <v>0</v>
      </c>
      <c r="C7" s="829">
        <v>0</v>
      </c>
      <c r="D7" s="829">
        <v>0</v>
      </c>
      <c r="E7" s="829">
        <v>0</v>
      </c>
      <c r="F7" s="829">
        <v>0</v>
      </c>
      <c r="G7" s="829">
        <v>0</v>
      </c>
      <c r="H7" s="829">
        <v>71459.7</v>
      </c>
      <c r="I7" s="829">
        <v>0</v>
      </c>
      <c r="J7" s="459">
        <f t="shared" si="0"/>
        <v>71459.7</v>
      </c>
      <c r="K7">
        <f t="shared" si="1"/>
        <v>3.5999999999999999E-3</v>
      </c>
      <c r="L7">
        <f t="shared" si="2"/>
        <v>257.25491999999997</v>
      </c>
    </row>
    <row r="8" spans="1:12">
      <c r="A8" s="458" t="s">
        <v>1439</v>
      </c>
      <c r="B8" s="829">
        <v>0</v>
      </c>
      <c r="C8" s="829">
        <v>5609212.1018120861</v>
      </c>
      <c r="D8" s="829">
        <v>2254.8240000000001</v>
      </c>
      <c r="E8" s="829">
        <v>46912.052571428576</v>
      </c>
      <c r="F8" s="829">
        <v>86678.948571428569</v>
      </c>
      <c r="G8" s="829">
        <v>8882.64</v>
      </c>
      <c r="H8" s="829">
        <v>1337402.4477316767</v>
      </c>
      <c r="I8" s="829">
        <v>23017.750971428566</v>
      </c>
      <c r="J8" s="459">
        <f t="shared" si="0"/>
        <v>7114360.765658048</v>
      </c>
      <c r="K8">
        <f t="shared" si="1"/>
        <v>3.5999999999999999E-3</v>
      </c>
      <c r="L8">
        <f t="shared" si="2"/>
        <v>25611.698756368973</v>
      </c>
    </row>
    <row r="9" spans="1:12">
      <c r="A9" s="458" t="s">
        <v>1440</v>
      </c>
      <c r="B9" s="829">
        <v>0</v>
      </c>
      <c r="C9" s="829">
        <v>578362.35600000003</v>
      </c>
      <c r="D9" s="829">
        <v>0</v>
      </c>
      <c r="E9" s="829">
        <v>0</v>
      </c>
      <c r="F9" s="829">
        <v>12135.052800000001</v>
      </c>
      <c r="G9" s="829">
        <v>0</v>
      </c>
      <c r="H9" s="829">
        <v>1072284.9696000004</v>
      </c>
      <c r="I9" s="829">
        <v>0</v>
      </c>
      <c r="J9" s="459">
        <f t="shared" si="0"/>
        <v>1662782.3784000003</v>
      </c>
      <c r="K9">
        <f t="shared" si="1"/>
        <v>3.5999999999999999E-3</v>
      </c>
      <c r="L9">
        <f t="shared" si="2"/>
        <v>5986.0165622400009</v>
      </c>
    </row>
    <row r="10" spans="1:12">
      <c r="A10" s="458" t="s">
        <v>1441</v>
      </c>
      <c r="B10" s="829">
        <v>29608.799999999999</v>
      </c>
      <c r="C10" s="829">
        <v>88826.4</v>
      </c>
      <c r="D10" s="829">
        <v>0</v>
      </c>
      <c r="E10" s="829">
        <v>0</v>
      </c>
      <c r="F10" s="829">
        <v>0</v>
      </c>
      <c r="G10" s="829">
        <v>0</v>
      </c>
      <c r="H10" s="829">
        <v>0</v>
      </c>
      <c r="I10" s="829">
        <v>0</v>
      </c>
      <c r="J10" s="459">
        <f t="shared" si="0"/>
        <v>118435.2</v>
      </c>
      <c r="K10">
        <f t="shared" si="1"/>
        <v>3.5999999999999999E-3</v>
      </c>
      <c r="L10">
        <f t="shared" si="2"/>
        <v>426.36671999999999</v>
      </c>
    </row>
    <row r="11" spans="1:12">
      <c r="A11" s="458" t="s">
        <v>1442</v>
      </c>
      <c r="B11" s="829">
        <v>0</v>
      </c>
      <c r="C11" s="829">
        <v>1138.8</v>
      </c>
      <c r="D11" s="829">
        <v>0</v>
      </c>
      <c r="E11" s="829">
        <v>0</v>
      </c>
      <c r="F11" s="829">
        <v>0</v>
      </c>
      <c r="G11" s="829">
        <v>0</v>
      </c>
      <c r="H11" s="829">
        <v>2847</v>
      </c>
      <c r="I11" s="829">
        <v>0</v>
      </c>
      <c r="J11" s="459">
        <f t="shared" si="0"/>
        <v>3985.8</v>
      </c>
      <c r="K11">
        <f t="shared" si="1"/>
        <v>3.5999999999999999E-3</v>
      </c>
      <c r="L11">
        <f t="shared" si="2"/>
        <v>14.348879999999999</v>
      </c>
    </row>
    <row r="12" spans="1:12">
      <c r="A12" s="458" t="s">
        <v>1443</v>
      </c>
      <c r="B12" s="829">
        <v>4555.2</v>
      </c>
      <c r="C12" s="829">
        <v>0</v>
      </c>
      <c r="D12" s="829">
        <v>0</v>
      </c>
      <c r="E12" s="829">
        <v>0</v>
      </c>
      <c r="F12" s="829">
        <v>0</v>
      </c>
      <c r="G12" s="829">
        <v>0</v>
      </c>
      <c r="H12" s="829">
        <v>0</v>
      </c>
      <c r="I12" s="829">
        <v>0</v>
      </c>
      <c r="J12" s="459">
        <f t="shared" si="0"/>
        <v>4555.2</v>
      </c>
      <c r="K12">
        <f t="shared" si="1"/>
        <v>3.5999999999999999E-3</v>
      </c>
      <c r="L12">
        <f t="shared" si="2"/>
        <v>16.398719999999997</v>
      </c>
    </row>
    <row r="13" spans="1:12">
      <c r="A13" s="458" t="s">
        <v>1444</v>
      </c>
      <c r="B13" s="829">
        <v>0</v>
      </c>
      <c r="C13" s="829">
        <v>0</v>
      </c>
      <c r="D13" s="829">
        <v>0</v>
      </c>
      <c r="E13" s="829">
        <v>0</v>
      </c>
      <c r="F13" s="829">
        <v>0</v>
      </c>
      <c r="G13" s="829">
        <v>0</v>
      </c>
      <c r="H13" s="829">
        <v>0</v>
      </c>
      <c r="I13" s="829">
        <v>1594.32</v>
      </c>
      <c r="J13" s="459">
        <f t="shared" si="0"/>
        <v>1594.32</v>
      </c>
      <c r="K13">
        <f t="shared" si="1"/>
        <v>3.5999999999999999E-3</v>
      </c>
      <c r="L13">
        <f t="shared" si="2"/>
        <v>5.7395519999999998</v>
      </c>
    </row>
    <row r="14" spans="1:12">
      <c r="A14" s="458" t="s">
        <v>1445</v>
      </c>
      <c r="B14" s="829">
        <v>0</v>
      </c>
      <c r="C14" s="829">
        <v>1594.32</v>
      </c>
      <c r="D14" s="829">
        <v>0</v>
      </c>
      <c r="E14" s="829">
        <v>0</v>
      </c>
      <c r="F14" s="829">
        <v>0</v>
      </c>
      <c r="G14" s="829">
        <v>0</v>
      </c>
      <c r="H14" s="829">
        <v>0</v>
      </c>
      <c r="I14" s="829">
        <v>0</v>
      </c>
      <c r="J14" s="459">
        <f t="shared" si="0"/>
        <v>1594.32</v>
      </c>
      <c r="K14">
        <f t="shared" si="1"/>
        <v>3.5999999999999999E-3</v>
      </c>
      <c r="L14">
        <f t="shared" si="2"/>
        <v>5.7395519999999998</v>
      </c>
    </row>
    <row r="15" spans="1:12">
      <c r="A15" s="458" t="s">
        <v>1446</v>
      </c>
      <c r="B15" s="829">
        <v>182208</v>
      </c>
      <c r="C15" s="829">
        <v>0</v>
      </c>
      <c r="D15" s="829">
        <v>0</v>
      </c>
      <c r="E15" s="829">
        <v>0</v>
      </c>
      <c r="F15" s="829">
        <v>0</v>
      </c>
      <c r="G15" s="829">
        <v>0</v>
      </c>
      <c r="H15" s="829">
        <v>0</v>
      </c>
      <c r="I15" s="829">
        <v>0</v>
      </c>
      <c r="J15" s="459">
        <f t="shared" si="0"/>
        <v>182208</v>
      </c>
      <c r="K15">
        <f t="shared" si="1"/>
        <v>3.5999999999999999E-3</v>
      </c>
      <c r="L15">
        <f t="shared" si="2"/>
        <v>655.94880000000001</v>
      </c>
    </row>
    <row r="16" spans="1:12">
      <c r="A16" s="458" t="s">
        <v>1447</v>
      </c>
      <c r="B16" s="829">
        <v>0</v>
      </c>
      <c r="C16" s="829">
        <v>464630.4</v>
      </c>
      <c r="D16" s="829">
        <v>0</v>
      </c>
      <c r="E16" s="829">
        <v>0</v>
      </c>
      <c r="F16" s="829">
        <v>0</v>
      </c>
      <c r="G16" s="829">
        <v>0</v>
      </c>
      <c r="H16" s="829">
        <v>81993.600000000006</v>
      </c>
      <c r="I16" s="829">
        <v>0</v>
      </c>
      <c r="J16" s="459">
        <f t="shared" si="0"/>
        <v>546624</v>
      </c>
      <c r="K16">
        <f t="shared" si="1"/>
        <v>3.5999999999999999E-3</v>
      </c>
      <c r="L16">
        <f t="shared" si="2"/>
        <v>1967.8463999999999</v>
      </c>
    </row>
    <row r="17" spans="1:12">
      <c r="A17" s="458" t="s">
        <v>1448</v>
      </c>
      <c r="B17" s="829">
        <v>0</v>
      </c>
      <c r="C17" s="829">
        <v>0</v>
      </c>
      <c r="D17" s="829">
        <v>0</v>
      </c>
      <c r="E17" s="829">
        <v>0</v>
      </c>
      <c r="F17" s="829">
        <v>0</v>
      </c>
      <c r="G17" s="829">
        <v>0</v>
      </c>
      <c r="H17" s="829">
        <v>15715.44</v>
      </c>
      <c r="I17" s="829">
        <v>12299.04</v>
      </c>
      <c r="J17" s="459">
        <f t="shared" si="0"/>
        <v>28014.480000000003</v>
      </c>
      <c r="K17">
        <f t="shared" si="1"/>
        <v>3.5999999999999999E-3</v>
      </c>
      <c r="L17">
        <f t="shared" si="2"/>
        <v>100.85212800000001</v>
      </c>
    </row>
    <row r="18" spans="1:12">
      <c r="A18" s="458" t="s">
        <v>1449</v>
      </c>
      <c r="B18" s="829">
        <v>0</v>
      </c>
      <c r="C18" s="829">
        <v>0</v>
      </c>
      <c r="D18" s="829">
        <v>0</v>
      </c>
      <c r="E18" s="829">
        <v>0</v>
      </c>
      <c r="F18" s="829">
        <v>0</v>
      </c>
      <c r="G18" s="829">
        <v>0</v>
      </c>
      <c r="H18" s="829">
        <v>0</v>
      </c>
      <c r="I18" s="829">
        <v>14348.88</v>
      </c>
      <c r="J18" s="459">
        <f t="shared" si="0"/>
        <v>14348.88</v>
      </c>
      <c r="K18">
        <f t="shared" si="1"/>
        <v>3.5999999999999999E-3</v>
      </c>
      <c r="L18">
        <f t="shared" si="2"/>
        <v>51.655967999999994</v>
      </c>
    </row>
    <row r="19" spans="1:12">
      <c r="A19" s="458" t="s">
        <v>1450</v>
      </c>
      <c r="B19" s="829">
        <v>0</v>
      </c>
      <c r="C19" s="829">
        <v>0</v>
      </c>
      <c r="D19" s="829">
        <v>0</v>
      </c>
      <c r="E19" s="829">
        <v>0</v>
      </c>
      <c r="F19" s="829">
        <v>185624.4</v>
      </c>
      <c r="G19" s="829">
        <v>0</v>
      </c>
      <c r="H19" s="829">
        <v>0</v>
      </c>
      <c r="I19" s="829">
        <v>0</v>
      </c>
      <c r="J19" s="459">
        <f t="shared" si="0"/>
        <v>185624.4</v>
      </c>
      <c r="K19">
        <f t="shared" si="1"/>
        <v>3.5999999999999999E-3</v>
      </c>
      <c r="L19">
        <f t="shared" si="2"/>
        <v>668.24784</v>
      </c>
    </row>
    <row r="20" spans="1:12">
      <c r="A20" s="458" t="s">
        <v>1451</v>
      </c>
      <c r="B20" s="829">
        <v>0</v>
      </c>
      <c r="C20" s="829">
        <v>100214.39999999999</v>
      </c>
      <c r="D20" s="829">
        <v>0</v>
      </c>
      <c r="E20" s="829">
        <v>0</v>
      </c>
      <c r="F20" s="829">
        <v>0</v>
      </c>
      <c r="G20" s="829">
        <v>0</v>
      </c>
      <c r="H20" s="829">
        <v>0</v>
      </c>
      <c r="I20" s="829">
        <v>0</v>
      </c>
      <c r="J20" s="459">
        <f t="shared" si="0"/>
        <v>100214.39999999999</v>
      </c>
      <c r="K20">
        <f t="shared" si="1"/>
        <v>3.5999999999999999E-3</v>
      </c>
      <c r="L20">
        <f t="shared" si="2"/>
        <v>360.77184</v>
      </c>
    </row>
    <row r="21" spans="1:12">
      <c r="A21" s="458" t="s">
        <v>1452</v>
      </c>
      <c r="B21" s="829">
        <v>0</v>
      </c>
      <c r="C21" s="829">
        <v>0</v>
      </c>
      <c r="D21" s="829">
        <v>119574</v>
      </c>
      <c r="E21" s="829">
        <v>0</v>
      </c>
      <c r="F21" s="829">
        <v>45552</v>
      </c>
      <c r="G21" s="829">
        <v>0</v>
      </c>
      <c r="H21" s="829">
        <v>10249.200000000001</v>
      </c>
      <c r="I21" s="829">
        <v>0</v>
      </c>
      <c r="J21" s="459">
        <f t="shared" si="0"/>
        <v>175375.2</v>
      </c>
      <c r="K21">
        <f t="shared" si="1"/>
        <v>3.5999999999999999E-3</v>
      </c>
      <c r="L21">
        <f t="shared" si="2"/>
        <v>631.35072000000002</v>
      </c>
    </row>
    <row r="22" spans="1:12">
      <c r="A22" s="458" t="s">
        <v>1453</v>
      </c>
      <c r="B22" s="829">
        <v>0</v>
      </c>
      <c r="C22" s="829">
        <v>0</v>
      </c>
      <c r="D22" s="829">
        <v>0</v>
      </c>
      <c r="E22" s="829">
        <v>0</v>
      </c>
      <c r="F22" s="829">
        <v>0</v>
      </c>
      <c r="G22" s="829">
        <v>0</v>
      </c>
      <c r="H22" s="829">
        <v>56940</v>
      </c>
      <c r="I22" s="829">
        <v>0</v>
      </c>
      <c r="J22" s="459">
        <f t="shared" si="0"/>
        <v>56940</v>
      </c>
      <c r="K22">
        <f t="shared" si="1"/>
        <v>3.5999999999999999E-3</v>
      </c>
      <c r="L22">
        <f t="shared" si="2"/>
        <v>204.98399999999998</v>
      </c>
    </row>
    <row r="23" spans="1:12">
      <c r="A23" s="458" t="s">
        <v>1454</v>
      </c>
      <c r="B23" s="829">
        <v>0</v>
      </c>
      <c r="C23" s="829">
        <v>176514</v>
      </c>
      <c r="D23" s="829">
        <v>0</v>
      </c>
      <c r="E23" s="829">
        <v>0</v>
      </c>
      <c r="F23" s="829">
        <v>0</v>
      </c>
      <c r="G23" s="829">
        <v>0</v>
      </c>
      <c r="H23" s="829">
        <v>152599.20000000001</v>
      </c>
      <c r="I23" s="829">
        <v>0</v>
      </c>
      <c r="J23" s="459">
        <f t="shared" si="0"/>
        <v>329113.2</v>
      </c>
      <c r="K23">
        <f t="shared" si="1"/>
        <v>3.5999999999999999E-3</v>
      </c>
      <c r="L23">
        <f t="shared" si="2"/>
        <v>1184.8075200000001</v>
      </c>
    </row>
    <row r="24" spans="1:12">
      <c r="A24" s="458" t="s">
        <v>1455</v>
      </c>
      <c r="B24" s="829">
        <v>17082</v>
      </c>
      <c r="C24" s="829">
        <v>153738</v>
      </c>
      <c r="D24" s="829">
        <v>17082</v>
      </c>
      <c r="E24" s="829">
        <v>204984</v>
      </c>
      <c r="F24" s="829">
        <v>0</v>
      </c>
      <c r="G24" s="829">
        <v>17082</v>
      </c>
      <c r="H24" s="829">
        <v>136656</v>
      </c>
      <c r="I24" s="829">
        <v>85410</v>
      </c>
      <c r="J24" s="459">
        <f t="shared" si="0"/>
        <v>632034</v>
      </c>
      <c r="K24">
        <f t="shared" si="1"/>
        <v>3.5999999999999999E-3</v>
      </c>
      <c r="L24">
        <f t="shared" si="2"/>
        <v>2275.3224</v>
      </c>
    </row>
    <row r="25" spans="1:12">
      <c r="A25" s="458" t="s">
        <v>1456</v>
      </c>
      <c r="B25" s="829">
        <v>0</v>
      </c>
      <c r="C25" s="829">
        <v>0</v>
      </c>
      <c r="D25" s="829">
        <v>0</v>
      </c>
      <c r="E25" s="829">
        <v>132100.79999999999</v>
      </c>
      <c r="F25" s="829">
        <v>0</v>
      </c>
      <c r="G25" s="829">
        <v>0</v>
      </c>
      <c r="H25" s="829">
        <v>0</v>
      </c>
      <c r="I25" s="829">
        <v>0</v>
      </c>
      <c r="J25" s="459">
        <f t="shared" si="0"/>
        <v>132100.79999999999</v>
      </c>
      <c r="K25">
        <f t="shared" si="1"/>
        <v>3.5999999999999999E-3</v>
      </c>
      <c r="L25">
        <f t="shared" si="2"/>
        <v>475.56287999999995</v>
      </c>
    </row>
    <row r="26" spans="1:12">
      <c r="A26" s="458" t="s">
        <v>1457</v>
      </c>
      <c r="B26" s="829">
        <v>0</v>
      </c>
      <c r="C26" s="829">
        <v>0</v>
      </c>
      <c r="D26" s="829">
        <v>0</v>
      </c>
      <c r="E26" s="829">
        <v>0</v>
      </c>
      <c r="F26" s="829">
        <v>0</v>
      </c>
      <c r="G26" s="829">
        <v>0</v>
      </c>
      <c r="H26" s="829">
        <v>1138.8</v>
      </c>
      <c r="I26" s="829">
        <v>0</v>
      </c>
      <c r="J26" s="459">
        <f t="shared" si="0"/>
        <v>1138.8</v>
      </c>
      <c r="K26">
        <f t="shared" si="1"/>
        <v>3.5999999999999999E-3</v>
      </c>
      <c r="L26">
        <f t="shared" si="2"/>
        <v>4.0996799999999993</v>
      </c>
    </row>
    <row r="27" spans="1:12">
      <c r="A27" s="458" t="s">
        <v>1458</v>
      </c>
      <c r="B27" s="829">
        <v>0</v>
      </c>
      <c r="C27" s="829">
        <v>7971.6</v>
      </c>
      <c r="D27" s="829">
        <v>0</v>
      </c>
      <c r="E27" s="829">
        <v>0</v>
      </c>
      <c r="F27" s="829">
        <v>0</v>
      </c>
      <c r="G27" s="829">
        <v>0</v>
      </c>
      <c r="H27" s="829">
        <v>0</v>
      </c>
      <c r="I27" s="829">
        <v>0</v>
      </c>
      <c r="J27" s="459">
        <f t="shared" si="0"/>
        <v>7971.6</v>
      </c>
      <c r="K27">
        <f t="shared" si="1"/>
        <v>3.5999999999999999E-3</v>
      </c>
      <c r="L27">
        <f t="shared" si="2"/>
        <v>28.697759999999999</v>
      </c>
    </row>
    <row r="28" spans="1:12">
      <c r="A28" s="458" t="s">
        <v>1459</v>
      </c>
      <c r="B28" s="829">
        <v>0</v>
      </c>
      <c r="C28" s="829">
        <v>0</v>
      </c>
      <c r="D28" s="829">
        <v>0</v>
      </c>
      <c r="E28" s="829">
        <v>86548.800000000003</v>
      </c>
      <c r="F28" s="829">
        <v>0</v>
      </c>
      <c r="G28" s="829">
        <v>0</v>
      </c>
      <c r="H28" s="829">
        <v>0</v>
      </c>
      <c r="I28" s="829">
        <v>0</v>
      </c>
      <c r="J28" s="459">
        <f t="shared" si="0"/>
        <v>86548.800000000003</v>
      </c>
      <c r="K28">
        <f t="shared" si="1"/>
        <v>3.5999999999999999E-3</v>
      </c>
      <c r="L28">
        <f t="shared" si="2"/>
        <v>311.57567999999998</v>
      </c>
    </row>
    <row r="29" spans="1:12">
      <c r="A29" s="458" t="s">
        <v>1460</v>
      </c>
      <c r="B29" s="829">
        <v>0</v>
      </c>
      <c r="C29" s="829">
        <v>0</v>
      </c>
      <c r="D29" s="829">
        <v>0</v>
      </c>
      <c r="E29" s="829">
        <v>0</v>
      </c>
      <c r="F29" s="829">
        <v>0</v>
      </c>
      <c r="G29" s="829">
        <v>0</v>
      </c>
      <c r="H29" s="829">
        <v>132100.79999999999</v>
      </c>
      <c r="I29" s="829">
        <v>0</v>
      </c>
      <c r="J29" s="459">
        <f t="shared" si="0"/>
        <v>132100.79999999999</v>
      </c>
      <c r="K29">
        <f t="shared" si="1"/>
        <v>3.5999999999999999E-3</v>
      </c>
      <c r="L29">
        <f t="shared" si="2"/>
        <v>475.56287999999995</v>
      </c>
    </row>
    <row r="30" spans="1:12">
      <c r="A30" s="458" t="s">
        <v>1461</v>
      </c>
      <c r="B30" s="829">
        <v>0</v>
      </c>
      <c r="C30" s="829">
        <v>54662.400000000001</v>
      </c>
      <c r="D30" s="829">
        <v>0</v>
      </c>
      <c r="E30" s="829">
        <v>0</v>
      </c>
      <c r="F30" s="829">
        <v>0</v>
      </c>
      <c r="G30" s="829">
        <v>0</v>
      </c>
      <c r="H30" s="829">
        <v>0</v>
      </c>
      <c r="I30" s="829">
        <v>0</v>
      </c>
      <c r="J30" s="459">
        <f t="shared" si="0"/>
        <v>54662.400000000001</v>
      </c>
      <c r="K30">
        <f t="shared" si="1"/>
        <v>3.5999999999999999E-3</v>
      </c>
      <c r="L30">
        <f t="shared" si="2"/>
        <v>196.78464</v>
      </c>
    </row>
    <row r="31" spans="1:12">
      <c r="A31" s="458" t="s">
        <v>1462</v>
      </c>
      <c r="B31" s="829">
        <v>0</v>
      </c>
      <c r="C31" s="829">
        <v>0</v>
      </c>
      <c r="D31" s="829">
        <v>0</v>
      </c>
      <c r="E31" s="829">
        <v>1366.56</v>
      </c>
      <c r="F31" s="829">
        <v>0</v>
      </c>
      <c r="G31" s="829">
        <v>0</v>
      </c>
      <c r="H31" s="829">
        <v>0</v>
      </c>
      <c r="I31" s="829">
        <v>0</v>
      </c>
      <c r="J31" s="459">
        <f t="shared" ref="J31:J35" si="3">SUM(B31:I31)</f>
        <v>1366.56</v>
      </c>
      <c r="K31">
        <f t="shared" ref="K31:K35" si="4">0.0036</f>
        <v>3.5999999999999999E-3</v>
      </c>
      <c r="L31">
        <f t="shared" ref="L31:L35" si="5">J31*K31</f>
        <v>4.9196159999999995</v>
      </c>
    </row>
    <row r="32" spans="1:12">
      <c r="A32" s="458" t="s">
        <v>1463</v>
      </c>
      <c r="B32" s="829">
        <v>0</v>
      </c>
      <c r="C32" s="829">
        <v>0</v>
      </c>
      <c r="D32" s="829">
        <v>0</v>
      </c>
      <c r="E32" s="829">
        <v>0</v>
      </c>
      <c r="F32" s="829">
        <v>0</v>
      </c>
      <c r="G32" s="829">
        <v>0</v>
      </c>
      <c r="H32" s="829">
        <v>56940</v>
      </c>
      <c r="I32" s="829">
        <v>0</v>
      </c>
      <c r="J32" s="459">
        <f t="shared" si="3"/>
        <v>56940</v>
      </c>
      <c r="K32">
        <f t="shared" si="4"/>
        <v>3.5999999999999999E-3</v>
      </c>
      <c r="L32">
        <f t="shared" si="5"/>
        <v>204.98399999999998</v>
      </c>
    </row>
    <row r="33" spans="1:15">
      <c r="A33" s="458" t="s">
        <v>1464</v>
      </c>
      <c r="B33" s="829">
        <v>0</v>
      </c>
      <c r="C33" s="829">
        <v>0</v>
      </c>
      <c r="D33" s="829">
        <v>0</v>
      </c>
      <c r="E33" s="829">
        <v>0</v>
      </c>
      <c r="F33" s="829">
        <v>0</v>
      </c>
      <c r="G33" s="829">
        <v>0</v>
      </c>
      <c r="H33" s="829">
        <v>27331.200000000001</v>
      </c>
      <c r="I33" s="829">
        <v>0</v>
      </c>
      <c r="J33" s="459">
        <f t="shared" si="3"/>
        <v>27331.200000000001</v>
      </c>
      <c r="K33">
        <f t="shared" si="4"/>
        <v>3.5999999999999999E-3</v>
      </c>
      <c r="L33">
        <f t="shared" si="5"/>
        <v>98.392319999999998</v>
      </c>
    </row>
    <row r="34" spans="1:15">
      <c r="A34" s="458" t="s">
        <v>1465</v>
      </c>
      <c r="B34" s="829">
        <v>0</v>
      </c>
      <c r="C34" s="829">
        <v>0</v>
      </c>
      <c r="D34" s="829">
        <v>0</v>
      </c>
      <c r="E34" s="829">
        <v>0</v>
      </c>
      <c r="F34" s="829">
        <v>0</v>
      </c>
      <c r="G34" s="829">
        <v>0</v>
      </c>
      <c r="H34" s="829">
        <v>9110.4</v>
      </c>
      <c r="I34" s="829">
        <v>0</v>
      </c>
      <c r="J34" s="459">
        <f t="shared" si="3"/>
        <v>9110.4</v>
      </c>
      <c r="K34">
        <f t="shared" si="4"/>
        <v>3.5999999999999999E-3</v>
      </c>
      <c r="L34">
        <f t="shared" si="5"/>
        <v>32.797439999999995</v>
      </c>
    </row>
    <row r="35" spans="1:15">
      <c r="A35" s="458" t="s">
        <v>1466</v>
      </c>
      <c r="B35" s="829">
        <v>0</v>
      </c>
      <c r="C35" s="829">
        <v>3416.4</v>
      </c>
      <c r="D35" s="829">
        <v>0</v>
      </c>
      <c r="E35" s="829">
        <v>3416.4</v>
      </c>
      <c r="F35" s="829">
        <v>0</v>
      </c>
      <c r="G35" s="829">
        <v>0</v>
      </c>
      <c r="H35" s="829">
        <v>3416.4</v>
      </c>
      <c r="I35" s="829">
        <v>6832.8</v>
      </c>
      <c r="J35" s="459">
        <f t="shared" si="3"/>
        <v>17082</v>
      </c>
      <c r="K35">
        <f t="shared" si="4"/>
        <v>3.5999999999999999E-3</v>
      </c>
      <c r="L35">
        <f t="shared" si="5"/>
        <v>61.495199999999997</v>
      </c>
    </row>
    <row r="36" spans="1:15" ht="15">
      <c r="A36" s="461" t="s">
        <v>1353</v>
      </c>
      <c r="B36" s="461">
        <f>SUM(B4:B35)</f>
        <v>1200238.2599999998</v>
      </c>
      <c r="C36" s="461">
        <f t="shared" ref="C36:L36" si="6">SUM(C4:C35)</f>
        <v>11725866.333812086</v>
      </c>
      <c r="D36" s="461">
        <f t="shared" si="6"/>
        <v>141097.32</v>
      </c>
      <c r="E36" s="461">
        <f t="shared" si="6"/>
        <v>1426181.0605714289</v>
      </c>
      <c r="F36" s="461">
        <f t="shared" si="6"/>
        <v>1397478.7453714288</v>
      </c>
      <c r="G36" s="461">
        <f t="shared" si="6"/>
        <v>297181.24800000002</v>
      </c>
      <c r="H36" s="461">
        <f t="shared" si="6"/>
        <v>6654860.5053316783</v>
      </c>
      <c r="I36" s="461">
        <f t="shared" si="6"/>
        <v>1122381.106971429</v>
      </c>
      <c r="J36" s="461">
        <f t="shared" si="6"/>
        <v>23965284.580058042</v>
      </c>
      <c r="K36" s="461"/>
      <c r="L36" s="461">
        <f t="shared" si="6"/>
        <v>86275.024488208946</v>
      </c>
    </row>
    <row r="38" spans="1:15">
      <c r="A38" s="830"/>
    </row>
    <row r="40" spans="1:15">
      <c r="A40" s="848" t="s">
        <v>1432</v>
      </c>
      <c r="B40" s="113"/>
    </row>
    <row r="41" spans="1:15" ht="30">
      <c r="A41" s="456" t="s">
        <v>1467</v>
      </c>
      <c r="B41" s="462" t="s">
        <v>1468</v>
      </c>
      <c r="C41" s="460" t="s">
        <v>669</v>
      </c>
      <c r="D41" s="460" t="s">
        <v>49</v>
      </c>
      <c r="E41" s="460" t="s">
        <v>1469</v>
      </c>
      <c r="F41" s="460" t="s">
        <v>1470</v>
      </c>
      <c r="G41" s="464" t="s">
        <v>1471</v>
      </c>
      <c r="H41" s="239"/>
      <c r="I41" s="239"/>
      <c r="J41" s="241"/>
      <c r="L41" s="239"/>
      <c r="M41" s="239"/>
      <c r="N41" s="239"/>
      <c r="O41" s="239"/>
    </row>
    <row r="42" spans="1:15">
      <c r="A42" s="458" t="s">
        <v>1190</v>
      </c>
      <c r="B42" s="672">
        <v>411435.05</v>
      </c>
      <c r="C42">
        <f>0.0036</f>
        <v>3.5999999999999999E-3</v>
      </c>
      <c r="D42">
        <f>B42*C42</f>
        <v>1481.1661799999999</v>
      </c>
      <c r="E42">
        <f>VLOOKUP(A42,'GHG Factors FY21'!$D$5:$K$12,8,FALSE)</f>
        <v>0.81</v>
      </c>
      <c r="F42">
        <f>VLOOKUP(A42,'GHG Factors FY21'!$D$5:$L$12,9,FALSE)</f>
        <v>0.09</v>
      </c>
      <c r="G42">
        <f>(E42+F42)*B42/1000</f>
        <v>370.29154499999999</v>
      </c>
    </row>
    <row r="43" spans="1:15">
      <c r="A43" s="458" t="s">
        <v>1192</v>
      </c>
      <c r="B43" s="672">
        <v>3587903.7900000019</v>
      </c>
      <c r="C43">
        <f t="shared" ref="C43:C49" si="7">0.0036</f>
        <v>3.5999999999999999E-3</v>
      </c>
      <c r="D43">
        <f t="shared" ref="D43:D49" si="8">B43*C43</f>
        <v>12916.453644000007</v>
      </c>
      <c r="E43">
        <f>VLOOKUP(A43,'GHG Factors FY21'!$D$5:$K$12,8,FALSE)</f>
        <v>0.81</v>
      </c>
      <c r="F43">
        <f>VLOOKUP(A43,'GHG Factors FY21'!$D$5:$L$12,9,FALSE)</f>
        <v>0.09</v>
      </c>
      <c r="G43">
        <f t="shared" ref="G43:G49" si="9">(E43+F43)*B43/1000</f>
        <v>3229.1134110000016</v>
      </c>
    </row>
    <row r="44" spans="1:15">
      <c r="A44" s="458" t="s">
        <v>1208</v>
      </c>
      <c r="B44" s="672">
        <v>18980</v>
      </c>
      <c r="C44">
        <f t="shared" si="7"/>
        <v>3.5999999999999999E-3</v>
      </c>
      <c r="D44">
        <f t="shared" ref="D44" si="10">B44*C44</f>
        <v>68.328000000000003</v>
      </c>
      <c r="E44">
        <f>VLOOKUP(A44,'GHG Factors FY21'!$D$5:$K$12,8,FALSE)</f>
        <v>0.62</v>
      </c>
      <c r="F44">
        <f>VLOOKUP(A44,'GHG Factors FY21'!$D$5:$L$12,9,FALSE)</f>
        <v>7.0000000000000007E-2</v>
      </c>
      <c r="G44">
        <f t="shared" ref="G44" si="11">(E44+F44)*B44/1000</f>
        <v>13.0962</v>
      </c>
      <c r="J44" s="3"/>
    </row>
    <row r="45" spans="1:15">
      <c r="A45" s="458" t="s">
        <v>1210</v>
      </c>
      <c r="B45" s="672">
        <v>1838154.4500000002</v>
      </c>
      <c r="C45">
        <f t="shared" si="7"/>
        <v>3.5999999999999999E-3</v>
      </c>
      <c r="D45">
        <f t="shared" si="8"/>
        <v>6617.3560200000002</v>
      </c>
      <c r="E45">
        <f>VLOOKUP(A45,'GHG Factors FY21'!$D$5:$K$12,8,FALSE)</f>
        <v>0.81</v>
      </c>
      <c r="F45">
        <f>VLOOKUP(A45,'GHG Factors FY21'!$D$5:$L$12,9,FALSE)</f>
        <v>0.12</v>
      </c>
      <c r="G45">
        <f t="shared" si="9"/>
        <v>1709.4836385000003</v>
      </c>
    </row>
    <row r="46" spans="1:15">
      <c r="A46" t="s">
        <v>1193</v>
      </c>
      <c r="B46" s="673">
        <v>834437.17999999993</v>
      </c>
      <c r="C46">
        <f t="shared" si="7"/>
        <v>3.5999999999999999E-3</v>
      </c>
      <c r="D46">
        <f t="shared" si="8"/>
        <v>3003.9738479999996</v>
      </c>
      <c r="E46">
        <f>VLOOKUP(A46,'GHG Factors FY21'!$D$5:$K$12,8,FALSE)</f>
        <v>0.43</v>
      </c>
      <c r="F46">
        <f>VLOOKUP(A46,'GHG Factors FY21'!$D$5:$L$12,9,FALSE)</f>
        <v>0.09</v>
      </c>
      <c r="G46">
        <f t="shared" si="9"/>
        <v>433.90733359999996</v>
      </c>
    </row>
    <row r="47" spans="1:15">
      <c r="A47" s="4" t="s">
        <v>1213</v>
      </c>
      <c r="B47" s="673">
        <v>222097.65000000002</v>
      </c>
      <c r="C47">
        <f t="shared" si="7"/>
        <v>3.5999999999999999E-3</v>
      </c>
      <c r="D47">
        <f t="shared" ref="D47" si="12">B47*C47</f>
        <v>799.55154000000005</v>
      </c>
      <c r="E47">
        <f>VLOOKUP(A47,'GHG Factors FY21'!$D$5:$K$12,8,FALSE)</f>
        <v>0.17</v>
      </c>
      <c r="F47">
        <f>VLOOKUP(A47,'GHG Factors FY21'!$D$5:$L$12,9,FALSE)</f>
        <v>0.02</v>
      </c>
      <c r="G47">
        <f t="shared" ref="G47" si="13">(E47+F47)*B47/1000</f>
        <v>42.198553500000003</v>
      </c>
    </row>
    <row r="48" spans="1:15">
      <c r="A48" t="s">
        <v>1189</v>
      </c>
      <c r="B48" s="673">
        <v>10368017.862</v>
      </c>
      <c r="C48">
        <f t="shared" si="7"/>
        <v>3.5999999999999999E-3</v>
      </c>
      <c r="D48">
        <f t="shared" si="8"/>
        <v>37324.864303199996</v>
      </c>
      <c r="E48">
        <f>VLOOKUP(A48,'GHG Factors FY21'!$D$5:$K$12,8,FALSE)</f>
        <v>0.98</v>
      </c>
      <c r="F48">
        <f>VLOOKUP(A48,'GHG Factors FY21'!$D$5:$L$12,9,FALSE)</f>
        <v>0.11</v>
      </c>
      <c r="G48">
        <f t="shared" si="9"/>
        <v>11301.139469580001</v>
      </c>
    </row>
    <row r="49" spans="1:7">
      <c r="A49" s="56" t="s">
        <v>1216</v>
      </c>
      <c r="B49" s="673">
        <v>2054031.1600000001</v>
      </c>
      <c r="C49">
        <f t="shared" si="7"/>
        <v>3.5999999999999999E-3</v>
      </c>
      <c r="D49">
        <f t="shared" si="8"/>
        <v>7394.5121760000002</v>
      </c>
      <c r="E49">
        <f>VLOOKUP(A49,'GHG Factors FY21'!$D$5:$K$12,8,FALSE)</f>
        <v>0.68</v>
      </c>
      <c r="F49">
        <f>VLOOKUP(A49,'GHG Factors FY21'!$D$5:$L$12,9,FALSE)</f>
        <v>0.02</v>
      </c>
      <c r="G49">
        <f t="shared" si="9"/>
        <v>1437.8218120000001</v>
      </c>
    </row>
    <row r="50" spans="1:7" ht="15.6">
      <c r="A50" s="456" t="s">
        <v>53</v>
      </c>
      <c r="B50" s="479">
        <f>SUM(B41:B49)</f>
        <v>19335057.142000001</v>
      </c>
      <c r="C50" s="461"/>
      <c r="D50" s="487">
        <f t="shared" ref="D50" si="14">SUM(D42:D49)</f>
        <v>69606.205711200004</v>
      </c>
      <c r="E50" s="461"/>
      <c r="F50" s="461"/>
      <c r="G50" s="487">
        <f>SUM(G42:G49)</f>
        <v>18537.051963180005</v>
      </c>
    </row>
    <row r="51" spans="1:7">
      <c r="B51" s="8"/>
    </row>
    <row r="52" spans="1:7">
      <c r="A52" s="830"/>
      <c r="B52" s="8"/>
    </row>
    <row r="53" spans="1:7">
      <c r="A53" s="830"/>
      <c r="B53" s="8"/>
    </row>
    <row r="54" spans="1:7" ht="45">
      <c r="A54" s="58" t="s">
        <v>1187</v>
      </c>
      <c r="B54" t="s">
        <v>1472</v>
      </c>
      <c r="C54" t="s">
        <v>1473</v>
      </c>
      <c r="D54" s="462" t="s">
        <v>1474</v>
      </c>
      <c r="E54" s="460" t="s">
        <v>669</v>
      </c>
      <c r="F54" s="460" t="s">
        <v>49</v>
      </c>
      <c r="G54" s="464" t="s">
        <v>1471</v>
      </c>
    </row>
    <row r="55" spans="1:7">
      <c r="A55" s="125" t="s">
        <v>1190</v>
      </c>
      <c r="B55" s="125">
        <v>0.81</v>
      </c>
      <c r="C55" s="125">
        <v>0.09</v>
      </c>
      <c r="D55">
        <v>1200238.2599999998</v>
      </c>
      <c r="E55">
        <f>0.0036</f>
        <v>3.5999999999999999E-3</v>
      </c>
      <c r="F55">
        <f>D55*E55</f>
        <v>4320.857735999999</v>
      </c>
      <c r="G55">
        <f t="shared" ref="G55:G62" si="15">(B87+C87)*D55/1000</f>
        <v>1080.214434</v>
      </c>
    </row>
    <row r="56" spans="1:7">
      <c r="A56" s="463" t="s">
        <v>1192</v>
      </c>
      <c r="B56" s="463">
        <v>0.81</v>
      </c>
      <c r="C56" s="463">
        <v>0.09</v>
      </c>
      <c r="D56">
        <v>11725866.333812073</v>
      </c>
      <c r="E56">
        <f t="shared" ref="E56:E61" si="16">0.0036</f>
        <v>3.5999999999999999E-3</v>
      </c>
      <c r="F56">
        <f t="shared" ref="F56:F62" si="17">D56*E56</f>
        <v>42213.11880172346</v>
      </c>
      <c r="G56">
        <f t="shared" si="15"/>
        <v>10553.279700430867</v>
      </c>
    </row>
    <row r="57" spans="1:7">
      <c r="A57" s="125" t="s">
        <v>1208</v>
      </c>
      <c r="B57" s="125">
        <v>0.62</v>
      </c>
      <c r="C57" s="125">
        <v>7.0000000000000007E-2</v>
      </c>
      <c r="D57">
        <v>141097.32</v>
      </c>
      <c r="E57">
        <f t="shared" si="16"/>
        <v>3.5999999999999999E-3</v>
      </c>
      <c r="F57">
        <f t="shared" si="17"/>
        <v>507.95035200000001</v>
      </c>
      <c r="G57">
        <f t="shared" si="15"/>
        <v>100.1790972</v>
      </c>
    </row>
    <row r="58" spans="1:7">
      <c r="A58" s="463" t="s">
        <v>1210</v>
      </c>
      <c r="B58" s="463">
        <v>0.81</v>
      </c>
      <c r="C58" s="463">
        <v>0.12</v>
      </c>
      <c r="D58">
        <v>1426181.0605714284</v>
      </c>
      <c r="E58">
        <f t="shared" si="16"/>
        <v>3.5999999999999999E-3</v>
      </c>
      <c r="F58">
        <f t="shared" si="17"/>
        <v>5134.2518180571424</v>
      </c>
      <c r="G58">
        <f t="shared" si="15"/>
        <v>1326.3483863314286</v>
      </c>
    </row>
    <row r="59" spans="1:7">
      <c r="A59" s="125" t="s">
        <v>1193</v>
      </c>
      <c r="B59" s="125">
        <v>0.43</v>
      </c>
      <c r="C59" s="125">
        <v>0.09</v>
      </c>
      <c r="D59">
        <v>1397478.7453714292</v>
      </c>
      <c r="E59">
        <f t="shared" si="16"/>
        <v>3.5999999999999999E-3</v>
      </c>
      <c r="F59">
        <f t="shared" si="17"/>
        <v>5030.9234833371447</v>
      </c>
      <c r="G59">
        <f t="shared" si="15"/>
        <v>754.63852250057175</v>
      </c>
    </row>
    <row r="60" spans="1:7">
      <c r="A60" s="463" t="s">
        <v>1213</v>
      </c>
      <c r="B60" s="463">
        <v>0.17</v>
      </c>
      <c r="C60" s="463">
        <v>0.02</v>
      </c>
      <c r="D60">
        <v>297181.24799999996</v>
      </c>
      <c r="E60">
        <f t="shared" si="16"/>
        <v>3.5999999999999999E-3</v>
      </c>
      <c r="F60">
        <f t="shared" si="17"/>
        <v>1069.8524927999999</v>
      </c>
      <c r="G60">
        <f t="shared" si="15"/>
        <v>50.520812159999984</v>
      </c>
    </row>
    <row r="61" spans="1:7">
      <c r="A61" s="125" t="s">
        <v>1189</v>
      </c>
      <c r="B61" s="125">
        <v>0.98</v>
      </c>
      <c r="C61" s="125">
        <v>0.11</v>
      </c>
      <c r="D61">
        <v>6654860.5053316755</v>
      </c>
      <c r="E61">
        <f t="shared" si="16"/>
        <v>3.5999999999999999E-3</v>
      </c>
      <c r="F61">
        <f t="shared" si="17"/>
        <v>23957.497819194032</v>
      </c>
      <c r="G61">
        <f t="shared" si="15"/>
        <v>7453.4437659714768</v>
      </c>
    </row>
    <row r="62" spans="1:7">
      <c r="A62" s="463" t="s">
        <v>1216</v>
      </c>
      <c r="B62" s="463">
        <v>0.68</v>
      </c>
      <c r="C62" s="463">
        <v>0.02</v>
      </c>
      <c r="D62">
        <v>1122381.1069714287</v>
      </c>
      <c r="E62">
        <f>0.0036</f>
        <v>3.5999999999999999E-3</v>
      </c>
      <c r="F62">
        <f t="shared" si="17"/>
        <v>4040.5719850971432</v>
      </c>
      <c r="G62">
        <f t="shared" si="15"/>
        <v>819.33820808914288</v>
      </c>
    </row>
    <row r="63" spans="1:7">
      <c r="D63" s="5">
        <f t="shared" ref="D63:F63" si="18">SUM(D55:D62)</f>
        <v>23965284.580058035</v>
      </c>
      <c r="F63">
        <f t="shared" si="18"/>
        <v>86275.024488208903</v>
      </c>
      <c r="G63" s="838">
        <f>SUM(G55:G62)</f>
        <v>22137.962926683485</v>
      </c>
    </row>
    <row r="65" spans="1:12">
      <c r="A65" t="s">
        <v>3</v>
      </c>
    </row>
    <row r="67" spans="1:12" ht="15">
      <c r="A67" s="456" t="s">
        <v>1433</v>
      </c>
      <c r="B67" s="457" t="s">
        <v>1190</v>
      </c>
      <c r="C67" s="457" t="s">
        <v>1192</v>
      </c>
      <c r="D67" s="457" t="s">
        <v>1208</v>
      </c>
      <c r="E67" s="457" t="s">
        <v>1210</v>
      </c>
      <c r="F67" s="457" t="s">
        <v>1193</v>
      </c>
      <c r="G67" s="457" t="s">
        <v>1213</v>
      </c>
      <c r="H67" s="457" t="s">
        <v>1189</v>
      </c>
      <c r="I67" s="457" t="s">
        <v>1216</v>
      </c>
      <c r="J67" s="456" t="s">
        <v>1434</v>
      </c>
      <c r="K67" s="460" t="s">
        <v>669</v>
      </c>
      <c r="L67" s="460" t="s">
        <v>49</v>
      </c>
    </row>
    <row r="68" spans="1:12">
      <c r="A68" s="458" t="s">
        <v>1475</v>
      </c>
      <c r="B68" s="459">
        <v>932381.11199999996</v>
      </c>
      <c r="C68" s="459">
        <v>2346809.4084239998</v>
      </c>
      <c r="D68" s="459">
        <v>255240.26892000003</v>
      </c>
      <c r="E68" s="459">
        <v>3407610.3475751989</v>
      </c>
      <c r="F68" s="459">
        <v>495042.96503999998</v>
      </c>
      <c r="G68" s="459">
        <v>733544.58215999999</v>
      </c>
      <c r="H68" s="459">
        <v>2225926.3805999998</v>
      </c>
      <c r="I68" s="459">
        <v>1188292.2480000001</v>
      </c>
      <c r="J68" s="459">
        <v>11584847.312719198</v>
      </c>
      <c r="K68">
        <f>0.0036</f>
        <v>3.5999999999999999E-3</v>
      </c>
      <c r="L68">
        <f>J68*K68</f>
        <v>41705.450325789112</v>
      </c>
    </row>
    <row r="69" spans="1:12">
      <c r="A69" s="458" t="s">
        <v>1476</v>
      </c>
      <c r="B69" s="459"/>
      <c r="C69" s="459">
        <v>1176072.9240000001</v>
      </c>
      <c r="D69" s="459"/>
      <c r="E69" s="459">
        <v>118013.844</v>
      </c>
      <c r="F69" s="459">
        <v>101933.98800000001</v>
      </c>
      <c r="G69" s="459"/>
      <c r="H69" s="459">
        <v>1125157.176</v>
      </c>
      <c r="I69" s="459">
        <v>100111.908</v>
      </c>
      <c r="J69" s="459">
        <v>2621289.84</v>
      </c>
      <c r="K69">
        <f t="shared" ref="K69:K73" si="19">0.0036</f>
        <v>3.5999999999999999E-3</v>
      </c>
      <c r="L69">
        <f t="shared" ref="L69:L73" si="20">J69*K69</f>
        <v>9436.6434239999999</v>
      </c>
    </row>
    <row r="70" spans="1:12">
      <c r="A70" s="458" t="s">
        <v>1477</v>
      </c>
      <c r="B70" s="459">
        <v>17093.387999999999</v>
      </c>
      <c r="C70" s="459">
        <v>332894.01600000006</v>
      </c>
      <c r="D70" s="459"/>
      <c r="E70" s="459">
        <v>726679.66800000018</v>
      </c>
      <c r="F70" s="459">
        <v>64843.271999999997</v>
      </c>
      <c r="G70" s="459">
        <v>64888.824000000001</v>
      </c>
      <c r="H70" s="459">
        <v>143169.93599999999</v>
      </c>
      <c r="I70" s="459">
        <v>556144.36800000002</v>
      </c>
      <c r="J70" s="459">
        <v>1905713.4720000001</v>
      </c>
      <c r="K70">
        <f t="shared" si="19"/>
        <v>3.5999999999999999E-3</v>
      </c>
      <c r="L70">
        <f t="shared" si="20"/>
        <v>6860.5684991999997</v>
      </c>
    </row>
    <row r="71" spans="1:12">
      <c r="A71" t="s">
        <v>1478</v>
      </c>
      <c r="B71" s="100">
        <v>11690.9208</v>
      </c>
      <c r="C71" s="100">
        <v>3257587.9627200002</v>
      </c>
      <c r="D71" s="100">
        <v>0</v>
      </c>
      <c r="E71" s="100">
        <v>246397.60080000001</v>
      </c>
      <c r="F71" s="100">
        <v>66476.311200000011</v>
      </c>
      <c r="G71" s="100">
        <v>0</v>
      </c>
      <c r="H71" s="100">
        <v>1892371.2911999999</v>
      </c>
      <c r="I71" s="100">
        <v>15448.960799999999</v>
      </c>
      <c r="J71" s="100">
        <v>5489973.0475199996</v>
      </c>
      <c r="K71">
        <f t="shared" si="19"/>
        <v>3.5999999999999999E-3</v>
      </c>
      <c r="L71">
        <f t="shared" si="20"/>
        <v>19763.902971071999</v>
      </c>
    </row>
    <row r="72" spans="1:12">
      <c r="A72" t="s">
        <v>1479</v>
      </c>
      <c r="B72" s="100">
        <v>11690.9208</v>
      </c>
      <c r="C72" s="100">
        <v>4630126.2072000001</v>
      </c>
      <c r="D72" s="100">
        <v>3871.92</v>
      </c>
      <c r="E72" s="100">
        <v>41618.584799999997</v>
      </c>
      <c r="F72" s="100">
        <v>30367.240799999996</v>
      </c>
      <c r="G72" s="100">
        <v>0</v>
      </c>
      <c r="H72" s="100">
        <v>1156708.7688</v>
      </c>
      <c r="I72" s="100">
        <v>49157.440799999997</v>
      </c>
      <c r="J72" s="100">
        <v>5923541.0832000002</v>
      </c>
      <c r="K72">
        <f t="shared" si="19"/>
        <v>3.5999999999999999E-3</v>
      </c>
      <c r="L72">
        <f t="shared" si="20"/>
        <v>21324.74789952</v>
      </c>
    </row>
    <row r="73" spans="1:12" ht="27.6">
      <c r="A73" s="56" t="s">
        <v>1480</v>
      </c>
      <c r="B73" s="100">
        <v>107639.376</v>
      </c>
      <c r="C73" s="100">
        <v>1247509.8480000002</v>
      </c>
      <c r="D73" s="100">
        <v>77575.056000000011</v>
      </c>
      <c r="E73" s="100">
        <v>395926.59600000008</v>
      </c>
      <c r="F73" s="100">
        <v>415946.69999999995</v>
      </c>
      <c r="G73" s="100">
        <v>75491.052000000011</v>
      </c>
      <c r="H73" s="100">
        <v>1758042.9983999999</v>
      </c>
      <c r="I73" s="100">
        <v>647328.08400000003</v>
      </c>
      <c r="J73" s="100">
        <v>4725459.7104000002</v>
      </c>
      <c r="K73">
        <f t="shared" si="19"/>
        <v>3.5999999999999999E-3</v>
      </c>
      <c r="L73">
        <f t="shared" si="20"/>
        <v>17011.654957440001</v>
      </c>
    </row>
    <row r="74" spans="1:12" ht="15">
      <c r="A74" s="461" t="s">
        <v>1353</v>
      </c>
      <c r="B74" s="461">
        <f>SUM(B68:B73)</f>
        <v>1080495.7175999999</v>
      </c>
      <c r="C74" s="461">
        <f t="shared" ref="C74:J74" si="21">SUM(C68:C73)</f>
        <v>12991000.366344001</v>
      </c>
      <c r="D74" s="461">
        <f t="shared" si="21"/>
        <v>336687.24492000008</v>
      </c>
      <c r="E74" s="461">
        <f t="shared" si="21"/>
        <v>4936246.6411751993</v>
      </c>
      <c r="F74" s="461">
        <f t="shared" si="21"/>
        <v>1174610.47704</v>
      </c>
      <c r="G74" s="461">
        <f t="shared" si="21"/>
        <v>873924.45816000004</v>
      </c>
      <c r="H74" s="461">
        <f t="shared" si="21"/>
        <v>8301376.550999999</v>
      </c>
      <c r="I74" s="461">
        <f t="shared" si="21"/>
        <v>2556483.0096000005</v>
      </c>
      <c r="J74" s="461">
        <f t="shared" si="21"/>
        <v>32250824.4658392</v>
      </c>
      <c r="K74" s="461"/>
      <c r="L74" s="461">
        <f t="shared" ref="L74" si="22">SUM(L68:L73)</f>
        <v>116102.96807702111</v>
      </c>
    </row>
    <row r="76" spans="1:12">
      <c r="A76" s="632" t="s">
        <v>1481</v>
      </c>
      <c r="B76" s="632">
        <v>44048</v>
      </c>
    </row>
    <row r="77" spans="1:12" ht="30">
      <c r="A77" s="456" t="s">
        <v>1467</v>
      </c>
      <c r="B77" s="462" t="s">
        <v>1468</v>
      </c>
      <c r="C77" s="460" t="s">
        <v>669</v>
      </c>
      <c r="D77" s="460" t="s">
        <v>49</v>
      </c>
      <c r="E77" s="460" t="s">
        <v>1469</v>
      </c>
      <c r="F77" s="460" t="s">
        <v>1470</v>
      </c>
      <c r="G77" s="464" t="s">
        <v>1471</v>
      </c>
    </row>
    <row r="78" spans="1:12">
      <c r="A78" s="458" t="s">
        <v>1190</v>
      </c>
      <c r="B78" s="633">
        <v>305231</v>
      </c>
      <c r="C78">
        <f>0.0036</f>
        <v>3.5999999999999999E-3</v>
      </c>
      <c r="D78">
        <f>B78*C78</f>
        <v>1098.8316</v>
      </c>
      <c r="E78">
        <f>VLOOKUP(A78,'GHG Factors FY20'!$D$5:$K$12,8,FALSE)</f>
        <v>0.81</v>
      </c>
      <c r="F78">
        <f>VLOOKUP(A78,'GHG Factors FY20'!$D$5:$L$12,9,FALSE)</f>
        <v>0.09</v>
      </c>
      <c r="G78">
        <f>(E78+F78)*B78/1000</f>
        <v>274.7079</v>
      </c>
    </row>
    <row r="79" spans="1:12">
      <c r="A79" s="458" t="s">
        <v>1192</v>
      </c>
      <c r="B79" s="633">
        <v>4259417.4000000004</v>
      </c>
      <c r="C79">
        <f t="shared" ref="C79:C83" si="23">0.0036</f>
        <v>3.5999999999999999E-3</v>
      </c>
      <c r="D79">
        <f t="shared" ref="D79:D83" si="24">B79*C79</f>
        <v>15333.90264</v>
      </c>
      <c r="E79">
        <f>VLOOKUP(A79,'GHG Factors FY20'!$D$5:$K$12,8,FALSE)</f>
        <v>0.81</v>
      </c>
      <c r="F79">
        <f>VLOOKUP(A79,'GHG Factors FY20'!$D$5:$L$12,9,FALSE)</f>
        <v>0.09</v>
      </c>
      <c r="G79">
        <f t="shared" ref="G79:G83" si="25">(E79+F79)*B79/1000</f>
        <v>3833.4756600000005</v>
      </c>
    </row>
    <row r="80" spans="1:12">
      <c r="A80" s="458" t="s">
        <v>1210</v>
      </c>
      <c r="B80" s="633">
        <v>1688496</v>
      </c>
      <c r="C80">
        <f t="shared" si="23"/>
        <v>3.5999999999999999E-3</v>
      </c>
      <c r="D80">
        <f t="shared" si="24"/>
        <v>6078.5855999999994</v>
      </c>
      <c r="E80">
        <f>VLOOKUP(A80,'GHG Factors FY20'!$D$5:$K$12,8,FALSE)</f>
        <v>0.81</v>
      </c>
      <c r="F80">
        <f>VLOOKUP(A80,'GHG Factors FY20'!$D$5:$L$12,9,FALSE)</f>
        <v>0.12</v>
      </c>
      <c r="G80">
        <f t="shared" si="25"/>
        <v>1570.3012800000001</v>
      </c>
    </row>
    <row r="81" spans="1:7">
      <c r="A81" t="s">
        <v>1193</v>
      </c>
      <c r="B81" s="433">
        <v>550749</v>
      </c>
      <c r="C81">
        <f t="shared" si="23"/>
        <v>3.5999999999999999E-3</v>
      </c>
      <c r="D81">
        <f t="shared" si="24"/>
        <v>1982.6964</v>
      </c>
      <c r="E81">
        <f>VLOOKUP(A81,'GHG Factors FY20'!$D$5:$K$12,8,FALSE)</f>
        <v>0.44</v>
      </c>
      <c r="F81">
        <f>VLOOKUP(A81,'GHG Factors FY20'!$D$5:$L$12,9,FALSE)</f>
        <v>0.1</v>
      </c>
      <c r="G81">
        <f t="shared" si="25"/>
        <v>297.40446000000003</v>
      </c>
    </row>
    <row r="82" spans="1:7">
      <c r="A82" t="s">
        <v>1189</v>
      </c>
      <c r="B82" s="433">
        <v>3101298.4</v>
      </c>
      <c r="C82">
        <f t="shared" si="23"/>
        <v>3.5999999999999999E-3</v>
      </c>
      <c r="D82">
        <f t="shared" si="24"/>
        <v>11164.674239999998</v>
      </c>
      <c r="E82">
        <f>VLOOKUP(A82,'GHG Factors FY20'!$D$5:$K$12,8,FALSE)</f>
        <v>1.02</v>
      </c>
      <c r="F82">
        <f>VLOOKUP(A82,'GHG Factors FY20'!$D$5:$L$12,9,FALSE)</f>
        <v>0.1</v>
      </c>
      <c r="G82">
        <f t="shared" si="25"/>
        <v>3473.4542080000001</v>
      </c>
    </row>
    <row r="83" spans="1:7">
      <c r="A83" s="56" t="s">
        <v>1216</v>
      </c>
      <c r="B83" s="433">
        <v>1311648.5</v>
      </c>
      <c r="C83">
        <f t="shared" si="23"/>
        <v>3.5999999999999999E-3</v>
      </c>
      <c r="D83">
        <f t="shared" si="24"/>
        <v>4721.9345999999996</v>
      </c>
      <c r="E83">
        <f>VLOOKUP(A83,'GHG Factors FY20'!$D$5:$K$12,8,FALSE)</f>
        <v>0.69</v>
      </c>
      <c r="F83">
        <f>VLOOKUP(A83,'GHG Factors FY20'!$D$5:$L$12,9,FALSE)</f>
        <v>0.04</v>
      </c>
      <c r="G83">
        <f t="shared" si="25"/>
        <v>957.50340500000004</v>
      </c>
    </row>
    <row r="84" spans="1:7" ht="15.6">
      <c r="A84" s="456" t="s">
        <v>53</v>
      </c>
      <c r="B84" s="479">
        <f>SUM(B77:B83)</f>
        <v>11216840.300000001</v>
      </c>
      <c r="C84" s="461"/>
      <c r="D84" s="487">
        <f t="shared" ref="D84" si="26">SUM(D78:D83)</f>
        <v>40380.625079999998</v>
      </c>
      <c r="E84" s="461"/>
      <c r="F84" s="461"/>
      <c r="G84" s="487">
        <f>SUM(G78:G83)</f>
        <v>10406.846913000001</v>
      </c>
    </row>
    <row r="85" spans="1:7">
      <c r="B85" s="8"/>
    </row>
    <row r="87" spans="1:7">
      <c r="A87" s="125" t="s">
        <v>1190</v>
      </c>
      <c r="B87" s="125">
        <v>0.81</v>
      </c>
      <c r="C87" s="125">
        <v>0.09</v>
      </c>
      <c r="D87">
        <v>1080495.7175999999</v>
      </c>
      <c r="E87">
        <f>(B87+C87)*D87/1000</f>
        <v>972.44614583999987</v>
      </c>
    </row>
    <row r="88" spans="1:7">
      <c r="A88" s="463" t="s">
        <v>1192</v>
      </c>
      <c r="B88" s="463">
        <v>0.81</v>
      </c>
      <c r="C88" s="463">
        <v>0.09</v>
      </c>
      <c r="D88">
        <v>12991000.366344001</v>
      </c>
      <c r="E88">
        <f t="shared" ref="E88:E94" si="27">(B88+C88)*D88/1000</f>
        <v>11691.900329709601</v>
      </c>
    </row>
    <row r="89" spans="1:7">
      <c r="A89" s="125" t="s">
        <v>1208</v>
      </c>
      <c r="B89" s="125">
        <v>0.63</v>
      </c>
      <c r="C89" s="125">
        <v>0.08</v>
      </c>
      <c r="D89">
        <v>336687.24492000008</v>
      </c>
      <c r="E89">
        <f t="shared" si="27"/>
        <v>239.04794389320006</v>
      </c>
    </row>
    <row r="90" spans="1:7">
      <c r="A90" s="463" t="s">
        <v>1210</v>
      </c>
      <c r="B90" s="463">
        <v>0.81</v>
      </c>
      <c r="C90" s="463">
        <v>0.12</v>
      </c>
      <c r="D90">
        <v>4936246.6411751993</v>
      </c>
      <c r="E90">
        <f t="shared" si="27"/>
        <v>4590.7093762929353</v>
      </c>
    </row>
    <row r="91" spans="1:7">
      <c r="A91" s="125" t="s">
        <v>1193</v>
      </c>
      <c r="B91" s="125">
        <v>0.44</v>
      </c>
      <c r="C91" s="125">
        <v>0.1</v>
      </c>
      <c r="D91">
        <v>1174610.47704</v>
      </c>
      <c r="E91">
        <f t="shared" si="27"/>
        <v>634.28965760160008</v>
      </c>
    </row>
    <row r="92" spans="1:7">
      <c r="A92" s="463" t="s">
        <v>1213</v>
      </c>
      <c r="B92" s="463">
        <v>0.15</v>
      </c>
      <c r="C92" s="463">
        <v>0.02</v>
      </c>
      <c r="D92">
        <v>873924.45816000004</v>
      </c>
      <c r="E92">
        <f t="shared" si="27"/>
        <v>148.56715788719998</v>
      </c>
    </row>
    <row r="93" spans="1:7">
      <c r="A93" s="125" t="s">
        <v>1189</v>
      </c>
      <c r="B93" s="125">
        <v>1.02</v>
      </c>
      <c r="C93" s="125">
        <v>0.1</v>
      </c>
      <c r="D93">
        <v>8301376.550999999</v>
      </c>
      <c r="E93">
        <f t="shared" si="27"/>
        <v>9297.5417371200001</v>
      </c>
    </row>
    <row r="94" spans="1:7">
      <c r="A94" s="463" t="s">
        <v>1216</v>
      </c>
      <c r="B94" s="463">
        <v>0.69</v>
      </c>
      <c r="C94" s="463">
        <v>0.04</v>
      </c>
      <c r="D94">
        <v>2556483.0096000005</v>
      </c>
      <c r="E94">
        <f t="shared" si="27"/>
        <v>1866.2325970080003</v>
      </c>
    </row>
    <row r="95" spans="1:7">
      <c r="E95">
        <f>SUM(E87:E94)</f>
        <v>29440.734945352535</v>
      </c>
    </row>
    <row r="96" spans="1:7">
      <c r="A96" t="s">
        <v>1482</v>
      </c>
      <c r="B96" s="9" t="s">
        <v>1483</v>
      </c>
      <c r="C96" s="9"/>
    </row>
    <row r="97" spans="1:9">
      <c r="C97" t="s">
        <v>91</v>
      </c>
      <c r="D97" t="s">
        <v>3</v>
      </c>
      <c r="E97" t="s">
        <v>92</v>
      </c>
      <c r="F97" t="s">
        <v>93</v>
      </c>
      <c r="G97" t="s">
        <v>94</v>
      </c>
      <c r="H97" t="s">
        <v>95</v>
      </c>
      <c r="I97" t="s">
        <v>1484</v>
      </c>
    </row>
    <row r="98" spans="1:9" ht="14.4">
      <c r="A98" t="s">
        <v>1485</v>
      </c>
      <c r="C98" s="240">
        <f>G50</f>
        <v>18537.051963180005</v>
      </c>
      <c r="D98" s="486">
        <f>G84</f>
        <v>10406.846913000001</v>
      </c>
      <c r="E98" s="8">
        <v>13747.313616000001</v>
      </c>
      <c r="F98" s="8">
        <v>22761.969109109152</v>
      </c>
      <c r="G98" s="8">
        <v>17345</v>
      </c>
      <c r="H98" s="8">
        <v>33628.60545223685</v>
      </c>
      <c r="I98">
        <v>-0.23832120183734395</v>
      </c>
    </row>
    <row r="99" spans="1:9" ht="14.4">
      <c r="A99" t="s">
        <v>1486</v>
      </c>
      <c r="C99" s="5">
        <f>G63</f>
        <v>22137.962926683485</v>
      </c>
      <c r="D99" s="8">
        <f>E95</f>
        <v>29440.734945352535</v>
      </c>
      <c r="E99" s="8">
        <v>16121.270896071104</v>
      </c>
      <c r="F99" s="488">
        <v>26324.880000000001</v>
      </c>
      <c r="G99" s="8">
        <v>42601.300524667116</v>
      </c>
      <c r="H99" s="8"/>
      <c r="I99">
        <v>0.82620434425721978</v>
      </c>
    </row>
    <row r="100" spans="1:9">
      <c r="C100" s="432">
        <f>SUM(C98:C99)</f>
        <v>40675.014889863494</v>
      </c>
      <c r="D100" s="432">
        <f>SUM(D98:D99)</f>
        <v>39847.58185835254</v>
      </c>
      <c r="E100" s="8"/>
      <c r="F100" s="8" t="s">
        <v>1487</v>
      </c>
      <c r="G100" s="8"/>
      <c r="H100" s="8"/>
    </row>
    <row r="101" spans="1:9">
      <c r="D101" s="8"/>
      <c r="E101" s="8"/>
      <c r="F101" s="8"/>
      <c r="G101" s="8"/>
      <c r="H101" s="8"/>
    </row>
    <row r="102" spans="1:9">
      <c r="D102" s="8"/>
      <c r="F102" s="8"/>
      <c r="G102" s="8"/>
      <c r="H102" s="8"/>
    </row>
    <row r="103" spans="1:9">
      <c r="C103" t="s">
        <v>91</v>
      </c>
      <c r="D103" s="8" t="s">
        <v>3</v>
      </c>
      <c r="E103" s="8" t="s">
        <v>92</v>
      </c>
      <c r="F103" s="8" t="s">
        <v>93</v>
      </c>
      <c r="G103" s="8" t="s">
        <v>94</v>
      </c>
      <c r="H103" s="8" t="s">
        <v>95</v>
      </c>
      <c r="I103" t="s">
        <v>1484</v>
      </c>
    </row>
    <row r="104" spans="1:9" ht="14.4">
      <c r="A104" t="s">
        <v>1488</v>
      </c>
      <c r="C104" s="240">
        <f>D50</f>
        <v>69606.205711200004</v>
      </c>
      <c r="D104" s="486">
        <f>D84</f>
        <v>40380.625079999998</v>
      </c>
      <c r="E104" s="8">
        <v>48774.952080000003</v>
      </c>
      <c r="F104" s="8">
        <v>83342.333642443831</v>
      </c>
      <c r="G104" s="8">
        <v>64309.860719999997</v>
      </c>
      <c r="H104" s="8">
        <v>123495.54346067883</v>
      </c>
      <c r="I104">
        <v>-0.16715512065757832</v>
      </c>
    </row>
    <row r="105" spans="1:9">
      <c r="A105" t="s">
        <v>1489</v>
      </c>
      <c r="C105" s="240">
        <f>L36</f>
        <v>86275.024488208946</v>
      </c>
      <c r="D105" s="8">
        <v>116102.96807702111</v>
      </c>
      <c r="E105" s="8">
        <v>65012.787181180749</v>
      </c>
      <c r="F105" s="8">
        <v>103010.4</v>
      </c>
      <c r="G105" s="8">
        <v>156940.19609299104</v>
      </c>
      <c r="H105" s="8"/>
      <c r="I105">
        <v>0.78584818634924547</v>
      </c>
    </row>
    <row r="106" spans="1:9">
      <c r="D106" s="8"/>
      <c r="E106" s="8"/>
      <c r="F106" s="8"/>
      <c r="G106" s="8"/>
      <c r="H106" s="8"/>
    </row>
    <row r="107" spans="1:9">
      <c r="B107" t="s">
        <v>1490</v>
      </c>
      <c r="D107" s="8" t="b">
        <v>1</v>
      </c>
      <c r="E107" s="8" t="b">
        <v>1</v>
      </c>
      <c r="F107" s="8" t="b">
        <v>1</v>
      </c>
      <c r="G107" s="8" t="b">
        <v>1</v>
      </c>
      <c r="H107" s="8">
        <v>1357</v>
      </c>
    </row>
    <row r="108" spans="1:9">
      <c r="B108" t="s">
        <v>1491</v>
      </c>
      <c r="D108" s="8" t="b">
        <v>1</v>
      </c>
      <c r="E108" s="8" t="b">
        <v>1</v>
      </c>
      <c r="F108" s="8" t="s">
        <v>1492</v>
      </c>
      <c r="G108" s="8">
        <v>-4.6857167035341263E-9</v>
      </c>
      <c r="H108" s="8"/>
    </row>
    <row r="109" spans="1:9">
      <c r="C109" s="8"/>
      <c r="D109" s="8"/>
      <c r="E109" s="8"/>
      <c r="F109" s="8"/>
      <c r="G109" s="8"/>
    </row>
  </sheetData>
  <phoneticPr fontId="35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556E5-8283-45EB-BF8D-27045850F454}">
  <sheetPr codeName="Sheet32">
    <tabColor rgb="FF00B050"/>
  </sheetPr>
  <dimension ref="A1:F3351"/>
  <sheetViews>
    <sheetView workbookViewId="0">
      <selection activeCell="B7" sqref="B7"/>
    </sheetView>
  </sheetViews>
  <sheetFormatPr defaultColWidth="8.8984375" defaultRowHeight="13.8"/>
  <cols>
    <col min="1" max="1" width="44.3984375" bestFit="1" customWidth="1"/>
    <col min="2" max="2" width="16.59765625" bestFit="1" customWidth="1"/>
    <col min="3" max="3" width="18.59765625" bestFit="1" customWidth="1"/>
    <col min="4" max="4" width="18.59765625" customWidth="1"/>
    <col min="5" max="5" width="16.59765625" bestFit="1" customWidth="1"/>
    <col min="6" max="6" width="18.59765625" bestFit="1" customWidth="1"/>
    <col min="7" max="7" width="16.8984375" bestFit="1" customWidth="1"/>
    <col min="8" max="8" width="11.5" customWidth="1"/>
    <col min="9" max="9" width="15.09765625" bestFit="1" customWidth="1"/>
    <col min="10" max="10" width="11.5" customWidth="1"/>
    <col min="11" max="11" width="21.59765625" bestFit="1" customWidth="1"/>
  </cols>
  <sheetData>
    <row r="1" spans="1:5">
      <c r="A1" s="647" t="s">
        <v>91</v>
      </c>
    </row>
    <row r="2" spans="1:5">
      <c r="A2" s="121" t="s">
        <v>750</v>
      </c>
      <c r="B2" s="121" t="s">
        <v>1493</v>
      </c>
      <c r="C2" s="121" t="s">
        <v>1494</v>
      </c>
      <c r="D2" s="124"/>
    </row>
    <row r="3" spans="1:5">
      <c r="A3" s="46" t="s">
        <v>1291</v>
      </c>
      <c r="B3" s="240">
        <f>C2753</f>
        <v>1035317.8136760007</v>
      </c>
      <c r="C3" s="240">
        <f t="shared" ref="C3:D3" si="0">D2753</f>
        <v>403950.55540000001</v>
      </c>
      <c r="D3" s="240">
        <f t="shared" si="0"/>
        <v>1439268.3690760001</v>
      </c>
    </row>
    <row r="4" spans="1:5">
      <c r="A4" s="25"/>
      <c r="B4" s="240"/>
      <c r="C4" s="240"/>
      <c r="D4" s="240">
        <f>SUM(B3:C3)</f>
        <v>1439268.3690760008</v>
      </c>
    </row>
    <row r="5" spans="1:5">
      <c r="A5" s="830"/>
    </row>
    <row r="8" spans="1:5">
      <c r="A8" t="s">
        <v>1495</v>
      </c>
    </row>
    <row r="9" spans="1:5">
      <c r="A9" s="121" t="s">
        <v>750</v>
      </c>
      <c r="B9" s="121" t="s">
        <v>1496</v>
      </c>
      <c r="C9" s="121" t="s">
        <v>1497</v>
      </c>
      <c r="D9" s="124"/>
    </row>
    <row r="10" spans="1:5">
      <c r="A10" s="46" t="s">
        <v>1291</v>
      </c>
      <c r="B10" s="240">
        <v>883016.08459999994</v>
      </c>
      <c r="C10" s="240">
        <v>541742.95529999968</v>
      </c>
      <c r="D10" s="240">
        <v>1424759.0398999997</v>
      </c>
      <c r="E10" s="5"/>
    </row>
    <row r="11" spans="1:5">
      <c r="A11" s="25"/>
      <c r="B11" s="240">
        <v>883016.08459999994</v>
      </c>
      <c r="C11" s="240">
        <v>541742.95529999968</v>
      </c>
      <c r="E11" s="5"/>
    </row>
    <row r="12" spans="1:5">
      <c r="A12" s="25"/>
      <c r="B12" s="240"/>
      <c r="C12" s="240"/>
      <c r="E12" s="5"/>
    </row>
    <row r="13" spans="1:5">
      <c r="A13" s="25"/>
      <c r="B13" s="240"/>
      <c r="C13" s="240"/>
      <c r="E13" s="5"/>
    </row>
    <row r="14" spans="1:5">
      <c r="A14" s="826" t="s">
        <v>1498</v>
      </c>
      <c r="B14" s="827" t="s">
        <v>1499</v>
      </c>
      <c r="C14" t="s">
        <v>1500</v>
      </c>
      <c r="D14" t="s">
        <v>1494</v>
      </c>
      <c r="E14" t="s">
        <v>1501</v>
      </c>
    </row>
    <row r="15" spans="1:5">
      <c r="A15" s="485">
        <v>423030364500</v>
      </c>
      <c r="B15" t="s">
        <v>1502</v>
      </c>
      <c r="C15">
        <v>46533.166700000009</v>
      </c>
      <c r="D15">
        <v>4226.6084000000001</v>
      </c>
      <c r="E15">
        <v>50759.775100000006</v>
      </c>
    </row>
    <row r="16" spans="1:5">
      <c r="A16" s="485">
        <v>423030321400</v>
      </c>
      <c r="B16" t="s">
        <v>1503</v>
      </c>
      <c r="C16">
        <v>155.33310000000003</v>
      </c>
      <c r="D16">
        <v>32.898099999999999</v>
      </c>
      <c r="E16">
        <v>188.23120000000003</v>
      </c>
    </row>
    <row r="17" spans="1:5">
      <c r="A17" s="485">
        <v>423030322200</v>
      </c>
      <c r="B17">
        <v>121868371008</v>
      </c>
      <c r="C17">
        <v>52.799900000000001</v>
      </c>
      <c r="D17">
        <v>1.8199999999999998</v>
      </c>
      <c r="E17">
        <v>54.619900000000001</v>
      </c>
    </row>
    <row r="18" spans="1:5">
      <c r="A18" s="485">
        <v>423030311300</v>
      </c>
      <c r="B18" t="s">
        <v>1504</v>
      </c>
      <c r="C18">
        <v>6.9999000000000002</v>
      </c>
      <c r="D18">
        <v>0.85399999999999998</v>
      </c>
      <c r="E18">
        <v>7.8539000000000003</v>
      </c>
    </row>
    <row r="19" spans="1:5">
      <c r="A19" s="485">
        <v>423030311300</v>
      </c>
      <c r="B19" t="s">
        <v>1505</v>
      </c>
      <c r="C19">
        <v>6.2609000000000004</v>
      </c>
      <c r="D19">
        <v>0</v>
      </c>
      <c r="E19">
        <v>6.2609000000000004</v>
      </c>
    </row>
    <row r="20" spans="1:5">
      <c r="A20" s="485">
        <v>423030336900</v>
      </c>
      <c r="B20" t="s">
        <v>1506</v>
      </c>
      <c r="C20">
        <v>0</v>
      </c>
      <c r="D20">
        <v>0</v>
      </c>
      <c r="E20">
        <v>0</v>
      </c>
    </row>
    <row r="21" spans="1:5">
      <c r="A21" s="485">
        <v>423030336900</v>
      </c>
      <c r="B21" t="s">
        <v>1507</v>
      </c>
      <c r="C21">
        <v>71.043700000000001</v>
      </c>
      <c r="D21">
        <v>24.411799999999999</v>
      </c>
      <c r="E21">
        <v>95.455500000000001</v>
      </c>
    </row>
    <row r="22" spans="1:5">
      <c r="A22" s="485">
        <v>423030336900</v>
      </c>
      <c r="B22" t="s">
        <v>1508</v>
      </c>
      <c r="C22">
        <v>965.58730000000003</v>
      </c>
      <c r="D22">
        <v>2961.5196000000001</v>
      </c>
      <c r="E22">
        <v>3927.1069000000002</v>
      </c>
    </row>
    <row r="23" spans="1:5">
      <c r="A23" s="485">
        <v>423030336900</v>
      </c>
      <c r="B23" t="s">
        <v>1509</v>
      </c>
      <c r="C23">
        <v>4.3357999999999999</v>
      </c>
      <c r="D23">
        <v>0</v>
      </c>
      <c r="E23">
        <v>4.3357999999999999</v>
      </c>
    </row>
    <row r="24" spans="1:5">
      <c r="A24" s="485">
        <v>423030340000</v>
      </c>
      <c r="B24" t="s">
        <v>1510</v>
      </c>
      <c r="C24">
        <v>25.055999999999997</v>
      </c>
      <c r="D24">
        <v>6.9702000000000002</v>
      </c>
      <c r="E24">
        <v>32.026199999999996</v>
      </c>
    </row>
    <row r="25" spans="1:5">
      <c r="A25" s="485">
        <v>423031542500</v>
      </c>
      <c r="B25" t="s">
        <v>1511</v>
      </c>
      <c r="C25">
        <v>4610.38</v>
      </c>
      <c r="D25">
        <v>3057.4045000000001</v>
      </c>
      <c r="E25">
        <v>7667.7844999999998</v>
      </c>
    </row>
    <row r="26" spans="1:5">
      <c r="A26" s="485">
        <v>423031542500</v>
      </c>
      <c r="B26" t="s">
        <v>1512</v>
      </c>
      <c r="C26">
        <v>118.59799999999997</v>
      </c>
      <c r="D26">
        <v>8.1296999999999997</v>
      </c>
      <c r="E26">
        <v>126.72769999999997</v>
      </c>
    </row>
    <row r="27" spans="1:5">
      <c r="A27" s="485">
        <v>423030348700</v>
      </c>
      <c r="B27" t="s">
        <v>1513</v>
      </c>
      <c r="C27">
        <v>2.9985999999999997</v>
      </c>
      <c r="D27">
        <v>-0.1638</v>
      </c>
      <c r="E27">
        <v>2.8347999999999995</v>
      </c>
    </row>
    <row r="28" spans="1:5">
      <c r="A28" s="485">
        <v>423030348700</v>
      </c>
      <c r="B28" t="s">
        <v>1514</v>
      </c>
      <c r="C28">
        <v>1.5172000000000001</v>
      </c>
      <c r="D28">
        <v>4.3239999999999998</v>
      </c>
      <c r="E28">
        <v>5.8411999999999997</v>
      </c>
    </row>
    <row r="29" spans="1:5">
      <c r="A29" s="485">
        <v>423031674800</v>
      </c>
      <c r="B29" t="s">
        <v>1515</v>
      </c>
      <c r="C29">
        <v>74.000100000000003</v>
      </c>
      <c r="D29">
        <v>50.477500000000006</v>
      </c>
      <c r="E29">
        <v>124.47760000000001</v>
      </c>
    </row>
    <row r="30" spans="1:5">
      <c r="A30" s="485">
        <v>423030204100</v>
      </c>
      <c r="B30" t="s">
        <v>1516</v>
      </c>
      <c r="C30">
        <v>0</v>
      </c>
      <c r="D30">
        <v>0</v>
      </c>
      <c r="E30">
        <v>0</v>
      </c>
    </row>
    <row r="31" spans="1:5">
      <c r="A31" s="485">
        <v>423030359100</v>
      </c>
      <c r="B31" t="s">
        <v>1517</v>
      </c>
      <c r="C31">
        <v>119.9999</v>
      </c>
      <c r="D31">
        <v>3.7942</v>
      </c>
      <c r="E31">
        <v>123.7941</v>
      </c>
    </row>
    <row r="32" spans="1:5">
      <c r="A32" s="485">
        <v>423030271200</v>
      </c>
      <c r="B32" t="s">
        <v>1518</v>
      </c>
      <c r="C32">
        <v>74.666499999999999</v>
      </c>
      <c r="D32">
        <v>2.8156999999999996</v>
      </c>
      <c r="E32">
        <v>77.482200000000006</v>
      </c>
    </row>
    <row r="33" spans="1:5">
      <c r="A33" s="485">
        <v>423030277700</v>
      </c>
      <c r="B33" t="s">
        <v>1519</v>
      </c>
      <c r="C33">
        <v>4.5558000000000005</v>
      </c>
      <c r="D33">
        <v>2.5105</v>
      </c>
      <c r="E33">
        <v>7.0663</v>
      </c>
    </row>
    <row r="34" spans="1:5">
      <c r="A34" s="485">
        <v>423030278900</v>
      </c>
      <c r="B34" t="s">
        <v>1520</v>
      </c>
      <c r="C34">
        <v>105.66309999999999</v>
      </c>
      <c r="D34">
        <v>6.0317999999999996</v>
      </c>
      <c r="E34">
        <v>111.69489999999999</v>
      </c>
    </row>
    <row r="35" spans="1:5">
      <c r="A35" s="485">
        <v>423030278800</v>
      </c>
      <c r="B35" t="s">
        <v>1521</v>
      </c>
      <c r="C35">
        <v>2.3068999999999997</v>
      </c>
      <c r="D35">
        <v>0.75710000000000011</v>
      </c>
      <c r="E35">
        <v>3.0640000000000001</v>
      </c>
    </row>
    <row r="36" spans="1:5">
      <c r="A36" s="485">
        <v>423030279800</v>
      </c>
      <c r="B36" t="s">
        <v>1522</v>
      </c>
      <c r="C36">
        <v>2</v>
      </c>
      <c r="D36">
        <v>0.52489999999999992</v>
      </c>
      <c r="E36">
        <v>2.5248999999999997</v>
      </c>
    </row>
    <row r="37" spans="1:5">
      <c r="A37" s="485">
        <v>423030279800</v>
      </c>
      <c r="B37" t="s">
        <v>1523</v>
      </c>
      <c r="C37">
        <v>2.0001000000000002</v>
      </c>
      <c r="D37">
        <v>0.2392</v>
      </c>
      <c r="E37">
        <v>2.2393000000000001</v>
      </c>
    </row>
    <row r="38" spans="1:5">
      <c r="A38" s="485">
        <v>423030299700</v>
      </c>
      <c r="B38" t="s">
        <v>1524</v>
      </c>
      <c r="C38">
        <v>244.21850000000001</v>
      </c>
      <c r="D38">
        <v>7.3553999999999995</v>
      </c>
      <c r="E38">
        <v>251.57390000000001</v>
      </c>
    </row>
    <row r="39" spans="1:5">
      <c r="A39" s="485">
        <v>423030327400</v>
      </c>
      <c r="B39" t="s">
        <v>1525</v>
      </c>
      <c r="C39">
        <v>4.2309000000000001</v>
      </c>
      <c r="D39">
        <v>10.2218</v>
      </c>
      <c r="E39">
        <v>14.4527</v>
      </c>
    </row>
    <row r="40" spans="1:5">
      <c r="A40" s="485">
        <v>423030315300</v>
      </c>
      <c r="B40" t="s">
        <v>1526</v>
      </c>
      <c r="C40">
        <v>42.433700000000002</v>
      </c>
      <c r="D40">
        <v>18.941800000000001</v>
      </c>
      <c r="E40">
        <v>61.375500000000002</v>
      </c>
    </row>
    <row r="41" spans="1:5">
      <c r="A41" s="485">
        <v>423031228200</v>
      </c>
      <c r="B41" t="s">
        <v>1527</v>
      </c>
      <c r="C41">
        <v>4583.6859999999997</v>
      </c>
      <c r="D41">
        <v>3116.4841999999999</v>
      </c>
      <c r="E41">
        <v>7700.1701999999996</v>
      </c>
    </row>
    <row r="42" spans="1:5">
      <c r="A42" s="485">
        <v>423031829900</v>
      </c>
      <c r="B42" t="s">
        <v>1528</v>
      </c>
      <c r="C42">
        <v>1.5001</v>
      </c>
      <c r="D42">
        <v>3.3633000000000006</v>
      </c>
      <c r="E42">
        <v>4.8634000000000004</v>
      </c>
    </row>
    <row r="43" spans="1:5">
      <c r="A43" s="485">
        <v>423030000100</v>
      </c>
      <c r="B43" t="s">
        <v>1529</v>
      </c>
      <c r="C43">
        <v>0</v>
      </c>
      <c r="D43">
        <v>0</v>
      </c>
      <c r="E43">
        <v>0</v>
      </c>
    </row>
    <row r="44" spans="1:5">
      <c r="A44" s="485">
        <v>423030326000</v>
      </c>
      <c r="B44" t="s">
        <v>1530</v>
      </c>
      <c r="C44">
        <v>0</v>
      </c>
      <c r="D44">
        <v>0</v>
      </c>
      <c r="E44">
        <v>0</v>
      </c>
    </row>
    <row r="45" spans="1:5">
      <c r="A45" s="485">
        <v>423030313900</v>
      </c>
      <c r="B45" t="s">
        <v>1531</v>
      </c>
      <c r="C45">
        <v>276.20679999999999</v>
      </c>
      <c r="D45">
        <v>40.659300000000002</v>
      </c>
      <c r="E45">
        <v>316.86609999999996</v>
      </c>
    </row>
    <row r="46" spans="1:5">
      <c r="A46" s="485">
        <v>423030314000</v>
      </c>
      <c r="B46" t="s">
        <v>1532</v>
      </c>
      <c r="C46">
        <v>92.941100000000006</v>
      </c>
      <c r="D46">
        <v>72.135199999999998</v>
      </c>
      <c r="E46">
        <v>165.0763</v>
      </c>
    </row>
    <row r="47" spans="1:5">
      <c r="A47" s="485">
        <v>423030314000</v>
      </c>
      <c r="B47" t="s">
        <v>1533</v>
      </c>
      <c r="C47">
        <v>0</v>
      </c>
      <c r="D47">
        <v>25.841999999999999</v>
      </c>
      <c r="E47">
        <v>25.841999999999999</v>
      </c>
    </row>
    <row r="48" spans="1:5">
      <c r="A48" s="485">
        <v>423030314800</v>
      </c>
      <c r="B48" t="s">
        <v>1534</v>
      </c>
      <c r="C48">
        <v>76.000000000000014</v>
      </c>
      <c r="D48">
        <v>75.964399999999998</v>
      </c>
      <c r="E48">
        <v>151.96440000000001</v>
      </c>
    </row>
    <row r="49" spans="1:5">
      <c r="A49" s="485">
        <v>423030314800</v>
      </c>
      <c r="B49" t="s">
        <v>1535</v>
      </c>
      <c r="C49">
        <v>0</v>
      </c>
      <c r="D49">
        <v>7.1539999999999999</v>
      </c>
      <c r="E49">
        <v>7.1539999999999999</v>
      </c>
    </row>
    <row r="50" spans="1:5">
      <c r="A50" s="485">
        <v>423030078500</v>
      </c>
      <c r="B50" t="s">
        <v>1536</v>
      </c>
      <c r="C50">
        <v>0</v>
      </c>
      <c r="D50">
        <v>0</v>
      </c>
      <c r="E50">
        <v>0</v>
      </c>
    </row>
    <row r="51" spans="1:5">
      <c r="A51" s="485">
        <v>423030252900</v>
      </c>
      <c r="B51" t="s">
        <v>1537</v>
      </c>
      <c r="C51">
        <v>0</v>
      </c>
      <c r="D51">
        <v>0</v>
      </c>
      <c r="E51">
        <v>0</v>
      </c>
    </row>
    <row r="52" spans="1:5">
      <c r="A52" s="485">
        <v>423030252900</v>
      </c>
      <c r="B52" t="s">
        <v>1538</v>
      </c>
      <c r="C52">
        <v>0</v>
      </c>
      <c r="D52">
        <v>0</v>
      </c>
      <c r="E52">
        <v>0</v>
      </c>
    </row>
    <row r="53" spans="1:5">
      <c r="A53" s="485">
        <v>423030317400</v>
      </c>
      <c r="B53" t="s">
        <v>1539</v>
      </c>
      <c r="C53">
        <v>51.608700000000006</v>
      </c>
      <c r="D53">
        <v>3.6844000000000001</v>
      </c>
      <c r="E53">
        <v>55.29310000000001</v>
      </c>
    </row>
    <row r="54" spans="1:5">
      <c r="A54" s="485">
        <v>423030317600</v>
      </c>
      <c r="B54" t="s">
        <v>1540</v>
      </c>
      <c r="C54">
        <v>0</v>
      </c>
      <c r="D54">
        <v>0</v>
      </c>
      <c r="E54">
        <v>0</v>
      </c>
    </row>
    <row r="55" spans="1:5">
      <c r="A55" s="485">
        <v>423030317600</v>
      </c>
      <c r="B55" t="s">
        <v>1541</v>
      </c>
      <c r="C55">
        <v>1.0001</v>
      </c>
      <c r="D55">
        <v>0.27560000000000001</v>
      </c>
      <c r="E55">
        <v>1.2757000000000001</v>
      </c>
    </row>
    <row r="56" spans="1:5">
      <c r="A56" s="485">
        <v>423030318000</v>
      </c>
      <c r="B56" t="s">
        <v>1542</v>
      </c>
      <c r="C56">
        <v>0</v>
      </c>
      <c r="D56">
        <v>0</v>
      </c>
      <c r="E56">
        <v>0</v>
      </c>
    </row>
    <row r="57" spans="1:5">
      <c r="A57" s="485">
        <v>423030318000</v>
      </c>
      <c r="B57" t="s">
        <v>1543</v>
      </c>
      <c r="C57">
        <v>385.89009999999996</v>
      </c>
      <c r="D57">
        <v>1.8480000000000001</v>
      </c>
      <c r="E57">
        <v>387.73809999999997</v>
      </c>
    </row>
    <row r="58" spans="1:5">
      <c r="A58" s="485">
        <v>423030086000</v>
      </c>
      <c r="B58" t="s">
        <v>1544</v>
      </c>
      <c r="C58">
        <v>0</v>
      </c>
      <c r="D58">
        <v>0</v>
      </c>
      <c r="E58">
        <v>0</v>
      </c>
    </row>
    <row r="59" spans="1:5">
      <c r="A59" s="485">
        <v>423030318200</v>
      </c>
      <c r="B59" t="s">
        <v>1545</v>
      </c>
      <c r="C59">
        <v>66.113600000000005</v>
      </c>
      <c r="D59">
        <v>39.321000000000005</v>
      </c>
      <c r="E59">
        <v>105.43460000000002</v>
      </c>
    </row>
    <row r="60" spans="1:5">
      <c r="A60" s="485">
        <v>423030318300</v>
      </c>
      <c r="B60" t="s">
        <v>1546</v>
      </c>
      <c r="C60">
        <v>17.363500000000002</v>
      </c>
      <c r="D60">
        <v>1.496</v>
      </c>
      <c r="E60">
        <v>18.859500000000001</v>
      </c>
    </row>
    <row r="61" spans="1:5">
      <c r="A61" s="485">
        <v>423030318400</v>
      </c>
      <c r="B61" t="s">
        <v>1547</v>
      </c>
      <c r="C61">
        <v>3.2614000000000001</v>
      </c>
      <c r="D61">
        <v>8.9829999999999988</v>
      </c>
      <c r="E61">
        <v>12.244399999999999</v>
      </c>
    </row>
    <row r="62" spans="1:5">
      <c r="A62" s="485">
        <v>423030317000</v>
      </c>
      <c r="B62" t="s">
        <v>1548</v>
      </c>
      <c r="C62">
        <v>816.8</v>
      </c>
      <c r="D62">
        <v>436.85800000000006</v>
      </c>
      <c r="E62">
        <v>1253.6579999999999</v>
      </c>
    </row>
    <row r="63" spans="1:5">
      <c r="A63" s="485">
        <v>423030317300</v>
      </c>
      <c r="B63" t="s">
        <v>1549</v>
      </c>
      <c r="C63">
        <v>31</v>
      </c>
      <c r="D63">
        <v>32.889600000000002</v>
      </c>
      <c r="E63">
        <v>63.889600000000002</v>
      </c>
    </row>
    <row r="64" spans="1:5">
      <c r="A64" s="485">
        <v>423030317700</v>
      </c>
      <c r="B64" t="s">
        <v>1550</v>
      </c>
      <c r="C64">
        <v>28.1539</v>
      </c>
      <c r="D64">
        <v>6.0465</v>
      </c>
      <c r="E64">
        <v>34.200400000000002</v>
      </c>
    </row>
    <row r="65" spans="1:5">
      <c r="A65" s="485">
        <v>423030318100</v>
      </c>
      <c r="B65" t="s">
        <v>1551</v>
      </c>
      <c r="C65">
        <v>855.51400000000001</v>
      </c>
      <c r="D65">
        <v>420.78880000000004</v>
      </c>
      <c r="E65">
        <v>1276.3027999999999</v>
      </c>
    </row>
    <row r="66" spans="1:5">
      <c r="A66" s="485">
        <v>423030318100</v>
      </c>
      <c r="B66" t="s">
        <v>1552</v>
      </c>
      <c r="C66">
        <v>897.71059999999989</v>
      </c>
      <c r="D66">
        <v>298.14330000000001</v>
      </c>
      <c r="E66">
        <v>1195.8538999999998</v>
      </c>
    </row>
    <row r="67" spans="1:5">
      <c r="A67" s="485">
        <v>423030318800</v>
      </c>
      <c r="B67">
        <v>3736591</v>
      </c>
      <c r="C67">
        <v>124</v>
      </c>
      <c r="D67">
        <v>62.606399999999994</v>
      </c>
      <c r="E67">
        <v>186.60640000000001</v>
      </c>
    </row>
    <row r="68" spans="1:5">
      <c r="A68" s="485">
        <v>423030318800</v>
      </c>
      <c r="B68" t="s">
        <v>1553</v>
      </c>
      <c r="C68">
        <v>0</v>
      </c>
      <c r="D68">
        <v>0</v>
      </c>
      <c r="E68">
        <v>0</v>
      </c>
    </row>
    <row r="69" spans="1:5">
      <c r="A69" s="485">
        <v>423030319100</v>
      </c>
      <c r="B69" t="s">
        <v>1554</v>
      </c>
      <c r="C69">
        <v>3.6739000000000002</v>
      </c>
      <c r="D69">
        <v>4.2748999999999997</v>
      </c>
      <c r="E69">
        <v>7.9488000000000003</v>
      </c>
    </row>
    <row r="70" spans="1:5">
      <c r="A70" s="485">
        <v>423030319100</v>
      </c>
      <c r="B70" t="s">
        <v>1555</v>
      </c>
      <c r="C70">
        <v>0</v>
      </c>
      <c r="D70">
        <v>0</v>
      </c>
      <c r="E70">
        <v>0</v>
      </c>
    </row>
    <row r="71" spans="1:5">
      <c r="A71" s="485">
        <v>423030091100</v>
      </c>
      <c r="B71" t="s">
        <v>1556</v>
      </c>
      <c r="C71">
        <v>0</v>
      </c>
      <c r="D71">
        <v>0</v>
      </c>
      <c r="E71">
        <v>0</v>
      </c>
    </row>
    <row r="72" spans="1:5">
      <c r="A72" s="485">
        <v>423030783800</v>
      </c>
      <c r="B72" t="s">
        <v>1557</v>
      </c>
      <c r="C72">
        <v>0</v>
      </c>
      <c r="D72">
        <v>0</v>
      </c>
      <c r="E72">
        <v>0</v>
      </c>
    </row>
    <row r="73" spans="1:5">
      <c r="A73" s="485">
        <v>423030089300</v>
      </c>
      <c r="B73" t="s">
        <v>1558</v>
      </c>
      <c r="C73">
        <v>0</v>
      </c>
      <c r="D73">
        <v>0</v>
      </c>
      <c r="E73">
        <v>0</v>
      </c>
    </row>
    <row r="74" spans="1:5">
      <c r="A74" s="485">
        <v>423030090800</v>
      </c>
      <c r="B74" t="s">
        <v>1559</v>
      </c>
      <c r="C74">
        <v>0</v>
      </c>
      <c r="D74">
        <v>0</v>
      </c>
      <c r="E74">
        <v>0</v>
      </c>
    </row>
    <row r="75" spans="1:5">
      <c r="A75" s="485">
        <v>423030320700</v>
      </c>
      <c r="B75" t="s">
        <v>1560</v>
      </c>
      <c r="C75">
        <v>0</v>
      </c>
      <c r="D75">
        <v>0</v>
      </c>
      <c r="E75">
        <v>0</v>
      </c>
    </row>
    <row r="76" spans="1:5">
      <c r="A76" s="485">
        <v>423030321000</v>
      </c>
      <c r="B76" t="s">
        <v>1561</v>
      </c>
      <c r="C76">
        <v>1756.05</v>
      </c>
      <c r="D76">
        <v>1586.0052000000001</v>
      </c>
      <c r="E76">
        <v>3342.0551999999998</v>
      </c>
    </row>
    <row r="77" spans="1:5">
      <c r="A77" s="485">
        <v>423030321200</v>
      </c>
      <c r="B77">
        <v>5414977</v>
      </c>
      <c r="C77">
        <v>115.7159</v>
      </c>
      <c r="D77">
        <v>83.075999999999993</v>
      </c>
      <c r="E77">
        <v>198.7919</v>
      </c>
    </row>
    <row r="78" spans="1:5">
      <c r="A78" s="485">
        <v>423030321200</v>
      </c>
      <c r="B78" t="s">
        <v>1562</v>
      </c>
      <c r="C78">
        <v>0</v>
      </c>
      <c r="D78">
        <v>0</v>
      </c>
      <c r="E78">
        <v>0</v>
      </c>
    </row>
    <row r="79" spans="1:5">
      <c r="A79" s="485">
        <v>423031328900</v>
      </c>
      <c r="B79" t="s">
        <v>1563</v>
      </c>
      <c r="C79">
        <v>0</v>
      </c>
      <c r="D79">
        <v>0</v>
      </c>
      <c r="E79">
        <v>0</v>
      </c>
    </row>
    <row r="80" spans="1:5">
      <c r="A80" s="485">
        <v>423031079000</v>
      </c>
      <c r="B80" t="s">
        <v>1564</v>
      </c>
      <c r="C80">
        <v>0</v>
      </c>
      <c r="D80">
        <v>0</v>
      </c>
      <c r="E80">
        <v>0</v>
      </c>
    </row>
    <row r="81" spans="1:5">
      <c r="A81" s="485">
        <v>423030322100</v>
      </c>
      <c r="B81" t="s">
        <v>1565</v>
      </c>
      <c r="C81">
        <v>29.360899999999997</v>
      </c>
      <c r="D81">
        <v>6.4233000000000011</v>
      </c>
      <c r="E81">
        <v>35.784199999999998</v>
      </c>
    </row>
    <row r="82" spans="1:5">
      <c r="A82" s="485">
        <v>423030322600</v>
      </c>
      <c r="B82" t="s">
        <v>1566</v>
      </c>
      <c r="C82">
        <v>61.870900000000006</v>
      </c>
      <c r="D82">
        <v>8.1195999999999984</v>
      </c>
      <c r="E82">
        <v>69.990499999999997</v>
      </c>
    </row>
    <row r="83" spans="1:5">
      <c r="A83" s="485">
        <v>423030323400</v>
      </c>
      <c r="B83" t="s">
        <v>1567</v>
      </c>
      <c r="C83">
        <v>376.11989999999997</v>
      </c>
      <c r="D83">
        <v>156.7098</v>
      </c>
      <c r="E83">
        <v>532.8297</v>
      </c>
    </row>
    <row r="84" spans="1:5">
      <c r="A84" s="485">
        <v>423030104000</v>
      </c>
      <c r="B84" t="s">
        <v>1568</v>
      </c>
      <c r="C84">
        <v>0</v>
      </c>
      <c r="D84">
        <v>0</v>
      </c>
      <c r="E84">
        <v>0</v>
      </c>
    </row>
    <row r="85" spans="1:5">
      <c r="A85" s="485">
        <v>423030104800</v>
      </c>
      <c r="B85" t="s">
        <v>1569</v>
      </c>
      <c r="C85">
        <v>0</v>
      </c>
      <c r="D85">
        <v>0</v>
      </c>
      <c r="E85">
        <v>0</v>
      </c>
    </row>
    <row r="86" spans="1:5">
      <c r="A86" s="485">
        <v>423030424000</v>
      </c>
      <c r="B86" t="s">
        <v>1570</v>
      </c>
      <c r="C86">
        <v>362.8965</v>
      </c>
      <c r="D86">
        <v>341.20619999999997</v>
      </c>
      <c r="E86">
        <v>704.10269999999991</v>
      </c>
    </row>
    <row r="87" spans="1:5">
      <c r="A87" s="485">
        <v>423030104400</v>
      </c>
      <c r="B87" t="s">
        <v>1571</v>
      </c>
      <c r="C87">
        <v>0</v>
      </c>
      <c r="D87">
        <v>0</v>
      </c>
      <c r="E87">
        <v>0</v>
      </c>
    </row>
    <row r="88" spans="1:5">
      <c r="A88" s="485">
        <v>423030321800</v>
      </c>
      <c r="B88" t="s">
        <v>1572</v>
      </c>
      <c r="C88">
        <v>9.3904999999999994</v>
      </c>
      <c r="D88">
        <v>2.7922999999999996</v>
      </c>
      <c r="E88">
        <v>12.182799999999999</v>
      </c>
    </row>
    <row r="89" spans="1:5">
      <c r="A89" s="485">
        <v>423030109200</v>
      </c>
      <c r="B89" t="s">
        <v>1573</v>
      </c>
      <c r="C89">
        <v>3.0000999999999998</v>
      </c>
      <c r="D89">
        <v>1.4188999999999998</v>
      </c>
      <c r="E89">
        <v>4.4189999999999996</v>
      </c>
    </row>
    <row r="90" spans="1:5">
      <c r="A90" s="485">
        <v>423030325100</v>
      </c>
      <c r="B90">
        <v>3150992</v>
      </c>
      <c r="C90">
        <v>2.625</v>
      </c>
      <c r="D90">
        <v>6.3936999999999999</v>
      </c>
      <c r="E90">
        <v>9.0186999999999991</v>
      </c>
    </row>
    <row r="91" spans="1:5">
      <c r="A91" s="485">
        <v>423030110600</v>
      </c>
      <c r="B91" t="s">
        <v>1574</v>
      </c>
      <c r="C91">
        <v>0</v>
      </c>
      <c r="D91">
        <v>0</v>
      </c>
      <c r="E91">
        <v>0</v>
      </c>
    </row>
    <row r="92" spans="1:5">
      <c r="A92" s="485">
        <v>423030326800</v>
      </c>
      <c r="B92" t="s">
        <v>1575</v>
      </c>
      <c r="C92">
        <v>20.161000000000001</v>
      </c>
      <c r="D92">
        <v>11.461500000000001</v>
      </c>
      <c r="E92">
        <v>31.622500000000002</v>
      </c>
    </row>
    <row r="93" spans="1:5">
      <c r="A93" s="485">
        <v>423030327100</v>
      </c>
      <c r="B93" t="s">
        <v>1576</v>
      </c>
      <c r="C93">
        <v>0</v>
      </c>
      <c r="D93">
        <v>0</v>
      </c>
      <c r="E93">
        <v>0</v>
      </c>
    </row>
    <row r="94" spans="1:5">
      <c r="A94" s="485">
        <v>423030111400</v>
      </c>
      <c r="B94" t="s">
        <v>1577</v>
      </c>
      <c r="C94">
        <v>4.1504000000000003</v>
      </c>
      <c r="D94">
        <v>0.8294999999999999</v>
      </c>
      <c r="E94">
        <v>4.9799000000000007</v>
      </c>
    </row>
    <row r="95" spans="1:5">
      <c r="A95" s="485">
        <v>423030324100</v>
      </c>
      <c r="B95" t="s">
        <v>1578</v>
      </c>
      <c r="C95">
        <v>0</v>
      </c>
      <c r="D95">
        <v>0</v>
      </c>
      <c r="E95">
        <v>0</v>
      </c>
    </row>
    <row r="96" spans="1:5">
      <c r="A96" s="485">
        <v>423030419100</v>
      </c>
      <c r="B96" t="s">
        <v>1579</v>
      </c>
      <c r="C96">
        <v>0</v>
      </c>
      <c r="D96">
        <v>0</v>
      </c>
      <c r="E96">
        <v>0</v>
      </c>
    </row>
    <row r="97" spans="1:5">
      <c r="A97" s="485">
        <v>423030325000</v>
      </c>
      <c r="B97" t="s">
        <v>1580</v>
      </c>
      <c r="C97">
        <v>0</v>
      </c>
      <c r="D97">
        <v>25.769000000000002</v>
      </c>
      <c r="E97">
        <v>25.769000000000002</v>
      </c>
    </row>
    <row r="98" spans="1:5">
      <c r="A98" s="485">
        <v>423030325000</v>
      </c>
      <c r="B98" t="s">
        <v>1581</v>
      </c>
      <c r="C98">
        <v>127.00000000000001</v>
      </c>
      <c r="D98">
        <v>88.047599999999989</v>
      </c>
      <c r="E98">
        <v>215.04759999999999</v>
      </c>
    </row>
    <row r="99" spans="1:5">
      <c r="A99" s="485">
        <v>423030325900</v>
      </c>
      <c r="B99" t="s">
        <v>1582</v>
      </c>
      <c r="C99">
        <v>2390.6593000000003</v>
      </c>
      <c r="D99">
        <v>1945.8507999999999</v>
      </c>
      <c r="E99">
        <v>4336.5101000000004</v>
      </c>
    </row>
    <row r="100" spans="1:5">
      <c r="A100" s="485">
        <v>423030325600</v>
      </c>
      <c r="B100" t="s">
        <v>1583</v>
      </c>
      <c r="C100">
        <v>0</v>
      </c>
      <c r="D100">
        <v>0</v>
      </c>
      <c r="E100">
        <v>0</v>
      </c>
    </row>
    <row r="101" spans="1:5">
      <c r="A101" s="485">
        <v>423030325600</v>
      </c>
      <c r="B101" t="s">
        <v>1584</v>
      </c>
      <c r="C101">
        <v>2620.4494</v>
      </c>
      <c r="D101">
        <v>322.3836</v>
      </c>
      <c r="E101">
        <v>2942.8330000000001</v>
      </c>
    </row>
    <row r="102" spans="1:5">
      <c r="A102" s="485">
        <v>423030326100</v>
      </c>
      <c r="B102" t="s">
        <v>1585</v>
      </c>
      <c r="C102">
        <v>273</v>
      </c>
      <c r="D102">
        <v>185.7473</v>
      </c>
      <c r="E102">
        <v>458.7473</v>
      </c>
    </row>
    <row r="103" spans="1:5">
      <c r="A103" s="485">
        <v>423030326100</v>
      </c>
      <c r="B103" t="s">
        <v>1586</v>
      </c>
      <c r="C103">
        <v>0</v>
      </c>
      <c r="D103">
        <v>0</v>
      </c>
      <c r="E103">
        <v>0</v>
      </c>
    </row>
    <row r="104" spans="1:5">
      <c r="A104" s="485">
        <v>423030326100</v>
      </c>
      <c r="B104" t="s">
        <v>1587</v>
      </c>
      <c r="C104">
        <v>0</v>
      </c>
      <c r="D104">
        <v>0</v>
      </c>
      <c r="E104">
        <v>0</v>
      </c>
    </row>
    <row r="105" spans="1:5">
      <c r="A105" s="485">
        <v>423030326100</v>
      </c>
      <c r="B105" t="s">
        <v>1588</v>
      </c>
      <c r="C105">
        <v>0</v>
      </c>
      <c r="D105">
        <v>0</v>
      </c>
      <c r="E105">
        <v>0</v>
      </c>
    </row>
    <row r="106" spans="1:5">
      <c r="A106" s="485">
        <v>423030315000</v>
      </c>
      <c r="B106" t="s">
        <v>1589</v>
      </c>
      <c r="C106">
        <v>22.849499999999999</v>
      </c>
      <c r="D106">
        <v>8.7604000000000006</v>
      </c>
      <c r="E106">
        <v>31.6099</v>
      </c>
    </row>
    <row r="107" spans="1:5">
      <c r="A107" s="485">
        <v>423030115300</v>
      </c>
      <c r="B107" t="s">
        <v>1590</v>
      </c>
      <c r="C107">
        <v>0</v>
      </c>
      <c r="D107">
        <v>0</v>
      </c>
      <c r="E107">
        <v>0</v>
      </c>
    </row>
    <row r="108" spans="1:5">
      <c r="A108" s="485">
        <v>423030116200</v>
      </c>
      <c r="B108" t="s">
        <v>1591</v>
      </c>
      <c r="C108">
        <v>0</v>
      </c>
      <c r="D108">
        <v>0</v>
      </c>
      <c r="E108">
        <v>0</v>
      </c>
    </row>
    <row r="109" spans="1:5">
      <c r="A109" s="485">
        <v>423030117300</v>
      </c>
      <c r="B109" t="s">
        <v>1592</v>
      </c>
      <c r="C109">
        <v>0</v>
      </c>
      <c r="D109">
        <v>0</v>
      </c>
      <c r="E109">
        <v>0</v>
      </c>
    </row>
    <row r="110" spans="1:5">
      <c r="A110" s="485">
        <v>423030326500</v>
      </c>
      <c r="B110" t="s">
        <v>1593</v>
      </c>
      <c r="C110">
        <v>0</v>
      </c>
      <c r="D110">
        <v>0</v>
      </c>
      <c r="E110">
        <v>0</v>
      </c>
    </row>
    <row r="111" spans="1:5">
      <c r="A111" s="485">
        <v>423030326500</v>
      </c>
      <c r="B111" t="s">
        <v>1594</v>
      </c>
      <c r="C111">
        <v>20.708699999999997</v>
      </c>
      <c r="D111">
        <v>1.7136</v>
      </c>
      <c r="E111">
        <v>22.422299999999996</v>
      </c>
    </row>
    <row r="112" spans="1:5">
      <c r="A112" s="485">
        <v>423030327300</v>
      </c>
      <c r="B112" t="s">
        <v>1595</v>
      </c>
      <c r="C112">
        <v>13.999899999999998</v>
      </c>
      <c r="D112">
        <v>0.46200000000000002</v>
      </c>
      <c r="E112">
        <v>14.461899999999998</v>
      </c>
    </row>
    <row r="113" spans="1:5">
      <c r="A113" s="485">
        <v>423030328000</v>
      </c>
      <c r="B113" t="s">
        <v>1596</v>
      </c>
      <c r="C113">
        <v>7.5739000000000001</v>
      </c>
      <c r="D113">
        <v>1.8479999999999999</v>
      </c>
      <c r="E113">
        <v>9.4219000000000008</v>
      </c>
    </row>
    <row r="114" spans="1:5">
      <c r="A114" s="485">
        <v>423030113800</v>
      </c>
      <c r="B114" t="s">
        <v>1597</v>
      </c>
      <c r="C114">
        <v>0</v>
      </c>
      <c r="D114">
        <v>0</v>
      </c>
      <c r="E114">
        <v>0</v>
      </c>
    </row>
    <row r="115" spans="1:5">
      <c r="A115" s="485">
        <v>423030328700</v>
      </c>
      <c r="B115">
        <v>4015212</v>
      </c>
      <c r="C115">
        <v>81.126400000000004</v>
      </c>
      <c r="D115">
        <v>23.036099999999998</v>
      </c>
      <c r="E115">
        <v>104.16249999999999</v>
      </c>
    </row>
    <row r="116" spans="1:5">
      <c r="A116" s="485">
        <v>423030330100</v>
      </c>
      <c r="B116" t="s">
        <v>1598</v>
      </c>
      <c r="C116">
        <v>49.147999999999996</v>
      </c>
      <c r="D116">
        <v>7.1981000000000011</v>
      </c>
      <c r="E116">
        <v>56.3461</v>
      </c>
    </row>
    <row r="117" spans="1:5">
      <c r="A117" s="485">
        <v>423030328800</v>
      </c>
      <c r="B117" t="s">
        <v>1599</v>
      </c>
      <c r="C117">
        <v>9.9524000000000008</v>
      </c>
      <c r="D117">
        <v>2.1657999999999999</v>
      </c>
      <c r="E117">
        <v>12.118200000000002</v>
      </c>
    </row>
    <row r="118" spans="1:5">
      <c r="A118" s="485">
        <v>423030118100</v>
      </c>
      <c r="B118" t="s">
        <v>1600</v>
      </c>
      <c r="C118">
        <v>0</v>
      </c>
      <c r="D118">
        <v>3.7229999999999999</v>
      </c>
      <c r="E118">
        <v>3.7229999999999999</v>
      </c>
    </row>
    <row r="119" spans="1:5">
      <c r="A119" s="485">
        <v>423030118100</v>
      </c>
      <c r="B119" t="s">
        <v>1601</v>
      </c>
      <c r="C119">
        <v>3.9999000000000002</v>
      </c>
      <c r="D119">
        <v>7.2789000000000001</v>
      </c>
      <c r="E119">
        <v>11.2788</v>
      </c>
    </row>
    <row r="120" spans="1:5">
      <c r="A120" s="485">
        <v>423030121500</v>
      </c>
      <c r="B120" t="s">
        <v>1602</v>
      </c>
      <c r="C120">
        <v>0</v>
      </c>
      <c r="D120">
        <v>0</v>
      </c>
      <c r="E120">
        <v>0</v>
      </c>
    </row>
    <row r="121" spans="1:5">
      <c r="A121" s="485">
        <v>423030121500</v>
      </c>
      <c r="B121" t="s">
        <v>1603</v>
      </c>
      <c r="C121">
        <v>0</v>
      </c>
      <c r="D121">
        <v>0</v>
      </c>
      <c r="E121">
        <v>0</v>
      </c>
    </row>
    <row r="122" spans="1:5">
      <c r="A122" s="485">
        <v>423030121500</v>
      </c>
      <c r="B122" t="s">
        <v>1604</v>
      </c>
      <c r="C122">
        <v>0</v>
      </c>
      <c r="D122">
        <v>0</v>
      </c>
      <c r="E122">
        <v>0</v>
      </c>
    </row>
    <row r="123" spans="1:5">
      <c r="A123" s="485">
        <v>423030124600</v>
      </c>
      <c r="B123" t="s">
        <v>1605</v>
      </c>
      <c r="C123">
        <v>0</v>
      </c>
      <c r="D123">
        <v>0</v>
      </c>
      <c r="E123">
        <v>0</v>
      </c>
    </row>
    <row r="124" spans="1:5">
      <c r="A124" s="485">
        <v>423030125600</v>
      </c>
      <c r="B124" t="s">
        <v>1606</v>
      </c>
      <c r="C124">
        <v>0</v>
      </c>
      <c r="D124">
        <v>0</v>
      </c>
      <c r="E124">
        <v>0</v>
      </c>
    </row>
    <row r="125" spans="1:5">
      <c r="A125" s="485">
        <v>423030333400</v>
      </c>
      <c r="B125" t="s">
        <v>1607</v>
      </c>
      <c r="C125">
        <v>0</v>
      </c>
      <c r="D125">
        <v>0</v>
      </c>
      <c r="E125">
        <v>0</v>
      </c>
    </row>
    <row r="126" spans="1:5">
      <c r="A126" s="485">
        <v>423031103600</v>
      </c>
      <c r="B126" t="s">
        <v>1608</v>
      </c>
      <c r="C126">
        <v>2</v>
      </c>
      <c r="D126">
        <v>12.506399999999999</v>
      </c>
      <c r="E126">
        <v>14.506399999999999</v>
      </c>
    </row>
    <row r="127" spans="1:5">
      <c r="A127" s="485">
        <v>423030424800</v>
      </c>
      <c r="B127" t="s">
        <v>1609</v>
      </c>
      <c r="C127">
        <v>0</v>
      </c>
      <c r="D127">
        <v>0</v>
      </c>
      <c r="E127">
        <v>0</v>
      </c>
    </row>
    <row r="128" spans="1:5">
      <c r="A128" s="485">
        <v>423030252700</v>
      </c>
      <c r="B128" t="s">
        <v>1610</v>
      </c>
      <c r="C128">
        <v>0</v>
      </c>
      <c r="D128">
        <v>0</v>
      </c>
      <c r="E128">
        <v>0</v>
      </c>
    </row>
    <row r="129" spans="1:5">
      <c r="A129" s="485">
        <v>423030329500</v>
      </c>
      <c r="B129" t="s">
        <v>1611</v>
      </c>
      <c r="C129">
        <v>312.51560000000001</v>
      </c>
      <c r="D129">
        <v>192.57339999999999</v>
      </c>
      <c r="E129">
        <v>505.089</v>
      </c>
    </row>
    <row r="130" spans="1:5">
      <c r="A130" s="485">
        <v>423030329900</v>
      </c>
      <c r="B130" t="s">
        <v>1612</v>
      </c>
      <c r="C130">
        <v>115.51609999999998</v>
      </c>
      <c r="D130">
        <v>9.1012000000000004</v>
      </c>
      <c r="E130">
        <v>124.61729999999999</v>
      </c>
    </row>
    <row r="131" spans="1:5">
      <c r="A131" s="485">
        <v>423030126700</v>
      </c>
      <c r="B131" t="s">
        <v>1613</v>
      </c>
      <c r="C131">
        <v>0</v>
      </c>
      <c r="D131">
        <v>0</v>
      </c>
      <c r="E131">
        <v>0</v>
      </c>
    </row>
    <row r="132" spans="1:5">
      <c r="A132" s="485">
        <v>423030127200</v>
      </c>
      <c r="B132" t="s">
        <v>1614</v>
      </c>
      <c r="C132">
        <v>0</v>
      </c>
      <c r="D132">
        <v>0</v>
      </c>
      <c r="E132">
        <v>0</v>
      </c>
    </row>
    <row r="133" spans="1:5">
      <c r="A133" s="485">
        <v>423030151600</v>
      </c>
      <c r="B133" t="s">
        <v>1615</v>
      </c>
      <c r="C133">
        <v>23.481099999999998</v>
      </c>
      <c r="D133">
        <v>0.3367</v>
      </c>
      <c r="E133">
        <v>23.817799999999998</v>
      </c>
    </row>
    <row r="134" spans="1:5">
      <c r="A134" s="485">
        <v>423030332500</v>
      </c>
      <c r="B134" t="s">
        <v>1616</v>
      </c>
      <c r="C134">
        <v>507</v>
      </c>
      <c r="D134">
        <v>225.0403</v>
      </c>
      <c r="E134">
        <v>732.0403</v>
      </c>
    </row>
    <row r="135" spans="1:5">
      <c r="A135" s="485">
        <v>423030426600</v>
      </c>
      <c r="B135" t="s">
        <v>1617</v>
      </c>
      <c r="C135">
        <v>0</v>
      </c>
      <c r="D135">
        <v>0</v>
      </c>
      <c r="E135">
        <v>0</v>
      </c>
    </row>
    <row r="136" spans="1:5">
      <c r="A136" s="485">
        <v>423030332700</v>
      </c>
      <c r="B136" t="s">
        <v>1618</v>
      </c>
      <c r="C136">
        <v>1.5</v>
      </c>
      <c r="D136">
        <v>0.64659999999999995</v>
      </c>
      <c r="E136">
        <v>2.1465999999999998</v>
      </c>
    </row>
    <row r="137" spans="1:5">
      <c r="A137" s="485">
        <v>423030427200</v>
      </c>
      <c r="B137" t="s">
        <v>1619</v>
      </c>
      <c r="C137">
        <v>0</v>
      </c>
      <c r="D137">
        <v>0</v>
      </c>
      <c r="E137">
        <v>0</v>
      </c>
    </row>
    <row r="138" spans="1:5">
      <c r="A138" s="485">
        <v>423030136000</v>
      </c>
      <c r="B138" t="s">
        <v>1620</v>
      </c>
      <c r="C138">
        <v>0</v>
      </c>
      <c r="D138">
        <v>0</v>
      </c>
      <c r="E138">
        <v>0</v>
      </c>
    </row>
    <row r="139" spans="1:5">
      <c r="A139" s="485">
        <v>423030332100</v>
      </c>
      <c r="B139" t="s">
        <v>1621</v>
      </c>
      <c r="C139">
        <v>0</v>
      </c>
      <c r="D139">
        <v>0</v>
      </c>
      <c r="E139">
        <v>0</v>
      </c>
    </row>
    <row r="140" spans="1:5">
      <c r="A140" s="485">
        <v>423030332100</v>
      </c>
      <c r="B140" t="s">
        <v>1622</v>
      </c>
      <c r="C140">
        <v>2459.9432999999999</v>
      </c>
      <c r="D140">
        <v>233.90639999999999</v>
      </c>
      <c r="E140">
        <v>2693.8496999999998</v>
      </c>
    </row>
    <row r="141" spans="1:5">
      <c r="A141" s="485">
        <v>423030335200</v>
      </c>
      <c r="B141" t="s">
        <v>1623</v>
      </c>
      <c r="C141">
        <v>3.0002</v>
      </c>
      <c r="D141">
        <v>0.94120000000000004</v>
      </c>
      <c r="E141">
        <v>3.9413999999999998</v>
      </c>
    </row>
    <row r="142" spans="1:5">
      <c r="A142" s="485">
        <v>423030335200</v>
      </c>
      <c r="B142" t="s">
        <v>1624</v>
      </c>
      <c r="C142">
        <v>0</v>
      </c>
      <c r="D142">
        <v>0</v>
      </c>
      <c r="E142">
        <v>0</v>
      </c>
    </row>
    <row r="143" spans="1:5">
      <c r="A143" s="485">
        <v>423030136700</v>
      </c>
      <c r="B143" t="s">
        <v>1625</v>
      </c>
      <c r="C143">
        <v>7</v>
      </c>
      <c r="D143">
        <v>2.0861999999999998</v>
      </c>
      <c r="E143">
        <v>9.0861999999999998</v>
      </c>
    </row>
    <row r="144" spans="1:5">
      <c r="A144" s="485">
        <v>423030335400</v>
      </c>
      <c r="B144" t="s">
        <v>1626</v>
      </c>
      <c r="C144">
        <v>0</v>
      </c>
      <c r="D144">
        <v>0</v>
      </c>
      <c r="E144">
        <v>0</v>
      </c>
    </row>
    <row r="145" spans="1:5">
      <c r="A145" s="485">
        <v>423030138400</v>
      </c>
      <c r="B145" t="s">
        <v>1627</v>
      </c>
      <c r="C145">
        <v>0</v>
      </c>
      <c r="D145">
        <v>0</v>
      </c>
      <c r="E145">
        <v>0</v>
      </c>
    </row>
    <row r="146" spans="1:5">
      <c r="A146" s="485">
        <v>423030335600</v>
      </c>
      <c r="B146" t="s">
        <v>1628</v>
      </c>
      <c r="C146">
        <v>3.1827000000000005</v>
      </c>
      <c r="D146">
        <v>0.10369999999999999</v>
      </c>
      <c r="E146">
        <v>3.2864000000000004</v>
      </c>
    </row>
    <row r="147" spans="1:5">
      <c r="A147" s="485">
        <v>423030378600</v>
      </c>
      <c r="B147" t="s">
        <v>1629</v>
      </c>
      <c r="C147">
        <v>0</v>
      </c>
      <c r="D147">
        <v>0</v>
      </c>
      <c r="E147">
        <v>0</v>
      </c>
    </row>
    <row r="148" spans="1:5">
      <c r="A148" s="485">
        <v>423030337600</v>
      </c>
      <c r="B148">
        <v>4965018</v>
      </c>
      <c r="C148">
        <v>111.90690000000001</v>
      </c>
      <c r="D148">
        <v>24.1875</v>
      </c>
      <c r="E148">
        <v>136.09440000000001</v>
      </c>
    </row>
    <row r="149" spans="1:5">
      <c r="A149" s="485">
        <v>423030337900</v>
      </c>
      <c r="B149" t="s">
        <v>1630</v>
      </c>
      <c r="C149">
        <v>102.67440000000001</v>
      </c>
      <c r="D149">
        <v>49.9893</v>
      </c>
      <c r="E149">
        <v>152.66370000000001</v>
      </c>
    </row>
    <row r="150" spans="1:5">
      <c r="A150" s="485">
        <v>423030333500</v>
      </c>
      <c r="B150" t="s">
        <v>1631</v>
      </c>
      <c r="C150">
        <v>18.929300000000001</v>
      </c>
      <c r="D150">
        <v>1.5924999999999998</v>
      </c>
      <c r="E150">
        <v>20.521800000000002</v>
      </c>
    </row>
    <row r="151" spans="1:5">
      <c r="A151" s="485">
        <v>423030333900</v>
      </c>
      <c r="B151" t="s">
        <v>1632</v>
      </c>
      <c r="C151">
        <v>654.27919999999995</v>
      </c>
      <c r="D151">
        <v>466.66229999999996</v>
      </c>
      <c r="E151">
        <v>1120.9414999999999</v>
      </c>
    </row>
    <row r="152" spans="1:5">
      <c r="A152" s="485">
        <v>423030429000</v>
      </c>
      <c r="B152" t="s">
        <v>1633</v>
      </c>
      <c r="C152">
        <v>1</v>
      </c>
      <c r="D152">
        <v>5.4599999999999996E-2</v>
      </c>
      <c r="E152">
        <v>1.0546</v>
      </c>
    </row>
    <row r="153" spans="1:5">
      <c r="A153" s="485">
        <v>423031105300</v>
      </c>
      <c r="B153" t="s">
        <v>1634</v>
      </c>
      <c r="C153">
        <v>0</v>
      </c>
      <c r="D153">
        <v>0</v>
      </c>
      <c r="E153">
        <v>0</v>
      </c>
    </row>
    <row r="154" spans="1:5">
      <c r="A154" s="485">
        <v>423031185200</v>
      </c>
      <c r="B154" t="s">
        <v>1635</v>
      </c>
      <c r="C154">
        <v>0</v>
      </c>
      <c r="D154">
        <v>0</v>
      </c>
      <c r="E154">
        <v>0</v>
      </c>
    </row>
    <row r="155" spans="1:5">
      <c r="A155" s="485">
        <v>423031185200</v>
      </c>
      <c r="B155" t="s">
        <v>1636</v>
      </c>
      <c r="C155">
        <v>2463.5907999999999</v>
      </c>
      <c r="D155">
        <v>1792.2208000000001</v>
      </c>
      <c r="E155">
        <v>4255.8116</v>
      </c>
    </row>
    <row r="156" spans="1:5">
      <c r="A156" s="485">
        <v>423030335000</v>
      </c>
      <c r="B156" t="s">
        <v>1637</v>
      </c>
      <c r="C156">
        <v>0.99999999999999989</v>
      </c>
      <c r="D156">
        <v>0.87120000000000009</v>
      </c>
      <c r="E156">
        <v>1.8712</v>
      </c>
    </row>
    <row r="157" spans="1:5">
      <c r="A157" s="485">
        <v>423030334600</v>
      </c>
      <c r="B157" t="s">
        <v>1638</v>
      </c>
      <c r="C157">
        <v>205</v>
      </c>
      <c r="D157">
        <v>160.13709999999998</v>
      </c>
      <c r="E157">
        <v>365.13709999999998</v>
      </c>
    </row>
    <row r="158" spans="1:5">
      <c r="A158" s="485">
        <v>423030335100</v>
      </c>
      <c r="B158" t="s">
        <v>1639</v>
      </c>
      <c r="C158">
        <v>284.99979999999999</v>
      </c>
      <c r="D158">
        <v>145.93799999999999</v>
      </c>
      <c r="E158">
        <v>430.93779999999998</v>
      </c>
    </row>
    <row r="159" spans="1:5">
      <c r="A159" s="485">
        <v>423030335100</v>
      </c>
      <c r="B159" t="s">
        <v>1640</v>
      </c>
      <c r="C159">
        <v>20.2927</v>
      </c>
      <c r="D159">
        <v>0</v>
      </c>
      <c r="E159">
        <v>20.2927</v>
      </c>
    </row>
    <row r="160" spans="1:5">
      <c r="A160" s="485">
        <v>423030335500</v>
      </c>
      <c r="B160" t="s">
        <v>1641</v>
      </c>
      <c r="C160">
        <v>11352.1461</v>
      </c>
      <c r="D160">
        <v>5142.9976999999999</v>
      </c>
      <c r="E160">
        <v>16495.143799999998</v>
      </c>
    </row>
    <row r="161" spans="1:5">
      <c r="A161" s="485">
        <v>423030335500</v>
      </c>
      <c r="B161" t="s">
        <v>1642</v>
      </c>
      <c r="C161">
        <v>5759</v>
      </c>
      <c r="D161">
        <v>10829.419399999999</v>
      </c>
      <c r="E161">
        <v>16588.419399999999</v>
      </c>
    </row>
    <row r="162" spans="1:5">
      <c r="A162" s="485">
        <v>423031072400</v>
      </c>
      <c r="B162" t="s">
        <v>1643</v>
      </c>
      <c r="C162">
        <v>0</v>
      </c>
      <c r="D162">
        <v>0</v>
      </c>
      <c r="E162">
        <v>0</v>
      </c>
    </row>
    <row r="163" spans="1:5">
      <c r="A163" s="485">
        <v>423030336600</v>
      </c>
      <c r="B163" t="s">
        <v>1644</v>
      </c>
      <c r="C163">
        <v>0</v>
      </c>
      <c r="D163">
        <v>4.1974999999999998</v>
      </c>
      <c r="E163">
        <v>4.1974999999999998</v>
      </c>
    </row>
    <row r="164" spans="1:5">
      <c r="A164" s="485">
        <v>423030303500</v>
      </c>
      <c r="B164" t="s">
        <v>1645</v>
      </c>
      <c r="C164">
        <v>56.865300000000005</v>
      </c>
      <c r="D164">
        <v>12.6747</v>
      </c>
      <c r="E164">
        <v>69.540000000000006</v>
      </c>
    </row>
    <row r="165" spans="1:5">
      <c r="A165" s="485">
        <v>423030303600</v>
      </c>
      <c r="B165" t="s">
        <v>1646</v>
      </c>
      <c r="C165">
        <v>1645.9438000000002</v>
      </c>
      <c r="D165">
        <v>607.76900000000001</v>
      </c>
      <c r="E165">
        <v>2253.7128000000002</v>
      </c>
    </row>
    <row r="166" spans="1:5">
      <c r="A166" s="485">
        <v>423030149100</v>
      </c>
      <c r="B166" t="s">
        <v>1647</v>
      </c>
      <c r="C166">
        <v>2.9999000000000002</v>
      </c>
      <c r="D166">
        <v>2.8520999999999996</v>
      </c>
      <c r="E166">
        <v>5.8520000000000003</v>
      </c>
    </row>
    <row r="167" spans="1:5">
      <c r="A167" s="485">
        <v>423030429900</v>
      </c>
      <c r="B167" t="s">
        <v>1648</v>
      </c>
      <c r="C167">
        <v>0</v>
      </c>
      <c r="D167">
        <v>0</v>
      </c>
      <c r="E167">
        <v>0</v>
      </c>
    </row>
    <row r="168" spans="1:5">
      <c r="A168" s="485">
        <v>423030336200</v>
      </c>
      <c r="B168" t="s">
        <v>1649</v>
      </c>
      <c r="C168">
        <v>0</v>
      </c>
      <c r="D168">
        <v>0</v>
      </c>
      <c r="E168">
        <v>0</v>
      </c>
    </row>
    <row r="169" spans="1:5">
      <c r="A169" s="485">
        <v>423030336300</v>
      </c>
      <c r="B169" t="s">
        <v>1650</v>
      </c>
      <c r="C169">
        <v>0</v>
      </c>
      <c r="D169">
        <v>0</v>
      </c>
      <c r="E169">
        <v>0</v>
      </c>
    </row>
    <row r="170" spans="1:5">
      <c r="A170" s="485">
        <v>423030336800</v>
      </c>
      <c r="B170" t="s">
        <v>1651</v>
      </c>
      <c r="C170">
        <v>0</v>
      </c>
      <c r="D170">
        <v>0</v>
      </c>
      <c r="E170">
        <v>0</v>
      </c>
    </row>
    <row r="171" spans="1:5">
      <c r="A171" s="485">
        <v>423030336800</v>
      </c>
      <c r="B171" t="s">
        <v>1652</v>
      </c>
      <c r="C171">
        <v>25.646999999999998</v>
      </c>
      <c r="D171">
        <v>20.701000000000001</v>
      </c>
      <c r="E171">
        <v>46.347999999999999</v>
      </c>
    </row>
    <row r="172" spans="1:5">
      <c r="A172" s="485">
        <v>423030337200</v>
      </c>
      <c r="B172" t="s">
        <v>1653</v>
      </c>
      <c r="C172">
        <v>0</v>
      </c>
      <c r="D172">
        <v>0</v>
      </c>
      <c r="E172">
        <v>0</v>
      </c>
    </row>
    <row r="173" spans="1:5">
      <c r="A173" s="485">
        <v>423030337800</v>
      </c>
      <c r="B173" t="s">
        <v>1654</v>
      </c>
      <c r="C173">
        <v>0</v>
      </c>
      <c r="D173">
        <v>0</v>
      </c>
      <c r="E173">
        <v>0</v>
      </c>
    </row>
    <row r="174" spans="1:5">
      <c r="A174" s="485">
        <v>423030151700</v>
      </c>
      <c r="B174" t="s">
        <v>1655</v>
      </c>
      <c r="C174">
        <v>0</v>
      </c>
      <c r="D174">
        <v>0</v>
      </c>
      <c r="E174">
        <v>0</v>
      </c>
    </row>
    <row r="175" spans="1:5">
      <c r="A175" s="485">
        <v>423030338200</v>
      </c>
      <c r="B175" t="s">
        <v>1656</v>
      </c>
      <c r="C175">
        <v>610.52940000000012</v>
      </c>
      <c r="D175">
        <v>358.56960000000004</v>
      </c>
      <c r="E175">
        <v>969.09900000000016</v>
      </c>
    </row>
    <row r="176" spans="1:5">
      <c r="A176" s="485">
        <v>423030338500</v>
      </c>
      <c r="B176" t="s">
        <v>1657</v>
      </c>
      <c r="C176">
        <v>6.9662999999999986</v>
      </c>
      <c r="D176">
        <v>4.0124000000000004</v>
      </c>
      <c r="E176">
        <v>10.9787</v>
      </c>
    </row>
    <row r="177" spans="1:5">
      <c r="A177" s="485">
        <v>423030338500</v>
      </c>
      <c r="B177" t="s">
        <v>1658</v>
      </c>
      <c r="C177">
        <v>1119.1916000000001</v>
      </c>
      <c r="D177">
        <v>350.71680000000003</v>
      </c>
      <c r="E177">
        <v>1469.9084000000003</v>
      </c>
    </row>
    <row r="178" spans="1:5">
      <c r="A178" s="485">
        <v>423030339000</v>
      </c>
      <c r="B178" t="s">
        <v>1659</v>
      </c>
      <c r="C178">
        <v>175.00009999999997</v>
      </c>
      <c r="D178">
        <v>262.01600000000002</v>
      </c>
      <c r="E178">
        <v>437.01609999999999</v>
      </c>
    </row>
    <row r="179" spans="1:5">
      <c r="A179" s="485">
        <v>423030339600</v>
      </c>
      <c r="B179" t="s">
        <v>1660</v>
      </c>
      <c r="C179">
        <v>0</v>
      </c>
      <c r="D179">
        <v>0</v>
      </c>
      <c r="E179">
        <v>0</v>
      </c>
    </row>
    <row r="180" spans="1:5">
      <c r="A180" s="485">
        <v>423030339800</v>
      </c>
      <c r="B180" t="s">
        <v>1661</v>
      </c>
      <c r="C180">
        <v>0</v>
      </c>
      <c r="D180">
        <v>0</v>
      </c>
      <c r="E180">
        <v>0</v>
      </c>
    </row>
    <row r="181" spans="1:5">
      <c r="A181" s="485">
        <v>423030339800</v>
      </c>
      <c r="B181" t="s">
        <v>1662</v>
      </c>
      <c r="C181">
        <v>3.7931000000000004</v>
      </c>
      <c r="D181">
        <v>1.3860000000000001</v>
      </c>
      <c r="E181">
        <v>5.1791</v>
      </c>
    </row>
    <row r="182" spans="1:5">
      <c r="A182" s="485">
        <v>423031247700</v>
      </c>
      <c r="B182" t="s">
        <v>1663</v>
      </c>
      <c r="C182">
        <v>0</v>
      </c>
      <c r="D182">
        <v>0</v>
      </c>
      <c r="E182">
        <v>0</v>
      </c>
    </row>
    <row r="183" spans="1:5">
      <c r="A183" s="485">
        <v>423030340100</v>
      </c>
      <c r="B183" t="s">
        <v>1664</v>
      </c>
      <c r="C183">
        <v>10.0001</v>
      </c>
      <c r="D183">
        <v>11.781599999999999</v>
      </c>
      <c r="E183">
        <v>21.781700000000001</v>
      </c>
    </row>
    <row r="184" spans="1:5">
      <c r="A184" s="485">
        <v>423030340100</v>
      </c>
      <c r="B184" t="s">
        <v>1665</v>
      </c>
      <c r="C184">
        <v>0</v>
      </c>
      <c r="D184">
        <v>0</v>
      </c>
      <c r="E184">
        <v>0</v>
      </c>
    </row>
    <row r="185" spans="1:5">
      <c r="A185" s="485">
        <v>423030341600</v>
      </c>
      <c r="B185" t="s">
        <v>1666</v>
      </c>
      <c r="C185">
        <v>12.0001</v>
      </c>
      <c r="D185">
        <v>2.3734999999999999</v>
      </c>
      <c r="E185">
        <v>14.3736</v>
      </c>
    </row>
    <row r="186" spans="1:5">
      <c r="A186" s="485">
        <v>423030342200</v>
      </c>
      <c r="B186" t="s">
        <v>1667</v>
      </c>
      <c r="C186">
        <v>0</v>
      </c>
      <c r="D186">
        <v>0</v>
      </c>
      <c r="E186">
        <v>0</v>
      </c>
    </row>
    <row r="187" spans="1:5">
      <c r="A187" s="485">
        <v>423030171600</v>
      </c>
      <c r="B187" t="s">
        <v>1668</v>
      </c>
      <c r="C187">
        <v>0</v>
      </c>
      <c r="D187">
        <v>0</v>
      </c>
      <c r="E187">
        <v>0</v>
      </c>
    </row>
    <row r="188" spans="1:5">
      <c r="A188" s="485">
        <v>423030172100</v>
      </c>
      <c r="B188" t="s">
        <v>1669</v>
      </c>
      <c r="C188">
        <v>1.0001</v>
      </c>
      <c r="D188">
        <v>0.63349999999999995</v>
      </c>
      <c r="E188">
        <v>1.6335999999999999</v>
      </c>
    </row>
    <row r="189" spans="1:5">
      <c r="A189" s="485">
        <v>423030339100</v>
      </c>
      <c r="B189">
        <v>10036366</v>
      </c>
      <c r="C189">
        <v>348.31570000000005</v>
      </c>
      <c r="D189">
        <v>20.862000000000002</v>
      </c>
      <c r="E189">
        <v>369.17770000000007</v>
      </c>
    </row>
    <row r="190" spans="1:5">
      <c r="A190" s="485">
        <v>423030339100</v>
      </c>
      <c r="B190" t="s">
        <v>1670</v>
      </c>
      <c r="C190">
        <v>50.999999999999993</v>
      </c>
      <c r="D190">
        <v>32.5032</v>
      </c>
      <c r="E190">
        <v>83.503199999999993</v>
      </c>
    </row>
    <row r="191" spans="1:5">
      <c r="A191" s="485">
        <v>423030172900</v>
      </c>
      <c r="B191" t="s">
        <v>1671</v>
      </c>
      <c r="C191">
        <v>0</v>
      </c>
      <c r="D191">
        <v>0</v>
      </c>
      <c r="E191">
        <v>0</v>
      </c>
    </row>
    <row r="192" spans="1:5">
      <c r="A192" s="485">
        <v>423031078800</v>
      </c>
      <c r="B192" t="s">
        <v>1672</v>
      </c>
      <c r="C192">
        <v>0</v>
      </c>
      <c r="D192">
        <v>12.738500000000002</v>
      </c>
      <c r="E192">
        <v>12.738500000000002</v>
      </c>
    </row>
    <row r="193" spans="1:5">
      <c r="A193" s="485">
        <v>423030171300</v>
      </c>
      <c r="B193" t="s">
        <v>1673</v>
      </c>
      <c r="C193">
        <v>0</v>
      </c>
      <c r="D193">
        <v>0</v>
      </c>
      <c r="E193">
        <v>0</v>
      </c>
    </row>
    <row r="194" spans="1:5">
      <c r="A194" s="485">
        <v>423030339400</v>
      </c>
      <c r="B194" t="s">
        <v>1674</v>
      </c>
      <c r="C194">
        <v>3</v>
      </c>
      <c r="D194">
        <v>1.0125999999999999</v>
      </c>
      <c r="E194">
        <v>4.0125999999999999</v>
      </c>
    </row>
    <row r="195" spans="1:5">
      <c r="A195" s="485">
        <v>423030339700</v>
      </c>
      <c r="B195" t="s">
        <v>1675</v>
      </c>
      <c r="C195">
        <v>163.20919999999998</v>
      </c>
      <c r="D195">
        <v>101.98069999999998</v>
      </c>
      <c r="E195">
        <v>265.18989999999997</v>
      </c>
    </row>
    <row r="196" spans="1:5">
      <c r="A196" s="485">
        <v>423030172000</v>
      </c>
      <c r="B196" t="s">
        <v>1676</v>
      </c>
      <c r="C196">
        <v>3.8699999999999998E-2</v>
      </c>
      <c r="D196">
        <v>0.20039999999999999</v>
      </c>
      <c r="E196">
        <v>0.23909999999999998</v>
      </c>
    </row>
    <row r="197" spans="1:5">
      <c r="A197" s="485">
        <v>423030341800</v>
      </c>
      <c r="B197" t="s">
        <v>1677</v>
      </c>
      <c r="C197">
        <v>0</v>
      </c>
      <c r="D197">
        <v>0</v>
      </c>
      <c r="E197">
        <v>0</v>
      </c>
    </row>
    <row r="198" spans="1:5">
      <c r="A198" s="485">
        <v>423031336100</v>
      </c>
      <c r="B198" t="s">
        <v>1678</v>
      </c>
      <c r="C198">
        <v>0</v>
      </c>
      <c r="D198">
        <v>0</v>
      </c>
      <c r="E198">
        <v>0</v>
      </c>
    </row>
    <row r="199" spans="1:5">
      <c r="A199" s="485">
        <v>423030340200</v>
      </c>
      <c r="B199" t="s">
        <v>1679</v>
      </c>
      <c r="C199">
        <v>1</v>
      </c>
      <c r="D199">
        <v>0.50390000000000001</v>
      </c>
      <c r="E199">
        <v>1.5039</v>
      </c>
    </row>
    <row r="200" spans="1:5">
      <c r="A200" s="485">
        <v>423030340600</v>
      </c>
      <c r="B200" t="s">
        <v>1680</v>
      </c>
      <c r="C200">
        <v>10858.6922</v>
      </c>
      <c r="D200">
        <v>593.58709999999996</v>
      </c>
      <c r="E200">
        <v>11452.2793</v>
      </c>
    </row>
    <row r="201" spans="1:5">
      <c r="A201" s="485">
        <v>423030172200</v>
      </c>
      <c r="B201" t="s">
        <v>1681</v>
      </c>
      <c r="C201">
        <v>0</v>
      </c>
      <c r="D201">
        <v>0</v>
      </c>
      <c r="E201">
        <v>0</v>
      </c>
    </row>
    <row r="202" spans="1:5">
      <c r="A202" s="485">
        <v>423030340900</v>
      </c>
      <c r="B202" t="s">
        <v>1682</v>
      </c>
      <c r="C202">
        <v>0</v>
      </c>
      <c r="D202">
        <v>0</v>
      </c>
      <c r="E202">
        <v>0</v>
      </c>
    </row>
    <row r="203" spans="1:5">
      <c r="A203" s="485">
        <v>423030340900</v>
      </c>
      <c r="B203" t="s">
        <v>1683</v>
      </c>
      <c r="C203">
        <v>340.01169999999996</v>
      </c>
      <c r="D203">
        <v>181.5067</v>
      </c>
      <c r="E203">
        <v>521.51839999999993</v>
      </c>
    </row>
    <row r="204" spans="1:5">
      <c r="A204" s="485">
        <v>423030341100</v>
      </c>
      <c r="B204" t="s">
        <v>1684</v>
      </c>
      <c r="C204">
        <v>7.4617000000000004</v>
      </c>
      <c r="D204">
        <v>0.63700000000000001</v>
      </c>
      <c r="E204">
        <v>8.0987000000000009</v>
      </c>
    </row>
    <row r="205" spans="1:5">
      <c r="A205" s="485">
        <v>423030434100</v>
      </c>
      <c r="B205" t="s">
        <v>1685</v>
      </c>
      <c r="C205">
        <v>0</v>
      </c>
      <c r="D205">
        <v>0</v>
      </c>
      <c r="E205">
        <v>0</v>
      </c>
    </row>
    <row r="206" spans="1:5">
      <c r="A206" s="485">
        <v>423030174400</v>
      </c>
      <c r="B206" t="s">
        <v>1686</v>
      </c>
      <c r="C206">
        <v>23.714500000000005</v>
      </c>
      <c r="D206">
        <v>3.6414</v>
      </c>
      <c r="E206">
        <v>27.355900000000005</v>
      </c>
    </row>
    <row r="207" spans="1:5">
      <c r="A207" s="485">
        <v>423030341700</v>
      </c>
      <c r="B207" t="s">
        <v>1687</v>
      </c>
      <c r="C207">
        <v>68</v>
      </c>
      <c r="D207">
        <v>198.3723</v>
      </c>
      <c r="E207">
        <v>266.3723</v>
      </c>
    </row>
    <row r="208" spans="1:5">
      <c r="A208" s="485">
        <v>423030341700</v>
      </c>
      <c r="B208" t="s">
        <v>1688</v>
      </c>
      <c r="C208">
        <v>291.04109999999997</v>
      </c>
      <c r="D208">
        <v>21.496400000000001</v>
      </c>
      <c r="E208">
        <v>312.53749999999997</v>
      </c>
    </row>
    <row r="209" spans="1:5">
      <c r="A209" s="485">
        <v>423030434400</v>
      </c>
      <c r="B209" t="s">
        <v>1689</v>
      </c>
      <c r="C209">
        <v>768.78269999999986</v>
      </c>
      <c r="D209">
        <v>60.783500000000004</v>
      </c>
      <c r="E209">
        <v>829.56619999999987</v>
      </c>
    </row>
    <row r="210" spans="1:5">
      <c r="A210" s="485">
        <v>423030175600</v>
      </c>
      <c r="B210" t="s">
        <v>1690</v>
      </c>
      <c r="C210">
        <v>0</v>
      </c>
      <c r="D210">
        <v>0</v>
      </c>
      <c r="E210">
        <v>0</v>
      </c>
    </row>
    <row r="211" spans="1:5">
      <c r="A211" s="485">
        <v>423031078100</v>
      </c>
      <c r="B211" t="s">
        <v>1691</v>
      </c>
      <c r="C211">
        <v>0</v>
      </c>
      <c r="D211">
        <v>0</v>
      </c>
      <c r="E211">
        <v>0</v>
      </c>
    </row>
    <row r="212" spans="1:5">
      <c r="A212" s="485">
        <v>423030303900</v>
      </c>
      <c r="B212" t="s">
        <v>1692</v>
      </c>
      <c r="C212">
        <v>0</v>
      </c>
      <c r="D212">
        <v>0</v>
      </c>
      <c r="E212">
        <v>0</v>
      </c>
    </row>
    <row r="213" spans="1:5">
      <c r="A213" s="485">
        <v>423030177400</v>
      </c>
      <c r="B213" t="s">
        <v>1693</v>
      </c>
      <c r="C213">
        <v>0</v>
      </c>
      <c r="D213">
        <v>0</v>
      </c>
      <c r="E213">
        <v>0</v>
      </c>
    </row>
    <row r="214" spans="1:5">
      <c r="A214" s="485">
        <v>423030176500</v>
      </c>
      <c r="B214" t="s">
        <v>1694</v>
      </c>
      <c r="C214">
        <v>0</v>
      </c>
      <c r="D214">
        <v>0</v>
      </c>
      <c r="E214">
        <v>0</v>
      </c>
    </row>
    <row r="215" spans="1:5">
      <c r="A215" s="485">
        <v>423030178500</v>
      </c>
      <c r="B215" t="s">
        <v>1695</v>
      </c>
      <c r="C215">
        <v>0</v>
      </c>
      <c r="D215">
        <v>0</v>
      </c>
      <c r="E215">
        <v>0</v>
      </c>
    </row>
    <row r="216" spans="1:5">
      <c r="A216" s="485">
        <v>423030342300</v>
      </c>
      <c r="B216" t="s">
        <v>1696</v>
      </c>
      <c r="C216">
        <v>7.0439999999999996</v>
      </c>
      <c r="D216">
        <v>1.87</v>
      </c>
      <c r="E216">
        <v>8.9139999999999997</v>
      </c>
    </row>
    <row r="217" spans="1:5">
      <c r="A217" s="485">
        <v>423030342500</v>
      </c>
      <c r="B217" t="s">
        <v>1697</v>
      </c>
      <c r="C217">
        <v>0</v>
      </c>
      <c r="D217">
        <v>0</v>
      </c>
      <c r="E217">
        <v>0</v>
      </c>
    </row>
    <row r="218" spans="1:5">
      <c r="A218" s="485">
        <v>423030343900</v>
      </c>
      <c r="B218" t="s">
        <v>1698</v>
      </c>
      <c r="C218">
        <v>313.11360000000002</v>
      </c>
      <c r="D218">
        <v>94.431099999999986</v>
      </c>
      <c r="E218">
        <v>407.54470000000003</v>
      </c>
    </row>
    <row r="219" spans="1:5">
      <c r="A219" s="485">
        <v>423030179500</v>
      </c>
      <c r="B219" t="s">
        <v>1699</v>
      </c>
      <c r="C219">
        <v>0</v>
      </c>
      <c r="D219">
        <v>0</v>
      </c>
      <c r="E219">
        <v>0</v>
      </c>
    </row>
    <row r="220" spans="1:5">
      <c r="A220" s="485">
        <v>423030345600</v>
      </c>
      <c r="B220" t="s">
        <v>1700</v>
      </c>
      <c r="C220">
        <v>0</v>
      </c>
      <c r="D220">
        <v>0</v>
      </c>
      <c r="E220">
        <v>0</v>
      </c>
    </row>
    <row r="221" spans="1:5">
      <c r="A221" s="485">
        <v>423030950600</v>
      </c>
      <c r="B221" t="s">
        <v>1701</v>
      </c>
      <c r="C221">
        <v>2.4062000000000001</v>
      </c>
      <c r="D221">
        <v>3.4238999999999997</v>
      </c>
      <c r="E221">
        <v>5.8300999999999998</v>
      </c>
    </row>
    <row r="222" spans="1:5">
      <c r="A222" s="485">
        <v>423030181200</v>
      </c>
      <c r="B222" t="s">
        <v>1702</v>
      </c>
      <c r="C222">
        <v>0</v>
      </c>
      <c r="D222">
        <v>2.5185</v>
      </c>
      <c r="E222">
        <v>2.5185</v>
      </c>
    </row>
    <row r="223" spans="1:5">
      <c r="A223" s="485">
        <v>423030181200</v>
      </c>
      <c r="B223" t="s">
        <v>1703</v>
      </c>
      <c r="C223">
        <v>38.445799999999998</v>
      </c>
      <c r="D223">
        <v>55.174400000000006</v>
      </c>
      <c r="E223">
        <v>93.620200000000011</v>
      </c>
    </row>
    <row r="224" spans="1:5">
      <c r="A224" s="485">
        <v>423030181500</v>
      </c>
      <c r="B224" t="s">
        <v>1704</v>
      </c>
      <c r="C224">
        <v>0</v>
      </c>
      <c r="D224">
        <v>0</v>
      </c>
      <c r="E224">
        <v>0</v>
      </c>
    </row>
    <row r="225" spans="1:5">
      <c r="A225" s="485">
        <v>423030343500</v>
      </c>
      <c r="B225" t="s">
        <v>1705</v>
      </c>
      <c r="C225">
        <v>115.90899999999999</v>
      </c>
      <c r="D225">
        <v>9.9995999999999992</v>
      </c>
      <c r="E225">
        <v>125.90859999999999</v>
      </c>
    </row>
    <row r="226" spans="1:5">
      <c r="A226" s="485">
        <v>423030344200</v>
      </c>
      <c r="B226" t="s">
        <v>1706</v>
      </c>
      <c r="C226">
        <v>747</v>
      </c>
      <c r="D226">
        <v>0</v>
      </c>
      <c r="E226">
        <v>747</v>
      </c>
    </row>
    <row r="227" spans="1:5">
      <c r="A227" s="485">
        <v>423030344200</v>
      </c>
      <c r="B227" t="s">
        <v>1707</v>
      </c>
      <c r="C227">
        <v>2625.1842000000001</v>
      </c>
      <c r="D227">
        <v>576.30660000000012</v>
      </c>
      <c r="E227">
        <v>3201.4908000000005</v>
      </c>
    </row>
    <row r="228" spans="1:5">
      <c r="A228" s="485">
        <v>423030344300</v>
      </c>
      <c r="B228" t="s">
        <v>1708</v>
      </c>
      <c r="C228">
        <v>55.917999999999999</v>
      </c>
      <c r="D228">
        <v>61.743700000000004</v>
      </c>
      <c r="E228">
        <v>117.6617</v>
      </c>
    </row>
    <row r="229" spans="1:5">
      <c r="A229" s="485">
        <v>423030343200</v>
      </c>
      <c r="B229" t="s">
        <v>1709</v>
      </c>
      <c r="C229">
        <v>31.338999999999999</v>
      </c>
      <c r="D229">
        <v>101.66760000000001</v>
      </c>
      <c r="E229">
        <v>133.00659999999999</v>
      </c>
    </row>
    <row r="230" spans="1:5">
      <c r="A230" s="485">
        <v>423030343200</v>
      </c>
      <c r="B230" t="s">
        <v>1710</v>
      </c>
      <c r="C230">
        <v>0</v>
      </c>
      <c r="D230">
        <v>25.841999999999999</v>
      </c>
      <c r="E230">
        <v>25.841999999999999</v>
      </c>
    </row>
    <row r="231" spans="1:5">
      <c r="A231" s="485">
        <v>423030343700</v>
      </c>
      <c r="B231" t="s">
        <v>1711</v>
      </c>
      <c r="C231">
        <v>2.9998999999999998</v>
      </c>
      <c r="D231">
        <v>1.9178000000000002</v>
      </c>
      <c r="E231">
        <v>4.9177</v>
      </c>
    </row>
    <row r="232" spans="1:5">
      <c r="A232" s="485">
        <v>423030345000</v>
      </c>
      <c r="B232">
        <v>3171988</v>
      </c>
      <c r="C232">
        <v>186.8</v>
      </c>
      <c r="D232">
        <v>102.5176</v>
      </c>
      <c r="E232">
        <v>289.31760000000003</v>
      </c>
    </row>
    <row r="233" spans="1:5">
      <c r="A233" s="485">
        <v>423030344500</v>
      </c>
      <c r="B233" t="s">
        <v>1712</v>
      </c>
      <c r="C233">
        <v>0</v>
      </c>
      <c r="D233">
        <v>0</v>
      </c>
      <c r="E233">
        <v>0</v>
      </c>
    </row>
    <row r="234" spans="1:5">
      <c r="A234" s="485">
        <v>423031149700</v>
      </c>
      <c r="B234" t="s">
        <v>1713</v>
      </c>
      <c r="C234">
        <v>0.99999999999999989</v>
      </c>
      <c r="D234">
        <v>1.9498</v>
      </c>
      <c r="E234">
        <v>2.9497999999999998</v>
      </c>
    </row>
    <row r="235" spans="1:5">
      <c r="A235" s="485">
        <v>423030435300</v>
      </c>
      <c r="B235" t="s">
        <v>1714</v>
      </c>
      <c r="C235">
        <v>0</v>
      </c>
      <c r="D235">
        <v>0</v>
      </c>
      <c r="E235">
        <v>0</v>
      </c>
    </row>
    <row r="236" spans="1:5">
      <c r="A236" s="485">
        <v>423031136900</v>
      </c>
      <c r="B236" t="s">
        <v>1715</v>
      </c>
      <c r="C236">
        <v>0</v>
      </c>
      <c r="D236">
        <v>0</v>
      </c>
      <c r="E236">
        <v>0</v>
      </c>
    </row>
    <row r="237" spans="1:5">
      <c r="A237" s="485">
        <v>423030344700</v>
      </c>
      <c r="B237" t="s">
        <v>1716</v>
      </c>
      <c r="C237">
        <v>0</v>
      </c>
      <c r="D237">
        <v>0</v>
      </c>
      <c r="E237">
        <v>0</v>
      </c>
    </row>
    <row r="238" spans="1:5">
      <c r="A238" s="485">
        <v>423030344700</v>
      </c>
      <c r="B238" t="s">
        <v>1717</v>
      </c>
      <c r="C238">
        <v>966.72720000000004</v>
      </c>
      <c r="D238">
        <v>334.13839999999999</v>
      </c>
      <c r="E238">
        <v>1300.8656000000001</v>
      </c>
    </row>
    <row r="239" spans="1:5">
      <c r="A239" s="485">
        <v>423030344900</v>
      </c>
      <c r="B239" t="s">
        <v>1718</v>
      </c>
      <c r="C239">
        <v>467.18180000000001</v>
      </c>
      <c r="D239">
        <v>211.3152</v>
      </c>
      <c r="E239">
        <v>678.49700000000007</v>
      </c>
    </row>
    <row r="240" spans="1:5">
      <c r="A240" s="485">
        <v>423030345100</v>
      </c>
      <c r="B240" t="s">
        <v>1719</v>
      </c>
      <c r="C240">
        <v>0</v>
      </c>
      <c r="D240">
        <v>0</v>
      </c>
      <c r="E240">
        <v>0</v>
      </c>
    </row>
    <row r="241" spans="1:5">
      <c r="A241" s="485">
        <v>423030327500</v>
      </c>
      <c r="B241">
        <v>4965436</v>
      </c>
      <c r="C241">
        <v>2071.5764999999997</v>
      </c>
      <c r="D241">
        <v>3008.7338</v>
      </c>
      <c r="E241">
        <v>5080.3102999999992</v>
      </c>
    </row>
    <row r="242" spans="1:5">
      <c r="A242" s="485">
        <v>423030345300</v>
      </c>
      <c r="B242">
        <v>4211149</v>
      </c>
      <c r="C242">
        <v>1619.8335</v>
      </c>
      <c r="D242">
        <v>1148.9054999999998</v>
      </c>
      <c r="E242">
        <v>2768.7389999999996</v>
      </c>
    </row>
    <row r="243" spans="1:5">
      <c r="A243" s="485">
        <v>423030182700</v>
      </c>
      <c r="B243" t="s">
        <v>1720</v>
      </c>
      <c r="C243">
        <v>45.92</v>
      </c>
      <c r="D243">
        <v>8.7360000000000007</v>
      </c>
      <c r="E243">
        <v>54.656000000000006</v>
      </c>
    </row>
    <row r="244" spans="1:5">
      <c r="A244" s="485">
        <v>423031078400</v>
      </c>
      <c r="B244" t="s">
        <v>1721</v>
      </c>
      <c r="C244">
        <v>0</v>
      </c>
      <c r="D244">
        <v>0</v>
      </c>
      <c r="E244">
        <v>0</v>
      </c>
    </row>
    <row r="245" spans="1:5">
      <c r="A245" s="485">
        <v>423030182900</v>
      </c>
      <c r="B245" t="s">
        <v>1722</v>
      </c>
      <c r="C245">
        <v>0</v>
      </c>
      <c r="D245">
        <v>227.13950000000003</v>
      </c>
      <c r="E245">
        <v>227.13950000000003</v>
      </c>
    </row>
    <row r="246" spans="1:5">
      <c r="A246" s="485">
        <v>423030345400</v>
      </c>
      <c r="B246" t="s">
        <v>1723</v>
      </c>
      <c r="C246">
        <v>2826.1219000000006</v>
      </c>
      <c r="D246">
        <v>137.61930000000001</v>
      </c>
      <c r="E246">
        <v>2963.7412000000004</v>
      </c>
    </row>
    <row r="247" spans="1:5">
      <c r="A247" s="485">
        <v>423030345500</v>
      </c>
      <c r="B247" t="s">
        <v>1724</v>
      </c>
      <c r="C247">
        <v>20.693000000000001</v>
      </c>
      <c r="D247">
        <v>2.1635</v>
      </c>
      <c r="E247">
        <v>22.8565</v>
      </c>
    </row>
    <row r="248" spans="1:5">
      <c r="A248" s="485">
        <v>423030346800</v>
      </c>
      <c r="B248" t="s">
        <v>1725</v>
      </c>
      <c r="C248">
        <v>1252.4567</v>
      </c>
      <c r="D248">
        <v>1161.2025000000001</v>
      </c>
      <c r="E248">
        <v>2413.6592000000001</v>
      </c>
    </row>
    <row r="249" spans="1:5">
      <c r="A249" s="485">
        <v>423030347500</v>
      </c>
      <c r="B249" t="s">
        <v>1726</v>
      </c>
      <c r="C249">
        <v>7.4422999999999986</v>
      </c>
      <c r="D249">
        <v>2.3757999999999999</v>
      </c>
      <c r="E249">
        <v>9.8180999999999976</v>
      </c>
    </row>
    <row r="250" spans="1:5">
      <c r="A250" s="485">
        <v>423030348600</v>
      </c>
      <c r="B250" t="s">
        <v>1727</v>
      </c>
      <c r="C250">
        <v>985.24989999999991</v>
      </c>
      <c r="D250">
        <v>97.342700000000008</v>
      </c>
      <c r="E250">
        <v>1082.5925999999999</v>
      </c>
    </row>
    <row r="251" spans="1:5">
      <c r="A251" s="485">
        <v>423030183300</v>
      </c>
      <c r="B251" t="s">
        <v>1728</v>
      </c>
      <c r="C251">
        <v>0</v>
      </c>
      <c r="D251">
        <v>0</v>
      </c>
      <c r="E251">
        <v>0</v>
      </c>
    </row>
    <row r="252" spans="1:5">
      <c r="A252" s="485">
        <v>423030183500</v>
      </c>
      <c r="B252" t="s">
        <v>1729</v>
      </c>
      <c r="C252">
        <v>0</v>
      </c>
      <c r="D252">
        <v>0</v>
      </c>
      <c r="E252">
        <v>0</v>
      </c>
    </row>
    <row r="253" spans="1:5">
      <c r="A253" s="485">
        <v>423030664900</v>
      </c>
      <c r="B253" t="s">
        <v>1730</v>
      </c>
      <c r="C253">
        <v>0</v>
      </c>
      <c r="D253">
        <v>0</v>
      </c>
      <c r="E253">
        <v>0</v>
      </c>
    </row>
    <row r="254" spans="1:5">
      <c r="A254" s="485">
        <v>423031294600</v>
      </c>
      <c r="B254" t="s">
        <v>1731</v>
      </c>
      <c r="C254">
        <v>0.72</v>
      </c>
      <c r="D254">
        <v>4.670799999999999</v>
      </c>
      <c r="E254">
        <v>5.3907999999999987</v>
      </c>
    </row>
    <row r="255" spans="1:5">
      <c r="A255" s="485">
        <v>423031294600</v>
      </c>
      <c r="B255" t="s">
        <v>1732</v>
      </c>
      <c r="C255">
        <v>0</v>
      </c>
      <c r="D255">
        <v>0</v>
      </c>
      <c r="E255">
        <v>0</v>
      </c>
    </row>
    <row r="256" spans="1:5">
      <c r="A256" s="485">
        <v>423030185200</v>
      </c>
      <c r="B256" t="s">
        <v>1733</v>
      </c>
      <c r="C256">
        <v>16.0001</v>
      </c>
      <c r="D256">
        <v>21.555800000000001</v>
      </c>
      <c r="E256">
        <v>37.555900000000001</v>
      </c>
    </row>
    <row r="257" spans="1:5">
      <c r="A257" s="485">
        <v>423030183800</v>
      </c>
      <c r="B257" t="s">
        <v>1734</v>
      </c>
      <c r="C257">
        <v>0</v>
      </c>
      <c r="D257">
        <v>0</v>
      </c>
      <c r="E257">
        <v>0</v>
      </c>
    </row>
    <row r="258" spans="1:5">
      <c r="A258" s="485">
        <v>423031088800</v>
      </c>
      <c r="B258" t="s">
        <v>1735</v>
      </c>
      <c r="C258">
        <v>0</v>
      </c>
      <c r="D258">
        <v>0</v>
      </c>
      <c r="E258">
        <v>0</v>
      </c>
    </row>
    <row r="259" spans="1:5">
      <c r="A259" s="485">
        <v>423031088800</v>
      </c>
      <c r="B259" t="s">
        <v>1736</v>
      </c>
      <c r="C259">
        <v>0</v>
      </c>
      <c r="D259">
        <v>0</v>
      </c>
      <c r="E259">
        <v>0</v>
      </c>
    </row>
    <row r="260" spans="1:5">
      <c r="A260" s="485">
        <v>423030346000</v>
      </c>
      <c r="B260">
        <v>8209</v>
      </c>
      <c r="C260">
        <v>217.12</v>
      </c>
      <c r="D260">
        <v>0.40200000000000002</v>
      </c>
      <c r="E260">
        <v>217.52199999999999</v>
      </c>
    </row>
    <row r="261" spans="1:5">
      <c r="A261" s="485">
        <v>423030346500</v>
      </c>
      <c r="B261" t="s">
        <v>1737</v>
      </c>
      <c r="C261">
        <v>588.08510000000001</v>
      </c>
      <c r="D261">
        <v>1082.9803999999999</v>
      </c>
      <c r="E261">
        <v>1671.0654999999999</v>
      </c>
    </row>
    <row r="262" spans="1:5">
      <c r="A262" s="485">
        <v>423030347200</v>
      </c>
      <c r="B262" t="s">
        <v>1738</v>
      </c>
      <c r="C262">
        <v>65.124899999999997</v>
      </c>
      <c r="D262">
        <v>0.57339999999999991</v>
      </c>
      <c r="E262">
        <v>65.698300000000003</v>
      </c>
    </row>
    <row r="263" spans="1:5">
      <c r="A263" s="485">
        <v>423030347400</v>
      </c>
      <c r="B263" t="s">
        <v>1739</v>
      </c>
      <c r="C263">
        <v>0</v>
      </c>
      <c r="D263">
        <v>0</v>
      </c>
      <c r="E263">
        <v>0</v>
      </c>
    </row>
    <row r="264" spans="1:5">
      <c r="A264" s="485">
        <v>423030347400</v>
      </c>
      <c r="B264" t="s">
        <v>1740</v>
      </c>
      <c r="C264">
        <v>2.6774</v>
      </c>
      <c r="D264">
        <v>1.802</v>
      </c>
      <c r="E264">
        <v>4.4794</v>
      </c>
    </row>
    <row r="265" spans="1:5">
      <c r="A265" s="485">
        <v>423030185100</v>
      </c>
      <c r="B265" t="s">
        <v>1741</v>
      </c>
      <c r="C265">
        <v>0</v>
      </c>
      <c r="D265">
        <v>0</v>
      </c>
      <c r="E265">
        <v>0</v>
      </c>
    </row>
    <row r="266" spans="1:5">
      <c r="A266" s="485">
        <v>423031087100</v>
      </c>
      <c r="B266" t="s">
        <v>1742</v>
      </c>
      <c r="C266">
        <v>0</v>
      </c>
      <c r="D266">
        <v>0</v>
      </c>
      <c r="E266">
        <v>0</v>
      </c>
    </row>
    <row r="267" spans="1:5">
      <c r="A267" s="485">
        <v>423030348000</v>
      </c>
      <c r="B267" t="s">
        <v>1743</v>
      </c>
      <c r="C267">
        <v>54.887599999999992</v>
      </c>
      <c r="D267">
        <v>29.821100000000001</v>
      </c>
      <c r="E267">
        <v>84.708699999999993</v>
      </c>
    </row>
    <row r="268" spans="1:5">
      <c r="A268" s="485">
        <v>423030347800</v>
      </c>
      <c r="B268" t="s">
        <v>1744</v>
      </c>
      <c r="C268">
        <v>0</v>
      </c>
      <c r="D268">
        <v>1.0027999999999999</v>
      </c>
      <c r="E268">
        <v>1.0027999999999999</v>
      </c>
    </row>
    <row r="269" spans="1:5">
      <c r="A269" s="485">
        <v>423030185500</v>
      </c>
      <c r="B269" t="s">
        <v>1745</v>
      </c>
      <c r="C269">
        <v>0</v>
      </c>
      <c r="D269">
        <v>0</v>
      </c>
      <c r="E269">
        <v>0</v>
      </c>
    </row>
    <row r="270" spans="1:5">
      <c r="A270" s="485">
        <v>423030190500</v>
      </c>
      <c r="B270" t="s">
        <v>1746</v>
      </c>
      <c r="C270">
        <v>0</v>
      </c>
      <c r="D270">
        <v>0</v>
      </c>
      <c r="E270">
        <v>0</v>
      </c>
    </row>
    <row r="271" spans="1:5">
      <c r="A271" s="485">
        <v>423030348300</v>
      </c>
      <c r="B271" t="s">
        <v>1747</v>
      </c>
      <c r="C271">
        <v>98.600000000000009</v>
      </c>
      <c r="D271">
        <v>49.101799999999997</v>
      </c>
      <c r="E271">
        <v>147.70179999999999</v>
      </c>
    </row>
    <row r="272" spans="1:5">
      <c r="A272" s="485">
        <v>423030389500</v>
      </c>
      <c r="B272" t="s">
        <v>1748</v>
      </c>
      <c r="C272">
        <v>0</v>
      </c>
      <c r="D272">
        <v>0</v>
      </c>
      <c r="E272">
        <v>0</v>
      </c>
    </row>
    <row r="273" spans="1:5">
      <c r="A273" s="485">
        <v>423030348500</v>
      </c>
      <c r="B273" t="s">
        <v>1749</v>
      </c>
      <c r="C273">
        <v>0</v>
      </c>
      <c r="D273">
        <v>218.85400000000001</v>
      </c>
      <c r="E273">
        <v>218.85400000000001</v>
      </c>
    </row>
    <row r="274" spans="1:5">
      <c r="A274" s="485">
        <v>423030349000</v>
      </c>
      <c r="B274" t="s">
        <v>1750</v>
      </c>
      <c r="C274">
        <v>68.285700000000006</v>
      </c>
      <c r="D274">
        <v>8.3520000000000003</v>
      </c>
      <c r="E274">
        <v>76.637700000000009</v>
      </c>
    </row>
    <row r="275" spans="1:5">
      <c r="A275" s="485">
        <v>423030190600</v>
      </c>
      <c r="B275" t="s">
        <v>1751</v>
      </c>
      <c r="C275">
        <v>0</v>
      </c>
      <c r="D275">
        <v>0</v>
      </c>
      <c r="E275">
        <v>0</v>
      </c>
    </row>
    <row r="276" spans="1:5">
      <c r="A276" s="485">
        <v>423030349200</v>
      </c>
      <c r="B276" t="s">
        <v>1752</v>
      </c>
      <c r="C276">
        <v>140.44669999999996</v>
      </c>
      <c r="D276">
        <v>2.02</v>
      </c>
      <c r="E276">
        <v>142.46669999999997</v>
      </c>
    </row>
    <row r="277" spans="1:5">
      <c r="A277" s="485">
        <v>423030349200</v>
      </c>
      <c r="B277" t="s">
        <v>1753</v>
      </c>
      <c r="C277">
        <v>0</v>
      </c>
      <c r="D277">
        <v>0</v>
      </c>
      <c r="E277">
        <v>0</v>
      </c>
    </row>
    <row r="278" spans="1:5">
      <c r="A278" s="485">
        <v>423030349200</v>
      </c>
      <c r="B278" t="s">
        <v>1754</v>
      </c>
      <c r="C278">
        <v>0</v>
      </c>
      <c r="D278">
        <v>0</v>
      </c>
      <c r="E278">
        <v>0</v>
      </c>
    </row>
    <row r="279" spans="1:5">
      <c r="A279" s="485">
        <v>423030191300</v>
      </c>
      <c r="B279" t="s">
        <v>1755</v>
      </c>
      <c r="C279">
        <v>107.09690000000001</v>
      </c>
      <c r="D279">
        <v>8.2615999999999996</v>
      </c>
      <c r="E279">
        <v>115.35850000000001</v>
      </c>
    </row>
    <row r="280" spans="1:5">
      <c r="A280" s="485">
        <v>423030195600</v>
      </c>
      <c r="B280">
        <v>122110</v>
      </c>
      <c r="C280">
        <v>0</v>
      </c>
      <c r="D280">
        <v>0</v>
      </c>
      <c r="E280">
        <v>0</v>
      </c>
    </row>
    <row r="281" spans="1:5">
      <c r="A281" s="485">
        <v>423030195600</v>
      </c>
      <c r="B281" t="s">
        <v>1756</v>
      </c>
      <c r="C281">
        <v>34.9161</v>
      </c>
      <c r="D281">
        <v>0</v>
      </c>
      <c r="E281">
        <v>34.9161</v>
      </c>
    </row>
    <row r="282" spans="1:5">
      <c r="A282" s="485">
        <v>423030350000</v>
      </c>
      <c r="B282" t="s">
        <v>1757</v>
      </c>
      <c r="C282">
        <v>12.2872</v>
      </c>
      <c r="D282">
        <v>2.867</v>
      </c>
      <c r="E282">
        <v>15.154199999999999</v>
      </c>
    </row>
    <row r="283" spans="1:5">
      <c r="A283" s="485">
        <v>423030192900</v>
      </c>
      <c r="B283" t="s">
        <v>1758</v>
      </c>
      <c r="C283">
        <v>0</v>
      </c>
      <c r="D283">
        <v>0</v>
      </c>
      <c r="E283">
        <v>0</v>
      </c>
    </row>
    <row r="284" spans="1:5">
      <c r="A284" s="485">
        <v>423030194500</v>
      </c>
      <c r="B284" t="s">
        <v>1759</v>
      </c>
      <c r="C284">
        <v>0</v>
      </c>
      <c r="D284">
        <v>0</v>
      </c>
      <c r="E284">
        <v>0</v>
      </c>
    </row>
    <row r="285" spans="1:5">
      <c r="A285" s="485">
        <v>423030351800</v>
      </c>
      <c r="B285" t="s">
        <v>1760</v>
      </c>
      <c r="C285">
        <v>4.9999000000000002</v>
      </c>
      <c r="D285">
        <v>18.599599999999999</v>
      </c>
      <c r="E285">
        <v>23.599499999999999</v>
      </c>
    </row>
    <row r="286" spans="1:5">
      <c r="A286" s="485">
        <v>423030351600</v>
      </c>
      <c r="B286" t="s">
        <v>1761</v>
      </c>
      <c r="C286">
        <v>24.000000000000004</v>
      </c>
      <c r="D286">
        <v>18.264500000000002</v>
      </c>
      <c r="E286">
        <v>42.264500000000005</v>
      </c>
    </row>
    <row r="287" spans="1:5">
      <c r="A287" s="485">
        <v>423030352900</v>
      </c>
      <c r="B287" t="s">
        <v>1762</v>
      </c>
      <c r="C287">
        <v>439.52790000000005</v>
      </c>
      <c r="D287">
        <v>186.47040000000001</v>
      </c>
      <c r="E287">
        <v>625.99830000000009</v>
      </c>
    </row>
    <row r="288" spans="1:5">
      <c r="A288" s="485">
        <v>423030352900</v>
      </c>
      <c r="B288" t="s">
        <v>1763</v>
      </c>
      <c r="C288">
        <v>0</v>
      </c>
      <c r="D288">
        <v>730</v>
      </c>
      <c r="E288">
        <v>730</v>
      </c>
    </row>
    <row r="289" spans="1:5">
      <c r="A289" s="485">
        <v>423030349300</v>
      </c>
      <c r="B289" t="s">
        <v>1764</v>
      </c>
      <c r="C289">
        <v>17.887</v>
      </c>
      <c r="D289">
        <v>6.8130000000000006</v>
      </c>
      <c r="E289">
        <v>24.700000000000003</v>
      </c>
    </row>
    <row r="290" spans="1:5">
      <c r="A290" s="485">
        <v>423030349800</v>
      </c>
      <c r="B290">
        <v>20056636</v>
      </c>
      <c r="C290">
        <v>190</v>
      </c>
      <c r="D290">
        <v>401.03280000000001</v>
      </c>
      <c r="E290">
        <v>591.03279999999995</v>
      </c>
    </row>
    <row r="291" spans="1:5">
      <c r="A291" s="485">
        <v>423030349800</v>
      </c>
      <c r="B291" t="s">
        <v>1765</v>
      </c>
      <c r="C291">
        <v>148.9999</v>
      </c>
      <c r="D291">
        <v>114.99160000000001</v>
      </c>
      <c r="E291">
        <v>263.99149999999997</v>
      </c>
    </row>
    <row r="292" spans="1:5">
      <c r="A292" s="485">
        <v>423030350700</v>
      </c>
      <c r="B292" t="s">
        <v>1766</v>
      </c>
      <c r="C292">
        <v>0</v>
      </c>
      <c r="D292">
        <v>0</v>
      </c>
      <c r="E292">
        <v>0</v>
      </c>
    </row>
    <row r="293" spans="1:5">
      <c r="A293" s="485">
        <v>423030350800</v>
      </c>
      <c r="B293" t="s">
        <v>1767</v>
      </c>
      <c r="C293">
        <v>0</v>
      </c>
      <c r="D293">
        <v>0</v>
      </c>
      <c r="E293">
        <v>0</v>
      </c>
    </row>
    <row r="294" spans="1:5">
      <c r="A294" s="485">
        <v>423030350800</v>
      </c>
      <c r="B294" t="s">
        <v>1768</v>
      </c>
      <c r="C294">
        <v>0</v>
      </c>
      <c r="D294">
        <v>0</v>
      </c>
      <c r="E294">
        <v>0</v>
      </c>
    </row>
    <row r="295" spans="1:5">
      <c r="A295" s="485">
        <v>423030350800</v>
      </c>
      <c r="B295" t="s">
        <v>1769</v>
      </c>
      <c r="C295">
        <v>251.34900000000002</v>
      </c>
      <c r="D295">
        <v>109.63549999999999</v>
      </c>
      <c r="E295">
        <v>360.98450000000003</v>
      </c>
    </row>
    <row r="296" spans="1:5">
      <c r="A296" s="485">
        <v>423030200800</v>
      </c>
      <c r="B296" t="s">
        <v>1770</v>
      </c>
      <c r="C296">
        <v>0</v>
      </c>
      <c r="D296">
        <v>0</v>
      </c>
      <c r="E296">
        <v>0</v>
      </c>
    </row>
    <row r="297" spans="1:5">
      <c r="A297" s="485">
        <v>423030203500</v>
      </c>
      <c r="B297" t="s">
        <v>1771</v>
      </c>
      <c r="C297">
        <v>0</v>
      </c>
      <c r="D297">
        <v>84.898999999999987</v>
      </c>
      <c r="E297">
        <v>84.898999999999987</v>
      </c>
    </row>
    <row r="298" spans="1:5">
      <c r="A298" s="485">
        <v>423030351100</v>
      </c>
      <c r="B298" t="s">
        <v>1772</v>
      </c>
      <c r="C298">
        <v>850.75530000000015</v>
      </c>
      <c r="D298">
        <v>510.06790000000001</v>
      </c>
      <c r="E298">
        <v>1360.8232000000003</v>
      </c>
    </row>
    <row r="299" spans="1:5">
      <c r="A299" s="485">
        <v>423030352200</v>
      </c>
      <c r="B299" t="s">
        <v>1773</v>
      </c>
      <c r="C299">
        <v>0</v>
      </c>
      <c r="D299">
        <v>0</v>
      </c>
      <c r="E299">
        <v>0</v>
      </c>
    </row>
    <row r="300" spans="1:5">
      <c r="A300" s="485">
        <v>423030352200</v>
      </c>
      <c r="B300" t="s">
        <v>1774</v>
      </c>
      <c r="C300">
        <v>201.66659999999999</v>
      </c>
      <c r="D300">
        <v>849.86770000000013</v>
      </c>
      <c r="E300">
        <v>1051.5343</v>
      </c>
    </row>
    <row r="301" spans="1:5">
      <c r="A301" s="485">
        <v>423030353500</v>
      </c>
      <c r="B301" t="s">
        <v>1775</v>
      </c>
      <c r="C301">
        <v>1065.7908</v>
      </c>
      <c r="D301">
        <v>391.28480000000002</v>
      </c>
      <c r="E301">
        <v>1457.0756000000001</v>
      </c>
    </row>
    <row r="302" spans="1:5">
      <c r="A302" s="485">
        <v>423030243300</v>
      </c>
      <c r="B302" t="s">
        <v>1776</v>
      </c>
      <c r="C302">
        <v>0</v>
      </c>
      <c r="D302">
        <v>0</v>
      </c>
      <c r="E302">
        <v>0</v>
      </c>
    </row>
    <row r="303" spans="1:5">
      <c r="A303" s="485">
        <v>423030243300</v>
      </c>
      <c r="B303" t="s">
        <v>1777</v>
      </c>
      <c r="C303">
        <v>0</v>
      </c>
      <c r="D303">
        <v>0</v>
      </c>
      <c r="E303">
        <v>0</v>
      </c>
    </row>
    <row r="304" spans="1:5">
      <c r="A304" s="485">
        <v>423030352000</v>
      </c>
      <c r="B304" t="s">
        <v>1778</v>
      </c>
      <c r="C304">
        <v>115.06529999999999</v>
      </c>
      <c r="D304">
        <v>5.0250000000000004</v>
      </c>
      <c r="E304">
        <v>120.0903</v>
      </c>
    </row>
    <row r="305" spans="1:5">
      <c r="A305" s="485">
        <v>423031412500</v>
      </c>
      <c r="B305" t="s">
        <v>1779</v>
      </c>
      <c r="C305">
        <v>0</v>
      </c>
      <c r="D305">
        <v>0</v>
      </c>
      <c r="E305">
        <v>0</v>
      </c>
    </row>
    <row r="306" spans="1:5">
      <c r="A306" s="485">
        <v>423031412500</v>
      </c>
      <c r="B306" t="s">
        <v>1780</v>
      </c>
      <c r="C306">
        <v>0</v>
      </c>
      <c r="D306">
        <v>0</v>
      </c>
      <c r="E306">
        <v>0</v>
      </c>
    </row>
    <row r="307" spans="1:5">
      <c r="A307" s="485">
        <v>423030353000</v>
      </c>
      <c r="B307" t="s">
        <v>1781</v>
      </c>
      <c r="C307">
        <v>3.9998999999999998</v>
      </c>
      <c r="D307">
        <v>1130</v>
      </c>
      <c r="E307">
        <v>1133.9999</v>
      </c>
    </row>
    <row r="308" spans="1:5">
      <c r="A308" s="485">
        <v>423030353000</v>
      </c>
      <c r="B308" t="s">
        <v>1782</v>
      </c>
      <c r="C308">
        <v>0</v>
      </c>
      <c r="D308">
        <v>0</v>
      </c>
      <c r="E308">
        <v>0</v>
      </c>
    </row>
    <row r="309" spans="1:5">
      <c r="A309" s="485">
        <v>423030235700</v>
      </c>
      <c r="B309" t="s">
        <v>1783</v>
      </c>
      <c r="C309">
        <v>0</v>
      </c>
      <c r="D309">
        <v>0</v>
      </c>
      <c r="E309">
        <v>0</v>
      </c>
    </row>
    <row r="310" spans="1:5">
      <c r="A310" s="485">
        <v>423030236800</v>
      </c>
      <c r="B310" t="s">
        <v>1784</v>
      </c>
      <c r="C310">
        <v>21.7273</v>
      </c>
      <c r="D310">
        <v>4.5750000000000002</v>
      </c>
      <c r="E310">
        <v>26.302299999999999</v>
      </c>
    </row>
    <row r="311" spans="1:5">
      <c r="A311" s="485">
        <v>423030205000</v>
      </c>
      <c r="B311" t="s">
        <v>1785</v>
      </c>
      <c r="C311">
        <v>0</v>
      </c>
      <c r="D311">
        <v>0.98549999999999993</v>
      </c>
      <c r="E311">
        <v>0.98549999999999993</v>
      </c>
    </row>
    <row r="312" spans="1:5">
      <c r="A312" s="485">
        <v>423030664300</v>
      </c>
      <c r="B312" t="s">
        <v>1786</v>
      </c>
      <c r="C312">
        <v>0</v>
      </c>
      <c r="D312">
        <v>781.24599999999998</v>
      </c>
      <c r="E312">
        <v>781.24599999999998</v>
      </c>
    </row>
    <row r="313" spans="1:5">
      <c r="A313" s="485">
        <v>423030354400</v>
      </c>
      <c r="B313" t="s">
        <v>1787</v>
      </c>
      <c r="C313">
        <v>964.0141000000001</v>
      </c>
      <c r="D313">
        <v>1578.1168</v>
      </c>
      <c r="E313">
        <v>2542.1309000000001</v>
      </c>
    </row>
    <row r="314" spans="1:5">
      <c r="A314" s="485">
        <v>423030354400</v>
      </c>
      <c r="B314" t="s">
        <v>1788</v>
      </c>
      <c r="C314">
        <v>0</v>
      </c>
      <c r="D314">
        <v>0</v>
      </c>
      <c r="E314">
        <v>0</v>
      </c>
    </row>
    <row r="315" spans="1:5">
      <c r="A315" s="485">
        <v>423030354800</v>
      </c>
      <c r="B315" t="s">
        <v>1789</v>
      </c>
      <c r="C315">
        <v>0</v>
      </c>
      <c r="D315">
        <v>166.6225</v>
      </c>
      <c r="E315">
        <v>166.6225</v>
      </c>
    </row>
    <row r="316" spans="1:5">
      <c r="A316" s="485">
        <v>423030354800</v>
      </c>
      <c r="B316" t="s">
        <v>1790</v>
      </c>
      <c r="C316">
        <v>61.383699999999983</v>
      </c>
      <c r="D316">
        <v>1.3986000000000001</v>
      </c>
      <c r="E316">
        <v>62.782299999999985</v>
      </c>
    </row>
    <row r="317" spans="1:5">
      <c r="A317" s="485">
        <v>423030663900</v>
      </c>
      <c r="B317" t="s">
        <v>1791</v>
      </c>
      <c r="C317">
        <v>0</v>
      </c>
      <c r="D317">
        <v>0</v>
      </c>
      <c r="E317">
        <v>0</v>
      </c>
    </row>
    <row r="318" spans="1:5">
      <c r="A318" s="485">
        <v>423031088100</v>
      </c>
      <c r="B318" t="s">
        <v>1792</v>
      </c>
      <c r="C318">
        <v>0</v>
      </c>
      <c r="D318">
        <v>0</v>
      </c>
      <c r="E318">
        <v>0</v>
      </c>
    </row>
    <row r="319" spans="1:5">
      <c r="A319" s="485">
        <v>423030211900</v>
      </c>
      <c r="B319" t="s">
        <v>1793</v>
      </c>
      <c r="C319">
        <v>18.7744</v>
      </c>
      <c r="D319">
        <v>5.2543999999999995</v>
      </c>
      <c r="E319">
        <v>24.0288</v>
      </c>
    </row>
    <row r="320" spans="1:5">
      <c r="A320" s="485">
        <v>423030211900</v>
      </c>
      <c r="B320" t="s">
        <v>1794</v>
      </c>
      <c r="C320">
        <v>0</v>
      </c>
      <c r="D320">
        <v>0</v>
      </c>
      <c r="E320">
        <v>0</v>
      </c>
    </row>
    <row r="321" spans="1:5">
      <c r="A321" s="485">
        <v>423030212000</v>
      </c>
      <c r="B321" t="s">
        <v>1795</v>
      </c>
      <c r="C321">
        <v>0</v>
      </c>
      <c r="D321">
        <v>0</v>
      </c>
      <c r="E321">
        <v>0</v>
      </c>
    </row>
    <row r="322" spans="1:5">
      <c r="A322" s="485">
        <v>423030356000</v>
      </c>
      <c r="B322" t="s">
        <v>1796</v>
      </c>
      <c r="C322">
        <v>0</v>
      </c>
      <c r="D322">
        <v>0</v>
      </c>
      <c r="E322">
        <v>0</v>
      </c>
    </row>
    <row r="323" spans="1:5">
      <c r="A323" s="485">
        <v>423030356000</v>
      </c>
      <c r="B323" t="s">
        <v>1797</v>
      </c>
      <c r="C323">
        <v>251.4847</v>
      </c>
      <c r="D323">
        <v>198.40559999999999</v>
      </c>
      <c r="E323">
        <v>449.89030000000002</v>
      </c>
    </row>
    <row r="324" spans="1:5">
      <c r="A324" s="485">
        <v>423030304100</v>
      </c>
      <c r="B324" t="s">
        <v>1798</v>
      </c>
      <c r="C324">
        <v>20248.177900000002</v>
      </c>
      <c r="D324">
        <v>5625.8679000000002</v>
      </c>
      <c r="E324">
        <v>25874.045800000004</v>
      </c>
    </row>
    <row r="325" spans="1:5">
      <c r="A325" s="485">
        <v>423030216100</v>
      </c>
      <c r="B325" t="s">
        <v>1799</v>
      </c>
      <c r="C325">
        <v>1.9999</v>
      </c>
      <c r="D325">
        <v>0.38450000000000001</v>
      </c>
      <c r="E325">
        <v>2.3843999999999999</v>
      </c>
    </row>
    <row r="326" spans="1:5">
      <c r="A326" s="485">
        <v>423030353600</v>
      </c>
      <c r="B326" t="s">
        <v>1800</v>
      </c>
      <c r="C326">
        <v>0</v>
      </c>
      <c r="D326">
        <v>0</v>
      </c>
      <c r="E326">
        <v>0</v>
      </c>
    </row>
    <row r="327" spans="1:5">
      <c r="A327" s="485">
        <v>423030353600</v>
      </c>
      <c r="B327" t="s">
        <v>1801</v>
      </c>
      <c r="C327">
        <v>338.48860000000002</v>
      </c>
      <c r="D327">
        <v>39.634700000000002</v>
      </c>
      <c r="E327">
        <v>378.12330000000003</v>
      </c>
    </row>
    <row r="328" spans="1:5">
      <c r="A328" s="485">
        <v>423031312100</v>
      </c>
      <c r="B328" t="s">
        <v>1802</v>
      </c>
      <c r="C328">
        <v>0</v>
      </c>
      <c r="D328">
        <v>0</v>
      </c>
      <c r="E328">
        <v>0</v>
      </c>
    </row>
    <row r="329" spans="1:5">
      <c r="A329" s="485">
        <v>423031312100</v>
      </c>
      <c r="B329" t="s">
        <v>1803</v>
      </c>
      <c r="C329">
        <v>0</v>
      </c>
      <c r="D329">
        <v>0</v>
      </c>
      <c r="E329">
        <v>0</v>
      </c>
    </row>
    <row r="330" spans="1:5">
      <c r="A330" s="485">
        <v>423030217400</v>
      </c>
      <c r="B330" t="s">
        <v>1804</v>
      </c>
      <c r="C330">
        <v>42.882900000000006</v>
      </c>
      <c r="D330">
        <v>77.61</v>
      </c>
      <c r="E330">
        <v>120.49290000000001</v>
      </c>
    </row>
    <row r="331" spans="1:5">
      <c r="A331" s="485">
        <v>423030219900</v>
      </c>
      <c r="B331" t="s">
        <v>1805</v>
      </c>
      <c r="C331">
        <v>0</v>
      </c>
      <c r="D331">
        <v>0</v>
      </c>
      <c r="E331">
        <v>0</v>
      </c>
    </row>
    <row r="332" spans="1:5">
      <c r="A332" s="485">
        <v>423030477300</v>
      </c>
      <c r="B332" t="s">
        <v>1806</v>
      </c>
      <c r="C332">
        <v>0</v>
      </c>
      <c r="D332">
        <v>0</v>
      </c>
      <c r="E332">
        <v>0</v>
      </c>
    </row>
    <row r="333" spans="1:5">
      <c r="A333" s="485">
        <v>423030220200</v>
      </c>
      <c r="B333" t="s">
        <v>1807</v>
      </c>
      <c r="C333">
        <v>0</v>
      </c>
      <c r="D333">
        <v>0</v>
      </c>
      <c r="E333">
        <v>0</v>
      </c>
    </row>
    <row r="334" spans="1:5">
      <c r="A334" s="485">
        <v>423030355000</v>
      </c>
      <c r="B334" t="s">
        <v>1808</v>
      </c>
      <c r="C334">
        <v>0</v>
      </c>
      <c r="D334">
        <v>0</v>
      </c>
      <c r="E334">
        <v>0</v>
      </c>
    </row>
    <row r="335" spans="1:5">
      <c r="A335" s="485">
        <v>423030355000</v>
      </c>
      <c r="B335" t="s">
        <v>1809</v>
      </c>
      <c r="C335">
        <v>0</v>
      </c>
      <c r="D335">
        <v>0</v>
      </c>
      <c r="E335">
        <v>0</v>
      </c>
    </row>
    <row r="336" spans="1:5">
      <c r="A336" s="485">
        <v>423030355400</v>
      </c>
      <c r="B336" t="s">
        <v>1810</v>
      </c>
      <c r="C336">
        <v>2.3864999999999998</v>
      </c>
      <c r="D336">
        <v>2.2648000000000001</v>
      </c>
      <c r="E336">
        <v>4.6513</v>
      </c>
    </row>
    <row r="337" spans="1:5">
      <c r="A337" s="485">
        <v>423030355500</v>
      </c>
      <c r="B337" t="s">
        <v>1811</v>
      </c>
      <c r="C337">
        <v>0</v>
      </c>
      <c r="D337">
        <v>0</v>
      </c>
      <c r="E337">
        <v>0</v>
      </c>
    </row>
    <row r="338" spans="1:5">
      <c r="A338" s="485">
        <v>423030355500</v>
      </c>
      <c r="B338" t="s">
        <v>1812</v>
      </c>
      <c r="C338">
        <v>938.04700000000003</v>
      </c>
      <c r="D338">
        <v>574.01879999999994</v>
      </c>
      <c r="E338">
        <v>1512.0657999999999</v>
      </c>
    </row>
    <row r="339" spans="1:5">
      <c r="A339" s="485">
        <v>423030355900</v>
      </c>
      <c r="B339" t="s">
        <v>1813</v>
      </c>
      <c r="C339">
        <v>101.4396</v>
      </c>
      <c r="D339">
        <v>22.47</v>
      </c>
      <c r="E339">
        <v>123.9096</v>
      </c>
    </row>
    <row r="340" spans="1:5">
      <c r="A340" s="485">
        <v>423031162100</v>
      </c>
      <c r="B340" t="s">
        <v>1814</v>
      </c>
      <c r="C340">
        <v>0</v>
      </c>
      <c r="D340">
        <v>0</v>
      </c>
      <c r="E340">
        <v>0</v>
      </c>
    </row>
    <row r="341" spans="1:5">
      <c r="A341" s="485">
        <v>423031076600</v>
      </c>
      <c r="B341" t="s">
        <v>1815</v>
      </c>
      <c r="C341">
        <v>0</v>
      </c>
      <c r="D341">
        <v>0</v>
      </c>
      <c r="E341">
        <v>0</v>
      </c>
    </row>
    <row r="342" spans="1:5">
      <c r="A342" s="485">
        <v>423031076600</v>
      </c>
      <c r="B342" t="s">
        <v>1816</v>
      </c>
      <c r="C342">
        <v>0</v>
      </c>
      <c r="D342">
        <v>3.2616000000000001</v>
      </c>
      <c r="E342">
        <v>3.2616000000000001</v>
      </c>
    </row>
    <row r="343" spans="1:5">
      <c r="A343" s="485">
        <v>423030220900</v>
      </c>
      <c r="B343" t="s">
        <v>1817</v>
      </c>
      <c r="C343">
        <v>0</v>
      </c>
      <c r="D343">
        <v>0</v>
      </c>
      <c r="E343">
        <v>0</v>
      </c>
    </row>
    <row r="344" spans="1:5">
      <c r="A344" s="485">
        <v>423030356300</v>
      </c>
      <c r="B344" t="s">
        <v>1818</v>
      </c>
      <c r="C344">
        <v>671.06730000000005</v>
      </c>
      <c r="D344">
        <v>4.8958000000000004</v>
      </c>
      <c r="E344">
        <v>675.96310000000005</v>
      </c>
    </row>
    <row r="345" spans="1:5">
      <c r="A345" s="485">
        <v>423030356700</v>
      </c>
      <c r="B345" t="s">
        <v>1819</v>
      </c>
      <c r="C345">
        <v>185.27929999999998</v>
      </c>
      <c r="D345">
        <v>11.9377</v>
      </c>
      <c r="E345">
        <v>197.21699999999998</v>
      </c>
    </row>
    <row r="346" spans="1:5">
      <c r="A346" s="485">
        <v>423030220700</v>
      </c>
      <c r="B346" t="s">
        <v>1820</v>
      </c>
      <c r="C346">
        <v>0</v>
      </c>
      <c r="D346">
        <v>0</v>
      </c>
      <c r="E346">
        <v>0</v>
      </c>
    </row>
    <row r="347" spans="1:5">
      <c r="A347" s="485">
        <v>423031122400</v>
      </c>
      <c r="B347" t="s">
        <v>1821</v>
      </c>
      <c r="C347">
        <v>0</v>
      </c>
      <c r="D347">
        <v>0</v>
      </c>
      <c r="E347">
        <v>0</v>
      </c>
    </row>
    <row r="348" spans="1:5">
      <c r="A348" s="485">
        <v>423030357400</v>
      </c>
      <c r="B348" t="s">
        <v>1822</v>
      </c>
      <c r="C348">
        <v>3122.9561000000003</v>
      </c>
      <c r="D348">
        <v>192.61969999999999</v>
      </c>
      <c r="E348">
        <v>3315.5758000000005</v>
      </c>
    </row>
    <row r="349" spans="1:5">
      <c r="A349" s="485">
        <v>423030358000</v>
      </c>
      <c r="B349" t="s">
        <v>1823</v>
      </c>
      <c r="C349">
        <v>5.0000999999999998</v>
      </c>
      <c r="D349">
        <v>1.8902000000000001</v>
      </c>
      <c r="E349">
        <v>6.8902999999999999</v>
      </c>
    </row>
    <row r="350" spans="1:5">
      <c r="A350" s="485">
        <v>423030444500</v>
      </c>
      <c r="B350" t="s">
        <v>1824</v>
      </c>
      <c r="C350">
        <v>0</v>
      </c>
      <c r="D350">
        <v>0</v>
      </c>
      <c r="E350">
        <v>0</v>
      </c>
    </row>
    <row r="351" spans="1:5">
      <c r="A351" s="485">
        <v>423030221300</v>
      </c>
      <c r="B351" t="s">
        <v>1825</v>
      </c>
      <c r="C351">
        <v>0</v>
      </c>
      <c r="D351">
        <v>0</v>
      </c>
      <c r="E351">
        <v>0</v>
      </c>
    </row>
    <row r="352" spans="1:5">
      <c r="A352" s="485">
        <v>423030358400</v>
      </c>
      <c r="B352" t="s">
        <v>1826</v>
      </c>
      <c r="C352">
        <v>231.00000000000003</v>
      </c>
      <c r="D352">
        <v>336.0539</v>
      </c>
      <c r="E352">
        <v>567.0539</v>
      </c>
    </row>
    <row r="353" spans="1:5">
      <c r="A353" s="485">
        <v>423030358400</v>
      </c>
      <c r="B353" t="s">
        <v>1827</v>
      </c>
      <c r="C353">
        <v>308.70000000000005</v>
      </c>
      <c r="D353">
        <v>585.54999999999995</v>
      </c>
      <c r="E353">
        <v>894.25</v>
      </c>
    </row>
    <row r="354" spans="1:5">
      <c r="A354" s="485">
        <v>423030222200</v>
      </c>
      <c r="B354" t="s">
        <v>1828</v>
      </c>
      <c r="C354">
        <v>0</v>
      </c>
      <c r="D354">
        <v>0</v>
      </c>
      <c r="E354">
        <v>0</v>
      </c>
    </row>
    <row r="355" spans="1:5">
      <c r="A355" s="485">
        <v>423030360400</v>
      </c>
      <c r="B355" t="s">
        <v>1829</v>
      </c>
      <c r="C355">
        <v>0</v>
      </c>
      <c r="D355">
        <v>0</v>
      </c>
      <c r="E355">
        <v>0</v>
      </c>
    </row>
    <row r="356" spans="1:5">
      <c r="A356" s="485">
        <v>423030221400</v>
      </c>
      <c r="B356" t="s">
        <v>1830</v>
      </c>
      <c r="C356">
        <v>0</v>
      </c>
      <c r="D356">
        <v>0</v>
      </c>
      <c r="E356">
        <v>0</v>
      </c>
    </row>
    <row r="357" spans="1:5">
      <c r="A357" s="485">
        <v>423030392400</v>
      </c>
      <c r="B357" t="s">
        <v>1831</v>
      </c>
      <c r="C357">
        <v>0</v>
      </c>
      <c r="D357">
        <v>0</v>
      </c>
      <c r="E357">
        <v>0</v>
      </c>
    </row>
    <row r="358" spans="1:5">
      <c r="A358" s="485">
        <v>423030221900</v>
      </c>
      <c r="B358" t="s">
        <v>1832</v>
      </c>
      <c r="C358">
        <v>0</v>
      </c>
      <c r="D358">
        <v>0</v>
      </c>
      <c r="E358">
        <v>0</v>
      </c>
    </row>
    <row r="359" spans="1:5">
      <c r="A359" s="485">
        <v>423030392500</v>
      </c>
      <c r="B359" t="s">
        <v>1833</v>
      </c>
      <c r="C359">
        <v>0</v>
      </c>
      <c r="D359">
        <v>0</v>
      </c>
      <c r="E359">
        <v>0</v>
      </c>
    </row>
    <row r="360" spans="1:5">
      <c r="A360" s="485">
        <v>423030359300</v>
      </c>
      <c r="B360">
        <v>4363466</v>
      </c>
      <c r="C360">
        <v>229.90240000000003</v>
      </c>
      <c r="D360">
        <v>19.781399999999998</v>
      </c>
      <c r="E360">
        <v>249.68380000000002</v>
      </c>
    </row>
    <row r="361" spans="1:5">
      <c r="A361" s="485">
        <v>423031103900</v>
      </c>
      <c r="B361" t="s">
        <v>1834</v>
      </c>
      <c r="C361">
        <v>29.581399999999999</v>
      </c>
      <c r="D361">
        <v>416.00250000000005</v>
      </c>
      <c r="E361">
        <v>445.58390000000003</v>
      </c>
    </row>
    <row r="362" spans="1:5">
      <c r="A362" s="485">
        <v>423030359700</v>
      </c>
      <c r="B362" t="s">
        <v>1835</v>
      </c>
      <c r="C362">
        <v>0</v>
      </c>
      <c r="D362">
        <v>0</v>
      </c>
      <c r="E362">
        <v>0</v>
      </c>
    </row>
    <row r="363" spans="1:5">
      <c r="A363" s="485">
        <v>423030359700</v>
      </c>
      <c r="B363" t="s">
        <v>1836</v>
      </c>
      <c r="C363">
        <v>0</v>
      </c>
      <c r="D363">
        <v>0</v>
      </c>
      <c r="E363">
        <v>0</v>
      </c>
    </row>
    <row r="364" spans="1:5">
      <c r="A364" s="485">
        <v>423030359700</v>
      </c>
      <c r="B364" t="s">
        <v>1837</v>
      </c>
      <c r="C364">
        <v>2.0248999999999997</v>
      </c>
      <c r="D364">
        <v>1.4738</v>
      </c>
      <c r="E364">
        <v>3.4986999999999995</v>
      </c>
    </row>
    <row r="365" spans="1:5">
      <c r="A365" s="485">
        <v>423030359900</v>
      </c>
      <c r="B365" t="s">
        <v>1838</v>
      </c>
      <c r="C365">
        <v>0</v>
      </c>
      <c r="D365">
        <v>0</v>
      </c>
      <c r="E365">
        <v>0</v>
      </c>
    </row>
    <row r="366" spans="1:5">
      <c r="A366" s="485">
        <v>423030361000</v>
      </c>
      <c r="B366" t="s">
        <v>1839</v>
      </c>
      <c r="C366">
        <v>0</v>
      </c>
      <c r="D366">
        <v>0</v>
      </c>
      <c r="E366">
        <v>0</v>
      </c>
    </row>
    <row r="367" spans="1:5">
      <c r="A367" s="485">
        <v>423030361000</v>
      </c>
      <c r="B367" t="s">
        <v>1840</v>
      </c>
      <c r="C367">
        <v>198.36360000000002</v>
      </c>
      <c r="D367">
        <v>24.257199999999997</v>
      </c>
      <c r="E367">
        <v>222.62080000000003</v>
      </c>
    </row>
    <row r="368" spans="1:5">
      <c r="A368" s="485">
        <v>423030304200</v>
      </c>
      <c r="B368">
        <v>4138808</v>
      </c>
      <c r="C368">
        <v>21718.0543</v>
      </c>
      <c r="D368">
        <v>6275.9770000000008</v>
      </c>
      <c r="E368">
        <v>27994.031300000002</v>
      </c>
    </row>
    <row r="369" spans="1:5">
      <c r="A369" s="485">
        <v>423030361300</v>
      </c>
      <c r="B369" t="s">
        <v>1841</v>
      </c>
      <c r="C369">
        <v>13.0222</v>
      </c>
      <c r="D369">
        <v>0.70500000000000007</v>
      </c>
      <c r="E369">
        <v>13.7272</v>
      </c>
    </row>
    <row r="370" spans="1:5">
      <c r="A370" s="485">
        <v>423030222500</v>
      </c>
      <c r="B370" t="s">
        <v>1842</v>
      </c>
      <c r="C370">
        <v>0</v>
      </c>
      <c r="D370">
        <v>0</v>
      </c>
      <c r="E370">
        <v>0</v>
      </c>
    </row>
    <row r="371" spans="1:5">
      <c r="A371" s="485">
        <v>423030361400</v>
      </c>
      <c r="B371" t="s">
        <v>1843</v>
      </c>
      <c r="C371">
        <v>0</v>
      </c>
      <c r="D371">
        <v>0</v>
      </c>
      <c r="E371">
        <v>0</v>
      </c>
    </row>
    <row r="372" spans="1:5">
      <c r="A372" s="485">
        <v>423030222600</v>
      </c>
      <c r="B372" t="s">
        <v>1844</v>
      </c>
      <c r="C372">
        <v>0</v>
      </c>
      <c r="D372">
        <v>2.5914999999999999</v>
      </c>
      <c r="E372">
        <v>2.5914999999999999</v>
      </c>
    </row>
    <row r="373" spans="1:5">
      <c r="A373" s="485">
        <v>423030361500</v>
      </c>
      <c r="B373">
        <v>5564578</v>
      </c>
      <c r="C373">
        <v>4.9999999999999991</v>
      </c>
      <c r="D373">
        <v>0.53689999999999993</v>
      </c>
      <c r="E373">
        <v>5.5368999999999993</v>
      </c>
    </row>
    <row r="374" spans="1:5">
      <c r="A374" s="485">
        <v>423030361700</v>
      </c>
      <c r="B374" t="s">
        <v>1845</v>
      </c>
      <c r="C374">
        <v>1107.5731000000001</v>
      </c>
      <c r="D374">
        <v>284.30009999999999</v>
      </c>
      <c r="E374">
        <v>1391.8732</v>
      </c>
    </row>
    <row r="375" spans="1:5">
      <c r="A375" s="485">
        <v>423030361800</v>
      </c>
      <c r="B375">
        <v>13336</v>
      </c>
      <c r="C375">
        <v>36.000100000000003</v>
      </c>
      <c r="D375">
        <v>32.955500000000001</v>
      </c>
      <c r="E375">
        <v>68.955600000000004</v>
      </c>
    </row>
    <row r="376" spans="1:5">
      <c r="A376" s="485">
        <v>423030361800</v>
      </c>
      <c r="B376" t="s">
        <v>1846</v>
      </c>
      <c r="C376">
        <v>0</v>
      </c>
      <c r="D376">
        <v>0</v>
      </c>
      <c r="E376">
        <v>0</v>
      </c>
    </row>
    <row r="377" spans="1:5">
      <c r="A377" s="485">
        <v>423030361900</v>
      </c>
      <c r="B377" t="s">
        <v>1847</v>
      </c>
      <c r="C377">
        <v>979.00009999999997</v>
      </c>
      <c r="D377">
        <v>184.6481</v>
      </c>
      <c r="E377">
        <v>1163.6482000000001</v>
      </c>
    </row>
    <row r="378" spans="1:5">
      <c r="A378" s="485">
        <v>423030884600</v>
      </c>
      <c r="B378" t="s">
        <v>1848</v>
      </c>
      <c r="C378">
        <v>0</v>
      </c>
      <c r="D378">
        <v>0</v>
      </c>
      <c r="E378">
        <v>0</v>
      </c>
    </row>
    <row r="379" spans="1:5">
      <c r="A379" s="485">
        <v>423030363200</v>
      </c>
      <c r="B379" t="s">
        <v>1849</v>
      </c>
      <c r="C379">
        <v>0</v>
      </c>
      <c r="D379">
        <v>0</v>
      </c>
      <c r="E379">
        <v>0</v>
      </c>
    </row>
    <row r="380" spans="1:5">
      <c r="A380" s="485">
        <v>423030393400</v>
      </c>
      <c r="B380" t="s">
        <v>1850</v>
      </c>
      <c r="C380">
        <v>0</v>
      </c>
      <c r="D380">
        <v>0</v>
      </c>
      <c r="E380">
        <v>0</v>
      </c>
    </row>
    <row r="381" spans="1:5">
      <c r="A381" s="485">
        <v>423030362500</v>
      </c>
      <c r="B381" t="s">
        <v>1851</v>
      </c>
      <c r="C381">
        <v>0</v>
      </c>
      <c r="D381">
        <v>0</v>
      </c>
      <c r="E381">
        <v>0</v>
      </c>
    </row>
    <row r="382" spans="1:5">
      <c r="A382" s="485">
        <v>423030362500</v>
      </c>
      <c r="B382" t="s">
        <v>1852</v>
      </c>
      <c r="C382">
        <v>19.767600000000002</v>
      </c>
      <c r="D382">
        <v>12.934200000000001</v>
      </c>
      <c r="E382">
        <v>32.701800000000006</v>
      </c>
    </row>
    <row r="383" spans="1:5">
      <c r="A383" s="485">
        <v>423030233100</v>
      </c>
      <c r="B383" t="s">
        <v>1853</v>
      </c>
      <c r="C383">
        <v>1.7765</v>
      </c>
      <c r="D383">
        <v>0.27149999999999996</v>
      </c>
      <c r="E383">
        <v>2.048</v>
      </c>
    </row>
    <row r="384" spans="1:5">
      <c r="A384" s="485">
        <v>423030233000</v>
      </c>
      <c r="B384" t="s">
        <v>1854</v>
      </c>
      <c r="C384">
        <v>0</v>
      </c>
      <c r="D384">
        <v>0</v>
      </c>
      <c r="E384">
        <v>0</v>
      </c>
    </row>
    <row r="385" spans="1:5">
      <c r="A385" s="485">
        <v>423030666200</v>
      </c>
      <c r="B385" t="s">
        <v>1855</v>
      </c>
      <c r="C385">
        <v>14658.067899999996</v>
      </c>
      <c r="D385">
        <v>2.7917999999999998</v>
      </c>
      <c r="E385">
        <v>14660.859699999997</v>
      </c>
    </row>
    <row r="386" spans="1:5">
      <c r="A386" s="485">
        <v>423030363700</v>
      </c>
      <c r="B386" t="s">
        <v>1856</v>
      </c>
      <c r="C386">
        <v>5.9893999999999998</v>
      </c>
      <c r="D386">
        <v>3.0030000000000001</v>
      </c>
      <c r="E386">
        <v>8.9923999999999999</v>
      </c>
    </row>
    <row r="387" spans="1:5">
      <c r="A387" s="485">
        <v>423030231700</v>
      </c>
      <c r="B387" t="s">
        <v>1857</v>
      </c>
      <c r="C387">
        <v>0</v>
      </c>
      <c r="D387">
        <v>0</v>
      </c>
      <c r="E387">
        <v>0</v>
      </c>
    </row>
    <row r="388" spans="1:5">
      <c r="A388" s="485">
        <v>423030453400</v>
      </c>
      <c r="B388" t="s">
        <v>1858</v>
      </c>
      <c r="C388">
        <v>0</v>
      </c>
      <c r="D388">
        <v>0</v>
      </c>
      <c r="E388">
        <v>0</v>
      </c>
    </row>
    <row r="389" spans="1:5">
      <c r="A389" s="485">
        <v>423030270800</v>
      </c>
      <c r="B389" t="s">
        <v>1859</v>
      </c>
      <c r="C389">
        <v>23</v>
      </c>
      <c r="D389">
        <v>9.8644999999999996</v>
      </c>
      <c r="E389">
        <v>32.8645</v>
      </c>
    </row>
    <row r="390" spans="1:5">
      <c r="A390" s="485">
        <v>423030270800</v>
      </c>
      <c r="B390" t="s">
        <v>1860</v>
      </c>
      <c r="C390">
        <v>29.341200000000004</v>
      </c>
      <c r="D390">
        <v>24.585999999999999</v>
      </c>
      <c r="E390">
        <v>53.927199999999999</v>
      </c>
    </row>
    <row r="391" spans="1:5">
      <c r="A391" s="485">
        <v>423030232100</v>
      </c>
      <c r="B391" t="s">
        <v>1861</v>
      </c>
      <c r="C391">
        <v>0</v>
      </c>
      <c r="D391">
        <v>0</v>
      </c>
      <c r="E391">
        <v>0</v>
      </c>
    </row>
    <row r="392" spans="1:5">
      <c r="A392" s="485">
        <v>423030271700</v>
      </c>
      <c r="B392" t="s">
        <v>1862</v>
      </c>
      <c r="C392">
        <v>0</v>
      </c>
      <c r="D392">
        <v>0</v>
      </c>
      <c r="E392">
        <v>0</v>
      </c>
    </row>
    <row r="393" spans="1:5">
      <c r="A393" s="485">
        <v>423030271700</v>
      </c>
      <c r="B393" t="s">
        <v>1863</v>
      </c>
      <c r="C393">
        <v>79.055600000000013</v>
      </c>
      <c r="D393">
        <v>37.762199999999993</v>
      </c>
      <c r="E393">
        <v>116.81780000000001</v>
      </c>
    </row>
    <row r="394" spans="1:5">
      <c r="A394" s="485">
        <v>423030393700</v>
      </c>
      <c r="B394" t="s">
        <v>1864</v>
      </c>
      <c r="C394">
        <v>0</v>
      </c>
      <c r="D394">
        <v>0</v>
      </c>
      <c r="E394">
        <v>0</v>
      </c>
    </row>
    <row r="395" spans="1:5">
      <c r="A395" s="485">
        <v>423030270900</v>
      </c>
      <c r="B395" t="s">
        <v>1865</v>
      </c>
      <c r="C395">
        <v>2.0001000000000002</v>
      </c>
      <c r="D395">
        <v>1.3687</v>
      </c>
      <c r="E395">
        <v>3.3688000000000002</v>
      </c>
    </row>
    <row r="396" spans="1:5">
      <c r="A396" s="485">
        <v>423030271000</v>
      </c>
      <c r="B396" t="s">
        <v>1866</v>
      </c>
      <c r="C396">
        <v>97.834599999999995</v>
      </c>
      <c r="D396">
        <v>22.503999999999998</v>
      </c>
      <c r="E396">
        <v>120.33859999999999</v>
      </c>
    </row>
    <row r="397" spans="1:5">
      <c r="A397" s="485">
        <v>423030233600</v>
      </c>
      <c r="B397" t="s">
        <v>1867</v>
      </c>
      <c r="C397">
        <v>3108.9277000000002</v>
      </c>
      <c r="D397">
        <v>736.23340000000007</v>
      </c>
      <c r="E397">
        <v>3845.1611000000003</v>
      </c>
    </row>
    <row r="398" spans="1:5">
      <c r="A398" s="485">
        <v>423030271500</v>
      </c>
      <c r="B398" t="s">
        <v>1868</v>
      </c>
      <c r="C398">
        <v>0</v>
      </c>
      <c r="D398">
        <v>0</v>
      </c>
      <c r="E398">
        <v>0</v>
      </c>
    </row>
    <row r="399" spans="1:5">
      <c r="A399" s="485">
        <v>423030271600</v>
      </c>
      <c r="B399" t="s">
        <v>1869</v>
      </c>
      <c r="C399">
        <v>181.06890000000001</v>
      </c>
      <c r="D399">
        <v>62.895000000000003</v>
      </c>
      <c r="E399">
        <v>243.96390000000002</v>
      </c>
    </row>
    <row r="400" spans="1:5">
      <c r="A400" s="485">
        <v>423030272400</v>
      </c>
      <c r="B400" t="s">
        <v>1870</v>
      </c>
      <c r="C400">
        <v>0</v>
      </c>
      <c r="D400">
        <v>4181.2939999999999</v>
      </c>
      <c r="E400">
        <v>4181.2939999999999</v>
      </c>
    </row>
    <row r="401" spans="1:5">
      <c r="A401" s="485">
        <v>423030272400</v>
      </c>
      <c r="B401" t="s">
        <v>1871</v>
      </c>
      <c r="C401">
        <v>2125.2746999999999</v>
      </c>
      <c r="D401">
        <v>743.79599999999994</v>
      </c>
      <c r="E401">
        <v>2869.0706999999998</v>
      </c>
    </row>
    <row r="402" spans="1:5">
      <c r="A402" s="485">
        <v>423030233700</v>
      </c>
      <c r="B402" t="s">
        <v>1872</v>
      </c>
      <c r="C402">
        <v>0</v>
      </c>
      <c r="D402">
        <v>0</v>
      </c>
      <c r="E402">
        <v>0</v>
      </c>
    </row>
    <row r="403" spans="1:5">
      <c r="A403" s="485">
        <v>423030271300</v>
      </c>
      <c r="B403" t="s">
        <v>1873</v>
      </c>
      <c r="C403">
        <v>153</v>
      </c>
      <c r="D403">
        <v>31.7636</v>
      </c>
      <c r="E403">
        <v>184.7636</v>
      </c>
    </row>
    <row r="404" spans="1:5">
      <c r="A404" s="485">
        <v>423030273000</v>
      </c>
      <c r="B404">
        <v>6813</v>
      </c>
      <c r="C404">
        <v>579.00020000000006</v>
      </c>
      <c r="D404">
        <v>414.34659999999997</v>
      </c>
      <c r="E404">
        <v>993.34680000000003</v>
      </c>
    </row>
    <row r="405" spans="1:5">
      <c r="A405" s="485">
        <v>423030273000</v>
      </c>
      <c r="B405" t="s">
        <v>1874</v>
      </c>
      <c r="C405">
        <v>0</v>
      </c>
      <c r="D405">
        <v>0</v>
      </c>
      <c r="E405">
        <v>0</v>
      </c>
    </row>
    <row r="406" spans="1:5">
      <c r="A406" s="485">
        <v>423030273600</v>
      </c>
      <c r="B406" t="s">
        <v>1875</v>
      </c>
      <c r="C406">
        <v>317.56240000000003</v>
      </c>
      <c r="D406">
        <v>102.59159999999999</v>
      </c>
      <c r="E406">
        <v>420.154</v>
      </c>
    </row>
    <row r="407" spans="1:5">
      <c r="A407" s="485">
        <v>423030273600</v>
      </c>
      <c r="B407" t="s">
        <v>1876</v>
      </c>
      <c r="C407">
        <v>0</v>
      </c>
      <c r="D407">
        <v>0</v>
      </c>
      <c r="E407">
        <v>0</v>
      </c>
    </row>
    <row r="408" spans="1:5">
      <c r="A408" s="485">
        <v>423030274500</v>
      </c>
      <c r="B408" t="s">
        <v>1877</v>
      </c>
      <c r="C408">
        <v>625.95659999999998</v>
      </c>
      <c r="D408">
        <v>371.84569999999997</v>
      </c>
      <c r="E408">
        <v>997.80229999999995</v>
      </c>
    </row>
    <row r="409" spans="1:5">
      <c r="A409" s="485">
        <v>423030234100</v>
      </c>
      <c r="B409" t="s">
        <v>1878</v>
      </c>
      <c r="C409">
        <v>0</v>
      </c>
      <c r="D409">
        <v>0</v>
      </c>
      <c r="E409">
        <v>0</v>
      </c>
    </row>
    <row r="410" spans="1:5">
      <c r="A410" s="485">
        <v>423030234100</v>
      </c>
      <c r="B410" t="s">
        <v>1879</v>
      </c>
      <c r="C410">
        <v>0</v>
      </c>
      <c r="D410">
        <v>3.8690000000000002</v>
      </c>
      <c r="E410">
        <v>3.8690000000000002</v>
      </c>
    </row>
    <row r="411" spans="1:5">
      <c r="A411" s="485">
        <v>423030272100</v>
      </c>
      <c r="B411" t="s">
        <v>1880</v>
      </c>
      <c r="C411">
        <v>42.777799999999999</v>
      </c>
      <c r="D411">
        <v>19.821299999999997</v>
      </c>
      <c r="E411">
        <v>62.599099999999993</v>
      </c>
    </row>
    <row r="412" spans="1:5">
      <c r="A412" s="485">
        <v>423030272300</v>
      </c>
      <c r="B412" t="s">
        <v>1881</v>
      </c>
      <c r="C412">
        <v>108.63930000000002</v>
      </c>
      <c r="D412">
        <v>6.7830000000000004</v>
      </c>
      <c r="E412">
        <v>115.42230000000002</v>
      </c>
    </row>
    <row r="413" spans="1:5">
      <c r="A413" s="485">
        <v>423030241600</v>
      </c>
      <c r="B413" t="s">
        <v>1882</v>
      </c>
      <c r="C413">
        <v>0</v>
      </c>
      <c r="D413">
        <v>0</v>
      </c>
      <c r="E413">
        <v>0</v>
      </c>
    </row>
    <row r="414" spans="1:5">
      <c r="A414" s="485">
        <v>423031306600</v>
      </c>
      <c r="B414" t="s">
        <v>1883</v>
      </c>
      <c r="C414">
        <v>0</v>
      </c>
      <c r="D414">
        <v>0</v>
      </c>
      <c r="E414">
        <v>0</v>
      </c>
    </row>
    <row r="415" spans="1:5">
      <c r="A415" s="485">
        <v>423030235100</v>
      </c>
      <c r="B415" t="s">
        <v>1884</v>
      </c>
      <c r="C415">
        <v>0</v>
      </c>
      <c r="D415">
        <v>0</v>
      </c>
      <c r="E415">
        <v>0</v>
      </c>
    </row>
    <row r="416" spans="1:5">
      <c r="A416" s="485">
        <v>423030274800</v>
      </c>
      <c r="B416" t="s">
        <v>1885</v>
      </c>
      <c r="C416">
        <v>17.786899999999999</v>
      </c>
      <c r="D416">
        <v>1.2669999999999999</v>
      </c>
      <c r="E416">
        <v>19.053899999999999</v>
      </c>
    </row>
    <row r="417" spans="1:5">
      <c r="A417" s="485">
        <v>423030275000</v>
      </c>
      <c r="B417" t="s">
        <v>1886</v>
      </c>
      <c r="C417">
        <v>0</v>
      </c>
      <c r="D417">
        <v>19.016499999999997</v>
      </c>
      <c r="E417">
        <v>19.016499999999997</v>
      </c>
    </row>
    <row r="418" spans="1:5">
      <c r="A418" s="485">
        <v>423030275000</v>
      </c>
      <c r="B418" t="s">
        <v>1887</v>
      </c>
      <c r="C418">
        <v>14.980799999999999</v>
      </c>
      <c r="D418">
        <v>7.6320000000000006</v>
      </c>
      <c r="E418">
        <v>22.6128</v>
      </c>
    </row>
    <row r="419" spans="1:5">
      <c r="A419" s="485">
        <v>423030276500</v>
      </c>
      <c r="B419" t="s">
        <v>1888</v>
      </c>
      <c r="C419">
        <v>0</v>
      </c>
      <c r="D419">
        <v>0</v>
      </c>
      <c r="E419">
        <v>0</v>
      </c>
    </row>
    <row r="420" spans="1:5">
      <c r="A420" s="485">
        <v>423030235400</v>
      </c>
      <c r="B420" t="s">
        <v>1889</v>
      </c>
      <c r="C420">
        <v>0</v>
      </c>
      <c r="D420">
        <v>0</v>
      </c>
      <c r="E420">
        <v>0</v>
      </c>
    </row>
    <row r="421" spans="1:5">
      <c r="A421" s="485">
        <v>423030236000</v>
      </c>
      <c r="B421" t="s">
        <v>1890</v>
      </c>
      <c r="C421">
        <v>0</v>
      </c>
      <c r="D421">
        <v>0</v>
      </c>
      <c r="E421">
        <v>0</v>
      </c>
    </row>
    <row r="422" spans="1:5">
      <c r="A422" s="485">
        <v>423030236900</v>
      </c>
      <c r="B422" t="s">
        <v>1891</v>
      </c>
      <c r="C422">
        <v>0</v>
      </c>
      <c r="D422">
        <v>3.1755</v>
      </c>
      <c r="E422">
        <v>3.1755</v>
      </c>
    </row>
    <row r="423" spans="1:5">
      <c r="A423" s="485">
        <v>423030237600</v>
      </c>
      <c r="B423" t="s">
        <v>1892</v>
      </c>
      <c r="C423">
        <v>0</v>
      </c>
      <c r="D423">
        <v>0</v>
      </c>
      <c r="E423">
        <v>0</v>
      </c>
    </row>
    <row r="424" spans="1:5">
      <c r="A424" s="485">
        <v>423030277600</v>
      </c>
      <c r="B424" t="s">
        <v>1893</v>
      </c>
      <c r="C424">
        <v>0</v>
      </c>
      <c r="D424">
        <v>275.10050000000001</v>
      </c>
      <c r="E424">
        <v>275.10050000000001</v>
      </c>
    </row>
    <row r="425" spans="1:5">
      <c r="A425" s="485">
        <v>423030238000</v>
      </c>
      <c r="B425" t="s">
        <v>1894</v>
      </c>
      <c r="C425">
        <v>222.47370000000001</v>
      </c>
      <c r="D425">
        <v>152.6626</v>
      </c>
      <c r="E425">
        <v>375.13630000000001</v>
      </c>
    </row>
    <row r="426" spans="1:5">
      <c r="A426" s="485">
        <v>423030275800</v>
      </c>
      <c r="B426" t="s">
        <v>1895</v>
      </c>
      <c r="C426">
        <v>0</v>
      </c>
      <c r="D426">
        <v>0</v>
      </c>
      <c r="E426">
        <v>0</v>
      </c>
    </row>
    <row r="427" spans="1:5">
      <c r="A427" s="485">
        <v>423030275800</v>
      </c>
      <c r="B427" t="s">
        <v>1896</v>
      </c>
      <c r="C427">
        <v>4255.9999000000007</v>
      </c>
      <c r="D427">
        <v>577.11850000000004</v>
      </c>
      <c r="E427">
        <v>4833.1184000000012</v>
      </c>
    </row>
    <row r="428" spans="1:5">
      <c r="A428" s="485">
        <v>423030724800</v>
      </c>
      <c r="B428" t="s">
        <v>1897</v>
      </c>
      <c r="C428">
        <v>0</v>
      </c>
      <c r="D428">
        <v>0</v>
      </c>
      <c r="E428">
        <v>0</v>
      </c>
    </row>
    <row r="429" spans="1:5">
      <c r="A429" s="485">
        <v>423030724800</v>
      </c>
      <c r="B429" t="s">
        <v>1898</v>
      </c>
      <c r="C429">
        <v>0</v>
      </c>
      <c r="D429">
        <v>0</v>
      </c>
      <c r="E429">
        <v>0</v>
      </c>
    </row>
    <row r="430" spans="1:5">
      <c r="A430" s="485">
        <v>423031187800</v>
      </c>
      <c r="B430" t="s">
        <v>1899</v>
      </c>
      <c r="C430">
        <v>0</v>
      </c>
      <c r="D430">
        <v>0</v>
      </c>
      <c r="E430">
        <v>0</v>
      </c>
    </row>
    <row r="431" spans="1:5">
      <c r="A431" s="485">
        <v>423030277900</v>
      </c>
      <c r="B431">
        <v>5588051</v>
      </c>
      <c r="C431">
        <v>45.704599999999992</v>
      </c>
      <c r="D431">
        <v>22.829200000000004</v>
      </c>
      <c r="E431">
        <v>68.533799999999999</v>
      </c>
    </row>
    <row r="432" spans="1:5">
      <c r="A432" s="485">
        <v>423030278400</v>
      </c>
      <c r="B432" t="s">
        <v>1900</v>
      </c>
      <c r="C432">
        <v>0</v>
      </c>
      <c r="D432">
        <v>0</v>
      </c>
      <c r="E432">
        <v>0</v>
      </c>
    </row>
    <row r="433" spans="1:5">
      <c r="A433" s="485">
        <v>423030278400</v>
      </c>
      <c r="B433" t="s">
        <v>1901</v>
      </c>
      <c r="C433">
        <v>16.750099999999996</v>
      </c>
      <c r="D433">
        <v>7.827</v>
      </c>
      <c r="E433">
        <v>24.577099999999994</v>
      </c>
    </row>
    <row r="434" spans="1:5">
      <c r="A434" s="485">
        <v>423030277000</v>
      </c>
      <c r="B434">
        <v>5971310000</v>
      </c>
      <c r="C434">
        <v>1408.1667</v>
      </c>
      <c r="D434">
        <v>224.19670000000002</v>
      </c>
      <c r="E434">
        <v>1632.3634</v>
      </c>
    </row>
    <row r="435" spans="1:5">
      <c r="A435" s="485">
        <v>423030240000</v>
      </c>
      <c r="B435" t="s">
        <v>1902</v>
      </c>
      <c r="C435">
        <v>0</v>
      </c>
      <c r="D435">
        <v>0</v>
      </c>
      <c r="E435">
        <v>0</v>
      </c>
    </row>
    <row r="436" spans="1:5">
      <c r="A436" s="485">
        <v>423030239600</v>
      </c>
      <c r="B436" t="s">
        <v>1903</v>
      </c>
      <c r="C436">
        <v>0</v>
      </c>
      <c r="D436">
        <v>0</v>
      </c>
      <c r="E436">
        <v>0</v>
      </c>
    </row>
    <row r="437" spans="1:5">
      <c r="A437" s="485">
        <v>423030279100</v>
      </c>
      <c r="B437" t="s">
        <v>1904</v>
      </c>
      <c r="C437">
        <v>0</v>
      </c>
      <c r="D437">
        <v>0</v>
      </c>
      <c r="E437">
        <v>0</v>
      </c>
    </row>
    <row r="438" spans="1:5">
      <c r="A438" s="485">
        <v>423030279100</v>
      </c>
      <c r="B438" t="s">
        <v>1905</v>
      </c>
      <c r="C438">
        <v>162.34410000000003</v>
      </c>
      <c r="D438">
        <v>56.535699999999999</v>
      </c>
      <c r="E438">
        <v>218.87980000000002</v>
      </c>
    </row>
    <row r="439" spans="1:5">
      <c r="A439" s="485">
        <v>423030240100</v>
      </c>
      <c r="B439" t="s">
        <v>1906</v>
      </c>
      <c r="C439">
        <v>0</v>
      </c>
      <c r="D439">
        <v>0</v>
      </c>
      <c r="E439">
        <v>0</v>
      </c>
    </row>
    <row r="440" spans="1:5">
      <c r="A440" s="485">
        <v>423030280200</v>
      </c>
      <c r="B440" t="s">
        <v>1907</v>
      </c>
      <c r="C440">
        <v>0</v>
      </c>
      <c r="D440">
        <v>0</v>
      </c>
      <c r="E440">
        <v>0</v>
      </c>
    </row>
    <row r="441" spans="1:5">
      <c r="A441" s="485">
        <v>423030280200</v>
      </c>
      <c r="B441" t="s">
        <v>1908</v>
      </c>
      <c r="C441">
        <v>3.7678000000000003</v>
      </c>
      <c r="D441">
        <v>0.2238</v>
      </c>
      <c r="E441">
        <v>3.9916</v>
      </c>
    </row>
    <row r="442" spans="1:5">
      <c r="A442" s="485">
        <v>423030380700</v>
      </c>
      <c r="B442" t="s">
        <v>1909</v>
      </c>
      <c r="C442">
        <v>0</v>
      </c>
      <c r="D442">
        <v>0</v>
      </c>
      <c r="E442">
        <v>0</v>
      </c>
    </row>
    <row r="443" spans="1:5">
      <c r="A443" s="485">
        <v>423030220800</v>
      </c>
      <c r="B443" t="s">
        <v>1910</v>
      </c>
      <c r="C443">
        <v>800.4579</v>
      </c>
      <c r="D443">
        <v>112.3751</v>
      </c>
      <c r="E443">
        <v>912.83299999999997</v>
      </c>
    </row>
    <row r="444" spans="1:5">
      <c r="A444" s="485">
        <v>423030279400</v>
      </c>
      <c r="B444" t="s">
        <v>1911</v>
      </c>
      <c r="C444">
        <v>0</v>
      </c>
      <c r="D444">
        <v>65.334999999999994</v>
      </c>
      <c r="E444">
        <v>65.334999999999994</v>
      </c>
    </row>
    <row r="445" spans="1:5">
      <c r="A445" s="485">
        <v>423030279400</v>
      </c>
      <c r="B445" t="s">
        <v>1912</v>
      </c>
      <c r="C445">
        <v>711.96510000000001</v>
      </c>
      <c r="D445">
        <v>71.389499999999998</v>
      </c>
      <c r="E445">
        <v>783.3546</v>
      </c>
    </row>
    <row r="446" spans="1:5">
      <c r="A446" s="485">
        <v>423030280300</v>
      </c>
      <c r="B446" t="s">
        <v>1913</v>
      </c>
      <c r="C446">
        <v>0</v>
      </c>
      <c r="D446">
        <v>278.64100000000002</v>
      </c>
      <c r="E446">
        <v>278.64100000000002</v>
      </c>
    </row>
    <row r="447" spans="1:5">
      <c r="A447" s="485">
        <v>423030280300</v>
      </c>
      <c r="B447" t="s">
        <v>1914</v>
      </c>
      <c r="C447">
        <v>59.186799999999998</v>
      </c>
      <c r="D447">
        <v>59</v>
      </c>
      <c r="E447">
        <v>118.18680000000001</v>
      </c>
    </row>
    <row r="448" spans="1:5">
      <c r="A448" s="485">
        <v>423030281100</v>
      </c>
      <c r="B448" t="s">
        <v>1915</v>
      </c>
      <c r="C448">
        <v>4.1252000000000004</v>
      </c>
      <c r="D448">
        <v>9.7599999999999992E-2</v>
      </c>
      <c r="E448">
        <v>4.2228000000000003</v>
      </c>
    </row>
    <row r="449" spans="1:5">
      <c r="A449" s="485">
        <v>423031023600</v>
      </c>
      <c r="B449" t="s">
        <v>1916</v>
      </c>
      <c r="C449">
        <v>215</v>
      </c>
      <c r="D449">
        <v>423.01599999999996</v>
      </c>
      <c r="E449">
        <v>638.01599999999996</v>
      </c>
    </row>
    <row r="450" spans="1:5">
      <c r="A450" s="485">
        <v>423031023600</v>
      </c>
      <c r="B450" t="s">
        <v>1917</v>
      </c>
      <c r="C450">
        <v>126.9999</v>
      </c>
      <c r="D450">
        <v>64.562399999999997</v>
      </c>
      <c r="E450">
        <v>191.56229999999999</v>
      </c>
    </row>
    <row r="451" spans="1:5">
      <c r="A451" s="485">
        <v>423030281800</v>
      </c>
      <c r="B451" t="s">
        <v>1918</v>
      </c>
      <c r="C451">
        <v>0</v>
      </c>
      <c r="D451">
        <v>1.5159</v>
      </c>
      <c r="E451">
        <v>1.5159</v>
      </c>
    </row>
    <row r="452" spans="1:5">
      <c r="A452" s="485">
        <v>423030282000</v>
      </c>
      <c r="B452" t="s">
        <v>1919</v>
      </c>
      <c r="C452">
        <v>0</v>
      </c>
      <c r="D452">
        <v>0</v>
      </c>
      <c r="E452">
        <v>0</v>
      </c>
    </row>
    <row r="453" spans="1:5">
      <c r="A453" s="485">
        <v>423030282000</v>
      </c>
      <c r="B453" t="s">
        <v>1920</v>
      </c>
      <c r="C453">
        <v>110.63330000000001</v>
      </c>
      <c r="D453">
        <v>0.66600000000000004</v>
      </c>
      <c r="E453">
        <v>111.2993</v>
      </c>
    </row>
    <row r="454" spans="1:5">
      <c r="A454" s="485">
        <v>423030332000</v>
      </c>
      <c r="B454" t="s">
        <v>1921</v>
      </c>
      <c r="C454">
        <v>0</v>
      </c>
      <c r="D454">
        <v>0</v>
      </c>
      <c r="E454">
        <v>0</v>
      </c>
    </row>
    <row r="455" spans="1:5">
      <c r="A455" s="485">
        <v>423030332000</v>
      </c>
      <c r="B455" t="s">
        <v>1922</v>
      </c>
      <c r="C455">
        <v>0</v>
      </c>
      <c r="D455">
        <v>0</v>
      </c>
      <c r="E455">
        <v>0</v>
      </c>
    </row>
    <row r="456" spans="1:5">
      <c r="A456" s="485">
        <v>423030241500</v>
      </c>
      <c r="B456" t="s">
        <v>1923</v>
      </c>
      <c r="C456">
        <v>0</v>
      </c>
      <c r="D456">
        <v>0</v>
      </c>
      <c r="E456">
        <v>0</v>
      </c>
    </row>
    <row r="457" spans="1:5">
      <c r="A457" s="485">
        <v>423030280700</v>
      </c>
      <c r="B457" t="s">
        <v>1924</v>
      </c>
      <c r="C457">
        <v>0</v>
      </c>
      <c r="D457">
        <v>0</v>
      </c>
      <c r="E457">
        <v>0</v>
      </c>
    </row>
    <row r="458" spans="1:5">
      <c r="A458" s="485">
        <v>423030281000</v>
      </c>
      <c r="B458" t="s">
        <v>1925</v>
      </c>
      <c r="C458">
        <v>0</v>
      </c>
      <c r="D458">
        <v>0</v>
      </c>
      <c r="E458">
        <v>0</v>
      </c>
    </row>
    <row r="459" spans="1:5">
      <c r="A459" s="485">
        <v>423030281200</v>
      </c>
      <c r="B459" t="s">
        <v>1926</v>
      </c>
      <c r="C459">
        <v>0</v>
      </c>
      <c r="D459">
        <v>0</v>
      </c>
      <c r="E459">
        <v>0</v>
      </c>
    </row>
    <row r="460" spans="1:5">
      <c r="A460" s="485">
        <v>423030281200</v>
      </c>
      <c r="B460" t="s">
        <v>1927</v>
      </c>
      <c r="C460">
        <v>10.322899999999999</v>
      </c>
      <c r="D460">
        <v>3.6462000000000003</v>
      </c>
      <c r="E460">
        <v>13.969099999999999</v>
      </c>
    </row>
    <row r="461" spans="1:5">
      <c r="A461" s="485">
        <v>423030281300</v>
      </c>
      <c r="B461" t="s">
        <v>1928</v>
      </c>
      <c r="C461">
        <v>0</v>
      </c>
      <c r="D461">
        <v>0</v>
      </c>
      <c r="E461">
        <v>0</v>
      </c>
    </row>
    <row r="462" spans="1:5">
      <c r="A462" s="485">
        <v>423030281300</v>
      </c>
      <c r="B462" t="s">
        <v>1929</v>
      </c>
      <c r="C462">
        <v>437.49990000000003</v>
      </c>
      <c r="D462">
        <v>363.4316</v>
      </c>
      <c r="E462">
        <v>800.93150000000003</v>
      </c>
    </row>
    <row r="463" spans="1:5">
      <c r="A463" s="485">
        <v>423030282900</v>
      </c>
      <c r="B463" t="s">
        <v>1930</v>
      </c>
      <c r="C463">
        <v>27.173299999999998</v>
      </c>
      <c r="D463">
        <v>3.2214</v>
      </c>
      <c r="E463">
        <v>30.394699999999997</v>
      </c>
    </row>
    <row r="464" spans="1:5">
      <c r="A464" s="485">
        <v>423030242300</v>
      </c>
      <c r="B464" t="s">
        <v>1931</v>
      </c>
      <c r="C464">
        <v>0</v>
      </c>
      <c r="D464">
        <v>17.738999999999997</v>
      </c>
      <c r="E464">
        <v>17.738999999999997</v>
      </c>
    </row>
    <row r="465" spans="1:5">
      <c r="A465" s="485">
        <v>423030242300</v>
      </c>
      <c r="B465" t="s">
        <v>1932</v>
      </c>
      <c r="C465">
        <v>5.1228999999999987</v>
      </c>
      <c r="D465">
        <v>3.9240000000000004</v>
      </c>
      <c r="E465">
        <v>9.0468999999999991</v>
      </c>
    </row>
    <row r="466" spans="1:5">
      <c r="A466" s="485">
        <v>423031113600</v>
      </c>
      <c r="B466" t="s">
        <v>1933</v>
      </c>
      <c r="C466">
        <v>0</v>
      </c>
      <c r="D466">
        <v>0</v>
      </c>
      <c r="E466">
        <v>0</v>
      </c>
    </row>
    <row r="467" spans="1:5">
      <c r="A467" s="485">
        <v>423030283800</v>
      </c>
      <c r="B467" t="s">
        <v>1934</v>
      </c>
      <c r="C467">
        <v>0</v>
      </c>
      <c r="D467">
        <v>0</v>
      </c>
      <c r="E467">
        <v>0</v>
      </c>
    </row>
    <row r="468" spans="1:5">
      <c r="A468" s="485">
        <v>423030283900</v>
      </c>
      <c r="B468" t="s">
        <v>1935</v>
      </c>
      <c r="C468">
        <v>0</v>
      </c>
      <c r="D468">
        <v>0</v>
      </c>
      <c r="E468">
        <v>0</v>
      </c>
    </row>
    <row r="469" spans="1:5">
      <c r="A469" s="485">
        <v>423030282400</v>
      </c>
      <c r="B469" t="s">
        <v>1936</v>
      </c>
      <c r="C469">
        <v>75.015899999999988</v>
      </c>
      <c r="D469">
        <v>22.427599999999998</v>
      </c>
      <c r="E469">
        <v>97.443499999999986</v>
      </c>
    </row>
    <row r="470" spans="1:5">
      <c r="A470" s="485">
        <v>423030282600</v>
      </c>
      <c r="B470" t="s">
        <v>1937</v>
      </c>
      <c r="C470">
        <v>682.23599999999999</v>
      </c>
      <c r="D470">
        <v>96.790499999999994</v>
      </c>
      <c r="E470">
        <v>779.02649999999994</v>
      </c>
    </row>
    <row r="471" spans="1:5">
      <c r="A471" s="485">
        <v>423030282800</v>
      </c>
      <c r="B471" t="s">
        <v>1938</v>
      </c>
      <c r="C471">
        <v>0</v>
      </c>
      <c r="D471">
        <v>0</v>
      </c>
      <c r="E471">
        <v>0</v>
      </c>
    </row>
    <row r="472" spans="1:5">
      <c r="A472" s="485">
        <v>423031014800</v>
      </c>
      <c r="B472">
        <v>2013841710</v>
      </c>
      <c r="C472">
        <v>0.82990000000000008</v>
      </c>
      <c r="D472">
        <v>1.5230999999999999</v>
      </c>
      <c r="E472">
        <v>2.3529999999999998</v>
      </c>
    </row>
    <row r="473" spans="1:5">
      <c r="A473" s="485">
        <v>423030243600</v>
      </c>
      <c r="B473" t="s">
        <v>1939</v>
      </c>
      <c r="C473">
        <v>0.99999999999999989</v>
      </c>
      <c r="D473">
        <v>0.23660000000000003</v>
      </c>
      <c r="E473">
        <v>1.2365999999999999</v>
      </c>
    </row>
    <row r="474" spans="1:5">
      <c r="A474" s="485">
        <v>423030283700</v>
      </c>
      <c r="B474" t="s">
        <v>1940</v>
      </c>
      <c r="C474">
        <v>35.999899999999997</v>
      </c>
      <c r="D474">
        <v>16.355900000000002</v>
      </c>
      <c r="E474">
        <v>52.355800000000002</v>
      </c>
    </row>
    <row r="475" spans="1:5">
      <c r="A475" s="485">
        <v>423030241900</v>
      </c>
      <c r="B475" t="s">
        <v>1941</v>
      </c>
      <c r="C475">
        <v>0</v>
      </c>
      <c r="D475">
        <v>0</v>
      </c>
      <c r="E475">
        <v>0</v>
      </c>
    </row>
    <row r="476" spans="1:5">
      <c r="A476" s="485">
        <v>423030285200</v>
      </c>
      <c r="B476" t="s">
        <v>1942</v>
      </c>
      <c r="C476">
        <v>8.6104000000000003</v>
      </c>
      <c r="D476">
        <v>1.8422000000000001</v>
      </c>
      <c r="E476">
        <v>10.4526</v>
      </c>
    </row>
    <row r="477" spans="1:5">
      <c r="A477" s="485">
        <v>423030284000</v>
      </c>
      <c r="B477" t="s">
        <v>1943</v>
      </c>
      <c r="C477">
        <v>0</v>
      </c>
      <c r="D477">
        <v>2.2265000000000001</v>
      </c>
      <c r="E477">
        <v>2.2265000000000001</v>
      </c>
    </row>
    <row r="478" spans="1:5">
      <c r="A478" s="485">
        <v>423030285500</v>
      </c>
      <c r="B478" t="s">
        <v>1944</v>
      </c>
      <c r="C478">
        <v>0</v>
      </c>
      <c r="D478">
        <v>0</v>
      </c>
      <c r="E478">
        <v>0</v>
      </c>
    </row>
    <row r="479" spans="1:5">
      <c r="A479" s="485">
        <v>423030285500</v>
      </c>
      <c r="B479" t="s">
        <v>1945</v>
      </c>
      <c r="C479">
        <v>10.212600000000002</v>
      </c>
      <c r="D479">
        <v>0.78689999999999993</v>
      </c>
      <c r="E479">
        <v>10.999500000000001</v>
      </c>
    </row>
    <row r="480" spans="1:5">
      <c r="A480" s="485">
        <v>423030453800</v>
      </c>
      <c r="B480" t="s">
        <v>1946</v>
      </c>
      <c r="C480">
        <v>0</v>
      </c>
      <c r="D480">
        <v>0</v>
      </c>
      <c r="E480">
        <v>0</v>
      </c>
    </row>
    <row r="481" spans="1:5">
      <c r="A481" s="485">
        <v>423030284600</v>
      </c>
      <c r="B481" t="s">
        <v>1947</v>
      </c>
      <c r="C481">
        <v>0.84050000000000002</v>
      </c>
      <c r="D481">
        <v>0.57240000000000002</v>
      </c>
      <c r="E481">
        <v>1.4129</v>
      </c>
    </row>
    <row r="482" spans="1:5">
      <c r="A482" s="485">
        <v>423030285600</v>
      </c>
      <c r="B482" t="s">
        <v>1948</v>
      </c>
      <c r="C482">
        <v>98.808599999999998</v>
      </c>
      <c r="D482">
        <v>8.8424000000000014</v>
      </c>
      <c r="E482">
        <v>107.651</v>
      </c>
    </row>
    <row r="483" spans="1:5">
      <c r="A483" s="485">
        <v>423030286000</v>
      </c>
      <c r="B483" t="s">
        <v>1949</v>
      </c>
      <c r="C483">
        <v>597.00009999999997</v>
      </c>
      <c r="D483">
        <v>224.20359999999999</v>
      </c>
      <c r="E483">
        <v>821.20370000000003</v>
      </c>
    </row>
    <row r="484" spans="1:5">
      <c r="A484" s="485">
        <v>423030287400</v>
      </c>
      <c r="B484" t="s">
        <v>1950</v>
      </c>
      <c r="C484">
        <v>15.915900000000001</v>
      </c>
      <c r="D484">
        <v>1.4823</v>
      </c>
      <c r="E484">
        <v>17.398199999999999</v>
      </c>
    </row>
    <row r="485" spans="1:5">
      <c r="A485" s="485">
        <v>423030286300</v>
      </c>
      <c r="B485" t="s">
        <v>1951</v>
      </c>
      <c r="C485">
        <v>0</v>
      </c>
      <c r="D485">
        <v>0</v>
      </c>
      <c r="E485">
        <v>0</v>
      </c>
    </row>
    <row r="486" spans="1:5">
      <c r="A486" s="485">
        <v>423030287000</v>
      </c>
      <c r="B486" t="s">
        <v>1952</v>
      </c>
      <c r="C486">
        <v>30.7318</v>
      </c>
      <c r="D486">
        <v>42.260399999999997</v>
      </c>
      <c r="E486">
        <v>72.992199999999997</v>
      </c>
    </row>
    <row r="487" spans="1:5">
      <c r="A487" s="485">
        <v>423030243800</v>
      </c>
      <c r="B487" t="s">
        <v>1953</v>
      </c>
      <c r="C487">
        <v>0</v>
      </c>
      <c r="D487">
        <v>0</v>
      </c>
      <c r="E487">
        <v>0</v>
      </c>
    </row>
    <row r="488" spans="1:5">
      <c r="A488" s="485">
        <v>423030243900</v>
      </c>
      <c r="B488" t="s">
        <v>1954</v>
      </c>
      <c r="C488">
        <v>0</v>
      </c>
      <c r="D488">
        <v>0</v>
      </c>
      <c r="E488">
        <v>0</v>
      </c>
    </row>
    <row r="489" spans="1:5">
      <c r="A489" s="485">
        <v>423030287100</v>
      </c>
      <c r="B489" t="s">
        <v>1955</v>
      </c>
      <c r="C489">
        <v>1.9999</v>
      </c>
      <c r="D489">
        <v>0.26390000000000002</v>
      </c>
      <c r="E489">
        <v>2.2637999999999998</v>
      </c>
    </row>
    <row r="490" spans="1:5">
      <c r="A490" s="485">
        <v>423030287700</v>
      </c>
      <c r="B490" t="s">
        <v>1956</v>
      </c>
      <c r="C490">
        <v>0</v>
      </c>
      <c r="D490">
        <v>0</v>
      </c>
      <c r="E490">
        <v>0</v>
      </c>
    </row>
    <row r="491" spans="1:5">
      <c r="A491" s="485">
        <v>423030287700</v>
      </c>
      <c r="B491" t="s">
        <v>1957</v>
      </c>
      <c r="C491">
        <v>2198.8888999999999</v>
      </c>
      <c r="D491">
        <v>5168.5029999999997</v>
      </c>
      <c r="E491">
        <v>7367.3918999999996</v>
      </c>
    </row>
    <row r="492" spans="1:5">
      <c r="A492" s="485">
        <v>423030244300</v>
      </c>
      <c r="B492" t="s">
        <v>1958</v>
      </c>
      <c r="C492">
        <v>0</v>
      </c>
      <c r="D492">
        <v>0</v>
      </c>
      <c r="E492">
        <v>0</v>
      </c>
    </row>
    <row r="493" spans="1:5">
      <c r="A493" s="485">
        <v>423030286600</v>
      </c>
      <c r="B493" t="s">
        <v>1959</v>
      </c>
      <c r="C493">
        <v>0.871</v>
      </c>
      <c r="D493">
        <v>0</v>
      </c>
      <c r="E493">
        <v>0.871</v>
      </c>
    </row>
    <row r="494" spans="1:5">
      <c r="A494" s="485">
        <v>423030286600</v>
      </c>
      <c r="B494" t="s">
        <v>1960</v>
      </c>
      <c r="C494">
        <v>106.0001</v>
      </c>
      <c r="D494">
        <v>57.987899999999996</v>
      </c>
      <c r="E494">
        <v>163.988</v>
      </c>
    </row>
    <row r="495" spans="1:5">
      <c r="A495" s="485">
        <v>423030291500</v>
      </c>
      <c r="B495" t="s">
        <v>1961</v>
      </c>
      <c r="C495">
        <v>0</v>
      </c>
      <c r="D495">
        <v>0</v>
      </c>
      <c r="E495">
        <v>0</v>
      </c>
    </row>
    <row r="496" spans="1:5">
      <c r="A496" s="485">
        <v>423030291500</v>
      </c>
      <c r="B496" t="s">
        <v>1962</v>
      </c>
      <c r="C496">
        <v>148.30760000000001</v>
      </c>
      <c r="D496">
        <v>3.5319000000000003</v>
      </c>
      <c r="E496">
        <v>151.83950000000002</v>
      </c>
    </row>
    <row r="497" spans="1:5">
      <c r="A497" s="485">
        <v>423030288000</v>
      </c>
      <c r="B497" t="s">
        <v>1963</v>
      </c>
      <c r="C497">
        <v>0</v>
      </c>
      <c r="D497">
        <v>0</v>
      </c>
      <c r="E497">
        <v>0</v>
      </c>
    </row>
    <row r="498" spans="1:5">
      <c r="A498" s="485">
        <v>423030288000</v>
      </c>
      <c r="B498" t="s">
        <v>1964</v>
      </c>
      <c r="C498">
        <v>9.7815999999999992</v>
      </c>
      <c r="D498">
        <v>2.1291000000000002</v>
      </c>
      <c r="E498">
        <v>11.910699999999999</v>
      </c>
    </row>
    <row r="499" spans="1:5">
      <c r="A499" s="485">
        <v>423030288000</v>
      </c>
      <c r="B499" t="s">
        <v>1965</v>
      </c>
      <c r="C499">
        <v>0</v>
      </c>
      <c r="D499">
        <v>0</v>
      </c>
      <c r="E499">
        <v>0</v>
      </c>
    </row>
    <row r="500" spans="1:5">
      <c r="A500" s="485">
        <v>423030288100</v>
      </c>
      <c r="B500" t="s">
        <v>1966</v>
      </c>
      <c r="C500">
        <v>9260.5602999999992</v>
      </c>
      <c r="D500">
        <v>6725.4719999999998</v>
      </c>
      <c r="E500">
        <v>15986.032299999999</v>
      </c>
    </row>
    <row r="501" spans="1:5">
      <c r="A501" s="485">
        <v>423030288100</v>
      </c>
      <c r="B501" t="s">
        <v>1967</v>
      </c>
      <c r="C501">
        <v>0</v>
      </c>
      <c r="D501">
        <v>0</v>
      </c>
      <c r="E501">
        <v>0</v>
      </c>
    </row>
    <row r="502" spans="1:5">
      <c r="A502" s="485">
        <v>423030288500</v>
      </c>
      <c r="B502" t="s">
        <v>1968</v>
      </c>
      <c r="C502">
        <v>0</v>
      </c>
      <c r="D502">
        <v>0</v>
      </c>
      <c r="E502">
        <v>0</v>
      </c>
    </row>
    <row r="503" spans="1:5">
      <c r="A503" s="485">
        <v>423030288500</v>
      </c>
      <c r="B503" t="s">
        <v>1969</v>
      </c>
      <c r="C503">
        <v>48.494599999999998</v>
      </c>
      <c r="D503">
        <v>1.8265000000000002</v>
      </c>
      <c r="E503">
        <v>50.321100000000001</v>
      </c>
    </row>
    <row r="504" spans="1:5">
      <c r="A504" s="485">
        <v>423030288400</v>
      </c>
      <c r="B504" t="s">
        <v>1970</v>
      </c>
      <c r="C504">
        <v>0</v>
      </c>
      <c r="D504">
        <v>0</v>
      </c>
      <c r="E504">
        <v>0</v>
      </c>
    </row>
    <row r="505" spans="1:5">
      <c r="A505" s="485">
        <v>423030288400</v>
      </c>
      <c r="B505" t="s">
        <v>1971</v>
      </c>
      <c r="C505">
        <v>69.000100000000003</v>
      </c>
      <c r="D505">
        <v>21.055199999999999</v>
      </c>
      <c r="E505">
        <v>90.055300000000003</v>
      </c>
    </row>
    <row r="506" spans="1:5">
      <c r="A506" s="485">
        <v>423030401800</v>
      </c>
      <c r="B506" t="s">
        <v>1972</v>
      </c>
      <c r="C506">
        <v>0</v>
      </c>
      <c r="D506">
        <v>0</v>
      </c>
      <c r="E506">
        <v>0</v>
      </c>
    </row>
    <row r="507" spans="1:5">
      <c r="A507" s="485">
        <v>423031097900</v>
      </c>
      <c r="B507" t="s">
        <v>1973</v>
      </c>
      <c r="C507">
        <v>0</v>
      </c>
      <c r="D507">
        <v>0</v>
      </c>
      <c r="E507">
        <v>0</v>
      </c>
    </row>
    <row r="508" spans="1:5">
      <c r="A508" s="485">
        <v>423030289200</v>
      </c>
      <c r="B508" t="s">
        <v>1974</v>
      </c>
      <c r="C508">
        <v>2.8443999999999998</v>
      </c>
      <c r="D508">
        <v>0.47060000000000002</v>
      </c>
      <c r="E508">
        <v>3.3149999999999999</v>
      </c>
    </row>
    <row r="509" spans="1:5">
      <c r="A509" s="485">
        <v>423030246200</v>
      </c>
      <c r="B509" t="s">
        <v>1975</v>
      </c>
      <c r="C509">
        <v>0</v>
      </c>
      <c r="D509">
        <v>0</v>
      </c>
      <c r="E509">
        <v>0</v>
      </c>
    </row>
    <row r="510" spans="1:5">
      <c r="A510" s="485">
        <v>423030246300</v>
      </c>
      <c r="B510" t="s">
        <v>1976</v>
      </c>
      <c r="C510">
        <v>0</v>
      </c>
      <c r="D510">
        <v>0</v>
      </c>
      <c r="E510">
        <v>0</v>
      </c>
    </row>
    <row r="511" spans="1:5">
      <c r="A511" s="485">
        <v>423030246300</v>
      </c>
      <c r="B511" t="s">
        <v>1977</v>
      </c>
      <c r="C511">
        <v>0</v>
      </c>
      <c r="D511">
        <v>0</v>
      </c>
      <c r="E511">
        <v>0</v>
      </c>
    </row>
    <row r="512" spans="1:5">
      <c r="A512" s="485">
        <v>423030290000</v>
      </c>
      <c r="B512" t="s">
        <v>1978</v>
      </c>
      <c r="C512">
        <v>0</v>
      </c>
      <c r="D512">
        <v>0</v>
      </c>
      <c r="E512">
        <v>0</v>
      </c>
    </row>
    <row r="513" spans="1:5">
      <c r="A513" s="485">
        <v>423030246400</v>
      </c>
      <c r="B513" t="s">
        <v>1979</v>
      </c>
      <c r="C513">
        <v>2.5385</v>
      </c>
      <c r="D513">
        <v>1.22</v>
      </c>
      <c r="E513">
        <v>3.7584999999999997</v>
      </c>
    </row>
    <row r="514" spans="1:5">
      <c r="A514" s="485">
        <v>423030246600</v>
      </c>
      <c r="B514" t="s">
        <v>1980</v>
      </c>
      <c r="C514">
        <v>38.528700000000008</v>
      </c>
      <c r="D514">
        <v>3.9039000000000001</v>
      </c>
      <c r="E514">
        <v>42.432600000000008</v>
      </c>
    </row>
    <row r="515" spans="1:5">
      <c r="A515" s="485">
        <v>423030305800</v>
      </c>
      <c r="B515" t="s">
        <v>1981</v>
      </c>
      <c r="C515">
        <v>0</v>
      </c>
      <c r="D515">
        <v>0</v>
      </c>
      <c r="E515">
        <v>0</v>
      </c>
    </row>
    <row r="516" spans="1:5">
      <c r="A516" s="485">
        <v>423030305800</v>
      </c>
      <c r="B516" t="s">
        <v>1982</v>
      </c>
      <c r="C516">
        <v>167.78259999999997</v>
      </c>
      <c r="D516">
        <v>87.542400000000001</v>
      </c>
      <c r="E516">
        <v>255.32499999999999</v>
      </c>
    </row>
    <row r="517" spans="1:5">
      <c r="A517" s="485">
        <v>423030246900</v>
      </c>
      <c r="B517" t="s">
        <v>1983</v>
      </c>
      <c r="C517">
        <v>0.32219999999999999</v>
      </c>
      <c r="D517">
        <v>1.8035999999999999</v>
      </c>
      <c r="E517">
        <v>2.1257999999999999</v>
      </c>
    </row>
    <row r="518" spans="1:5">
      <c r="A518" s="485">
        <v>423030247000</v>
      </c>
      <c r="B518" t="s">
        <v>1984</v>
      </c>
      <c r="C518">
        <v>0</v>
      </c>
      <c r="D518">
        <v>0</v>
      </c>
      <c r="E518">
        <v>0</v>
      </c>
    </row>
    <row r="519" spans="1:5">
      <c r="A519" s="485">
        <v>423030247100</v>
      </c>
      <c r="B519" t="s">
        <v>1985</v>
      </c>
      <c r="C519">
        <v>104.3768</v>
      </c>
      <c r="D519">
        <v>102.27119999999999</v>
      </c>
      <c r="E519">
        <v>206.648</v>
      </c>
    </row>
    <row r="520" spans="1:5">
      <c r="A520" s="485">
        <v>423031228400</v>
      </c>
      <c r="B520" t="s">
        <v>1986</v>
      </c>
      <c r="C520">
        <v>0</v>
      </c>
      <c r="D520">
        <v>388.54250000000002</v>
      </c>
      <c r="E520">
        <v>388.54250000000002</v>
      </c>
    </row>
    <row r="521" spans="1:5">
      <c r="A521" s="485">
        <v>423031228400</v>
      </c>
      <c r="B521" t="s">
        <v>1987</v>
      </c>
      <c r="C521">
        <v>100</v>
      </c>
      <c r="D521">
        <v>245.26119999999997</v>
      </c>
      <c r="E521">
        <v>345.26119999999997</v>
      </c>
    </row>
    <row r="522" spans="1:5">
      <c r="A522" s="485">
        <v>423030247200</v>
      </c>
      <c r="B522" t="s">
        <v>1988</v>
      </c>
      <c r="C522">
        <v>0</v>
      </c>
      <c r="D522">
        <v>0</v>
      </c>
      <c r="E522">
        <v>0</v>
      </c>
    </row>
    <row r="523" spans="1:5">
      <c r="A523" s="485">
        <v>423031228500</v>
      </c>
      <c r="B523" t="s">
        <v>1989</v>
      </c>
      <c r="C523">
        <v>9849.7865000000002</v>
      </c>
      <c r="D523">
        <v>5018.2618000000002</v>
      </c>
      <c r="E523">
        <v>14868.0483</v>
      </c>
    </row>
    <row r="524" spans="1:5">
      <c r="A524" s="485">
        <v>423030247300</v>
      </c>
      <c r="B524" t="s">
        <v>1990</v>
      </c>
      <c r="C524">
        <v>0</v>
      </c>
      <c r="D524">
        <v>0</v>
      </c>
      <c r="E524">
        <v>0</v>
      </c>
    </row>
    <row r="525" spans="1:5">
      <c r="A525" s="485">
        <v>423030289400</v>
      </c>
      <c r="B525" t="s">
        <v>1991</v>
      </c>
      <c r="C525">
        <v>5.0000999999999989</v>
      </c>
      <c r="D525">
        <v>0.1638</v>
      </c>
      <c r="E525">
        <v>5.163899999999999</v>
      </c>
    </row>
    <row r="526" spans="1:5">
      <c r="A526" s="485">
        <v>423030247400</v>
      </c>
      <c r="B526" t="s">
        <v>1992</v>
      </c>
      <c r="C526">
        <v>0</v>
      </c>
      <c r="D526">
        <v>3.6864999999999997</v>
      </c>
      <c r="E526">
        <v>3.6864999999999997</v>
      </c>
    </row>
    <row r="527" spans="1:5">
      <c r="A527" s="485">
        <v>423030290200</v>
      </c>
      <c r="B527" t="s">
        <v>1993</v>
      </c>
      <c r="C527">
        <v>20.645799999999998</v>
      </c>
      <c r="D527">
        <v>44.669899999999998</v>
      </c>
      <c r="E527">
        <v>65.315699999999993</v>
      </c>
    </row>
    <row r="528" spans="1:5">
      <c r="A528" s="485">
        <v>423030290900</v>
      </c>
      <c r="B528" t="s">
        <v>1994</v>
      </c>
      <c r="C528">
        <v>0</v>
      </c>
      <c r="D528">
        <v>0</v>
      </c>
      <c r="E528">
        <v>0</v>
      </c>
    </row>
    <row r="529" spans="1:5">
      <c r="A529" s="485">
        <v>423030290900</v>
      </c>
      <c r="B529" t="s">
        <v>1995</v>
      </c>
      <c r="C529">
        <v>11462.434699999998</v>
      </c>
      <c r="D529">
        <v>11642.600900000001</v>
      </c>
      <c r="E529">
        <v>23105.035599999999</v>
      </c>
    </row>
    <row r="530" spans="1:5">
      <c r="A530" s="485">
        <v>423030247500</v>
      </c>
      <c r="B530" t="s">
        <v>1996</v>
      </c>
      <c r="C530">
        <v>0</v>
      </c>
      <c r="D530">
        <v>0</v>
      </c>
      <c r="E530">
        <v>0</v>
      </c>
    </row>
    <row r="531" spans="1:5">
      <c r="A531" s="485">
        <v>423030247500</v>
      </c>
      <c r="B531" t="s">
        <v>1997</v>
      </c>
      <c r="C531">
        <v>0</v>
      </c>
      <c r="D531">
        <v>0</v>
      </c>
      <c r="E531">
        <v>0</v>
      </c>
    </row>
    <row r="532" spans="1:5">
      <c r="A532" s="485">
        <v>423030247600</v>
      </c>
      <c r="B532" t="s">
        <v>1998</v>
      </c>
      <c r="C532">
        <v>0</v>
      </c>
      <c r="D532">
        <v>0</v>
      </c>
      <c r="E532">
        <v>0</v>
      </c>
    </row>
    <row r="533" spans="1:5">
      <c r="A533" s="485">
        <v>423030247700</v>
      </c>
      <c r="B533" t="s">
        <v>1999</v>
      </c>
      <c r="C533">
        <v>0</v>
      </c>
      <c r="D533">
        <v>16.388499999999997</v>
      </c>
      <c r="E533">
        <v>16.388499999999997</v>
      </c>
    </row>
    <row r="534" spans="1:5">
      <c r="A534" s="485">
        <v>423030290100</v>
      </c>
      <c r="B534" t="s">
        <v>2000</v>
      </c>
      <c r="C534">
        <v>172.45350000000002</v>
      </c>
      <c r="D534">
        <v>23.700000000000003</v>
      </c>
      <c r="E534">
        <v>196.15350000000001</v>
      </c>
    </row>
    <row r="535" spans="1:5">
      <c r="A535" s="485">
        <v>423030290100</v>
      </c>
      <c r="B535" t="s">
        <v>2001</v>
      </c>
      <c r="C535">
        <v>1748</v>
      </c>
      <c r="D535">
        <v>67.667199999999994</v>
      </c>
      <c r="E535">
        <v>1815.6672000000001</v>
      </c>
    </row>
    <row r="536" spans="1:5">
      <c r="A536" s="485">
        <v>423030291300</v>
      </c>
      <c r="B536" t="s">
        <v>2002</v>
      </c>
      <c r="C536">
        <v>140.72540000000001</v>
      </c>
      <c r="D536">
        <v>48.681400000000004</v>
      </c>
      <c r="E536">
        <v>189.4068</v>
      </c>
    </row>
    <row r="537" spans="1:5">
      <c r="A537" s="485">
        <v>423030320500</v>
      </c>
      <c r="B537" t="s">
        <v>2003</v>
      </c>
      <c r="C537">
        <v>511.56979999999993</v>
      </c>
      <c r="D537">
        <v>146.5258</v>
      </c>
      <c r="E537">
        <v>658.09559999999988</v>
      </c>
    </row>
    <row r="538" spans="1:5">
      <c r="A538" s="485">
        <v>423031119700</v>
      </c>
      <c r="B538" t="s">
        <v>2004</v>
      </c>
      <c r="C538">
        <v>0</v>
      </c>
      <c r="D538">
        <v>0</v>
      </c>
      <c r="E538">
        <v>0</v>
      </c>
    </row>
    <row r="539" spans="1:5">
      <c r="A539" s="485">
        <v>423031119700</v>
      </c>
      <c r="B539" t="s">
        <v>2005</v>
      </c>
      <c r="C539">
        <v>0</v>
      </c>
      <c r="D539">
        <v>293.86149999999998</v>
      </c>
      <c r="E539">
        <v>293.86149999999998</v>
      </c>
    </row>
    <row r="540" spans="1:5">
      <c r="A540" s="485">
        <v>423030291800</v>
      </c>
      <c r="B540" t="s">
        <v>2006</v>
      </c>
      <c r="C540">
        <v>0</v>
      </c>
      <c r="D540">
        <v>0</v>
      </c>
      <c r="E540">
        <v>0</v>
      </c>
    </row>
    <row r="541" spans="1:5">
      <c r="A541" s="485">
        <v>423030291800</v>
      </c>
      <c r="B541" t="s">
        <v>2007</v>
      </c>
      <c r="C541">
        <v>3158.5715999999998</v>
      </c>
      <c r="D541">
        <v>1988.0768</v>
      </c>
      <c r="E541">
        <v>5146.6484</v>
      </c>
    </row>
    <row r="542" spans="1:5">
      <c r="A542" s="485">
        <v>423030291800</v>
      </c>
      <c r="B542" t="s">
        <v>2008</v>
      </c>
      <c r="C542">
        <v>110.9888</v>
      </c>
      <c r="D542">
        <v>56.632400000000004</v>
      </c>
      <c r="E542">
        <v>167.62119999999999</v>
      </c>
    </row>
    <row r="543" spans="1:5">
      <c r="A543" s="485">
        <v>423030304300</v>
      </c>
      <c r="B543" t="s">
        <v>2009</v>
      </c>
      <c r="C543">
        <v>24364.4483</v>
      </c>
      <c r="D543">
        <v>7792.9609</v>
      </c>
      <c r="E543">
        <v>32157.409200000002</v>
      </c>
    </row>
    <row r="544" spans="1:5">
      <c r="A544" s="485">
        <v>423030251800</v>
      </c>
      <c r="B544" t="s">
        <v>2010</v>
      </c>
      <c r="C544">
        <v>0</v>
      </c>
      <c r="D544">
        <v>0</v>
      </c>
      <c r="E544">
        <v>0</v>
      </c>
    </row>
    <row r="545" spans="1:5">
      <c r="A545" s="485">
        <v>423030252100</v>
      </c>
      <c r="B545" t="s">
        <v>2011</v>
      </c>
      <c r="C545">
        <v>0</v>
      </c>
      <c r="D545">
        <v>165.08949999999999</v>
      </c>
      <c r="E545">
        <v>165.08949999999999</v>
      </c>
    </row>
    <row r="546" spans="1:5">
      <c r="A546" s="485">
        <v>423030293600</v>
      </c>
      <c r="B546">
        <v>3623388</v>
      </c>
      <c r="C546">
        <v>24.999999999999996</v>
      </c>
      <c r="D546">
        <v>20.960799999999999</v>
      </c>
      <c r="E546">
        <v>45.960799999999992</v>
      </c>
    </row>
    <row r="547" spans="1:5">
      <c r="A547" s="485">
        <v>423030293600</v>
      </c>
      <c r="B547" t="s">
        <v>2012</v>
      </c>
      <c r="C547">
        <v>0</v>
      </c>
      <c r="D547">
        <v>0</v>
      </c>
      <c r="E547">
        <v>0</v>
      </c>
    </row>
    <row r="548" spans="1:5">
      <c r="A548" s="485">
        <v>423030294000</v>
      </c>
      <c r="B548" t="s">
        <v>2013</v>
      </c>
      <c r="C548">
        <v>79.6922</v>
      </c>
      <c r="D548">
        <v>25.253999999999998</v>
      </c>
      <c r="E548">
        <v>104.9462</v>
      </c>
    </row>
    <row r="549" spans="1:5">
      <c r="A549" s="485">
        <v>423031096100</v>
      </c>
      <c r="B549" t="s">
        <v>2014</v>
      </c>
      <c r="C549">
        <v>0</v>
      </c>
      <c r="D549">
        <v>0</v>
      </c>
      <c r="E549">
        <v>0</v>
      </c>
    </row>
    <row r="550" spans="1:5">
      <c r="A550" s="485">
        <v>423031096100</v>
      </c>
      <c r="B550" t="s">
        <v>2015</v>
      </c>
      <c r="C550">
        <v>0</v>
      </c>
      <c r="D550">
        <v>0</v>
      </c>
      <c r="E550">
        <v>0</v>
      </c>
    </row>
    <row r="551" spans="1:5">
      <c r="A551" s="485">
        <v>423031370400</v>
      </c>
      <c r="B551" t="s">
        <v>2016</v>
      </c>
      <c r="C551">
        <v>0</v>
      </c>
      <c r="D551">
        <v>0</v>
      </c>
      <c r="E551">
        <v>0</v>
      </c>
    </row>
    <row r="552" spans="1:5">
      <c r="A552" s="485">
        <v>423031370400</v>
      </c>
      <c r="B552" t="s">
        <v>2017</v>
      </c>
      <c r="C552">
        <v>18.571400000000001</v>
      </c>
      <c r="D552">
        <v>3.3491</v>
      </c>
      <c r="E552">
        <v>21.920500000000001</v>
      </c>
    </row>
    <row r="553" spans="1:5">
      <c r="A553" s="485">
        <v>423030684600</v>
      </c>
      <c r="B553" t="s">
        <v>2018</v>
      </c>
      <c r="C553">
        <v>0</v>
      </c>
      <c r="D553">
        <v>0</v>
      </c>
      <c r="E553">
        <v>0</v>
      </c>
    </row>
    <row r="554" spans="1:5">
      <c r="A554" s="485">
        <v>423030499500</v>
      </c>
      <c r="B554" t="s">
        <v>2019</v>
      </c>
      <c r="C554">
        <v>7.0000999999999998</v>
      </c>
      <c r="D554">
        <v>1.9383000000000001</v>
      </c>
      <c r="E554">
        <v>8.9383999999999997</v>
      </c>
    </row>
    <row r="555" spans="1:5">
      <c r="A555" s="485">
        <v>423030296800</v>
      </c>
      <c r="B555" t="s">
        <v>2020</v>
      </c>
      <c r="C555">
        <v>17.0001</v>
      </c>
      <c r="D555">
        <v>28.998400000000004</v>
      </c>
      <c r="E555">
        <v>45.998500000000007</v>
      </c>
    </row>
    <row r="556" spans="1:5">
      <c r="A556" s="485">
        <v>423030296800</v>
      </c>
      <c r="B556" t="s">
        <v>2021</v>
      </c>
      <c r="C556">
        <v>0</v>
      </c>
      <c r="D556">
        <v>7.2270000000000012</v>
      </c>
      <c r="E556">
        <v>7.2270000000000012</v>
      </c>
    </row>
    <row r="557" spans="1:5">
      <c r="A557" s="485">
        <v>423030249000</v>
      </c>
      <c r="B557" t="s">
        <v>2022</v>
      </c>
      <c r="C557">
        <v>0</v>
      </c>
      <c r="D557">
        <v>5.3654999999999999</v>
      </c>
      <c r="E557">
        <v>5.3654999999999999</v>
      </c>
    </row>
    <row r="558" spans="1:5">
      <c r="A558" s="485">
        <v>423030293000</v>
      </c>
      <c r="B558" t="s">
        <v>2023</v>
      </c>
      <c r="C558">
        <v>3</v>
      </c>
      <c r="D558">
        <v>0.66820000000000002</v>
      </c>
      <c r="E558">
        <v>3.6682000000000001</v>
      </c>
    </row>
    <row r="559" spans="1:5">
      <c r="A559" s="485">
        <v>423030293900</v>
      </c>
      <c r="B559" t="s">
        <v>2024</v>
      </c>
      <c r="C559">
        <v>0</v>
      </c>
      <c r="D559">
        <v>369.05150000000003</v>
      </c>
      <c r="E559">
        <v>369.05150000000003</v>
      </c>
    </row>
    <row r="560" spans="1:5">
      <c r="A560" s="485">
        <v>423030293900</v>
      </c>
      <c r="B560" t="s">
        <v>2025</v>
      </c>
      <c r="C560">
        <v>82.000100000000003</v>
      </c>
      <c r="D560">
        <v>110.18600000000001</v>
      </c>
      <c r="E560">
        <v>192.18610000000001</v>
      </c>
    </row>
    <row r="561" spans="1:5">
      <c r="A561" s="485">
        <v>423030295000</v>
      </c>
      <c r="B561" t="s">
        <v>2026</v>
      </c>
      <c r="C561">
        <v>0</v>
      </c>
      <c r="D561">
        <v>0</v>
      </c>
      <c r="E561">
        <v>0</v>
      </c>
    </row>
    <row r="562" spans="1:5">
      <c r="A562" s="485">
        <v>423031205200</v>
      </c>
      <c r="B562" t="s">
        <v>2027</v>
      </c>
      <c r="C562">
        <v>0</v>
      </c>
      <c r="D562">
        <v>0</v>
      </c>
      <c r="E562">
        <v>0</v>
      </c>
    </row>
    <row r="563" spans="1:5">
      <c r="A563" s="485">
        <v>423030251400</v>
      </c>
      <c r="B563" t="s">
        <v>2028</v>
      </c>
      <c r="C563">
        <v>0</v>
      </c>
      <c r="D563">
        <v>0</v>
      </c>
      <c r="E563">
        <v>0</v>
      </c>
    </row>
    <row r="564" spans="1:5">
      <c r="A564" s="485">
        <v>423030295500</v>
      </c>
      <c r="B564" t="s">
        <v>2029</v>
      </c>
      <c r="C564">
        <v>0</v>
      </c>
      <c r="D564">
        <v>0</v>
      </c>
      <c r="E564">
        <v>0</v>
      </c>
    </row>
    <row r="565" spans="1:5">
      <c r="A565" s="485">
        <v>423030250100</v>
      </c>
      <c r="B565" t="s">
        <v>2030</v>
      </c>
      <c r="C565">
        <v>0</v>
      </c>
      <c r="D565">
        <v>0</v>
      </c>
      <c r="E565">
        <v>0</v>
      </c>
    </row>
    <row r="566" spans="1:5">
      <c r="A566" s="485">
        <v>423030295600</v>
      </c>
      <c r="B566" t="s">
        <v>2031</v>
      </c>
      <c r="C566">
        <v>0</v>
      </c>
      <c r="D566">
        <v>0</v>
      </c>
      <c r="E566">
        <v>0</v>
      </c>
    </row>
    <row r="567" spans="1:5">
      <c r="A567" s="485">
        <v>423030295600</v>
      </c>
      <c r="B567" t="s">
        <v>2032</v>
      </c>
      <c r="C567">
        <v>0</v>
      </c>
      <c r="D567">
        <v>0</v>
      </c>
      <c r="E567">
        <v>0</v>
      </c>
    </row>
    <row r="568" spans="1:5">
      <c r="A568" s="485">
        <v>423030251000</v>
      </c>
      <c r="B568" t="s">
        <v>2033</v>
      </c>
      <c r="C568">
        <v>0</v>
      </c>
      <c r="D568">
        <v>0</v>
      </c>
      <c r="E568">
        <v>0</v>
      </c>
    </row>
    <row r="569" spans="1:5">
      <c r="A569" s="485">
        <v>423030295900</v>
      </c>
      <c r="B569" t="s">
        <v>2034</v>
      </c>
      <c r="C569">
        <v>1384.4</v>
      </c>
      <c r="D569">
        <v>1846.8004999999998</v>
      </c>
      <c r="E569">
        <v>3231.2004999999999</v>
      </c>
    </row>
    <row r="570" spans="1:5">
      <c r="A570" s="485">
        <v>423030296000</v>
      </c>
      <c r="B570" t="s">
        <v>2035</v>
      </c>
      <c r="C570">
        <v>458.6626</v>
      </c>
      <c r="D570">
        <v>34.898500000000006</v>
      </c>
      <c r="E570">
        <v>493.56110000000001</v>
      </c>
    </row>
    <row r="571" spans="1:5">
      <c r="A571" s="485">
        <v>423030296200</v>
      </c>
      <c r="B571" t="s">
        <v>2036</v>
      </c>
      <c r="C571">
        <v>138.22460000000001</v>
      </c>
      <c r="D571">
        <v>14.214400000000001</v>
      </c>
      <c r="E571">
        <v>152.43900000000002</v>
      </c>
    </row>
    <row r="572" spans="1:5">
      <c r="A572" s="485">
        <v>423030297000</v>
      </c>
      <c r="B572" t="s">
        <v>2037</v>
      </c>
      <c r="C572">
        <v>384.6191</v>
      </c>
      <c r="D572">
        <v>131.9496</v>
      </c>
      <c r="E572">
        <v>516.56870000000004</v>
      </c>
    </row>
    <row r="573" spans="1:5">
      <c r="A573" s="485">
        <v>423030251700</v>
      </c>
      <c r="B573" t="s">
        <v>2038</v>
      </c>
      <c r="C573">
        <v>0</v>
      </c>
      <c r="D573">
        <v>0</v>
      </c>
      <c r="E573">
        <v>0</v>
      </c>
    </row>
    <row r="574" spans="1:5">
      <c r="A574" s="485">
        <v>423030297200</v>
      </c>
      <c r="B574" t="s">
        <v>2039</v>
      </c>
      <c r="C574">
        <v>0</v>
      </c>
      <c r="D574">
        <v>62.925999999999995</v>
      </c>
      <c r="E574">
        <v>62.925999999999995</v>
      </c>
    </row>
    <row r="575" spans="1:5">
      <c r="A575" s="485">
        <v>423030297200</v>
      </c>
      <c r="B575" t="s">
        <v>2040</v>
      </c>
      <c r="C575">
        <v>14.9999</v>
      </c>
      <c r="D575">
        <v>3.3496000000000001</v>
      </c>
      <c r="E575">
        <v>18.349499999999999</v>
      </c>
    </row>
    <row r="576" spans="1:5">
      <c r="A576" s="485">
        <v>423030297400</v>
      </c>
      <c r="B576" t="s">
        <v>2041</v>
      </c>
      <c r="C576">
        <v>0</v>
      </c>
      <c r="D576">
        <v>0</v>
      </c>
      <c r="E576">
        <v>0</v>
      </c>
    </row>
    <row r="577" spans="1:5">
      <c r="A577" s="485">
        <v>423030297400</v>
      </c>
      <c r="B577" t="s">
        <v>2042</v>
      </c>
      <c r="C577">
        <v>488.28589999999997</v>
      </c>
      <c r="D577">
        <v>71.304000000000002</v>
      </c>
      <c r="E577">
        <v>559.58989999999994</v>
      </c>
    </row>
    <row r="578" spans="1:5">
      <c r="A578" s="485">
        <v>423030298000</v>
      </c>
      <c r="B578" t="s">
        <v>2043</v>
      </c>
      <c r="C578">
        <v>0</v>
      </c>
      <c r="D578">
        <v>0</v>
      </c>
      <c r="E578">
        <v>0</v>
      </c>
    </row>
    <row r="579" spans="1:5">
      <c r="A579" s="485">
        <v>423030298200</v>
      </c>
      <c r="B579" t="s">
        <v>2044</v>
      </c>
      <c r="C579">
        <v>0</v>
      </c>
      <c r="D579">
        <v>0</v>
      </c>
      <c r="E579">
        <v>0</v>
      </c>
    </row>
    <row r="580" spans="1:5">
      <c r="A580" s="485">
        <v>423030297700</v>
      </c>
      <c r="B580" t="s">
        <v>2045</v>
      </c>
      <c r="C580">
        <v>0</v>
      </c>
      <c r="D580">
        <v>0</v>
      </c>
      <c r="E580">
        <v>0</v>
      </c>
    </row>
    <row r="581" spans="1:5">
      <c r="A581" s="485">
        <v>423030297700</v>
      </c>
      <c r="B581" t="s">
        <v>2046</v>
      </c>
      <c r="C581">
        <v>30.411700000000003</v>
      </c>
      <c r="D581">
        <v>5.4653</v>
      </c>
      <c r="E581">
        <v>35.877000000000002</v>
      </c>
    </row>
    <row r="582" spans="1:5">
      <c r="A582" s="485">
        <v>423030297900</v>
      </c>
      <c r="B582" t="s">
        <v>2047</v>
      </c>
      <c r="C582">
        <v>0</v>
      </c>
      <c r="D582">
        <v>0</v>
      </c>
      <c r="E582">
        <v>0</v>
      </c>
    </row>
    <row r="583" spans="1:5">
      <c r="A583" s="485">
        <v>423030298100</v>
      </c>
      <c r="B583" t="s">
        <v>2048</v>
      </c>
      <c r="C583">
        <v>82.795699999999997</v>
      </c>
      <c r="D583">
        <v>36.4176</v>
      </c>
      <c r="E583">
        <v>119.2133</v>
      </c>
    </row>
    <row r="584" spans="1:5">
      <c r="A584" s="485">
        <v>423030298500</v>
      </c>
      <c r="B584" t="s">
        <v>2049</v>
      </c>
      <c r="C584">
        <v>0</v>
      </c>
      <c r="D584">
        <v>0</v>
      </c>
      <c r="E584">
        <v>0</v>
      </c>
    </row>
    <row r="585" spans="1:5">
      <c r="A585" s="485">
        <v>423030298500</v>
      </c>
      <c r="B585" t="s">
        <v>2050</v>
      </c>
      <c r="C585">
        <v>763.11630000000002</v>
      </c>
      <c r="D585">
        <v>383.5976</v>
      </c>
      <c r="E585">
        <v>1146.7139</v>
      </c>
    </row>
    <row r="586" spans="1:5">
      <c r="A586" s="485">
        <v>423030253800</v>
      </c>
      <c r="B586" t="s">
        <v>2051</v>
      </c>
      <c r="C586">
        <v>2.0000999999999998</v>
      </c>
      <c r="D586">
        <v>1.1825000000000001</v>
      </c>
      <c r="E586">
        <v>3.1825999999999999</v>
      </c>
    </row>
    <row r="587" spans="1:5">
      <c r="A587" s="485">
        <v>423030252600</v>
      </c>
      <c r="B587" t="s">
        <v>2052</v>
      </c>
      <c r="C587">
        <v>1.0001</v>
      </c>
      <c r="D587">
        <v>221.4194</v>
      </c>
      <c r="E587">
        <v>222.4195</v>
      </c>
    </row>
    <row r="588" spans="1:5">
      <c r="A588" s="485">
        <v>423030298800</v>
      </c>
      <c r="B588" t="s">
        <v>2053</v>
      </c>
      <c r="C588">
        <v>1</v>
      </c>
      <c r="D588">
        <v>2.5973000000000002</v>
      </c>
      <c r="E588">
        <v>3.5973000000000002</v>
      </c>
    </row>
    <row r="589" spans="1:5">
      <c r="A589" s="485">
        <v>423030299000</v>
      </c>
      <c r="B589" t="s">
        <v>2054</v>
      </c>
      <c r="C589">
        <v>0</v>
      </c>
      <c r="D589">
        <v>0</v>
      </c>
      <c r="E589">
        <v>0</v>
      </c>
    </row>
    <row r="590" spans="1:5">
      <c r="A590" s="485">
        <v>423030299000</v>
      </c>
      <c r="B590" t="s">
        <v>2055</v>
      </c>
      <c r="C590">
        <v>42.4041</v>
      </c>
      <c r="D590">
        <v>1.464</v>
      </c>
      <c r="E590">
        <v>43.868099999999998</v>
      </c>
    </row>
    <row r="591" spans="1:5">
      <c r="A591" s="485">
        <v>423030299600</v>
      </c>
      <c r="B591" t="s">
        <v>2056</v>
      </c>
      <c r="C591">
        <v>6.0000999999999989</v>
      </c>
      <c r="D591">
        <v>0.17100000000000001</v>
      </c>
      <c r="E591">
        <v>6.1710999999999991</v>
      </c>
    </row>
    <row r="592" spans="1:5">
      <c r="A592" s="485">
        <v>423030254300</v>
      </c>
      <c r="B592" t="s">
        <v>2057</v>
      </c>
      <c r="C592">
        <v>0</v>
      </c>
      <c r="D592">
        <v>0</v>
      </c>
      <c r="E592">
        <v>0</v>
      </c>
    </row>
    <row r="593" spans="1:5">
      <c r="A593" s="485">
        <v>423030254400</v>
      </c>
      <c r="B593" t="s">
        <v>2058</v>
      </c>
      <c r="C593">
        <v>0</v>
      </c>
      <c r="D593">
        <v>0</v>
      </c>
      <c r="E593">
        <v>0</v>
      </c>
    </row>
    <row r="594" spans="1:5">
      <c r="A594" s="485">
        <v>423030456900</v>
      </c>
      <c r="B594" t="s">
        <v>2059</v>
      </c>
      <c r="C594">
        <v>80.258200000000002</v>
      </c>
      <c r="D594">
        <v>82.461899999999986</v>
      </c>
      <c r="E594">
        <v>162.7201</v>
      </c>
    </row>
    <row r="595" spans="1:5">
      <c r="A595" s="485">
        <v>423030299800</v>
      </c>
      <c r="B595" t="s">
        <v>2060</v>
      </c>
      <c r="C595">
        <v>716.86219999999992</v>
      </c>
      <c r="D595">
        <v>144.274</v>
      </c>
      <c r="E595">
        <v>861.13619999999992</v>
      </c>
    </row>
    <row r="596" spans="1:5">
      <c r="A596" s="485">
        <v>423030299800</v>
      </c>
      <c r="B596" t="s">
        <v>2061</v>
      </c>
      <c r="C596">
        <v>0</v>
      </c>
      <c r="D596">
        <v>0</v>
      </c>
      <c r="E596">
        <v>0</v>
      </c>
    </row>
    <row r="597" spans="1:5">
      <c r="A597" s="485">
        <v>423030299100</v>
      </c>
      <c r="B597" t="s">
        <v>2062</v>
      </c>
      <c r="C597">
        <v>0</v>
      </c>
      <c r="D597">
        <v>15.877499999999998</v>
      </c>
      <c r="E597">
        <v>15.877499999999998</v>
      </c>
    </row>
    <row r="598" spans="1:5">
      <c r="A598" s="485">
        <v>423030299100</v>
      </c>
      <c r="B598" t="s">
        <v>2063</v>
      </c>
      <c r="C598">
        <v>46.714100000000002</v>
      </c>
      <c r="D598">
        <v>27.7119</v>
      </c>
      <c r="E598">
        <v>74.426000000000002</v>
      </c>
    </row>
    <row r="599" spans="1:5">
      <c r="A599" s="485">
        <v>423030299200</v>
      </c>
      <c r="B599" t="s">
        <v>2064</v>
      </c>
      <c r="C599">
        <v>55.975000000000001</v>
      </c>
      <c r="D599">
        <v>28.099400000000003</v>
      </c>
      <c r="E599">
        <v>84.074399999999997</v>
      </c>
    </row>
    <row r="600" spans="1:5">
      <c r="A600" s="485">
        <v>423030299200</v>
      </c>
      <c r="B600" t="s">
        <v>2065</v>
      </c>
      <c r="C600">
        <v>0</v>
      </c>
      <c r="D600">
        <v>17.191500000000001</v>
      </c>
      <c r="E600">
        <v>17.191500000000001</v>
      </c>
    </row>
    <row r="601" spans="1:5">
      <c r="A601" s="485">
        <v>423030255000</v>
      </c>
      <c r="B601" t="s">
        <v>2066</v>
      </c>
      <c r="C601">
        <v>1</v>
      </c>
      <c r="D601">
        <v>2.8020999999999998</v>
      </c>
      <c r="E601">
        <v>3.8020999999999998</v>
      </c>
    </row>
    <row r="602" spans="1:5">
      <c r="A602" s="485">
        <v>423030300000</v>
      </c>
      <c r="B602" t="s">
        <v>2067</v>
      </c>
      <c r="C602">
        <v>0</v>
      </c>
      <c r="D602">
        <v>0</v>
      </c>
      <c r="E602">
        <v>0</v>
      </c>
    </row>
    <row r="603" spans="1:5">
      <c r="A603" s="485">
        <v>423030300600</v>
      </c>
      <c r="B603" t="s">
        <v>2068</v>
      </c>
      <c r="C603">
        <v>12.999799999999999</v>
      </c>
      <c r="D603">
        <v>3.0102000000000002</v>
      </c>
      <c r="E603">
        <v>16.009999999999998</v>
      </c>
    </row>
    <row r="604" spans="1:5">
      <c r="A604" s="485">
        <v>423030402400</v>
      </c>
      <c r="B604" t="s">
        <v>2069</v>
      </c>
      <c r="C604">
        <v>0</v>
      </c>
      <c r="D604">
        <v>0</v>
      </c>
      <c r="E604">
        <v>0</v>
      </c>
    </row>
    <row r="605" spans="1:5">
      <c r="A605" s="485">
        <v>423030255200</v>
      </c>
      <c r="B605" t="s">
        <v>2070</v>
      </c>
      <c r="C605">
        <v>0</v>
      </c>
      <c r="D605">
        <v>0</v>
      </c>
      <c r="E605">
        <v>0</v>
      </c>
    </row>
    <row r="606" spans="1:5">
      <c r="A606" s="485">
        <v>423030254200</v>
      </c>
      <c r="B606" t="s">
        <v>2071</v>
      </c>
      <c r="C606">
        <v>0</v>
      </c>
      <c r="D606">
        <v>0</v>
      </c>
      <c r="E606">
        <v>0</v>
      </c>
    </row>
    <row r="607" spans="1:5">
      <c r="A607" s="485">
        <v>423030254700</v>
      </c>
      <c r="B607">
        <v>2789360000</v>
      </c>
      <c r="C607">
        <v>1018.924</v>
      </c>
      <c r="D607">
        <v>2070.4375</v>
      </c>
      <c r="E607">
        <v>3089.3615</v>
      </c>
    </row>
    <row r="608" spans="1:5">
      <c r="A608" s="485">
        <v>423030301000</v>
      </c>
      <c r="B608" t="s">
        <v>2072</v>
      </c>
      <c r="C608">
        <v>0</v>
      </c>
      <c r="D608">
        <v>0</v>
      </c>
      <c r="E608">
        <v>0</v>
      </c>
    </row>
    <row r="609" spans="1:5">
      <c r="A609" s="485">
        <v>423030301800</v>
      </c>
      <c r="B609" t="s">
        <v>2073</v>
      </c>
      <c r="C609">
        <v>285.50009999999997</v>
      </c>
      <c r="D609">
        <v>113.19120000000001</v>
      </c>
      <c r="E609">
        <v>398.69129999999996</v>
      </c>
    </row>
    <row r="610" spans="1:5">
      <c r="A610" s="485">
        <v>423030255700</v>
      </c>
      <c r="B610" t="s">
        <v>2074</v>
      </c>
      <c r="C610">
        <v>125.03750000000001</v>
      </c>
      <c r="D610">
        <v>137.52699999999999</v>
      </c>
      <c r="E610">
        <v>262.56450000000001</v>
      </c>
    </row>
    <row r="611" spans="1:5">
      <c r="A611" s="485">
        <v>423030255800</v>
      </c>
      <c r="B611" t="s">
        <v>2075</v>
      </c>
      <c r="C611">
        <v>42.333199999999998</v>
      </c>
      <c r="D611">
        <v>64.568200000000004</v>
      </c>
      <c r="E611">
        <v>106.9014</v>
      </c>
    </row>
    <row r="612" spans="1:5">
      <c r="A612" s="485">
        <v>423030255800</v>
      </c>
      <c r="B612" t="s">
        <v>2076</v>
      </c>
      <c r="C612">
        <v>0</v>
      </c>
      <c r="D612">
        <v>0</v>
      </c>
      <c r="E612">
        <v>0</v>
      </c>
    </row>
    <row r="613" spans="1:5">
      <c r="A613" s="485">
        <v>423030301300</v>
      </c>
      <c r="B613" t="s">
        <v>2077</v>
      </c>
      <c r="C613">
        <v>1289.7229</v>
      </c>
      <c r="D613">
        <v>210.3646</v>
      </c>
      <c r="E613">
        <v>1500.0875000000001</v>
      </c>
    </row>
    <row r="614" spans="1:5">
      <c r="A614" s="485">
        <v>423031095600</v>
      </c>
      <c r="B614" t="s">
        <v>2078</v>
      </c>
      <c r="C614">
        <v>0</v>
      </c>
      <c r="D614">
        <v>4.3070000000000004</v>
      </c>
      <c r="E614">
        <v>4.3070000000000004</v>
      </c>
    </row>
    <row r="615" spans="1:5">
      <c r="A615" s="485">
        <v>423030300900</v>
      </c>
      <c r="B615" t="s">
        <v>2079</v>
      </c>
      <c r="C615">
        <v>0</v>
      </c>
      <c r="D615">
        <v>0</v>
      </c>
      <c r="E615">
        <v>0</v>
      </c>
    </row>
    <row r="616" spans="1:5">
      <c r="A616" s="485">
        <v>423030300900</v>
      </c>
      <c r="B616" t="s">
        <v>2080</v>
      </c>
      <c r="C616">
        <v>570.63630000000001</v>
      </c>
      <c r="D616">
        <v>243.6336</v>
      </c>
      <c r="E616">
        <v>814.26990000000001</v>
      </c>
    </row>
    <row r="617" spans="1:5">
      <c r="A617" s="485">
        <v>423030301700</v>
      </c>
      <c r="B617" t="s">
        <v>2081</v>
      </c>
      <c r="C617">
        <v>1.0001</v>
      </c>
      <c r="D617">
        <v>2.3434999999999997</v>
      </c>
      <c r="E617">
        <v>3.3435999999999995</v>
      </c>
    </row>
    <row r="618" spans="1:5">
      <c r="A618" s="485">
        <v>423030302500</v>
      </c>
      <c r="B618" t="s">
        <v>2082</v>
      </c>
      <c r="C618">
        <v>6.9124999999999996</v>
      </c>
      <c r="D618">
        <v>0.14560000000000001</v>
      </c>
      <c r="E618">
        <v>7.0580999999999996</v>
      </c>
    </row>
    <row r="619" spans="1:5">
      <c r="A619" s="485">
        <v>423030302500</v>
      </c>
      <c r="B619" t="s">
        <v>2083</v>
      </c>
      <c r="C619">
        <v>0</v>
      </c>
      <c r="D619">
        <v>0</v>
      </c>
      <c r="E619">
        <v>0</v>
      </c>
    </row>
    <row r="620" spans="1:5">
      <c r="A620" s="485">
        <v>423030255900</v>
      </c>
      <c r="B620" t="s">
        <v>2084</v>
      </c>
      <c r="C620">
        <v>0</v>
      </c>
      <c r="D620">
        <v>0</v>
      </c>
      <c r="E620">
        <v>0</v>
      </c>
    </row>
    <row r="621" spans="1:5">
      <c r="A621" s="485">
        <v>423030256400</v>
      </c>
      <c r="B621" t="s">
        <v>2085</v>
      </c>
      <c r="C621">
        <v>0</v>
      </c>
      <c r="D621">
        <v>0</v>
      </c>
      <c r="E621">
        <v>0</v>
      </c>
    </row>
    <row r="622" spans="1:5">
      <c r="A622" s="485">
        <v>423031451400</v>
      </c>
      <c r="B622" t="s">
        <v>2086</v>
      </c>
      <c r="C622">
        <v>0</v>
      </c>
      <c r="D622">
        <v>0</v>
      </c>
      <c r="E622">
        <v>0</v>
      </c>
    </row>
    <row r="623" spans="1:5">
      <c r="A623" s="485">
        <v>423030256500</v>
      </c>
      <c r="B623" t="s">
        <v>2087</v>
      </c>
      <c r="C623">
        <v>0</v>
      </c>
      <c r="D623">
        <v>0</v>
      </c>
      <c r="E623">
        <v>0</v>
      </c>
    </row>
    <row r="624" spans="1:5">
      <c r="A624" s="485">
        <v>423030256700</v>
      </c>
      <c r="B624" t="s">
        <v>2088</v>
      </c>
      <c r="C624">
        <v>0</v>
      </c>
      <c r="D624">
        <v>0</v>
      </c>
      <c r="E624">
        <v>0</v>
      </c>
    </row>
    <row r="625" spans="1:5">
      <c r="A625" s="485">
        <v>423030257300</v>
      </c>
      <c r="B625" t="s">
        <v>2089</v>
      </c>
      <c r="C625">
        <v>0</v>
      </c>
      <c r="D625">
        <v>0</v>
      </c>
      <c r="E625">
        <v>0</v>
      </c>
    </row>
    <row r="626" spans="1:5">
      <c r="A626" s="485">
        <v>423030257300</v>
      </c>
      <c r="B626" t="s">
        <v>2090</v>
      </c>
      <c r="C626">
        <v>1</v>
      </c>
      <c r="D626">
        <v>0.88159999999999994</v>
      </c>
      <c r="E626">
        <v>1.8815999999999999</v>
      </c>
    </row>
    <row r="627" spans="1:5">
      <c r="A627" s="485">
        <v>423030302400</v>
      </c>
      <c r="B627" t="s">
        <v>2091</v>
      </c>
      <c r="C627">
        <v>8.1333000000000002</v>
      </c>
      <c r="D627">
        <v>1.3900999999999999</v>
      </c>
      <c r="E627">
        <v>9.5234000000000005</v>
      </c>
    </row>
    <row r="628" spans="1:5">
      <c r="A628" s="485">
        <v>423030303000</v>
      </c>
      <c r="B628">
        <v>270094604</v>
      </c>
      <c r="C628">
        <v>125.7741</v>
      </c>
      <c r="D628">
        <v>24.725000000000001</v>
      </c>
      <c r="E628">
        <v>150.4991</v>
      </c>
    </row>
    <row r="629" spans="1:5">
      <c r="A629" s="485">
        <v>423030303000</v>
      </c>
      <c r="B629" t="s">
        <v>2092</v>
      </c>
      <c r="C629">
        <v>63.217699999999994</v>
      </c>
      <c r="D629">
        <v>2.2303999999999999</v>
      </c>
      <c r="E629">
        <v>65.448099999999997</v>
      </c>
    </row>
    <row r="630" spans="1:5">
      <c r="A630" s="485">
        <v>423030304700</v>
      </c>
      <c r="B630" t="s">
        <v>2093</v>
      </c>
      <c r="C630">
        <v>0</v>
      </c>
      <c r="D630">
        <v>0</v>
      </c>
      <c r="E630">
        <v>0</v>
      </c>
    </row>
    <row r="631" spans="1:5">
      <c r="A631" s="485">
        <v>423030304700</v>
      </c>
      <c r="B631" t="s">
        <v>2094</v>
      </c>
      <c r="C631">
        <v>130.60000000000002</v>
      </c>
      <c r="D631">
        <v>5.2127999999999997</v>
      </c>
      <c r="E631">
        <v>135.81280000000001</v>
      </c>
    </row>
    <row r="632" spans="1:5">
      <c r="A632" s="485">
        <v>423030315600</v>
      </c>
      <c r="B632" t="s">
        <v>2095</v>
      </c>
      <c r="C632">
        <v>1.7470000000000001</v>
      </c>
      <c r="D632">
        <v>0.21719999999999998</v>
      </c>
      <c r="E632">
        <v>1.9642000000000002</v>
      </c>
    </row>
    <row r="633" spans="1:5">
      <c r="A633" s="485">
        <v>423030257000</v>
      </c>
      <c r="B633" t="s">
        <v>2096</v>
      </c>
      <c r="C633">
        <v>0</v>
      </c>
      <c r="D633">
        <v>0</v>
      </c>
      <c r="E633">
        <v>0</v>
      </c>
    </row>
    <row r="634" spans="1:5">
      <c r="A634" s="485">
        <v>423031305600</v>
      </c>
      <c r="B634" t="s">
        <v>2097</v>
      </c>
      <c r="C634">
        <v>0</v>
      </c>
      <c r="D634">
        <v>0</v>
      </c>
      <c r="E634">
        <v>0</v>
      </c>
    </row>
    <row r="635" spans="1:5">
      <c r="A635" s="485">
        <v>423031305600</v>
      </c>
      <c r="B635" t="s">
        <v>2098</v>
      </c>
      <c r="C635">
        <v>0</v>
      </c>
      <c r="D635">
        <v>0</v>
      </c>
      <c r="E635">
        <v>0</v>
      </c>
    </row>
    <row r="636" spans="1:5">
      <c r="A636" s="485">
        <v>423030504100</v>
      </c>
      <c r="B636" t="s">
        <v>2099</v>
      </c>
      <c r="C636">
        <v>0</v>
      </c>
      <c r="D636">
        <v>0</v>
      </c>
      <c r="E636">
        <v>0</v>
      </c>
    </row>
    <row r="637" spans="1:5">
      <c r="A637" s="485">
        <v>423030311800</v>
      </c>
      <c r="B637" t="s">
        <v>2100</v>
      </c>
      <c r="C637">
        <v>0</v>
      </c>
      <c r="D637">
        <v>0</v>
      </c>
      <c r="E637">
        <v>0</v>
      </c>
    </row>
    <row r="638" spans="1:5">
      <c r="A638" s="485">
        <v>423030257500</v>
      </c>
      <c r="B638" t="s">
        <v>2101</v>
      </c>
      <c r="C638">
        <v>0</v>
      </c>
      <c r="D638">
        <v>0</v>
      </c>
      <c r="E638">
        <v>0</v>
      </c>
    </row>
    <row r="639" spans="1:5">
      <c r="A639" s="485">
        <v>423030312600</v>
      </c>
      <c r="B639" t="s">
        <v>2102</v>
      </c>
      <c r="C639">
        <v>19.372199999999999</v>
      </c>
      <c r="D639">
        <v>14.054399999999998</v>
      </c>
      <c r="E639">
        <v>33.426599999999993</v>
      </c>
    </row>
    <row r="640" spans="1:5">
      <c r="A640" s="485">
        <v>423030313400</v>
      </c>
      <c r="B640" t="s">
        <v>2103</v>
      </c>
      <c r="C640">
        <v>24.983199999999997</v>
      </c>
      <c r="D640">
        <v>11.4536</v>
      </c>
      <c r="E640">
        <v>36.436799999999998</v>
      </c>
    </row>
    <row r="641" spans="1:5">
      <c r="A641" s="485">
        <v>423030257900</v>
      </c>
      <c r="B641" t="s">
        <v>2104</v>
      </c>
      <c r="C641">
        <v>0</v>
      </c>
      <c r="D641">
        <v>0</v>
      </c>
      <c r="E641">
        <v>0</v>
      </c>
    </row>
    <row r="642" spans="1:5">
      <c r="A642" s="485">
        <v>423030258100</v>
      </c>
      <c r="B642" t="s">
        <v>2105</v>
      </c>
      <c r="C642">
        <v>0</v>
      </c>
      <c r="D642">
        <v>0</v>
      </c>
      <c r="E642">
        <v>0</v>
      </c>
    </row>
    <row r="643" spans="1:5">
      <c r="A643" s="485">
        <v>423030311900</v>
      </c>
      <c r="B643" t="s">
        <v>2106</v>
      </c>
      <c r="C643">
        <v>221.64520000000002</v>
      </c>
      <c r="D643">
        <v>117.2899</v>
      </c>
      <c r="E643">
        <v>338.93510000000003</v>
      </c>
    </row>
    <row r="644" spans="1:5">
      <c r="A644" s="485">
        <v>423030311900</v>
      </c>
      <c r="B644" t="s">
        <v>2107</v>
      </c>
      <c r="C644">
        <v>0</v>
      </c>
      <c r="D644">
        <v>13.7605</v>
      </c>
      <c r="E644">
        <v>13.7605</v>
      </c>
    </row>
    <row r="645" spans="1:5">
      <c r="A645" s="485">
        <v>423030312400</v>
      </c>
      <c r="B645" t="s">
        <v>2108</v>
      </c>
      <c r="C645">
        <v>0</v>
      </c>
      <c r="D645">
        <v>0</v>
      </c>
      <c r="E645">
        <v>0</v>
      </c>
    </row>
    <row r="646" spans="1:5">
      <c r="A646" s="485">
        <v>423030312400</v>
      </c>
      <c r="B646" t="s">
        <v>2109</v>
      </c>
      <c r="C646">
        <v>0</v>
      </c>
      <c r="D646">
        <v>0</v>
      </c>
      <c r="E646">
        <v>0</v>
      </c>
    </row>
    <row r="647" spans="1:5">
      <c r="A647" s="485">
        <v>423030312400</v>
      </c>
      <c r="B647" t="s">
        <v>2110</v>
      </c>
      <c r="C647">
        <v>0</v>
      </c>
      <c r="D647">
        <v>0</v>
      </c>
      <c r="E647">
        <v>0</v>
      </c>
    </row>
    <row r="648" spans="1:5">
      <c r="A648" s="485">
        <v>423030312400</v>
      </c>
      <c r="B648" t="s">
        <v>2111</v>
      </c>
      <c r="C648">
        <v>0</v>
      </c>
      <c r="D648">
        <v>0</v>
      </c>
      <c r="E648">
        <v>0</v>
      </c>
    </row>
    <row r="649" spans="1:5">
      <c r="A649" s="485">
        <v>423030196400</v>
      </c>
      <c r="B649" t="s">
        <v>2112</v>
      </c>
      <c r="C649">
        <v>0</v>
      </c>
      <c r="D649">
        <v>0</v>
      </c>
      <c r="E649">
        <v>0</v>
      </c>
    </row>
    <row r="650" spans="1:5">
      <c r="A650" s="485">
        <v>423030258200</v>
      </c>
      <c r="B650" t="s">
        <v>2113</v>
      </c>
      <c r="C650">
        <v>0</v>
      </c>
      <c r="D650">
        <v>0</v>
      </c>
      <c r="E650">
        <v>0</v>
      </c>
    </row>
    <row r="651" spans="1:5">
      <c r="A651" s="485">
        <v>423030312800</v>
      </c>
      <c r="B651" t="s">
        <v>2114</v>
      </c>
      <c r="C651">
        <v>0</v>
      </c>
      <c r="D651">
        <v>0</v>
      </c>
      <c r="E651">
        <v>0</v>
      </c>
    </row>
    <row r="652" spans="1:5">
      <c r="A652" s="485">
        <v>423030312800</v>
      </c>
      <c r="B652" t="s">
        <v>2115</v>
      </c>
      <c r="C652">
        <v>0</v>
      </c>
      <c r="D652">
        <v>0</v>
      </c>
      <c r="E652">
        <v>0</v>
      </c>
    </row>
    <row r="653" spans="1:5">
      <c r="A653" s="485">
        <v>423030313100</v>
      </c>
      <c r="B653" t="s">
        <v>2116</v>
      </c>
      <c r="C653">
        <v>2.9999999999999996</v>
      </c>
      <c r="D653">
        <v>1.5077999999999998</v>
      </c>
      <c r="E653">
        <v>4.5077999999999996</v>
      </c>
    </row>
    <row r="654" spans="1:5">
      <c r="A654" s="485">
        <v>423030313300</v>
      </c>
      <c r="B654" t="s">
        <v>2117</v>
      </c>
      <c r="C654">
        <v>163.32650000000001</v>
      </c>
      <c r="D654">
        <v>148.44349999999997</v>
      </c>
      <c r="E654">
        <v>311.77</v>
      </c>
    </row>
    <row r="655" spans="1:5">
      <c r="A655" s="485">
        <v>423031194100</v>
      </c>
      <c r="B655" t="s">
        <v>2118</v>
      </c>
      <c r="C655">
        <v>0</v>
      </c>
      <c r="D655">
        <v>0</v>
      </c>
      <c r="E655">
        <v>0</v>
      </c>
    </row>
    <row r="656" spans="1:5">
      <c r="A656" s="485">
        <v>423030257600</v>
      </c>
      <c r="B656" t="s">
        <v>2119</v>
      </c>
      <c r="C656">
        <v>0</v>
      </c>
      <c r="D656">
        <v>0</v>
      </c>
      <c r="E656">
        <v>0</v>
      </c>
    </row>
    <row r="657" spans="1:5">
      <c r="A657" s="485">
        <v>423030258300</v>
      </c>
      <c r="B657" t="s">
        <v>2120</v>
      </c>
      <c r="C657">
        <v>0</v>
      </c>
      <c r="D657">
        <v>0</v>
      </c>
      <c r="E657">
        <v>0</v>
      </c>
    </row>
    <row r="658" spans="1:5">
      <c r="A658" s="485">
        <v>423030315800</v>
      </c>
      <c r="B658" t="s">
        <v>2121</v>
      </c>
      <c r="C658">
        <v>0</v>
      </c>
      <c r="D658">
        <v>0</v>
      </c>
      <c r="E658">
        <v>0</v>
      </c>
    </row>
    <row r="659" spans="1:5">
      <c r="A659" s="485">
        <v>423030315800</v>
      </c>
      <c r="B659" t="s">
        <v>2122</v>
      </c>
      <c r="C659">
        <v>129.9092</v>
      </c>
      <c r="D659">
        <v>198.33439999999996</v>
      </c>
      <c r="E659">
        <v>328.24359999999996</v>
      </c>
    </row>
    <row r="660" spans="1:5">
      <c r="A660" s="485">
        <v>423030315800</v>
      </c>
      <c r="B660" t="s">
        <v>2123</v>
      </c>
      <c r="C660">
        <v>90</v>
      </c>
      <c r="D660">
        <v>1476.5632000000001</v>
      </c>
      <c r="E660">
        <v>1566.5632000000001</v>
      </c>
    </row>
    <row r="661" spans="1:5">
      <c r="A661" s="485">
        <v>423030336700</v>
      </c>
      <c r="B661" t="s">
        <v>2124</v>
      </c>
      <c r="C661">
        <v>0</v>
      </c>
      <c r="D661">
        <v>1.7154999999999998</v>
      </c>
      <c r="E661">
        <v>1.7154999999999998</v>
      </c>
    </row>
    <row r="662" spans="1:5">
      <c r="A662" s="485">
        <v>423030316000</v>
      </c>
      <c r="B662" t="s">
        <v>2125</v>
      </c>
      <c r="C662">
        <v>164.2286</v>
      </c>
      <c r="D662">
        <v>15.8886</v>
      </c>
      <c r="E662">
        <v>180.1172</v>
      </c>
    </row>
    <row r="663" spans="1:5">
      <c r="A663" s="485">
        <v>423030259000</v>
      </c>
      <c r="B663" t="s">
        <v>2126</v>
      </c>
      <c r="C663">
        <v>0</v>
      </c>
      <c r="D663">
        <v>0</v>
      </c>
      <c r="E663">
        <v>0</v>
      </c>
    </row>
    <row r="664" spans="1:5">
      <c r="A664" s="485">
        <v>423030258600</v>
      </c>
      <c r="B664" t="s">
        <v>2127</v>
      </c>
      <c r="C664">
        <v>0</v>
      </c>
      <c r="D664">
        <v>0</v>
      </c>
      <c r="E664">
        <v>0</v>
      </c>
    </row>
    <row r="665" spans="1:5">
      <c r="A665" s="485">
        <v>423030702300</v>
      </c>
      <c r="B665" t="s">
        <v>2128</v>
      </c>
      <c r="C665">
        <v>0</v>
      </c>
      <c r="D665">
        <v>0</v>
      </c>
      <c r="E665">
        <v>0</v>
      </c>
    </row>
    <row r="666" spans="1:5">
      <c r="A666" s="485">
        <v>423030259100</v>
      </c>
      <c r="B666" t="s">
        <v>2129</v>
      </c>
      <c r="C666">
        <v>0</v>
      </c>
      <c r="D666">
        <v>0</v>
      </c>
      <c r="E666">
        <v>0</v>
      </c>
    </row>
    <row r="667" spans="1:5">
      <c r="A667" s="485">
        <v>423030406500</v>
      </c>
      <c r="B667" t="s">
        <v>2130</v>
      </c>
      <c r="C667">
        <v>0</v>
      </c>
      <c r="D667">
        <v>0</v>
      </c>
      <c r="E667">
        <v>0</v>
      </c>
    </row>
    <row r="668" spans="1:5">
      <c r="A668" s="485">
        <v>423030259200</v>
      </c>
      <c r="B668" t="s">
        <v>2131</v>
      </c>
      <c r="C668">
        <v>0</v>
      </c>
      <c r="D668">
        <v>0</v>
      </c>
      <c r="E668">
        <v>0</v>
      </c>
    </row>
    <row r="669" spans="1:5">
      <c r="A669" s="485">
        <v>423030316100</v>
      </c>
      <c r="B669" t="s">
        <v>2132</v>
      </c>
      <c r="C669">
        <v>409.8152</v>
      </c>
      <c r="D669">
        <v>71.614800000000002</v>
      </c>
      <c r="E669">
        <v>481.43</v>
      </c>
    </row>
    <row r="670" spans="1:5">
      <c r="A670" s="485">
        <v>423030714600</v>
      </c>
      <c r="B670" t="s">
        <v>2133</v>
      </c>
      <c r="C670">
        <v>0</v>
      </c>
      <c r="D670">
        <v>0</v>
      </c>
      <c r="E670">
        <v>0</v>
      </c>
    </row>
    <row r="671" spans="1:5">
      <c r="A671" s="485">
        <v>423030316400</v>
      </c>
      <c r="B671" t="s">
        <v>2134</v>
      </c>
      <c r="C671">
        <v>3</v>
      </c>
      <c r="D671">
        <v>4.2749999999999995</v>
      </c>
      <c r="E671">
        <v>7.2749999999999995</v>
      </c>
    </row>
    <row r="672" spans="1:5">
      <c r="A672" s="485">
        <v>423031932700</v>
      </c>
      <c r="B672" t="s">
        <v>2135</v>
      </c>
      <c r="C672">
        <v>0</v>
      </c>
      <c r="D672">
        <v>0</v>
      </c>
      <c r="E672">
        <v>0</v>
      </c>
    </row>
    <row r="673" spans="1:5">
      <c r="A673" s="485">
        <v>423030601700</v>
      </c>
      <c r="B673" t="s">
        <v>2136</v>
      </c>
      <c r="C673">
        <v>0</v>
      </c>
      <c r="D673">
        <v>0</v>
      </c>
      <c r="E673">
        <v>0</v>
      </c>
    </row>
    <row r="674" spans="1:5">
      <c r="A674" s="485">
        <v>423030600700</v>
      </c>
      <c r="B674">
        <v>3018355</v>
      </c>
      <c r="C674">
        <v>0.27079999999999999</v>
      </c>
      <c r="D674">
        <v>1.4361999999999999</v>
      </c>
      <c r="E674">
        <v>1.7069999999999999</v>
      </c>
    </row>
    <row r="675" spans="1:5">
      <c r="A675" s="485">
        <v>423030328100</v>
      </c>
      <c r="B675" t="s">
        <v>2137</v>
      </c>
      <c r="C675">
        <v>5.9998999999999993</v>
      </c>
      <c r="D675">
        <v>0.93959999999999999</v>
      </c>
      <c r="E675">
        <v>6.9394999999999989</v>
      </c>
    </row>
    <row r="676" spans="1:5">
      <c r="A676" s="485">
        <v>423030323700</v>
      </c>
      <c r="B676" t="s">
        <v>2138</v>
      </c>
      <c r="C676">
        <v>12.510300000000001</v>
      </c>
      <c r="D676">
        <v>7.8547999999999991</v>
      </c>
      <c r="E676">
        <v>20.365099999999998</v>
      </c>
    </row>
    <row r="677" spans="1:5">
      <c r="A677" s="485">
        <v>423030323700</v>
      </c>
      <c r="B677" t="s">
        <v>2139</v>
      </c>
      <c r="C677">
        <v>0</v>
      </c>
      <c r="D677">
        <v>0</v>
      </c>
      <c r="E677">
        <v>0</v>
      </c>
    </row>
    <row r="678" spans="1:5">
      <c r="A678" s="485">
        <v>423030260500</v>
      </c>
      <c r="B678" t="s">
        <v>2140</v>
      </c>
      <c r="C678">
        <v>0</v>
      </c>
      <c r="D678">
        <v>113.80700000000002</v>
      </c>
      <c r="E678">
        <v>113.80700000000002</v>
      </c>
    </row>
    <row r="679" spans="1:5">
      <c r="A679" s="485">
        <v>423030260900</v>
      </c>
      <c r="B679" t="s">
        <v>2141</v>
      </c>
      <c r="C679">
        <v>0</v>
      </c>
      <c r="D679">
        <v>0</v>
      </c>
      <c r="E679">
        <v>0</v>
      </c>
    </row>
    <row r="680" spans="1:5">
      <c r="A680" s="485">
        <v>423030260900</v>
      </c>
      <c r="B680" t="s">
        <v>2142</v>
      </c>
      <c r="C680">
        <v>4.0000999999999998</v>
      </c>
      <c r="D680">
        <v>3.3120000000000003</v>
      </c>
      <c r="E680">
        <v>7.3121</v>
      </c>
    </row>
    <row r="681" spans="1:5">
      <c r="A681" s="485">
        <v>423030324900</v>
      </c>
      <c r="B681" t="s">
        <v>2143</v>
      </c>
      <c r="C681">
        <v>0</v>
      </c>
      <c r="D681">
        <v>0</v>
      </c>
      <c r="E681">
        <v>0</v>
      </c>
    </row>
    <row r="682" spans="1:5">
      <c r="A682" s="485">
        <v>423030324900</v>
      </c>
      <c r="B682" t="s">
        <v>2144</v>
      </c>
      <c r="C682">
        <v>10.347800000000001</v>
      </c>
      <c r="D682">
        <v>2.3868</v>
      </c>
      <c r="E682">
        <v>12.7346</v>
      </c>
    </row>
    <row r="683" spans="1:5">
      <c r="A683" s="485">
        <v>423030718700</v>
      </c>
      <c r="B683" t="s">
        <v>2145</v>
      </c>
      <c r="C683">
        <v>2</v>
      </c>
      <c r="D683">
        <v>5.8642999999999992</v>
      </c>
      <c r="E683">
        <v>7.8642999999999992</v>
      </c>
    </row>
    <row r="684" spans="1:5">
      <c r="A684" s="485">
        <v>423030718700</v>
      </c>
      <c r="B684" t="s">
        <v>2146</v>
      </c>
      <c r="C684">
        <v>0</v>
      </c>
      <c r="D684">
        <v>0</v>
      </c>
      <c r="E684">
        <v>0</v>
      </c>
    </row>
    <row r="685" spans="1:5">
      <c r="A685" s="485">
        <v>423031295700</v>
      </c>
      <c r="B685" t="s">
        <v>2147</v>
      </c>
      <c r="C685">
        <v>0</v>
      </c>
      <c r="D685">
        <v>0</v>
      </c>
      <c r="E685">
        <v>0</v>
      </c>
    </row>
    <row r="686" spans="1:5">
      <c r="A686" s="485">
        <v>423030303800</v>
      </c>
      <c r="B686" t="s">
        <v>2148</v>
      </c>
      <c r="C686">
        <v>0</v>
      </c>
      <c r="D686">
        <v>0</v>
      </c>
      <c r="E686">
        <v>0</v>
      </c>
    </row>
    <row r="687" spans="1:5">
      <c r="A687" s="485">
        <v>423030303800</v>
      </c>
      <c r="B687" t="s">
        <v>2149</v>
      </c>
      <c r="C687">
        <v>6.7291999999999987</v>
      </c>
      <c r="D687">
        <v>4.8624000000000001</v>
      </c>
      <c r="E687">
        <v>11.5916</v>
      </c>
    </row>
    <row r="688" spans="1:5">
      <c r="A688" s="485">
        <v>423030304000</v>
      </c>
      <c r="B688" t="s">
        <v>2150</v>
      </c>
      <c r="C688">
        <v>0</v>
      </c>
      <c r="D688">
        <v>0</v>
      </c>
      <c r="E688">
        <v>0</v>
      </c>
    </row>
    <row r="689" spans="1:5">
      <c r="A689" s="485">
        <v>423030304000</v>
      </c>
      <c r="B689" t="s">
        <v>2151</v>
      </c>
      <c r="C689">
        <v>70.182000000000002</v>
      </c>
      <c r="D689">
        <v>46.259799999999998</v>
      </c>
      <c r="E689">
        <v>116.4418</v>
      </c>
    </row>
    <row r="690" spans="1:5">
      <c r="A690" s="485">
        <v>423030305500</v>
      </c>
      <c r="B690" t="s">
        <v>2152</v>
      </c>
      <c r="C690">
        <v>0</v>
      </c>
      <c r="D690">
        <v>0</v>
      </c>
      <c r="E690">
        <v>0</v>
      </c>
    </row>
    <row r="691" spans="1:5">
      <c r="A691" s="485">
        <v>423030261400</v>
      </c>
      <c r="B691" t="s">
        <v>2153</v>
      </c>
      <c r="C691">
        <v>1.8715999999999999</v>
      </c>
      <c r="D691">
        <v>3.234</v>
      </c>
      <c r="E691">
        <v>5.1055999999999999</v>
      </c>
    </row>
    <row r="692" spans="1:5">
      <c r="A692" s="485">
        <v>423030261400</v>
      </c>
      <c r="B692" t="s">
        <v>2154</v>
      </c>
      <c r="C692">
        <v>0</v>
      </c>
      <c r="D692">
        <v>58.326999999999998</v>
      </c>
      <c r="E692">
        <v>58.326999999999998</v>
      </c>
    </row>
    <row r="693" spans="1:5">
      <c r="A693" s="485">
        <v>423031091500</v>
      </c>
      <c r="B693" t="s">
        <v>2155</v>
      </c>
      <c r="C693">
        <v>0</v>
      </c>
      <c r="D693">
        <v>0</v>
      </c>
      <c r="E693">
        <v>0</v>
      </c>
    </row>
    <row r="694" spans="1:5">
      <c r="A694" s="485">
        <v>423031091500</v>
      </c>
      <c r="B694" t="s">
        <v>2156</v>
      </c>
      <c r="C694">
        <v>0</v>
      </c>
      <c r="D694">
        <v>0</v>
      </c>
      <c r="E694">
        <v>0</v>
      </c>
    </row>
    <row r="695" spans="1:5">
      <c r="A695" s="485">
        <v>423031091400</v>
      </c>
      <c r="B695" t="s">
        <v>2157</v>
      </c>
      <c r="C695">
        <v>0</v>
      </c>
      <c r="D695">
        <v>0</v>
      </c>
      <c r="E695">
        <v>0</v>
      </c>
    </row>
    <row r="696" spans="1:5">
      <c r="A696" s="485">
        <v>423030408500</v>
      </c>
      <c r="B696" t="s">
        <v>2158</v>
      </c>
      <c r="C696">
        <v>0</v>
      </c>
      <c r="D696">
        <v>0</v>
      </c>
      <c r="E696">
        <v>0</v>
      </c>
    </row>
    <row r="697" spans="1:5">
      <c r="A697" s="485">
        <v>423030408500</v>
      </c>
      <c r="B697" t="s">
        <v>2159</v>
      </c>
      <c r="C697">
        <v>0</v>
      </c>
      <c r="D697">
        <v>0</v>
      </c>
      <c r="E697">
        <v>0</v>
      </c>
    </row>
    <row r="698" spans="1:5">
      <c r="A698" s="485">
        <v>423030305200</v>
      </c>
      <c r="B698" t="s">
        <v>2160</v>
      </c>
      <c r="C698">
        <v>645.75279999999998</v>
      </c>
      <c r="D698">
        <v>63.909300000000002</v>
      </c>
      <c r="E698">
        <v>709.66210000000001</v>
      </c>
    </row>
    <row r="699" spans="1:5">
      <c r="A699" s="485">
        <v>423030306500</v>
      </c>
      <c r="B699" t="s">
        <v>2161</v>
      </c>
      <c r="C699">
        <v>6.3182</v>
      </c>
      <c r="D699">
        <v>79.882999999999996</v>
      </c>
      <c r="E699">
        <v>86.2012</v>
      </c>
    </row>
    <row r="700" spans="1:5">
      <c r="A700" s="485">
        <v>423030306500</v>
      </c>
      <c r="B700" t="s">
        <v>2162</v>
      </c>
      <c r="C700">
        <v>0</v>
      </c>
      <c r="D700">
        <v>0</v>
      </c>
      <c r="E700">
        <v>0</v>
      </c>
    </row>
    <row r="701" spans="1:5">
      <c r="A701" s="485">
        <v>423030305700</v>
      </c>
      <c r="B701" t="s">
        <v>2163</v>
      </c>
      <c r="C701">
        <v>230.43750000000003</v>
      </c>
      <c r="D701">
        <v>19.3765</v>
      </c>
      <c r="E701">
        <v>249.81400000000002</v>
      </c>
    </row>
    <row r="702" spans="1:5">
      <c r="A702" s="485">
        <v>423030305700</v>
      </c>
      <c r="B702" t="s">
        <v>2164</v>
      </c>
      <c r="C702">
        <v>34</v>
      </c>
      <c r="D702">
        <v>96.969599999999986</v>
      </c>
      <c r="E702">
        <v>130.96959999999999</v>
      </c>
    </row>
    <row r="703" spans="1:5">
      <c r="A703" s="485">
        <v>423030305700</v>
      </c>
      <c r="B703" t="s">
        <v>2165</v>
      </c>
      <c r="C703">
        <v>0</v>
      </c>
      <c r="D703">
        <v>0</v>
      </c>
      <c r="E703">
        <v>0</v>
      </c>
    </row>
    <row r="704" spans="1:5">
      <c r="A704" s="485">
        <v>423030262100</v>
      </c>
      <c r="B704" t="s">
        <v>2166</v>
      </c>
      <c r="C704">
        <v>85.064800000000005</v>
      </c>
      <c r="D704">
        <v>64.494399999999999</v>
      </c>
      <c r="E704">
        <v>149.5592</v>
      </c>
    </row>
    <row r="705" spans="1:5">
      <c r="A705" s="485">
        <v>423030307500</v>
      </c>
      <c r="B705" t="s">
        <v>2167</v>
      </c>
      <c r="C705">
        <v>90.066699999999997</v>
      </c>
      <c r="D705">
        <v>16.710799999999999</v>
      </c>
      <c r="E705">
        <v>106.7775</v>
      </c>
    </row>
    <row r="706" spans="1:5">
      <c r="A706" s="485">
        <v>423030308400</v>
      </c>
      <c r="B706" t="s">
        <v>2168</v>
      </c>
      <c r="C706">
        <v>79.000100000000003</v>
      </c>
      <c r="D706">
        <v>63.2776</v>
      </c>
      <c r="E706">
        <v>142.27770000000001</v>
      </c>
    </row>
    <row r="707" spans="1:5">
      <c r="A707" s="485">
        <v>423030307000</v>
      </c>
      <c r="B707" t="s">
        <v>2169</v>
      </c>
      <c r="C707">
        <v>0</v>
      </c>
      <c r="D707">
        <v>0</v>
      </c>
      <c r="E707">
        <v>0</v>
      </c>
    </row>
    <row r="708" spans="1:5">
      <c r="A708" s="485">
        <v>423030307000</v>
      </c>
      <c r="B708" t="s">
        <v>2170</v>
      </c>
      <c r="C708">
        <v>1027.7328</v>
      </c>
      <c r="D708">
        <v>0</v>
      </c>
      <c r="E708">
        <v>1027.7328</v>
      </c>
    </row>
    <row r="709" spans="1:5">
      <c r="A709" s="485">
        <v>423030307000</v>
      </c>
      <c r="B709" t="s">
        <v>2171</v>
      </c>
      <c r="C709">
        <v>2022.0000000000002</v>
      </c>
      <c r="D709">
        <v>833.1099999999999</v>
      </c>
      <c r="E709">
        <v>2855.11</v>
      </c>
    </row>
    <row r="710" spans="1:5">
      <c r="A710" s="485">
        <v>423031027700</v>
      </c>
      <c r="B710" t="s">
        <v>2172</v>
      </c>
      <c r="C710">
        <v>0</v>
      </c>
      <c r="D710">
        <v>0</v>
      </c>
      <c r="E710">
        <v>0</v>
      </c>
    </row>
    <row r="711" spans="1:5">
      <c r="A711" s="485">
        <v>423031027700</v>
      </c>
      <c r="B711" t="s">
        <v>2173</v>
      </c>
      <c r="C711">
        <v>0</v>
      </c>
      <c r="D711">
        <v>0</v>
      </c>
      <c r="E711">
        <v>0</v>
      </c>
    </row>
    <row r="712" spans="1:5">
      <c r="A712" s="485">
        <v>423030262500</v>
      </c>
      <c r="B712" t="s">
        <v>2174</v>
      </c>
      <c r="C712">
        <v>0</v>
      </c>
      <c r="D712">
        <v>0</v>
      </c>
      <c r="E712">
        <v>0</v>
      </c>
    </row>
    <row r="713" spans="1:5">
      <c r="A713" s="485">
        <v>423030307200</v>
      </c>
      <c r="B713" t="s">
        <v>2175</v>
      </c>
      <c r="C713">
        <v>0</v>
      </c>
      <c r="D713">
        <v>0</v>
      </c>
      <c r="E713">
        <v>0</v>
      </c>
    </row>
    <row r="714" spans="1:5">
      <c r="A714" s="485">
        <v>423030307300</v>
      </c>
      <c r="B714" t="s">
        <v>2176</v>
      </c>
      <c r="C714">
        <v>38.147600000000004</v>
      </c>
      <c r="D714">
        <v>19.919599999999999</v>
      </c>
      <c r="E714">
        <v>58.0672</v>
      </c>
    </row>
    <row r="715" spans="1:5">
      <c r="A715" s="485">
        <v>423030262300</v>
      </c>
      <c r="B715" t="s">
        <v>2177</v>
      </c>
      <c r="C715">
        <v>0</v>
      </c>
      <c r="D715">
        <v>0</v>
      </c>
      <c r="E715">
        <v>0</v>
      </c>
    </row>
    <row r="716" spans="1:5">
      <c r="A716" s="485">
        <v>423030691100</v>
      </c>
      <c r="B716" t="s">
        <v>2178</v>
      </c>
      <c r="C716">
        <v>2.3662999999999998</v>
      </c>
      <c r="D716">
        <v>0.53550000000000009</v>
      </c>
      <c r="E716">
        <v>2.9017999999999997</v>
      </c>
    </row>
    <row r="717" spans="1:5">
      <c r="A717" s="485">
        <v>423030263000</v>
      </c>
      <c r="B717" t="s">
        <v>2179</v>
      </c>
      <c r="C717">
        <v>0</v>
      </c>
      <c r="D717">
        <v>0</v>
      </c>
      <c r="E717">
        <v>0</v>
      </c>
    </row>
    <row r="718" spans="1:5">
      <c r="A718" s="485">
        <v>423030411100</v>
      </c>
      <c r="B718" t="s">
        <v>2180</v>
      </c>
      <c r="C718">
        <v>0</v>
      </c>
      <c r="D718">
        <v>0</v>
      </c>
      <c r="E718">
        <v>0</v>
      </c>
    </row>
    <row r="719" spans="1:5">
      <c r="A719" s="485">
        <v>423030307600</v>
      </c>
      <c r="B719" t="s">
        <v>2181</v>
      </c>
      <c r="C719">
        <v>0</v>
      </c>
      <c r="D719">
        <v>0</v>
      </c>
      <c r="E719">
        <v>0</v>
      </c>
    </row>
    <row r="720" spans="1:5">
      <c r="A720" s="485">
        <v>423030307700</v>
      </c>
      <c r="B720" t="s">
        <v>2182</v>
      </c>
      <c r="C720">
        <v>0</v>
      </c>
      <c r="D720">
        <v>0</v>
      </c>
      <c r="E720">
        <v>0</v>
      </c>
    </row>
    <row r="721" spans="1:5">
      <c r="A721" s="485">
        <v>423030307700</v>
      </c>
      <c r="B721" t="s">
        <v>2183</v>
      </c>
      <c r="C721">
        <v>177.20000000000005</v>
      </c>
      <c r="D721">
        <v>18.302200000000003</v>
      </c>
      <c r="E721">
        <v>195.50220000000004</v>
      </c>
    </row>
    <row r="722" spans="1:5">
      <c r="A722" s="485">
        <v>423030263900</v>
      </c>
      <c r="B722" t="s">
        <v>2184</v>
      </c>
      <c r="C722">
        <v>11.892899999999999</v>
      </c>
      <c r="D722">
        <v>89.99199999999999</v>
      </c>
      <c r="E722">
        <v>101.88489999999999</v>
      </c>
    </row>
    <row r="723" spans="1:5">
      <c r="A723" s="485">
        <v>423030308500</v>
      </c>
      <c r="B723" t="s">
        <v>2185</v>
      </c>
      <c r="C723">
        <v>0</v>
      </c>
      <c r="D723">
        <v>0</v>
      </c>
      <c r="E723">
        <v>0</v>
      </c>
    </row>
    <row r="724" spans="1:5">
      <c r="A724" s="485">
        <v>423030264200</v>
      </c>
      <c r="B724" t="s">
        <v>2186</v>
      </c>
      <c r="C724">
        <v>0</v>
      </c>
      <c r="D724">
        <v>0</v>
      </c>
      <c r="E724">
        <v>0</v>
      </c>
    </row>
    <row r="725" spans="1:5">
      <c r="A725" s="485">
        <v>423030308900</v>
      </c>
      <c r="B725" t="s">
        <v>2187</v>
      </c>
      <c r="C725">
        <v>59.451600000000006</v>
      </c>
      <c r="D725">
        <v>9.6277999999999988</v>
      </c>
      <c r="E725">
        <v>69.079400000000007</v>
      </c>
    </row>
    <row r="726" spans="1:5">
      <c r="A726" s="485">
        <v>423030310800</v>
      </c>
      <c r="B726" t="s">
        <v>2188</v>
      </c>
      <c r="C726">
        <v>0</v>
      </c>
      <c r="D726">
        <v>0</v>
      </c>
      <c r="E726">
        <v>0</v>
      </c>
    </row>
    <row r="727" spans="1:5">
      <c r="A727" s="485">
        <v>423030310800</v>
      </c>
      <c r="B727" t="s">
        <v>2189</v>
      </c>
      <c r="C727">
        <v>109.29679999999998</v>
      </c>
      <c r="D727">
        <v>181.4196</v>
      </c>
      <c r="E727">
        <v>290.71639999999996</v>
      </c>
    </row>
    <row r="728" spans="1:5">
      <c r="A728" s="485">
        <v>423030309800</v>
      </c>
      <c r="B728" t="s">
        <v>2190</v>
      </c>
      <c r="C728">
        <v>0</v>
      </c>
      <c r="D728">
        <v>0</v>
      </c>
      <c r="E728">
        <v>0</v>
      </c>
    </row>
    <row r="729" spans="1:5">
      <c r="A729" s="485">
        <v>423030309800</v>
      </c>
      <c r="B729" t="s">
        <v>2191</v>
      </c>
      <c r="C729">
        <v>3.9999000000000002</v>
      </c>
      <c r="D729">
        <v>1.9298</v>
      </c>
      <c r="E729">
        <v>5.9297000000000004</v>
      </c>
    </row>
    <row r="730" spans="1:5">
      <c r="A730" s="485">
        <v>423030460100</v>
      </c>
      <c r="B730" t="s">
        <v>2192</v>
      </c>
      <c r="C730">
        <v>0</v>
      </c>
      <c r="D730">
        <v>0</v>
      </c>
      <c r="E730">
        <v>0</v>
      </c>
    </row>
    <row r="731" spans="1:5">
      <c r="A731" s="485">
        <v>423030310200</v>
      </c>
      <c r="B731" t="s">
        <v>2193</v>
      </c>
      <c r="C731">
        <v>1</v>
      </c>
      <c r="D731">
        <v>2.9464000000000001</v>
      </c>
      <c r="E731">
        <v>3.9464000000000001</v>
      </c>
    </row>
    <row r="732" spans="1:5">
      <c r="A732" s="485">
        <v>423030734200</v>
      </c>
      <c r="B732" t="s">
        <v>2194</v>
      </c>
      <c r="C732">
        <v>0</v>
      </c>
      <c r="D732">
        <v>0</v>
      </c>
      <c r="E732">
        <v>0</v>
      </c>
    </row>
    <row r="733" spans="1:5">
      <c r="A733" s="485">
        <v>423030264800</v>
      </c>
      <c r="B733" t="s">
        <v>2195</v>
      </c>
      <c r="C733">
        <v>0</v>
      </c>
      <c r="D733">
        <v>3.7229999999999999</v>
      </c>
      <c r="E733">
        <v>3.7229999999999999</v>
      </c>
    </row>
    <row r="734" spans="1:5">
      <c r="A734" s="485">
        <v>423030410700</v>
      </c>
      <c r="B734" t="s">
        <v>2196</v>
      </c>
      <c r="C734">
        <v>0</v>
      </c>
      <c r="D734">
        <v>0</v>
      </c>
      <c r="E734">
        <v>0</v>
      </c>
    </row>
    <row r="735" spans="1:5">
      <c r="A735" s="485">
        <v>423030264900</v>
      </c>
      <c r="B735" t="s">
        <v>2197</v>
      </c>
      <c r="C735">
        <v>83.750099999999989</v>
      </c>
      <c r="D735">
        <v>16.323599999999999</v>
      </c>
      <c r="E735">
        <v>100.07369999999999</v>
      </c>
    </row>
    <row r="736" spans="1:5">
      <c r="A736" s="485">
        <v>423030312000</v>
      </c>
      <c r="B736" t="s">
        <v>2198</v>
      </c>
      <c r="C736">
        <v>0</v>
      </c>
      <c r="D736">
        <v>0</v>
      </c>
      <c r="E736">
        <v>0</v>
      </c>
    </row>
    <row r="737" spans="1:5">
      <c r="A737" s="485">
        <v>423030312300</v>
      </c>
      <c r="B737" t="s">
        <v>2199</v>
      </c>
      <c r="C737">
        <v>55.999899999999997</v>
      </c>
      <c r="D737">
        <v>40.905000000000001</v>
      </c>
      <c r="E737">
        <v>96.904899999999998</v>
      </c>
    </row>
    <row r="738" spans="1:5">
      <c r="A738" s="485">
        <v>423030265000</v>
      </c>
      <c r="B738" t="s">
        <v>2200</v>
      </c>
      <c r="C738">
        <v>0</v>
      </c>
      <c r="D738">
        <v>0</v>
      </c>
      <c r="E738">
        <v>0</v>
      </c>
    </row>
    <row r="739" spans="1:5">
      <c r="A739" s="485">
        <v>423030315500</v>
      </c>
      <c r="B739" t="s">
        <v>2201</v>
      </c>
      <c r="C739">
        <v>0</v>
      </c>
      <c r="D739">
        <v>0</v>
      </c>
      <c r="E739">
        <v>0</v>
      </c>
    </row>
    <row r="740" spans="1:5">
      <c r="A740" s="485">
        <v>423030690000</v>
      </c>
      <c r="B740" t="s">
        <v>2202</v>
      </c>
      <c r="C740">
        <v>0</v>
      </c>
      <c r="D740">
        <v>0</v>
      </c>
      <c r="E740">
        <v>0</v>
      </c>
    </row>
    <row r="741" spans="1:5">
      <c r="A741" s="485">
        <v>423030690000</v>
      </c>
      <c r="B741" t="s">
        <v>2203</v>
      </c>
      <c r="C741">
        <v>2.3487999999999998</v>
      </c>
      <c r="D741">
        <v>2.8776000000000002</v>
      </c>
      <c r="E741">
        <v>5.2263999999999999</v>
      </c>
    </row>
    <row r="742" spans="1:5">
      <c r="A742" s="485">
        <v>423030267100</v>
      </c>
      <c r="B742" t="s">
        <v>2204</v>
      </c>
      <c r="C742">
        <v>0</v>
      </c>
      <c r="D742">
        <v>0</v>
      </c>
      <c r="E742">
        <v>0</v>
      </c>
    </row>
    <row r="743" spans="1:5">
      <c r="A743" s="485">
        <v>423030267100</v>
      </c>
      <c r="B743" t="s">
        <v>2205</v>
      </c>
      <c r="C743">
        <v>0</v>
      </c>
      <c r="D743">
        <v>0</v>
      </c>
      <c r="E743">
        <v>0</v>
      </c>
    </row>
    <row r="744" spans="1:5">
      <c r="A744" s="485">
        <v>423030510100</v>
      </c>
      <c r="B744" t="s">
        <v>2206</v>
      </c>
      <c r="C744">
        <v>2.7605000000000004</v>
      </c>
      <c r="D744">
        <v>5.1862000000000004</v>
      </c>
      <c r="E744">
        <v>7.9467000000000008</v>
      </c>
    </row>
    <row r="745" spans="1:5">
      <c r="A745" s="485">
        <v>423030320100</v>
      </c>
      <c r="B745" t="s">
        <v>2207</v>
      </c>
      <c r="C745">
        <v>0</v>
      </c>
      <c r="D745">
        <v>0</v>
      </c>
      <c r="E745">
        <v>0</v>
      </c>
    </row>
    <row r="746" spans="1:5">
      <c r="A746" s="485">
        <v>423030320100</v>
      </c>
      <c r="B746" t="s">
        <v>2208</v>
      </c>
      <c r="C746">
        <v>304.67410000000001</v>
      </c>
      <c r="D746">
        <v>40.768000000000001</v>
      </c>
      <c r="E746">
        <v>345.44209999999998</v>
      </c>
    </row>
    <row r="747" spans="1:5">
      <c r="A747" s="485">
        <v>423030320300</v>
      </c>
      <c r="B747" t="s">
        <v>2209</v>
      </c>
      <c r="C747">
        <v>0</v>
      </c>
      <c r="D747">
        <v>0</v>
      </c>
      <c r="E747">
        <v>0</v>
      </c>
    </row>
    <row r="748" spans="1:5">
      <c r="A748" s="485">
        <v>423030320400</v>
      </c>
      <c r="B748" t="s">
        <v>2210</v>
      </c>
      <c r="C748">
        <v>0</v>
      </c>
      <c r="D748">
        <v>0</v>
      </c>
      <c r="E748">
        <v>0</v>
      </c>
    </row>
    <row r="749" spans="1:5">
      <c r="A749" s="485">
        <v>423030601900</v>
      </c>
      <c r="B749" t="s">
        <v>2211</v>
      </c>
      <c r="C749">
        <v>0</v>
      </c>
      <c r="D749">
        <v>0</v>
      </c>
      <c r="E749">
        <v>0</v>
      </c>
    </row>
    <row r="750" spans="1:5">
      <c r="A750" s="485">
        <v>423030309600</v>
      </c>
      <c r="B750" t="s">
        <v>2212</v>
      </c>
      <c r="C750">
        <v>2.3697000000000004</v>
      </c>
      <c r="D750">
        <v>9.7000000000000003E-2</v>
      </c>
      <c r="E750">
        <v>2.4667000000000003</v>
      </c>
    </row>
    <row r="751" spans="1:5">
      <c r="A751" s="485">
        <v>423030309700</v>
      </c>
      <c r="B751" t="s">
        <v>2213</v>
      </c>
      <c r="C751">
        <v>73.66670000000002</v>
      </c>
      <c r="D751">
        <v>1.089</v>
      </c>
      <c r="E751">
        <v>74.755700000000019</v>
      </c>
    </row>
    <row r="752" spans="1:5">
      <c r="A752" s="485">
        <v>423030287200</v>
      </c>
      <c r="B752" t="s">
        <v>2214</v>
      </c>
      <c r="C752">
        <v>0</v>
      </c>
      <c r="D752">
        <v>0</v>
      </c>
      <c r="E752">
        <v>0</v>
      </c>
    </row>
    <row r="753" spans="1:5">
      <c r="A753" s="485">
        <v>423030287200</v>
      </c>
      <c r="B753" t="s">
        <v>2215</v>
      </c>
      <c r="C753">
        <v>263.99990000000003</v>
      </c>
      <c r="D753">
        <v>158.93429999999998</v>
      </c>
      <c r="E753">
        <v>422.93420000000003</v>
      </c>
    </row>
    <row r="754" spans="1:5">
      <c r="A754" s="485">
        <v>423030311200</v>
      </c>
      <c r="B754" t="s">
        <v>2216</v>
      </c>
      <c r="C754">
        <v>5691.1557999999995</v>
      </c>
      <c r="D754">
        <v>706.28319999999997</v>
      </c>
      <c r="E754">
        <v>6397.4389999999994</v>
      </c>
    </row>
    <row r="755" spans="1:5">
      <c r="A755" s="485">
        <v>423030269300</v>
      </c>
      <c r="B755" t="s">
        <v>2217</v>
      </c>
      <c r="C755">
        <v>0</v>
      </c>
      <c r="D755">
        <v>0</v>
      </c>
      <c r="E755">
        <v>0</v>
      </c>
    </row>
    <row r="756" spans="1:5">
      <c r="A756" s="485">
        <v>423030269400</v>
      </c>
      <c r="B756" t="s">
        <v>2218</v>
      </c>
      <c r="C756">
        <v>277.18180000000001</v>
      </c>
      <c r="D756">
        <v>12.912899999999999</v>
      </c>
      <c r="E756">
        <v>290.09469999999999</v>
      </c>
    </row>
    <row r="757" spans="1:5">
      <c r="A757" s="485">
        <v>423030269500</v>
      </c>
      <c r="B757" t="s">
        <v>2219</v>
      </c>
      <c r="C757">
        <v>0</v>
      </c>
      <c r="D757">
        <v>0</v>
      </c>
      <c r="E757">
        <v>0</v>
      </c>
    </row>
    <row r="758" spans="1:5">
      <c r="A758" s="485">
        <v>423030357100</v>
      </c>
      <c r="B758" t="s">
        <v>2220</v>
      </c>
      <c r="C758">
        <v>3.9999999999999996</v>
      </c>
      <c r="D758">
        <v>0.18909999999999999</v>
      </c>
      <c r="E758">
        <v>4.1890999999999998</v>
      </c>
    </row>
    <row r="759" spans="1:5">
      <c r="A759" s="485">
        <v>423030269800</v>
      </c>
      <c r="B759" t="s">
        <v>2221</v>
      </c>
      <c r="C759">
        <v>0</v>
      </c>
      <c r="D759">
        <v>0</v>
      </c>
      <c r="E759">
        <v>0</v>
      </c>
    </row>
    <row r="760" spans="1:5">
      <c r="A760" s="485">
        <v>423030357200</v>
      </c>
      <c r="B760" t="s">
        <v>2222</v>
      </c>
      <c r="C760">
        <v>42.632999999999996</v>
      </c>
      <c r="D760">
        <v>30.489100000000001</v>
      </c>
      <c r="E760">
        <v>73.122099999999989</v>
      </c>
    </row>
    <row r="761" spans="1:5">
      <c r="A761" s="485">
        <v>423030357200</v>
      </c>
      <c r="B761" t="s">
        <v>2223</v>
      </c>
      <c r="C761">
        <v>0</v>
      </c>
      <c r="D761">
        <v>26.206999999999997</v>
      </c>
      <c r="E761">
        <v>26.206999999999997</v>
      </c>
    </row>
    <row r="762" spans="1:5">
      <c r="A762" s="485">
        <v>423030357200</v>
      </c>
      <c r="B762" t="s">
        <v>2224</v>
      </c>
      <c r="C762">
        <v>0</v>
      </c>
      <c r="D762">
        <v>0</v>
      </c>
      <c r="E762">
        <v>0</v>
      </c>
    </row>
    <row r="763" spans="1:5">
      <c r="A763" s="485">
        <v>423031094700</v>
      </c>
      <c r="B763" t="s">
        <v>2225</v>
      </c>
      <c r="C763">
        <v>0</v>
      </c>
      <c r="D763">
        <v>0</v>
      </c>
      <c r="E763">
        <v>0</v>
      </c>
    </row>
    <row r="764" spans="1:5">
      <c r="A764" s="485">
        <v>423030598500</v>
      </c>
      <c r="B764" t="s">
        <v>2226</v>
      </c>
      <c r="C764">
        <v>1254.0742999999998</v>
      </c>
      <c r="D764">
        <v>131.30250000000001</v>
      </c>
      <c r="E764">
        <v>1385.3767999999998</v>
      </c>
    </row>
    <row r="765" spans="1:5">
      <c r="A765" s="485">
        <v>423030265100</v>
      </c>
      <c r="B765" t="s">
        <v>2227</v>
      </c>
      <c r="C765">
        <v>0.9998999999999999</v>
      </c>
      <c r="D765">
        <v>0.106</v>
      </c>
      <c r="E765">
        <v>1.1058999999999999</v>
      </c>
    </row>
    <row r="766" spans="1:5">
      <c r="A766" s="485">
        <v>423030265100</v>
      </c>
      <c r="B766" t="s">
        <v>2228</v>
      </c>
      <c r="C766">
        <v>0</v>
      </c>
      <c r="D766">
        <v>0</v>
      </c>
      <c r="E766">
        <v>0</v>
      </c>
    </row>
    <row r="767" spans="1:5">
      <c r="A767" s="485">
        <v>423031222200</v>
      </c>
      <c r="B767" t="s">
        <v>2229</v>
      </c>
      <c r="C767">
        <v>0</v>
      </c>
      <c r="D767">
        <v>0</v>
      </c>
      <c r="E767">
        <v>0</v>
      </c>
    </row>
    <row r="768" spans="1:5">
      <c r="A768" s="485">
        <v>423030362600</v>
      </c>
      <c r="B768" t="s">
        <v>2230</v>
      </c>
      <c r="C768">
        <v>209.5796</v>
      </c>
      <c r="D768">
        <v>54.973200000000006</v>
      </c>
      <c r="E768">
        <v>264.55279999999999</v>
      </c>
    </row>
    <row r="769" spans="1:5">
      <c r="A769" s="485">
        <v>423030268500</v>
      </c>
      <c r="B769" t="s">
        <v>2231</v>
      </c>
      <c r="C769">
        <v>0</v>
      </c>
      <c r="D769">
        <v>0</v>
      </c>
      <c r="E769">
        <v>0</v>
      </c>
    </row>
    <row r="770" spans="1:5">
      <c r="A770" s="485">
        <v>423030268700</v>
      </c>
      <c r="B770" t="s">
        <v>2232</v>
      </c>
      <c r="C770">
        <v>0</v>
      </c>
      <c r="D770">
        <v>0</v>
      </c>
      <c r="E770">
        <v>0</v>
      </c>
    </row>
    <row r="771" spans="1:5">
      <c r="A771" s="485">
        <v>423030364100</v>
      </c>
      <c r="B771" t="s">
        <v>2233</v>
      </c>
      <c r="C771">
        <v>67.999899999999997</v>
      </c>
      <c r="D771">
        <v>49.099000000000004</v>
      </c>
      <c r="E771">
        <v>117.0989</v>
      </c>
    </row>
    <row r="772" spans="1:5">
      <c r="A772" s="485">
        <v>423030472700</v>
      </c>
      <c r="B772" t="s">
        <v>2234</v>
      </c>
      <c r="C772">
        <v>459.73320000000007</v>
      </c>
      <c r="D772">
        <v>0</v>
      </c>
      <c r="E772">
        <v>459.73320000000007</v>
      </c>
    </row>
    <row r="773" spans="1:5">
      <c r="A773" s="485">
        <v>423030490700</v>
      </c>
      <c r="B773" t="s">
        <v>2235</v>
      </c>
      <c r="C773">
        <v>0</v>
      </c>
      <c r="D773">
        <v>0</v>
      </c>
      <c r="E773">
        <v>0</v>
      </c>
    </row>
    <row r="774" spans="1:5">
      <c r="A774" s="485">
        <v>423030479500</v>
      </c>
      <c r="B774" t="s">
        <v>2236</v>
      </c>
      <c r="C774">
        <v>5629.3103999999985</v>
      </c>
      <c r="D774">
        <v>9.1626000000000012</v>
      </c>
      <c r="E774">
        <v>5638.4729999999981</v>
      </c>
    </row>
    <row r="775" spans="1:5">
      <c r="A775" s="485">
        <v>423030479500</v>
      </c>
      <c r="B775" t="s">
        <v>2237</v>
      </c>
      <c r="C775">
        <v>5</v>
      </c>
      <c r="D775">
        <v>59.617599999999989</v>
      </c>
      <c r="E775">
        <v>64.617599999999982</v>
      </c>
    </row>
    <row r="776" spans="1:5">
      <c r="A776" s="485">
        <v>423030519900</v>
      </c>
      <c r="B776" t="s">
        <v>2238</v>
      </c>
      <c r="C776">
        <v>302</v>
      </c>
      <c r="D776">
        <v>145.4897</v>
      </c>
      <c r="E776">
        <v>447.48969999999997</v>
      </c>
    </row>
    <row r="777" spans="1:5">
      <c r="A777" s="485">
        <v>423030533000</v>
      </c>
      <c r="B777" t="s">
        <v>2239</v>
      </c>
      <c r="C777">
        <v>244.2414</v>
      </c>
      <c r="D777">
        <v>1427.9438</v>
      </c>
      <c r="E777">
        <v>1672.1851999999999</v>
      </c>
    </row>
    <row r="778" spans="1:5">
      <c r="A778" s="485">
        <v>423030533000</v>
      </c>
      <c r="B778" t="s">
        <v>2240</v>
      </c>
      <c r="C778">
        <v>1078</v>
      </c>
      <c r="D778">
        <v>540.52980000000002</v>
      </c>
      <c r="E778">
        <v>1618.5298</v>
      </c>
    </row>
    <row r="779" spans="1:5">
      <c r="A779" s="485">
        <v>423031048800</v>
      </c>
      <c r="B779" t="s">
        <v>2241</v>
      </c>
      <c r="C779">
        <v>6.9394999999999998</v>
      </c>
      <c r="D779">
        <v>1.6023000000000001</v>
      </c>
      <c r="E779">
        <v>8.5418000000000003</v>
      </c>
    </row>
    <row r="780" spans="1:5">
      <c r="A780" s="485">
        <v>423031048800</v>
      </c>
      <c r="B780" t="s">
        <v>2242</v>
      </c>
      <c r="C780">
        <v>0</v>
      </c>
      <c r="D780">
        <v>0</v>
      </c>
      <c r="E780">
        <v>0</v>
      </c>
    </row>
    <row r="781" spans="1:5">
      <c r="A781" s="485">
        <v>423030526300</v>
      </c>
      <c r="B781" t="s">
        <v>2243</v>
      </c>
      <c r="C781">
        <v>0</v>
      </c>
      <c r="D781">
        <v>0</v>
      </c>
      <c r="E781">
        <v>0</v>
      </c>
    </row>
    <row r="782" spans="1:5">
      <c r="A782" s="485">
        <v>423030880100</v>
      </c>
      <c r="B782" t="s">
        <v>2244</v>
      </c>
      <c r="C782">
        <v>0</v>
      </c>
      <c r="D782">
        <v>3.8690000000000002</v>
      </c>
      <c r="E782">
        <v>3.8690000000000002</v>
      </c>
    </row>
    <row r="783" spans="1:5">
      <c r="A783" s="485">
        <v>423030527900</v>
      </c>
      <c r="B783" t="s">
        <v>2245</v>
      </c>
      <c r="C783">
        <v>9.4375</v>
      </c>
      <c r="D783">
        <v>19.208100000000002</v>
      </c>
      <c r="E783">
        <v>28.645600000000002</v>
      </c>
    </row>
    <row r="784" spans="1:5">
      <c r="A784" s="485">
        <v>423030527900</v>
      </c>
      <c r="B784" t="s">
        <v>2246</v>
      </c>
      <c r="C784">
        <v>0</v>
      </c>
      <c r="D784">
        <v>0</v>
      </c>
      <c r="E784">
        <v>0</v>
      </c>
    </row>
    <row r="785" spans="1:5">
      <c r="A785" s="485">
        <v>423031048900</v>
      </c>
      <c r="B785" t="s">
        <v>2247</v>
      </c>
      <c r="C785">
        <v>201.5384</v>
      </c>
      <c r="D785">
        <v>137.37299999999999</v>
      </c>
      <c r="E785">
        <v>338.91139999999996</v>
      </c>
    </row>
    <row r="786" spans="1:5">
      <c r="A786" s="485">
        <v>423030704400</v>
      </c>
      <c r="B786" t="s">
        <v>2248</v>
      </c>
      <c r="C786">
        <v>0</v>
      </c>
      <c r="D786">
        <v>0</v>
      </c>
      <c r="E786">
        <v>0</v>
      </c>
    </row>
    <row r="787" spans="1:5">
      <c r="A787" s="485">
        <v>423031035900</v>
      </c>
      <c r="B787" t="s">
        <v>2249</v>
      </c>
      <c r="C787">
        <v>0</v>
      </c>
      <c r="D787">
        <v>0</v>
      </c>
      <c r="E787">
        <v>0</v>
      </c>
    </row>
    <row r="788" spans="1:5">
      <c r="A788" s="485">
        <v>423031035900</v>
      </c>
      <c r="B788" t="s">
        <v>2250</v>
      </c>
      <c r="C788">
        <v>0</v>
      </c>
      <c r="D788">
        <v>0</v>
      </c>
      <c r="E788">
        <v>0</v>
      </c>
    </row>
    <row r="789" spans="1:5">
      <c r="A789" s="485">
        <v>423031035900</v>
      </c>
      <c r="B789" t="s">
        <v>2251</v>
      </c>
      <c r="C789">
        <v>0</v>
      </c>
      <c r="D789">
        <v>0</v>
      </c>
      <c r="E789">
        <v>0</v>
      </c>
    </row>
    <row r="790" spans="1:5">
      <c r="A790" s="485">
        <v>423030576500</v>
      </c>
      <c r="B790" t="s">
        <v>2252</v>
      </c>
      <c r="C790">
        <v>101</v>
      </c>
      <c r="D790">
        <v>736.69509999999991</v>
      </c>
      <c r="E790">
        <v>837.69509999999991</v>
      </c>
    </row>
    <row r="791" spans="1:5">
      <c r="A791" s="485">
        <v>423030576500</v>
      </c>
      <c r="B791" t="s">
        <v>2253</v>
      </c>
      <c r="C791">
        <v>0</v>
      </c>
      <c r="D791">
        <v>0</v>
      </c>
      <c r="E791">
        <v>0</v>
      </c>
    </row>
    <row r="792" spans="1:5">
      <c r="A792" s="485">
        <v>423030687200</v>
      </c>
      <c r="B792" t="s">
        <v>2254</v>
      </c>
      <c r="C792">
        <v>0</v>
      </c>
      <c r="D792">
        <v>8.1030000000000015</v>
      </c>
      <c r="E792">
        <v>8.1030000000000015</v>
      </c>
    </row>
    <row r="793" spans="1:5">
      <c r="A793" s="485">
        <v>423030693900</v>
      </c>
      <c r="B793" t="s">
        <v>2255</v>
      </c>
      <c r="C793">
        <v>1.0001</v>
      </c>
      <c r="D793">
        <v>1.9601000000000002</v>
      </c>
      <c r="E793">
        <v>2.9602000000000004</v>
      </c>
    </row>
    <row r="794" spans="1:5">
      <c r="A794" s="485">
        <v>423030582700</v>
      </c>
      <c r="B794" t="s">
        <v>2256</v>
      </c>
      <c r="C794">
        <v>677.89660000000003</v>
      </c>
      <c r="D794">
        <v>198.73439999999999</v>
      </c>
      <c r="E794">
        <v>876.63100000000009</v>
      </c>
    </row>
    <row r="795" spans="1:5">
      <c r="A795" s="485">
        <v>423031067900</v>
      </c>
      <c r="B795" t="s">
        <v>2257</v>
      </c>
      <c r="C795">
        <v>346.25279999999998</v>
      </c>
      <c r="D795">
        <v>136.96199999999999</v>
      </c>
      <c r="E795">
        <v>483.21479999999997</v>
      </c>
    </row>
    <row r="796" spans="1:5">
      <c r="A796" s="485">
        <v>423030000500</v>
      </c>
      <c r="B796" t="s">
        <v>2258</v>
      </c>
      <c r="C796">
        <v>175.4999</v>
      </c>
      <c r="D796">
        <v>78.015999999999991</v>
      </c>
      <c r="E796">
        <v>253.51589999999999</v>
      </c>
    </row>
    <row r="797" spans="1:5">
      <c r="A797" s="485">
        <v>423030000900</v>
      </c>
      <c r="B797" t="s">
        <v>2259</v>
      </c>
      <c r="C797">
        <v>0</v>
      </c>
      <c r="D797">
        <v>0</v>
      </c>
      <c r="E797">
        <v>0</v>
      </c>
    </row>
    <row r="798" spans="1:5">
      <c r="A798" s="485">
        <v>423030023400</v>
      </c>
      <c r="B798" t="s">
        <v>2260</v>
      </c>
      <c r="C798">
        <v>329.91849999999999</v>
      </c>
      <c r="D798">
        <v>128.2747</v>
      </c>
      <c r="E798">
        <v>458.19319999999999</v>
      </c>
    </row>
    <row r="799" spans="1:5">
      <c r="A799" s="485">
        <v>423030001100</v>
      </c>
      <c r="B799" t="s">
        <v>2261</v>
      </c>
      <c r="C799">
        <v>131.57150000000001</v>
      </c>
      <c r="D799">
        <v>32.713200000000001</v>
      </c>
      <c r="E799">
        <v>164.28470000000002</v>
      </c>
    </row>
    <row r="800" spans="1:5">
      <c r="A800" s="485">
        <v>423030245500</v>
      </c>
      <c r="B800" t="s">
        <v>2262</v>
      </c>
      <c r="C800">
        <v>42.826099999999997</v>
      </c>
      <c r="D800">
        <v>26.305399999999995</v>
      </c>
      <c r="E800">
        <v>69.131499999999988</v>
      </c>
    </row>
    <row r="801" spans="1:5">
      <c r="A801" s="485">
        <v>423030002000</v>
      </c>
      <c r="B801" t="s">
        <v>2263</v>
      </c>
      <c r="C801">
        <v>0</v>
      </c>
      <c r="D801">
        <v>0</v>
      </c>
      <c r="E801">
        <v>0</v>
      </c>
    </row>
    <row r="802" spans="1:5">
      <c r="A802" s="485">
        <v>423030002000</v>
      </c>
      <c r="B802" t="s">
        <v>2264</v>
      </c>
      <c r="C802">
        <v>3.0002</v>
      </c>
      <c r="D802">
        <v>2.1070000000000002</v>
      </c>
      <c r="E802">
        <v>5.1072000000000006</v>
      </c>
    </row>
    <row r="803" spans="1:5">
      <c r="A803" s="485">
        <v>423030002600</v>
      </c>
      <c r="B803" t="s">
        <v>2265</v>
      </c>
      <c r="C803">
        <v>0</v>
      </c>
      <c r="D803">
        <v>0</v>
      </c>
      <c r="E803">
        <v>0</v>
      </c>
    </row>
    <row r="804" spans="1:5">
      <c r="A804" s="485">
        <v>423030003500</v>
      </c>
      <c r="B804" t="s">
        <v>2266</v>
      </c>
      <c r="C804">
        <v>0</v>
      </c>
      <c r="D804">
        <v>0</v>
      </c>
      <c r="E804">
        <v>0</v>
      </c>
    </row>
    <row r="805" spans="1:5">
      <c r="A805" s="485">
        <v>423030003400</v>
      </c>
      <c r="B805" t="s">
        <v>2267</v>
      </c>
      <c r="C805">
        <v>0</v>
      </c>
      <c r="D805">
        <v>0</v>
      </c>
      <c r="E805">
        <v>0</v>
      </c>
    </row>
    <row r="806" spans="1:5">
      <c r="A806" s="485">
        <v>423030028900</v>
      </c>
      <c r="B806" t="s">
        <v>2268</v>
      </c>
      <c r="C806">
        <v>0</v>
      </c>
      <c r="D806">
        <v>0</v>
      </c>
      <c r="E806">
        <v>0</v>
      </c>
    </row>
    <row r="807" spans="1:5">
      <c r="A807" s="485">
        <v>423030003700</v>
      </c>
      <c r="B807" t="s">
        <v>2269</v>
      </c>
      <c r="C807">
        <v>19.0001</v>
      </c>
      <c r="D807">
        <v>11.370000000000001</v>
      </c>
      <c r="E807">
        <v>30.370100000000001</v>
      </c>
    </row>
    <row r="808" spans="1:5">
      <c r="A808" s="485">
        <v>423031813100</v>
      </c>
      <c r="B808" t="s">
        <v>2270</v>
      </c>
      <c r="C808">
        <v>0</v>
      </c>
      <c r="D808">
        <v>0</v>
      </c>
      <c r="E808">
        <v>0</v>
      </c>
    </row>
    <row r="809" spans="1:5">
      <c r="A809" s="485">
        <v>423030030600</v>
      </c>
      <c r="B809" t="s">
        <v>2271</v>
      </c>
      <c r="C809">
        <v>0</v>
      </c>
      <c r="D809">
        <v>0</v>
      </c>
      <c r="E809">
        <v>0</v>
      </c>
    </row>
    <row r="810" spans="1:5">
      <c r="A810" s="485">
        <v>423030031900</v>
      </c>
      <c r="B810" t="s">
        <v>2272</v>
      </c>
      <c r="C810">
        <v>0</v>
      </c>
      <c r="D810">
        <v>0</v>
      </c>
      <c r="E810">
        <v>0</v>
      </c>
    </row>
    <row r="811" spans="1:5">
      <c r="A811" s="485">
        <v>423030032800</v>
      </c>
      <c r="B811" t="s">
        <v>2273</v>
      </c>
      <c r="C811">
        <v>2.7910999999999997</v>
      </c>
      <c r="D811">
        <v>0.66660000000000008</v>
      </c>
      <c r="E811">
        <v>3.4577</v>
      </c>
    </row>
    <row r="812" spans="1:5">
      <c r="A812" s="485">
        <v>423030005200</v>
      </c>
      <c r="B812" t="s">
        <v>2274</v>
      </c>
      <c r="C812">
        <v>22.1724</v>
      </c>
      <c r="D812">
        <v>8.9055999999999997</v>
      </c>
      <c r="E812">
        <v>31.077999999999999</v>
      </c>
    </row>
    <row r="813" spans="1:5">
      <c r="A813" s="485">
        <v>423030034000</v>
      </c>
      <c r="B813" t="s">
        <v>2275</v>
      </c>
      <c r="C813">
        <v>4.4724999999999993</v>
      </c>
      <c r="D813">
        <v>0.64660000000000006</v>
      </c>
      <c r="E813">
        <v>5.1190999999999995</v>
      </c>
    </row>
    <row r="814" spans="1:5">
      <c r="A814" s="485">
        <v>423030005600</v>
      </c>
      <c r="B814" t="s">
        <v>2276</v>
      </c>
      <c r="C814">
        <v>146.8416</v>
      </c>
      <c r="D814">
        <v>214.881</v>
      </c>
      <c r="E814">
        <v>361.7226</v>
      </c>
    </row>
    <row r="815" spans="1:5">
      <c r="A815" s="485">
        <v>423030006000</v>
      </c>
      <c r="B815" t="s">
        <v>2277</v>
      </c>
      <c r="C815">
        <v>0</v>
      </c>
      <c r="D815">
        <v>0</v>
      </c>
      <c r="E815">
        <v>0</v>
      </c>
    </row>
    <row r="816" spans="1:5">
      <c r="A816" s="485">
        <v>423030005800</v>
      </c>
      <c r="B816" t="s">
        <v>2278</v>
      </c>
      <c r="C816">
        <v>0.1111</v>
      </c>
      <c r="D816">
        <v>1.6924999999999999</v>
      </c>
      <c r="E816">
        <v>1.8035999999999999</v>
      </c>
    </row>
    <row r="817" spans="1:5">
      <c r="A817" s="485">
        <v>423030006400</v>
      </c>
      <c r="B817" t="s">
        <v>2279</v>
      </c>
      <c r="C817">
        <v>0</v>
      </c>
      <c r="D817">
        <v>0</v>
      </c>
      <c r="E817">
        <v>0</v>
      </c>
    </row>
    <row r="818" spans="1:5">
      <c r="A818" s="485">
        <v>423030006600</v>
      </c>
      <c r="B818" t="s">
        <v>2280</v>
      </c>
      <c r="C818">
        <v>0</v>
      </c>
      <c r="D818">
        <v>0</v>
      </c>
      <c r="E818">
        <v>0</v>
      </c>
    </row>
    <row r="819" spans="1:5">
      <c r="A819" s="485">
        <v>423031553900</v>
      </c>
      <c r="B819" t="s">
        <v>2281</v>
      </c>
      <c r="C819">
        <v>0</v>
      </c>
      <c r="D819">
        <v>0</v>
      </c>
      <c r="E819">
        <v>0</v>
      </c>
    </row>
    <row r="820" spans="1:5">
      <c r="A820" s="485">
        <v>423030037500</v>
      </c>
      <c r="B820" t="s">
        <v>2282</v>
      </c>
      <c r="C820">
        <v>28.3354</v>
      </c>
      <c r="D820">
        <v>56.448900000000002</v>
      </c>
      <c r="E820">
        <v>84.784300000000002</v>
      </c>
    </row>
    <row r="821" spans="1:5">
      <c r="A821" s="485">
        <v>423030000700</v>
      </c>
      <c r="B821" t="s">
        <v>2283</v>
      </c>
      <c r="C821">
        <v>0</v>
      </c>
      <c r="D821">
        <v>0</v>
      </c>
      <c r="E821">
        <v>0</v>
      </c>
    </row>
    <row r="822" spans="1:5">
      <c r="A822" s="485">
        <v>423030001800</v>
      </c>
      <c r="B822" t="s">
        <v>2284</v>
      </c>
      <c r="C822">
        <v>0.99999999999999989</v>
      </c>
      <c r="D822">
        <v>5225.1377000000002</v>
      </c>
      <c r="E822">
        <v>5226.1377000000002</v>
      </c>
    </row>
    <row r="823" spans="1:5">
      <c r="A823" s="485">
        <v>423030008300</v>
      </c>
      <c r="B823" t="s">
        <v>2285</v>
      </c>
      <c r="C823">
        <v>0</v>
      </c>
      <c r="D823">
        <v>0</v>
      </c>
      <c r="E823">
        <v>0</v>
      </c>
    </row>
    <row r="824" spans="1:5">
      <c r="A824" s="485">
        <v>423030009300</v>
      </c>
      <c r="B824" t="s">
        <v>2286</v>
      </c>
      <c r="C824">
        <v>2.0000999999999998</v>
      </c>
      <c r="D824">
        <v>1.0337000000000001</v>
      </c>
      <c r="E824">
        <v>3.0337999999999998</v>
      </c>
    </row>
    <row r="825" spans="1:5">
      <c r="A825" s="485">
        <v>423030011300</v>
      </c>
      <c r="B825" t="s">
        <v>2287</v>
      </c>
      <c r="C825">
        <v>0</v>
      </c>
      <c r="D825">
        <v>0</v>
      </c>
      <c r="E825">
        <v>0</v>
      </c>
    </row>
    <row r="826" spans="1:5">
      <c r="A826" s="485">
        <v>423030015400</v>
      </c>
      <c r="B826" t="s">
        <v>2288</v>
      </c>
      <c r="C826">
        <v>31.670300000000005</v>
      </c>
      <c r="D826">
        <v>56.581200000000003</v>
      </c>
      <c r="E826">
        <v>88.251500000000007</v>
      </c>
    </row>
    <row r="827" spans="1:5">
      <c r="A827" s="485">
        <v>423030013500</v>
      </c>
      <c r="B827" t="s">
        <v>2289</v>
      </c>
      <c r="C827">
        <v>0</v>
      </c>
      <c r="D827">
        <v>15.877499999999998</v>
      </c>
      <c r="E827">
        <v>15.877499999999998</v>
      </c>
    </row>
    <row r="828" spans="1:5">
      <c r="A828" s="485">
        <v>423030013500</v>
      </c>
      <c r="B828" t="s">
        <v>2290</v>
      </c>
      <c r="C828">
        <v>2</v>
      </c>
      <c r="D828">
        <v>7.4182000000000006</v>
      </c>
      <c r="E828">
        <v>9.4182000000000006</v>
      </c>
    </row>
    <row r="829" spans="1:5">
      <c r="A829" s="485">
        <v>423030039300</v>
      </c>
      <c r="B829">
        <v>98969228</v>
      </c>
      <c r="C829">
        <v>11.379000000000001</v>
      </c>
      <c r="D829">
        <v>7.9296000000000006</v>
      </c>
      <c r="E829">
        <v>19.308600000000002</v>
      </c>
    </row>
    <row r="830" spans="1:5">
      <c r="A830" s="485">
        <v>423030015100</v>
      </c>
      <c r="B830" t="s">
        <v>2291</v>
      </c>
      <c r="C830">
        <v>30.9999</v>
      </c>
      <c r="D830">
        <v>17.0289</v>
      </c>
      <c r="E830">
        <v>48.028800000000004</v>
      </c>
    </row>
    <row r="831" spans="1:5">
      <c r="A831" s="485">
        <v>423030017000</v>
      </c>
      <c r="B831" t="s">
        <v>2292</v>
      </c>
      <c r="C831">
        <v>2</v>
      </c>
      <c r="D831">
        <v>1.9619999999999997</v>
      </c>
      <c r="E831">
        <v>3.9619999999999997</v>
      </c>
    </row>
    <row r="832" spans="1:5">
      <c r="A832" s="485">
        <v>423030017000</v>
      </c>
      <c r="B832" t="s">
        <v>2293</v>
      </c>
      <c r="C832">
        <v>0</v>
      </c>
      <c r="D832">
        <v>3.9419999999999997</v>
      </c>
      <c r="E832">
        <v>3.9419999999999997</v>
      </c>
    </row>
    <row r="833" spans="1:5">
      <c r="A833" s="485">
        <v>423030018000</v>
      </c>
      <c r="B833" t="s">
        <v>2294</v>
      </c>
      <c r="C833">
        <v>0.70749999999999991</v>
      </c>
      <c r="D833">
        <v>0.27560000000000001</v>
      </c>
      <c r="E833">
        <v>0.98309999999999986</v>
      </c>
    </row>
    <row r="834" spans="1:5">
      <c r="A834" s="485">
        <v>423030042600</v>
      </c>
      <c r="B834" t="s">
        <v>2295</v>
      </c>
      <c r="C834">
        <v>0</v>
      </c>
      <c r="D834">
        <v>3.4675000000000002</v>
      </c>
      <c r="E834">
        <v>3.4675000000000002</v>
      </c>
    </row>
    <row r="835" spans="1:5">
      <c r="A835" s="485">
        <v>423030043100</v>
      </c>
      <c r="B835" t="s">
        <v>2296</v>
      </c>
      <c r="C835">
        <v>0</v>
      </c>
      <c r="D835">
        <v>0</v>
      </c>
      <c r="E835">
        <v>0</v>
      </c>
    </row>
    <row r="836" spans="1:5">
      <c r="A836" s="485">
        <v>423030169700</v>
      </c>
      <c r="B836" t="s">
        <v>2297</v>
      </c>
      <c r="C836">
        <v>0</v>
      </c>
      <c r="D836">
        <v>0</v>
      </c>
      <c r="E836">
        <v>0</v>
      </c>
    </row>
    <row r="837" spans="1:5">
      <c r="A837" s="485">
        <v>423030022200</v>
      </c>
      <c r="B837" t="s">
        <v>2298</v>
      </c>
      <c r="C837">
        <v>0</v>
      </c>
      <c r="D837">
        <v>0</v>
      </c>
      <c r="E837">
        <v>0</v>
      </c>
    </row>
    <row r="838" spans="1:5">
      <c r="A838" s="485">
        <v>423030020900</v>
      </c>
      <c r="B838" t="s">
        <v>2299</v>
      </c>
      <c r="C838">
        <v>0</v>
      </c>
      <c r="D838">
        <v>0</v>
      </c>
      <c r="E838">
        <v>0</v>
      </c>
    </row>
    <row r="839" spans="1:5">
      <c r="A839" s="485">
        <v>423030048700</v>
      </c>
      <c r="B839" t="s">
        <v>2300</v>
      </c>
      <c r="C839">
        <v>0</v>
      </c>
      <c r="D839">
        <v>0</v>
      </c>
      <c r="E839">
        <v>0</v>
      </c>
    </row>
    <row r="840" spans="1:5">
      <c r="A840" s="485">
        <v>423030009700</v>
      </c>
      <c r="B840" t="s">
        <v>2301</v>
      </c>
      <c r="C840">
        <v>0</v>
      </c>
      <c r="D840">
        <v>0</v>
      </c>
      <c r="E840">
        <v>0</v>
      </c>
    </row>
    <row r="841" spans="1:5">
      <c r="A841" s="485">
        <v>423030010200</v>
      </c>
      <c r="B841" t="s">
        <v>2302</v>
      </c>
      <c r="C841">
        <v>0</v>
      </c>
      <c r="D841">
        <v>0</v>
      </c>
      <c r="E841">
        <v>0</v>
      </c>
    </row>
    <row r="842" spans="1:5">
      <c r="A842" s="485">
        <v>423030014900</v>
      </c>
      <c r="B842" t="s">
        <v>2303</v>
      </c>
      <c r="C842">
        <v>0</v>
      </c>
      <c r="D842">
        <v>1444.8889999999999</v>
      </c>
      <c r="E842">
        <v>1444.8889999999999</v>
      </c>
    </row>
    <row r="843" spans="1:5">
      <c r="A843" s="485">
        <v>423030014900</v>
      </c>
      <c r="B843" t="s">
        <v>2304</v>
      </c>
      <c r="C843">
        <v>0</v>
      </c>
      <c r="D843">
        <v>0</v>
      </c>
      <c r="E843">
        <v>0</v>
      </c>
    </row>
    <row r="844" spans="1:5">
      <c r="A844" s="485">
        <v>423030292100</v>
      </c>
      <c r="B844" t="s">
        <v>2305</v>
      </c>
      <c r="C844">
        <v>0</v>
      </c>
      <c r="D844">
        <v>0</v>
      </c>
      <c r="E844">
        <v>0</v>
      </c>
    </row>
    <row r="845" spans="1:5">
      <c r="A845" s="485">
        <v>423030016500</v>
      </c>
      <c r="B845" t="s">
        <v>2306</v>
      </c>
      <c r="C845">
        <v>0</v>
      </c>
      <c r="D845">
        <v>0</v>
      </c>
      <c r="E845">
        <v>0</v>
      </c>
    </row>
    <row r="846" spans="1:5">
      <c r="A846" s="485">
        <v>423030049700</v>
      </c>
      <c r="B846" t="s">
        <v>2307</v>
      </c>
      <c r="C846">
        <v>0</v>
      </c>
      <c r="D846">
        <v>9.6725000000000012</v>
      </c>
      <c r="E846">
        <v>9.6725000000000012</v>
      </c>
    </row>
    <row r="847" spans="1:5">
      <c r="A847" s="485">
        <v>423030017700</v>
      </c>
      <c r="B847" t="s">
        <v>2308</v>
      </c>
      <c r="C847">
        <v>0</v>
      </c>
      <c r="D847">
        <v>0</v>
      </c>
      <c r="E847">
        <v>0</v>
      </c>
    </row>
    <row r="848" spans="1:5">
      <c r="A848" s="485">
        <v>423030017700</v>
      </c>
      <c r="B848" t="s">
        <v>2309</v>
      </c>
      <c r="C848">
        <v>0</v>
      </c>
      <c r="D848">
        <v>0</v>
      </c>
      <c r="E848">
        <v>0</v>
      </c>
    </row>
    <row r="849" spans="1:5">
      <c r="A849" s="485">
        <v>423030019500</v>
      </c>
      <c r="B849" t="s">
        <v>2310</v>
      </c>
      <c r="C849">
        <v>5.5217000000000001</v>
      </c>
      <c r="D849">
        <v>3.8000999999999996</v>
      </c>
      <c r="E849">
        <v>9.3217999999999996</v>
      </c>
    </row>
    <row r="850" spans="1:5">
      <c r="A850" s="485">
        <v>423030050300</v>
      </c>
      <c r="B850" t="s">
        <v>2311</v>
      </c>
      <c r="C850">
        <v>0</v>
      </c>
      <c r="D850">
        <v>0</v>
      </c>
      <c r="E850">
        <v>0</v>
      </c>
    </row>
    <row r="851" spans="1:5">
      <c r="A851" s="485">
        <v>423030051600</v>
      </c>
      <c r="B851" t="s">
        <v>2312</v>
      </c>
      <c r="C851">
        <v>0</v>
      </c>
      <c r="D851">
        <v>0</v>
      </c>
      <c r="E851">
        <v>0</v>
      </c>
    </row>
    <row r="852" spans="1:5">
      <c r="A852" s="485">
        <v>423030548300</v>
      </c>
      <c r="B852" t="s">
        <v>2313</v>
      </c>
      <c r="C852">
        <v>0</v>
      </c>
      <c r="D852">
        <v>0</v>
      </c>
      <c r="E852">
        <v>0</v>
      </c>
    </row>
    <row r="853" spans="1:5">
      <c r="A853" s="485">
        <v>423030021500</v>
      </c>
      <c r="B853" t="s">
        <v>2314</v>
      </c>
      <c r="C853">
        <v>0</v>
      </c>
      <c r="D853">
        <v>0</v>
      </c>
      <c r="E853">
        <v>0</v>
      </c>
    </row>
    <row r="854" spans="1:5">
      <c r="A854" s="485">
        <v>423030022100</v>
      </c>
      <c r="B854" t="s">
        <v>2315</v>
      </c>
      <c r="C854">
        <v>0</v>
      </c>
      <c r="D854">
        <v>0</v>
      </c>
      <c r="E854">
        <v>0</v>
      </c>
    </row>
    <row r="855" spans="1:5">
      <c r="A855" s="485">
        <v>423030022400</v>
      </c>
      <c r="B855" t="s">
        <v>2316</v>
      </c>
      <c r="C855">
        <v>265.16679999999997</v>
      </c>
      <c r="D855">
        <v>606.78060000000005</v>
      </c>
      <c r="E855">
        <v>871.94740000000002</v>
      </c>
    </row>
    <row r="856" spans="1:5">
      <c r="A856" s="485">
        <v>423030023600</v>
      </c>
      <c r="B856" t="s">
        <v>2317</v>
      </c>
      <c r="C856">
        <v>0</v>
      </c>
      <c r="D856">
        <v>19.819500000000001</v>
      </c>
      <c r="E856">
        <v>19.819500000000001</v>
      </c>
    </row>
    <row r="857" spans="1:5">
      <c r="A857" s="485">
        <v>423030023600</v>
      </c>
      <c r="B857" t="s">
        <v>2318</v>
      </c>
      <c r="C857">
        <v>0.32929999999999998</v>
      </c>
      <c r="D857">
        <v>0</v>
      </c>
      <c r="E857">
        <v>0.32929999999999998</v>
      </c>
    </row>
    <row r="858" spans="1:5">
      <c r="A858" s="485">
        <v>423030024800</v>
      </c>
      <c r="B858" t="s">
        <v>2319</v>
      </c>
      <c r="C858">
        <v>28.149500000000003</v>
      </c>
      <c r="D858">
        <v>1.5050000000000001</v>
      </c>
      <c r="E858">
        <v>29.654500000000002</v>
      </c>
    </row>
    <row r="859" spans="1:5">
      <c r="A859" s="485">
        <v>423030024800</v>
      </c>
      <c r="B859" t="s">
        <v>2320</v>
      </c>
      <c r="C859">
        <v>0</v>
      </c>
      <c r="D859">
        <v>0</v>
      </c>
      <c r="E859">
        <v>0</v>
      </c>
    </row>
    <row r="860" spans="1:5">
      <c r="A860" s="485">
        <v>423030025100</v>
      </c>
      <c r="B860" t="s">
        <v>2321</v>
      </c>
      <c r="C860">
        <v>0</v>
      </c>
      <c r="D860">
        <v>0</v>
      </c>
      <c r="E860">
        <v>0</v>
      </c>
    </row>
    <row r="861" spans="1:5">
      <c r="A861" s="485">
        <v>423030245400</v>
      </c>
      <c r="B861" t="s">
        <v>2322</v>
      </c>
      <c r="C861">
        <v>1.48</v>
      </c>
      <c r="D861">
        <v>75.267799999999994</v>
      </c>
      <c r="E861">
        <v>76.747799999999998</v>
      </c>
    </row>
    <row r="862" spans="1:5">
      <c r="A862" s="485">
        <v>423031269900</v>
      </c>
      <c r="B862">
        <v>1010507</v>
      </c>
      <c r="C862">
        <v>1805.5217</v>
      </c>
      <c r="D862">
        <v>555.40120000000002</v>
      </c>
      <c r="E862">
        <v>2360.9229</v>
      </c>
    </row>
    <row r="863" spans="1:5">
      <c r="A863" s="485">
        <v>423031269900</v>
      </c>
      <c r="B863" t="s">
        <v>2323</v>
      </c>
      <c r="C863">
        <v>0</v>
      </c>
      <c r="D863">
        <v>0</v>
      </c>
      <c r="E863">
        <v>0</v>
      </c>
    </row>
    <row r="864" spans="1:5">
      <c r="A864" s="485">
        <v>423030029400</v>
      </c>
      <c r="B864" t="s">
        <v>2324</v>
      </c>
      <c r="C864">
        <v>0</v>
      </c>
      <c r="D864">
        <v>0</v>
      </c>
      <c r="E864">
        <v>0</v>
      </c>
    </row>
    <row r="865" spans="1:5">
      <c r="A865" s="485">
        <v>423030030100</v>
      </c>
      <c r="B865" t="s">
        <v>2325</v>
      </c>
      <c r="C865">
        <v>0</v>
      </c>
      <c r="D865">
        <v>0</v>
      </c>
      <c r="E865">
        <v>0</v>
      </c>
    </row>
    <row r="866" spans="1:5">
      <c r="A866" s="485">
        <v>423030030300</v>
      </c>
      <c r="B866" t="s">
        <v>2326</v>
      </c>
      <c r="C866">
        <v>0</v>
      </c>
      <c r="D866">
        <v>1125.1125000000002</v>
      </c>
      <c r="E866">
        <v>1125.1125000000002</v>
      </c>
    </row>
    <row r="867" spans="1:5">
      <c r="A867" s="485">
        <v>423030030300</v>
      </c>
      <c r="B867" t="s">
        <v>2327</v>
      </c>
      <c r="C867">
        <v>67.592600000000004</v>
      </c>
      <c r="D867">
        <v>55.208299999999994</v>
      </c>
      <c r="E867">
        <v>122.8009</v>
      </c>
    </row>
    <row r="868" spans="1:5">
      <c r="A868" s="485">
        <v>423030031400</v>
      </c>
      <c r="B868" t="s">
        <v>2328</v>
      </c>
      <c r="C868">
        <v>130.54840000000002</v>
      </c>
      <c r="D868">
        <v>5.1961000000000004</v>
      </c>
      <c r="E868">
        <v>135.74450000000002</v>
      </c>
    </row>
    <row r="869" spans="1:5">
      <c r="A869" s="485">
        <v>423030031800</v>
      </c>
      <c r="B869" t="s">
        <v>2329</v>
      </c>
      <c r="C869">
        <v>0</v>
      </c>
      <c r="D869">
        <v>0</v>
      </c>
      <c r="E869">
        <v>0</v>
      </c>
    </row>
    <row r="870" spans="1:5">
      <c r="A870" s="485">
        <v>423030022300</v>
      </c>
      <c r="B870">
        <v>103749</v>
      </c>
      <c r="C870">
        <v>21.7666</v>
      </c>
      <c r="D870">
        <v>3.3812000000000002</v>
      </c>
      <c r="E870">
        <v>25.1478</v>
      </c>
    </row>
    <row r="871" spans="1:5">
      <c r="A871" s="485">
        <v>423030022600</v>
      </c>
      <c r="B871" t="s">
        <v>2330</v>
      </c>
      <c r="C871">
        <v>9.0333000000000006</v>
      </c>
      <c r="D871">
        <v>15.932</v>
      </c>
      <c r="E871">
        <v>24.965299999999999</v>
      </c>
    </row>
    <row r="872" spans="1:5">
      <c r="A872" s="485">
        <v>423030025900</v>
      </c>
      <c r="B872" t="s">
        <v>2331</v>
      </c>
      <c r="C872">
        <v>42.295100000000005</v>
      </c>
      <c r="D872">
        <v>129.2225</v>
      </c>
      <c r="E872">
        <v>171.51760000000002</v>
      </c>
    </row>
    <row r="873" spans="1:5">
      <c r="A873" s="485">
        <v>423030026400</v>
      </c>
      <c r="B873">
        <v>101055000000000</v>
      </c>
      <c r="C873">
        <v>0</v>
      </c>
      <c r="D873">
        <v>23.287000000000003</v>
      </c>
      <c r="E873">
        <v>23.287000000000003</v>
      </c>
    </row>
    <row r="874" spans="1:5">
      <c r="A874" s="485">
        <v>423030026400</v>
      </c>
      <c r="B874" t="s">
        <v>2332</v>
      </c>
      <c r="C874">
        <v>8.1409000000000002</v>
      </c>
      <c r="D874">
        <v>11.8636</v>
      </c>
      <c r="E874">
        <v>20.0045</v>
      </c>
    </row>
    <row r="875" spans="1:5">
      <c r="A875" s="485">
        <v>423030029300</v>
      </c>
      <c r="B875" t="s">
        <v>2333</v>
      </c>
      <c r="C875">
        <v>0</v>
      </c>
      <c r="D875">
        <v>0</v>
      </c>
      <c r="E875">
        <v>0</v>
      </c>
    </row>
    <row r="876" spans="1:5">
      <c r="A876" s="485">
        <v>423030030400</v>
      </c>
      <c r="B876" t="s">
        <v>2334</v>
      </c>
      <c r="C876">
        <v>0</v>
      </c>
      <c r="D876">
        <v>0</v>
      </c>
      <c r="E876">
        <v>0</v>
      </c>
    </row>
    <row r="877" spans="1:5">
      <c r="A877" s="485">
        <v>423030001400</v>
      </c>
      <c r="B877">
        <v>1004407</v>
      </c>
      <c r="C877">
        <v>419.49999999999994</v>
      </c>
      <c r="D877">
        <v>42.753600000000006</v>
      </c>
      <c r="E877">
        <v>462.25359999999995</v>
      </c>
    </row>
    <row r="878" spans="1:5">
      <c r="A878" s="485">
        <v>423030003100</v>
      </c>
      <c r="B878" t="s">
        <v>2335</v>
      </c>
      <c r="C878">
        <v>0</v>
      </c>
      <c r="D878">
        <v>0</v>
      </c>
      <c r="E878">
        <v>0</v>
      </c>
    </row>
    <row r="879" spans="1:5">
      <c r="A879" s="485">
        <v>423030003900</v>
      </c>
      <c r="B879" t="s">
        <v>2336</v>
      </c>
      <c r="C879">
        <v>218.26670000000001</v>
      </c>
      <c r="D879">
        <v>0</v>
      </c>
      <c r="E879">
        <v>218.26670000000001</v>
      </c>
    </row>
    <row r="880" spans="1:5">
      <c r="A880" s="485">
        <v>423030003900</v>
      </c>
      <c r="B880" t="s">
        <v>2337</v>
      </c>
      <c r="C880">
        <v>602.00009999999997</v>
      </c>
      <c r="D880">
        <v>139.863</v>
      </c>
      <c r="E880">
        <v>741.86310000000003</v>
      </c>
    </row>
    <row r="881" spans="1:6">
      <c r="A881" s="485">
        <v>423030003200</v>
      </c>
      <c r="B881" t="s">
        <v>2338</v>
      </c>
      <c r="C881">
        <v>0</v>
      </c>
      <c r="D881">
        <v>6.6065000000000005</v>
      </c>
      <c r="E881">
        <v>6.6065000000000005</v>
      </c>
    </row>
    <row r="882" spans="1:6">
      <c r="A882" s="485">
        <v>423030004500</v>
      </c>
      <c r="B882" t="s">
        <v>2339</v>
      </c>
      <c r="C882">
        <v>0.9998999999999999</v>
      </c>
      <c r="D882">
        <v>14.174099999999999</v>
      </c>
      <c r="E882">
        <v>15.173999999999999</v>
      </c>
    </row>
    <row r="883" spans="1:6">
      <c r="A883" s="485">
        <v>423030004500</v>
      </c>
      <c r="B883" t="s">
        <v>2340</v>
      </c>
      <c r="C883">
        <v>0</v>
      </c>
      <c r="D883">
        <v>0</v>
      </c>
      <c r="E883">
        <v>0</v>
      </c>
    </row>
    <row r="884" spans="1:6">
      <c r="A884" s="485">
        <v>423030002300</v>
      </c>
      <c r="B884" t="s">
        <v>2341</v>
      </c>
      <c r="C884">
        <v>23.764700000000001</v>
      </c>
      <c r="D884">
        <v>5.4842000000000004</v>
      </c>
      <c r="E884">
        <v>29.248900000000003</v>
      </c>
    </row>
    <row r="885" spans="1:6">
      <c r="A885" s="485">
        <v>423030033500</v>
      </c>
      <c r="B885" t="s">
        <v>2342</v>
      </c>
      <c r="C885">
        <v>0</v>
      </c>
      <c r="D885">
        <v>0</v>
      </c>
      <c r="E885">
        <v>0</v>
      </c>
    </row>
    <row r="886" spans="1:6">
      <c r="A886" s="485">
        <v>423030005300</v>
      </c>
      <c r="B886" t="s">
        <v>2343</v>
      </c>
      <c r="C886">
        <v>3.9022999999999999</v>
      </c>
      <c r="D886">
        <v>5.5814000000000004</v>
      </c>
      <c r="E886">
        <v>9.4837000000000007</v>
      </c>
    </row>
    <row r="887" spans="1:6">
      <c r="A887" s="485">
        <v>423030005500</v>
      </c>
      <c r="B887" t="s">
        <v>2344</v>
      </c>
      <c r="C887">
        <v>0</v>
      </c>
      <c r="D887">
        <v>0</v>
      </c>
      <c r="E887">
        <v>0</v>
      </c>
    </row>
    <row r="888" spans="1:6">
      <c r="A888" s="485">
        <v>423030265500</v>
      </c>
      <c r="B888" t="s">
        <v>2345</v>
      </c>
      <c r="C888">
        <v>8.6999999999999994E-2</v>
      </c>
      <c r="D888">
        <v>0</v>
      </c>
      <c r="E888">
        <v>8.6999999999999994E-2</v>
      </c>
    </row>
    <row r="889" spans="1:6">
      <c r="A889" s="485">
        <v>423030265500</v>
      </c>
      <c r="B889" t="s">
        <v>2346</v>
      </c>
      <c r="C889">
        <v>0</v>
      </c>
      <c r="D889">
        <v>0</v>
      </c>
      <c r="E889">
        <v>0</v>
      </c>
    </row>
    <row r="890" spans="1:6">
      <c r="A890" s="485">
        <v>423030006300</v>
      </c>
      <c r="B890" t="s">
        <v>2347</v>
      </c>
      <c r="C890">
        <v>30.104700000000001</v>
      </c>
      <c r="D890">
        <v>6.4447999999999999</v>
      </c>
      <c r="E890">
        <v>36.549500000000002</v>
      </c>
    </row>
    <row r="891" spans="1:6">
      <c r="A891" s="485">
        <v>423030007000</v>
      </c>
      <c r="B891" t="s">
        <v>2348</v>
      </c>
      <c r="C891">
        <v>0</v>
      </c>
      <c r="D891">
        <v>13.870000000000001</v>
      </c>
      <c r="E891">
        <v>13.870000000000001</v>
      </c>
    </row>
    <row r="892" spans="1:6">
      <c r="A892" s="485">
        <v>423030007800</v>
      </c>
      <c r="B892" t="s">
        <v>2349</v>
      </c>
      <c r="C892">
        <v>0</v>
      </c>
      <c r="D892">
        <v>0</v>
      </c>
      <c r="E892">
        <v>0</v>
      </c>
    </row>
    <row r="893" spans="1:6">
      <c r="A893" s="485">
        <v>423030008100</v>
      </c>
      <c r="B893" t="s">
        <v>2350</v>
      </c>
      <c r="C893">
        <v>0</v>
      </c>
      <c r="D893">
        <v>0</v>
      </c>
      <c r="E893">
        <v>0</v>
      </c>
    </row>
    <row r="894" spans="1:6">
      <c r="A894" s="485">
        <v>423030036800</v>
      </c>
      <c r="B894" t="s">
        <v>2351</v>
      </c>
      <c r="C894">
        <v>9.4564999999999966</v>
      </c>
      <c r="D894">
        <v>1.3080999999999998</v>
      </c>
      <c r="E894">
        <v>10.764599999999996</v>
      </c>
      <c r="F894">
        <v>391.14569999999998</v>
      </c>
    </row>
    <row r="895" spans="1:6">
      <c r="A895" s="485">
        <v>423030038000</v>
      </c>
      <c r="B895" t="s">
        <v>2352</v>
      </c>
      <c r="C895">
        <v>0</v>
      </c>
      <c r="D895">
        <v>0</v>
      </c>
      <c r="E895">
        <v>0</v>
      </c>
      <c r="F895">
        <v>13.703300000000002</v>
      </c>
    </row>
    <row r="896" spans="1:6">
      <c r="A896" s="485">
        <v>423030038500</v>
      </c>
      <c r="B896" t="s">
        <v>2353</v>
      </c>
      <c r="C896">
        <v>0</v>
      </c>
      <c r="D896">
        <v>0</v>
      </c>
      <c r="E896">
        <v>0</v>
      </c>
      <c r="F896">
        <v>1.9999999999999998</v>
      </c>
    </row>
    <row r="897" spans="1:6">
      <c r="A897" s="485">
        <v>423030011100</v>
      </c>
      <c r="B897" t="s">
        <v>2354</v>
      </c>
      <c r="C897">
        <v>283.57139999999998</v>
      </c>
      <c r="D897">
        <v>783.05529999999987</v>
      </c>
      <c r="E897">
        <v>1066.6266999999998</v>
      </c>
      <c r="F897">
        <v>110.52640000000001</v>
      </c>
    </row>
    <row r="898" spans="1:6">
      <c r="A898" s="485">
        <v>423030013100</v>
      </c>
      <c r="B898" t="s">
        <v>2355</v>
      </c>
      <c r="C898">
        <v>0</v>
      </c>
      <c r="D898">
        <v>0</v>
      </c>
      <c r="E898">
        <v>0</v>
      </c>
      <c r="F898">
        <v>4.0804999999999998</v>
      </c>
    </row>
    <row r="899" spans="1:6">
      <c r="A899" s="485">
        <v>423030026200</v>
      </c>
      <c r="B899" t="s">
        <v>2356</v>
      </c>
      <c r="C899">
        <v>9966.9429</v>
      </c>
      <c r="D899">
        <v>2967.8751000000002</v>
      </c>
      <c r="E899">
        <v>12934.817999999999</v>
      </c>
      <c r="F899">
        <v>193.76269999999997</v>
      </c>
    </row>
    <row r="900" spans="1:6">
      <c r="A900" s="485">
        <v>423030040200</v>
      </c>
      <c r="B900" t="s">
        <v>2357</v>
      </c>
      <c r="C900">
        <v>0</v>
      </c>
      <c r="D900">
        <v>0</v>
      </c>
      <c r="E900">
        <v>0</v>
      </c>
      <c r="F900">
        <v>3.0001000000000002</v>
      </c>
    </row>
    <row r="901" spans="1:6">
      <c r="A901" s="485">
        <v>423030015500</v>
      </c>
      <c r="B901" t="s">
        <v>2358</v>
      </c>
      <c r="C901">
        <v>4.9646000000000008</v>
      </c>
      <c r="D901">
        <v>1.1765000000000001</v>
      </c>
      <c r="E901">
        <v>6.1411000000000007</v>
      </c>
      <c r="F901">
        <v>21.5625</v>
      </c>
    </row>
    <row r="902" spans="1:6">
      <c r="A902" s="485">
        <v>423030041000</v>
      </c>
      <c r="B902" t="s">
        <v>2359</v>
      </c>
      <c r="C902">
        <v>0</v>
      </c>
      <c r="D902">
        <v>12.0815</v>
      </c>
      <c r="E902">
        <v>12.0815</v>
      </c>
      <c r="F902">
        <v>164.00000000000003</v>
      </c>
    </row>
    <row r="903" spans="1:6">
      <c r="A903" s="485">
        <v>423030017400</v>
      </c>
      <c r="B903" t="s">
        <v>2360</v>
      </c>
      <c r="C903">
        <v>28.626200000000001</v>
      </c>
      <c r="D903">
        <v>18.359199999999998</v>
      </c>
      <c r="E903">
        <v>46.985399999999998</v>
      </c>
      <c r="F903">
        <v>62.692400000000006</v>
      </c>
    </row>
    <row r="904" spans="1:6">
      <c r="A904" s="485">
        <v>423030018100</v>
      </c>
      <c r="B904" t="s">
        <v>2361</v>
      </c>
      <c r="C904">
        <v>0</v>
      </c>
      <c r="D904">
        <v>0</v>
      </c>
      <c r="E904">
        <v>0</v>
      </c>
      <c r="F904">
        <v>23.650100000000002</v>
      </c>
    </row>
    <row r="905" spans="1:6">
      <c r="A905" s="485">
        <v>423030033700</v>
      </c>
      <c r="B905" t="s">
        <v>2362</v>
      </c>
      <c r="C905">
        <v>5.7293000000000012</v>
      </c>
      <c r="D905">
        <v>3.1326000000000001</v>
      </c>
      <c r="E905">
        <v>8.8619000000000021</v>
      </c>
      <c r="F905">
        <v>86.245800000000003</v>
      </c>
    </row>
    <row r="906" spans="1:6">
      <c r="A906" s="485">
        <v>423030034400</v>
      </c>
      <c r="B906" t="s">
        <v>2363</v>
      </c>
      <c r="C906">
        <v>3.8043</v>
      </c>
      <c r="D906">
        <v>0.44519999999999998</v>
      </c>
      <c r="E906">
        <v>4.2495000000000003</v>
      </c>
      <c r="F906">
        <v>165.5967</v>
      </c>
    </row>
    <row r="907" spans="1:6">
      <c r="A907" s="485">
        <v>423030034400</v>
      </c>
      <c r="B907" t="s">
        <v>2364</v>
      </c>
      <c r="C907">
        <v>22</v>
      </c>
      <c r="D907">
        <v>16.517799999999998</v>
      </c>
      <c r="E907">
        <v>38.517799999999994</v>
      </c>
      <c r="F907">
        <v>204.52540000000002</v>
      </c>
    </row>
    <row r="908" spans="1:6">
      <c r="A908" s="485">
        <v>423030034700</v>
      </c>
      <c r="B908" t="s">
        <v>2365</v>
      </c>
      <c r="C908">
        <v>0</v>
      </c>
      <c r="D908">
        <v>0</v>
      </c>
      <c r="E908">
        <v>0</v>
      </c>
      <c r="F908">
        <v>72.754499999999993</v>
      </c>
    </row>
    <row r="909" spans="1:6">
      <c r="A909" s="485">
        <v>423030035100</v>
      </c>
      <c r="B909" t="s">
        <v>2366</v>
      </c>
      <c r="C909">
        <v>0</v>
      </c>
      <c r="D909">
        <v>0</v>
      </c>
      <c r="E909">
        <v>0</v>
      </c>
      <c r="F909">
        <v>7.1132000000000009</v>
      </c>
    </row>
    <row r="910" spans="1:6">
      <c r="A910" s="485">
        <v>423030040400</v>
      </c>
      <c r="B910" t="s">
        <v>2367</v>
      </c>
      <c r="C910">
        <v>0</v>
      </c>
      <c r="D910">
        <v>0</v>
      </c>
      <c r="E910">
        <v>0</v>
      </c>
      <c r="F910">
        <v>11.000100000000002</v>
      </c>
    </row>
    <row r="911" spans="1:6">
      <c r="A911" s="485">
        <v>423030043200</v>
      </c>
      <c r="B911" t="s">
        <v>2368</v>
      </c>
      <c r="C911">
        <v>0</v>
      </c>
      <c r="D911">
        <v>14.599999999999998</v>
      </c>
      <c r="E911">
        <v>14.599999999999998</v>
      </c>
      <c r="F911">
        <v>88.666600000000003</v>
      </c>
    </row>
    <row r="912" spans="1:6">
      <c r="A912" s="485">
        <v>423030044300</v>
      </c>
      <c r="B912" t="s">
        <v>2369</v>
      </c>
      <c r="C912">
        <v>0</v>
      </c>
      <c r="D912">
        <v>6.3144999999999998</v>
      </c>
      <c r="E912">
        <v>6.3144999999999998</v>
      </c>
      <c r="F912">
        <v>544.06679999999994</v>
      </c>
    </row>
    <row r="913" spans="1:6">
      <c r="A913" s="485">
        <v>423030040100</v>
      </c>
      <c r="B913" t="s">
        <v>2370</v>
      </c>
      <c r="C913">
        <v>0</v>
      </c>
      <c r="D913">
        <v>0</v>
      </c>
      <c r="E913">
        <v>0</v>
      </c>
      <c r="F913">
        <v>4.4922000000000004</v>
      </c>
    </row>
    <row r="914" spans="1:6">
      <c r="A914" s="485">
        <v>423030044100</v>
      </c>
      <c r="B914" t="s">
        <v>2371</v>
      </c>
      <c r="C914">
        <v>0</v>
      </c>
      <c r="D914">
        <v>2.0805000000000002</v>
      </c>
      <c r="E914">
        <v>2.0805000000000002</v>
      </c>
      <c r="F914">
        <v>12.016100000000002</v>
      </c>
    </row>
    <row r="915" spans="1:6">
      <c r="A915" s="485">
        <v>423030048400</v>
      </c>
      <c r="B915" t="s">
        <v>2372</v>
      </c>
      <c r="C915">
        <v>0</v>
      </c>
      <c r="D915">
        <v>0</v>
      </c>
      <c r="E915">
        <v>0</v>
      </c>
      <c r="F915">
        <v>3</v>
      </c>
    </row>
    <row r="916" spans="1:6">
      <c r="A916" s="485">
        <v>423030045400</v>
      </c>
      <c r="B916" t="s">
        <v>2373</v>
      </c>
      <c r="C916">
        <v>228.48859999999999</v>
      </c>
      <c r="D916">
        <v>66.912300000000002</v>
      </c>
      <c r="E916">
        <v>295.40089999999998</v>
      </c>
      <c r="F916">
        <v>73.164200000000008</v>
      </c>
    </row>
    <row r="917" spans="1:6">
      <c r="A917" s="485">
        <v>423030049000</v>
      </c>
      <c r="B917" t="s">
        <v>2374</v>
      </c>
      <c r="C917">
        <v>7.0465999999999998</v>
      </c>
      <c r="D917">
        <v>0.58140000000000003</v>
      </c>
      <c r="E917">
        <v>7.6280000000000001</v>
      </c>
      <c r="F917">
        <v>1</v>
      </c>
    </row>
    <row r="918" spans="1:6">
      <c r="A918" s="485">
        <v>423030051500</v>
      </c>
      <c r="B918" t="s">
        <v>2375</v>
      </c>
      <c r="C918">
        <v>4.2887750000000002</v>
      </c>
      <c r="D918">
        <v>15324.3323</v>
      </c>
      <c r="E918">
        <v>15328.621075000001</v>
      </c>
      <c r="F918">
        <v>36.218799999999995</v>
      </c>
    </row>
    <row r="919" spans="1:6">
      <c r="A919" s="485">
        <v>423030051700</v>
      </c>
      <c r="B919" t="s">
        <v>2376</v>
      </c>
      <c r="C919">
        <v>17.444300000000002</v>
      </c>
      <c r="D919">
        <v>8.2764000000000006</v>
      </c>
      <c r="E919">
        <v>25.720700000000001</v>
      </c>
      <c r="F919">
        <v>31.158200000000001</v>
      </c>
    </row>
    <row r="920" spans="1:6">
      <c r="A920" s="485">
        <v>423030045600</v>
      </c>
      <c r="B920" t="s">
        <v>2377</v>
      </c>
      <c r="C920">
        <v>0</v>
      </c>
      <c r="D920">
        <v>0</v>
      </c>
      <c r="E920">
        <v>0</v>
      </c>
      <c r="F920">
        <v>78.349199999999996</v>
      </c>
    </row>
    <row r="921" spans="1:6">
      <c r="A921" s="485">
        <v>423030045800</v>
      </c>
      <c r="B921" t="s">
        <v>2378</v>
      </c>
      <c r="C921">
        <v>0</v>
      </c>
      <c r="D921">
        <v>0</v>
      </c>
      <c r="E921">
        <v>0</v>
      </c>
      <c r="F921">
        <v>4.1290000000000004</v>
      </c>
    </row>
    <row r="922" spans="1:6">
      <c r="A922" s="485">
        <v>423030046700</v>
      </c>
      <c r="B922" t="s">
        <v>2379</v>
      </c>
      <c r="C922">
        <v>0</v>
      </c>
      <c r="D922">
        <v>147.13149999999999</v>
      </c>
      <c r="E922">
        <v>147.13149999999999</v>
      </c>
      <c r="F922">
        <v>28.542399999999997</v>
      </c>
    </row>
    <row r="923" spans="1:6">
      <c r="A923" s="485">
        <v>423030046800</v>
      </c>
      <c r="B923" t="s">
        <v>2380</v>
      </c>
      <c r="C923">
        <v>0</v>
      </c>
      <c r="D923">
        <v>0</v>
      </c>
      <c r="E923">
        <v>0</v>
      </c>
      <c r="F923">
        <v>27.271099999999997</v>
      </c>
    </row>
    <row r="924" spans="1:6">
      <c r="A924" s="485">
        <v>423030046800</v>
      </c>
      <c r="B924" t="s">
        <v>2381</v>
      </c>
      <c r="C924">
        <v>41.191099999999999</v>
      </c>
      <c r="D924">
        <v>10.2616</v>
      </c>
      <c r="E924">
        <v>51.4527</v>
      </c>
      <c r="F924">
        <v>2.9998999999999998</v>
      </c>
    </row>
    <row r="925" spans="1:6">
      <c r="A925" s="485">
        <v>423030048000</v>
      </c>
      <c r="B925" t="s">
        <v>2382</v>
      </c>
      <c r="C925">
        <v>174.18609999999998</v>
      </c>
      <c r="D925">
        <v>85.57</v>
      </c>
      <c r="E925">
        <v>259.75609999999995</v>
      </c>
      <c r="F925">
        <v>5.7142999999999997</v>
      </c>
    </row>
    <row r="926" spans="1:6">
      <c r="A926" s="485">
        <v>423030062400</v>
      </c>
      <c r="B926" t="s">
        <v>2383</v>
      </c>
      <c r="C926">
        <v>4052.4813999999997</v>
      </c>
      <c r="D926">
        <v>7183.9403999999995</v>
      </c>
      <c r="E926">
        <v>11236.4218</v>
      </c>
      <c r="F926">
        <v>10.5085</v>
      </c>
    </row>
    <row r="927" spans="1:6">
      <c r="A927" s="485">
        <v>423030053300</v>
      </c>
      <c r="B927" t="s">
        <v>2384</v>
      </c>
      <c r="C927">
        <v>0</v>
      </c>
      <c r="D927">
        <v>0</v>
      </c>
      <c r="E927">
        <v>0</v>
      </c>
      <c r="F927">
        <v>2.7143000000000002</v>
      </c>
    </row>
    <row r="928" spans="1:6">
      <c r="A928" s="485">
        <v>423030055900</v>
      </c>
      <c r="B928" t="s">
        <v>2385</v>
      </c>
      <c r="C928">
        <v>0</v>
      </c>
      <c r="D928">
        <v>0</v>
      </c>
      <c r="E928">
        <v>0</v>
      </c>
      <c r="F928">
        <v>55</v>
      </c>
    </row>
    <row r="929" spans="1:6">
      <c r="A929" s="485">
        <v>423030058500</v>
      </c>
      <c r="B929" t="s">
        <v>2386</v>
      </c>
      <c r="C929">
        <v>1.3370000000000002</v>
      </c>
      <c r="D929">
        <v>2.7327999999999997</v>
      </c>
      <c r="E929">
        <v>4.0697999999999999</v>
      </c>
      <c r="F929">
        <v>3.0000999999999998</v>
      </c>
    </row>
    <row r="930" spans="1:6">
      <c r="A930" s="485">
        <v>423030216800</v>
      </c>
      <c r="B930">
        <v>1094975</v>
      </c>
      <c r="C930">
        <v>30.105799999999999</v>
      </c>
      <c r="D930">
        <v>11.203800000000001</v>
      </c>
      <c r="E930">
        <v>41.309600000000003</v>
      </c>
      <c r="F930">
        <v>6.2416999999999998</v>
      </c>
    </row>
    <row r="931" spans="1:6">
      <c r="A931" s="485">
        <v>423030275500</v>
      </c>
      <c r="B931" t="s">
        <v>2387</v>
      </c>
      <c r="C931">
        <v>0</v>
      </c>
      <c r="D931">
        <v>3.8690000000000002</v>
      </c>
      <c r="E931">
        <v>3.8690000000000002</v>
      </c>
      <c r="F931">
        <v>59.253999999999998</v>
      </c>
    </row>
    <row r="932" spans="1:6">
      <c r="A932" s="485">
        <v>423030063800</v>
      </c>
      <c r="B932" t="s">
        <v>2388</v>
      </c>
      <c r="C932">
        <v>0</v>
      </c>
      <c r="D932">
        <v>0</v>
      </c>
      <c r="E932">
        <v>0</v>
      </c>
      <c r="F932">
        <v>3.25</v>
      </c>
    </row>
    <row r="933" spans="1:6">
      <c r="A933" s="485">
        <v>423030053900</v>
      </c>
      <c r="B933" t="s">
        <v>2389</v>
      </c>
      <c r="C933">
        <v>0</v>
      </c>
      <c r="D933">
        <v>0</v>
      </c>
      <c r="E933">
        <v>0</v>
      </c>
      <c r="F933">
        <v>25.016299999999998</v>
      </c>
    </row>
    <row r="934" spans="1:6">
      <c r="A934" s="485">
        <v>423030054200</v>
      </c>
      <c r="B934" t="s">
        <v>2390</v>
      </c>
      <c r="C934">
        <v>5.8205</v>
      </c>
      <c r="D934">
        <v>8.0559999999999992</v>
      </c>
      <c r="E934">
        <v>13.8765</v>
      </c>
      <c r="F934">
        <v>136.93100000000001</v>
      </c>
    </row>
    <row r="935" spans="1:6">
      <c r="A935" s="485">
        <v>423030054400</v>
      </c>
      <c r="B935" t="s">
        <v>2391</v>
      </c>
      <c r="C935">
        <v>0</v>
      </c>
      <c r="D935">
        <v>0</v>
      </c>
      <c r="E935">
        <v>0</v>
      </c>
      <c r="F935">
        <v>9.6231000000000009</v>
      </c>
    </row>
    <row r="936" spans="1:6">
      <c r="A936" s="485">
        <v>423030054400</v>
      </c>
      <c r="B936" t="s">
        <v>2392</v>
      </c>
      <c r="C936">
        <v>0</v>
      </c>
      <c r="D936">
        <v>0</v>
      </c>
      <c r="E936">
        <v>0</v>
      </c>
      <c r="F936">
        <v>17.096799999999998</v>
      </c>
    </row>
    <row r="937" spans="1:6">
      <c r="A937" s="485">
        <v>423030057100</v>
      </c>
      <c r="B937" t="s">
        <v>2393</v>
      </c>
      <c r="C937">
        <v>0</v>
      </c>
      <c r="D937">
        <v>0</v>
      </c>
      <c r="E937">
        <v>0</v>
      </c>
      <c r="F937">
        <v>55.158700000000003</v>
      </c>
    </row>
    <row r="938" spans="1:6">
      <c r="A938" s="485">
        <v>423030053500</v>
      </c>
      <c r="B938" t="s">
        <v>2394</v>
      </c>
      <c r="C938">
        <v>0</v>
      </c>
      <c r="D938">
        <v>0</v>
      </c>
      <c r="E938">
        <v>0</v>
      </c>
      <c r="F938">
        <v>65.460399999999993</v>
      </c>
    </row>
    <row r="939" spans="1:6">
      <c r="A939" s="485">
        <v>423030060400</v>
      </c>
      <c r="B939" t="s">
        <v>2395</v>
      </c>
      <c r="C939">
        <v>0</v>
      </c>
      <c r="D939">
        <v>0</v>
      </c>
      <c r="E939">
        <v>0</v>
      </c>
      <c r="F939">
        <v>76.566699999999997</v>
      </c>
    </row>
    <row r="940" spans="1:6">
      <c r="A940" s="485">
        <v>423030059400</v>
      </c>
      <c r="B940" t="s">
        <v>2396</v>
      </c>
      <c r="C940">
        <v>126.77449999999999</v>
      </c>
      <c r="D940">
        <v>116.32439999999998</v>
      </c>
      <c r="E940">
        <v>243.09889999999996</v>
      </c>
      <c r="F940">
        <v>11.047600000000001</v>
      </c>
    </row>
    <row r="941" spans="1:6">
      <c r="A941" s="485">
        <v>423030059600</v>
      </c>
      <c r="B941" t="s">
        <v>2397</v>
      </c>
      <c r="C941">
        <v>1533.8083999999999</v>
      </c>
      <c r="D941">
        <v>122</v>
      </c>
      <c r="E941">
        <v>1655.8083999999999</v>
      </c>
      <c r="F941">
        <v>181.7501</v>
      </c>
    </row>
    <row r="942" spans="1:6">
      <c r="A942" s="485">
        <v>423030060500</v>
      </c>
      <c r="B942" t="s">
        <v>2398</v>
      </c>
      <c r="C942">
        <v>36.350700000000003</v>
      </c>
      <c r="D942">
        <v>16.8752</v>
      </c>
      <c r="E942">
        <v>53.225900000000003</v>
      </c>
      <c r="F942">
        <v>9.0002000000000013</v>
      </c>
    </row>
    <row r="943" spans="1:6">
      <c r="A943" s="485">
        <v>423030061600</v>
      </c>
      <c r="B943" t="s">
        <v>2399</v>
      </c>
      <c r="C943">
        <v>140.33330000000001</v>
      </c>
      <c r="D943">
        <v>5.4481000000000002</v>
      </c>
      <c r="E943">
        <v>145.78140000000002</v>
      </c>
      <c r="F943">
        <v>26</v>
      </c>
    </row>
    <row r="944" spans="1:6">
      <c r="A944" s="485">
        <v>423030637800</v>
      </c>
      <c r="B944" t="s">
        <v>2400</v>
      </c>
      <c r="C944">
        <v>0</v>
      </c>
      <c r="D944">
        <v>0</v>
      </c>
      <c r="E944">
        <v>0</v>
      </c>
      <c r="F944">
        <v>11.2203</v>
      </c>
    </row>
    <row r="945" spans="1:6">
      <c r="A945" s="485">
        <v>423030637800</v>
      </c>
      <c r="B945" t="s">
        <v>2401</v>
      </c>
      <c r="C945">
        <v>6.9217999999999993</v>
      </c>
      <c r="D945">
        <v>35.893799999999999</v>
      </c>
      <c r="E945">
        <v>42.815599999999996</v>
      </c>
      <c r="F945">
        <v>49.4754</v>
      </c>
    </row>
    <row r="946" spans="1:6">
      <c r="A946" s="485">
        <v>423030064300</v>
      </c>
      <c r="B946" t="s">
        <v>2402</v>
      </c>
      <c r="C946">
        <v>0</v>
      </c>
      <c r="D946">
        <v>0.74880000000000002</v>
      </c>
      <c r="E946">
        <v>0.74880000000000002</v>
      </c>
      <c r="F946">
        <v>5</v>
      </c>
    </row>
    <row r="947" spans="1:6">
      <c r="A947" s="485">
        <v>423030065900</v>
      </c>
      <c r="B947" t="s">
        <v>2403</v>
      </c>
      <c r="C947">
        <v>0</v>
      </c>
      <c r="D947">
        <v>0</v>
      </c>
      <c r="E947">
        <v>0</v>
      </c>
      <c r="F947">
        <v>1.5625</v>
      </c>
    </row>
    <row r="948" spans="1:6">
      <c r="A948" s="485">
        <v>423030065300</v>
      </c>
      <c r="B948" t="s">
        <v>2404</v>
      </c>
      <c r="C948">
        <v>0</v>
      </c>
      <c r="D948">
        <v>0.98549999999999993</v>
      </c>
      <c r="E948">
        <v>0.98549999999999993</v>
      </c>
      <c r="F948">
        <v>148.0001</v>
      </c>
    </row>
    <row r="949" spans="1:6">
      <c r="A949" s="485">
        <v>423030064900</v>
      </c>
      <c r="B949" t="s">
        <v>2405</v>
      </c>
      <c r="C949">
        <v>0</v>
      </c>
      <c r="D949">
        <v>0</v>
      </c>
      <c r="E949">
        <v>0</v>
      </c>
      <c r="F949">
        <v>17.634900000000002</v>
      </c>
    </row>
    <row r="950" spans="1:6">
      <c r="A950" s="485">
        <v>423030066900</v>
      </c>
      <c r="B950" t="s">
        <v>2406</v>
      </c>
      <c r="C950">
        <v>59.777799999999999</v>
      </c>
      <c r="D950">
        <v>98.882200000000012</v>
      </c>
      <c r="E950">
        <v>158.66000000000003</v>
      </c>
      <c r="F950">
        <v>1</v>
      </c>
    </row>
    <row r="951" spans="1:6">
      <c r="A951" s="485">
        <v>423030067400</v>
      </c>
      <c r="B951" t="s">
        <v>2407</v>
      </c>
      <c r="C951">
        <v>0</v>
      </c>
      <c r="D951">
        <v>0</v>
      </c>
      <c r="E951">
        <v>0</v>
      </c>
      <c r="F951">
        <v>60.295200000000001</v>
      </c>
    </row>
    <row r="952" spans="1:6">
      <c r="A952" s="485">
        <v>423030069700</v>
      </c>
      <c r="B952" t="s">
        <v>2408</v>
      </c>
      <c r="C952">
        <v>1.1537999999999999</v>
      </c>
      <c r="D952">
        <v>2.8323999999999998</v>
      </c>
      <c r="E952">
        <v>3.9861999999999997</v>
      </c>
      <c r="F952">
        <v>825.95150000000001</v>
      </c>
    </row>
    <row r="953" spans="1:6">
      <c r="A953" s="485">
        <v>423030069700</v>
      </c>
      <c r="B953" t="s">
        <v>2409</v>
      </c>
      <c r="C953">
        <v>0</v>
      </c>
      <c r="D953">
        <v>3.8324999999999996</v>
      </c>
      <c r="E953">
        <v>3.8324999999999996</v>
      </c>
      <c r="F953">
        <v>16.322599999999998</v>
      </c>
    </row>
    <row r="954" spans="1:6">
      <c r="A954" s="485">
        <v>423031135600</v>
      </c>
      <c r="B954" t="s">
        <v>2410</v>
      </c>
      <c r="C954">
        <v>4.9239999999999995</v>
      </c>
      <c r="D954">
        <v>0.86879999999999991</v>
      </c>
      <c r="E954">
        <v>5.7927999999999997</v>
      </c>
      <c r="F954">
        <v>1512.5713000000001</v>
      </c>
    </row>
    <row r="955" spans="1:6">
      <c r="A955" s="485">
        <v>423030059000</v>
      </c>
      <c r="B955" t="s">
        <v>2411</v>
      </c>
      <c r="C955">
        <v>3</v>
      </c>
      <c r="D955">
        <v>0.43439999999999995</v>
      </c>
      <c r="E955">
        <v>3.4344000000000001</v>
      </c>
      <c r="F955">
        <v>7.4920999999999998</v>
      </c>
    </row>
    <row r="956" spans="1:6">
      <c r="A956" s="485">
        <v>423030059000</v>
      </c>
      <c r="B956" t="s">
        <v>2412</v>
      </c>
      <c r="C956">
        <v>2.1585000000000001</v>
      </c>
      <c r="D956">
        <v>0</v>
      </c>
      <c r="E956">
        <v>2.1585000000000001</v>
      </c>
      <c r="F956">
        <v>42.499899999999997</v>
      </c>
    </row>
    <row r="957" spans="1:6">
      <c r="A957" s="485">
        <v>423030061100</v>
      </c>
      <c r="B957" t="s">
        <v>2413</v>
      </c>
      <c r="C957">
        <v>0</v>
      </c>
      <c r="D957">
        <v>0</v>
      </c>
      <c r="E957">
        <v>0</v>
      </c>
      <c r="F957">
        <v>351.84999999999997</v>
      </c>
    </row>
    <row r="958" spans="1:6">
      <c r="A958" s="485">
        <v>423030061700</v>
      </c>
      <c r="B958" t="s">
        <v>2414</v>
      </c>
      <c r="C958">
        <v>100.21599999999999</v>
      </c>
      <c r="D958">
        <v>21.889600000000002</v>
      </c>
      <c r="E958">
        <v>122.1056</v>
      </c>
      <c r="F958">
        <v>91.152500000000003</v>
      </c>
    </row>
    <row r="959" spans="1:6">
      <c r="A959" s="485">
        <v>423030068800</v>
      </c>
      <c r="B959" t="s">
        <v>2415</v>
      </c>
      <c r="C959">
        <v>0.625</v>
      </c>
      <c r="D959">
        <v>3.5340000000000003</v>
      </c>
      <c r="E959">
        <v>4.1590000000000007</v>
      </c>
      <c r="F959">
        <v>96.250100000000003</v>
      </c>
    </row>
    <row r="960" spans="1:6">
      <c r="A960" s="485">
        <v>423030068800</v>
      </c>
      <c r="B960" t="s">
        <v>2416</v>
      </c>
      <c r="C960">
        <v>0</v>
      </c>
      <c r="D960">
        <v>0</v>
      </c>
      <c r="E960">
        <v>0</v>
      </c>
      <c r="F960">
        <v>185.23089999999999</v>
      </c>
    </row>
    <row r="961" spans="1:6">
      <c r="A961" s="485">
        <v>423030026500</v>
      </c>
      <c r="B961" t="s">
        <v>2417</v>
      </c>
      <c r="C961">
        <v>0</v>
      </c>
      <c r="D961">
        <v>8.942499999999999</v>
      </c>
      <c r="E961">
        <v>8.942499999999999</v>
      </c>
      <c r="F961">
        <v>1</v>
      </c>
    </row>
    <row r="962" spans="1:6">
      <c r="A962" s="485">
        <v>423030067100</v>
      </c>
      <c r="B962" t="s">
        <v>2418</v>
      </c>
      <c r="C962">
        <v>95.459800000000001</v>
      </c>
      <c r="D962">
        <v>32.181599999999996</v>
      </c>
      <c r="E962">
        <v>127.6414</v>
      </c>
      <c r="F962">
        <v>2.3607</v>
      </c>
    </row>
    <row r="963" spans="1:6">
      <c r="A963" s="485">
        <v>423030071200</v>
      </c>
      <c r="B963" t="s">
        <v>2419</v>
      </c>
      <c r="C963">
        <v>20.555600000000002</v>
      </c>
      <c r="D963">
        <v>9.8260000000000005</v>
      </c>
      <c r="E963">
        <v>30.381600000000002</v>
      </c>
      <c r="F963">
        <v>629.62910000000011</v>
      </c>
    </row>
    <row r="964" spans="1:6">
      <c r="A964" s="485">
        <v>423030071700</v>
      </c>
      <c r="B964" t="s">
        <v>2420</v>
      </c>
      <c r="C964">
        <v>0</v>
      </c>
      <c r="D964">
        <v>0</v>
      </c>
      <c r="E964">
        <v>0</v>
      </c>
      <c r="F964">
        <v>145.40979999999999</v>
      </c>
    </row>
    <row r="965" spans="1:6">
      <c r="A965" s="485">
        <v>423030071700</v>
      </c>
      <c r="B965" t="s">
        <v>2421</v>
      </c>
      <c r="C965">
        <v>224.26660000000004</v>
      </c>
      <c r="D965">
        <v>2.0017</v>
      </c>
      <c r="E965">
        <v>226.26830000000004</v>
      </c>
      <c r="F965">
        <v>107.91529999999999</v>
      </c>
    </row>
    <row r="966" spans="1:6">
      <c r="A966" s="485">
        <v>423030072000</v>
      </c>
      <c r="B966" t="s">
        <v>2422</v>
      </c>
      <c r="C966">
        <v>22.25</v>
      </c>
      <c r="D966">
        <v>28.7775</v>
      </c>
      <c r="E966">
        <v>51.027500000000003</v>
      </c>
      <c r="F966">
        <v>11.3437</v>
      </c>
    </row>
    <row r="967" spans="1:6">
      <c r="A967" s="485">
        <v>423030073500</v>
      </c>
      <c r="B967" t="s">
        <v>2423</v>
      </c>
      <c r="C967">
        <v>0</v>
      </c>
      <c r="D967">
        <v>0</v>
      </c>
      <c r="E967">
        <v>0</v>
      </c>
      <c r="F967">
        <v>8.4687999999999999</v>
      </c>
    </row>
    <row r="968" spans="1:6">
      <c r="A968" s="485">
        <v>423030076600</v>
      </c>
      <c r="B968" t="s">
        <v>2424</v>
      </c>
      <c r="C968">
        <v>0</v>
      </c>
      <c r="D968">
        <v>0</v>
      </c>
      <c r="E968">
        <v>0</v>
      </c>
      <c r="F968">
        <v>46.841199999999994</v>
      </c>
    </row>
    <row r="969" spans="1:6">
      <c r="A969" s="485">
        <v>423030076300</v>
      </c>
      <c r="B969" t="s">
        <v>2425</v>
      </c>
      <c r="C969">
        <v>0</v>
      </c>
      <c r="D969">
        <v>0</v>
      </c>
      <c r="E969">
        <v>0</v>
      </c>
      <c r="F969">
        <v>313.64519999999999</v>
      </c>
    </row>
    <row r="970" spans="1:6">
      <c r="A970" s="485">
        <v>423030075100</v>
      </c>
      <c r="B970" t="s">
        <v>2426</v>
      </c>
      <c r="C970">
        <v>0</v>
      </c>
      <c r="D970">
        <v>0</v>
      </c>
      <c r="E970">
        <v>0</v>
      </c>
      <c r="F970">
        <v>26.999999999999996</v>
      </c>
    </row>
    <row r="971" spans="1:6">
      <c r="A971" s="485">
        <v>423030075600</v>
      </c>
      <c r="B971" t="s">
        <v>2427</v>
      </c>
      <c r="C971">
        <v>0</v>
      </c>
      <c r="D971">
        <v>0</v>
      </c>
      <c r="E971">
        <v>0</v>
      </c>
      <c r="F971">
        <v>17.421199999999999</v>
      </c>
    </row>
    <row r="972" spans="1:6">
      <c r="A972" s="485">
        <v>423030075900</v>
      </c>
      <c r="B972" t="s">
        <v>2428</v>
      </c>
      <c r="C972">
        <v>1</v>
      </c>
      <c r="D972">
        <v>2.0796000000000001</v>
      </c>
      <c r="E972">
        <v>3.0796000000000001</v>
      </c>
      <c r="F972">
        <v>13807.193499999999</v>
      </c>
    </row>
    <row r="973" spans="1:6">
      <c r="A973" s="485">
        <v>423030077500</v>
      </c>
      <c r="B973" t="s">
        <v>2429</v>
      </c>
      <c r="C973">
        <v>0</v>
      </c>
      <c r="D973">
        <v>23.4695</v>
      </c>
      <c r="E973">
        <v>23.4695</v>
      </c>
      <c r="F973">
        <v>5.9623999999999988</v>
      </c>
    </row>
    <row r="974" spans="1:6">
      <c r="A974" s="485">
        <v>423030078400</v>
      </c>
      <c r="B974" t="s">
        <v>2430</v>
      </c>
      <c r="C974">
        <v>0</v>
      </c>
      <c r="D974">
        <v>0</v>
      </c>
      <c r="E974">
        <v>0</v>
      </c>
      <c r="F974">
        <v>113.1803</v>
      </c>
    </row>
    <row r="975" spans="1:6">
      <c r="A975" s="485">
        <v>423030004900</v>
      </c>
      <c r="B975" t="s">
        <v>2431</v>
      </c>
      <c r="C975">
        <v>88</v>
      </c>
      <c r="D975">
        <v>25.238500000000002</v>
      </c>
      <c r="E975">
        <v>113.2385</v>
      </c>
      <c r="F975">
        <v>355.6615000000001</v>
      </c>
    </row>
    <row r="976" spans="1:6">
      <c r="A976" s="485">
        <v>423030004900</v>
      </c>
      <c r="B976" t="s">
        <v>2432</v>
      </c>
      <c r="C976">
        <v>0</v>
      </c>
      <c r="D976">
        <v>15.877499999999998</v>
      </c>
      <c r="E976">
        <v>15.877499999999998</v>
      </c>
      <c r="F976">
        <v>30.872800000000005</v>
      </c>
    </row>
    <row r="977" spans="1:6">
      <c r="A977" s="485">
        <v>423030080500</v>
      </c>
      <c r="B977" t="s">
        <v>2433</v>
      </c>
      <c r="C977">
        <v>2.8460999999999999</v>
      </c>
      <c r="D977">
        <v>4.2431999999999999</v>
      </c>
      <c r="E977">
        <v>7.0892999999999997</v>
      </c>
      <c r="F977">
        <v>386.762</v>
      </c>
    </row>
    <row r="978" spans="1:6">
      <c r="A978" s="485">
        <v>423030080500</v>
      </c>
      <c r="B978" t="s">
        <v>2434</v>
      </c>
      <c r="C978">
        <v>0</v>
      </c>
      <c r="D978">
        <v>0</v>
      </c>
      <c r="E978">
        <v>0</v>
      </c>
      <c r="F978">
        <v>568.35950000000003</v>
      </c>
    </row>
    <row r="979" spans="1:6">
      <c r="A979" s="485">
        <v>423030080700</v>
      </c>
      <c r="B979" t="s">
        <v>2435</v>
      </c>
      <c r="C979">
        <v>0</v>
      </c>
      <c r="D979">
        <v>0</v>
      </c>
      <c r="E979">
        <v>0</v>
      </c>
      <c r="F979">
        <v>67.548299999999998</v>
      </c>
    </row>
    <row r="980" spans="1:6">
      <c r="A980" s="485">
        <v>423030081100</v>
      </c>
      <c r="B980" t="s">
        <v>2436</v>
      </c>
      <c r="C980">
        <v>0</v>
      </c>
      <c r="D980">
        <v>519.97900000000004</v>
      </c>
      <c r="E980">
        <v>519.97900000000004</v>
      </c>
      <c r="F980">
        <v>16.403499999999998</v>
      </c>
    </row>
    <row r="981" spans="1:6">
      <c r="A981" s="485">
        <v>423030082000</v>
      </c>
      <c r="B981" t="s">
        <v>2437</v>
      </c>
      <c r="C981">
        <v>293.00009999999997</v>
      </c>
      <c r="D981">
        <v>81.630899999999997</v>
      </c>
      <c r="E981">
        <v>374.63099999999997</v>
      </c>
      <c r="F981">
        <v>20.587199999999999</v>
      </c>
    </row>
    <row r="982" spans="1:6">
      <c r="A982" s="485">
        <v>423030082100</v>
      </c>
      <c r="B982" t="s">
        <v>2438</v>
      </c>
      <c r="C982">
        <v>0</v>
      </c>
      <c r="D982">
        <v>0</v>
      </c>
      <c r="E982">
        <v>0</v>
      </c>
      <c r="F982">
        <v>56.365200000000002</v>
      </c>
    </row>
    <row r="983" spans="1:6">
      <c r="A983" s="485">
        <v>423030082500</v>
      </c>
      <c r="B983" t="s">
        <v>2439</v>
      </c>
      <c r="C983">
        <v>0</v>
      </c>
      <c r="D983">
        <v>0</v>
      </c>
      <c r="E983">
        <v>0</v>
      </c>
      <c r="F983">
        <v>53.671300000000002</v>
      </c>
    </row>
    <row r="984" spans="1:6">
      <c r="A984" s="485">
        <v>423030083800</v>
      </c>
      <c r="B984" t="s">
        <v>2440</v>
      </c>
      <c r="C984">
        <v>0</v>
      </c>
      <c r="D984">
        <v>0</v>
      </c>
      <c r="E984">
        <v>0</v>
      </c>
      <c r="F984">
        <v>8.1907000000000014</v>
      </c>
    </row>
    <row r="985" spans="1:6">
      <c r="A985" s="485">
        <v>423030085300</v>
      </c>
      <c r="B985" t="s">
        <v>2441</v>
      </c>
      <c r="C985">
        <v>0</v>
      </c>
      <c r="D985">
        <v>4859.8654999999999</v>
      </c>
      <c r="E985">
        <v>4859.8654999999999</v>
      </c>
      <c r="F985">
        <v>70.639400000000009</v>
      </c>
    </row>
    <row r="986" spans="1:6">
      <c r="A986" s="485">
        <v>423030086300</v>
      </c>
      <c r="B986" t="s">
        <v>2442</v>
      </c>
      <c r="C986">
        <v>0</v>
      </c>
      <c r="D986">
        <v>0</v>
      </c>
      <c r="E986">
        <v>0</v>
      </c>
      <c r="F986">
        <v>1</v>
      </c>
    </row>
    <row r="987" spans="1:6">
      <c r="A987" s="485">
        <v>423030086600</v>
      </c>
      <c r="B987" t="s">
        <v>2443</v>
      </c>
      <c r="C987">
        <v>0</v>
      </c>
      <c r="D987">
        <v>69.8245</v>
      </c>
      <c r="E987">
        <v>69.8245</v>
      </c>
      <c r="F987">
        <v>29.464400000000001</v>
      </c>
    </row>
    <row r="988" spans="1:6">
      <c r="A988" s="485">
        <v>423030088100</v>
      </c>
      <c r="B988" t="s">
        <v>2444</v>
      </c>
      <c r="C988">
        <v>0</v>
      </c>
      <c r="D988">
        <v>0</v>
      </c>
      <c r="E988">
        <v>0</v>
      </c>
      <c r="F988">
        <v>42.3825</v>
      </c>
    </row>
    <row r="989" spans="1:6">
      <c r="A989" s="485">
        <v>423030090900</v>
      </c>
      <c r="B989" t="s">
        <v>2445</v>
      </c>
      <c r="C989">
        <v>0</v>
      </c>
      <c r="D989">
        <v>0</v>
      </c>
      <c r="E989">
        <v>0</v>
      </c>
      <c r="F989">
        <v>1074</v>
      </c>
    </row>
    <row r="990" spans="1:6">
      <c r="A990" s="485">
        <v>423030090700</v>
      </c>
      <c r="B990" t="s">
        <v>2446</v>
      </c>
      <c r="C990">
        <v>0</v>
      </c>
      <c r="D990">
        <v>0</v>
      </c>
      <c r="E990">
        <v>0</v>
      </c>
      <c r="F990">
        <v>135.3622</v>
      </c>
    </row>
    <row r="991" spans="1:6">
      <c r="A991" s="485">
        <v>423030083300</v>
      </c>
      <c r="B991" t="s">
        <v>2447</v>
      </c>
      <c r="C991">
        <v>0</v>
      </c>
      <c r="D991">
        <v>0</v>
      </c>
      <c r="E991">
        <v>0</v>
      </c>
      <c r="F991">
        <v>50.281499999999994</v>
      </c>
    </row>
    <row r="992" spans="1:6">
      <c r="A992" s="485">
        <v>423030083300</v>
      </c>
      <c r="B992" t="s">
        <v>2448</v>
      </c>
      <c r="C992">
        <v>0.78970000000000007</v>
      </c>
      <c r="D992">
        <v>1.2882</v>
      </c>
      <c r="E992">
        <v>2.0779000000000001</v>
      </c>
      <c r="F992">
        <v>31.509599999999999</v>
      </c>
    </row>
    <row r="993" spans="1:6">
      <c r="A993" s="485">
        <v>423030084100</v>
      </c>
      <c r="B993" t="s">
        <v>2449</v>
      </c>
      <c r="C993">
        <v>1.0002000000000002</v>
      </c>
      <c r="D993">
        <v>0.67320000000000002</v>
      </c>
      <c r="E993">
        <v>1.6734000000000002</v>
      </c>
      <c r="F993">
        <v>230.75450000000001</v>
      </c>
    </row>
    <row r="994" spans="1:6">
      <c r="A994" s="485">
        <v>423030085400</v>
      </c>
      <c r="B994" t="s">
        <v>2450</v>
      </c>
      <c r="C994">
        <v>0.92310000000000003</v>
      </c>
      <c r="D994">
        <v>0</v>
      </c>
      <c r="E994">
        <v>0.92310000000000003</v>
      </c>
      <c r="F994">
        <v>3.7721</v>
      </c>
    </row>
    <row r="995" spans="1:6">
      <c r="A995" s="485">
        <v>423030085400</v>
      </c>
      <c r="B995" t="s">
        <v>2451</v>
      </c>
      <c r="C995">
        <v>0</v>
      </c>
      <c r="D995">
        <v>0</v>
      </c>
      <c r="E995">
        <v>0</v>
      </c>
      <c r="F995">
        <v>210.83880000000002</v>
      </c>
    </row>
    <row r="996" spans="1:6">
      <c r="A996" s="485">
        <v>423030087400</v>
      </c>
      <c r="B996" t="s">
        <v>2452</v>
      </c>
      <c r="C996">
        <v>0</v>
      </c>
      <c r="D996">
        <v>2.044</v>
      </c>
      <c r="E996">
        <v>2.044</v>
      </c>
      <c r="F996">
        <v>30.716900000000003</v>
      </c>
    </row>
    <row r="997" spans="1:6">
      <c r="A997" s="485">
        <v>423030089000</v>
      </c>
      <c r="B997" t="s">
        <v>2453</v>
      </c>
      <c r="C997">
        <v>0</v>
      </c>
      <c r="D997">
        <v>0</v>
      </c>
      <c r="E997">
        <v>0</v>
      </c>
      <c r="F997">
        <v>18.922000000000001</v>
      </c>
    </row>
    <row r="998" spans="1:6">
      <c r="A998" s="485">
        <v>423030090200</v>
      </c>
      <c r="B998" t="s">
        <v>2454</v>
      </c>
      <c r="C998">
        <v>9.2063000000000006</v>
      </c>
      <c r="D998">
        <v>8.5852000000000004</v>
      </c>
      <c r="E998">
        <v>17.791499999999999</v>
      </c>
      <c r="F998">
        <v>213.34499999999997</v>
      </c>
    </row>
    <row r="999" spans="1:6">
      <c r="A999" s="485">
        <v>423030093100</v>
      </c>
      <c r="B999" t="s">
        <v>2455</v>
      </c>
      <c r="C999">
        <v>0</v>
      </c>
      <c r="D999">
        <v>0</v>
      </c>
      <c r="E999">
        <v>0</v>
      </c>
      <c r="F999">
        <v>2.0000999999999998</v>
      </c>
    </row>
    <row r="1000" spans="1:6">
      <c r="A1000" s="485">
        <v>423031086300</v>
      </c>
      <c r="B1000" t="s">
        <v>2456</v>
      </c>
      <c r="C1000">
        <v>240.15120000000002</v>
      </c>
      <c r="D1000">
        <v>103.18039999999999</v>
      </c>
      <c r="E1000">
        <v>343.33159999999998</v>
      </c>
      <c r="F1000">
        <v>1.0001</v>
      </c>
    </row>
    <row r="1001" spans="1:6">
      <c r="A1001" s="485">
        <v>423030096400</v>
      </c>
      <c r="B1001" t="s">
        <v>2457</v>
      </c>
      <c r="C1001">
        <v>0</v>
      </c>
      <c r="D1001">
        <v>0</v>
      </c>
      <c r="E1001">
        <v>0</v>
      </c>
      <c r="F1001">
        <v>47.962800000000001</v>
      </c>
    </row>
    <row r="1002" spans="1:6">
      <c r="A1002" s="485">
        <v>423030095900</v>
      </c>
      <c r="B1002" t="s">
        <v>2458</v>
      </c>
      <c r="C1002">
        <v>0</v>
      </c>
      <c r="D1002">
        <v>0</v>
      </c>
      <c r="E1002">
        <v>0</v>
      </c>
      <c r="F1002">
        <v>6.1607000000000003</v>
      </c>
    </row>
    <row r="1003" spans="1:6">
      <c r="A1003" s="485">
        <v>423030083900</v>
      </c>
      <c r="B1003" t="s">
        <v>2459</v>
      </c>
      <c r="C1003">
        <v>0</v>
      </c>
      <c r="D1003">
        <v>0</v>
      </c>
      <c r="E1003">
        <v>0</v>
      </c>
      <c r="F1003">
        <v>65</v>
      </c>
    </row>
    <row r="1004" spans="1:6">
      <c r="A1004" s="485">
        <v>423030084400</v>
      </c>
      <c r="B1004" t="s">
        <v>2460</v>
      </c>
      <c r="C1004">
        <v>181.03449999999998</v>
      </c>
      <c r="D1004">
        <v>111.57559999999999</v>
      </c>
      <c r="E1004">
        <v>292.61009999999999</v>
      </c>
      <c r="F1004">
        <v>519.9375</v>
      </c>
    </row>
    <row r="1005" spans="1:6">
      <c r="A1005" s="485">
        <v>423030085200</v>
      </c>
      <c r="B1005" t="s">
        <v>2461</v>
      </c>
      <c r="C1005">
        <v>20.107900000000001</v>
      </c>
      <c r="D1005">
        <v>12.7967</v>
      </c>
      <c r="E1005">
        <v>32.904600000000002</v>
      </c>
      <c r="F1005">
        <v>80.250100000000003</v>
      </c>
    </row>
    <row r="1006" spans="1:6">
      <c r="A1006" s="485">
        <v>423030087300</v>
      </c>
      <c r="B1006" t="s">
        <v>2462</v>
      </c>
      <c r="C1006">
        <v>0</v>
      </c>
      <c r="D1006">
        <v>0</v>
      </c>
      <c r="E1006">
        <v>0</v>
      </c>
      <c r="F1006">
        <v>1</v>
      </c>
    </row>
    <row r="1007" spans="1:6">
      <c r="A1007" s="485">
        <v>423030087300</v>
      </c>
      <c r="B1007" t="s">
        <v>2463</v>
      </c>
      <c r="C1007">
        <v>6</v>
      </c>
      <c r="D1007">
        <v>7.4346999999999994</v>
      </c>
      <c r="E1007">
        <v>13.434699999999999</v>
      </c>
      <c r="F1007">
        <v>203.0001</v>
      </c>
    </row>
    <row r="1008" spans="1:6">
      <c r="A1008" s="485">
        <v>423030088400</v>
      </c>
      <c r="B1008" t="s">
        <v>2464</v>
      </c>
      <c r="C1008">
        <v>0</v>
      </c>
      <c r="D1008">
        <v>0</v>
      </c>
      <c r="E1008">
        <v>0</v>
      </c>
      <c r="F1008">
        <v>384.29669999999999</v>
      </c>
    </row>
    <row r="1009" spans="1:6">
      <c r="A1009" s="485">
        <v>423030089400</v>
      </c>
      <c r="B1009" t="s">
        <v>2465</v>
      </c>
      <c r="C1009">
        <v>338.25</v>
      </c>
      <c r="D1009">
        <v>97.776200000000003</v>
      </c>
      <c r="E1009">
        <v>436.02620000000002</v>
      </c>
      <c r="F1009">
        <v>4.077</v>
      </c>
    </row>
    <row r="1010" spans="1:6">
      <c r="A1010" s="485">
        <v>423030099800</v>
      </c>
      <c r="B1010" t="s">
        <v>2466</v>
      </c>
      <c r="C1010">
        <v>880.99990000000003</v>
      </c>
      <c r="D1010">
        <v>0.41479999999999995</v>
      </c>
      <c r="E1010">
        <v>881.41470000000004</v>
      </c>
      <c r="F1010">
        <v>181.47620000000001</v>
      </c>
    </row>
    <row r="1011" spans="1:6">
      <c r="A1011" s="485">
        <v>423030091500</v>
      </c>
      <c r="B1011" t="s">
        <v>2467</v>
      </c>
      <c r="C1011">
        <v>3.3721000000000001</v>
      </c>
      <c r="D1011">
        <v>9.0152999999999999</v>
      </c>
      <c r="E1011">
        <v>12.3874</v>
      </c>
      <c r="F1011">
        <v>10.4839</v>
      </c>
    </row>
    <row r="1012" spans="1:6">
      <c r="A1012" s="485">
        <v>423030091800</v>
      </c>
      <c r="B1012" t="s">
        <v>2468</v>
      </c>
      <c r="C1012">
        <v>5.9572999999999992</v>
      </c>
      <c r="D1012">
        <v>3.2648000000000001</v>
      </c>
      <c r="E1012">
        <v>9.2220999999999993</v>
      </c>
      <c r="F1012">
        <v>1.9999</v>
      </c>
    </row>
    <row r="1013" spans="1:6">
      <c r="A1013" s="485">
        <v>423030092000</v>
      </c>
      <c r="B1013" t="s">
        <v>2469</v>
      </c>
      <c r="C1013">
        <v>0</v>
      </c>
      <c r="D1013">
        <v>91.76100000000001</v>
      </c>
      <c r="E1013">
        <v>91.76100000000001</v>
      </c>
      <c r="F1013">
        <v>622.73129999999992</v>
      </c>
    </row>
    <row r="1014" spans="1:6">
      <c r="A1014" s="485">
        <v>423030093800</v>
      </c>
      <c r="B1014" t="s">
        <v>2470</v>
      </c>
      <c r="C1014">
        <v>0</v>
      </c>
      <c r="D1014">
        <v>0</v>
      </c>
      <c r="E1014">
        <v>0</v>
      </c>
      <c r="F1014">
        <v>1388.1208000000001</v>
      </c>
    </row>
    <row r="1015" spans="1:6">
      <c r="A1015" s="485">
        <v>423030094900</v>
      </c>
      <c r="B1015" t="s">
        <v>2471</v>
      </c>
      <c r="C1015">
        <v>0</v>
      </c>
      <c r="D1015">
        <v>0</v>
      </c>
      <c r="E1015">
        <v>0</v>
      </c>
      <c r="F1015">
        <v>377</v>
      </c>
    </row>
    <row r="1016" spans="1:6">
      <c r="A1016" s="485">
        <v>423030096000</v>
      </c>
      <c r="B1016" t="s">
        <v>2472</v>
      </c>
      <c r="C1016">
        <v>0</v>
      </c>
      <c r="D1016">
        <v>0</v>
      </c>
      <c r="E1016">
        <v>0</v>
      </c>
      <c r="F1016">
        <v>348.49989999999997</v>
      </c>
    </row>
    <row r="1017" spans="1:6">
      <c r="A1017" s="485">
        <v>423030097300</v>
      </c>
      <c r="B1017" t="s">
        <v>2473</v>
      </c>
      <c r="C1017">
        <v>0</v>
      </c>
      <c r="D1017">
        <v>0</v>
      </c>
      <c r="E1017">
        <v>0</v>
      </c>
      <c r="F1017">
        <v>1</v>
      </c>
    </row>
    <row r="1018" spans="1:6">
      <c r="A1018" s="485">
        <v>423030098500</v>
      </c>
      <c r="B1018" t="s">
        <v>2474</v>
      </c>
      <c r="C1018">
        <v>0</v>
      </c>
      <c r="D1018">
        <v>0</v>
      </c>
      <c r="E1018">
        <v>0</v>
      </c>
      <c r="F1018">
        <v>2.3603999999999998</v>
      </c>
    </row>
    <row r="1019" spans="1:6">
      <c r="A1019" s="485">
        <v>423030098000</v>
      </c>
      <c r="B1019" t="s">
        <v>2475</v>
      </c>
      <c r="C1019">
        <v>0</v>
      </c>
      <c r="D1019">
        <v>0</v>
      </c>
      <c r="E1019">
        <v>0</v>
      </c>
      <c r="F1019">
        <v>17.747</v>
      </c>
    </row>
    <row r="1020" spans="1:6">
      <c r="A1020" s="485">
        <v>423030098600</v>
      </c>
      <c r="B1020" t="s">
        <v>2476</v>
      </c>
      <c r="C1020">
        <v>0.99999999999999989</v>
      </c>
      <c r="D1020">
        <v>0.66969999999999996</v>
      </c>
      <c r="E1020">
        <v>1.6696999999999997</v>
      </c>
      <c r="F1020">
        <v>5.1796000000000006</v>
      </c>
    </row>
    <row r="1021" spans="1:6">
      <c r="A1021" s="485">
        <v>423030101100</v>
      </c>
      <c r="B1021" t="s">
        <v>2477</v>
      </c>
      <c r="C1021">
        <v>11</v>
      </c>
      <c r="D1021">
        <v>12.8986</v>
      </c>
      <c r="E1021">
        <v>23.898600000000002</v>
      </c>
      <c r="F1021">
        <v>5.4492999999999991</v>
      </c>
    </row>
    <row r="1022" spans="1:6">
      <c r="A1022" s="485">
        <v>423030101500</v>
      </c>
      <c r="B1022" t="s">
        <v>2478</v>
      </c>
      <c r="C1022">
        <v>0</v>
      </c>
      <c r="D1022">
        <v>0</v>
      </c>
      <c r="E1022">
        <v>0</v>
      </c>
      <c r="F1022">
        <v>0.99990000000000001</v>
      </c>
    </row>
    <row r="1023" spans="1:6">
      <c r="A1023" s="485">
        <v>423030101900</v>
      </c>
      <c r="B1023" t="s">
        <v>2479</v>
      </c>
      <c r="C1023">
        <v>0</v>
      </c>
      <c r="D1023">
        <v>1.095</v>
      </c>
      <c r="E1023">
        <v>1.095</v>
      </c>
      <c r="F1023">
        <v>12.078700000000001</v>
      </c>
    </row>
    <row r="1024" spans="1:6">
      <c r="A1024" s="485">
        <v>423030102300</v>
      </c>
      <c r="B1024" t="s">
        <v>2480</v>
      </c>
      <c r="C1024">
        <v>152.27279999999999</v>
      </c>
      <c r="D1024">
        <v>76.647000000000006</v>
      </c>
      <c r="E1024">
        <v>228.91980000000001</v>
      </c>
      <c r="F1024">
        <v>1</v>
      </c>
    </row>
    <row r="1025" spans="1:6">
      <c r="A1025" s="485">
        <v>423030103000</v>
      </c>
      <c r="B1025" t="s">
        <v>2481</v>
      </c>
      <c r="C1025">
        <v>199.16469999999998</v>
      </c>
      <c r="D1025">
        <v>117.11059999999999</v>
      </c>
      <c r="E1025">
        <v>316.27529999999996</v>
      </c>
      <c r="F1025">
        <v>1</v>
      </c>
    </row>
    <row r="1026" spans="1:6">
      <c r="A1026" s="485">
        <v>423030103300</v>
      </c>
      <c r="B1026" t="s">
        <v>2482</v>
      </c>
      <c r="C1026">
        <v>0</v>
      </c>
      <c r="D1026">
        <v>0</v>
      </c>
      <c r="E1026">
        <v>0</v>
      </c>
      <c r="F1026">
        <v>9.5123000000000015</v>
      </c>
    </row>
    <row r="1027" spans="1:6">
      <c r="A1027" s="485">
        <v>423030103400</v>
      </c>
      <c r="B1027" t="s">
        <v>2483</v>
      </c>
      <c r="C1027">
        <v>0</v>
      </c>
      <c r="D1027">
        <v>0</v>
      </c>
      <c r="E1027">
        <v>0</v>
      </c>
      <c r="F1027">
        <v>125.651</v>
      </c>
    </row>
    <row r="1028" spans="1:6">
      <c r="A1028" s="485">
        <v>423030104300</v>
      </c>
      <c r="B1028" t="s">
        <v>2484</v>
      </c>
      <c r="C1028">
        <v>0</v>
      </c>
      <c r="D1028">
        <v>0</v>
      </c>
      <c r="E1028">
        <v>0</v>
      </c>
      <c r="F1028">
        <v>10.2384</v>
      </c>
    </row>
    <row r="1029" spans="1:6">
      <c r="A1029" s="485">
        <v>423030104600</v>
      </c>
      <c r="B1029" t="s">
        <v>2485</v>
      </c>
      <c r="C1029">
        <v>0</v>
      </c>
      <c r="D1029">
        <v>0</v>
      </c>
      <c r="E1029">
        <v>0</v>
      </c>
      <c r="F1029">
        <v>25.802399999999999</v>
      </c>
    </row>
    <row r="1030" spans="1:6">
      <c r="A1030" s="485">
        <v>423030104700</v>
      </c>
      <c r="B1030" t="s">
        <v>2486</v>
      </c>
      <c r="C1030">
        <v>0</v>
      </c>
      <c r="D1030">
        <v>153.37299999999999</v>
      </c>
      <c r="E1030">
        <v>153.37299999999999</v>
      </c>
      <c r="F1030">
        <v>33.181699999999999</v>
      </c>
    </row>
    <row r="1031" spans="1:6">
      <c r="A1031" s="485">
        <v>423030107000</v>
      </c>
      <c r="B1031" t="s">
        <v>2487</v>
      </c>
      <c r="C1031">
        <v>0</v>
      </c>
      <c r="D1031">
        <v>0</v>
      </c>
      <c r="E1031">
        <v>0</v>
      </c>
      <c r="F1031">
        <v>0.9998999999999999</v>
      </c>
    </row>
    <row r="1032" spans="1:6">
      <c r="A1032" s="485">
        <v>423030103800</v>
      </c>
      <c r="B1032" t="s">
        <v>2488</v>
      </c>
      <c r="C1032">
        <v>0</v>
      </c>
      <c r="D1032">
        <v>0</v>
      </c>
      <c r="E1032">
        <v>0</v>
      </c>
      <c r="F1032">
        <v>119.01150000000001</v>
      </c>
    </row>
    <row r="1033" spans="1:6">
      <c r="A1033" s="485">
        <v>423030105800</v>
      </c>
      <c r="B1033" t="s">
        <v>2489</v>
      </c>
      <c r="C1033">
        <v>0</v>
      </c>
      <c r="D1033">
        <v>0</v>
      </c>
      <c r="E1033">
        <v>0</v>
      </c>
      <c r="F1033">
        <v>126.9999</v>
      </c>
    </row>
    <row r="1034" spans="1:6">
      <c r="A1034" s="485">
        <v>423030106000</v>
      </c>
      <c r="B1034" t="s">
        <v>2490</v>
      </c>
      <c r="C1034">
        <v>0</v>
      </c>
      <c r="D1034">
        <v>0</v>
      </c>
      <c r="E1034">
        <v>0</v>
      </c>
      <c r="F1034">
        <v>0.99990000000000001</v>
      </c>
    </row>
    <row r="1035" spans="1:6">
      <c r="A1035" s="485">
        <v>423030106500</v>
      </c>
      <c r="B1035" t="s">
        <v>2491</v>
      </c>
      <c r="C1035">
        <v>0</v>
      </c>
      <c r="D1035">
        <v>0</v>
      </c>
      <c r="E1035">
        <v>0</v>
      </c>
      <c r="F1035">
        <v>25.622500000000002</v>
      </c>
    </row>
    <row r="1036" spans="1:6">
      <c r="A1036" s="485">
        <v>423030106300</v>
      </c>
      <c r="B1036" t="s">
        <v>2492</v>
      </c>
      <c r="C1036">
        <v>12.131900000000002</v>
      </c>
      <c r="D1036">
        <v>40.692899999999995</v>
      </c>
      <c r="E1036">
        <v>52.824799999999996</v>
      </c>
      <c r="F1036">
        <v>20.714099999999998</v>
      </c>
    </row>
    <row r="1037" spans="1:6">
      <c r="A1037" s="485">
        <v>423030237000</v>
      </c>
      <c r="B1037" t="s">
        <v>2493</v>
      </c>
      <c r="C1037">
        <v>0</v>
      </c>
      <c r="D1037">
        <v>0</v>
      </c>
      <c r="E1037">
        <v>0</v>
      </c>
      <c r="F1037">
        <v>4.9999000000000002</v>
      </c>
    </row>
    <row r="1038" spans="1:6">
      <c r="A1038" s="485">
        <v>423030107400</v>
      </c>
      <c r="B1038" t="s">
        <v>2494</v>
      </c>
      <c r="C1038">
        <v>50.460800000000006</v>
      </c>
      <c r="D1038">
        <v>2.0720000000000001</v>
      </c>
      <c r="E1038">
        <v>52.532800000000009</v>
      </c>
      <c r="F1038">
        <v>37.470599999999997</v>
      </c>
    </row>
    <row r="1039" spans="1:6">
      <c r="A1039" s="485">
        <v>423030107400</v>
      </c>
      <c r="B1039" t="s">
        <v>2495</v>
      </c>
      <c r="C1039">
        <v>1</v>
      </c>
      <c r="D1039">
        <v>1.3688000000000002</v>
      </c>
      <c r="E1039">
        <v>2.3688000000000002</v>
      </c>
      <c r="F1039">
        <v>2.9999999999999996</v>
      </c>
    </row>
    <row r="1040" spans="1:6">
      <c r="A1040" s="485">
        <v>423030218500</v>
      </c>
      <c r="B1040" t="s">
        <v>2496</v>
      </c>
      <c r="C1040">
        <v>0</v>
      </c>
      <c r="D1040">
        <v>0</v>
      </c>
      <c r="E1040">
        <v>0</v>
      </c>
      <c r="F1040">
        <v>114.00009999999999</v>
      </c>
    </row>
    <row r="1041" spans="1:6">
      <c r="A1041" s="485">
        <v>423030109900</v>
      </c>
      <c r="B1041" t="s">
        <v>2497</v>
      </c>
      <c r="C1041">
        <v>0</v>
      </c>
      <c r="D1041">
        <v>0</v>
      </c>
      <c r="E1041">
        <v>0</v>
      </c>
      <c r="F1041">
        <v>13.9998</v>
      </c>
    </row>
    <row r="1042" spans="1:6">
      <c r="A1042" s="485">
        <v>423030114800</v>
      </c>
      <c r="B1042" t="s">
        <v>2498</v>
      </c>
      <c r="C1042">
        <v>0</v>
      </c>
      <c r="D1042">
        <v>0</v>
      </c>
      <c r="E1042">
        <v>0</v>
      </c>
      <c r="F1042">
        <v>98.134799999999984</v>
      </c>
    </row>
    <row r="1043" spans="1:6">
      <c r="A1043" s="485">
        <v>423030114800</v>
      </c>
      <c r="B1043" t="s">
        <v>2499</v>
      </c>
      <c r="C1043">
        <v>210.17460000000003</v>
      </c>
      <c r="D1043">
        <v>119.25839999999999</v>
      </c>
      <c r="E1043">
        <v>329.43299999999999</v>
      </c>
      <c r="F1043">
        <v>3.0000000000000004</v>
      </c>
    </row>
    <row r="1044" spans="1:6">
      <c r="A1044" s="485">
        <v>423030109700</v>
      </c>
      <c r="B1044" t="s">
        <v>2500</v>
      </c>
      <c r="C1044">
        <v>0</v>
      </c>
      <c r="D1044">
        <v>0</v>
      </c>
      <c r="E1044">
        <v>0</v>
      </c>
      <c r="F1044">
        <v>38.494600000000005</v>
      </c>
    </row>
    <row r="1045" spans="1:6">
      <c r="A1045" s="485">
        <v>423030111100</v>
      </c>
      <c r="B1045" t="s">
        <v>2501</v>
      </c>
      <c r="C1045">
        <v>6.5452999999999992</v>
      </c>
      <c r="D1045">
        <v>1.6471</v>
      </c>
      <c r="E1045">
        <v>8.1923999999999992</v>
      </c>
      <c r="F1045">
        <v>7.8260000000000005</v>
      </c>
    </row>
    <row r="1046" spans="1:6">
      <c r="A1046" s="485">
        <v>423030112000</v>
      </c>
      <c r="B1046" t="s">
        <v>2502</v>
      </c>
      <c r="C1046">
        <v>0.52829999999999999</v>
      </c>
      <c r="D1046">
        <v>2.9045999999999994</v>
      </c>
      <c r="E1046">
        <v>3.4328999999999992</v>
      </c>
      <c r="F1046">
        <v>374.87650000000002</v>
      </c>
    </row>
    <row r="1047" spans="1:6">
      <c r="A1047" s="485">
        <v>423030113200</v>
      </c>
      <c r="B1047" t="s">
        <v>2503</v>
      </c>
      <c r="C1047">
        <v>1789.1021000000001</v>
      </c>
      <c r="D1047">
        <v>1124.5663</v>
      </c>
      <c r="E1047">
        <v>2913.6684</v>
      </c>
      <c r="F1047">
        <v>129.83680000000001</v>
      </c>
    </row>
    <row r="1048" spans="1:6">
      <c r="A1048" s="485">
        <v>423030127600</v>
      </c>
      <c r="B1048" t="s">
        <v>2504</v>
      </c>
      <c r="C1048">
        <v>70.196600000000004</v>
      </c>
      <c r="D1048">
        <v>301.12080000000003</v>
      </c>
      <c r="E1048">
        <v>371.31740000000002</v>
      </c>
      <c r="F1048">
        <v>554.00009999999997</v>
      </c>
    </row>
    <row r="1049" spans="1:6">
      <c r="A1049" s="485">
        <v>423030123000</v>
      </c>
      <c r="B1049" t="s">
        <v>2505</v>
      </c>
      <c r="C1049">
        <v>392.75869999999998</v>
      </c>
      <c r="D1049">
        <v>121.3993</v>
      </c>
      <c r="E1049">
        <v>514.15800000000002</v>
      </c>
      <c r="F1049">
        <v>26.879000000000001</v>
      </c>
    </row>
    <row r="1050" spans="1:6">
      <c r="A1050" s="485">
        <v>423030123000</v>
      </c>
      <c r="B1050" t="s">
        <v>2506</v>
      </c>
      <c r="C1050">
        <v>719.01060000000007</v>
      </c>
      <c r="D1050">
        <v>438.34879999999998</v>
      </c>
      <c r="E1050">
        <v>1157.3594000000001</v>
      </c>
      <c r="F1050">
        <v>5.999900000000002</v>
      </c>
    </row>
    <row r="1051" spans="1:6">
      <c r="A1051" s="485">
        <v>423030129700</v>
      </c>
      <c r="B1051" t="s">
        <v>2507</v>
      </c>
      <c r="C1051">
        <v>24.1129</v>
      </c>
      <c r="D1051">
        <v>0</v>
      </c>
      <c r="E1051">
        <v>24.1129</v>
      </c>
      <c r="F1051">
        <v>3.0001000000000002</v>
      </c>
    </row>
    <row r="1052" spans="1:6">
      <c r="A1052" s="485">
        <v>423030129700</v>
      </c>
      <c r="B1052" t="s">
        <v>2508</v>
      </c>
      <c r="C1052">
        <v>0</v>
      </c>
      <c r="D1052">
        <v>0</v>
      </c>
      <c r="E1052">
        <v>0</v>
      </c>
      <c r="F1052">
        <v>305.11469999999991</v>
      </c>
    </row>
    <row r="1053" spans="1:6">
      <c r="A1053" s="485">
        <v>423030132800</v>
      </c>
      <c r="B1053" t="s">
        <v>2509</v>
      </c>
      <c r="C1053">
        <v>0</v>
      </c>
      <c r="D1053">
        <v>365</v>
      </c>
      <c r="E1053">
        <v>365</v>
      </c>
      <c r="F1053">
        <v>123</v>
      </c>
    </row>
    <row r="1054" spans="1:6">
      <c r="A1054" s="485">
        <v>423030136300</v>
      </c>
      <c r="B1054" t="s">
        <v>2510</v>
      </c>
      <c r="C1054">
        <v>39</v>
      </c>
      <c r="D1054">
        <v>35.2986</v>
      </c>
      <c r="E1054">
        <v>74.298599999999993</v>
      </c>
      <c r="F1054">
        <v>9.0850999999999988</v>
      </c>
    </row>
    <row r="1055" spans="1:6">
      <c r="A1055" s="485">
        <v>423030145400</v>
      </c>
      <c r="B1055" t="s">
        <v>2511</v>
      </c>
      <c r="C1055">
        <v>13.231000000000002</v>
      </c>
      <c r="D1055">
        <v>1.7794000000000001</v>
      </c>
      <c r="E1055">
        <v>15.010400000000002</v>
      </c>
      <c r="F1055">
        <v>32.424099999999996</v>
      </c>
    </row>
    <row r="1056" spans="1:6">
      <c r="A1056" s="485">
        <v>423030145400</v>
      </c>
      <c r="B1056" t="s">
        <v>2512</v>
      </c>
      <c r="C1056">
        <v>0</v>
      </c>
      <c r="D1056">
        <v>12.044999999999998</v>
      </c>
      <c r="E1056">
        <v>12.044999999999998</v>
      </c>
      <c r="F1056">
        <v>8.9764999999999997</v>
      </c>
    </row>
    <row r="1057" spans="1:6">
      <c r="A1057" s="485">
        <v>423030148000</v>
      </c>
      <c r="B1057" t="s">
        <v>2513</v>
      </c>
      <c r="C1057">
        <v>2</v>
      </c>
      <c r="D1057">
        <v>4.9163000000000006</v>
      </c>
      <c r="E1057">
        <v>6.9163000000000006</v>
      </c>
      <c r="F1057">
        <v>62.000000000000007</v>
      </c>
    </row>
    <row r="1058" spans="1:6">
      <c r="A1058" s="485">
        <v>423030216600</v>
      </c>
      <c r="B1058" t="s">
        <v>2514</v>
      </c>
      <c r="C1058">
        <v>15.915699999999999</v>
      </c>
      <c r="D1058">
        <v>1.7550000000000001</v>
      </c>
      <c r="E1058">
        <v>17.6707</v>
      </c>
      <c r="F1058">
        <v>0.66659999999999986</v>
      </c>
    </row>
    <row r="1059" spans="1:6">
      <c r="A1059" s="485">
        <v>423030152600</v>
      </c>
      <c r="B1059" t="s">
        <v>2515</v>
      </c>
      <c r="C1059">
        <v>0</v>
      </c>
      <c r="D1059">
        <v>0</v>
      </c>
      <c r="E1059">
        <v>0</v>
      </c>
      <c r="F1059">
        <v>238</v>
      </c>
    </row>
    <row r="1060" spans="1:6">
      <c r="A1060" s="485">
        <v>423030153300</v>
      </c>
      <c r="B1060" t="s">
        <v>2516</v>
      </c>
      <c r="C1060">
        <v>0</v>
      </c>
      <c r="D1060">
        <v>0</v>
      </c>
      <c r="E1060">
        <v>0</v>
      </c>
      <c r="F1060">
        <v>457.94490000000002</v>
      </c>
    </row>
    <row r="1061" spans="1:6">
      <c r="A1061" s="485">
        <v>423030154300</v>
      </c>
      <c r="B1061" t="s">
        <v>2517</v>
      </c>
      <c r="C1061">
        <v>31.872099999999996</v>
      </c>
      <c r="D1061">
        <v>6.6219999999999999</v>
      </c>
      <c r="E1061">
        <v>38.494099999999996</v>
      </c>
      <c r="F1061">
        <v>1069</v>
      </c>
    </row>
    <row r="1062" spans="1:6">
      <c r="A1062" s="485">
        <v>423030155100</v>
      </c>
      <c r="B1062" t="s">
        <v>2518</v>
      </c>
      <c r="C1062">
        <v>1.5238999999999998</v>
      </c>
      <c r="D1062">
        <v>2.3174999999999999</v>
      </c>
      <c r="E1062">
        <v>3.8413999999999997</v>
      </c>
      <c r="F1062">
        <v>0.9998999999999999</v>
      </c>
    </row>
    <row r="1063" spans="1:6">
      <c r="A1063" s="485">
        <v>423030156900</v>
      </c>
      <c r="B1063" t="s">
        <v>2519</v>
      </c>
      <c r="C1063">
        <v>123.84209999999999</v>
      </c>
      <c r="D1063">
        <v>128.27280000000002</v>
      </c>
      <c r="E1063">
        <v>252.11490000000001</v>
      </c>
      <c r="F1063">
        <v>199.40010000000004</v>
      </c>
    </row>
    <row r="1064" spans="1:6">
      <c r="A1064" s="485">
        <v>423030156000</v>
      </c>
      <c r="B1064" t="s">
        <v>2520</v>
      </c>
      <c r="C1064">
        <v>0</v>
      </c>
      <c r="D1064">
        <v>130.77949999999998</v>
      </c>
      <c r="E1064">
        <v>130.77949999999998</v>
      </c>
      <c r="F1064">
        <v>298.1429</v>
      </c>
    </row>
    <row r="1065" spans="1:6">
      <c r="A1065" s="485">
        <v>423030156000</v>
      </c>
      <c r="B1065" t="s">
        <v>2521</v>
      </c>
      <c r="C1065">
        <v>126.60020000000003</v>
      </c>
      <c r="D1065">
        <v>83.397999999999996</v>
      </c>
      <c r="E1065">
        <v>209.99820000000003</v>
      </c>
      <c r="F1065">
        <v>1</v>
      </c>
    </row>
    <row r="1066" spans="1:6">
      <c r="A1066" s="485">
        <v>423030114600</v>
      </c>
      <c r="B1066" t="s">
        <v>2522</v>
      </c>
      <c r="C1066">
        <v>0</v>
      </c>
      <c r="D1066">
        <v>0</v>
      </c>
      <c r="E1066">
        <v>0</v>
      </c>
      <c r="F1066">
        <v>0.60939999999999994</v>
      </c>
    </row>
    <row r="1067" spans="1:6">
      <c r="A1067" s="485">
        <v>423030115100</v>
      </c>
      <c r="B1067" t="s">
        <v>2523</v>
      </c>
      <c r="C1067">
        <v>0</v>
      </c>
      <c r="D1067">
        <v>0</v>
      </c>
      <c r="E1067">
        <v>0</v>
      </c>
      <c r="F1067">
        <v>41.678100000000001</v>
      </c>
    </row>
    <row r="1068" spans="1:6">
      <c r="A1068" s="485">
        <v>423030115500</v>
      </c>
      <c r="B1068" t="s">
        <v>2524</v>
      </c>
      <c r="C1068">
        <v>52.314</v>
      </c>
      <c r="D1068">
        <v>22.479100000000003</v>
      </c>
      <c r="E1068">
        <v>74.79310000000001</v>
      </c>
      <c r="F1068">
        <v>70.476199999999992</v>
      </c>
    </row>
    <row r="1069" spans="1:6">
      <c r="A1069" s="485">
        <v>423030116500</v>
      </c>
      <c r="B1069" t="s">
        <v>2525</v>
      </c>
      <c r="C1069">
        <v>1</v>
      </c>
      <c r="D1069">
        <v>1.1038999999999999</v>
      </c>
      <c r="E1069">
        <v>2.1038999999999999</v>
      </c>
      <c r="F1069">
        <v>1</v>
      </c>
    </row>
    <row r="1070" spans="1:6">
      <c r="A1070" s="485">
        <v>423030121800</v>
      </c>
      <c r="B1070" t="s">
        <v>2526</v>
      </c>
      <c r="C1070">
        <v>1.8095999999999999</v>
      </c>
      <c r="D1070">
        <v>3.9908999999999999</v>
      </c>
      <c r="E1070">
        <v>5.8004999999999995</v>
      </c>
      <c r="F1070">
        <v>1185.0001000000002</v>
      </c>
    </row>
    <row r="1071" spans="1:6">
      <c r="A1071" s="485">
        <v>423030121000</v>
      </c>
      <c r="B1071" t="s">
        <v>2527</v>
      </c>
      <c r="C1071">
        <v>0</v>
      </c>
      <c r="D1071">
        <v>0</v>
      </c>
      <c r="E1071">
        <v>0</v>
      </c>
      <c r="F1071">
        <v>96.645200000000017</v>
      </c>
    </row>
    <row r="1072" spans="1:6">
      <c r="A1072" s="485">
        <v>423030122200</v>
      </c>
      <c r="B1072" t="s">
        <v>2528</v>
      </c>
      <c r="C1072">
        <v>0</v>
      </c>
      <c r="D1072">
        <v>0</v>
      </c>
      <c r="E1072">
        <v>0</v>
      </c>
      <c r="F1072">
        <v>-1.9194999999999998</v>
      </c>
    </row>
    <row r="1073" spans="1:6">
      <c r="A1073" s="485">
        <v>423030122700</v>
      </c>
      <c r="B1073" t="s">
        <v>2529</v>
      </c>
      <c r="C1073">
        <v>0.76190000000000002</v>
      </c>
      <c r="D1073">
        <v>0.1908</v>
      </c>
      <c r="E1073">
        <v>0.95269999999999999</v>
      </c>
      <c r="F1073">
        <v>1</v>
      </c>
    </row>
    <row r="1074" spans="1:6">
      <c r="A1074" s="485">
        <v>423030122900</v>
      </c>
      <c r="B1074" t="s">
        <v>2530</v>
      </c>
      <c r="C1074">
        <v>0</v>
      </c>
      <c r="D1074">
        <v>0</v>
      </c>
      <c r="E1074">
        <v>0</v>
      </c>
      <c r="F1074">
        <v>55.000099999999996</v>
      </c>
    </row>
    <row r="1075" spans="1:6">
      <c r="A1075" s="485">
        <v>423030122900</v>
      </c>
      <c r="B1075" t="s">
        <v>2531</v>
      </c>
      <c r="C1075">
        <v>54.352699999999992</v>
      </c>
      <c r="D1075">
        <v>48.976300000000002</v>
      </c>
      <c r="E1075">
        <v>103.32899999999999</v>
      </c>
      <c r="F1075">
        <v>101873.9525</v>
      </c>
    </row>
    <row r="1076" spans="1:6">
      <c r="A1076" s="485">
        <v>423031181300</v>
      </c>
      <c r="B1076" t="s">
        <v>2532</v>
      </c>
      <c r="C1076">
        <v>0</v>
      </c>
      <c r="D1076">
        <v>0</v>
      </c>
      <c r="E1076">
        <v>0</v>
      </c>
      <c r="F1076">
        <v>3.5318999999999998</v>
      </c>
    </row>
    <row r="1077" spans="1:6">
      <c r="A1077" s="485">
        <v>423030124100</v>
      </c>
      <c r="B1077" t="s">
        <v>2533</v>
      </c>
      <c r="C1077">
        <v>0</v>
      </c>
      <c r="D1077">
        <v>14.125499999999999</v>
      </c>
      <c r="E1077">
        <v>14.125499999999999</v>
      </c>
      <c r="F1077">
        <v>56.659399999999998</v>
      </c>
    </row>
    <row r="1078" spans="1:6">
      <c r="A1078" s="485">
        <v>423030124200</v>
      </c>
      <c r="B1078" t="s">
        <v>2534</v>
      </c>
      <c r="C1078">
        <v>131.60429999999999</v>
      </c>
      <c r="D1078">
        <v>192.93120000000002</v>
      </c>
      <c r="E1078">
        <v>324.53550000000001</v>
      </c>
      <c r="F1078">
        <v>613.79630000000009</v>
      </c>
    </row>
    <row r="1079" spans="1:6">
      <c r="A1079" s="485">
        <v>423030129600</v>
      </c>
      <c r="B1079" t="s">
        <v>2535</v>
      </c>
      <c r="C1079">
        <v>0.81709999999999994</v>
      </c>
      <c r="D1079">
        <v>0.92820000000000003</v>
      </c>
      <c r="E1079">
        <v>1.7452999999999999</v>
      </c>
      <c r="F1079">
        <v>398.45729999999998</v>
      </c>
    </row>
    <row r="1080" spans="1:6">
      <c r="A1080" s="485">
        <v>423030129900</v>
      </c>
      <c r="B1080" t="s">
        <v>2536</v>
      </c>
      <c r="C1080">
        <v>0</v>
      </c>
      <c r="D1080">
        <v>0</v>
      </c>
      <c r="E1080">
        <v>0</v>
      </c>
      <c r="F1080">
        <v>297.94119999999998</v>
      </c>
    </row>
    <row r="1081" spans="1:6">
      <c r="A1081" s="485">
        <v>423030130600</v>
      </c>
      <c r="B1081" t="s">
        <v>2537</v>
      </c>
      <c r="C1081">
        <v>0</v>
      </c>
      <c r="D1081">
        <v>0.1095</v>
      </c>
      <c r="E1081">
        <v>0.1095</v>
      </c>
      <c r="F1081">
        <v>65.818000000000026</v>
      </c>
    </row>
    <row r="1082" spans="1:6">
      <c r="A1082" s="485">
        <v>423030130600</v>
      </c>
      <c r="B1082" t="s">
        <v>2538</v>
      </c>
      <c r="C1082">
        <v>0</v>
      </c>
      <c r="D1082">
        <v>0</v>
      </c>
      <c r="E1082">
        <v>0</v>
      </c>
      <c r="F1082">
        <v>207.9845</v>
      </c>
    </row>
    <row r="1083" spans="1:6">
      <c r="A1083" s="485">
        <v>423030130800</v>
      </c>
      <c r="B1083" t="s">
        <v>2539</v>
      </c>
      <c r="C1083">
        <v>6.3506</v>
      </c>
      <c r="D1083">
        <v>8.6931999999999992</v>
      </c>
      <c r="E1083">
        <v>15.043799999999999</v>
      </c>
      <c r="F1083">
        <v>141.60419999999999</v>
      </c>
    </row>
    <row r="1084" spans="1:6">
      <c r="A1084" s="485">
        <v>423030131100</v>
      </c>
      <c r="B1084" t="s">
        <v>2540</v>
      </c>
      <c r="C1084">
        <v>39.518099999999997</v>
      </c>
      <c r="D1084">
        <v>101.90479999999999</v>
      </c>
      <c r="E1084">
        <v>141.4229</v>
      </c>
      <c r="F1084">
        <v>440.00000000000006</v>
      </c>
    </row>
    <row r="1085" spans="1:6">
      <c r="A1085" s="485">
        <v>423030132600</v>
      </c>
      <c r="B1085" t="s">
        <v>2541</v>
      </c>
      <c r="C1085">
        <v>64.067399999999992</v>
      </c>
      <c r="D1085">
        <v>152.399</v>
      </c>
      <c r="E1085">
        <v>216.46639999999999</v>
      </c>
      <c r="F1085">
        <v>206.8965</v>
      </c>
    </row>
    <row r="1086" spans="1:6">
      <c r="A1086" s="485">
        <v>423030134800</v>
      </c>
      <c r="B1086" t="s">
        <v>2542</v>
      </c>
      <c r="C1086">
        <v>0</v>
      </c>
      <c r="D1086">
        <v>0</v>
      </c>
      <c r="E1086">
        <v>0</v>
      </c>
      <c r="F1086">
        <v>1</v>
      </c>
    </row>
    <row r="1087" spans="1:6">
      <c r="A1087" s="485">
        <v>423030135200</v>
      </c>
      <c r="B1087" t="s">
        <v>2543</v>
      </c>
      <c r="C1087">
        <v>16.197700000000001</v>
      </c>
      <c r="D1087">
        <v>1.8088</v>
      </c>
      <c r="E1087">
        <v>18.006500000000003</v>
      </c>
      <c r="F1087">
        <v>44.566600000000001</v>
      </c>
    </row>
    <row r="1088" spans="1:6">
      <c r="A1088" s="485">
        <v>423030135500</v>
      </c>
      <c r="B1088" t="s">
        <v>2544</v>
      </c>
      <c r="C1088">
        <v>0</v>
      </c>
      <c r="D1088">
        <v>0</v>
      </c>
      <c r="E1088">
        <v>0</v>
      </c>
      <c r="F1088">
        <v>486.8</v>
      </c>
    </row>
    <row r="1089" spans="1:6">
      <c r="A1089" s="485">
        <v>423030292000</v>
      </c>
      <c r="B1089" t="s">
        <v>2545</v>
      </c>
      <c r="C1089">
        <v>194.85810000000004</v>
      </c>
      <c r="D1089">
        <v>71.042500000000004</v>
      </c>
      <c r="E1089">
        <v>265.90060000000005</v>
      </c>
      <c r="F1089">
        <v>0.99990000000000001</v>
      </c>
    </row>
    <row r="1090" spans="1:6">
      <c r="A1090" s="485">
        <v>423030121700</v>
      </c>
      <c r="B1090" t="s">
        <v>2546</v>
      </c>
      <c r="C1090">
        <v>159.06970000000001</v>
      </c>
      <c r="D1090">
        <v>0.60319999999999996</v>
      </c>
      <c r="E1090">
        <v>159.6729</v>
      </c>
      <c r="F1090">
        <v>77.999800000000008</v>
      </c>
    </row>
    <row r="1091" spans="1:6">
      <c r="A1091" s="485">
        <v>423030123200</v>
      </c>
      <c r="B1091" t="s">
        <v>2547</v>
      </c>
      <c r="C1091">
        <v>0</v>
      </c>
      <c r="D1091">
        <v>0</v>
      </c>
      <c r="E1091">
        <v>0</v>
      </c>
      <c r="F1091">
        <v>25.260400000000001</v>
      </c>
    </row>
    <row r="1092" spans="1:6">
      <c r="A1092" s="485">
        <v>423030123700</v>
      </c>
      <c r="B1092" t="s">
        <v>2548</v>
      </c>
      <c r="C1092">
        <v>10.100000000000001</v>
      </c>
      <c r="D1092">
        <v>1.9641999999999999</v>
      </c>
      <c r="E1092">
        <v>12.064200000000001</v>
      </c>
      <c r="F1092">
        <v>232.08339999999998</v>
      </c>
    </row>
    <row r="1093" spans="1:6">
      <c r="A1093" s="485">
        <v>423030129400</v>
      </c>
      <c r="B1093" t="s">
        <v>2549</v>
      </c>
      <c r="C1093">
        <v>0</v>
      </c>
      <c r="D1093">
        <v>0</v>
      </c>
      <c r="E1093">
        <v>0</v>
      </c>
      <c r="F1093">
        <v>645.61099999999999</v>
      </c>
    </row>
    <row r="1094" spans="1:6">
      <c r="A1094" s="485">
        <v>423030131700</v>
      </c>
      <c r="B1094" t="s">
        <v>2550</v>
      </c>
      <c r="C1094">
        <v>0</v>
      </c>
      <c r="D1094">
        <v>4.0880000000000001</v>
      </c>
      <c r="E1094">
        <v>4.0880000000000001</v>
      </c>
      <c r="F1094">
        <v>23.034399999999998</v>
      </c>
    </row>
    <row r="1095" spans="1:6">
      <c r="A1095" s="485">
        <v>423030131700</v>
      </c>
      <c r="B1095" t="s">
        <v>2551</v>
      </c>
      <c r="C1095">
        <v>0.69230000000000003</v>
      </c>
      <c r="D1095">
        <v>0.81130000000000002</v>
      </c>
      <c r="E1095">
        <v>1.5036</v>
      </c>
      <c r="F1095">
        <v>7.9999999999999991</v>
      </c>
    </row>
    <row r="1096" spans="1:6">
      <c r="A1096" s="485">
        <v>423030134700</v>
      </c>
      <c r="B1096" t="s">
        <v>2552</v>
      </c>
      <c r="C1096">
        <v>92.666600000000017</v>
      </c>
      <c r="D1096">
        <v>64.363199999999992</v>
      </c>
      <c r="E1096">
        <v>157.02980000000002</v>
      </c>
      <c r="F1096">
        <v>38.734199999999994</v>
      </c>
    </row>
    <row r="1097" spans="1:6">
      <c r="A1097" s="485">
        <v>423030135600</v>
      </c>
      <c r="B1097" t="s">
        <v>2553</v>
      </c>
      <c r="C1097">
        <v>9.9568000000000012</v>
      </c>
      <c r="D1097">
        <v>5.9005999999999998</v>
      </c>
      <c r="E1097">
        <v>15.857400000000002</v>
      </c>
      <c r="F1097">
        <v>2</v>
      </c>
    </row>
    <row r="1098" spans="1:6">
      <c r="A1098" s="485">
        <v>423030135600</v>
      </c>
      <c r="B1098" t="s">
        <v>2554</v>
      </c>
      <c r="C1098">
        <v>216</v>
      </c>
      <c r="D1098">
        <v>212.47589999999997</v>
      </c>
      <c r="E1098">
        <v>428.47589999999997</v>
      </c>
      <c r="F1098">
        <v>43.742100000000001</v>
      </c>
    </row>
    <row r="1099" spans="1:6">
      <c r="A1099" s="485">
        <v>423030128900</v>
      </c>
      <c r="B1099" t="s">
        <v>2555</v>
      </c>
      <c r="C1099">
        <v>0</v>
      </c>
      <c r="D1099">
        <v>0</v>
      </c>
      <c r="E1099">
        <v>0</v>
      </c>
      <c r="F1099">
        <v>1.8352999999999999</v>
      </c>
    </row>
    <row r="1100" spans="1:6">
      <c r="A1100" s="485">
        <v>423030217800</v>
      </c>
      <c r="B1100" t="s">
        <v>2556</v>
      </c>
      <c r="C1100">
        <v>0</v>
      </c>
      <c r="D1100">
        <v>0</v>
      </c>
      <c r="E1100">
        <v>0</v>
      </c>
      <c r="F1100">
        <v>78.853999999999985</v>
      </c>
    </row>
    <row r="1101" spans="1:6">
      <c r="A1101" s="485">
        <v>423030136400</v>
      </c>
      <c r="B1101" t="s">
        <v>2557</v>
      </c>
      <c r="C1101">
        <v>0</v>
      </c>
      <c r="D1101">
        <v>4.1610000000000005</v>
      </c>
      <c r="E1101">
        <v>4.1610000000000005</v>
      </c>
      <c r="F1101">
        <v>1.9999999999999998</v>
      </c>
    </row>
    <row r="1102" spans="1:6">
      <c r="A1102" s="485">
        <v>423030142400</v>
      </c>
      <c r="B1102" t="s">
        <v>2558</v>
      </c>
      <c r="C1102">
        <v>48.191499999999998</v>
      </c>
      <c r="D1102">
        <v>1.7107999999999999</v>
      </c>
      <c r="E1102">
        <v>49.902299999999997</v>
      </c>
      <c r="F1102">
        <v>1582.8723</v>
      </c>
    </row>
    <row r="1103" spans="1:6">
      <c r="A1103" s="485">
        <v>423030121900</v>
      </c>
      <c r="B1103" t="s">
        <v>2559</v>
      </c>
      <c r="C1103">
        <v>0</v>
      </c>
      <c r="D1103">
        <v>0</v>
      </c>
      <c r="E1103">
        <v>0</v>
      </c>
      <c r="F1103">
        <v>6165.4753999999994</v>
      </c>
    </row>
    <row r="1104" spans="1:6">
      <c r="A1104" s="485">
        <v>423030145200</v>
      </c>
      <c r="B1104" t="s">
        <v>2560</v>
      </c>
      <c r="C1104">
        <v>0</v>
      </c>
      <c r="D1104">
        <v>0</v>
      </c>
      <c r="E1104">
        <v>0</v>
      </c>
      <c r="F1104">
        <v>201.85120000000001</v>
      </c>
    </row>
    <row r="1105" spans="1:6">
      <c r="A1105" s="485">
        <v>423030137500</v>
      </c>
      <c r="B1105" t="s">
        <v>2561</v>
      </c>
      <c r="C1105">
        <v>3</v>
      </c>
      <c r="D1105">
        <v>13.660499999999999</v>
      </c>
      <c r="E1105">
        <v>16.660499999999999</v>
      </c>
      <c r="F1105">
        <v>19.921299999999999</v>
      </c>
    </row>
    <row r="1106" spans="1:6">
      <c r="A1106" s="485">
        <v>423030128200</v>
      </c>
      <c r="B1106" t="s">
        <v>2562</v>
      </c>
      <c r="C1106">
        <v>0</v>
      </c>
      <c r="D1106">
        <v>0</v>
      </c>
      <c r="E1106">
        <v>0</v>
      </c>
      <c r="F1106">
        <v>2.0000999999999998</v>
      </c>
    </row>
    <row r="1107" spans="1:6">
      <c r="A1107" s="485">
        <v>423030128300</v>
      </c>
      <c r="B1107" t="s">
        <v>2563</v>
      </c>
      <c r="C1107">
        <v>185</v>
      </c>
      <c r="D1107">
        <v>120.45840000000001</v>
      </c>
      <c r="E1107">
        <v>305.45839999999998</v>
      </c>
      <c r="F1107">
        <v>257</v>
      </c>
    </row>
    <row r="1108" spans="1:6">
      <c r="A1108" s="485">
        <v>423030138900</v>
      </c>
      <c r="B1108" t="s">
        <v>2564</v>
      </c>
      <c r="C1108">
        <v>114.24130000000001</v>
      </c>
      <c r="D1108">
        <v>40.173299999999998</v>
      </c>
      <c r="E1108">
        <v>154.41460000000001</v>
      </c>
      <c r="F1108">
        <v>1.9999</v>
      </c>
    </row>
    <row r="1109" spans="1:6">
      <c r="A1109" s="485">
        <v>423030148200</v>
      </c>
      <c r="B1109" t="s">
        <v>2565</v>
      </c>
      <c r="C1109">
        <v>21.8352</v>
      </c>
      <c r="D1109">
        <v>1.1445000000000001</v>
      </c>
      <c r="E1109">
        <v>22.979700000000001</v>
      </c>
      <c r="F1109">
        <v>6901.365499999999</v>
      </c>
    </row>
    <row r="1110" spans="1:6">
      <c r="A1110" s="485">
        <v>423030139300</v>
      </c>
      <c r="B1110" t="s">
        <v>2566</v>
      </c>
      <c r="C1110">
        <v>0</v>
      </c>
      <c r="D1110">
        <v>0</v>
      </c>
      <c r="E1110">
        <v>0</v>
      </c>
      <c r="F1110">
        <v>334.44089999999994</v>
      </c>
    </row>
    <row r="1111" spans="1:6">
      <c r="A1111" s="485">
        <v>423030140900</v>
      </c>
      <c r="B1111" t="s">
        <v>2567</v>
      </c>
      <c r="C1111">
        <v>0</v>
      </c>
      <c r="D1111">
        <v>0</v>
      </c>
      <c r="E1111">
        <v>0</v>
      </c>
      <c r="F1111">
        <v>6090.4724000000006</v>
      </c>
    </row>
    <row r="1112" spans="1:6">
      <c r="A1112" s="485">
        <v>423030142900</v>
      </c>
      <c r="B1112" t="s">
        <v>2568</v>
      </c>
      <c r="C1112">
        <v>0</v>
      </c>
      <c r="D1112">
        <v>0</v>
      </c>
      <c r="E1112">
        <v>0</v>
      </c>
      <c r="F1112">
        <v>25.25</v>
      </c>
    </row>
    <row r="1113" spans="1:6">
      <c r="A1113" s="485">
        <v>423030144900</v>
      </c>
      <c r="B1113" t="s">
        <v>2569</v>
      </c>
      <c r="C1113">
        <v>0</v>
      </c>
      <c r="D1113">
        <v>0</v>
      </c>
      <c r="E1113">
        <v>0</v>
      </c>
      <c r="F1113">
        <v>13.705800000000002</v>
      </c>
    </row>
    <row r="1114" spans="1:6">
      <c r="A1114" s="485">
        <v>423030140300</v>
      </c>
      <c r="B1114" t="s">
        <v>2570</v>
      </c>
      <c r="C1114">
        <v>82.017203999999992</v>
      </c>
      <c r="D1114">
        <v>20.002499999999998</v>
      </c>
      <c r="E1114">
        <v>102.01970399999999</v>
      </c>
      <c r="F1114">
        <v>396.99990000000003</v>
      </c>
    </row>
    <row r="1115" spans="1:6">
      <c r="A1115" s="485">
        <v>423030140300</v>
      </c>
      <c r="B1115" t="s">
        <v>2571</v>
      </c>
      <c r="C1115">
        <v>23.644399999999997</v>
      </c>
      <c r="D1115">
        <v>89.907899999999998</v>
      </c>
      <c r="E1115">
        <v>113.5523</v>
      </c>
      <c r="F1115">
        <v>3.4224000000000006</v>
      </c>
    </row>
    <row r="1116" spans="1:6">
      <c r="A1116" s="485">
        <v>423030140500</v>
      </c>
      <c r="B1116" t="s">
        <v>2572</v>
      </c>
      <c r="C1116">
        <v>0</v>
      </c>
      <c r="D1116">
        <v>0</v>
      </c>
      <c r="E1116">
        <v>0</v>
      </c>
      <c r="F1116">
        <v>213.05250000000001</v>
      </c>
    </row>
    <row r="1117" spans="1:6">
      <c r="A1117" s="485">
        <v>423030142200</v>
      </c>
      <c r="B1117" t="s">
        <v>2573</v>
      </c>
      <c r="C1117">
        <v>5.0652999999999997</v>
      </c>
      <c r="D1117">
        <v>1.8010999999999999</v>
      </c>
      <c r="E1117">
        <v>6.8663999999999996</v>
      </c>
      <c r="F1117">
        <v>39.524100000000004</v>
      </c>
    </row>
    <row r="1118" spans="1:6">
      <c r="A1118" s="485">
        <v>423030145500</v>
      </c>
      <c r="B1118" t="s">
        <v>2574</v>
      </c>
      <c r="C1118">
        <v>0</v>
      </c>
      <c r="D1118">
        <v>0</v>
      </c>
      <c r="E1118">
        <v>0</v>
      </c>
      <c r="F1118">
        <v>5.093700000000001</v>
      </c>
    </row>
    <row r="1119" spans="1:6">
      <c r="A1119" s="485">
        <v>423030147500</v>
      </c>
      <c r="B1119" t="s">
        <v>2575</v>
      </c>
      <c r="C1119">
        <v>0</v>
      </c>
      <c r="D1119">
        <v>0</v>
      </c>
      <c r="E1119">
        <v>0</v>
      </c>
      <c r="F1119">
        <v>11.285699999999999</v>
      </c>
    </row>
    <row r="1120" spans="1:6">
      <c r="A1120" s="485">
        <v>423030147500</v>
      </c>
      <c r="B1120" t="s">
        <v>2576</v>
      </c>
      <c r="C1120">
        <v>6.5119999999999996</v>
      </c>
      <c r="D1120">
        <v>0.90280000000000005</v>
      </c>
      <c r="E1120">
        <v>7.4147999999999996</v>
      </c>
      <c r="F1120">
        <v>24.688100000000002</v>
      </c>
    </row>
    <row r="1121" spans="1:6">
      <c r="A1121" s="485">
        <v>423030333600</v>
      </c>
      <c r="B1121" t="s">
        <v>2577</v>
      </c>
      <c r="C1121">
        <v>21.955599999999997</v>
      </c>
      <c r="D1121">
        <v>32.040800000000004</v>
      </c>
      <c r="E1121">
        <v>53.996400000000001</v>
      </c>
      <c r="F1121">
        <v>56.266799999999996</v>
      </c>
    </row>
    <row r="1122" spans="1:6">
      <c r="A1122" s="485">
        <v>423030148900</v>
      </c>
      <c r="B1122" t="s">
        <v>2578</v>
      </c>
      <c r="C1122">
        <v>31.411100000000001</v>
      </c>
      <c r="D1122">
        <v>19.069599999999998</v>
      </c>
      <c r="E1122">
        <v>50.480699999999999</v>
      </c>
      <c r="F1122">
        <v>2.7908999999999997</v>
      </c>
    </row>
    <row r="1123" spans="1:6">
      <c r="A1123" s="485">
        <v>423030149400</v>
      </c>
      <c r="B1123" t="s">
        <v>2579</v>
      </c>
      <c r="C1123">
        <v>4519.9999999999991</v>
      </c>
      <c r="D1123">
        <v>0</v>
      </c>
      <c r="E1123">
        <v>4519.9999999999991</v>
      </c>
      <c r="F1123">
        <v>69.12769999999999</v>
      </c>
    </row>
    <row r="1124" spans="1:6">
      <c r="A1124" s="485">
        <v>423031106900</v>
      </c>
      <c r="B1124" t="s">
        <v>2580</v>
      </c>
      <c r="C1124">
        <v>72.733899999999991</v>
      </c>
      <c r="D1124">
        <v>0.92310000000000003</v>
      </c>
      <c r="E1124">
        <v>73.656999999999996</v>
      </c>
      <c r="F1124">
        <v>46.398299999999999</v>
      </c>
    </row>
    <row r="1125" spans="1:6">
      <c r="A1125" s="485">
        <v>423030150100</v>
      </c>
      <c r="B1125" t="s">
        <v>2581</v>
      </c>
      <c r="C1125">
        <v>0</v>
      </c>
      <c r="D1125">
        <v>0</v>
      </c>
      <c r="E1125">
        <v>0</v>
      </c>
      <c r="F1125">
        <v>2.9998999999999998</v>
      </c>
    </row>
    <row r="1126" spans="1:6">
      <c r="A1126" s="485">
        <v>423030144500</v>
      </c>
      <c r="B1126" t="s">
        <v>2582</v>
      </c>
      <c r="C1126">
        <v>0</v>
      </c>
      <c r="D1126">
        <v>0</v>
      </c>
      <c r="E1126">
        <v>0</v>
      </c>
      <c r="F1126">
        <v>641.23089999999991</v>
      </c>
    </row>
    <row r="1127" spans="1:6">
      <c r="A1127" s="485">
        <v>423030150300</v>
      </c>
      <c r="B1127" t="s">
        <v>2583</v>
      </c>
      <c r="C1127">
        <v>0</v>
      </c>
      <c r="D1127">
        <v>0</v>
      </c>
      <c r="E1127">
        <v>0</v>
      </c>
      <c r="F1127">
        <v>2897.1139000000003</v>
      </c>
    </row>
    <row r="1128" spans="1:6">
      <c r="A1128" s="485">
        <v>423030150900</v>
      </c>
      <c r="B1128" t="s">
        <v>2584</v>
      </c>
      <c r="C1128">
        <v>2.7665999999999995</v>
      </c>
      <c r="D1128">
        <v>0.55080000000000007</v>
      </c>
      <c r="E1128">
        <v>3.3173999999999997</v>
      </c>
      <c r="F1128">
        <v>6.549500000000001</v>
      </c>
    </row>
    <row r="1129" spans="1:6">
      <c r="A1129" s="485">
        <v>423030153400</v>
      </c>
      <c r="B1129" t="s">
        <v>2585</v>
      </c>
      <c r="C1129">
        <v>15.8605</v>
      </c>
      <c r="D1129">
        <v>6.7561999999999998</v>
      </c>
      <c r="E1129">
        <v>22.616700000000002</v>
      </c>
      <c r="F1129">
        <v>185.00019999999998</v>
      </c>
    </row>
    <row r="1130" spans="1:6">
      <c r="A1130" s="485">
        <v>423030236300</v>
      </c>
      <c r="B1130" t="s">
        <v>2586</v>
      </c>
      <c r="C1130">
        <v>0</v>
      </c>
      <c r="D1130">
        <v>0</v>
      </c>
      <c r="E1130">
        <v>0</v>
      </c>
      <c r="F1130">
        <v>35.319999999999993</v>
      </c>
    </row>
    <row r="1131" spans="1:6">
      <c r="A1131" s="485">
        <v>423030160000</v>
      </c>
      <c r="B1131" t="s">
        <v>2587</v>
      </c>
      <c r="C1131">
        <v>39.886099999999999</v>
      </c>
      <c r="D1131">
        <v>14.225199999999999</v>
      </c>
      <c r="E1131">
        <v>54.1113</v>
      </c>
      <c r="F1131">
        <v>4465.9999000000007</v>
      </c>
    </row>
    <row r="1132" spans="1:6">
      <c r="A1132" s="485">
        <v>423030161400</v>
      </c>
      <c r="B1132" t="s">
        <v>2588</v>
      </c>
      <c r="C1132">
        <v>567.91769999999997</v>
      </c>
      <c r="D1132">
        <v>345.47519999999997</v>
      </c>
      <c r="E1132">
        <v>913.39289999999994</v>
      </c>
      <c r="F1132">
        <v>218.28339999999997</v>
      </c>
    </row>
    <row r="1133" spans="1:6">
      <c r="A1133" s="485">
        <v>423030153500</v>
      </c>
      <c r="B1133" t="s">
        <v>2589</v>
      </c>
      <c r="C1133">
        <v>4</v>
      </c>
      <c r="D1133">
        <v>1.5232000000000001</v>
      </c>
      <c r="E1133">
        <v>5.5232000000000001</v>
      </c>
      <c r="F1133">
        <v>1</v>
      </c>
    </row>
    <row r="1134" spans="1:6">
      <c r="A1134" s="485">
        <v>423030153800</v>
      </c>
      <c r="B1134" t="s">
        <v>2590</v>
      </c>
      <c r="C1134">
        <v>1</v>
      </c>
      <c r="D1134">
        <v>1.7406999999999997</v>
      </c>
      <c r="E1134">
        <v>2.7406999999999995</v>
      </c>
      <c r="F1134">
        <v>218.19010000000003</v>
      </c>
    </row>
    <row r="1135" spans="1:6">
      <c r="A1135" s="485">
        <v>423030158800</v>
      </c>
      <c r="B1135" t="s">
        <v>2591</v>
      </c>
      <c r="C1135">
        <v>1.9999999999999998</v>
      </c>
      <c r="D1135">
        <v>4.9419000000000004</v>
      </c>
      <c r="E1135">
        <v>6.9419000000000004</v>
      </c>
      <c r="F1135">
        <v>36.100999999999999</v>
      </c>
    </row>
    <row r="1136" spans="1:6">
      <c r="A1136" s="485">
        <v>423030160700</v>
      </c>
      <c r="B1136" t="s">
        <v>2592</v>
      </c>
      <c r="C1136">
        <v>0</v>
      </c>
      <c r="D1136">
        <v>0</v>
      </c>
      <c r="E1136">
        <v>0</v>
      </c>
      <c r="F1136">
        <v>28.044699999999995</v>
      </c>
    </row>
    <row r="1137" spans="1:6">
      <c r="A1137" s="485">
        <v>423030160700</v>
      </c>
      <c r="B1137" t="s">
        <v>2593</v>
      </c>
      <c r="C1137">
        <v>0</v>
      </c>
      <c r="D1137">
        <v>7.5919999999999996</v>
      </c>
      <c r="E1137">
        <v>7.5919999999999996</v>
      </c>
      <c r="F1137">
        <v>94.333199999999977</v>
      </c>
    </row>
    <row r="1138" spans="1:6">
      <c r="A1138" s="485">
        <v>423030160700</v>
      </c>
      <c r="B1138" t="s">
        <v>2594</v>
      </c>
      <c r="C1138">
        <v>12.500100000000002</v>
      </c>
      <c r="D1138">
        <v>8.4154999999999998</v>
      </c>
      <c r="E1138">
        <v>20.915600000000001</v>
      </c>
      <c r="F1138">
        <v>101.99980000000001</v>
      </c>
    </row>
    <row r="1139" spans="1:6">
      <c r="A1139" s="485">
        <v>423030186300</v>
      </c>
      <c r="B1139" t="s">
        <v>2595</v>
      </c>
      <c r="C1139">
        <v>7.6276999999999999</v>
      </c>
      <c r="D1139">
        <v>18.099899999999998</v>
      </c>
      <c r="E1139">
        <v>25.727599999999999</v>
      </c>
      <c r="F1139">
        <v>4.2613000000000003</v>
      </c>
    </row>
    <row r="1140" spans="1:6">
      <c r="A1140" s="485">
        <v>423030186400</v>
      </c>
      <c r="B1140" t="s">
        <v>2596</v>
      </c>
      <c r="C1140">
        <v>8.3872999999999998</v>
      </c>
      <c r="D1140">
        <v>2.4965999999999999</v>
      </c>
      <c r="E1140">
        <v>10.883900000000001</v>
      </c>
      <c r="F1140">
        <v>140.93400000000003</v>
      </c>
    </row>
    <row r="1141" spans="1:6">
      <c r="A1141" s="485">
        <v>423030186600</v>
      </c>
      <c r="B1141" t="s">
        <v>2597</v>
      </c>
      <c r="C1141">
        <v>0</v>
      </c>
      <c r="D1141">
        <v>0</v>
      </c>
      <c r="E1141">
        <v>0</v>
      </c>
      <c r="F1141">
        <v>4.0000999999999998</v>
      </c>
    </row>
    <row r="1142" spans="1:6">
      <c r="A1142" s="485">
        <v>423030186900</v>
      </c>
      <c r="B1142" t="s">
        <v>2598</v>
      </c>
      <c r="C1142">
        <v>0</v>
      </c>
      <c r="D1142">
        <v>1009.8454999999999</v>
      </c>
      <c r="E1142">
        <v>1009.8454999999999</v>
      </c>
      <c r="F1142">
        <v>1747.2294000000002</v>
      </c>
    </row>
    <row r="1143" spans="1:6">
      <c r="A1143" s="485">
        <v>423030187100</v>
      </c>
      <c r="B1143" t="s">
        <v>2599</v>
      </c>
      <c r="C1143">
        <v>0</v>
      </c>
      <c r="D1143">
        <v>0</v>
      </c>
      <c r="E1143">
        <v>0</v>
      </c>
      <c r="F1143">
        <v>167.1934</v>
      </c>
    </row>
    <row r="1144" spans="1:6">
      <c r="A1144" s="485">
        <v>423030187200</v>
      </c>
      <c r="B1144" t="s">
        <v>2600</v>
      </c>
      <c r="C1144">
        <v>24.057500000000001</v>
      </c>
      <c r="D1144">
        <v>7.4168000000000003</v>
      </c>
      <c r="E1144">
        <v>31.474299999999999</v>
      </c>
      <c r="F1144">
        <v>22.517899999999997</v>
      </c>
    </row>
    <row r="1145" spans="1:6">
      <c r="A1145" s="485">
        <v>423030187500</v>
      </c>
      <c r="B1145" t="s">
        <v>2601</v>
      </c>
      <c r="C1145">
        <v>7.0000999999999998</v>
      </c>
      <c r="D1145">
        <v>8.3936000000000011</v>
      </c>
      <c r="E1145">
        <v>15.393700000000001</v>
      </c>
      <c r="F1145">
        <v>116.1833</v>
      </c>
    </row>
    <row r="1146" spans="1:6">
      <c r="A1146" s="485">
        <v>423030187400</v>
      </c>
      <c r="B1146" t="s">
        <v>2602</v>
      </c>
      <c r="C1146">
        <v>0</v>
      </c>
      <c r="D1146">
        <v>0</v>
      </c>
      <c r="E1146">
        <v>0</v>
      </c>
      <c r="F1146">
        <v>2</v>
      </c>
    </row>
    <row r="1147" spans="1:6">
      <c r="A1147" s="485">
        <v>423030189700</v>
      </c>
      <c r="B1147" t="s">
        <v>2603</v>
      </c>
      <c r="C1147">
        <v>0</v>
      </c>
      <c r="D1147">
        <v>1.7154999999999998</v>
      </c>
      <c r="E1147">
        <v>1.7154999999999998</v>
      </c>
      <c r="F1147">
        <v>70.282699999999991</v>
      </c>
    </row>
    <row r="1148" spans="1:6">
      <c r="A1148" s="485">
        <v>423030189700</v>
      </c>
      <c r="B1148" t="s">
        <v>2604</v>
      </c>
      <c r="C1148">
        <v>0.99990000000000012</v>
      </c>
      <c r="D1148">
        <v>58.000999999999998</v>
      </c>
      <c r="E1148">
        <v>59.000899999999994</v>
      </c>
      <c r="F1148">
        <v>14.471600000000002</v>
      </c>
    </row>
    <row r="1149" spans="1:6">
      <c r="A1149" s="485">
        <v>423030190400</v>
      </c>
      <c r="B1149" t="s">
        <v>2605</v>
      </c>
      <c r="C1149">
        <v>0</v>
      </c>
      <c r="D1149">
        <v>61.392999999999994</v>
      </c>
      <c r="E1149">
        <v>61.392999999999994</v>
      </c>
      <c r="F1149">
        <v>17.0001</v>
      </c>
    </row>
    <row r="1150" spans="1:6">
      <c r="A1150" s="485">
        <v>423030190400</v>
      </c>
      <c r="B1150" t="s">
        <v>2606</v>
      </c>
      <c r="C1150">
        <v>21.749999999999996</v>
      </c>
      <c r="D1150">
        <v>22.677300000000002</v>
      </c>
      <c r="E1150">
        <v>44.427300000000002</v>
      </c>
      <c r="F1150">
        <v>1491.4477000000002</v>
      </c>
    </row>
    <row r="1151" spans="1:6">
      <c r="A1151" s="485">
        <v>423030191000</v>
      </c>
      <c r="B1151" t="s">
        <v>2607</v>
      </c>
      <c r="C1151">
        <v>5.8679000000000006</v>
      </c>
      <c r="D1151">
        <v>5.6791999999999998</v>
      </c>
      <c r="E1151">
        <v>11.5471</v>
      </c>
      <c r="F1151">
        <v>24.979399999999998</v>
      </c>
    </row>
    <row r="1152" spans="1:6">
      <c r="A1152" s="485">
        <v>423030192600</v>
      </c>
      <c r="B1152" t="s">
        <v>2608</v>
      </c>
      <c r="C1152">
        <v>0</v>
      </c>
      <c r="D1152">
        <v>0</v>
      </c>
      <c r="E1152">
        <v>0</v>
      </c>
      <c r="F1152">
        <v>410.61950000000007</v>
      </c>
    </row>
    <row r="1153" spans="1:6">
      <c r="A1153" s="485">
        <v>423030195800</v>
      </c>
      <c r="B1153" t="s">
        <v>2609</v>
      </c>
      <c r="C1153">
        <v>45.532600000000002</v>
      </c>
      <c r="D1153">
        <v>10.229999999999999</v>
      </c>
      <c r="E1153">
        <v>55.762599999999999</v>
      </c>
      <c r="F1153">
        <v>13.8131</v>
      </c>
    </row>
    <row r="1154" spans="1:6">
      <c r="A1154" s="485">
        <v>423031192000</v>
      </c>
      <c r="B1154" t="s">
        <v>2610</v>
      </c>
      <c r="C1154">
        <v>298.65710000000001</v>
      </c>
      <c r="D1154">
        <v>94.391400000000004</v>
      </c>
      <c r="E1154">
        <v>393.04849999999999</v>
      </c>
      <c r="F1154">
        <v>180.42599999999999</v>
      </c>
    </row>
    <row r="1155" spans="1:6">
      <c r="A1155" s="485">
        <v>423030199900</v>
      </c>
      <c r="B1155" t="s">
        <v>2611</v>
      </c>
      <c r="C1155">
        <v>0</v>
      </c>
      <c r="D1155">
        <v>20.257499999999997</v>
      </c>
      <c r="E1155">
        <v>20.257499999999997</v>
      </c>
      <c r="F1155">
        <v>609.47919999999999</v>
      </c>
    </row>
    <row r="1156" spans="1:6">
      <c r="A1156" s="485">
        <v>423030200500</v>
      </c>
      <c r="B1156" t="s">
        <v>2612</v>
      </c>
      <c r="C1156">
        <v>0</v>
      </c>
      <c r="D1156">
        <v>0</v>
      </c>
      <c r="E1156">
        <v>0</v>
      </c>
      <c r="F1156">
        <v>100.8389</v>
      </c>
    </row>
    <row r="1157" spans="1:6">
      <c r="A1157" s="485">
        <v>423030200900</v>
      </c>
      <c r="B1157" t="s">
        <v>2613</v>
      </c>
      <c r="C1157">
        <v>0</v>
      </c>
      <c r="D1157">
        <v>7.8475000000000001</v>
      </c>
      <c r="E1157">
        <v>7.8475000000000001</v>
      </c>
      <c r="F1157">
        <v>317.80709999999999</v>
      </c>
    </row>
    <row r="1158" spans="1:6">
      <c r="A1158" s="485">
        <v>423030275100</v>
      </c>
      <c r="B1158" t="s">
        <v>2614</v>
      </c>
      <c r="C1158">
        <v>0</v>
      </c>
      <c r="D1158">
        <v>0</v>
      </c>
      <c r="E1158">
        <v>0</v>
      </c>
      <c r="F1158">
        <v>1</v>
      </c>
    </row>
    <row r="1159" spans="1:6">
      <c r="A1159" s="485">
        <v>423030163000</v>
      </c>
      <c r="B1159" t="s">
        <v>2615</v>
      </c>
      <c r="C1159">
        <v>0</v>
      </c>
      <c r="D1159">
        <v>0</v>
      </c>
      <c r="E1159">
        <v>0</v>
      </c>
      <c r="F1159">
        <v>1558.9088999999999</v>
      </c>
    </row>
    <row r="1160" spans="1:6">
      <c r="A1160" s="485">
        <v>423030153700</v>
      </c>
      <c r="B1160" t="s">
        <v>2616</v>
      </c>
      <c r="C1160">
        <v>0</v>
      </c>
      <c r="D1160">
        <v>0</v>
      </c>
      <c r="E1160">
        <v>0</v>
      </c>
      <c r="F1160">
        <v>11.379300000000001</v>
      </c>
    </row>
    <row r="1161" spans="1:6">
      <c r="A1161" s="485">
        <v>423031242800</v>
      </c>
      <c r="B1161" t="s">
        <v>2617</v>
      </c>
      <c r="C1161">
        <v>0</v>
      </c>
      <c r="D1161">
        <v>0</v>
      </c>
      <c r="E1161">
        <v>0</v>
      </c>
      <c r="F1161">
        <v>504.8</v>
      </c>
    </row>
    <row r="1162" spans="1:6">
      <c r="A1162" s="485">
        <v>423030154000</v>
      </c>
      <c r="B1162" t="s">
        <v>2618</v>
      </c>
      <c r="C1162">
        <v>0</v>
      </c>
      <c r="D1162">
        <v>0</v>
      </c>
      <c r="E1162">
        <v>0</v>
      </c>
      <c r="F1162">
        <v>5990.6107000000002</v>
      </c>
    </row>
    <row r="1163" spans="1:6">
      <c r="A1163" s="485">
        <v>423030155400</v>
      </c>
      <c r="B1163" t="s">
        <v>2619</v>
      </c>
      <c r="C1163">
        <v>1</v>
      </c>
      <c r="D1163">
        <v>0.90720000000000001</v>
      </c>
      <c r="E1163">
        <v>1.9072</v>
      </c>
      <c r="F1163">
        <v>21.9999</v>
      </c>
    </row>
    <row r="1164" spans="1:6">
      <c r="A1164" s="485">
        <v>423030157800</v>
      </c>
      <c r="B1164" t="s">
        <v>2620</v>
      </c>
      <c r="C1164">
        <v>85.949999999999989</v>
      </c>
      <c r="D1164">
        <v>52.562399999999997</v>
      </c>
      <c r="E1164">
        <v>138.51239999999999</v>
      </c>
      <c r="F1164">
        <v>84.171899999999994</v>
      </c>
    </row>
    <row r="1165" spans="1:6">
      <c r="A1165" s="485">
        <v>423030158300</v>
      </c>
      <c r="B1165" t="s">
        <v>2621</v>
      </c>
      <c r="C1165">
        <v>13.953500000000002</v>
      </c>
      <c r="D1165">
        <v>0.30520000000000003</v>
      </c>
      <c r="E1165">
        <v>14.258700000000001</v>
      </c>
      <c r="F1165">
        <v>1094.4377999999999</v>
      </c>
    </row>
    <row r="1166" spans="1:6">
      <c r="A1166" s="485">
        <v>423030158900</v>
      </c>
      <c r="B1166" t="s">
        <v>2622</v>
      </c>
      <c r="C1166">
        <v>0</v>
      </c>
      <c r="D1166">
        <v>0</v>
      </c>
      <c r="E1166">
        <v>0</v>
      </c>
      <c r="F1166">
        <v>138.5001</v>
      </c>
    </row>
    <row r="1167" spans="1:6">
      <c r="A1167" s="485">
        <v>423030158900</v>
      </c>
      <c r="B1167" t="s">
        <v>2623</v>
      </c>
      <c r="C1167">
        <v>1.0000000000000002</v>
      </c>
      <c r="D1167">
        <v>2.8654999999999999</v>
      </c>
      <c r="E1167">
        <v>3.8654999999999999</v>
      </c>
      <c r="F1167">
        <v>46</v>
      </c>
    </row>
    <row r="1168" spans="1:6">
      <c r="A1168" s="485">
        <v>423030159900</v>
      </c>
      <c r="B1168" t="s">
        <v>2624</v>
      </c>
      <c r="C1168">
        <v>0</v>
      </c>
      <c r="D1168">
        <v>0</v>
      </c>
      <c r="E1168">
        <v>0</v>
      </c>
      <c r="F1168">
        <v>651.00009999999986</v>
      </c>
    </row>
    <row r="1169" spans="1:6">
      <c r="A1169" s="485">
        <v>423030163700</v>
      </c>
      <c r="B1169" t="s">
        <v>2625</v>
      </c>
      <c r="C1169">
        <v>30</v>
      </c>
      <c r="D1169">
        <v>0</v>
      </c>
      <c r="E1169">
        <v>30</v>
      </c>
      <c r="F1169">
        <v>29.538499999999999</v>
      </c>
    </row>
    <row r="1170" spans="1:6">
      <c r="A1170" s="485">
        <v>423030166800</v>
      </c>
      <c r="B1170" t="s">
        <v>2626</v>
      </c>
      <c r="C1170">
        <v>13.989200000000002</v>
      </c>
      <c r="D1170">
        <v>9.5121000000000002</v>
      </c>
      <c r="E1170">
        <v>23.501300000000001</v>
      </c>
      <c r="F1170">
        <v>11.0909</v>
      </c>
    </row>
    <row r="1171" spans="1:6">
      <c r="A1171" s="485">
        <v>423030167400</v>
      </c>
      <c r="B1171" t="s">
        <v>2627</v>
      </c>
      <c r="C1171">
        <v>19.107100000000003</v>
      </c>
      <c r="D1171">
        <v>2.3856000000000002</v>
      </c>
      <c r="E1171">
        <v>21.492700000000003</v>
      </c>
      <c r="F1171">
        <v>19.561699999999998</v>
      </c>
    </row>
    <row r="1172" spans="1:6">
      <c r="A1172" s="485">
        <v>423030331100</v>
      </c>
      <c r="B1172" t="s">
        <v>2628</v>
      </c>
      <c r="C1172">
        <v>568.99990000000003</v>
      </c>
      <c r="D1172">
        <v>19.4649</v>
      </c>
      <c r="E1172">
        <v>588.46479999999997</v>
      </c>
      <c r="F1172">
        <v>2.0001000000000002</v>
      </c>
    </row>
    <row r="1173" spans="1:6">
      <c r="A1173" s="485">
        <v>423030175400</v>
      </c>
      <c r="B1173" t="s">
        <v>2629</v>
      </c>
      <c r="C1173">
        <v>13.958299999999999</v>
      </c>
      <c r="D1173">
        <v>7.8239999999999998</v>
      </c>
      <c r="E1173">
        <v>21.782299999999999</v>
      </c>
      <c r="F1173">
        <v>4.4999000000000002</v>
      </c>
    </row>
    <row r="1174" spans="1:6">
      <c r="A1174" s="485">
        <v>423030159700</v>
      </c>
      <c r="B1174" t="s">
        <v>2630</v>
      </c>
      <c r="C1174">
        <v>0</v>
      </c>
      <c r="D1174">
        <v>0</v>
      </c>
      <c r="E1174">
        <v>0</v>
      </c>
      <c r="F1174">
        <v>80.285599999999988</v>
      </c>
    </row>
    <row r="1175" spans="1:6">
      <c r="A1175" s="485">
        <v>423030163100</v>
      </c>
      <c r="B1175" t="s">
        <v>2631</v>
      </c>
      <c r="C1175">
        <v>57.925899999999999</v>
      </c>
      <c r="D1175">
        <v>53.409400000000012</v>
      </c>
      <c r="E1175">
        <v>111.33530000000002</v>
      </c>
      <c r="F1175">
        <v>4.9998000000000005</v>
      </c>
    </row>
    <row r="1176" spans="1:6">
      <c r="A1176" s="485">
        <v>423030163800</v>
      </c>
      <c r="B1176" t="s">
        <v>2632</v>
      </c>
      <c r="C1176">
        <v>7.2988999999999997</v>
      </c>
      <c r="D1176">
        <v>1.3106</v>
      </c>
      <c r="E1176">
        <v>8.6095000000000006</v>
      </c>
      <c r="F1176">
        <v>0.3533</v>
      </c>
    </row>
    <row r="1177" spans="1:6">
      <c r="A1177" s="485">
        <v>423030164100</v>
      </c>
      <c r="B1177" t="s">
        <v>2633</v>
      </c>
      <c r="C1177">
        <v>1733.3571000000002</v>
      </c>
      <c r="D1177">
        <v>2912.049</v>
      </c>
      <c r="E1177">
        <v>4645.4061000000002</v>
      </c>
      <c r="F1177">
        <v>21.779299999999999</v>
      </c>
    </row>
    <row r="1178" spans="1:6">
      <c r="A1178" s="485">
        <v>423030164700</v>
      </c>
      <c r="B1178" t="s">
        <v>2634</v>
      </c>
      <c r="C1178">
        <v>23.604599999999998</v>
      </c>
      <c r="D1178">
        <v>2.1901000000000002</v>
      </c>
      <c r="E1178">
        <v>25.794699999999999</v>
      </c>
      <c r="F1178">
        <v>0</v>
      </c>
    </row>
    <row r="1179" spans="1:6">
      <c r="A1179" s="485">
        <v>423030166300</v>
      </c>
      <c r="B1179" t="s">
        <v>2635</v>
      </c>
      <c r="C1179">
        <v>463.71419999999995</v>
      </c>
      <c r="D1179">
        <v>50.813000000000002</v>
      </c>
      <c r="E1179">
        <v>514.52719999999999</v>
      </c>
      <c r="F1179">
        <v>800.00010000000009</v>
      </c>
    </row>
    <row r="1180" spans="1:6">
      <c r="A1180" s="485">
        <v>423030167500</v>
      </c>
      <c r="B1180" t="s">
        <v>2636</v>
      </c>
      <c r="C1180">
        <v>111.10129999999998</v>
      </c>
      <c r="D1180">
        <v>117.35360000000001</v>
      </c>
      <c r="E1180">
        <v>228.45490000000001</v>
      </c>
      <c r="F1180">
        <v>3.7765999999999997</v>
      </c>
    </row>
    <row r="1181" spans="1:6">
      <c r="A1181" s="485">
        <v>423030169500</v>
      </c>
      <c r="B1181" t="s">
        <v>2637</v>
      </c>
      <c r="C1181">
        <v>19.540999999999993</v>
      </c>
      <c r="D1181">
        <v>0.72799999999999998</v>
      </c>
      <c r="E1181">
        <v>20.268999999999995</v>
      </c>
      <c r="F1181">
        <v>4.8499999999999996</v>
      </c>
    </row>
    <row r="1182" spans="1:6">
      <c r="A1182" s="485">
        <v>423030168300</v>
      </c>
      <c r="B1182" t="s">
        <v>2638</v>
      </c>
      <c r="C1182">
        <v>0.5796</v>
      </c>
      <c r="D1182">
        <v>3.5796000000000006</v>
      </c>
      <c r="E1182">
        <v>4.1592000000000002</v>
      </c>
      <c r="F1182">
        <v>0.99990000000000001</v>
      </c>
    </row>
    <row r="1183" spans="1:6">
      <c r="A1183" s="485">
        <v>423030170200</v>
      </c>
      <c r="B1183" t="s">
        <v>2639</v>
      </c>
      <c r="C1183">
        <v>49.999800000000008</v>
      </c>
      <c r="D1183">
        <v>0</v>
      </c>
      <c r="E1183">
        <v>49.999800000000008</v>
      </c>
      <c r="F1183">
        <v>0.68820000000000003</v>
      </c>
    </row>
    <row r="1184" spans="1:6">
      <c r="A1184" s="485">
        <v>423030170200</v>
      </c>
      <c r="B1184" t="s">
        <v>2640</v>
      </c>
      <c r="C1184">
        <v>82.021900000000002</v>
      </c>
      <c r="D1184">
        <v>0</v>
      </c>
      <c r="E1184">
        <v>82.021900000000002</v>
      </c>
      <c r="F1184">
        <v>36.999899999999997</v>
      </c>
    </row>
    <row r="1185" spans="1:6">
      <c r="A1185" s="485">
        <v>423031145800</v>
      </c>
      <c r="B1185" t="s">
        <v>2641</v>
      </c>
      <c r="C1185">
        <v>266.8186</v>
      </c>
      <c r="D1185">
        <v>77.124099999999999</v>
      </c>
      <c r="E1185">
        <v>343.9427</v>
      </c>
      <c r="F1185">
        <v>4.0968</v>
      </c>
    </row>
    <row r="1186" spans="1:6">
      <c r="A1186" s="485">
        <v>423030172400</v>
      </c>
      <c r="B1186" t="s">
        <v>2642</v>
      </c>
      <c r="C1186">
        <v>35.666799999999995</v>
      </c>
      <c r="D1186">
        <v>86.845699999999994</v>
      </c>
      <c r="E1186">
        <v>122.51249999999999</v>
      </c>
      <c r="F1186">
        <v>4254</v>
      </c>
    </row>
    <row r="1187" spans="1:6">
      <c r="A1187" s="485">
        <v>423030172800</v>
      </c>
      <c r="B1187" t="s">
        <v>2643</v>
      </c>
      <c r="C1187">
        <v>36.637599999999999</v>
      </c>
      <c r="D1187">
        <v>43.441200000000002</v>
      </c>
      <c r="E1187">
        <v>80.078800000000001</v>
      </c>
      <c r="F1187">
        <v>4.8499999999999996</v>
      </c>
    </row>
    <row r="1188" spans="1:6">
      <c r="A1188" s="485">
        <v>423030173700</v>
      </c>
      <c r="B1188" t="s">
        <v>2644</v>
      </c>
      <c r="C1188">
        <v>827.96379999999988</v>
      </c>
      <c r="D1188">
        <v>1055.3900000000001</v>
      </c>
      <c r="E1188">
        <v>1883.3537999999999</v>
      </c>
      <c r="F1188">
        <v>4.8499999999999996</v>
      </c>
    </row>
    <row r="1189" spans="1:6">
      <c r="A1189" s="485">
        <v>423030173800</v>
      </c>
      <c r="B1189" t="s">
        <v>2645</v>
      </c>
      <c r="C1189">
        <v>3.0313999999999997</v>
      </c>
      <c r="D1189">
        <v>0.10919999999999999</v>
      </c>
      <c r="E1189">
        <v>3.1405999999999996</v>
      </c>
      <c r="F1189">
        <v>1</v>
      </c>
    </row>
    <row r="1190" spans="1:6">
      <c r="A1190" s="485">
        <v>423030177300</v>
      </c>
      <c r="B1190" t="s">
        <v>2646</v>
      </c>
      <c r="C1190">
        <v>0</v>
      </c>
      <c r="D1190">
        <v>0</v>
      </c>
      <c r="E1190">
        <v>0</v>
      </c>
      <c r="F1190">
        <v>0</v>
      </c>
    </row>
    <row r="1191" spans="1:6">
      <c r="A1191" s="485">
        <v>423030167000</v>
      </c>
      <c r="B1191" t="s">
        <v>2647</v>
      </c>
      <c r="C1191">
        <v>0</v>
      </c>
      <c r="D1191">
        <v>0</v>
      </c>
      <c r="E1191">
        <v>0</v>
      </c>
      <c r="F1191">
        <v>0</v>
      </c>
    </row>
    <row r="1192" spans="1:6">
      <c r="A1192" s="485">
        <v>423030179900</v>
      </c>
      <c r="B1192" t="s">
        <v>2648</v>
      </c>
      <c r="C1192">
        <v>482.58690000000001</v>
      </c>
      <c r="D1192">
        <v>755.15300000000002</v>
      </c>
      <c r="E1192">
        <v>1237.7399</v>
      </c>
      <c r="F1192">
        <v>44.257999999999996</v>
      </c>
    </row>
    <row r="1193" spans="1:6">
      <c r="A1193" s="485">
        <v>423030180200</v>
      </c>
      <c r="B1193" t="s">
        <v>2649</v>
      </c>
      <c r="C1193">
        <v>3.3261000000000003</v>
      </c>
      <c r="D1193">
        <v>2.3108</v>
      </c>
      <c r="E1193">
        <v>5.6369000000000007</v>
      </c>
      <c r="F1193">
        <v>2950.9998999999998</v>
      </c>
    </row>
    <row r="1194" spans="1:6">
      <c r="A1194" s="485">
        <v>423030165000</v>
      </c>
      <c r="B1194" t="s">
        <v>2650</v>
      </c>
      <c r="C1194">
        <v>0</v>
      </c>
      <c r="D1194">
        <v>0</v>
      </c>
      <c r="E1194">
        <v>0</v>
      </c>
      <c r="F1194">
        <v>1923</v>
      </c>
    </row>
    <row r="1195" spans="1:6">
      <c r="A1195" s="485">
        <v>423030167600</v>
      </c>
      <c r="B1195" t="s">
        <v>2651</v>
      </c>
      <c r="C1195">
        <v>0</v>
      </c>
      <c r="D1195">
        <v>0</v>
      </c>
      <c r="E1195">
        <v>0</v>
      </c>
      <c r="F1195">
        <v>36.158799999999999</v>
      </c>
    </row>
    <row r="1196" spans="1:6">
      <c r="A1196" s="485">
        <v>423030180400</v>
      </c>
      <c r="B1196" t="s">
        <v>2652</v>
      </c>
      <c r="C1196">
        <v>0</v>
      </c>
      <c r="D1196">
        <v>0</v>
      </c>
      <c r="E1196">
        <v>0</v>
      </c>
      <c r="F1196">
        <v>2.8455000000000004</v>
      </c>
    </row>
    <row r="1197" spans="1:6">
      <c r="A1197" s="485">
        <v>423030180400</v>
      </c>
      <c r="B1197" t="s">
        <v>2653</v>
      </c>
      <c r="C1197">
        <v>43.953499999999998</v>
      </c>
      <c r="D1197">
        <v>11.516400000000001</v>
      </c>
      <c r="E1197">
        <v>55.469899999999996</v>
      </c>
      <c r="F1197">
        <v>2</v>
      </c>
    </row>
    <row r="1198" spans="1:6">
      <c r="A1198" s="485">
        <v>423030180500</v>
      </c>
      <c r="B1198" t="s">
        <v>2654</v>
      </c>
      <c r="C1198">
        <v>2</v>
      </c>
      <c r="D1198">
        <v>1.3031999999999999</v>
      </c>
      <c r="E1198">
        <v>3.3031999999999999</v>
      </c>
      <c r="F1198">
        <v>1347</v>
      </c>
    </row>
    <row r="1199" spans="1:6">
      <c r="A1199" s="485">
        <v>423030168600</v>
      </c>
      <c r="B1199" t="s">
        <v>2655</v>
      </c>
      <c r="C1199">
        <v>103.28099999999999</v>
      </c>
      <c r="D1199">
        <v>75.702399999999997</v>
      </c>
      <c r="E1199">
        <v>178.98339999999999</v>
      </c>
      <c r="F1199">
        <v>196</v>
      </c>
    </row>
    <row r="1200" spans="1:6">
      <c r="A1200" s="485">
        <v>423030169200</v>
      </c>
      <c r="B1200" t="s">
        <v>2656</v>
      </c>
      <c r="C1200">
        <v>11.9999</v>
      </c>
      <c r="D1200">
        <v>35.323799999999999</v>
      </c>
      <c r="E1200">
        <v>47.323700000000002</v>
      </c>
      <c r="F1200">
        <v>3.2300000000000002E-2</v>
      </c>
    </row>
    <row r="1201" spans="1:6">
      <c r="A1201" s="485">
        <v>423030169600</v>
      </c>
      <c r="B1201" t="s">
        <v>2657</v>
      </c>
      <c r="C1201">
        <v>0</v>
      </c>
      <c r="D1201">
        <v>0</v>
      </c>
      <c r="E1201">
        <v>0</v>
      </c>
      <c r="F1201">
        <v>3.9399999999999998E-2</v>
      </c>
    </row>
    <row r="1202" spans="1:6">
      <c r="A1202" s="485">
        <v>423030169900</v>
      </c>
      <c r="B1202" t="s">
        <v>2658</v>
      </c>
      <c r="C1202">
        <v>0</v>
      </c>
      <c r="D1202">
        <v>0</v>
      </c>
      <c r="E1202">
        <v>0</v>
      </c>
      <c r="F1202">
        <v>92.793700000000015</v>
      </c>
    </row>
    <row r="1203" spans="1:6">
      <c r="A1203" s="485">
        <v>423030169900</v>
      </c>
      <c r="B1203" t="s">
        <v>2659</v>
      </c>
      <c r="C1203">
        <v>4.1723999999999997</v>
      </c>
      <c r="D1203">
        <v>6.6096000000000004</v>
      </c>
      <c r="E1203">
        <v>10.782</v>
      </c>
      <c r="F1203">
        <v>21</v>
      </c>
    </row>
    <row r="1204" spans="1:6">
      <c r="A1204" s="485">
        <v>423030170400</v>
      </c>
      <c r="B1204" t="s">
        <v>2660</v>
      </c>
      <c r="C1204">
        <v>0.16470000000000001</v>
      </c>
      <c r="D1204">
        <v>1.2358000000000002</v>
      </c>
      <c r="E1204">
        <v>1.4005000000000003</v>
      </c>
      <c r="F1204">
        <v>1.8915000000000002</v>
      </c>
    </row>
    <row r="1205" spans="1:6">
      <c r="A1205" s="485">
        <v>423030203200</v>
      </c>
      <c r="B1205" t="s">
        <v>2661</v>
      </c>
      <c r="C1205">
        <v>0</v>
      </c>
      <c r="D1205">
        <v>0</v>
      </c>
      <c r="E1205">
        <v>0</v>
      </c>
      <c r="F1205">
        <v>0</v>
      </c>
    </row>
    <row r="1206" spans="1:6">
      <c r="A1206" s="485">
        <v>423030192800</v>
      </c>
      <c r="B1206" t="s">
        <v>2662</v>
      </c>
      <c r="C1206">
        <v>0</v>
      </c>
      <c r="D1206">
        <v>3.9784999999999995</v>
      </c>
      <c r="E1206">
        <v>3.9784999999999995</v>
      </c>
      <c r="F1206">
        <v>0.3226</v>
      </c>
    </row>
    <row r="1207" spans="1:6">
      <c r="A1207" s="485">
        <v>423030193100</v>
      </c>
      <c r="B1207" t="s">
        <v>2663</v>
      </c>
      <c r="C1207">
        <v>0.92849999999999999</v>
      </c>
      <c r="D1207">
        <v>0.18909999999999999</v>
      </c>
      <c r="E1207">
        <v>1.1175999999999999</v>
      </c>
      <c r="F1207">
        <v>0.67930000000000001</v>
      </c>
    </row>
    <row r="1208" spans="1:6">
      <c r="A1208" s="485">
        <v>423030193100</v>
      </c>
      <c r="B1208" t="s">
        <v>2664</v>
      </c>
      <c r="C1208">
        <v>3</v>
      </c>
      <c r="D1208">
        <v>0.78539999999999999</v>
      </c>
      <c r="E1208">
        <v>3.7854000000000001</v>
      </c>
      <c r="F1208">
        <v>6.7333999999999996</v>
      </c>
    </row>
    <row r="1209" spans="1:6">
      <c r="A1209" s="485">
        <v>423030193400</v>
      </c>
      <c r="B1209" t="s">
        <v>2665</v>
      </c>
      <c r="C1209">
        <v>1</v>
      </c>
      <c r="D1209">
        <v>0.41310000000000002</v>
      </c>
      <c r="E1209">
        <v>1.4131</v>
      </c>
      <c r="F1209">
        <v>234.9999</v>
      </c>
    </row>
    <row r="1210" spans="1:6">
      <c r="A1210" s="485">
        <v>423030193500</v>
      </c>
      <c r="B1210" t="s">
        <v>2666</v>
      </c>
      <c r="C1210">
        <v>0</v>
      </c>
      <c r="D1210">
        <v>0</v>
      </c>
      <c r="E1210">
        <v>0</v>
      </c>
      <c r="F1210">
        <v>37</v>
      </c>
    </row>
    <row r="1211" spans="1:6">
      <c r="A1211" s="485">
        <v>423030194400</v>
      </c>
      <c r="B1211" t="s">
        <v>2667</v>
      </c>
      <c r="C1211">
        <v>0</v>
      </c>
      <c r="D1211">
        <v>0</v>
      </c>
      <c r="E1211">
        <v>0</v>
      </c>
      <c r="F1211">
        <v>2</v>
      </c>
    </row>
    <row r="1212" spans="1:6">
      <c r="A1212" s="485">
        <v>423030194800</v>
      </c>
      <c r="B1212" t="s">
        <v>2668</v>
      </c>
      <c r="C1212">
        <v>0</v>
      </c>
      <c r="D1212">
        <v>0</v>
      </c>
      <c r="E1212">
        <v>0</v>
      </c>
      <c r="F1212">
        <v>88.285699999999991</v>
      </c>
    </row>
    <row r="1213" spans="1:6">
      <c r="A1213" s="485">
        <v>423030195400</v>
      </c>
      <c r="B1213" t="s">
        <v>2669</v>
      </c>
      <c r="C1213">
        <v>0</v>
      </c>
      <c r="D1213">
        <v>0</v>
      </c>
      <c r="E1213">
        <v>0</v>
      </c>
      <c r="F1213">
        <v>84.6965</v>
      </c>
    </row>
    <row r="1214" spans="1:6">
      <c r="A1214" s="485">
        <v>423031290400</v>
      </c>
      <c r="B1214" t="s">
        <v>2670</v>
      </c>
      <c r="C1214">
        <v>0</v>
      </c>
      <c r="D1214">
        <v>0</v>
      </c>
      <c r="E1214">
        <v>0</v>
      </c>
      <c r="F1214">
        <v>15.588200000000001</v>
      </c>
    </row>
    <row r="1215" spans="1:6">
      <c r="A1215" s="485">
        <v>423030197100</v>
      </c>
      <c r="B1215" t="s">
        <v>2671</v>
      </c>
      <c r="C1215">
        <v>0</v>
      </c>
      <c r="D1215">
        <v>0</v>
      </c>
      <c r="E1215">
        <v>0</v>
      </c>
      <c r="F1215">
        <v>2</v>
      </c>
    </row>
    <row r="1216" spans="1:6">
      <c r="A1216" s="485">
        <v>423030197300</v>
      </c>
      <c r="B1216" t="s">
        <v>2672</v>
      </c>
      <c r="C1216">
        <v>0</v>
      </c>
      <c r="D1216">
        <v>0</v>
      </c>
      <c r="E1216">
        <v>0</v>
      </c>
      <c r="F1216">
        <v>57.625099999999996</v>
      </c>
    </row>
    <row r="1217" spans="1:6">
      <c r="A1217" s="485">
        <v>423030197400</v>
      </c>
      <c r="B1217" t="s">
        <v>2673</v>
      </c>
      <c r="C1217">
        <v>0</v>
      </c>
      <c r="D1217">
        <v>0</v>
      </c>
      <c r="E1217">
        <v>0</v>
      </c>
      <c r="F1217">
        <v>104.52740000000001</v>
      </c>
    </row>
    <row r="1218" spans="1:6">
      <c r="A1218" s="485">
        <v>423030331300</v>
      </c>
      <c r="B1218" t="s">
        <v>2674</v>
      </c>
      <c r="C1218">
        <v>0</v>
      </c>
      <c r="D1218">
        <v>0</v>
      </c>
      <c r="E1218">
        <v>0</v>
      </c>
      <c r="F1218">
        <v>53.000100000000003</v>
      </c>
    </row>
    <row r="1219" spans="1:6">
      <c r="A1219" s="485">
        <v>423030200200</v>
      </c>
      <c r="B1219" t="s">
        <v>2675</v>
      </c>
      <c r="C1219">
        <v>0</v>
      </c>
      <c r="D1219">
        <v>0</v>
      </c>
      <c r="E1219">
        <v>0</v>
      </c>
      <c r="F1219">
        <v>146.99979999999999</v>
      </c>
    </row>
    <row r="1220" spans="1:6">
      <c r="A1220" s="485">
        <v>423030201400</v>
      </c>
      <c r="B1220" t="s">
        <v>2676</v>
      </c>
      <c r="C1220">
        <v>0</v>
      </c>
      <c r="D1220">
        <v>0</v>
      </c>
      <c r="E1220">
        <v>0</v>
      </c>
      <c r="F1220">
        <v>131</v>
      </c>
    </row>
    <row r="1221" spans="1:6">
      <c r="A1221" s="485">
        <v>423030201400</v>
      </c>
      <c r="B1221" t="s">
        <v>2677</v>
      </c>
      <c r="C1221">
        <v>34.775399999999998</v>
      </c>
      <c r="D1221">
        <v>45.312199999999997</v>
      </c>
      <c r="E1221">
        <v>80.087599999999995</v>
      </c>
      <c r="F1221">
        <v>1</v>
      </c>
    </row>
    <row r="1222" spans="1:6">
      <c r="A1222" s="485">
        <v>423030202200</v>
      </c>
      <c r="B1222" t="s">
        <v>2678</v>
      </c>
      <c r="C1222">
        <v>0</v>
      </c>
      <c r="D1222">
        <v>0</v>
      </c>
      <c r="E1222">
        <v>0</v>
      </c>
      <c r="F1222">
        <v>24.736899999999999</v>
      </c>
    </row>
    <row r="1223" spans="1:6">
      <c r="A1223" s="485">
        <v>423030208100</v>
      </c>
      <c r="B1223" t="s">
        <v>2679</v>
      </c>
      <c r="C1223">
        <v>4.1576000000000004</v>
      </c>
      <c r="D1223">
        <v>2.8832</v>
      </c>
      <c r="E1223">
        <v>7.0408000000000008</v>
      </c>
      <c r="F1223">
        <v>538</v>
      </c>
    </row>
    <row r="1224" spans="1:6">
      <c r="A1224" s="485">
        <v>423030208300</v>
      </c>
      <c r="B1224" t="s">
        <v>2680</v>
      </c>
      <c r="C1224">
        <v>0</v>
      </c>
      <c r="D1224">
        <v>126.6185</v>
      </c>
      <c r="E1224">
        <v>126.6185</v>
      </c>
      <c r="F1224">
        <v>208.28059999999999</v>
      </c>
    </row>
    <row r="1225" spans="1:6">
      <c r="A1225" s="485">
        <v>423030208600</v>
      </c>
      <c r="B1225" t="s">
        <v>2681</v>
      </c>
      <c r="C1225">
        <v>3.7672999999999996</v>
      </c>
      <c r="D1225">
        <v>7.8045999999999998</v>
      </c>
      <c r="E1225">
        <v>11.571899999999999</v>
      </c>
      <c r="F1225">
        <v>7.3477999999999994</v>
      </c>
    </row>
    <row r="1226" spans="1:6">
      <c r="A1226" s="485">
        <v>423030210900</v>
      </c>
      <c r="B1226" t="s">
        <v>2682</v>
      </c>
      <c r="C1226">
        <v>1</v>
      </c>
      <c r="D1226">
        <v>2.8206999999999995</v>
      </c>
      <c r="E1226">
        <v>3.8206999999999995</v>
      </c>
      <c r="F1226">
        <v>2</v>
      </c>
    </row>
    <row r="1227" spans="1:6">
      <c r="A1227" s="485">
        <v>423030213800</v>
      </c>
      <c r="B1227" t="s">
        <v>2683</v>
      </c>
      <c r="C1227">
        <v>7.3635999999999999</v>
      </c>
      <c r="D1227">
        <v>6.3404000000000007</v>
      </c>
      <c r="E1227">
        <v>13.704000000000001</v>
      </c>
      <c r="F1227">
        <v>1</v>
      </c>
    </row>
    <row r="1228" spans="1:6">
      <c r="A1228" s="485">
        <v>423030218200</v>
      </c>
      <c r="B1228" t="s">
        <v>2684</v>
      </c>
      <c r="C1228">
        <v>0</v>
      </c>
      <c r="D1228">
        <v>0</v>
      </c>
      <c r="E1228">
        <v>0</v>
      </c>
      <c r="F1228">
        <v>42</v>
      </c>
    </row>
    <row r="1229" spans="1:6">
      <c r="A1229" s="485">
        <v>423030218200</v>
      </c>
      <c r="B1229" t="s">
        <v>2685</v>
      </c>
      <c r="C1229">
        <v>43.1676</v>
      </c>
      <c r="D1229">
        <v>87.059200000000004</v>
      </c>
      <c r="E1229">
        <v>130.2268</v>
      </c>
      <c r="F1229">
        <v>4.4066000000000001</v>
      </c>
    </row>
    <row r="1230" spans="1:6">
      <c r="A1230" s="485">
        <v>423030218600</v>
      </c>
      <c r="B1230" t="s">
        <v>2686</v>
      </c>
      <c r="C1230">
        <v>0</v>
      </c>
      <c r="D1230">
        <v>2.8834999999999997</v>
      </c>
      <c r="E1230">
        <v>2.8834999999999997</v>
      </c>
      <c r="F1230">
        <v>6009</v>
      </c>
    </row>
    <row r="1231" spans="1:6">
      <c r="A1231" s="485">
        <v>423030219100</v>
      </c>
      <c r="B1231" t="s">
        <v>2687</v>
      </c>
      <c r="C1231">
        <v>0</v>
      </c>
      <c r="D1231">
        <v>0</v>
      </c>
      <c r="E1231">
        <v>0</v>
      </c>
      <c r="F1231">
        <v>5.6822000000000008</v>
      </c>
    </row>
    <row r="1232" spans="1:6">
      <c r="A1232" s="485">
        <v>423030202100</v>
      </c>
      <c r="B1232" t="s">
        <v>2688</v>
      </c>
      <c r="C1232">
        <v>0</v>
      </c>
      <c r="D1232">
        <v>753.1774999999999</v>
      </c>
      <c r="E1232">
        <v>753.1774999999999</v>
      </c>
      <c r="F1232">
        <v>4055.3391000000001</v>
      </c>
    </row>
    <row r="1233" spans="1:6">
      <c r="A1233" s="485">
        <v>423030202700</v>
      </c>
      <c r="B1233" t="s">
        <v>2689</v>
      </c>
      <c r="C1233">
        <v>0</v>
      </c>
      <c r="D1233">
        <v>0</v>
      </c>
      <c r="E1233">
        <v>0</v>
      </c>
      <c r="F1233">
        <v>650.39460000000008</v>
      </c>
    </row>
    <row r="1234" spans="1:6">
      <c r="A1234" s="485">
        <v>423030209400</v>
      </c>
      <c r="B1234" t="s">
        <v>2690</v>
      </c>
      <c r="C1234">
        <v>122.00000000000001</v>
      </c>
      <c r="D1234">
        <v>246.79019999999997</v>
      </c>
      <c r="E1234">
        <v>368.79019999999997</v>
      </c>
      <c r="F1234">
        <v>0.99999999999999989</v>
      </c>
    </row>
    <row r="1235" spans="1:6">
      <c r="A1235" s="485">
        <v>423030215900</v>
      </c>
      <c r="B1235" t="s">
        <v>2691</v>
      </c>
      <c r="C1235">
        <v>0</v>
      </c>
      <c r="D1235">
        <v>0</v>
      </c>
      <c r="E1235">
        <v>0</v>
      </c>
      <c r="F1235">
        <v>97.307599999999994</v>
      </c>
    </row>
    <row r="1236" spans="1:6">
      <c r="A1236" s="485">
        <v>423030215900</v>
      </c>
      <c r="B1236" t="s">
        <v>2692</v>
      </c>
      <c r="C1236">
        <v>3.6362999999999999</v>
      </c>
      <c r="D1236">
        <v>4.1184000000000003</v>
      </c>
      <c r="E1236">
        <v>7.7546999999999997</v>
      </c>
      <c r="F1236">
        <v>1</v>
      </c>
    </row>
    <row r="1237" spans="1:6">
      <c r="A1237" s="485">
        <v>423030204600</v>
      </c>
      <c r="B1237" t="s">
        <v>2693</v>
      </c>
      <c r="C1237">
        <v>1604.8902</v>
      </c>
      <c r="D1237">
        <v>239.94160000000002</v>
      </c>
      <c r="E1237">
        <v>1844.8318000000002</v>
      </c>
      <c r="F1237">
        <v>285.45</v>
      </c>
    </row>
    <row r="1238" spans="1:6">
      <c r="A1238" s="485">
        <v>423030205600</v>
      </c>
      <c r="B1238" t="s">
        <v>2694</v>
      </c>
      <c r="C1238">
        <v>0</v>
      </c>
      <c r="D1238">
        <v>0</v>
      </c>
      <c r="E1238">
        <v>0</v>
      </c>
      <c r="F1238">
        <v>8.0000999999999998</v>
      </c>
    </row>
    <row r="1239" spans="1:6">
      <c r="A1239" s="485">
        <v>423030205900</v>
      </c>
      <c r="B1239" t="s">
        <v>2695</v>
      </c>
      <c r="C1239">
        <v>0.45569999999999999</v>
      </c>
      <c r="D1239">
        <v>0.54540000000000011</v>
      </c>
      <c r="E1239">
        <v>1.0011000000000001</v>
      </c>
      <c r="F1239">
        <v>3.0002000000000004</v>
      </c>
    </row>
    <row r="1240" spans="1:6">
      <c r="A1240" s="485">
        <v>423030206200</v>
      </c>
      <c r="B1240" t="s">
        <v>2696</v>
      </c>
      <c r="C1240">
        <v>2</v>
      </c>
      <c r="D1240">
        <v>1.1879999999999999</v>
      </c>
      <c r="E1240">
        <v>3.1879999999999997</v>
      </c>
      <c r="F1240">
        <v>69.648399999999995</v>
      </c>
    </row>
    <row r="1241" spans="1:6">
      <c r="A1241" s="485">
        <v>423030238300</v>
      </c>
      <c r="B1241" t="s">
        <v>2697</v>
      </c>
      <c r="C1241">
        <v>110.89879999999999</v>
      </c>
      <c r="D1241">
        <v>62.518799999999999</v>
      </c>
      <c r="E1241">
        <v>173.41759999999999</v>
      </c>
      <c r="F1241">
        <v>56.999900000000004</v>
      </c>
    </row>
    <row r="1242" spans="1:6">
      <c r="A1242" s="485">
        <v>423030207200</v>
      </c>
      <c r="B1242" t="s">
        <v>2698</v>
      </c>
      <c r="C1242">
        <v>0</v>
      </c>
      <c r="D1242">
        <v>0</v>
      </c>
      <c r="E1242">
        <v>0</v>
      </c>
      <c r="F1242">
        <v>0.56310000000000004</v>
      </c>
    </row>
    <row r="1243" spans="1:6">
      <c r="A1243" s="485">
        <v>423030207800</v>
      </c>
      <c r="B1243" t="s">
        <v>2699</v>
      </c>
      <c r="C1243">
        <v>0</v>
      </c>
      <c r="D1243">
        <v>0</v>
      </c>
      <c r="E1243">
        <v>0</v>
      </c>
      <c r="F1243">
        <v>147.0001</v>
      </c>
    </row>
    <row r="1244" spans="1:6">
      <c r="A1244" s="485">
        <v>423030208800</v>
      </c>
      <c r="B1244" t="s">
        <v>2700</v>
      </c>
      <c r="C1244">
        <v>279.26949999999999</v>
      </c>
      <c r="D1244">
        <v>61.1342</v>
      </c>
      <c r="E1244">
        <v>340.40370000000001</v>
      </c>
      <c r="F1244">
        <v>59</v>
      </c>
    </row>
    <row r="1245" spans="1:6">
      <c r="A1245" s="485">
        <v>423030209300</v>
      </c>
      <c r="B1245" t="s">
        <v>2701</v>
      </c>
      <c r="C1245">
        <v>156.60459999999998</v>
      </c>
      <c r="D1245">
        <v>57.950100000000006</v>
      </c>
      <c r="E1245">
        <v>214.55469999999997</v>
      </c>
      <c r="F1245">
        <v>1</v>
      </c>
    </row>
    <row r="1246" spans="1:6">
      <c r="A1246" s="485">
        <v>423030211300</v>
      </c>
      <c r="B1246" t="s">
        <v>2702</v>
      </c>
      <c r="C1246">
        <v>0</v>
      </c>
      <c r="D1246">
        <v>0</v>
      </c>
      <c r="E1246">
        <v>0</v>
      </c>
      <c r="F1246">
        <v>103.38139999999999</v>
      </c>
    </row>
    <row r="1247" spans="1:6">
      <c r="A1247" s="485">
        <v>423030212500</v>
      </c>
      <c r="B1247" t="s">
        <v>2703</v>
      </c>
      <c r="C1247">
        <v>5.7466000000000008</v>
      </c>
      <c r="D1247">
        <v>3.8280000000000003</v>
      </c>
      <c r="E1247">
        <v>9.5746000000000002</v>
      </c>
      <c r="F1247">
        <v>1088.011</v>
      </c>
    </row>
    <row r="1248" spans="1:6">
      <c r="A1248" s="485">
        <v>423030214200</v>
      </c>
      <c r="B1248" t="s">
        <v>2704</v>
      </c>
      <c r="C1248">
        <v>15.000100000000003</v>
      </c>
      <c r="D1248">
        <v>2.0020000000000002</v>
      </c>
      <c r="E1248">
        <v>17.002100000000002</v>
      </c>
      <c r="F1248">
        <v>2</v>
      </c>
    </row>
    <row r="1249" spans="1:6">
      <c r="A1249" s="485">
        <v>423031014400</v>
      </c>
      <c r="B1249">
        <v>202530810</v>
      </c>
      <c r="C1249">
        <v>1702.1875</v>
      </c>
      <c r="D1249">
        <v>889.07500000000005</v>
      </c>
      <c r="E1249">
        <v>2591.2624999999998</v>
      </c>
      <c r="F1249">
        <v>42.049599999999998</v>
      </c>
    </row>
    <row r="1250" spans="1:6">
      <c r="A1250" s="485">
        <v>423031014400</v>
      </c>
      <c r="B1250" t="s">
        <v>2705</v>
      </c>
      <c r="C1250">
        <v>51.375099999999996</v>
      </c>
      <c r="D1250">
        <v>23.237300000000001</v>
      </c>
      <c r="E1250">
        <v>74.612399999999994</v>
      </c>
      <c r="F1250">
        <v>39.684100000000001</v>
      </c>
    </row>
    <row r="1251" spans="1:6">
      <c r="A1251" s="485">
        <v>423030219000</v>
      </c>
      <c r="B1251" t="s">
        <v>2706</v>
      </c>
      <c r="C1251">
        <v>0</v>
      </c>
      <c r="D1251">
        <v>0</v>
      </c>
      <c r="E1251">
        <v>0</v>
      </c>
      <c r="F1251">
        <v>3.6486000000000001</v>
      </c>
    </row>
    <row r="1252" spans="1:6">
      <c r="A1252" s="485">
        <v>423030223200</v>
      </c>
      <c r="B1252" t="s">
        <v>2707</v>
      </c>
      <c r="C1252">
        <v>0</v>
      </c>
      <c r="D1252">
        <v>0</v>
      </c>
      <c r="E1252">
        <v>0</v>
      </c>
      <c r="F1252">
        <v>5</v>
      </c>
    </row>
    <row r="1253" spans="1:6">
      <c r="A1253" s="485">
        <v>423030223400</v>
      </c>
      <c r="B1253" t="s">
        <v>2708</v>
      </c>
      <c r="C1253">
        <v>0</v>
      </c>
      <c r="D1253">
        <v>0</v>
      </c>
      <c r="E1253">
        <v>0</v>
      </c>
      <c r="F1253">
        <v>20.904399999999999</v>
      </c>
    </row>
    <row r="1254" spans="1:6">
      <c r="A1254" s="485">
        <v>423030223900</v>
      </c>
      <c r="B1254" t="s">
        <v>2709</v>
      </c>
      <c r="C1254">
        <v>0</v>
      </c>
      <c r="D1254">
        <v>0</v>
      </c>
      <c r="E1254">
        <v>0</v>
      </c>
      <c r="F1254">
        <v>5.0672999999999995</v>
      </c>
    </row>
    <row r="1255" spans="1:6">
      <c r="A1255" s="485">
        <v>423030266800</v>
      </c>
      <c r="B1255" t="s">
        <v>2710</v>
      </c>
      <c r="C1255">
        <v>83.184399999999997</v>
      </c>
      <c r="D1255">
        <v>36.144199999999998</v>
      </c>
      <c r="E1255">
        <v>119.32859999999999</v>
      </c>
      <c r="F1255">
        <v>410.18180000000001</v>
      </c>
    </row>
    <row r="1256" spans="1:6">
      <c r="A1256" s="485">
        <v>423030224400</v>
      </c>
      <c r="B1256" t="s">
        <v>2711</v>
      </c>
      <c r="C1256">
        <v>37.058799999999998</v>
      </c>
      <c r="D1256">
        <v>4.7286000000000001</v>
      </c>
      <c r="E1256">
        <v>41.787399999999998</v>
      </c>
      <c r="F1256">
        <v>1</v>
      </c>
    </row>
    <row r="1257" spans="1:6">
      <c r="A1257" s="485">
        <v>423030224600</v>
      </c>
      <c r="B1257" t="s">
        <v>2712</v>
      </c>
      <c r="C1257">
        <v>0</v>
      </c>
      <c r="D1257">
        <v>8.285499999999999</v>
      </c>
      <c r="E1257">
        <v>8.285499999999999</v>
      </c>
      <c r="F1257">
        <v>0.9998999999999999</v>
      </c>
    </row>
    <row r="1258" spans="1:6">
      <c r="A1258" s="485">
        <v>423030275600</v>
      </c>
      <c r="B1258" t="s">
        <v>2713</v>
      </c>
      <c r="C1258">
        <v>22775.599999999999</v>
      </c>
      <c r="D1258">
        <v>9076.6144000000004</v>
      </c>
      <c r="E1258">
        <v>31852.214399999997</v>
      </c>
      <c r="F1258">
        <v>22</v>
      </c>
    </row>
    <row r="1259" spans="1:6">
      <c r="A1259" s="485">
        <v>423030275600</v>
      </c>
      <c r="B1259" t="s">
        <v>2714</v>
      </c>
      <c r="C1259">
        <v>1878</v>
      </c>
      <c r="D1259">
        <v>0</v>
      </c>
      <c r="E1259">
        <v>1878</v>
      </c>
      <c r="F1259">
        <v>23.055499999999999</v>
      </c>
    </row>
    <row r="1260" spans="1:6">
      <c r="A1260" s="485">
        <v>423030225800</v>
      </c>
      <c r="B1260" t="s">
        <v>2715</v>
      </c>
      <c r="C1260">
        <v>0</v>
      </c>
      <c r="D1260">
        <v>0</v>
      </c>
      <c r="E1260">
        <v>0</v>
      </c>
      <c r="F1260">
        <v>344.25</v>
      </c>
    </row>
    <row r="1261" spans="1:6">
      <c r="A1261" s="485">
        <v>423030226100</v>
      </c>
      <c r="B1261" t="s">
        <v>2716</v>
      </c>
      <c r="C1261">
        <v>0</v>
      </c>
      <c r="D1261">
        <v>0</v>
      </c>
      <c r="E1261">
        <v>0</v>
      </c>
      <c r="F1261">
        <v>0.99999999999999989</v>
      </c>
    </row>
    <row r="1262" spans="1:6">
      <c r="A1262" s="485">
        <v>423030226300</v>
      </c>
      <c r="B1262" t="s">
        <v>2717</v>
      </c>
      <c r="C1262">
        <v>0</v>
      </c>
      <c r="D1262">
        <v>0</v>
      </c>
      <c r="E1262">
        <v>0</v>
      </c>
      <c r="F1262">
        <v>27.183299999999996</v>
      </c>
    </row>
    <row r="1263" spans="1:6">
      <c r="A1263" s="485">
        <v>423030226600</v>
      </c>
      <c r="B1263" t="s">
        <v>2718</v>
      </c>
      <c r="C1263">
        <v>0</v>
      </c>
      <c r="D1263">
        <v>19.746499999999997</v>
      </c>
      <c r="E1263">
        <v>19.746499999999997</v>
      </c>
      <c r="F1263">
        <v>12</v>
      </c>
    </row>
    <row r="1264" spans="1:6">
      <c r="A1264" s="485">
        <v>423030226800</v>
      </c>
      <c r="B1264" t="s">
        <v>2719</v>
      </c>
      <c r="C1264">
        <v>5.2143000000000006</v>
      </c>
      <c r="D1264">
        <v>2.835</v>
      </c>
      <c r="E1264">
        <v>8.0493000000000006</v>
      </c>
      <c r="F1264">
        <v>16.999900000000004</v>
      </c>
    </row>
    <row r="1265" spans="1:6">
      <c r="A1265" s="485">
        <v>423030228000</v>
      </c>
      <c r="B1265" t="s">
        <v>2720</v>
      </c>
      <c r="C1265">
        <v>57321.646999999997</v>
      </c>
      <c r="D1265">
        <v>3.6040000000000001</v>
      </c>
      <c r="E1265">
        <v>57325.250999999997</v>
      </c>
      <c r="F1265">
        <v>1727.1615999999999</v>
      </c>
    </row>
    <row r="1266" spans="1:6">
      <c r="A1266" s="485">
        <v>423030228200</v>
      </c>
      <c r="B1266" t="s">
        <v>2721</v>
      </c>
      <c r="C1266">
        <v>0</v>
      </c>
      <c r="D1266">
        <v>0</v>
      </c>
      <c r="E1266">
        <v>0</v>
      </c>
      <c r="F1266">
        <v>0</v>
      </c>
    </row>
    <row r="1267" spans="1:6">
      <c r="A1267" s="485">
        <v>423030229500</v>
      </c>
      <c r="B1267" t="s">
        <v>2722</v>
      </c>
      <c r="C1267">
        <v>128.9999</v>
      </c>
      <c r="D1267">
        <v>94.217399999999998</v>
      </c>
      <c r="E1267">
        <v>223.21729999999999</v>
      </c>
      <c r="F1267">
        <v>0.9919</v>
      </c>
    </row>
    <row r="1268" spans="1:6">
      <c r="A1268" s="485">
        <v>423030229800</v>
      </c>
      <c r="B1268" t="s">
        <v>2723</v>
      </c>
      <c r="C1268">
        <v>0</v>
      </c>
      <c r="D1268">
        <v>0</v>
      </c>
      <c r="E1268">
        <v>0</v>
      </c>
      <c r="F1268">
        <v>2.0000999999999998</v>
      </c>
    </row>
    <row r="1269" spans="1:6">
      <c r="A1269" s="485">
        <v>423030230000</v>
      </c>
      <c r="B1269" t="s">
        <v>2724</v>
      </c>
      <c r="C1269">
        <v>0</v>
      </c>
      <c r="D1269">
        <v>0</v>
      </c>
      <c r="E1269">
        <v>0</v>
      </c>
      <c r="F1269">
        <v>15.410500000000001</v>
      </c>
    </row>
    <row r="1270" spans="1:6">
      <c r="A1270" s="485">
        <v>423030201300</v>
      </c>
      <c r="B1270" t="s">
        <v>2725</v>
      </c>
      <c r="C1270">
        <v>0</v>
      </c>
      <c r="D1270">
        <v>1.9709999999999999</v>
      </c>
      <c r="E1270">
        <v>1.9709999999999999</v>
      </c>
      <c r="F1270">
        <v>496.06650000000002</v>
      </c>
    </row>
    <row r="1271" spans="1:6">
      <c r="A1271" s="485">
        <v>423030225600</v>
      </c>
      <c r="B1271" t="s">
        <v>2726</v>
      </c>
      <c r="C1271">
        <v>165.08510000000001</v>
      </c>
      <c r="D1271">
        <v>111</v>
      </c>
      <c r="E1271">
        <v>276.08510000000001</v>
      </c>
      <c r="F1271">
        <v>1</v>
      </c>
    </row>
    <row r="1272" spans="1:6">
      <c r="A1272" s="485">
        <v>423030225600</v>
      </c>
      <c r="B1272" t="s">
        <v>2727</v>
      </c>
      <c r="C1272">
        <v>0</v>
      </c>
      <c r="D1272">
        <v>0</v>
      </c>
      <c r="E1272">
        <v>0</v>
      </c>
      <c r="F1272">
        <v>450.48309999999998</v>
      </c>
    </row>
    <row r="1273" spans="1:6">
      <c r="A1273" s="485">
        <v>423030227100</v>
      </c>
      <c r="B1273" t="s">
        <v>2728</v>
      </c>
      <c r="C1273">
        <v>4.8221999999999996</v>
      </c>
      <c r="D1273">
        <v>0.3604</v>
      </c>
      <c r="E1273">
        <v>5.1825999999999999</v>
      </c>
      <c r="F1273">
        <v>1.7553000000000001</v>
      </c>
    </row>
    <row r="1274" spans="1:6">
      <c r="A1274" s="485">
        <v>423030227400</v>
      </c>
      <c r="B1274" t="s">
        <v>2729</v>
      </c>
      <c r="C1274">
        <v>257.04419999999999</v>
      </c>
      <c r="D1274">
        <v>227.23680000000002</v>
      </c>
      <c r="E1274">
        <v>484.28100000000001</v>
      </c>
      <c r="F1274">
        <v>1061.1429000000001</v>
      </c>
    </row>
    <row r="1275" spans="1:6">
      <c r="A1275" s="485">
        <v>423030228600</v>
      </c>
      <c r="B1275" t="s">
        <v>2730</v>
      </c>
      <c r="C1275">
        <v>18.425599999999999</v>
      </c>
      <c r="D1275">
        <v>4.1268000000000002</v>
      </c>
      <c r="E1275">
        <v>22.552399999999999</v>
      </c>
      <c r="F1275">
        <v>0.60329999999999995</v>
      </c>
    </row>
    <row r="1276" spans="1:6">
      <c r="A1276" s="485">
        <v>423030467500</v>
      </c>
      <c r="B1276" t="s">
        <v>2731</v>
      </c>
      <c r="C1276">
        <v>2.4226999999999999</v>
      </c>
      <c r="D1276">
        <v>1.7383999999999999</v>
      </c>
      <c r="E1276">
        <v>4.1610999999999994</v>
      </c>
      <c r="F1276">
        <v>1.8152000000000001</v>
      </c>
    </row>
    <row r="1277" spans="1:6">
      <c r="A1277" s="485">
        <v>423030466300</v>
      </c>
      <c r="B1277" t="s">
        <v>2732</v>
      </c>
      <c r="C1277">
        <v>0</v>
      </c>
      <c r="D1277">
        <v>0</v>
      </c>
      <c r="E1277">
        <v>0</v>
      </c>
      <c r="F1277">
        <v>53</v>
      </c>
    </row>
    <row r="1278" spans="1:6">
      <c r="A1278" s="485">
        <v>423030459400</v>
      </c>
      <c r="B1278" t="s">
        <v>2733</v>
      </c>
      <c r="C1278">
        <v>10.999899999999998</v>
      </c>
      <c r="D1278">
        <v>2.0651000000000002</v>
      </c>
      <c r="E1278">
        <v>13.064999999999998</v>
      </c>
      <c r="F1278">
        <v>381.36060000000009</v>
      </c>
    </row>
    <row r="1279" spans="1:6">
      <c r="A1279" s="485">
        <v>423030503400</v>
      </c>
      <c r="B1279" t="s">
        <v>2734</v>
      </c>
      <c r="C1279">
        <v>0</v>
      </c>
      <c r="D1279">
        <v>0</v>
      </c>
      <c r="E1279">
        <v>0</v>
      </c>
      <c r="F1279">
        <v>13</v>
      </c>
    </row>
    <row r="1280" spans="1:6">
      <c r="A1280" s="485">
        <v>423030501400</v>
      </c>
      <c r="B1280" t="s">
        <v>2735</v>
      </c>
      <c r="C1280">
        <v>0</v>
      </c>
      <c r="D1280">
        <v>4.4894999999999996</v>
      </c>
      <c r="E1280">
        <v>4.4894999999999996</v>
      </c>
      <c r="F1280">
        <v>1.0484</v>
      </c>
    </row>
    <row r="1281" spans="1:6">
      <c r="A1281" s="485">
        <v>423030496900</v>
      </c>
      <c r="B1281" t="s">
        <v>2736</v>
      </c>
      <c r="C1281">
        <v>0</v>
      </c>
      <c r="D1281">
        <v>0</v>
      </c>
      <c r="E1281">
        <v>0</v>
      </c>
      <c r="F1281">
        <v>0</v>
      </c>
    </row>
    <row r="1282" spans="1:6">
      <c r="A1282" s="485">
        <v>423030496900</v>
      </c>
      <c r="B1282" t="s">
        <v>2737</v>
      </c>
      <c r="C1282">
        <v>0</v>
      </c>
      <c r="D1282">
        <v>0</v>
      </c>
      <c r="E1282">
        <v>0</v>
      </c>
      <c r="F1282">
        <v>5</v>
      </c>
    </row>
    <row r="1283" spans="1:6">
      <c r="A1283" s="485">
        <v>423030495100</v>
      </c>
      <c r="B1283" t="s">
        <v>2738</v>
      </c>
      <c r="C1283">
        <v>0</v>
      </c>
      <c r="D1283">
        <v>0</v>
      </c>
      <c r="E1283">
        <v>0</v>
      </c>
      <c r="F1283">
        <v>1</v>
      </c>
    </row>
    <row r="1284" spans="1:6">
      <c r="A1284" s="485">
        <v>423030492000</v>
      </c>
      <c r="B1284" t="s">
        <v>2739</v>
      </c>
      <c r="C1284">
        <v>27.620699999999999</v>
      </c>
      <c r="D1284">
        <v>6.2321999999999997</v>
      </c>
      <c r="E1284">
        <v>33.852899999999998</v>
      </c>
      <c r="F1284">
        <v>3.0001000000000002</v>
      </c>
    </row>
    <row r="1285" spans="1:6">
      <c r="A1285" s="485">
        <v>423030492300</v>
      </c>
      <c r="B1285" t="s">
        <v>2740</v>
      </c>
      <c r="C1285">
        <v>0</v>
      </c>
      <c r="D1285">
        <v>0</v>
      </c>
      <c r="E1285">
        <v>0</v>
      </c>
      <c r="F1285">
        <v>14.0001</v>
      </c>
    </row>
    <row r="1286" spans="1:6">
      <c r="A1286" s="485">
        <v>423030493200</v>
      </c>
      <c r="B1286" t="s">
        <v>2741</v>
      </c>
      <c r="C1286">
        <v>0</v>
      </c>
      <c r="D1286">
        <v>0</v>
      </c>
      <c r="E1286">
        <v>0</v>
      </c>
      <c r="F1286">
        <v>482.41880000000003</v>
      </c>
    </row>
    <row r="1287" spans="1:6">
      <c r="A1287" s="485">
        <v>423030491100</v>
      </c>
      <c r="B1287" t="s">
        <v>2742</v>
      </c>
      <c r="C1287">
        <v>0</v>
      </c>
      <c r="D1287">
        <v>0</v>
      </c>
      <c r="E1287">
        <v>0</v>
      </c>
      <c r="F1287">
        <v>7.9997999999999996</v>
      </c>
    </row>
    <row r="1288" spans="1:6">
      <c r="A1288" s="485">
        <v>423030486300</v>
      </c>
      <c r="B1288" t="s">
        <v>2743</v>
      </c>
      <c r="C1288">
        <v>0</v>
      </c>
      <c r="D1288">
        <v>0</v>
      </c>
      <c r="E1288">
        <v>0</v>
      </c>
      <c r="F1288">
        <v>26.652200000000001</v>
      </c>
    </row>
    <row r="1289" spans="1:6">
      <c r="A1289" s="485">
        <v>423030484300</v>
      </c>
      <c r="B1289" t="s">
        <v>2744</v>
      </c>
      <c r="C1289">
        <v>0</v>
      </c>
      <c r="D1289">
        <v>0</v>
      </c>
      <c r="E1289">
        <v>0</v>
      </c>
      <c r="F1289">
        <v>922.7813000000001</v>
      </c>
    </row>
    <row r="1290" spans="1:6">
      <c r="A1290" s="485">
        <v>423030480300</v>
      </c>
      <c r="B1290" t="s">
        <v>2745</v>
      </c>
      <c r="C1290">
        <v>61.632799999999996</v>
      </c>
      <c r="D1290">
        <v>68.440499999999986</v>
      </c>
      <c r="E1290">
        <v>130.07329999999999</v>
      </c>
      <c r="F1290">
        <v>0.86360000000000003</v>
      </c>
    </row>
    <row r="1291" spans="1:6">
      <c r="A1291" s="485">
        <v>423030480300</v>
      </c>
      <c r="B1291" t="s">
        <v>2746</v>
      </c>
      <c r="C1291">
        <v>0</v>
      </c>
      <c r="D1291">
        <v>266.23099999999999</v>
      </c>
      <c r="E1291">
        <v>266.23099999999999</v>
      </c>
      <c r="F1291">
        <v>3</v>
      </c>
    </row>
    <row r="1292" spans="1:6">
      <c r="A1292" s="485">
        <v>423030481800</v>
      </c>
      <c r="B1292" t="s">
        <v>2747</v>
      </c>
      <c r="C1292">
        <v>658.18370000000004</v>
      </c>
      <c r="D1292">
        <v>904.25000000000011</v>
      </c>
      <c r="E1292">
        <v>1562.4337</v>
      </c>
      <c r="F1292">
        <v>0.72830000000000006</v>
      </c>
    </row>
    <row r="1293" spans="1:6">
      <c r="A1293" s="485">
        <v>423030493100</v>
      </c>
      <c r="B1293" t="s">
        <v>2748</v>
      </c>
      <c r="C1293">
        <v>0</v>
      </c>
      <c r="D1293">
        <v>0</v>
      </c>
      <c r="E1293">
        <v>0</v>
      </c>
      <c r="F1293">
        <v>0</v>
      </c>
    </row>
    <row r="1294" spans="1:6">
      <c r="A1294" s="485">
        <v>423030490600</v>
      </c>
      <c r="B1294" t="s">
        <v>2749</v>
      </c>
      <c r="C1294">
        <v>6.5237999999999996</v>
      </c>
      <c r="D1294">
        <v>3.4693000000000001</v>
      </c>
      <c r="E1294">
        <v>9.9931000000000001</v>
      </c>
      <c r="F1294">
        <v>2.375</v>
      </c>
    </row>
    <row r="1295" spans="1:6">
      <c r="A1295" s="485">
        <v>423030489000</v>
      </c>
      <c r="B1295" t="s">
        <v>2750</v>
      </c>
      <c r="C1295">
        <v>0</v>
      </c>
      <c r="D1295">
        <v>0</v>
      </c>
      <c r="E1295">
        <v>0</v>
      </c>
      <c r="F1295">
        <v>0.80640000000000001</v>
      </c>
    </row>
    <row r="1296" spans="1:6">
      <c r="A1296" s="485">
        <v>423030488100</v>
      </c>
      <c r="B1296" t="s">
        <v>2751</v>
      </c>
      <c r="C1296">
        <v>0</v>
      </c>
      <c r="D1296">
        <v>0</v>
      </c>
      <c r="E1296">
        <v>0</v>
      </c>
      <c r="F1296">
        <v>88</v>
      </c>
    </row>
    <row r="1297" spans="1:6">
      <c r="A1297" s="485">
        <v>423030484500</v>
      </c>
      <c r="B1297" t="s">
        <v>2752</v>
      </c>
      <c r="C1297">
        <v>16.9999</v>
      </c>
      <c r="D1297">
        <v>11.3178</v>
      </c>
      <c r="E1297">
        <v>28.317700000000002</v>
      </c>
      <c r="F1297">
        <v>0</v>
      </c>
    </row>
    <row r="1298" spans="1:6">
      <c r="A1298" s="485">
        <v>423030500200</v>
      </c>
      <c r="B1298">
        <v>270030038</v>
      </c>
      <c r="C1298">
        <v>39.000100000000003</v>
      </c>
      <c r="D1298">
        <v>4.8639999999999999</v>
      </c>
      <c r="E1298">
        <v>43.864100000000001</v>
      </c>
      <c r="F1298">
        <v>1.0001</v>
      </c>
    </row>
    <row r="1299" spans="1:6">
      <c r="A1299" s="485">
        <v>423030500200</v>
      </c>
      <c r="B1299" t="s">
        <v>2753</v>
      </c>
      <c r="C1299">
        <v>149.0001</v>
      </c>
      <c r="D1299">
        <v>48.236499999999999</v>
      </c>
      <c r="E1299">
        <v>197.23660000000001</v>
      </c>
      <c r="F1299">
        <v>1</v>
      </c>
    </row>
    <row r="1300" spans="1:6">
      <c r="A1300" s="485">
        <v>423030500200</v>
      </c>
      <c r="B1300" t="s">
        <v>2754</v>
      </c>
      <c r="C1300">
        <v>214.30439999999999</v>
      </c>
      <c r="D1300">
        <v>111.9787</v>
      </c>
      <c r="E1300">
        <v>326.28309999999999</v>
      </c>
      <c r="F1300">
        <v>88.097300000000004</v>
      </c>
    </row>
    <row r="1301" spans="1:6">
      <c r="A1301" s="485">
        <v>423030517800</v>
      </c>
      <c r="B1301" t="s">
        <v>2755</v>
      </c>
      <c r="C1301">
        <v>0</v>
      </c>
      <c r="D1301">
        <v>0</v>
      </c>
      <c r="E1301">
        <v>0</v>
      </c>
      <c r="F1301">
        <v>14.999899999999998</v>
      </c>
    </row>
    <row r="1302" spans="1:6">
      <c r="A1302" s="485">
        <v>423030517500</v>
      </c>
      <c r="B1302" t="s">
        <v>2756</v>
      </c>
      <c r="C1302">
        <v>175.8484</v>
      </c>
      <c r="D1302">
        <v>197.14170000000001</v>
      </c>
      <c r="E1302">
        <v>372.99009999999998</v>
      </c>
      <c r="F1302">
        <v>28.000200000000003</v>
      </c>
    </row>
    <row r="1303" spans="1:6">
      <c r="A1303" s="485">
        <v>423030612500</v>
      </c>
      <c r="B1303" t="s">
        <v>2757</v>
      </c>
      <c r="C1303">
        <v>0</v>
      </c>
      <c r="D1303">
        <v>0</v>
      </c>
      <c r="E1303">
        <v>0</v>
      </c>
      <c r="F1303">
        <v>102</v>
      </c>
    </row>
    <row r="1304" spans="1:6">
      <c r="A1304" s="485">
        <v>423030517300</v>
      </c>
      <c r="B1304" t="s">
        <v>2758</v>
      </c>
      <c r="C1304">
        <v>0</v>
      </c>
      <c r="D1304">
        <v>0</v>
      </c>
      <c r="E1304">
        <v>0</v>
      </c>
      <c r="F1304">
        <v>12.2499</v>
      </c>
    </row>
    <row r="1305" spans="1:6">
      <c r="A1305" s="485">
        <v>423030293800</v>
      </c>
      <c r="B1305" t="s">
        <v>2759</v>
      </c>
      <c r="C1305">
        <v>1</v>
      </c>
      <c r="D1305">
        <v>0.29279999999999995</v>
      </c>
      <c r="E1305">
        <v>1.2927999999999999</v>
      </c>
      <c r="F1305">
        <v>0</v>
      </c>
    </row>
    <row r="1306" spans="1:6">
      <c r="A1306" s="485">
        <v>423030519400</v>
      </c>
      <c r="B1306" t="s">
        <v>2760</v>
      </c>
      <c r="C1306">
        <v>25.0001</v>
      </c>
      <c r="D1306">
        <v>4.5973999999999995</v>
      </c>
      <c r="E1306">
        <v>29.5975</v>
      </c>
      <c r="F1306">
        <v>214.70400000000001</v>
      </c>
    </row>
    <row r="1307" spans="1:6">
      <c r="A1307" s="485">
        <v>423030516100</v>
      </c>
      <c r="B1307" t="s">
        <v>2761</v>
      </c>
      <c r="C1307">
        <v>0</v>
      </c>
      <c r="D1307">
        <v>0</v>
      </c>
      <c r="E1307">
        <v>0</v>
      </c>
      <c r="F1307">
        <v>53.999899999999997</v>
      </c>
    </row>
    <row r="1308" spans="1:6">
      <c r="A1308" s="485">
        <v>423030514400</v>
      </c>
      <c r="B1308" t="s">
        <v>2762</v>
      </c>
      <c r="C1308">
        <v>18.989100000000001</v>
      </c>
      <c r="D1308">
        <v>9.742799999999999</v>
      </c>
      <c r="E1308">
        <v>28.7319</v>
      </c>
      <c r="F1308">
        <v>55.411299999999997</v>
      </c>
    </row>
    <row r="1309" spans="1:6">
      <c r="A1309" s="485">
        <v>423030511100</v>
      </c>
      <c r="B1309" t="s">
        <v>2763</v>
      </c>
      <c r="C1309">
        <v>0</v>
      </c>
      <c r="D1309">
        <v>0</v>
      </c>
      <c r="E1309">
        <v>0</v>
      </c>
      <c r="F1309">
        <v>2803.9999999999995</v>
      </c>
    </row>
    <row r="1310" spans="1:6">
      <c r="A1310" s="485">
        <v>423030509000</v>
      </c>
      <c r="B1310" t="s">
        <v>2764</v>
      </c>
      <c r="C1310">
        <v>0</v>
      </c>
      <c r="D1310">
        <v>0</v>
      </c>
      <c r="E1310">
        <v>0</v>
      </c>
      <c r="F1310">
        <v>30.217300000000002</v>
      </c>
    </row>
    <row r="1311" spans="1:6">
      <c r="A1311" s="485">
        <v>423030508300</v>
      </c>
      <c r="B1311" t="s">
        <v>2765</v>
      </c>
      <c r="C1311">
        <v>50.887499999999996</v>
      </c>
      <c r="D1311">
        <v>23.6676</v>
      </c>
      <c r="E1311">
        <v>74.555099999999996</v>
      </c>
      <c r="F1311">
        <v>3.4434</v>
      </c>
    </row>
    <row r="1312" spans="1:6">
      <c r="A1312" s="485">
        <v>423030547900</v>
      </c>
      <c r="B1312" t="s">
        <v>2766</v>
      </c>
      <c r="C1312">
        <v>59.758700000000005</v>
      </c>
      <c r="D1312">
        <v>4.8867000000000003</v>
      </c>
      <c r="E1312">
        <v>64.645400000000009</v>
      </c>
      <c r="F1312">
        <v>199.43960000000001</v>
      </c>
    </row>
    <row r="1313" spans="1:6">
      <c r="A1313" s="485">
        <v>423030548200</v>
      </c>
      <c r="B1313" t="s">
        <v>2767</v>
      </c>
      <c r="C1313">
        <v>0</v>
      </c>
      <c r="D1313">
        <v>0</v>
      </c>
      <c r="E1313">
        <v>0</v>
      </c>
      <c r="F1313">
        <v>0</v>
      </c>
    </row>
    <row r="1314" spans="1:6">
      <c r="A1314" s="485">
        <v>423030545600</v>
      </c>
      <c r="B1314" t="s">
        <v>2768</v>
      </c>
      <c r="C1314">
        <v>3.5810000000000004</v>
      </c>
      <c r="D1314">
        <v>0.82689999999999997</v>
      </c>
      <c r="E1314">
        <v>4.4079000000000006</v>
      </c>
      <c r="F1314">
        <v>3.0000999999999998</v>
      </c>
    </row>
    <row r="1315" spans="1:6">
      <c r="A1315" s="485">
        <v>423030546800</v>
      </c>
      <c r="B1315" t="s">
        <v>2769</v>
      </c>
      <c r="C1315">
        <v>0</v>
      </c>
      <c r="D1315">
        <v>0</v>
      </c>
      <c r="E1315">
        <v>0</v>
      </c>
      <c r="F1315">
        <v>475.00019999999995</v>
      </c>
    </row>
    <row r="1316" spans="1:6">
      <c r="A1316" s="485">
        <v>423030546800</v>
      </c>
      <c r="B1316" t="s">
        <v>2770</v>
      </c>
      <c r="C1316">
        <v>0</v>
      </c>
      <c r="D1316">
        <v>0</v>
      </c>
      <c r="E1316">
        <v>0</v>
      </c>
      <c r="F1316">
        <v>1</v>
      </c>
    </row>
    <row r="1317" spans="1:6">
      <c r="A1317" s="485">
        <v>423030547000</v>
      </c>
      <c r="B1317" t="s">
        <v>2771</v>
      </c>
      <c r="C1317">
        <v>4</v>
      </c>
      <c r="D1317">
        <v>2.8615000000000004</v>
      </c>
      <c r="E1317">
        <v>6.8615000000000004</v>
      </c>
      <c r="F1317">
        <v>239.5</v>
      </c>
    </row>
    <row r="1318" spans="1:6">
      <c r="A1318" s="485">
        <v>423030547400</v>
      </c>
      <c r="B1318" t="s">
        <v>2772</v>
      </c>
      <c r="C1318">
        <v>0</v>
      </c>
      <c r="D1318">
        <v>1.387</v>
      </c>
      <c r="E1318">
        <v>1.387</v>
      </c>
      <c r="F1318">
        <v>36.754600000000003</v>
      </c>
    </row>
    <row r="1319" spans="1:6">
      <c r="A1319" s="485">
        <v>423030532800</v>
      </c>
      <c r="B1319" t="s">
        <v>2773</v>
      </c>
      <c r="C1319">
        <v>0</v>
      </c>
      <c r="D1319">
        <v>0</v>
      </c>
      <c r="E1319">
        <v>0</v>
      </c>
      <c r="F1319">
        <v>2837.4545999999996</v>
      </c>
    </row>
    <row r="1320" spans="1:6">
      <c r="A1320" s="485">
        <v>423031749600</v>
      </c>
      <c r="B1320" t="s">
        <v>2774</v>
      </c>
      <c r="C1320">
        <v>0</v>
      </c>
      <c r="D1320">
        <v>0</v>
      </c>
      <c r="E1320">
        <v>0</v>
      </c>
      <c r="F1320">
        <v>298.03079999999994</v>
      </c>
    </row>
    <row r="1321" spans="1:6">
      <c r="A1321" s="485">
        <v>423030524600</v>
      </c>
      <c r="B1321" t="s">
        <v>2775</v>
      </c>
      <c r="C1321">
        <v>0</v>
      </c>
      <c r="D1321">
        <v>0</v>
      </c>
      <c r="E1321">
        <v>0</v>
      </c>
      <c r="F1321">
        <v>1.8862999999999999</v>
      </c>
    </row>
    <row r="1322" spans="1:6">
      <c r="A1322" s="485">
        <v>423030534100</v>
      </c>
      <c r="B1322" t="s">
        <v>2776</v>
      </c>
      <c r="C1322">
        <v>0</v>
      </c>
      <c r="D1322">
        <v>0</v>
      </c>
      <c r="E1322">
        <v>0</v>
      </c>
      <c r="F1322">
        <v>2</v>
      </c>
    </row>
    <row r="1323" spans="1:6">
      <c r="A1323" s="485">
        <v>423030534600</v>
      </c>
      <c r="B1323">
        <v>1000183059</v>
      </c>
      <c r="C1323">
        <v>75.000000000000014</v>
      </c>
      <c r="D1323">
        <v>68.048599999999993</v>
      </c>
      <c r="E1323">
        <v>143.04860000000002</v>
      </c>
      <c r="F1323">
        <v>1162.5684000000001</v>
      </c>
    </row>
    <row r="1324" spans="1:6">
      <c r="A1324" s="485">
        <v>423030534600</v>
      </c>
      <c r="B1324" t="s">
        <v>2777</v>
      </c>
      <c r="C1324">
        <v>3.0238</v>
      </c>
      <c r="D1324">
        <v>1.3551999999999997</v>
      </c>
      <c r="E1324">
        <v>4.3789999999999996</v>
      </c>
      <c r="F1324">
        <v>0.2132</v>
      </c>
    </row>
    <row r="1325" spans="1:6">
      <c r="A1325" s="485">
        <v>423030527800</v>
      </c>
      <c r="B1325" t="s">
        <v>2778</v>
      </c>
      <c r="C1325">
        <v>13.967000000000001</v>
      </c>
      <c r="D1325">
        <v>7.8645000000000005</v>
      </c>
      <c r="E1325">
        <v>21.831500000000002</v>
      </c>
      <c r="F1325">
        <v>50.137</v>
      </c>
    </row>
    <row r="1326" spans="1:6">
      <c r="A1326" s="485">
        <v>423030527200</v>
      </c>
      <c r="B1326" t="s">
        <v>2779</v>
      </c>
      <c r="C1326">
        <v>0</v>
      </c>
      <c r="D1326">
        <v>0</v>
      </c>
      <c r="E1326">
        <v>0</v>
      </c>
      <c r="F1326">
        <v>96.000100000000003</v>
      </c>
    </row>
    <row r="1327" spans="1:6">
      <c r="A1327" s="485">
        <v>423030530500</v>
      </c>
      <c r="B1327" t="s">
        <v>2780</v>
      </c>
      <c r="C1327">
        <v>0</v>
      </c>
      <c r="D1327">
        <v>0</v>
      </c>
      <c r="E1327">
        <v>0</v>
      </c>
      <c r="F1327">
        <v>1.8494000000000002</v>
      </c>
    </row>
    <row r="1328" spans="1:6">
      <c r="A1328" s="485">
        <v>423030518000</v>
      </c>
      <c r="B1328" t="s">
        <v>2781</v>
      </c>
      <c r="C1328">
        <v>0</v>
      </c>
      <c r="D1328">
        <v>0</v>
      </c>
      <c r="E1328">
        <v>0</v>
      </c>
      <c r="F1328">
        <v>60</v>
      </c>
    </row>
    <row r="1329" spans="1:6">
      <c r="A1329" s="485">
        <v>423030521000</v>
      </c>
      <c r="B1329" t="s">
        <v>2782</v>
      </c>
      <c r="C1329">
        <v>0</v>
      </c>
      <c r="D1329">
        <v>0</v>
      </c>
      <c r="E1329">
        <v>0</v>
      </c>
      <c r="F1329">
        <v>0.99990000000000001</v>
      </c>
    </row>
    <row r="1330" spans="1:6">
      <c r="A1330" s="485">
        <v>423030478100</v>
      </c>
      <c r="B1330" t="s">
        <v>2783</v>
      </c>
      <c r="C1330">
        <v>14095.153800000002</v>
      </c>
      <c r="D1330">
        <v>1848.0643999999998</v>
      </c>
      <c r="E1330">
        <v>15943.218200000001</v>
      </c>
      <c r="F1330">
        <v>19.9998</v>
      </c>
    </row>
    <row r="1331" spans="1:6">
      <c r="A1331" s="485">
        <v>423030520300</v>
      </c>
      <c r="B1331" t="s">
        <v>2784</v>
      </c>
      <c r="C1331">
        <v>0</v>
      </c>
      <c r="D1331">
        <v>0</v>
      </c>
      <c r="E1331">
        <v>0</v>
      </c>
      <c r="F1331">
        <v>0.67669999999999997</v>
      </c>
    </row>
    <row r="1332" spans="1:6">
      <c r="A1332" s="485">
        <v>423030531600</v>
      </c>
      <c r="B1332" t="s">
        <v>2785</v>
      </c>
      <c r="C1332">
        <v>53.000100000000003</v>
      </c>
      <c r="D1332">
        <v>49.088000000000001</v>
      </c>
      <c r="E1332">
        <v>102.0881</v>
      </c>
      <c r="F1332">
        <v>65.578800000000001</v>
      </c>
    </row>
    <row r="1333" spans="1:6">
      <c r="A1333" s="485">
        <v>423030536000</v>
      </c>
      <c r="B1333" t="s">
        <v>2786</v>
      </c>
      <c r="C1333">
        <v>0</v>
      </c>
      <c r="D1333">
        <v>0</v>
      </c>
      <c r="E1333">
        <v>0</v>
      </c>
      <c r="F1333">
        <v>688.64279999999997</v>
      </c>
    </row>
    <row r="1334" spans="1:6">
      <c r="A1334" s="485">
        <v>423030536700</v>
      </c>
      <c r="B1334" t="s">
        <v>2787</v>
      </c>
      <c r="C1334">
        <v>0</v>
      </c>
      <c r="D1334">
        <v>0</v>
      </c>
      <c r="E1334">
        <v>0</v>
      </c>
      <c r="F1334">
        <v>6.9776000000000007</v>
      </c>
    </row>
    <row r="1335" spans="1:6">
      <c r="A1335" s="485">
        <v>423030536900</v>
      </c>
      <c r="B1335" t="s">
        <v>2788</v>
      </c>
      <c r="C1335">
        <v>11.823499999999999</v>
      </c>
      <c r="D1335">
        <v>6.6239999999999997</v>
      </c>
      <c r="E1335">
        <v>18.447499999999998</v>
      </c>
      <c r="F1335">
        <v>1</v>
      </c>
    </row>
    <row r="1336" spans="1:6">
      <c r="A1336" s="485">
        <v>423030537100</v>
      </c>
      <c r="B1336" t="s">
        <v>2789</v>
      </c>
      <c r="C1336">
        <v>0</v>
      </c>
      <c r="D1336">
        <v>0</v>
      </c>
      <c r="E1336">
        <v>0</v>
      </c>
      <c r="F1336">
        <v>1</v>
      </c>
    </row>
    <row r="1337" spans="1:6">
      <c r="A1337" s="485">
        <v>423030539700</v>
      </c>
      <c r="B1337" t="s">
        <v>2790</v>
      </c>
      <c r="C1337">
        <v>19.355499999999996</v>
      </c>
      <c r="D1337">
        <v>1.6288999999999998</v>
      </c>
      <c r="E1337">
        <v>20.984399999999994</v>
      </c>
      <c r="F1337">
        <v>2.0162999999999998</v>
      </c>
    </row>
    <row r="1338" spans="1:6">
      <c r="A1338" s="485">
        <v>423031061900</v>
      </c>
      <c r="B1338" t="s">
        <v>2791</v>
      </c>
      <c r="C1338">
        <v>60.417499999999997</v>
      </c>
      <c r="D1338">
        <v>30.033899999999996</v>
      </c>
      <c r="E1338">
        <v>90.451399999999992</v>
      </c>
      <c r="F1338">
        <v>1</v>
      </c>
    </row>
    <row r="1339" spans="1:6">
      <c r="A1339" s="485">
        <v>423031061900</v>
      </c>
      <c r="B1339" t="s">
        <v>2792</v>
      </c>
      <c r="C1339">
        <v>0</v>
      </c>
      <c r="D1339">
        <v>0</v>
      </c>
      <c r="E1339">
        <v>0</v>
      </c>
      <c r="F1339">
        <v>6.3500000000000001E-2</v>
      </c>
    </row>
    <row r="1340" spans="1:6">
      <c r="A1340" s="485">
        <v>423030541100</v>
      </c>
      <c r="B1340" t="s">
        <v>2793</v>
      </c>
      <c r="C1340">
        <v>412.27269999999999</v>
      </c>
      <c r="D1340">
        <v>2.5388999999999999</v>
      </c>
      <c r="E1340">
        <v>414.8116</v>
      </c>
      <c r="F1340">
        <v>23.211000000000002</v>
      </c>
    </row>
    <row r="1341" spans="1:6">
      <c r="A1341" s="485">
        <v>423030541500</v>
      </c>
      <c r="B1341" t="s">
        <v>2794</v>
      </c>
      <c r="C1341">
        <v>5.5</v>
      </c>
      <c r="D1341">
        <v>2.3660999999999999</v>
      </c>
      <c r="E1341">
        <v>7.8660999999999994</v>
      </c>
      <c r="F1341">
        <v>3.8218000000000001</v>
      </c>
    </row>
    <row r="1342" spans="1:6">
      <c r="A1342" s="485">
        <v>423030536200</v>
      </c>
      <c r="B1342" t="s">
        <v>2795</v>
      </c>
      <c r="C1342">
        <v>0</v>
      </c>
      <c r="D1342">
        <v>0</v>
      </c>
      <c r="E1342">
        <v>0</v>
      </c>
      <c r="F1342">
        <v>14.278099999999998</v>
      </c>
    </row>
    <row r="1343" spans="1:6">
      <c r="A1343" s="485">
        <v>423030536800</v>
      </c>
      <c r="B1343" t="s">
        <v>2796</v>
      </c>
      <c r="C1343">
        <v>29.376399999999997</v>
      </c>
      <c r="D1343">
        <v>2.0566</v>
      </c>
      <c r="E1343">
        <v>31.432999999999996</v>
      </c>
      <c r="F1343">
        <v>60.999900000000004</v>
      </c>
    </row>
    <row r="1344" spans="1:6">
      <c r="A1344" s="485">
        <v>423030537700</v>
      </c>
      <c r="B1344" t="s">
        <v>2797</v>
      </c>
      <c r="C1344">
        <v>107.2902</v>
      </c>
      <c r="D1344">
        <v>74.192399999999992</v>
      </c>
      <c r="E1344">
        <v>181.48259999999999</v>
      </c>
      <c r="F1344">
        <v>1</v>
      </c>
    </row>
    <row r="1345" spans="1:6">
      <c r="A1345" s="485">
        <v>423030538200</v>
      </c>
      <c r="B1345" t="s">
        <v>2798</v>
      </c>
      <c r="C1345">
        <v>10.790699999999999</v>
      </c>
      <c r="D1345">
        <v>5.4418000000000006</v>
      </c>
      <c r="E1345">
        <v>16.232500000000002</v>
      </c>
      <c r="F1345">
        <v>130.2799</v>
      </c>
    </row>
    <row r="1346" spans="1:6">
      <c r="A1346" s="485">
        <v>423030539600</v>
      </c>
      <c r="B1346" t="s">
        <v>2799</v>
      </c>
      <c r="C1346">
        <v>14.0001</v>
      </c>
      <c r="D1346">
        <v>0.627</v>
      </c>
      <c r="E1346">
        <v>14.6271</v>
      </c>
      <c r="F1346">
        <v>0</v>
      </c>
    </row>
    <row r="1347" spans="1:6">
      <c r="A1347" s="485">
        <v>423030538700</v>
      </c>
      <c r="B1347" t="s">
        <v>2800</v>
      </c>
      <c r="C1347">
        <v>0</v>
      </c>
      <c r="D1347">
        <v>0</v>
      </c>
      <c r="E1347">
        <v>0</v>
      </c>
      <c r="F1347">
        <v>34.365700000000004</v>
      </c>
    </row>
    <row r="1348" spans="1:6">
      <c r="A1348" s="485">
        <v>423030545100</v>
      </c>
      <c r="B1348" t="s">
        <v>2801</v>
      </c>
      <c r="C1348">
        <v>195.57649999999998</v>
      </c>
      <c r="D1348">
        <v>149.5754</v>
      </c>
      <c r="E1348">
        <v>345.15189999999996</v>
      </c>
      <c r="F1348">
        <v>24999.999600000003</v>
      </c>
    </row>
    <row r="1349" spans="1:6">
      <c r="A1349" s="485">
        <v>423030525000</v>
      </c>
      <c r="B1349" t="s">
        <v>2802</v>
      </c>
      <c r="C1349">
        <v>1</v>
      </c>
      <c r="D1349">
        <v>0.99750000000000005</v>
      </c>
      <c r="E1349">
        <v>1.9975000000000001</v>
      </c>
      <c r="F1349">
        <v>25</v>
      </c>
    </row>
    <row r="1350" spans="1:6">
      <c r="A1350" s="485">
        <v>423030525000</v>
      </c>
      <c r="B1350" t="s">
        <v>2803</v>
      </c>
      <c r="C1350">
        <v>0</v>
      </c>
      <c r="D1350">
        <v>0</v>
      </c>
      <c r="E1350">
        <v>0</v>
      </c>
      <c r="F1350">
        <v>0.31090000000000001</v>
      </c>
    </row>
    <row r="1351" spans="1:6">
      <c r="A1351" s="485">
        <v>423030525400</v>
      </c>
      <c r="B1351" t="s">
        <v>2804</v>
      </c>
      <c r="C1351">
        <v>14.3438</v>
      </c>
      <c r="D1351">
        <v>2.5986000000000002</v>
      </c>
      <c r="E1351">
        <v>16.942399999999999</v>
      </c>
      <c r="F1351">
        <v>84.094899999999996</v>
      </c>
    </row>
    <row r="1352" spans="1:6">
      <c r="A1352" s="485">
        <v>423030535800</v>
      </c>
      <c r="B1352" t="s">
        <v>2805</v>
      </c>
      <c r="C1352">
        <v>21.200099999999996</v>
      </c>
      <c r="D1352">
        <v>0.89670000000000005</v>
      </c>
      <c r="E1352">
        <v>22.096799999999995</v>
      </c>
      <c r="F1352">
        <v>0.8145</v>
      </c>
    </row>
    <row r="1353" spans="1:6">
      <c r="A1353" s="485">
        <v>423030688300</v>
      </c>
      <c r="B1353" t="s">
        <v>2806</v>
      </c>
      <c r="C1353">
        <v>37.000099999999996</v>
      </c>
      <c r="D1353">
        <v>2.73</v>
      </c>
      <c r="E1353">
        <v>39.730099999999993</v>
      </c>
      <c r="F1353">
        <v>636.53829999999994</v>
      </c>
    </row>
    <row r="1354" spans="1:6">
      <c r="A1354" s="485">
        <v>423030688400</v>
      </c>
      <c r="B1354" t="s">
        <v>2807</v>
      </c>
      <c r="C1354">
        <v>0</v>
      </c>
      <c r="D1354">
        <v>0</v>
      </c>
      <c r="E1354">
        <v>0</v>
      </c>
      <c r="F1354">
        <v>1109.3957</v>
      </c>
    </row>
    <row r="1355" spans="1:6">
      <c r="A1355" s="485">
        <v>423030688700</v>
      </c>
      <c r="B1355" t="s">
        <v>2808</v>
      </c>
      <c r="C1355">
        <v>0</v>
      </c>
      <c r="D1355">
        <v>0</v>
      </c>
      <c r="E1355">
        <v>0</v>
      </c>
      <c r="F1355">
        <v>104.72730000000001</v>
      </c>
    </row>
    <row r="1356" spans="1:6">
      <c r="A1356" s="485">
        <v>423030688900</v>
      </c>
      <c r="B1356" t="s">
        <v>2809</v>
      </c>
      <c r="C1356">
        <v>0</v>
      </c>
      <c r="D1356">
        <v>0</v>
      </c>
      <c r="E1356">
        <v>0</v>
      </c>
      <c r="F1356">
        <v>0.99990000000000001</v>
      </c>
    </row>
    <row r="1357" spans="1:6">
      <c r="A1357" s="485">
        <v>423030932100</v>
      </c>
      <c r="B1357" t="s">
        <v>2810</v>
      </c>
      <c r="C1357">
        <v>0</v>
      </c>
      <c r="D1357">
        <v>0</v>
      </c>
      <c r="E1357">
        <v>0</v>
      </c>
      <c r="F1357">
        <v>14.911099999999999</v>
      </c>
    </row>
    <row r="1358" spans="1:6">
      <c r="A1358" s="485">
        <v>423030694000</v>
      </c>
      <c r="B1358" t="s">
        <v>2811</v>
      </c>
      <c r="C1358">
        <v>8.9998999999999985</v>
      </c>
      <c r="D1358">
        <v>19.959100000000003</v>
      </c>
      <c r="E1358">
        <v>28.959000000000003</v>
      </c>
      <c r="F1358">
        <v>33.869199999999999</v>
      </c>
    </row>
    <row r="1359" spans="1:6">
      <c r="A1359" s="485">
        <v>423030681600</v>
      </c>
      <c r="B1359" t="s">
        <v>2812</v>
      </c>
      <c r="C1359">
        <v>0</v>
      </c>
      <c r="D1359">
        <v>0</v>
      </c>
      <c r="E1359">
        <v>0</v>
      </c>
      <c r="F1359">
        <v>7.934800000000001</v>
      </c>
    </row>
    <row r="1360" spans="1:6">
      <c r="A1360" s="485">
        <v>423030685800</v>
      </c>
      <c r="B1360" t="s">
        <v>2813</v>
      </c>
      <c r="C1360">
        <v>0</v>
      </c>
      <c r="D1360">
        <v>0</v>
      </c>
      <c r="E1360">
        <v>0</v>
      </c>
      <c r="F1360">
        <v>86.000000000000014</v>
      </c>
    </row>
    <row r="1361" spans="1:6">
      <c r="A1361" s="485">
        <v>423030685800</v>
      </c>
      <c r="B1361" t="s">
        <v>2814</v>
      </c>
      <c r="C1361">
        <v>2.0706000000000002</v>
      </c>
      <c r="D1361">
        <v>2.5957999999999997</v>
      </c>
      <c r="E1361">
        <v>4.6663999999999994</v>
      </c>
      <c r="F1361">
        <v>1071.1290999999999</v>
      </c>
    </row>
    <row r="1362" spans="1:6">
      <c r="A1362" s="485">
        <v>423030685900</v>
      </c>
      <c r="B1362" t="s">
        <v>2815</v>
      </c>
      <c r="C1362">
        <v>205</v>
      </c>
      <c r="D1362">
        <v>216.66380000000001</v>
      </c>
      <c r="E1362">
        <v>421.66380000000004</v>
      </c>
      <c r="F1362">
        <v>0.76309999999999989</v>
      </c>
    </row>
    <row r="1363" spans="1:6">
      <c r="A1363" s="485">
        <v>423030695300</v>
      </c>
      <c r="B1363" t="s">
        <v>2816</v>
      </c>
      <c r="C1363">
        <v>4.1718999999999999</v>
      </c>
      <c r="D1363">
        <v>1.462</v>
      </c>
      <c r="E1363">
        <v>5.6338999999999997</v>
      </c>
      <c r="F1363">
        <v>8.4880999999999993</v>
      </c>
    </row>
    <row r="1364" spans="1:6">
      <c r="A1364" s="485">
        <v>423030681500</v>
      </c>
      <c r="B1364" t="s">
        <v>2817</v>
      </c>
      <c r="C1364">
        <v>0</v>
      </c>
      <c r="D1364">
        <v>0</v>
      </c>
      <c r="E1364">
        <v>0</v>
      </c>
      <c r="F1364">
        <v>112.55289999999999</v>
      </c>
    </row>
    <row r="1365" spans="1:6">
      <c r="A1365" s="485">
        <v>423030681700</v>
      </c>
      <c r="B1365" t="s">
        <v>2818</v>
      </c>
      <c r="C1365">
        <v>0</v>
      </c>
      <c r="D1365">
        <v>0</v>
      </c>
      <c r="E1365">
        <v>0</v>
      </c>
      <c r="F1365">
        <v>0.8861</v>
      </c>
    </row>
    <row r="1366" spans="1:6">
      <c r="A1366" s="485">
        <v>423030681800</v>
      </c>
      <c r="B1366" t="s">
        <v>2819</v>
      </c>
      <c r="C1366">
        <v>0</v>
      </c>
      <c r="D1366">
        <v>0</v>
      </c>
      <c r="E1366">
        <v>0</v>
      </c>
      <c r="F1366">
        <v>594.69299999999987</v>
      </c>
    </row>
    <row r="1367" spans="1:6">
      <c r="A1367" s="485">
        <v>423030681300</v>
      </c>
      <c r="B1367" t="s">
        <v>2820</v>
      </c>
      <c r="C1367">
        <v>0</v>
      </c>
      <c r="D1367">
        <v>0</v>
      </c>
      <c r="E1367">
        <v>0</v>
      </c>
      <c r="F1367">
        <v>132.34880000000001</v>
      </c>
    </row>
    <row r="1368" spans="1:6">
      <c r="A1368" s="485">
        <v>423030293300</v>
      </c>
      <c r="B1368" t="s">
        <v>2821</v>
      </c>
      <c r="C1368">
        <v>0</v>
      </c>
      <c r="D1368">
        <v>0</v>
      </c>
      <c r="E1368">
        <v>0</v>
      </c>
      <c r="F1368">
        <v>22.491800000000001</v>
      </c>
    </row>
    <row r="1369" spans="1:6">
      <c r="A1369" s="485">
        <v>423030293300</v>
      </c>
      <c r="B1369" t="s">
        <v>2822</v>
      </c>
      <c r="C1369">
        <v>0</v>
      </c>
      <c r="D1369">
        <v>0</v>
      </c>
      <c r="E1369">
        <v>0</v>
      </c>
      <c r="F1369">
        <v>1782.9998999999998</v>
      </c>
    </row>
    <row r="1370" spans="1:6">
      <c r="A1370" s="485">
        <v>423030528500</v>
      </c>
      <c r="B1370" t="s">
        <v>2823</v>
      </c>
      <c r="C1370">
        <v>0</v>
      </c>
      <c r="D1370">
        <v>0</v>
      </c>
      <c r="E1370">
        <v>0</v>
      </c>
      <c r="F1370">
        <v>1</v>
      </c>
    </row>
    <row r="1371" spans="1:6">
      <c r="A1371" s="485">
        <v>423030528700</v>
      </c>
      <c r="B1371" t="s">
        <v>2824</v>
      </c>
      <c r="C1371">
        <v>0</v>
      </c>
      <c r="D1371">
        <v>0</v>
      </c>
      <c r="E1371">
        <v>0</v>
      </c>
      <c r="F1371">
        <v>1</v>
      </c>
    </row>
    <row r="1372" spans="1:6">
      <c r="A1372" s="485">
        <v>423030528900</v>
      </c>
      <c r="B1372" t="s">
        <v>2825</v>
      </c>
      <c r="C1372">
        <v>25.306099999999997</v>
      </c>
      <c r="D1372">
        <v>0.30030000000000001</v>
      </c>
      <c r="E1372">
        <v>25.606399999999997</v>
      </c>
      <c r="F1372">
        <v>1.0001</v>
      </c>
    </row>
    <row r="1373" spans="1:6">
      <c r="A1373" s="485">
        <v>423030529400</v>
      </c>
      <c r="B1373" t="s">
        <v>2826</v>
      </c>
      <c r="C1373">
        <v>0</v>
      </c>
      <c r="D1373">
        <v>0</v>
      </c>
      <c r="E1373">
        <v>0</v>
      </c>
      <c r="F1373">
        <v>1</v>
      </c>
    </row>
    <row r="1374" spans="1:6">
      <c r="A1374" s="485">
        <v>423030529600</v>
      </c>
      <c r="B1374" t="s">
        <v>2827</v>
      </c>
      <c r="C1374">
        <v>0</v>
      </c>
      <c r="D1374">
        <v>0</v>
      </c>
      <c r="E1374">
        <v>0</v>
      </c>
      <c r="F1374">
        <v>0.47689999999999999</v>
      </c>
    </row>
    <row r="1375" spans="1:6">
      <c r="A1375" s="485">
        <v>423030529600</v>
      </c>
      <c r="B1375" t="s">
        <v>2828</v>
      </c>
      <c r="C1375">
        <v>0</v>
      </c>
      <c r="D1375">
        <v>0</v>
      </c>
      <c r="E1375">
        <v>0</v>
      </c>
      <c r="F1375">
        <v>0.15870000000000001</v>
      </c>
    </row>
    <row r="1376" spans="1:6">
      <c r="A1376" s="485">
        <v>423030529900</v>
      </c>
      <c r="B1376" t="s">
        <v>2829</v>
      </c>
      <c r="C1376">
        <v>3631</v>
      </c>
      <c r="D1376">
        <v>0</v>
      </c>
      <c r="E1376">
        <v>3631</v>
      </c>
      <c r="F1376">
        <v>0.99990000000000001</v>
      </c>
    </row>
    <row r="1377" spans="1:6">
      <c r="A1377" s="485">
        <v>423030530200</v>
      </c>
      <c r="B1377" t="s">
        <v>2830</v>
      </c>
      <c r="C1377">
        <v>0</v>
      </c>
      <c r="D1377">
        <v>0</v>
      </c>
      <c r="E1377">
        <v>0</v>
      </c>
      <c r="F1377">
        <v>2.0000999999999998</v>
      </c>
    </row>
    <row r="1378" spans="1:6">
      <c r="A1378" s="485">
        <v>423030530800</v>
      </c>
      <c r="B1378" t="s">
        <v>2831</v>
      </c>
      <c r="C1378">
        <v>1.09E-2</v>
      </c>
      <c r="D1378">
        <v>0.1002</v>
      </c>
      <c r="E1378">
        <v>0.1111</v>
      </c>
      <c r="F1378">
        <v>92.690299999999993</v>
      </c>
    </row>
    <row r="1379" spans="1:6">
      <c r="A1379" s="485">
        <v>423030530900</v>
      </c>
      <c r="B1379" t="s">
        <v>2832</v>
      </c>
      <c r="C1379">
        <v>0</v>
      </c>
      <c r="D1379">
        <v>0</v>
      </c>
      <c r="E1379">
        <v>0</v>
      </c>
      <c r="F1379">
        <v>8.9215999999999998</v>
      </c>
    </row>
    <row r="1380" spans="1:6">
      <c r="A1380" s="485">
        <v>423030531000</v>
      </c>
      <c r="B1380" t="s">
        <v>2833</v>
      </c>
      <c r="C1380">
        <v>0</v>
      </c>
      <c r="D1380">
        <v>0</v>
      </c>
      <c r="E1380">
        <v>0</v>
      </c>
      <c r="F1380">
        <v>16.184800000000003</v>
      </c>
    </row>
    <row r="1381" spans="1:6">
      <c r="A1381" s="485">
        <v>423030543600</v>
      </c>
      <c r="B1381" t="s">
        <v>2834</v>
      </c>
      <c r="C1381">
        <v>0</v>
      </c>
      <c r="D1381">
        <v>35.331999999999994</v>
      </c>
      <c r="E1381">
        <v>35.331999999999994</v>
      </c>
      <c r="F1381">
        <v>1.1826999999999999</v>
      </c>
    </row>
    <row r="1382" spans="1:6">
      <c r="A1382" s="485">
        <v>423030543800</v>
      </c>
      <c r="B1382" t="s">
        <v>2835</v>
      </c>
      <c r="C1382">
        <v>0</v>
      </c>
      <c r="D1382">
        <v>0</v>
      </c>
      <c r="E1382">
        <v>0</v>
      </c>
      <c r="F1382">
        <v>0</v>
      </c>
    </row>
    <row r="1383" spans="1:6">
      <c r="A1383" s="485">
        <v>423030612800</v>
      </c>
      <c r="B1383" t="s">
        <v>2836</v>
      </c>
      <c r="C1383">
        <v>0</v>
      </c>
      <c r="D1383">
        <v>0</v>
      </c>
      <c r="E1383">
        <v>0</v>
      </c>
      <c r="F1383">
        <v>8.9899999999999994E-2</v>
      </c>
    </row>
    <row r="1384" spans="1:6">
      <c r="A1384" s="485">
        <v>423030880700</v>
      </c>
      <c r="B1384" t="s">
        <v>2837</v>
      </c>
      <c r="C1384">
        <v>0</v>
      </c>
      <c r="D1384">
        <v>0</v>
      </c>
      <c r="E1384">
        <v>0</v>
      </c>
      <c r="F1384">
        <v>15</v>
      </c>
    </row>
    <row r="1385" spans="1:6">
      <c r="A1385" s="485">
        <v>423030544200</v>
      </c>
      <c r="B1385" t="s">
        <v>2838</v>
      </c>
      <c r="C1385">
        <v>1.9999</v>
      </c>
      <c r="D1385">
        <v>1.4174</v>
      </c>
      <c r="E1385">
        <v>3.4173</v>
      </c>
      <c r="F1385">
        <v>3000.0001000000002</v>
      </c>
    </row>
    <row r="1386" spans="1:6">
      <c r="A1386" s="485">
        <v>423030540800</v>
      </c>
      <c r="B1386" t="s">
        <v>2839</v>
      </c>
      <c r="C1386">
        <v>0</v>
      </c>
      <c r="D1386">
        <v>0</v>
      </c>
      <c r="E1386">
        <v>0</v>
      </c>
      <c r="F1386">
        <v>24.2105</v>
      </c>
    </row>
    <row r="1387" spans="1:6">
      <c r="A1387" s="485">
        <v>423030543700</v>
      </c>
      <c r="B1387" t="s">
        <v>2840</v>
      </c>
      <c r="C1387">
        <v>0</v>
      </c>
      <c r="D1387">
        <v>0</v>
      </c>
      <c r="E1387">
        <v>0</v>
      </c>
      <c r="F1387">
        <v>70.991299999999981</v>
      </c>
    </row>
    <row r="1388" spans="1:6">
      <c r="A1388" s="485">
        <v>423030545000</v>
      </c>
      <c r="B1388" t="s">
        <v>2841</v>
      </c>
      <c r="C1388">
        <v>12</v>
      </c>
      <c r="D1388">
        <v>47.591999999999999</v>
      </c>
      <c r="E1388">
        <v>59.591999999999999</v>
      </c>
      <c r="F1388">
        <v>9.2665000000000006</v>
      </c>
    </row>
    <row r="1389" spans="1:6">
      <c r="A1389" s="485">
        <v>423030545200</v>
      </c>
      <c r="B1389" t="s">
        <v>2842</v>
      </c>
      <c r="C1389">
        <v>0</v>
      </c>
      <c r="D1389">
        <v>0</v>
      </c>
      <c r="E1389">
        <v>0</v>
      </c>
      <c r="F1389">
        <v>1046.5486000000001</v>
      </c>
    </row>
    <row r="1390" spans="1:6">
      <c r="A1390" s="485">
        <v>423030543200</v>
      </c>
      <c r="B1390" t="s">
        <v>2843</v>
      </c>
      <c r="C1390">
        <v>0</v>
      </c>
      <c r="D1390">
        <v>0</v>
      </c>
      <c r="E1390">
        <v>0</v>
      </c>
      <c r="F1390">
        <v>42</v>
      </c>
    </row>
    <row r="1391" spans="1:6">
      <c r="A1391" s="485">
        <v>423030540200</v>
      </c>
      <c r="B1391" t="s">
        <v>2844</v>
      </c>
      <c r="C1391">
        <v>0</v>
      </c>
      <c r="D1391">
        <v>0</v>
      </c>
      <c r="E1391">
        <v>0</v>
      </c>
      <c r="F1391">
        <v>0.98919999999999997</v>
      </c>
    </row>
    <row r="1392" spans="1:6">
      <c r="A1392" s="485">
        <v>423030558800</v>
      </c>
      <c r="B1392" t="s">
        <v>2845</v>
      </c>
      <c r="C1392">
        <v>133.61799999999999</v>
      </c>
      <c r="D1392">
        <v>8.3691999999999993</v>
      </c>
      <c r="E1392">
        <v>141.9872</v>
      </c>
      <c r="F1392">
        <v>2.5000000000000001E-3</v>
      </c>
    </row>
    <row r="1393" spans="1:6">
      <c r="A1393" s="485">
        <v>423030558700</v>
      </c>
      <c r="B1393" t="s">
        <v>2846</v>
      </c>
      <c r="C1393">
        <v>0</v>
      </c>
      <c r="D1393">
        <v>0</v>
      </c>
      <c r="E1393">
        <v>0</v>
      </c>
      <c r="F1393">
        <v>2.5000000000000001E-3</v>
      </c>
    </row>
    <row r="1394" spans="1:6">
      <c r="A1394" s="485">
        <v>423030932300</v>
      </c>
      <c r="B1394" t="s">
        <v>2847</v>
      </c>
      <c r="C1394">
        <v>0</v>
      </c>
      <c r="D1394">
        <v>0</v>
      </c>
      <c r="E1394">
        <v>0</v>
      </c>
      <c r="F1394" s="605">
        <f>SUM(F15:F1393)</f>
        <v>267219.26630000002</v>
      </c>
    </row>
    <row r="1395" spans="1:6">
      <c r="A1395" s="485">
        <v>423030932300</v>
      </c>
      <c r="B1395" t="s">
        <v>2848</v>
      </c>
      <c r="C1395">
        <v>21.361599999999999</v>
      </c>
      <c r="D1395">
        <v>0.58500000000000008</v>
      </c>
      <c r="E1395">
        <v>21.9466</v>
      </c>
    </row>
    <row r="1396" spans="1:6">
      <c r="A1396" s="485">
        <v>423030556100</v>
      </c>
      <c r="B1396" t="s">
        <v>2849</v>
      </c>
      <c r="C1396">
        <v>182.99979999999999</v>
      </c>
      <c r="D1396">
        <v>41.931200000000004</v>
      </c>
      <c r="E1396">
        <v>224.93099999999998</v>
      </c>
    </row>
    <row r="1397" spans="1:6">
      <c r="A1397" s="485">
        <v>423030561600</v>
      </c>
      <c r="B1397" t="s">
        <v>2850</v>
      </c>
      <c r="C1397">
        <v>84.354900000000001</v>
      </c>
      <c r="D1397">
        <v>27.305700000000002</v>
      </c>
      <c r="E1397">
        <v>111.6606</v>
      </c>
    </row>
    <row r="1398" spans="1:6">
      <c r="A1398" s="485">
        <v>423030560800</v>
      </c>
      <c r="B1398" t="s">
        <v>2851</v>
      </c>
      <c r="C1398">
        <v>0</v>
      </c>
      <c r="D1398">
        <v>0</v>
      </c>
      <c r="E1398">
        <v>0</v>
      </c>
    </row>
    <row r="1399" spans="1:6">
      <c r="A1399" s="485">
        <v>423030653400</v>
      </c>
      <c r="B1399" t="s">
        <v>2852</v>
      </c>
      <c r="C1399">
        <v>0</v>
      </c>
      <c r="D1399">
        <v>0</v>
      </c>
      <c r="E1399">
        <v>0</v>
      </c>
    </row>
    <row r="1400" spans="1:6">
      <c r="A1400" s="485">
        <v>423030560000</v>
      </c>
      <c r="B1400" t="s">
        <v>2853</v>
      </c>
      <c r="C1400">
        <v>0</v>
      </c>
      <c r="D1400">
        <v>0</v>
      </c>
      <c r="E1400">
        <v>0</v>
      </c>
    </row>
    <row r="1401" spans="1:6">
      <c r="A1401" s="485">
        <v>423030559900</v>
      </c>
      <c r="B1401" t="s">
        <v>2854</v>
      </c>
      <c r="C1401">
        <v>137.55669999999998</v>
      </c>
      <c r="D1401">
        <v>27.290900000000001</v>
      </c>
      <c r="E1401">
        <v>164.84759999999997</v>
      </c>
    </row>
    <row r="1402" spans="1:6">
      <c r="A1402" s="485">
        <v>423030553100</v>
      </c>
      <c r="B1402" t="s">
        <v>2855</v>
      </c>
      <c r="C1402">
        <v>0</v>
      </c>
      <c r="D1402">
        <v>0</v>
      </c>
      <c r="E1402">
        <v>0</v>
      </c>
    </row>
    <row r="1403" spans="1:6">
      <c r="A1403" s="485">
        <v>423030553100</v>
      </c>
      <c r="B1403" t="s">
        <v>2856</v>
      </c>
      <c r="C1403">
        <v>0</v>
      </c>
      <c r="D1403">
        <v>0</v>
      </c>
      <c r="E1403">
        <v>0</v>
      </c>
    </row>
    <row r="1404" spans="1:6">
      <c r="A1404" s="485">
        <v>423030555600</v>
      </c>
      <c r="B1404">
        <v>5811066102</v>
      </c>
      <c r="C1404">
        <v>1099.7126000000001</v>
      </c>
      <c r="D1404">
        <v>468.39780000000002</v>
      </c>
      <c r="E1404">
        <v>1568.1104</v>
      </c>
    </row>
    <row r="1405" spans="1:6">
      <c r="A1405" s="485">
        <v>423030555600</v>
      </c>
      <c r="B1405" t="s">
        <v>2857</v>
      </c>
      <c r="C1405">
        <v>0</v>
      </c>
      <c r="D1405">
        <v>0</v>
      </c>
      <c r="E1405">
        <v>0</v>
      </c>
    </row>
    <row r="1406" spans="1:6">
      <c r="A1406" s="485">
        <v>423030555600</v>
      </c>
      <c r="B1406" t="s">
        <v>2858</v>
      </c>
      <c r="C1406">
        <v>75.098500000000001</v>
      </c>
      <c r="D1406">
        <v>1.6133999999999999</v>
      </c>
      <c r="E1406">
        <v>76.7119</v>
      </c>
    </row>
    <row r="1407" spans="1:6">
      <c r="A1407" s="485">
        <v>423030554900</v>
      </c>
      <c r="B1407" t="s">
        <v>2859</v>
      </c>
      <c r="C1407">
        <v>0</v>
      </c>
      <c r="D1407">
        <v>0</v>
      </c>
      <c r="E1407">
        <v>0</v>
      </c>
    </row>
    <row r="1408" spans="1:6">
      <c r="A1408" s="485">
        <v>423030554800</v>
      </c>
      <c r="B1408" t="s">
        <v>2860</v>
      </c>
      <c r="C1408">
        <v>0</v>
      </c>
      <c r="D1408">
        <v>0</v>
      </c>
      <c r="E1408">
        <v>0</v>
      </c>
    </row>
    <row r="1409" spans="1:5">
      <c r="A1409" s="485">
        <v>423030645200</v>
      </c>
      <c r="B1409" t="s">
        <v>2861</v>
      </c>
      <c r="C1409">
        <v>0</v>
      </c>
      <c r="D1409">
        <v>113.80700000000002</v>
      </c>
      <c r="E1409">
        <v>113.80700000000002</v>
      </c>
    </row>
    <row r="1410" spans="1:5">
      <c r="A1410" s="485">
        <v>423030645200</v>
      </c>
      <c r="B1410" t="s">
        <v>2862</v>
      </c>
      <c r="C1410">
        <v>38</v>
      </c>
      <c r="D1410">
        <v>66.657499999999999</v>
      </c>
      <c r="E1410">
        <v>104.6575</v>
      </c>
    </row>
    <row r="1411" spans="1:5">
      <c r="A1411" s="485">
        <v>423030553900</v>
      </c>
      <c r="B1411" t="s">
        <v>2863</v>
      </c>
      <c r="C1411">
        <v>0</v>
      </c>
      <c r="D1411">
        <v>0</v>
      </c>
      <c r="E1411">
        <v>0</v>
      </c>
    </row>
    <row r="1412" spans="1:5">
      <c r="A1412" s="485">
        <v>423030553500</v>
      </c>
      <c r="B1412" t="s">
        <v>2864</v>
      </c>
      <c r="C1412">
        <v>0</v>
      </c>
      <c r="D1412">
        <v>0</v>
      </c>
      <c r="E1412">
        <v>0</v>
      </c>
    </row>
    <row r="1413" spans="1:5">
      <c r="A1413" s="485">
        <v>423030670600</v>
      </c>
      <c r="B1413" t="s">
        <v>2865</v>
      </c>
      <c r="C1413">
        <v>5</v>
      </c>
      <c r="D1413">
        <v>28.354999999999997</v>
      </c>
      <c r="E1413">
        <v>33.354999999999997</v>
      </c>
    </row>
    <row r="1414" spans="1:5">
      <c r="A1414" s="485">
        <v>423030551200</v>
      </c>
      <c r="B1414" t="s">
        <v>2866</v>
      </c>
      <c r="C1414">
        <v>14.946299999999999</v>
      </c>
      <c r="D1414">
        <v>3.3672</v>
      </c>
      <c r="E1414">
        <v>18.313499999999998</v>
      </c>
    </row>
    <row r="1415" spans="1:5">
      <c r="A1415" s="485">
        <v>423030550300</v>
      </c>
      <c r="B1415" t="s">
        <v>2867</v>
      </c>
      <c r="C1415">
        <v>0</v>
      </c>
      <c r="D1415">
        <v>0</v>
      </c>
      <c r="E1415">
        <v>0</v>
      </c>
    </row>
    <row r="1416" spans="1:5">
      <c r="A1416" s="485">
        <v>423030550100</v>
      </c>
      <c r="B1416" t="s">
        <v>2868</v>
      </c>
      <c r="C1416">
        <v>0</v>
      </c>
      <c r="D1416">
        <v>0</v>
      </c>
      <c r="E1416">
        <v>0</v>
      </c>
    </row>
    <row r="1417" spans="1:5">
      <c r="A1417" s="485">
        <v>423031033300</v>
      </c>
      <c r="B1417" t="s">
        <v>2869</v>
      </c>
      <c r="C1417">
        <v>0</v>
      </c>
      <c r="D1417">
        <v>0</v>
      </c>
      <c r="E1417">
        <v>0</v>
      </c>
    </row>
    <row r="1418" spans="1:5">
      <c r="A1418" s="485">
        <v>423030548700</v>
      </c>
      <c r="B1418" t="s">
        <v>2870</v>
      </c>
      <c r="C1418">
        <v>0</v>
      </c>
      <c r="D1418">
        <v>0</v>
      </c>
      <c r="E1418">
        <v>0</v>
      </c>
    </row>
    <row r="1419" spans="1:5">
      <c r="A1419" s="485">
        <v>423030548700</v>
      </c>
      <c r="B1419" t="s">
        <v>2871</v>
      </c>
      <c r="C1419">
        <v>0</v>
      </c>
      <c r="D1419">
        <v>0</v>
      </c>
      <c r="E1419">
        <v>0</v>
      </c>
    </row>
    <row r="1420" spans="1:5">
      <c r="A1420" s="485">
        <v>423030548700</v>
      </c>
      <c r="B1420" t="s">
        <v>2872</v>
      </c>
      <c r="C1420">
        <v>2.8369999999999997</v>
      </c>
      <c r="D1420">
        <v>0.94009999999999994</v>
      </c>
      <c r="E1420">
        <v>3.7770999999999999</v>
      </c>
    </row>
    <row r="1421" spans="1:5">
      <c r="A1421" s="485">
        <v>423030578300</v>
      </c>
      <c r="B1421" t="s">
        <v>2873</v>
      </c>
      <c r="C1421">
        <v>0</v>
      </c>
      <c r="D1421">
        <v>0</v>
      </c>
      <c r="E1421">
        <v>0</v>
      </c>
    </row>
    <row r="1422" spans="1:5">
      <c r="A1422" s="485">
        <v>423030575700</v>
      </c>
      <c r="B1422" t="s">
        <v>2874</v>
      </c>
      <c r="C1422">
        <v>0</v>
      </c>
      <c r="D1422">
        <v>0</v>
      </c>
      <c r="E1422">
        <v>0</v>
      </c>
    </row>
    <row r="1423" spans="1:5">
      <c r="A1423" s="485">
        <v>423030575800</v>
      </c>
      <c r="B1423" t="s">
        <v>2875</v>
      </c>
      <c r="C1423">
        <v>34.230899999999998</v>
      </c>
      <c r="D1423">
        <v>11.429600000000001</v>
      </c>
      <c r="E1423">
        <v>45.660499999999999</v>
      </c>
    </row>
    <row r="1424" spans="1:5">
      <c r="A1424" s="485">
        <v>423030575600</v>
      </c>
      <c r="B1424" t="s">
        <v>2876</v>
      </c>
      <c r="C1424">
        <v>20.636299999999999</v>
      </c>
      <c r="D1424">
        <v>2.9392999999999998</v>
      </c>
      <c r="E1424">
        <v>23.575599999999998</v>
      </c>
    </row>
    <row r="1425" spans="1:5">
      <c r="A1425" s="485">
        <v>423030575600</v>
      </c>
      <c r="B1425" t="s">
        <v>2877</v>
      </c>
      <c r="C1425">
        <v>0</v>
      </c>
      <c r="D1425">
        <v>0</v>
      </c>
      <c r="E1425">
        <v>0</v>
      </c>
    </row>
    <row r="1426" spans="1:5">
      <c r="A1426" s="485">
        <v>423030574600</v>
      </c>
      <c r="B1426" t="s">
        <v>2878</v>
      </c>
      <c r="C1426">
        <v>9.1273</v>
      </c>
      <c r="D1426">
        <v>3.9363000000000001</v>
      </c>
      <c r="E1426">
        <v>13.063600000000001</v>
      </c>
    </row>
    <row r="1427" spans="1:5">
      <c r="A1427" s="485">
        <v>423030611400</v>
      </c>
      <c r="B1427" t="s">
        <v>2879</v>
      </c>
      <c r="C1427">
        <v>0</v>
      </c>
      <c r="D1427">
        <v>0</v>
      </c>
      <c r="E1427">
        <v>0</v>
      </c>
    </row>
    <row r="1428" spans="1:5">
      <c r="A1428" s="485">
        <v>423030623100</v>
      </c>
      <c r="B1428" t="s">
        <v>2880</v>
      </c>
      <c r="C1428">
        <v>1.0001</v>
      </c>
      <c r="D1428">
        <v>0.3</v>
      </c>
      <c r="E1428">
        <v>1.3001</v>
      </c>
    </row>
    <row r="1429" spans="1:5">
      <c r="A1429" s="485">
        <v>423030620700</v>
      </c>
      <c r="B1429" t="s">
        <v>2881</v>
      </c>
      <c r="C1429">
        <v>0</v>
      </c>
      <c r="D1429">
        <v>0</v>
      </c>
      <c r="E1429">
        <v>0</v>
      </c>
    </row>
    <row r="1430" spans="1:5">
      <c r="A1430" s="485">
        <v>423030611000</v>
      </c>
      <c r="B1430" t="s">
        <v>2882</v>
      </c>
      <c r="C1430">
        <v>0</v>
      </c>
      <c r="D1430">
        <v>0</v>
      </c>
      <c r="E1430">
        <v>0</v>
      </c>
    </row>
    <row r="1431" spans="1:5">
      <c r="A1431" s="485">
        <v>423030582000</v>
      </c>
      <c r="B1431" t="s">
        <v>2883</v>
      </c>
      <c r="C1431">
        <v>38</v>
      </c>
      <c r="D1431">
        <v>96.144299999999973</v>
      </c>
      <c r="E1431">
        <v>134.14429999999999</v>
      </c>
    </row>
    <row r="1432" spans="1:5">
      <c r="A1432" s="485">
        <v>423030583600</v>
      </c>
      <c r="B1432" t="s">
        <v>2884</v>
      </c>
      <c r="C1432">
        <v>0</v>
      </c>
      <c r="D1432">
        <v>0</v>
      </c>
      <c r="E1432">
        <v>0</v>
      </c>
    </row>
    <row r="1433" spans="1:5">
      <c r="A1433" s="485">
        <v>423030584200</v>
      </c>
      <c r="B1433" t="s">
        <v>2885</v>
      </c>
      <c r="C1433">
        <v>0</v>
      </c>
      <c r="D1433">
        <v>0</v>
      </c>
      <c r="E1433">
        <v>0</v>
      </c>
    </row>
    <row r="1434" spans="1:5">
      <c r="A1434" s="485">
        <v>423030586900</v>
      </c>
      <c r="B1434" t="s">
        <v>2886</v>
      </c>
      <c r="C1434">
        <v>1.7442</v>
      </c>
      <c r="D1434">
        <v>0.33</v>
      </c>
      <c r="E1434">
        <v>2.0741999999999998</v>
      </c>
    </row>
    <row r="1435" spans="1:5">
      <c r="A1435" s="485">
        <v>423030587300</v>
      </c>
      <c r="B1435" t="s">
        <v>2887</v>
      </c>
      <c r="C1435">
        <v>0</v>
      </c>
      <c r="D1435">
        <v>0</v>
      </c>
      <c r="E1435">
        <v>0</v>
      </c>
    </row>
    <row r="1436" spans="1:5">
      <c r="A1436" s="485">
        <v>423030582800</v>
      </c>
      <c r="B1436" t="s">
        <v>2888</v>
      </c>
      <c r="C1436">
        <v>0</v>
      </c>
      <c r="D1436">
        <v>0</v>
      </c>
      <c r="E1436">
        <v>0</v>
      </c>
    </row>
    <row r="1437" spans="1:5">
      <c r="A1437" s="485">
        <v>423030587200</v>
      </c>
      <c r="B1437" t="s">
        <v>2889</v>
      </c>
      <c r="C1437">
        <v>0</v>
      </c>
      <c r="D1437">
        <v>0</v>
      </c>
      <c r="E1437">
        <v>0</v>
      </c>
    </row>
    <row r="1438" spans="1:5">
      <c r="A1438" s="485">
        <v>423030696300</v>
      </c>
      <c r="B1438" t="s">
        <v>2890</v>
      </c>
      <c r="C1438">
        <v>0</v>
      </c>
      <c r="D1438">
        <v>0</v>
      </c>
      <c r="E1438">
        <v>0</v>
      </c>
    </row>
    <row r="1439" spans="1:5">
      <c r="A1439" s="485">
        <v>423030579000</v>
      </c>
      <c r="B1439" t="s">
        <v>2891</v>
      </c>
      <c r="C1439">
        <v>0</v>
      </c>
      <c r="D1439">
        <v>0</v>
      </c>
      <c r="E1439">
        <v>0</v>
      </c>
    </row>
    <row r="1440" spans="1:5">
      <c r="A1440" s="485">
        <v>423030579000</v>
      </c>
      <c r="B1440" t="s">
        <v>2892</v>
      </c>
      <c r="C1440">
        <v>52.909300000000002</v>
      </c>
      <c r="D1440">
        <v>9.4672000000000001</v>
      </c>
      <c r="E1440">
        <v>62.3765</v>
      </c>
    </row>
    <row r="1441" spans="1:5">
      <c r="A1441" s="485">
        <v>423030579200</v>
      </c>
      <c r="B1441" t="s">
        <v>2893</v>
      </c>
      <c r="C1441">
        <v>53.23919999999999</v>
      </c>
      <c r="D1441">
        <v>0.29120000000000001</v>
      </c>
      <c r="E1441">
        <v>53.530399999999993</v>
      </c>
    </row>
    <row r="1442" spans="1:5">
      <c r="A1442" s="485">
        <v>423030579600</v>
      </c>
      <c r="B1442" t="s">
        <v>2894</v>
      </c>
      <c r="C1442">
        <v>7.0000999999999998</v>
      </c>
      <c r="D1442">
        <v>21.072800000000001</v>
      </c>
      <c r="E1442">
        <v>28.072900000000001</v>
      </c>
    </row>
    <row r="1443" spans="1:5">
      <c r="A1443" s="485">
        <v>423030580400</v>
      </c>
      <c r="B1443" t="s">
        <v>2895</v>
      </c>
      <c r="C1443">
        <v>0</v>
      </c>
      <c r="D1443">
        <v>0</v>
      </c>
      <c r="E1443">
        <v>0</v>
      </c>
    </row>
    <row r="1444" spans="1:5">
      <c r="A1444" s="485">
        <v>423030580600</v>
      </c>
      <c r="B1444" t="s">
        <v>2896</v>
      </c>
      <c r="C1444">
        <v>0</v>
      </c>
      <c r="D1444">
        <v>0</v>
      </c>
      <c r="E1444">
        <v>0</v>
      </c>
    </row>
    <row r="1445" spans="1:5">
      <c r="A1445" s="485">
        <v>423030581300</v>
      </c>
      <c r="B1445" t="s">
        <v>2897</v>
      </c>
      <c r="C1445">
        <v>20.000199999999996</v>
      </c>
      <c r="D1445">
        <v>16.599</v>
      </c>
      <c r="E1445">
        <v>36.599199999999996</v>
      </c>
    </row>
    <row r="1446" spans="1:5">
      <c r="A1446" s="485">
        <v>423030581300</v>
      </c>
      <c r="B1446" t="s">
        <v>2898</v>
      </c>
      <c r="C1446">
        <v>7</v>
      </c>
      <c r="D1446">
        <v>11.670999999999999</v>
      </c>
      <c r="E1446">
        <v>18.670999999999999</v>
      </c>
    </row>
    <row r="1447" spans="1:5">
      <c r="A1447" s="485">
        <v>423030581300</v>
      </c>
      <c r="B1447" t="s">
        <v>2899</v>
      </c>
      <c r="C1447">
        <v>2.0001000000000002</v>
      </c>
      <c r="D1447">
        <v>2.4871000000000003</v>
      </c>
      <c r="E1447">
        <v>4.4872000000000005</v>
      </c>
    </row>
    <row r="1448" spans="1:5">
      <c r="A1448" s="485">
        <v>423030581000</v>
      </c>
      <c r="B1448" t="s">
        <v>2900</v>
      </c>
      <c r="C1448">
        <v>1</v>
      </c>
      <c r="D1448">
        <v>0.68320000000000003</v>
      </c>
      <c r="E1448">
        <v>1.6832</v>
      </c>
    </row>
    <row r="1449" spans="1:5">
      <c r="A1449" s="485">
        <v>423030581900</v>
      </c>
      <c r="B1449" t="s">
        <v>2901</v>
      </c>
      <c r="C1449">
        <v>0</v>
      </c>
      <c r="D1449">
        <v>0</v>
      </c>
      <c r="E1449">
        <v>0</v>
      </c>
    </row>
    <row r="1450" spans="1:5">
      <c r="A1450" s="485">
        <v>423030673600</v>
      </c>
      <c r="B1450" t="s">
        <v>2902</v>
      </c>
      <c r="C1450">
        <v>24.9999</v>
      </c>
      <c r="D1450">
        <v>13.414300000000001</v>
      </c>
      <c r="E1450">
        <v>38.414200000000001</v>
      </c>
    </row>
    <row r="1451" spans="1:5">
      <c r="A1451" s="485">
        <v>423030677200</v>
      </c>
      <c r="B1451" t="s">
        <v>2903</v>
      </c>
      <c r="C1451">
        <v>0</v>
      </c>
      <c r="D1451">
        <v>0</v>
      </c>
      <c r="E1451">
        <v>0</v>
      </c>
    </row>
    <row r="1452" spans="1:5">
      <c r="A1452" s="485">
        <v>423030675800</v>
      </c>
      <c r="B1452" t="s">
        <v>2904</v>
      </c>
      <c r="C1452">
        <v>0</v>
      </c>
      <c r="D1452">
        <v>0</v>
      </c>
      <c r="E1452">
        <v>0</v>
      </c>
    </row>
    <row r="1453" spans="1:5">
      <c r="A1453" s="485">
        <v>423030677600</v>
      </c>
      <c r="B1453" t="s">
        <v>2905</v>
      </c>
      <c r="C1453">
        <v>3.3635999999999999</v>
      </c>
      <c r="D1453">
        <v>1.2719999999999998</v>
      </c>
      <c r="E1453">
        <v>4.6356000000000002</v>
      </c>
    </row>
    <row r="1454" spans="1:5">
      <c r="A1454" s="485">
        <v>423030677400</v>
      </c>
      <c r="B1454" t="s">
        <v>2906</v>
      </c>
      <c r="C1454">
        <v>5.9999000000000002</v>
      </c>
      <c r="D1454">
        <v>0.70760000000000001</v>
      </c>
      <c r="E1454">
        <v>6.7075000000000005</v>
      </c>
    </row>
    <row r="1455" spans="1:5">
      <c r="A1455" s="485">
        <v>423030625200</v>
      </c>
      <c r="B1455" t="s">
        <v>2907</v>
      </c>
      <c r="C1455">
        <v>20.255699999999997</v>
      </c>
      <c r="D1455">
        <v>1.6226</v>
      </c>
      <c r="E1455">
        <v>21.878299999999996</v>
      </c>
    </row>
    <row r="1456" spans="1:5">
      <c r="A1456" s="485">
        <v>423030626000</v>
      </c>
      <c r="B1456" t="s">
        <v>2908</v>
      </c>
      <c r="C1456">
        <v>0</v>
      </c>
      <c r="D1456">
        <v>0</v>
      </c>
      <c r="E1456">
        <v>0</v>
      </c>
    </row>
    <row r="1457" spans="1:5">
      <c r="A1457" s="485">
        <v>423030622200</v>
      </c>
      <c r="B1457" t="s">
        <v>2909</v>
      </c>
      <c r="C1457">
        <v>0</v>
      </c>
      <c r="D1457">
        <v>0</v>
      </c>
      <c r="E1457">
        <v>0</v>
      </c>
    </row>
    <row r="1458" spans="1:5">
      <c r="A1458" s="485">
        <v>423030674000</v>
      </c>
      <c r="B1458" t="s">
        <v>2910</v>
      </c>
      <c r="C1458">
        <v>241.04060000000001</v>
      </c>
      <c r="D1458">
        <v>319.7801</v>
      </c>
      <c r="E1458">
        <v>560.82069999999999</v>
      </c>
    </row>
    <row r="1459" spans="1:5">
      <c r="A1459" s="485">
        <v>423030682800</v>
      </c>
      <c r="B1459" t="s">
        <v>2911</v>
      </c>
      <c r="C1459">
        <v>0</v>
      </c>
      <c r="D1459">
        <v>0</v>
      </c>
      <c r="E1459">
        <v>0</v>
      </c>
    </row>
    <row r="1460" spans="1:5">
      <c r="A1460" s="485">
        <v>423031060900</v>
      </c>
      <c r="B1460" t="s">
        <v>2912</v>
      </c>
      <c r="C1460">
        <v>22.321900000000003</v>
      </c>
      <c r="D1460">
        <v>0.41860000000000003</v>
      </c>
      <c r="E1460">
        <v>22.740500000000004</v>
      </c>
    </row>
    <row r="1461" spans="1:5">
      <c r="A1461" s="485">
        <v>423030881400</v>
      </c>
      <c r="B1461" t="s">
        <v>2913</v>
      </c>
      <c r="C1461">
        <v>289.41290000000004</v>
      </c>
      <c r="D1461">
        <v>30.195</v>
      </c>
      <c r="E1461">
        <v>319.60790000000003</v>
      </c>
    </row>
    <row r="1462" spans="1:5">
      <c r="A1462" s="485">
        <v>423030683100</v>
      </c>
      <c r="B1462" t="s">
        <v>2914</v>
      </c>
      <c r="C1462">
        <v>0</v>
      </c>
      <c r="D1462">
        <v>0</v>
      </c>
      <c r="E1462">
        <v>0</v>
      </c>
    </row>
    <row r="1463" spans="1:5">
      <c r="A1463" s="485">
        <v>423030683200</v>
      </c>
      <c r="B1463" t="s">
        <v>2915</v>
      </c>
      <c r="C1463">
        <v>0</v>
      </c>
      <c r="D1463">
        <v>0</v>
      </c>
      <c r="E1463">
        <v>0</v>
      </c>
    </row>
    <row r="1464" spans="1:5">
      <c r="A1464" s="485">
        <v>423030683300</v>
      </c>
      <c r="B1464" t="s">
        <v>2916</v>
      </c>
      <c r="C1464">
        <v>0</v>
      </c>
      <c r="D1464">
        <v>0</v>
      </c>
      <c r="E1464">
        <v>0</v>
      </c>
    </row>
    <row r="1465" spans="1:5">
      <c r="A1465" s="485">
        <v>423030674200</v>
      </c>
      <c r="B1465" t="s">
        <v>2917</v>
      </c>
      <c r="C1465">
        <v>1169.0001</v>
      </c>
      <c r="D1465">
        <v>785.67819999999983</v>
      </c>
      <c r="E1465">
        <v>1954.6782999999998</v>
      </c>
    </row>
    <row r="1466" spans="1:5">
      <c r="A1466" s="485">
        <v>423030635900</v>
      </c>
      <c r="B1466" t="s">
        <v>2918</v>
      </c>
      <c r="C1466">
        <v>0</v>
      </c>
      <c r="D1466">
        <v>0</v>
      </c>
      <c r="E1466">
        <v>0</v>
      </c>
    </row>
    <row r="1467" spans="1:5">
      <c r="A1467" s="485">
        <v>423030621100</v>
      </c>
      <c r="B1467" t="s">
        <v>2919</v>
      </c>
      <c r="C1467">
        <v>38.666600000000003</v>
      </c>
      <c r="D1467">
        <v>16.576999999999998</v>
      </c>
      <c r="E1467">
        <v>55.243600000000001</v>
      </c>
    </row>
    <row r="1468" spans="1:5">
      <c r="A1468" s="485">
        <v>423031175500</v>
      </c>
      <c r="B1468" t="s">
        <v>2920</v>
      </c>
      <c r="C1468">
        <v>0</v>
      </c>
      <c r="D1468">
        <v>0</v>
      </c>
      <c r="E1468">
        <v>0</v>
      </c>
    </row>
    <row r="1469" spans="1:5">
      <c r="A1469" s="485">
        <v>423030620200</v>
      </c>
      <c r="B1469" t="s">
        <v>2921</v>
      </c>
      <c r="C1469">
        <v>8.0000999999999998</v>
      </c>
      <c r="D1469">
        <v>0.7208</v>
      </c>
      <c r="E1469">
        <v>8.7209000000000003</v>
      </c>
    </row>
    <row r="1470" spans="1:5">
      <c r="A1470" s="485">
        <v>423030624800</v>
      </c>
      <c r="B1470" t="s">
        <v>2922</v>
      </c>
      <c r="C1470">
        <v>213</v>
      </c>
      <c r="D1470">
        <v>95.403999999999996</v>
      </c>
      <c r="E1470">
        <v>308.404</v>
      </c>
    </row>
    <row r="1471" spans="1:5">
      <c r="A1471" s="485">
        <v>423030625100</v>
      </c>
      <c r="B1471" t="s">
        <v>2923</v>
      </c>
      <c r="C1471">
        <v>304.5625</v>
      </c>
      <c r="D1471">
        <v>208.98070000000001</v>
      </c>
      <c r="E1471">
        <v>513.54320000000007</v>
      </c>
    </row>
    <row r="1472" spans="1:5">
      <c r="A1472" s="485">
        <v>423030639200</v>
      </c>
      <c r="B1472" t="s">
        <v>2924</v>
      </c>
      <c r="C1472">
        <v>0</v>
      </c>
      <c r="D1472">
        <v>0</v>
      </c>
      <c r="E1472">
        <v>0</v>
      </c>
    </row>
    <row r="1473" spans="1:5">
      <c r="A1473" s="485">
        <v>423030639500</v>
      </c>
      <c r="B1473" t="s">
        <v>2925</v>
      </c>
      <c r="C1473">
        <v>0</v>
      </c>
      <c r="D1473">
        <v>0</v>
      </c>
      <c r="E1473">
        <v>0</v>
      </c>
    </row>
    <row r="1474" spans="1:5">
      <c r="A1474" s="485">
        <v>423030640100</v>
      </c>
      <c r="B1474" t="s">
        <v>2926</v>
      </c>
      <c r="C1474">
        <v>0</v>
      </c>
      <c r="D1474">
        <v>0</v>
      </c>
      <c r="E1474">
        <v>0</v>
      </c>
    </row>
    <row r="1475" spans="1:5">
      <c r="A1475" s="485">
        <v>423030640100</v>
      </c>
      <c r="B1475" t="s">
        <v>2927</v>
      </c>
      <c r="C1475">
        <v>39.285600000000002</v>
      </c>
      <c r="D1475">
        <v>13.2209</v>
      </c>
      <c r="E1475">
        <v>52.506500000000003</v>
      </c>
    </row>
    <row r="1476" spans="1:5">
      <c r="A1476" s="485">
        <v>423030625000</v>
      </c>
      <c r="B1476" t="s">
        <v>2928</v>
      </c>
      <c r="C1476">
        <v>415.39020000000005</v>
      </c>
      <c r="D1476">
        <v>140.19979999999998</v>
      </c>
      <c r="E1476">
        <v>555.59</v>
      </c>
    </row>
    <row r="1477" spans="1:5">
      <c r="A1477" s="485">
        <v>423030640600</v>
      </c>
      <c r="B1477" t="s">
        <v>2929</v>
      </c>
      <c r="C1477">
        <v>10.813300000000002</v>
      </c>
      <c r="D1477">
        <v>4.4316999999999993</v>
      </c>
      <c r="E1477">
        <v>15.245000000000001</v>
      </c>
    </row>
    <row r="1478" spans="1:5">
      <c r="A1478" s="485">
        <v>423030635800</v>
      </c>
      <c r="B1478" t="s">
        <v>2930</v>
      </c>
      <c r="C1478">
        <v>0</v>
      </c>
      <c r="D1478">
        <v>0</v>
      </c>
      <c r="E1478">
        <v>0</v>
      </c>
    </row>
    <row r="1479" spans="1:5">
      <c r="A1479" s="485">
        <v>423030624600</v>
      </c>
      <c r="B1479" t="s">
        <v>2931</v>
      </c>
      <c r="C1479">
        <v>0</v>
      </c>
      <c r="D1479">
        <v>0</v>
      </c>
      <c r="E1479">
        <v>0</v>
      </c>
    </row>
    <row r="1480" spans="1:5">
      <c r="A1480" s="485">
        <v>423030624600</v>
      </c>
      <c r="B1480" t="s">
        <v>2932</v>
      </c>
      <c r="C1480">
        <v>115.86509999999998</v>
      </c>
      <c r="D1480">
        <v>1.4832999999999998</v>
      </c>
      <c r="E1480">
        <v>117.34839999999998</v>
      </c>
    </row>
    <row r="1481" spans="1:5">
      <c r="A1481" s="485">
        <v>423030624500</v>
      </c>
      <c r="B1481" t="s">
        <v>2933</v>
      </c>
      <c r="C1481">
        <v>0</v>
      </c>
      <c r="D1481">
        <v>0</v>
      </c>
      <c r="E1481">
        <v>0</v>
      </c>
    </row>
    <row r="1482" spans="1:5">
      <c r="A1482" s="485">
        <v>423030635300</v>
      </c>
      <c r="B1482" t="s">
        <v>2934</v>
      </c>
      <c r="C1482">
        <v>1.0001</v>
      </c>
      <c r="D1482">
        <v>42.286300000000004</v>
      </c>
      <c r="E1482">
        <v>43.286400000000008</v>
      </c>
    </row>
    <row r="1483" spans="1:5">
      <c r="A1483" s="485">
        <v>423030622900</v>
      </c>
      <c r="B1483" t="s">
        <v>2935</v>
      </c>
      <c r="C1483">
        <v>0</v>
      </c>
      <c r="D1483">
        <v>0</v>
      </c>
      <c r="E1483">
        <v>0</v>
      </c>
    </row>
    <row r="1484" spans="1:5">
      <c r="A1484" s="485">
        <v>423030622900</v>
      </c>
      <c r="B1484" t="s">
        <v>2936</v>
      </c>
      <c r="C1484">
        <v>941.99990000000003</v>
      </c>
      <c r="D1484">
        <v>47.872</v>
      </c>
      <c r="E1484">
        <v>989.87189999999998</v>
      </c>
    </row>
    <row r="1485" spans="1:5">
      <c r="A1485" s="485">
        <v>423030627700</v>
      </c>
      <c r="B1485" t="s">
        <v>2937</v>
      </c>
      <c r="C1485">
        <v>0</v>
      </c>
      <c r="D1485">
        <v>0</v>
      </c>
      <c r="E1485">
        <v>0</v>
      </c>
    </row>
    <row r="1486" spans="1:5">
      <c r="A1486" s="485">
        <v>423030627700</v>
      </c>
      <c r="B1486" t="s">
        <v>2938</v>
      </c>
      <c r="C1486">
        <v>1.0001</v>
      </c>
      <c r="D1486">
        <v>0.61980000000000002</v>
      </c>
      <c r="E1486">
        <v>1.6198999999999999</v>
      </c>
    </row>
    <row r="1487" spans="1:5">
      <c r="A1487" s="485">
        <v>423030623200</v>
      </c>
      <c r="B1487" t="s">
        <v>2939</v>
      </c>
      <c r="C1487">
        <v>0.9998999999999999</v>
      </c>
      <c r="D1487">
        <v>1.0449999999999999</v>
      </c>
      <c r="E1487">
        <v>2.0448999999999997</v>
      </c>
    </row>
    <row r="1488" spans="1:5">
      <c r="A1488" s="485">
        <v>423030609700</v>
      </c>
      <c r="B1488" t="s">
        <v>2940</v>
      </c>
      <c r="C1488">
        <v>0</v>
      </c>
      <c r="D1488">
        <v>0</v>
      </c>
      <c r="E1488">
        <v>0</v>
      </c>
    </row>
    <row r="1489" spans="1:5">
      <c r="A1489" s="485">
        <v>423030624300</v>
      </c>
      <c r="B1489" t="s">
        <v>2941</v>
      </c>
      <c r="C1489">
        <v>0</v>
      </c>
      <c r="D1489">
        <v>0</v>
      </c>
      <c r="E1489">
        <v>0</v>
      </c>
    </row>
    <row r="1490" spans="1:5">
      <c r="A1490" s="485">
        <v>423030613600</v>
      </c>
      <c r="B1490" t="s">
        <v>2942</v>
      </c>
      <c r="C1490">
        <v>0</v>
      </c>
      <c r="D1490">
        <v>0</v>
      </c>
      <c r="E1490">
        <v>0</v>
      </c>
    </row>
    <row r="1491" spans="1:5">
      <c r="A1491" s="485">
        <v>423030618800</v>
      </c>
      <c r="B1491" t="s">
        <v>2943</v>
      </c>
      <c r="C1491">
        <v>0</v>
      </c>
      <c r="D1491">
        <v>0</v>
      </c>
      <c r="E1491">
        <v>0</v>
      </c>
    </row>
    <row r="1492" spans="1:5">
      <c r="A1492" s="485">
        <v>423030618900</v>
      </c>
      <c r="B1492" t="s">
        <v>2944</v>
      </c>
      <c r="C1492">
        <v>0</v>
      </c>
      <c r="D1492">
        <v>0</v>
      </c>
      <c r="E1492">
        <v>0</v>
      </c>
    </row>
    <row r="1493" spans="1:5">
      <c r="A1493" s="485">
        <v>423030619100</v>
      </c>
      <c r="B1493" t="s">
        <v>2945</v>
      </c>
      <c r="C1493">
        <v>0</v>
      </c>
      <c r="D1493">
        <v>0</v>
      </c>
      <c r="E1493">
        <v>0</v>
      </c>
    </row>
    <row r="1494" spans="1:5">
      <c r="A1494" s="485">
        <v>423030619200</v>
      </c>
      <c r="B1494" t="s">
        <v>2946</v>
      </c>
      <c r="C1494">
        <v>0</v>
      </c>
      <c r="D1494">
        <v>0</v>
      </c>
      <c r="E1494">
        <v>0</v>
      </c>
    </row>
    <row r="1495" spans="1:5">
      <c r="A1495" s="485">
        <v>423030623400</v>
      </c>
      <c r="B1495" t="s">
        <v>2947</v>
      </c>
      <c r="C1495">
        <v>2</v>
      </c>
      <c r="D1495">
        <v>2.0173999999999999</v>
      </c>
      <c r="E1495">
        <v>4.0174000000000003</v>
      </c>
    </row>
    <row r="1496" spans="1:5">
      <c r="A1496" s="485">
        <v>423030623400</v>
      </c>
      <c r="B1496" t="s">
        <v>2948</v>
      </c>
      <c r="C1496">
        <v>3.6522000000000001</v>
      </c>
      <c r="D1496">
        <v>0</v>
      </c>
      <c r="E1496">
        <v>3.6522000000000001</v>
      </c>
    </row>
    <row r="1497" spans="1:5">
      <c r="A1497" s="485">
        <v>423030619500</v>
      </c>
      <c r="B1497" t="s">
        <v>2949</v>
      </c>
      <c r="C1497">
        <v>0</v>
      </c>
      <c r="D1497">
        <v>0</v>
      </c>
      <c r="E1497">
        <v>0</v>
      </c>
    </row>
    <row r="1498" spans="1:5">
      <c r="A1498" s="485">
        <v>423030681100</v>
      </c>
      <c r="B1498" t="s">
        <v>2950</v>
      </c>
      <c r="C1498">
        <v>0</v>
      </c>
      <c r="D1498">
        <v>0</v>
      </c>
      <c r="E1498">
        <v>0</v>
      </c>
    </row>
    <row r="1499" spans="1:5">
      <c r="A1499" s="485">
        <v>423030681100</v>
      </c>
      <c r="B1499" t="s">
        <v>2951</v>
      </c>
      <c r="C1499">
        <v>0.55559999999999998</v>
      </c>
      <c r="D1499">
        <v>5.8116000000000003</v>
      </c>
      <c r="E1499">
        <v>6.3672000000000004</v>
      </c>
    </row>
    <row r="1500" spans="1:5">
      <c r="A1500" s="485">
        <v>423030685400</v>
      </c>
      <c r="B1500" t="s">
        <v>2952</v>
      </c>
      <c r="C1500">
        <v>0</v>
      </c>
      <c r="D1500">
        <v>0</v>
      </c>
      <c r="E1500">
        <v>0</v>
      </c>
    </row>
    <row r="1501" spans="1:5">
      <c r="A1501" s="485">
        <v>423030684500</v>
      </c>
      <c r="B1501" t="s">
        <v>2953</v>
      </c>
      <c r="C1501">
        <v>0</v>
      </c>
      <c r="D1501">
        <v>0</v>
      </c>
      <c r="E1501">
        <v>0</v>
      </c>
    </row>
    <row r="1502" spans="1:5">
      <c r="A1502" s="485">
        <v>423030680300</v>
      </c>
      <c r="B1502" t="s">
        <v>2954</v>
      </c>
      <c r="C1502">
        <v>0</v>
      </c>
      <c r="D1502">
        <v>0</v>
      </c>
      <c r="E1502">
        <v>0</v>
      </c>
    </row>
    <row r="1503" spans="1:5">
      <c r="A1503" s="485">
        <v>423030625700</v>
      </c>
      <c r="B1503" t="s">
        <v>2955</v>
      </c>
      <c r="C1503">
        <v>0</v>
      </c>
      <c r="D1503">
        <v>0</v>
      </c>
      <c r="E1503">
        <v>0</v>
      </c>
    </row>
    <row r="1504" spans="1:5">
      <c r="A1504" s="485">
        <v>423030680100</v>
      </c>
      <c r="B1504" t="s">
        <v>2956</v>
      </c>
      <c r="C1504">
        <v>0</v>
      </c>
      <c r="D1504">
        <v>0</v>
      </c>
      <c r="E1504">
        <v>0</v>
      </c>
    </row>
    <row r="1505" spans="1:5">
      <c r="A1505" s="485">
        <v>423030474300</v>
      </c>
      <c r="B1505" t="s">
        <v>2957</v>
      </c>
      <c r="C1505">
        <v>4967.6704</v>
      </c>
      <c r="D1505">
        <v>5308.2188999999998</v>
      </c>
      <c r="E1505">
        <v>10275.889299999999</v>
      </c>
    </row>
    <row r="1506" spans="1:5">
      <c r="A1506" s="485">
        <v>423030474300</v>
      </c>
      <c r="B1506" t="s">
        <v>2958</v>
      </c>
      <c r="C1506">
        <v>0</v>
      </c>
      <c r="D1506">
        <v>31211.369000000002</v>
      </c>
      <c r="E1506">
        <v>31211.369000000002</v>
      </c>
    </row>
    <row r="1507" spans="1:5">
      <c r="A1507" s="485">
        <v>423030658300</v>
      </c>
      <c r="B1507" t="s">
        <v>2959</v>
      </c>
      <c r="C1507">
        <v>131</v>
      </c>
      <c r="D1507">
        <v>348.89299999999997</v>
      </c>
      <c r="E1507">
        <v>479.89299999999997</v>
      </c>
    </row>
    <row r="1508" spans="1:5">
      <c r="A1508" s="485">
        <v>423030594600</v>
      </c>
      <c r="B1508" t="s">
        <v>2960</v>
      </c>
      <c r="C1508">
        <v>0</v>
      </c>
      <c r="D1508">
        <v>0</v>
      </c>
      <c r="E1508">
        <v>0</v>
      </c>
    </row>
    <row r="1509" spans="1:5">
      <c r="A1509" s="485">
        <v>423030693700</v>
      </c>
      <c r="B1509" t="s">
        <v>2961</v>
      </c>
      <c r="C1509">
        <v>7.9566000000000008</v>
      </c>
      <c r="D1509">
        <v>5.2227000000000006</v>
      </c>
      <c r="E1509">
        <v>13.179300000000001</v>
      </c>
    </row>
    <row r="1510" spans="1:5">
      <c r="A1510" s="485">
        <v>423030683800</v>
      </c>
      <c r="B1510" t="s">
        <v>2962</v>
      </c>
      <c r="C1510">
        <v>87.131299999999996</v>
      </c>
      <c r="D1510">
        <v>51.307900000000004</v>
      </c>
      <c r="E1510">
        <v>138.4392</v>
      </c>
    </row>
    <row r="1511" spans="1:5">
      <c r="A1511" s="485">
        <v>423030497300</v>
      </c>
      <c r="B1511" t="s">
        <v>2963</v>
      </c>
      <c r="C1511">
        <v>0</v>
      </c>
      <c r="D1511">
        <v>4.0150000000000006</v>
      </c>
      <c r="E1511">
        <v>4.0150000000000006</v>
      </c>
    </row>
    <row r="1512" spans="1:5">
      <c r="A1512" s="485">
        <v>423030695400</v>
      </c>
      <c r="B1512" t="s">
        <v>2964</v>
      </c>
      <c r="C1512">
        <v>0</v>
      </c>
      <c r="D1512">
        <v>0</v>
      </c>
      <c r="E1512">
        <v>0</v>
      </c>
    </row>
    <row r="1513" spans="1:5">
      <c r="A1513" s="485">
        <v>423030693600</v>
      </c>
      <c r="B1513" t="s">
        <v>2965</v>
      </c>
      <c r="C1513">
        <v>0</v>
      </c>
      <c r="D1513">
        <v>0</v>
      </c>
      <c r="E1513">
        <v>0</v>
      </c>
    </row>
    <row r="1514" spans="1:5">
      <c r="A1514" s="485">
        <v>423030684800</v>
      </c>
      <c r="B1514" t="s">
        <v>2966</v>
      </c>
      <c r="C1514">
        <v>0</v>
      </c>
      <c r="D1514">
        <v>0</v>
      </c>
      <c r="E1514">
        <v>0</v>
      </c>
    </row>
    <row r="1515" spans="1:5">
      <c r="A1515" s="485">
        <v>423030497600</v>
      </c>
      <c r="B1515" t="s">
        <v>2967</v>
      </c>
      <c r="C1515">
        <v>0</v>
      </c>
      <c r="D1515">
        <v>0</v>
      </c>
      <c r="E1515">
        <v>0</v>
      </c>
    </row>
    <row r="1516" spans="1:5">
      <c r="A1516" s="485">
        <v>423030620800</v>
      </c>
      <c r="B1516" t="s">
        <v>2968</v>
      </c>
      <c r="C1516">
        <v>15.627699999999997</v>
      </c>
      <c r="D1516">
        <v>7.6260000000000003</v>
      </c>
      <c r="E1516">
        <v>23.253699999999998</v>
      </c>
    </row>
    <row r="1517" spans="1:5">
      <c r="A1517" s="485">
        <v>423030641000</v>
      </c>
      <c r="B1517" t="s">
        <v>2969</v>
      </c>
      <c r="C1517">
        <v>27.956399999999995</v>
      </c>
      <c r="D1517">
        <v>6.2334999999999994</v>
      </c>
      <c r="E1517">
        <v>34.189899999999994</v>
      </c>
    </row>
    <row r="1518" spans="1:5">
      <c r="A1518" s="485">
        <v>423030521400</v>
      </c>
      <c r="B1518" t="s">
        <v>2970</v>
      </c>
      <c r="C1518">
        <v>0</v>
      </c>
      <c r="D1518">
        <v>0</v>
      </c>
      <c r="E1518">
        <v>0</v>
      </c>
    </row>
    <row r="1519" spans="1:5">
      <c r="A1519" s="485">
        <v>423030698100</v>
      </c>
      <c r="B1519" t="s">
        <v>2971</v>
      </c>
      <c r="C1519">
        <v>0</v>
      </c>
      <c r="D1519">
        <v>0</v>
      </c>
      <c r="E1519">
        <v>0</v>
      </c>
    </row>
    <row r="1520" spans="1:5">
      <c r="A1520" s="485">
        <v>423031196400</v>
      </c>
      <c r="B1520" t="s">
        <v>2972</v>
      </c>
      <c r="C1520">
        <v>160.33330000000001</v>
      </c>
      <c r="D1520">
        <v>8.1553999999999984</v>
      </c>
      <c r="E1520">
        <v>168.48869999999999</v>
      </c>
    </row>
    <row r="1521" spans="1:5">
      <c r="A1521" s="485">
        <v>423030698200</v>
      </c>
      <c r="B1521" t="s">
        <v>2973</v>
      </c>
      <c r="C1521">
        <v>403</v>
      </c>
      <c r="D1521">
        <v>206.72389999999999</v>
      </c>
      <c r="E1521">
        <v>609.72389999999996</v>
      </c>
    </row>
    <row r="1522" spans="1:5">
      <c r="A1522" s="485">
        <v>423030698300</v>
      </c>
      <c r="B1522" t="s">
        <v>2974</v>
      </c>
      <c r="C1522">
        <v>0</v>
      </c>
      <c r="D1522">
        <v>0</v>
      </c>
      <c r="E1522">
        <v>0</v>
      </c>
    </row>
    <row r="1523" spans="1:5">
      <c r="A1523" s="485">
        <v>423030498800</v>
      </c>
      <c r="B1523" t="s">
        <v>2975</v>
      </c>
      <c r="C1523">
        <v>320.46340000000004</v>
      </c>
      <c r="D1523">
        <v>373.46449999999999</v>
      </c>
      <c r="E1523">
        <v>693.92790000000002</v>
      </c>
    </row>
    <row r="1524" spans="1:5">
      <c r="A1524" s="485">
        <v>423030693500</v>
      </c>
      <c r="B1524" t="s">
        <v>2976</v>
      </c>
      <c r="C1524">
        <v>0</v>
      </c>
      <c r="D1524">
        <v>0</v>
      </c>
      <c r="E1524">
        <v>0</v>
      </c>
    </row>
    <row r="1525" spans="1:5">
      <c r="A1525" s="485">
        <v>423030912600</v>
      </c>
      <c r="B1525" t="s">
        <v>2977</v>
      </c>
      <c r="C1525">
        <v>226344.71420000002</v>
      </c>
      <c r="D1525">
        <v>13.1586</v>
      </c>
      <c r="E1525">
        <v>226357.87280000001</v>
      </c>
    </row>
    <row r="1526" spans="1:5">
      <c r="A1526" s="485">
        <v>423030912600</v>
      </c>
      <c r="B1526" t="s">
        <v>2978</v>
      </c>
      <c r="C1526">
        <v>0</v>
      </c>
      <c r="D1526">
        <v>0</v>
      </c>
      <c r="E1526">
        <v>0</v>
      </c>
    </row>
    <row r="1527" spans="1:5">
      <c r="A1527" s="485">
        <v>423030801100</v>
      </c>
      <c r="B1527" t="s">
        <v>2979</v>
      </c>
      <c r="C1527">
        <v>0</v>
      </c>
      <c r="D1527">
        <v>0</v>
      </c>
      <c r="E1527">
        <v>0</v>
      </c>
    </row>
    <row r="1528" spans="1:5">
      <c r="A1528" s="485">
        <v>423030904500</v>
      </c>
      <c r="B1528" t="s">
        <v>2980</v>
      </c>
      <c r="C1528">
        <v>181.05879999999999</v>
      </c>
      <c r="D1528">
        <v>93.381200000000007</v>
      </c>
      <c r="E1528">
        <v>274.44</v>
      </c>
    </row>
    <row r="1529" spans="1:5">
      <c r="A1529" s="485">
        <v>423030904500</v>
      </c>
      <c r="B1529" t="s">
        <v>2981</v>
      </c>
      <c r="C1529">
        <v>0</v>
      </c>
      <c r="D1529">
        <v>0</v>
      </c>
      <c r="E1529">
        <v>0</v>
      </c>
    </row>
    <row r="1530" spans="1:5">
      <c r="A1530" s="485">
        <v>423030904700</v>
      </c>
      <c r="B1530" t="s">
        <v>2982</v>
      </c>
      <c r="C1530">
        <v>0.99990000000000001</v>
      </c>
      <c r="D1530">
        <v>1.762</v>
      </c>
      <c r="E1530">
        <v>2.7618999999999998</v>
      </c>
    </row>
    <row r="1531" spans="1:5">
      <c r="A1531" s="485">
        <v>423030939600</v>
      </c>
      <c r="B1531" t="s">
        <v>2983</v>
      </c>
      <c r="C1531">
        <v>124.5478</v>
      </c>
      <c r="D1531">
        <v>76.46759999999999</v>
      </c>
      <c r="E1531">
        <v>201.0154</v>
      </c>
    </row>
    <row r="1532" spans="1:5">
      <c r="A1532" s="485">
        <v>423030905100</v>
      </c>
      <c r="B1532" t="s">
        <v>2984</v>
      </c>
      <c r="C1532">
        <v>6.6874000000000002</v>
      </c>
      <c r="D1532">
        <v>2.7077999999999998</v>
      </c>
      <c r="E1532">
        <v>9.3951999999999991</v>
      </c>
    </row>
    <row r="1533" spans="1:5">
      <c r="A1533" s="485">
        <v>423030905400</v>
      </c>
      <c r="B1533" t="s">
        <v>2985</v>
      </c>
      <c r="C1533">
        <v>0</v>
      </c>
      <c r="D1533">
        <v>0</v>
      </c>
      <c r="E1533">
        <v>0</v>
      </c>
    </row>
    <row r="1534" spans="1:5">
      <c r="A1534" s="485">
        <v>423030905600</v>
      </c>
      <c r="B1534" t="s">
        <v>2986</v>
      </c>
      <c r="C1534">
        <v>0</v>
      </c>
      <c r="D1534">
        <v>0</v>
      </c>
      <c r="E1534">
        <v>0</v>
      </c>
    </row>
    <row r="1535" spans="1:5">
      <c r="A1535" s="485">
        <v>423030906200</v>
      </c>
      <c r="B1535" t="s">
        <v>2987</v>
      </c>
      <c r="C1535">
        <v>18.277800000000003</v>
      </c>
      <c r="D1535">
        <v>0.42599999999999999</v>
      </c>
      <c r="E1535">
        <v>18.703800000000001</v>
      </c>
    </row>
    <row r="1536" spans="1:5">
      <c r="A1536" s="485">
        <v>423030906400</v>
      </c>
      <c r="B1536" t="s">
        <v>2988</v>
      </c>
      <c r="C1536">
        <v>12.6965</v>
      </c>
      <c r="D1536">
        <v>1.365</v>
      </c>
      <c r="E1536">
        <v>14.061500000000001</v>
      </c>
    </row>
    <row r="1537" spans="1:5">
      <c r="A1537" s="485">
        <v>423030906400</v>
      </c>
      <c r="B1537" t="s">
        <v>2989</v>
      </c>
      <c r="C1537">
        <v>0</v>
      </c>
      <c r="D1537">
        <v>0</v>
      </c>
      <c r="E1537">
        <v>0</v>
      </c>
    </row>
    <row r="1538" spans="1:5">
      <c r="A1538" s="485">
        <v>423030906600</v>
      </c>
      <c r="B1538" t="s">
        <v>2990</v>
      </c>
      <c r="C1538">
        <v>1.9999</v>
      </c>
      <c r="D1538">
        <v>4.8187999999999995</v>
      </c>
      <c r="E1538">
        <v>6.8186999999999998</v>
      </c>
    </row>
    <row r="1539" spans="1:5">
      <c r="A1539" s="485">
        <v>423030907900</v>
      </c>
      <c r="B1539" t="s">
        <v>2991</v>
      </c>
      <c r="C1539">
        <v>7.5682999999999998</v>
      </c>
      <c r="D1539">
        <v>2.4192</v>
      </c>
      <c r="E1539">
        <v>9.9875000000000007</v>
      </c>
    </row>
    <row r="1540" spans="1:5">
      <c r="A1540" s="485">
        <v>423030908500</v>
      </c>
      <c r="B1540" t="s">
        <v>2992</v>
      </c>
      <c r="C1540">
        <v>0</v>
      </c>
      <c r="D1540">
        <v>0</v>
      </c>
      <c r="E1540">
        <v>0</v>
      </c>
    </row>
    <row r="1541" spans="1:5">
      <c r="A1541" s="485">
        <v>423031206100</v>
      </c>
      <c r="B1541" t="s">
        <v>2993</v>
      </c>
      <c r="C1541">
        <v>108991.26430000001</v>
      </c>
      <c r="D1541">
        <v>0.53679999999999994</v>
      </c>
      <c r="E1541">
        <v>108991.80110000001</v>
      </c>
    </row>
    <row r="1542" spans="1:5">
      <c r="A1542" s="485">
        <v>423030909000</v>
      </c>
      <c r="B1542" t="s">
        <v>2994</v>
      </c>
      <c r="C1542">
        <v>1</v>
      </c>
      <c r="D1542">
        <v>2.7276000000000002</v>
      </c>
      <c r="E1542">
        <v>3.7276000000000002</v>
      </c>
    </row>
    <row r="1543" spans="1:5">
      <c r="A1543" s="485">
        <v>423030912700</v>
      </c>
      <c r="B1543" t="s">
        <v>2995</v>
      </c>
      <c r="C1543">
        <v>787.99999999999989</v>
      </c>
      <c r="D1543">
        <v>0</v>
      </c>
      <c r="E1543">
        <v>787.99999999999989</v>
      </c>
    </row>
    <row r="1544" spans="1:5">
      <c r="A1544" s="485">
        <v>423030912700</v>
      </c>
      <c r="B1544" t="s">
        <v>2996</v>
      </c>
      <c r="C1544">
        <v>469.99989999999997</v>
      </c>
      <c r="D1544">
        <v>2169.2399999999998</v>
      </c>
      <c r="E1544">
        <v>2639.2398999999996</v>
      </c>
    </row>
    <row r="1545" spans="1:5">
      <c r="A1545" s="485">
        <v>423030909200</v>
      </c>
      <c r="B1545" t="s">
        <v>2997</v>
      </c>
      <c r="C1545">
        <v>22.988900000000001</v>
      </c>
      <c r="D1545">
        <v>72.424800000000005</v>
      </c>
      <c r="E1545">
        <v>95.413700000000006</v>
      </c>
    </row>
    <row r="1546" spans="1:5">
      <c r="A1546" s="485">
        <v>423031219300</v>
      </c>
      <c r="B1546" t="s">
        <v>2998</v>
      </c>
      <c r="C1546">
        <v>-115.99019999999999</v>
      </c>
      <c r="D1546">
        <v>-165.8775</v>
      </c>
      <c r="E1546">
        <v>-281.86770000000001</v>
      </c>
    </row>
    <row r="1547" spans="1:5">
      <c r="A1547" s="485">
        <v>423031219300</v>
      </c>
      <c r="B1547" t="s">
        <v>2999</v>
      </c>
      <c r="C1547">
        <v>9.9999000000000002</v>
      </c>
      <c r="D1547">
        <v>4.4029999999999996</v>
      </c>
      <c r="E1547">
        <v>14.402899999999999</v>
      </c>
    </row>
    <row r="1548" spans="1:5">
      <c r="A1548" s="485">
        <v>423031219300</v>
      </c>
      <c r="B1548" t="s">
        <v>3000</v>
      </c>
      <c r="C1548">
        <v>135</v>
      </c>
      <c r="D1548">
        <v>480.86379999999997</v>
      </c>
      <c r="E1548">
        <v>615.86379999999997</v>
      </c>
    </row>
    <row r="1549" spans="1:5">
      <c r="A1549" s="485">
        <v>423030909300</v>
      </c>
      <c r="B1549" t="s">
        <v>3001</v>
      </c>
      <c r="C1549">
        <v>20</v>
      </c>
      <c r="D1549">
        <v>14.131</v>
      </c>
      <c r="E1549">
        <v>34.131</v>
      </c>
    </row>
    <row r="1550" spans="1:5">
      <c r="A1550" s="485">
        <v>423030909300</v>
      </c>
      <c r="B1550" t="s">
        <v>3002</v>
      </c>
      <c r="C1550">
        <v>46.593499999999999</v>
      </c>
      <c r="D1550">
        <v>0</v>
      </c>
      <c r="E1550">
        <v>46.593499999999999</v>
      </c>
    </row>
    <row r="1551" spans="1:5">
      <c r="A1551" s="485">
        <v>423030937300</v>
      </c>
      <c r="B1551" t="s">
        <v>3003</v>
      </c>
      <c r="C1551">
        <v>1</v>
      </c>
      <c r="D1551">
        <v>0.68640000000000001</v>
      </c>
      <c r="E1551">
        <v>1.6863999999999999</v>
      </c>
    </row>
    <row r="1552" spans="1:5">
      <c r="A1552" s="485">
        <v>423030937300</v>
      </c>
      <c r="B1552" t="s">
        <v>3004</v>
      </c>
      <c r="C1552">
        <v>0.99999999999999989</v>
      </c>
      <c r="D1552">
        <v>1.1655000000000002</v>
      </c>
      <c r="E1552">
        <v>2.1655000000000002</v>
      </c>
    </row>
    <row r="1553" spans="1:5">
      <c r="A1553" s="485">
        <v>423030910500</v>
      </c>
      <c r="B1553" t="s">
        <v>3005</v>
      </c>
      <c r="C1553">
        <v>0.99990000000000001</v>
      </c>
      <c r="D1553">
        <v>2.5304999999999995</v>
      </c>
      <c r="E1553">
        <v>3.5303999999999993</v>
      </c>
    </row>
    <row r="1554" spans="1:5">
      <c r="A1554" s="485">
        <v>423030910800</v>
      </c>
      <c r="B1554" t="s">
        <v>3006</v>
      </c>
      <c r="C1554">
        <v>0</v>
      </c>
      <c r="D1554">
        <v>0</v>
      </c>
      <c r="E1554">
        <v>0</v>
      </c>
    </row>
    <row r="1555" spans="1:5">
      <c r="A1555" s="485">
        <v>423030911100</v>
      </c>
      <c r="B1555" t="s">
        <v>3007</v>
      </c>
      <c r="C1555">
        <v>76.999899999999982</v>
      </c>
      <c r="D1555">
        <v>6.3784000000000001</v>
      </c>
      <c r="E1555">
        <v>83.378299999999982</v>
      </c>
    </row>
    <row r="1556" spans="1:5">
      <c r="A1556" s="485">
        <v>423030911300</v>
      </c>
      <c r="B1556" t="s">
        <v>3008</v>
      </c>
      <c r="C1556">
        <v>0</v>
      </c>
      <c r="D1556">
        <v>509.39399999999995</v>
      </c>
      <c r="E1556">
        <v>509.39399999999995</v>
      </c>
    </row>
    <row r="1557" spans="1:5">
      <c r="A1557" s="485">
        <v>423031219100</v>
      </c>
      <c r="B1557" t="s">
        <v>3009</v>
      </c>
      <c r="C1557">
        <v>1</v>
      </c>
      <c r="D1557">
        <v>5.5310999999999995</v>
      </c>
      <c r="E1557">
        <v>6.5310999999999995</v>
      </c>
    </row>
    <row r="1558" spans="1:5">
      <c r="A1558" s="485">
        <v>423030912000</v>
      </c>
      <c r="B1558" t="s">
        <v>3010</v>
      </c>
      <c r="C1558">
        <v>1</v>
      </c>
      <c r="D1558">
        <v>2.8106</v>
      </c>
      <c r="E1558">
        <v>3.8106</v>
      </c>
    </row>
    <row r="1559" spans="1:5">
      <c r="A1559" s="485">
        <v>423030912000</v>
      </c>
      <c r="B1559" t="s">
        <v>3011</v>
      </c>
      <c r="C1559">
        <v>0</v>
      </c>
      <c r="D1559">
        <v>0</v>
      </c>
      <c r="E1559">
        <v>0</v>
      </c>
    </row>
    <row r="1560" spans="1:5">
      <c r="A1560" s="485">
        <v>423030927500</v>
      </c>
      <c r="B1560" t="s">
        <v>3012</v>
      </c>
      <c r="C1560">
        <v>3</v>
      </c>
      <c r="D1560">
        <v>1.8546000000000002</v>
      </c>
      <c r="E1560">
        <v>4.8546000000000005</v>
      </c>
    </row>
    <row r="1561" spans="1:5">
      <c r="A1561" s="485">
        <v>423031332300</v>
      </c>
      <c r="B1561" t="s">
        <v>3013</v>
      </c>
      <c r="C1561">
        <v>0</v>
      </c>
      <c r="D1561">
        <v>0</v>
      </c>
      <c r="E1561">
        <v>0</v>
      </c>
    </row>
    <row r="1562" spans="1:5">
      <c r="A1562" s="485">
        <v>423030919300</v>
      </c>
      <c r="B1562" t="s">
        <v>3014</v>
      </c>
      <c r="C1562">
        <v>116.44319999999999</v>
      </c>
      <c r="D1562">
        <v>6.9887999999999995</v>
      </c>
      <c r="E1562">
        <v>123.43199999999999</v>
      </c>
    </row>
    <row r="1563" spans="1:5">
      <c r="A1563" s="485">
        <v>423030928600</v>
      </c>
      <c r="B1563" t="s">
        <v>3015</v>
      </c>
      <c r="C1563">
        <v>160.63639999999998</v>
      </c>
      <c r="D1563">
        <v>180.2818</v>
      </c>
      <c r="E1563">
        <v>340.91819999999996</v>
      </c>
    </row>
    <row r="1564" spans="1:5">
      <c r="A1564" s="485">
        <v>423030937500</v>
      </c>
      <c r="B1564" t="s">
        <v>3016</v>
      </c>
      <c r="C1564">
        <v>0</v>
      </c>
      <c r="D1564">
        <v>0</v>
      </c>
      <c r="E1564">
        <v>0</v>
      </c>
    </row>
    <row r="1565" spans="1:5">
      <c r="A1565" s="485">
        <v>423030912900</v>
      </c>
      <c r="B1565" t="s">
        <v>3017</v>
      </c>
      <c r="C1565">
        <v>7</v>
      </c>
      <c r="D1565">
        <v>-14.374699999999999</v>
      </c>
      <c r="E1565">
        <v>-7.3746999999999989</v>
      </c>
    </row>
    <row r="1566" spans="1:5">
      <c r="A1566" s="485">
        <v>423030912900</v>
      </c>
      <c r="B1566" t="s">
        <v>3018</v>
      </c>
      <c r="C1566">
        <v>0</v>
      </c>
      <c r="D1566">
        <v>0</v>
      </c>
      <c r="E1566">
        <v>0</v>
      </c>
    </row>
    <row r="1567" spans="1:5">
      <c r="A1567" s="485">
        <v>423030912900</v>
      </c>
      <c r="B1567" t="s">
        <v>3019</v>
      </c>
      <c r="C1567">
        <v>0</v>
      </c>
      <c r="D1567">
        <v>0</v>
      </c>
      <c r="E1567">
        <v>0</v>
      </c>
    </row>
    <row r="1568" spans="1:5">
      <c r="A1568" s="485">
        <v>423030929100</v>
      </c>
      <c r="B1568" t="s">
        <v>3020</v>
      </c>
      <c r="C1568">
        <v>0</v>
      </c>
      <c r="D1568">
        <v>0</v>
      </c>
      <c r="E1568">
        <v>0</v>
      </c>
    </row>
    <row r="1569" spans="1:5">
      <c r="A1569" s="485">
        <v>423030913400</v>
      </c>
      <c r="B1569" t="s">
        <v>3021</v>
      </c>
      <c r="C1569">
        <v>0</v>
      </c>
      <c r="D1569">
        <v>0</v>
      </c>
      <c r="E1569">
        <v>0</v>
      </c>
    </row>
    <row r="1570" spans="1:5">
      <c r="A1570" s="485">
        <v>423030930200</v>
      </c>
      <c r="B1570" t="s">
        <v>3022</v>
      </c>
      <c r="C1570">
        <v>0</v>
      </c>
      <c r="D1570">
        <v>0</v>
      </c>
      <c r="E1570">
        <v>0</v>
      </c>
    </row>
    <row r="1571" spans="1:5">
      <c r="A1571" s="485">
        <v>423030913500</v>
      </c>
      <c r="B1571" t="s">
        <v>3023</v>
      </c>
      <c r="C1571">
        <v>0</v>
      </c>
      <c r="D1571">
        <v>0</v>
      </c>
      <c r="E1571">
        <v>0</v>
      </c>
    </row>
    <row r="1572" spans="1:5">
      <c r="A1572" s="485">
        <v>423030913700</v>
      </c>
      <c r="B1572" t="s">
        <v>3024</v>
      </c>
      <c r="C1572">
        <v>503.89120000000003</v>
      </c>
      <c r="D1572">
        <v>106.834</v>
      </c>
      <c r="E1572">
        <v>610.72520000000009</v>
      </c>
    </row>
    <row r="1573" spans="1:5">
      <c r="A1573" s="485">
        <v>423030913700</v>
      </c>
      <c r="B1573" t="s">
        <v>3025</v>
      </c>
      <c r="C1573">
        <v>0</v>
      </c>
      <c r="D1573">
        <v>0</v>
      </c>
      <c r="E1573">
        <v>0</v>
      </c>
    </row>
    <row r="1574" spans="1:5">
      <c r="A1574" s="485">
        <v>423030913900</v>
      </c>
      <c r="B1574" t="s">
        <v>3026</v>
      </c>
      <c r="C1574">
        <v>1.0001</v>
      </c>
      <c r="D1574">
        <v>4.3984999999999994</v>
      </c>
      <c r="E1574">
        <v>5.3985999999999992</v>
      </c>
    </row>
    <row r="1575" spans="1:5">
      <c r="A1575" s="485">
        <v>423030930700</v>
      </c>
      <c r="B1575" t="s">
        <v>3027</v>
      </c>
      <c r="C1575">
        <v>3.9997999999999996</v>
      </c>
      <c r="D1575">
        <v>1.395</v>
      </c>
      <c r="E1575">
        <v>5.3948</v>
      </c>
    </row>
    <row r="1576" spans="1:5">
      <c r="A1576" s="485">
        <v>423030914000</v>
      </c>
      <c r="B1576" t="s">
        <v>3028</v>
      </c>
      <c r="C1576">
        <v>26.333300000000001</v>
      </c>
      <c r="D1576">
        <v>21.053999999999998</v>
      </c>
      <c r="E1576">
        <v>47.387299999999996</v>
      </c>
    </row>
    <row r="1577" spans="1:5">
      <c r="A1577" s="485">
        <v>423030931100</v>
      </c>
      <c r="B1577" t="s">
        <v>3029</v>
      </c>
      <c r="C1577">
        <v>23</v>
      </c>
      <c r="D1577">
        <v>63.317699999999995</v>
      </c>
      <c r="E1577">
        <v>86.317700000000002</v>
      </c>
    </row>
    <row r="1578" spans="1:5">
      <c r="A1578" s="485">
        <v>423030918200</v>
      </c>
      <c r="B1578" t="s">
        <v>3030</v>
      </c>
      <c r="C1578">
        <v>0</v>
      </c>
      <c r="D1578">
        <v>0</v>
      </c>
      <c r="E1578">
        <v>0</v>
      </c>
    </row>
    <row r="1579" spans="1:5">
      <c r="A1579" s="485">
        <v>423030914200</v>
      </c>
      <c r="B1579" t="s">
        <v>3031</v>
      </c>
      <c r="C1579">
        <v>16.9999</v>
      </c>
      <c r="D1579">
        <v>7.0965999999999996</v>
      </c>
      <c r="E1579">
        <v>24.096499999999999</v>
      </c>
    </row>
    <row r="1580" spans="1:5">
      <c r="A1580" s="485">
        <v>423030932400</v>
      </c>
      <c r="B1580" t="s">
        <v>3032</v>
      </c>
      <c r="C1580">
        <v>0</v>
      </c>
      <c r="D1580">
        <v>0</v>
      </c>
      <c r="E1580">
        <v>0</v>
      </c>
    </row>
    <row r="1581" spans="1:5">
      <c r="A1581" s="485">
        <v>423031124300</v>
      </c>
      <c r="B1581" t="s">
        <v>3033</v>
      </c>
      <c r="C1581">
        <v>0</v>
      </c>
      <c r="D1581">
        <v>0</v>
      </c>
      <c r="E1581">
        <v>0</v>
      </c>
    </row>
    <row r="1582" spans="1:5">
      <c r="A1582" s="485">
        <v>423031243400</v>
      </c>
      <c r="B1582" t="s">
        <v>3034</v>
      </c>
      <c r="C1582">
        <v>10.0001</v>
      </c>
      <c r="D1582">
        <v>7.72</v>
      </c>
      <c r="E1582">
        <v>17.720099999999999</v>
      </c>
    </row>
    <row r="1583" spans="1:5">
      <c r="A1583" s="485">
        <v>423030939100</v>
      </c>
      <c r="B1583" t="s">
        <v>3035</v>
      </c>
      <c r="C1583">
        <v>1</v>
      </c>
      <c r="D1583">
        <v>2.3896000000000002</v>
      </c>
      <c r="E1583">
        <v>3.3896000000000002</v>
      </c>
    </row>
    <row r="1584" spans="1:5">
      <c r="A1584" s="485">
        <v>423030915400</v>
      </c>
      <c r="B1584" t="s">
        <v>3036</v>
      </c>
      <c r="C1584">
        <v>131.08330000000001</v>
      </c>
      <c r="D1584">
        <v>83.626400000000004</v>
      </c>
      <c r="E1584">
        <v>214.7097</v>
      </c>
    </row>
    <row r="1585" spans="1:5">
      <c r="A1585" s="485">
        <v>423030915400</v>
      </c>
      <c r="B1585" t="s">
        <v>3037</v>
      </c>
      <c r="C1585">
        <v>0</v>
      </c>
      <c r="D1585">
        <v>0</v>
      </c>
      <c r="E1585">
        <v>0</v>
      </c>
    </row>
    <row r="1586" spans="1:5">
      <c r="A1586" s="485">
        <v>423030933300</v>
      </c>
      <c r="B1586" t="s">
        <v>3038</v>
      </c>
      <c r="C1586">
        <v>0</v>
      </c>
      <c r="D1586">
        <v>0</v>
      </c>
      <c r="E1586">
        <v>0</v>
      </c>
    </row>
    <row r="1587" spans="1:5">
      <c r="A1587" s="485">
        <v>423030915600</v>
      </c>
      <c r="B1587" t="s">
        <v>3039</v>
      </c>
      <c r="C1587">
        <v>274.37790000000001</v>
      </c>
      <c r="D1587">
        <v>57.974999999999994</v>
      </c>
      <c r="E1587">
        <v>332.35289999999998</v>
      </c>
    </row>
    <row r="1588" spans="1:5">
      <c r="A1588" s="485">
        <v>423030915700</v>
      </c>
      <c r="B1588" t="s">
        <v>3040</v>
      </c>
      <c r="C1588">
        <v>0</v>
      </c>
      <c r="D1588">
        <v>6.1685000000000008</v>
      </c>
      <c r="E1588">
        <v>6.1685000000000008</v>
      </c>
    </row>
    <row r="1589" spans="1:5">
      <c r="A1589" s="485">
        <v>423030915800</v>
      </c>
      <c r="B1589" t="s">
        <v>3041</v>
      </c>
      <c r="C1589">
        <v>41.999900000000004</v>
      </c>
      <c r="D1589">
        <v>26.622199999999999</v>
      </c>
      <c r="E1589">
        <v>68.622100000000003</v>
      </c>
    </row>
    <row r="1590" spans="1:5">
      <c r="A1590" s="485">
        <v>423030937100</v>
      </c>
      <c r="B1590" t="s">
        <v>3042</v>
      </c>
      <c r="C1590">
        <v>250.84629999999999</v>
      </c>
      <c r="D1590">
        <v>-465.65399999999994</v>
      </c>
      <c r="E1590">
        <v>-214.80769999999995</v>
      </c>
    </row>
    <row r="1591" spans="1:5">
      <c r="A1591" s="485">
        <v>423030921000</v>
      </c>
      <c r="B1591" t="s">
        <v>3043</v>
      </c>
      <c r="C1591">
        <v>-73</v>
      </c>
      <c r="D1591">
        <v>881.59100000000001</v>
      </c>
      <c r="E1591">
        <v>808.59100000000001</v>
      </c>
    </row>
    <row r="1592" spans="1:5">
      <c r="A1592" s="485">
        <v>423030921200</v>
      </c>
      <c r="B1592" t="s">
        <v>3044</v>
      </c>
      <c r="C1592">
        <v>0</v>
      </c>
      <c r="D1592">
        <v>285.86799999999999</v>
      </c>
      <c r="E1592">
        <v>285.86799999999999</v>
      </c>
    </row>
    <row r="1593" spans="1:5">
      <c r="A1593" s="485">
        <v>423030921200</v>
      </c>
      <c r="B1593" t="s">
        <v>3045</v>
      </c>
      <c r="C1593">
        <v>14.296875</v>
      </c>
      <c r="D1593">
        <v>2.4870999999999999</v>
      </c>
      <c r="E1593">
        <v>16.783974999999998</v>
      </c>
    </row>
    <row r="1594" spans="1:5">
      <c r="A1594" s="485">
        <v>423030921700</v>
      </c>
      <c r="B1594" t="s">
        <v>3046</v>
      </c>
      <c r="C1594">
        <v>3.5385999999999997</v>
      </c>
      <c r="D1594">
        <v>0.31850000000000001</v>
      </c>
      <c r="E1594">
        <v>3.8571</v>
      </c>
    </row>
    <row r="1595" spans="1:5">
      <c r="A1595" s="485">
        <v>423030921600</v>
      </c>
      <c r="B1595" t="s">
        <v>3047</v>
      </c>
      <c r="C1595">
        <v>0</v>
      </c>
      <c r="D1595">
        <v>0</v>
      </c>
      <c r="E1595">
        <v>0</v>
      </c>
    </row>
    <row r="1596" spans="1:5">
      <c r="A1596" s="485">
        <v>423030921600</v>
      </c>
      <c r="B1596" t="s">
        <v>3048</v>
      </c>
      <c r="C1596">
        <v>0</v>
      </c>
      <c r="D1596">
        <v>0</v>
      </c>
      <c r="E1596">
        <v>0</v>
      </c>
    </row>
    <row r="1597" spans="1:5">
      <c r="A1597" s="485">
        <v>423030921600</v>
      </c>
      <c r="B1597" t="s">
        <v>3049</v>
      </c>
      <c r="C1597">
        <v>0</v>
      </c>
      <c r="D1597">
        <v>0</v>
      </c>
      <c r="E1597">
        <v>0</v>
      </c>
    </row>
    <row r="1598" spans="1:5">
      <c r="A1598" s="485">
        <v>423030921900</v>
      </c>
      <c r="B1598" t="s">
        <v>3050</v>
      </c>
      <c r="C1598">
        <v>272.99979999999999</v>
      </c>
      <c r="D1598">
        <v>935.39890000000003</v>
      </c>
      <c r="E1598">
        <v>1208.3987</v>
      </c>
    </row>
    <row r="1599" spans="1:5">
      <c r="A1599" s="485">
        <v>423030921900</v>
      </c>
      <c r="B1599" t="s">
        <v>3051</v>
      </c>
      <c r="C1599">
        <v>0</v>
      </c>
      <c r="D1599">
        <v>2272.0155</v>
      </c>
      <c r="E1599">
        <v>2272.0155</v>
      </c>
    </row>
    <row r="1600" spans="1:5">
      <c r="A1600" s="485">
        <v>423030916000</v>
      </c>
      <c r="B1600" t="s">
        <v>3052</v>
      </c>
      <c r="C1600">
        <v>96.888900000000007</v>
      </c>
      <c r="D1600">
        <v>15.215</v>
      </c>
      <c r="E1600">
        <v>112.10390000000001</v>
      </c>
    </row>
    <row r="1601" spans="1:5">
      <c r="A1601" s="485">
        <v>423030922100</v>
      </c>
      <c r="B1601" t="s">
        <v>3053</v>
      </c>
      <c r="C1601">
        <v>1</v>
      </c>
      <c r="D1601">
        <v>4.62</v>
      </c>
      <c r="E1601">
        <v>5.62</v>
      </c>
    </row>
    <row r="1602" spans="1:5">
      <c r="A1602" s="485">
        <v>423030934000</v>
      </c>
      <c r="B1602" t="s">
        <v>3054</v>
      </c>
      <c r="C1602">
        <v>1.4730999999999999</v>
      </c>
      <c r="D1602">
        <v>4.0617000000000001</v>
      </c>
      <c r="E1602">
        <v>5.5347999999999997</v>
      </c>
    </row>
    <row r="1603" spans="1:5">
      <c r="A1603" s="485">
        <v>423030906300</v>
      </c>
      <c r="B1603" t="s">
        <v>3055</v>
      </c>
      <c r="C1603">
        <v>-1.0000000000010001E-4</v>
      </c>
      <c r="D1603">
        <v>-0.87380000000000058</v>
      </c>
      <c r="E1603">
        <v>-0.87390000000000068</v>
      </c>
    </row>
    <row r="1604" spans="1:5">
      <c r="A1604" s="485">
        <v>423030906300</v>
      </c>
      <c r="B1604" t="s">
        <v>3056</v>
      </c>
      <c r="C1604">
        <v>0</v>
      </c>
      <c r="D1604">
        <v>0</v>
      </c>
      <c r="E1604">
        <v>0</v>
      </c>
    </row>
    <row r="1605" spans="1:5">
      <c r="A1605" s="485">
        <v>423030938900</v>
      </c>
      <c r="B1605" t="s">
        <v>3057</v>
      </c>
      <c r="C1605">
        <v>0</v>
      </c>
      <c r="D1605">
        <v>0</v>
      </c>
      <c r="E1605">
        <v>0</v>
      </c>
    </row>
    <row r="1606" spans="1:5">
      <c r="A1606" s="485">
        <v>423030938900</v>
      </c>
      <c r="B1606" t="s">
        <v>3058</v>
      </c>
      <c r="C1606">
        <v>0</v>
      </c>
      <c r="D1606">
        <v>0</v>
      </c>
      <c r="E1606">
        <v>0</v>
      </c>
    </row>
    <row r="1607" spans="1:5">
      <c r="A1607" s="485">
        <v>423030945800</v>
      </c>
      <c r="B1607" t="s">
        <v>3059</v>
      </c>
      <c r="C1607">
        <v>223.65520000000004</v>
      </c>
      <c r="D1607">
        <v>2.1288999999999998</v>
      </c>
      <c r="E1607">
        <v>225.78410000000002</v>
      </c>
    </row>
    <row r="1608" spans="1:5">
      <c r="A1608" s="485">
        <v>423030916200</v>
      </c>
      <c r="B1608" t="s">
        <v>3060</v>
      </c>
      <c r="C1608">
        <v>0</v>
      </c>
      <c r="D1608">
        <v>78.475000000000009</v>
      </c>
      <c r="E1608">
        <v>78.475000000000009</v>
      </c>
    </row>
    <row r="1609" spans="1:5">
      <c r="A1609" s="485">
        <v>423030934400</v>
      </c>
      <c r="B1609" t="s">
        <v>3061</v>
      </c>
      <c r="C1609">
        <v>0</v>
      </c>
      <c r="D1609">
        <v>75.372500000000002</v>
      </c>
      <c r="E1609">
        <v>75.372500000000002</v>
      </c>
    </row>
    <row r="1610" spans="1:5">
      <c r="A1610" s="485">
        <v>423030934600</v>
      </c>
      <c r="B1610" t="s">
        <v>3062</v>
      </c>
      <c r="C1610">
        <v>0</v>
      </c>
      <c r="D1610">
        <v>0</v>
      </c>
      <c r="E1610">
        <v>0</v>
      </c>
    </row>
    <row r="1611" spans="1:5">
      <c r="A1611" s="485">
        <v>423030934600</v>
      </c>
      <c r="B1611" t="s">
        <v>3063</v>
      </c>
      <c r="C1611">
        <v>2</v>
      </c>
      <c r="D1611">
        <v>6.1268000000000011</v>
      </c>
      <c r="E1611">
        <v>8.1268000000000011</v>
      </c>
    </row>
    <row r="1612" spans="1:5">
      <c r="A1612" s="485">
        <v>423030922700</v>
      </c>
      <c r="B1612" t="s">
        <v>3064</v>
      </c>
      <c r="C1612">
        <v>2</v>
      </c>
      <c r="D1612">
        <v>2.0358000000000001</v>
      </c>
      <c r="E1612">
        <v>4.0358000000000001</v>
      </c>
    </row>
    <row r="1613" spans="1:5">
      <c r="A1613" s="485">
        <v>423030934700</v>
      </c>
      <c r="B1613" t="s">
        <v>3065</v>
      </c>
      <c r="C1613">
        <v>0</v>
      </c>
      <c r="D1613">
        <v>0</v>
      </c>
      <c r="E1613">
        <v>0</v>
      </c>
    </row>
    <row r="1614" spans="1:5">
      <c r="A1614" s="485">
        <v>423030916300</v>
      </c>
      <c r="B1614" t="s">
        <v>3066</v>
      </c>
      <c r="C1614">
        <v>18</v>
      </c>
      <c r="D1614">
        <v>2.9828999999999999</v>
      </c>
      <c r="E1614">
        <v>20.982900000000001</v>
      </c>
    </row>
    <row r="1615" spans="1:5">
      <c r="A1615" s="485">
        <v>423030916300</v>
      </c>
      <c r="B1615" t="s">
        <v>3067</v>
      </c>
      <c r="C1615">
        <v>0</v>
      </c>
      <c r="D1615">
        <v>0</v>
      </c>
      <c r="E1615">
        <v>0</v>
      </c>
    </row>
    <row r="1616" spans="1:5">
      <c r="A1616" s="485">
        <v>423031039400</v>
      </c>
      <c r="B1616" t="s">
        <v>3068</v>
      </c>
      <c r="C1616">
        <v>0</v>
      </c>
      <c r="D1616">
        <v>0</v>
      </c>
      <c r="E1616">
        <v>0</v>
      </c>
    </row>
    <row r="1617" spans="1:5">
      <c r="A1617" s="485">
        <v>423030916500</v>
      </c>
      <c r="B1617" t="s">
        <v>3069</v>
      </c>
      <c r="C1617">
        <v>53.120900000000006</v>
      </c>
      <c r="D1617">
        <v>25.885999999999999</v>
      </c>
      <c r="E1617">
        <v>79.006900000000002</v>
      </c>
    </row>
    <row r="1618" spans="1:5">
      <c r="A1618" s="485">
        <v>423030916700</v>
      </c>
      <c r="B1618" t="s">
        <v>3070</v>
      </c>
      <c r="C1618">
        <v>0</v>
      </c>
      <c r="D1618">
        <v>0</v>
      </c>
      <c r="E1618">
        <v>0</v>
      </c>
    </row>
    <row r="1619" spans="1:5">
      <c r="A1619" s="485">
        <v>423030936700</v>
      </c>
      <c r="B1619" t="s">
        <v>3071</v>
      </c>
      <c r="C1619">
        <v>281.00009999999997</v>
      </c>
      <c r="D1619">
        <v>-3.8856999999999999</v>
      </c>
      <c r="E1619">
        <v>277.11439999999999</v>
      </c>
    </row>
    <row r="1620" spans="1:5">
      <c r="A1620" s="485">
        <v>423031120600</v>
      </c>
      <c r="B1620" t="s">
        <v>3072</v>
      </c>
      <c r="C1620">
        <v>42.842700000000008</v>
      </c>
      <c r="D1620">
        <v>338.54759999999999</v>
      </c>
      <c r="E1620">
        <v>381.39030000000002</v>
      </c>
    </row>
    <row r="1621" spans="1:5">
      <c r="A1621" s="485">
        <v>423031120200</v>
      </c>
      <c r="B1621" t="s">
        <v>3073</v>
      </c>
      <c r="C1621">
        <v>193.37729999999996</v>
      </c>
      <c r="D1621">
        <v>145.1414</v>
      </c>
      <c r="E1621">
        <v>338.51869999999997</v>
      </c>
    </row>
    <row r="1622" spans="1:5">
      <c r="A1622" s="485">
        <v>423030930300</v>
      </c>
      <c r="B1622" t="s">
        <v>3074</v>
      </c>
      <c r="C1622">
        <v>0</v>
      </c>
      <c r="D1622">
        <v>0</v>
      </c>
      <c r="E1622">
        <v>0</v>
      </c>
    </row>
    <row r="1623" spans="1:5">
      <c r="A1623" s="485">
        <v>423030934300</v>
      </c>
      <c r="B1623" t="s">
        <v>3075</v>
      </c>
      <c r="C1623">
        <v>8.8665999999999983</v>
      </c>
      <c r="D1623">
        <v>1.7017000000000002</v>
      </c>
      <c r="E1623">
        <v>10.568299999999999</v>
      </c>
    </row>
    <row r="1624" spans="1:5">
      <c r="A1624" s="485">
        <v>423030925200</v>
      </c>
      <c r="B1624" t="s">
        <v>3076</v>
      </c>
      <c r="C1624">
        <v>1.9999</v>
      </c>
      <c r="D1624">
        <v>0.18000000000000002</v>
      </c>
      <c r="E1624">
        <v>2.1798999999999999</v>
      </c>
    </row>
    <row r="1625" spans="1:5">
      <c r="A1625" s="485">
        <v>423031287000</v>
      </c>
      <c r="B1625" t="s">
        <v>3077</v>
      </c>
      <c r="C1625">
        <v>0</v>
      </c>
      <c r="D1625">
        <v>0</v>
      </c>
      <c r="E1625">
        <v>0</v>
      </c>
    </row>
    <row r="1626" spans="1:5">
      <c r="A1626" s="485">
        <v>423030925400</v>
      </c>
      <c r="B1626" t="s">
        <v>3078</v>
      </c>
      <c r="C1626">
        <v>0</v>
      </c>
      <c r="D1626">
        <v>0</v>
      </c>
      <c r="E1626">
        <v>0</v>
      </c>
    </row>
    <row r="1627" spans="1:5">
      <c r="A1627" s="485">
        <v>423030925500</v>
      </c>
      <c r="B1627" t="s">
        <v>3079</v>
      </c>
      <c r="C1627">
        <v>0</v>
      </c>
      <c r="D1627">
        <v>0</v>
      </c>
      <c r="E1627">
        <v>0</v>
      </c>
    </row>
    <row r="1628" spans="1:5">
      <c r="A1628" s="485">
        <v>423030917100</v>
      </c>
      <c r="B1628" t="s">
        <v>3080</v>
      </c>
      <c r="C1628">
        <v>0</v>
      </c>
      <c r="D1628">
        <v>0</v>
      </c>
      <c r="E1628">
        <v>0</v>
      </c>
    </row>
    <row r="1629" spans="1:5">
      <c r="A1629" s="485">
        <v>423030917300</v>
      </c>
      <c r="B1629" t="s">
        <v>3081</v>
      </c>
      <c r="C1629">
        <v>3.9091000000000005</v>
      </c>
      <c r="D1629">
        <v>1.9945000000000004</v>
      </c>
      <c r="E1629">
        <v>5.9036000000000008</v>
      </c>
    </row>
    <row r="1630" spans="1:5">
      <c r="A1630" s="485">
        <v>423030946300</v>
      </c>
      <c r="B1630" t="s">
        <v>3082</v>
      </c>
      <c r="C1630">
        <v>0</v>
      </c>
      <c r="D1630">
        <v>0</v>
      </c>
      <c r="E1630">
        <v>0</v>
      </c>
    </row>
    <row r="1631" spans="1:5">
      <c r="A1631" s="485">
        <v>423030926000</v>
      </c>
      <c r="B1631" t="s">
        <v>3083</v>
      </c>
      <c r="C1631">
        <v>5</v>
      </c>
      <c r="D1631">
        <v>0.23660000000000003</v>
      </c>
      <c r="E1631">
        <v>5.2366000000000001</v>
      </c>
    </row>
    <row r="1632" spans="1:5">
      <c r="A1632" s="485">
        <v>423030935200</v>
      </c>
      <c r="B1632" t="s">
        <v>3084</v>
      </c>
      <c r="C1632">
        <v>1.0001000000000007</v>
      </c>
      <c r="D1632">
        <v>-15.697199999999999</v>
      </c>
      <c r="E1632">
        <v>-14.697099999999999</v>
      </c>
    </row>
    <row r="1633" spans="1:5">
      <c r="A1633" s="485">
        <v>423030926500</v>
      </c>
      <c r="B1633" t="s">
        <v>3085</v>
      </c>
      <c r="C1633">
        <v>0</v>
      </c>
      <c r="D1633">
        <v>0</v>
      </c>
      <c r="E1633">
        <v>0</v>
      </c>
    </row>
    <row r="1634" spans="1:5">
      <c r="A1634" s="485">
        <v>423030927000</v>
      </c>
      <c r="B1634">
        <v>240034800</v>
      </c>
      <c r="C1634">
        <v>35.140961999999995</v>
      </c>
      <c r="D1634">
        <v>3.7759</v>
      </c>
      <c r="E1634">
        <v>38.916861999999995</v>
      </c>
    </row>
    <row r="1635" spans="1:5">
      <c r="A1635" s="485">
        <v>423030927400</v>
      </c>
      <c r="B1635" t="s">
        <v>3086</v>
      </c>
      <c r="C1635">
        <v>0</v>
      </c>
      <c r="D1635">
        <v>0</v>
      </c>
      <c r="E1635">
        <v>0</v>
      </c>
    </row>
    <row r="1636" spans="1:5">
      <c r="A1636" s="485">
        <v>423030947000</v>
      </c>
      <c r="B1636" t="s">
        <v>3087</v>
      </c>
      <c r="C1636">
        <v>0</v>
      </c>
      <c r="D1636">
        <v>0</v>
      </c>
      <c r="E1636">
        <v>0</v>
      </c>
    </row>
    <row r="1637" spans="1:5">
      <c r="A1637" s="485">
        <v>423030550700</v>
      </c>
      <c r="B1637" t="s">
        <v>3088</v>
      </c>
      <c r="C1637">
        <v>114.40860000000001</v>
      </c>
      <c r="D1637">
        <v>197.79750000000001</v>
      </c>
      <c r="E1637">
        <v>312.20609999999999</v>
      </c>
    </row>
    <row r="1638" spans="1:5">
      <c r="A1638" s="485">
        <v>423030550700</v>
      </c>
      <c r="B1638" t="s">
        <v>3089</v>
      </c>
      <c r="C1638">
        <v>0</v>
      </c>
      <c r="D1638">
        <v>0</v>
      </c>
      <c r="E1638">
        <v>0</v>
      </c>
    </row>
    <row r="1639" spans="1:5">
      <c r="A1639" s="485">
        <v>423030539900</v>
      </c>
      <c r="B1639" t="s">
        <v>3090</v>
      </c>
      <c r="C1639">
        <v>742.63559999999984</v>
      </c>
      <c r="D1639">
        <v>97.202700000000007</v>
      </c>
      <c r="E1639">
        <v>839.83829999999989</v>
      </c>
    </row>
    <row r="1640" spans="1:5">
      <c r="A1640" s="485">
        <v>423030552000</v>
      </c>
      <c r="B1640" t="s">
        <v>3091</v>
      </c>
      <c r="C1640">
        <v>2.3778000000000001</v>
      </c>
      <c r="D1640">
        <v>0.51829999999999998</v>
      </c>
      <c r="E1640">
        <v>2.8961000000000001</v>
      </c>
    </row>
    <row r="1641" spans="1:5">
      <c r="A1641" s="485">
        <v>423030554300</v>
      </c>
      <c r="B1641" t="s">
        <v>3092</v>
      </c>
      <c r="C1641">
        <v>0</v>
      </c>
      <c r="D1641">
        <v>0</v>
      </c>
      <c r="E1641">
        <v>0</v>
      </c>
    </row>
    <row r="1642" spans="1:5">
      <c r="A1642" s="485">
        <v>423030555000</v>
      </c>
      <c r="B1642" t="s">
        <v>3093</v>
      </c>
      <c r="C1642">
        <v>4.9438999999999993</v>
      </c>
      <c r="D1642">
        <v>2.0250000000000004</v>
      </c>
      <c r="E1642">
        <v>6.9688999999999997</v>
      </c>
    </row>
    <row r="1643" spans="1:5">
      <c r="A1643" s="485">
        <v>423030557200</v>
      </c>
      <c r="B1643" t="s">
        <v>3094</v>
      </c>
      <c r="C1643">
        <v>0</v>
      </c>
      <c r="D1643">
        <v>64.641499999999994</v>
      </c>
      <c r="E1643">
        <v>64.641499999999994</v>
      </c>
    </row>
    <row r="1644" spans="1:5">
      <c r="A1644" s="485">
        <v>423030557500</v>
      </c>
      <c r="B1644" t="s">
        <v>3095</v>
      </c>
      <c r="C1644">
        <v>0</v>
      </c>
      <c r="D1644">
        <v>0</v>
      </c>
      <c r="E1644">
        <v>0</v>
      </c>
    </row>
    <row r="1645" spans="1:5">
      <c r="A1645" s="485">
        <v>423030695500</v>
      </c>
      <c r="B1645">
        <v>2239701</v>
      </c>
      <c r="C1645">
        <v>176.8972</v>
      </c>
      <c r="D1645">
        <v>131.28900000000002</v>
      </c>
      <c r="E1645">
        <v>308.18619999999999</v>
      </c>
    </row>
    <row r="1646" spans="1:5">
      <c r="A1646" s="485">
        <v>423030558600</v>
      </c>
      <c r="B1646" t="s">
        <v>3096</v>
      </c>
      <c r="C1646">
        <v>0</v>
      </c>
      <c r="D1646">
        <v>0</v>
      </c>
      <c r="E1646">
        <v>0</v>
      </c>
    </row>
    <row r="1647" spans="1:5">
      <c r="A1647" s="485">
        <v>423030559100</v>
      </c>
      <c r="B1647" t="s">
        <v>3097</v>
      </c>
      <c r="C1647">
        <v>376.16850000000005</v>
      </c>
      <c r="D1647">
        <v>5.4074999999999998</v>
      </c>
      <c r="E1647">
        <v>381.57600000000008</v>
      </c>
    </row>
    <row r="1648" spans="1:5">
      <c r="A1648" s="485">
        <v>423030559800</v>
      </c>
      <c r="B1648" t="s">
        <v>3098</v>
      </c>
      <c r="C1648">
        <v>185.43189999999998</v>
      </c>
      <c r="D1648">
        <v>64.835999999999999</v>
      </c>
      <c r="E1648">
        <v>250.2679</v>
      </c>
    </row>
    <row r="1649" spans="1:5">
      <c r="A1649" s="485">
        <v>423030561800</v>
      </c>
      <c r="B1649" t="s">
        <v>3099</v>
      </c>
      <c r="C1649">
        <v>0</v>
      </c>
      <c r="D1649">
        <v>0</v>
      </c>
      <c r="E1649">
        <v>0</v>
      </c>
    </row>
    <row r="1650" spans="1:5">
      <c r="A1650" s="485">
        <v>423030792000</v>
      </c>
      <c r="B1650" t="s">
        <v>3100</v>
      </c>
      <c r="C1650">
        <v>0</v>
      </c>
      <c r="D1650">
        <v>2.0075000000000003</v>
      </c>
      <c r="E1650">
        <v>2.0075000000000003</v>
      </c>
    </row>
    <row r="1651" spans="1:5">
      <c r="A1651" s="485">
        <v>423030792200</v>
      </c>
      <c r="B1651" t="s">
        <v>3101</v>
      </c>
      <c r="C1651">
        <v>14.0001</v>
      </c>
      <c r="D1651">
        <v>74.0227</v>
      </c>
      <c r="E1651">
        <v>88.022800000000004</v>
      </c>
    </row>
    <row r="1652" spans="1:5">
      <c r="A1652" s="485">
        <v>423030553800</v>
      </c>
      <c r="B1652" t="s">
        <v>3102</v>
      </c>
      <c r="C1652">
        <v>0</v>
      </c>
      <c r="D1652">
        <v>0</v>
      </c>
      <c r="E1652">
        <v>0</v>
      </c>
    </row>
    <row r="1653" spans="1:5">
      <c r="A1653" s="485">
        <v>423030553800</v>
      </c>
      <c r="B1653" t="s">
        <v>3103</v>
      </c>
      <c r="C1653">
        <v>38.097799999999999</v>
      </c>
      <c r="D1653">
        <v>9.4301999999999992</v>
      </c>
      <c r="E1653">
        <v>47.527999999999999</v>
      </c>
    </row>
    <row r="1654" spans="1:5">
      <c r="A1654" s="485">
        <v>423030555200</v>
      </c>
      <c r="B1654" t="s">
        <v>3104</v>
      </c>
      <c r="C1654">
        <v>226.84670000000003</v>
      </c>
      <c r="D1654">
        <v>89.28</v>
      </c>
      <c r="E1654">
        <v>316.12670000000003</v>
      </c>
    </row>
    <row r="1655" spans="1:5">
      <c r="A1655" s="485">
        <v>423030556400</v>
      </c>
      <c r="B1655" t="s">
        <v>3105</v>
      </c>
      <c r="C1655">
        <v>2.0756000000000001</v>
      </c>
      <c r="D1655">
        <v>0.1452</v>
      </c>
      <c r="E1655">
        <v>2.2208000000000001</v>
      </c>
    </row>
    <row r="1656" spans="1:5">
      <c r="A1656" s="485">
        <v>423031110300</v>
      </c>
      <c r="B1656" t="s">
        <v>3106</v>
      </c>
      <c r="C1656">
        <v>0</v>
      </c>
      <c r="D1656">
        <v>0</v>
      </c>
      <c r="E1656">
        <v>0</v>
      </c>
    </row>
    <row r="1657" spans="1:5">
      <c r="A1657" s="485">
        <v>423030732000</v>
      </c>
      <c r="B1657" t="s">
        <v>3107</v>
      </c>
      <c r="C1657">
        <v>100.9999</v>
      </c>
      <c r="D1657">
        <v>14.25</v>
      </c>
      <c r="E1657">
        <v>115.2499</v>
      </c>
    </row>
    <row r="1658" spans="1:5">
      <c r="A1658" s="485">
        <v>423030548500</v>
      </c>
      <c r="B1658" t="s">
        <v>3108</v>
      </c>
      <c r="C1658">
        <v>0</v>
      </c>
      <c r="D1658">
        <v>0</v>
      </c>
      <c r="E1658">
        <v>0</v>
      </c>
    </row>
    <row r="1659" spans="1:5">
      <c r="A1659" s="485">
        <v>423030557300</v>
      </c>
      <c r="B1659" t="s">
        <v>3109</v>
      </c>
      <c r="C1659">
        <v>10</v>
      </c>
      <c r="D1659">
        <v>21.444299999999998</v>
      </c>
      <c r="E1659">
        <v>31.444299999999998</v>
      </c>
    </row>
    <row r="1660" spans="1:5">
      <c r="A1660" s="485">
        <v>423030557800</v>
      </c>
      <c r="B1660" t="s">
        <v>3110</v>
      </c>
      <c r="C1660">
        <v>144.61539999999999</v>
      </c>
      <c r="D1660">
        <v>14.370000000000003</v>
      </c>
      <c r="E1660">
        <v>158.9854</v>
      </c>
    </row>
    <row r="1661" spans="1:5">
      <c r="A1661" s="485">
        <v>423030771100</v>
      </c>
      <c r="B1661" t="s">
        <v>3111</v>
      </c>
      <c r="C1661">
        <v>0</v>
      </c>
      <c r="D1661">
        <v>0</v>
      </c>
      <c r="E1661">
        <v>0</v>
      </c>
    </row>
    <row r="1662" spans="1:5">
      <c r="A1662" s="485">
        <v>423030559600</v>
      </c>
      <c r="B1662" t="s">
        <v>3112</v>
      </c>
      <c r="C1662">
        <v>0.68490000000000006</v>
      </c>
      <c r="D1662">
        <v>0.10919999999999999</v>
      </c>
      <c r="E1662">
        <v>0.79410000000000003</v>
      </c>
    </row>
    <row r="1663" spans="1:5">
      <c r="A1663" s="485">
        <v>423030702400</v>
      </c>
      <c r="B1663" t="s">
        <v>3113</v>
      </c>
      <c r="C1663">
        <v>0.77959999999999996</v>
      </c>
      <c r="D1663">
        <v>2.2385999999999999</v>
      </c>
      <c r="E1663">
        <v>3.0181999999999998</v>
      </c>
    </row>
    <row r="1664" spans="1:5">
      <c r="A1664" s="485">
        <v>423030561300</v>
      </c>
      <c r="B1664" t="s">
        <v>3114</v>
      </c>
      <c r="C1664">
        <v>0</v>
      </c>
      <c r="D1664">
        <v>0</v>
      </c>
      <c r="E1664">
        <v>0</v>
      </c>
    </row>
    <row r="1665" spans="1:5">
      <c r="A1665" s="485">
        <v>423030562200</v>
      </c>
      <c r="B1665" t="s">
        <v>3115</v>
      </c>
      <c r="C1665">
        <v>0.29349999999999998</v>
      </c>
      <c r="D1665">
        <v>1.7033999999999998</v>
      </c>
      <c r="E1665">
        <v>1.9968999999999997</v>
      </c>
    </row>
    <row r="1666" spans="1:5">
      <c r="A1666" s="485">
        <v>423030671900</v>
      </c>
      <c r="B1666" t="s">
        <v>3116</v>
      </c>
      <c r="C1666">
        <v>27.000099999999996</v>
      </c>
      <c r="D1666">
        <v>0</v>
      </c>
      <c r="E1666">
        <v>27.000099999999996</v>
      </c>
    </row>
    <row r="1667" spans="1:5">
      <c r="A1667" s="485">
        <v>423030671900</v>
      </c>
      <c r="B1667" t="s">
        <v>3117</v>
      </c>
      <c r="C1667">
        <v>2145.2758999999996</v>
      </c>
      <c r="D1667">
        <v>1149.056</v>
      </c>
      <c r="E1667">
        <v>3294.3318999999997</v>
      </c>
    </row>
    <row r="1668" spans="1:5">
      <c r="A1668" s="485">
        <v>423030784500</v>
      </c>
      <c r="B1668" t="s">
        <v>3118</v>
      </c>
      <c r="C1668">
        <v>0.99999999999999989</v>
      </c>
      <c r="D1668">
        <v>22.118499999999997</v>
      </c>
      <c r="E1668">
        <v>23.118499999999997</v>
      </c>
    </row>
    <row r="1669" spans="1:5">
      <c r="A1669" s="485">
        <v>423030787500</v>
      </c>
      <c r="B1669" t="s">
        <v>3119</v>
      </c>
      <c r="C1669">
        <v>244.9563</v>
      </c>
      <c r="D1669">
        <v>46.17</v>
      </c>
      <c r="E1669">
        <v>291.12630000000001</v>
      </c>
    </row>
    <row r="1670" spans="1:5">
      <c r="A1670" s="485">
        <v>423030770100</v>
      </c>
      <c r="B1670" t="s">
        <v>3120</v>
      </c>
      <c r="C1670">
        <v>2.5568999999999997</v>
      </c>
      <c r="D1670">
        <v>1.7172000000000001</v>
      </c>
      <c r="E1670">
        <v>4.2740999999999998</v>
      </c>
    </row>
    <row r="1671" spans="1:5">
      <c r="A1671" s="485">
        <v>423030562800</v>
      </c>
      <c r="B1671" t="s">
        <v>3121</v>
      </c>
      <c r="C1671">
        <v>1</v>
      </c>
      <c r="D1671">
        <v>1.9254000000000002</v>
      </c>
      <c r="E1671">
        <v>2.9254000000000002</v>
      </c>
    </row>
    <row r="1672" spans="1:5">
      <c r="A1672" s="485">
        <v>423030563100</v>
      </c>
      <c r="B1672">
        <v>1125663</v>
      </c>
      <c r="C1672">
        <v>2.0002</v>
      </c>
      <c r="D1672">
        <v>0.8194999999999999</v>
      </c>
      <c r="E1672">
        <v>2.8197000000000001</v>
      </c>
    </row>
    <row r="1673" spans="1:5">
      <c r="A1673" s="485">
        <v>423031643100</v>
      </c>
      <c r="B1673" t="s">
        <v>3122</v>
      </c>
      <c r="C1673">
        <v>158.73349999999999</v>
      </c>
      <c r="D1673">
        <v>3.5581</v>
      </c>
      <c r="E1673">
        <v>162.29159999999999</v>
      </c>
    </row>
    <row r="1674" spans="1:5">
      <c r="A1674" s="485">
        <v>423030781000</v>
      </c>
      <c r="B1674" t="s">
        <v>3123</v>
      </c>
      <c r="C1674">
        <v>12.860199999999999</v>
      </c>
      <c r="D1674">
        <v>3.1672000000000002</v>
      </c>
      <c r="E1674">
        <v>16.0274</v>
      </c>
    </row>
    <row r="1675" spans="1:5">
      <c r="A1675" s="485">
        <v>423030721100</v>
      </c>
      <c r="B1675" t="s">
        <v>3124</v>
      </c>
      <c r="C1675">
        <v>2</v>
      </c>
      <c r="D1675">
        <v>1.2449999999999999</v>
      </c>
      <c r="E1675">
        <v>3.2450000000000001</v>
      </c>
    </row>
    <row r="1676" spans="1:5">
      <c r="A1676" s="485">
        <v>423030563800</v>
      </c>
      <c r="B1676" t="s">
        <v>3125</v>
      </c>
      <c r="C1676">
        <v>0</v>
      </c>
      <c r="D1676">
        <v>0</v>
      </c>
      <c r="E1676">
        <v>0</v>
      </c>
    </row>
    <row r="1677" spans="1:5">
      <c r="A1677" s="485">
        <v>423030563700</v>
      </c>
      <c r="B1677" t="s">
        <v>3126</v>
      </c>
      <c r="C1677">
        <v>0</v>
      </c>
      <c r="D1677">
        <v>0</v>
      </c>
      <c r="E1677">
        <v>0</v>
      </c>
    </row>
    <row r="1678" spans="1:5">
      <c r="A1678" s="485">
        <v>423030563700</v>
      </c>
      <c r="B1678" t="s">
        <v>3127</v>
      </c>
      <c r="C1678">
        <v>98.130400000000023</v>
      </c>
      <c r="D1678">
        <v>3.6105</v>
      </c>
      <c r="E1678">
        <v>101.74090000000002</v>
      </c>
    </row>
    <row r="1679" spans="1:5">
      <c r="A1679" s="485">
        <v>423030563700</v>
      </c>
      <c r="B1679" t="s">
        <v>3128</v>
      </c>
      <c r="C1679">
        <v>8.6923000000000012</v>
      </c>
      <c r="D1679">
        <v>1.6642000000000001</v>
      </c>
      <c r="E1679">
        <v>10.3565</v>
      </c>
    </row>
    <row r="1680" spans="1:5">
      <c r="A1680" s="485">
        <v>423030564600</v>
      </c>
      <c r="B1680" t="s">
        <v>3129</v>
      </c>
      <c r="C1680">
        <v>4.0000999999999998</v>
      </c>
      <c r="D1680">
        <v>2.1053999999999999</v>
      </c>
      <c r="E1680">
        <v>6.1054999999999993</v>
      </c>
    </row>
    <row r="1681" spans="1:5">
      <c r="A1681" s="485">
        <v>423030565200</v>
      </c>
      <c r="B1681" t="s">
        <v>3130</v>
      </c>
      <c r="C1681">
        <v>15.1685</v>
      </c>
      <c r="D1681">
        <v>2.0550000000000002</v>
      </c>
      <c r="E1681">
        <v>17.223500000000001</v>
      </c>
    </row>
    <row r="1682" spans="1:5">
      <c r="A1682" s="485">
        <v>423030721600</v>
      </c>
      <c r="B1682" t="s">
        <v>3131</v>
      </c>
      <c r="C1682">
        <v>0</v>
      </c>
      <c r="D1682">
        <v>0</v>
      </c>
      <c r="E1682">
        <v>0</v>
      </c>
    </row>
    <row r="1683" spans="1:5">
      <c r="A1683" s="485">
        <v>423030566000</v>
      </c>
      <c r="B1683" t="s">
        <v>3132</v>
      </c>
      <c r="C1683">
        <v>3.3450000000000002</v>
      </c>
      <c r="D1683">
        <v>0.17080000000000001</v>
      </c>
      <c r="E1683">
        <v>3.5158</v>
      </c>
    </row>
    <row r="1684" spans="1:5">
      <c r="A1684" s="485">
        <v>423030901100</v>
      </c>
      <c r="B1684" t="s">
        <v>3133</v>
      </c>
      <c r="C1684">
        <v>2.9999999999999996</v>
      </c>
      <c r="D1684">
        <v>0.19519999999999998</v>
      </c>
      <c r="E1684">
        <v>3.1951999999999994</v>
      </c>
    </row>
    <row r="1685" spans="1:5">
      <c r="A1685" s="485">
        <v>423030763600</v>
      </c>
      <c r="B1685" t="s">
        <v>3134</v>
      </c>
      <c r="C1685">
        <v>0</v>
      </c>
      <c r="D1685">
        <v>0</v>
      </c>
      <c r="E1685">
        <v>0</v>
      </c>
    </row>
    <row r="1686" spans="1:5">
      <c r="A1686" s="485">
        <v>423030566300</v>
      </c>
      <c r="B1686" t="s">
        <v>3135</v>
      </c>
      <c r="C1686">
        <v>174.53489999999999</v>
      </c>
      <c r="D1686">
        <v>80.22</v>
      </c>
      <c r="E1686">
        <v>254.75489999999999</v>
      </c>
    </row>
    <row r="1687" spans="1:5">
      <c r="A1687" s="485">
        <v>423030789800</v>
      </c>
      <c r="B1687" t="s">
        <v>3136</v>
      </c>
      <c r="C1687">
        <v>116.79989999999999</v>
      </c>
      <c r="D1687">
        <v>142.31360000000001</v>
      </c>
      <c r="E1687">
        <v>259.11349999999999</v>
      </c>
    </row>
    <row r="1688" spans="1:5">
      <c r="A1688" s="485">
        <v>423031538500</v>
      </c>
      <c r="B1688" t="s">
        <v>3137</v>
      </c>
      <c r="C1688">
        <v>1.7288000000000001</v>
      </c>
      <c r="D1688">
        <v>1.6482000000000001</v>
      </c>
      <c r="E1688">
        <v>3.3770000000000002</v>
      </c>
    </row>
    <row r="1689" spans="1:5">
      <c r="A1689" s="485">
        <v>423030563400</v>
      </c>
      <c r="B1689" t="s">
        <v>3138</v>
      </c>
      <c r="C1689">
        <v>0</v>
      </c>
      <c r="D1689">
        <v>0</v>
      </c>
      <c r="E1689">
        <v>0</v>
      </c>
    </row>
    <row r="1690" spans="1:5">
      <c r="A1690" s="485">
        <v>423030563500</v>
      </c>
      <c r="B1690" t="s">
        <v>3139</v>
      </c>
      <c r="C1690">
        <v>367.7097</v>
      </c>
      <c r="D1690">
        <v>28.23</v>
      </c>
      <c r="E1690">
        <v>395.93970000000002</v>
      </c>
    </row>
    <row r="1691" spans="1:5">
      <c r="A1691" s="485">
        <v>423030789400</v>
      </c>
      <c r="B1691">
        <v>257920000</v>
      </c>
      <c r="C1691">
        <v>1.2888999999999999</v>
      </c>
      <c r="D1691">
        <v>0</v>
      </c>
      <c r="E1691">
        <v>1.2888999999999999</v>
      </c>
    </row>
    <row r="1692" spans="1:5">
      <c r="A1692" s="485">
        <v>423030789400</v>
      </c>
      <c r="B1692" t="s">
        <v>3140</v>
      </c>
      <c r="C1692">
        <v>8</v>
      </c>
      <c r="D1692">
        <v>11.958399999999999</v>
      </c>
      <c r="E1692">
        <v>19.958399999999997</v>
      </c>
    </row>
    <row r="1693" spans="1:5">
      <c r="A1693" s="485">
        <v>423030565700</v>
      </c>
      <c r="B1693" t="s">
        <v>3141</v>
      </c>
      <c r="C1693">
        <v>1.6923999999999999</v>
      </c>
      <c r="D1693">
        <v>0.65900000000000003</v>
      </c>
      <c r="E1693">
        <v>2.3513999999999999</v>
      </c>
    </row>
    <row r="1694" spans="1:5">
      <c r="A1694" s="485">
        <v>423030566100</v>
      </c>
      <c r="B1694" t="s">
        <v>3142</v>
      </c>
      <c r="C1694">
        <v>7.3022999999999998</v>
      </c>
      <c r="D1694">
        <v>0.17080000000000001</v>
      </c>
      <c r="E1694">
        <v>7.4730999999999996</v>
      </c>
    </row>
    <row r="1695" spans="1:5">
      <c r="A1695" s="485">
        <v>423030567200</v>
      </c>
      <c r="B1695" t="s">
        <v>3143</v>
      </c>
      <c r="C1695">
        <v>0.59840000000000004</v>
      </c>
      <c r="D1695">
        <v>0.98280000000000012</v>
      </c>
      <c r="E1695">
        <v>1.5812000000000002</v>
      </c>
    </row>
    <row r="1696" spans="1:5">
      <c r="A1696" s="485">
        <v>423030567500</v>
      </c>
      <c r="B1696" t="s">
        <v>3144</v>
      </c>
      <c r="C1696">
        <v>8.7777999999999992</v>
      </c>
      <c r="D1696">
        <v>14.163600000000001</v>
      </c>
      <c r="E1696">
        <v>22.941400000000002</v>
      </c>
    </row>
    <row r="1697" spans="1:5">
      <c r="A1697" s="485">
        <v>423030567500</v>
      </c>
      <c r="B1697" t="s">
        <v>3145</v>
      </c>
      <c r="C1697">
        <v>0</v>
      </c>
      <c r="D1697">
        <v>0</v>
      </c>
      <c r="E1697">
        <v>0</v>
      </c>
    </row>
    <row r="1698" spans="1:5">
      <c r="A1698" s="485">
        <v>423030567500</v>
      </c>
      <c r="B1698" t="s">
        <v>3146</v>
      </c>
      <c r="C1698">
        <v>0</v>
      </c>
      <c r="D1698">
        <v>0</v>
      </c>
      <c r="E1698">
        <v>0</v>
      </c>
    </row>
    <row r="1699" spans="1:5">
      <c r="A1699" s="485">
        <v>423030567500</v>
      </c>
      <c r="B1699" t="s">
        <v>3147</v>
      </c>
      <c r="C1699">
        <v>0</v>
      </c>
      <c r="D1699">
        <v>0</v>
      </c>
      <c r="E1699">
        <v>0</v>
      </c>
    </row>
    <row r="1700" spans="1:5">
      <c r="A1700" s="485">
        <v>423030567500</v>
      </c>
      <c r="B1700" t="s">
        <v>3148</v>
      </c>
      <c r="C1700">
        <v>0</v>
      </c>
      <c r="D1700">
        <v>0</v>
      </c>
      <c r="E1700">
        <v>0</v>
      </c>
    </row>
    <row r="1701" spans="1:5">
      <c r="A1701" s="485">
        <v>423030567500</v>
      </c>
      <c r="B1701" t="s">
        <v>3149</v>
      </c>
      <c r="C1701">
        <v>0</v>
      </c>
      <c r="D1701">
        <v>0</v>
      </c>
      <c r="E1701">
        <v>0</v>
      </c>
    </row>
    <row r="1702" spans="1:5">
      <c r="A1702" s="485">
        <v>423030567500</v>
      </c>
      <c r="B1702" t="s">
        <v>3150</v>
      </c>
      <c r="C1702">
        <v>0</v>
      </c>
      <c r="D1702">
        <v>0</v>
      </c>
      <c r="E1702">
        <v>0</v>
      </c>
    </row>
    <row r="1703" spans="1:5">
      <c r="A1703" s="485">
        <v>423030567500</v>
      </c>
      <c r="B1703" t="s">
        <v>3151</v>
      </c>
      <c r="C1703">
        <v>0</v>
      </c>
      <c r="D1703">
        <v>0</v>
      </c>
      <c r="E1703">
        <v>0</v>
      </c>
    </row>
    <row r="1704" spans="1:5">
      <c r="A1704" s="485">
        <v>423030567500</v>
      </c>
      <c r="B1704" t="s">
        <v>3152</v>
      </c>
      <c r="C1704">
        <v>0</v>
      </c>
      <c r="D1704">
        <v>0</v>
      </c>
      <c r="E1704">
        <v>0</v>
      </c>
    </row>
    <row r="1705" spans="1:5">
      <c r="A1705" s="485">
        <v>423030790600</v>
      </c>
      <c r="B1705" t="s">
        <v>3153</v>
      </c>
      <c r="C1705">
        <v>7</v>
      </c>
      <c r="D1705">
        <v>22.152600000000003</v>
      </c>
      <c r="E1705">
        <v>29.152600000000003</v>
      </c>
    </row>
    <row r="1706" spans="1:5">
      <c r="A1706" s="485">
        <v>423030790600</v>
      </c>
      <c r="B1706" t="s">
        <v>3154</v>
      </c>
      <c r="C1706">
        <v>0</v>
      </c>
      <c r="D1706">
        <v>0</v>
      </c>
      <c r="E1706">
        <v>0</v>
      </c>
    </row>
    <row r="1707" spans="1:5">
      <c r="A1707" s="485">
        <v>423030790600</v>
      </c>
      <c r="B1707" t="s">
        <v>3155</v>
      </c>
      <c r="C1707">
        <v>0</v>
      </c>
      <c r="D1707">
        <v>0</v>
      </c>
      <c r="E1707">
        <v>0</v>
      </c>
    </row>
    <row r="1708" spans="1:5">
      <c r="A1708" s="485">
        <v>423030790600</v>
      </c>
      <c r="B1708" t="s">
        <v>3156</v>
      </c>
      <c r="C1708">
        <v>0</v>
      </c>
      <c r="D1708">
        <v>0</v>
      </c>
      <c r="E1708">
        <v>0</v>
      </c>
    </row>
    <row r="1709" spans="1:5">
      <c r="A1709" s="485">
        <v>423030790600</v>
      </c>
      <c r="B1709" t="s">
        <v>3157</v>
      </c>
      <c r="C1709">
        <v>0</v>
      </c>
      <c r="D1709">
        <v>0</v>
      </c>
      <c r="E1709">
        <v>0</v>
      </c>
    </row>
    <row r="1710" spans="1:5">
      <c r="A1710" s="485">
        <v>423030790800</v>
      </c>
      <c r="B1710" t="s">
        <v>3158</v>
      </c>
      <c r="C1710">
        <v>72</v>
      </c>
      <c r="D1710">
        <v>166.58399999999997</v>
      </c>
      <c r="E1710">
        <v>238.58399999999997</v>
      </c>
    </row>
    <row r="1711" spans="1:5">
      <c r="A1711" s="485">
        <v>423030568300</v>
      </c>
      <c r="B1711" t="s">
        <v>3159</v>
      </c>
      <c r="C1711">
        <v>1.2696999999999998</v>
      </c>
      <c r="D1711">
        <v>1.42</v>
      </c>
      <c r="E1711">
        <v>2.6896999999999998</v>
      </c>
    </row>
    <row r="1712" spans="1:5">
      <c r="A1712" s="485">
        <v>423030569200</v>
      </c>
      <c r="B1712" t="s">
        <v>3160</v>
      </c>
      <c r="C1712">
        <v>0</v>
      </c>
      <c r="D1712">
        <v>0</v>
      </c>
      <c r="E1712">
        <v>0</v>
      </c>
    </row>
    <row r="1713" spans="1:5">
      <c r="A1713" s="485">
        <v>423030569200</v>
      </c>
      <c r="B1713" t="s">
        <v>3161</v>
      </c>
      <c r="C1713">
        <v>0</v>
      </c>
      <c r="D1713">
        <v>0</v>
      </c>
      <c r="E1713">
        <v>0</v>
      </c>
    </row>
    <row r="1714" spans="1:5">
      <c r="A1714" s="485">
        <v>423030569200</v>
      </c>
      <c r="B1714" t="s">
        <v>3162</v>
      </c>
      <c r="C1714">
        <v>0</v>
      </c>
      <c r="D1714">
        <v>0</v>
      </c>
      <c r="E1714">
        <v>0</v>
      </c>
    </row>
    <row r="1715" spans="1:5">
      <c r="A1715" s="485">
        <v>423030569200</v>
      </c>
      <c r="B1715" t="s">
        <v>3163</v>
      </c>
      <c r="C1715">
        <v>0</v>
      </c>
      <c r="D1715">
        <v>0</v>
      </c>
      <c r="E1715">
        <v>0</v>
      </c>
    </row>
    <row r="1716" spans="1:5">
      <c r="A1716" s="485">
        <v>423030569200</v>
      </c>
      <c r="B1716" t="s">
        <v>3164</v>
      </c>
      <c r="C1716">
        <v>0</v>
      </c>
      <c r="D1716">
        <v>0</v>
      </c>
      <c r="E1716">
        <v>0</v>
      </c>
    </row>
    <row r="1717" spans="1:5">
      <c r="A1717" s="485">
        <v>423030569200</v>
      </c>
      <c r="B1717" t="s">
        <v>3165</v>
      </c>
      <c r="C1717">
        <v>0</v>
      </c>
      <c r="D1717">
        <v>0</v>
      </c>
      <c r="E1717">
        <v>0</v>
      </c>
    </row>
    <row r="1718" spans="1:5">
      <c r="A1718" s="485">
        <v>423030569200</v>
      </c>
      <c r="B1718" t="s">
        <v>3166</v>
      </c>
      <c r="C1718">
        <v>0</v>
      </c>
      <c r="D1718">
        <v>0</v>
      </c>
      <c r="E1718">
        <v>0</v>
      </c>
    </row>
    <row r="1719" spans="1:5">
      <c r="A1719" s="485">
        <v>423030569200</v>
      </c>
      <c r="B1719" t="s">
        <v>3167</v>
      </c>
      <c r="C1719">
        <v>0</v>
      </c>
      <c r="D1719">
        <v>0</v>
      </c>
      <c r="E1719">
        <v>0</v>
      </c>
    </row>
    <row r="1720" spans="1:5">
      <c r="A1720" s="485">
        <v>423030569200</v>
      </c>
      <c r="B1720" t="s">
        <v>3168</v>
      </c>
      <c r="C1720">
        <v>0</v>
      </c>
      <c r="D1720">
        <v>0</v>
      </c>
      <c r="E1720">
        <v>0</v>
      </c>
    </row>
    <row r="1721" spans="1:5">
      <c r="A1721" s="485">
        <v>423030569200</v>
      </c>
      <c r="B1721" t="s">
        <v>3169</v>
      </c>
      <c r="C1721">
        <v>0</v>
      </c>
      <c r="D1721">
        <v>0</v>
      </c>
      <c r="E1721">
        <v>0</v>
      </c>
    </row>
    <row r="1722" spans="1:5">
      <c r="A1722" s="485">
        <v>423030569200</v>
      </c>
      <c r="B1722" t="s">
        <v>3170</v>
      </c>
      <c r="C1722">
        <v>0</v>
      </c>
      <c r="D1722">
        <v>0</v>
      </c>
      <c r="E1722">
        <v>0</v>
      </c>
    </row>
    <row r="1723" spans="1:5">
      <c r="A1723" s="485">
        <v>423030569200</v>
      </c>
      <c r="B1723" t="s">
        <v>3171</v>
      </c>
      <c r="C1723">
        <v>0</v>
      </c>
      <c r="D1723">
        <v>0</v>
      </c>
      <c r="E1723">
        <v>0</v>
      </c>
    </row>
    <row r="1724" spans="1:5">
      <c r="A1724" s="485">
        <v>423030569200</v>
      </c>
      <c r="B1724" t="s">
        <v>3172</v>
      </c>
      <c r="C1724">
        <v>0</v>
      </c>
      <c r="D1724">
        <v>0</v>
      </c>
      <c r="E1724">
        <v>0</v>
      </c>
    </row>
    <row r="1725" spans="1:5">
      <c r="A1725" s="485">
        <v>423030791100</v>
      </c>
      <c r="B1725" t="s">
        <v>3173</v>
      </c>
      <c r="C1725">
        <v>0</v>
      </c>
      <c r="D1725">
        <v>3.7229999999999999</v>
      </c>
      <c r="E1725">
        <v>3.7229999999999999</v>
      </c>
    </row>
    <row r="1726" spans="1:5">
      <c r="A1726" s="485">
        <v>423030783500</v>
      </c>
      <c r="B1726" t="s">
        <v>3174</v>
      </c>
      <c r="C1726">
        <v>5.9784999999999986</v>
      </c>
      <c r="D1726">
        <v>0.51</v>
      </c>
      <c r="E1726">
        <v>6.4884999999999984</v>
      </c>
    </row>
    <row r="1727" spans="1:5">
      <c r="A1727" s="485">
        <v>423030783500</v>
      </c>
      <c r="B1727" t="s">
        <v>3175</v>
      </c>
      <c r="C1727">
        <v>0</v>
      </c>
      <c r="D1727">
        <v>0</v>
      </c>
      <c r="E1727">
        <v>0</v>
      </c>
    </row>
    <row r="1728" spans="1:5">
      <c r="A1728" s="485">
        <v>423030783500</v>
      </c>
      <c r="B1728" t="s">
        <v>3176</v>
      </c>
      <c r="C1728">
        <v>0</v>
      </c>
      <c r="D1728">
        <v>0</v>
      </c>
      <c r="E1728">
        <v>0</v>
      </c>
    </row>
    <row r="1729" spans="1:5">
      <c r="A1729" s="485">
        <v>423030783500</v>
      </c>
      <c r="B1729" t="s">
        <v>3177</v>
      </c>
      <c r="C1729">
        <v>0</v>
      </c>
      <c r="D1729">
        <v>0</v>
      </c>
      <c r="E1729">
        <v>0</v>
      </c>
    </row>
    <row r="1730" spans="1:5">
      <c r="A1730" s="485">
        <v>423030783500</v>
      </c>
      <c r="B1730" t="s">
        <v>3178</v>
      </c>
      <c r="C1730">
        <v>0</v>
      </c>
      <c r="D1730">
        <v>0</v>
      </c>
      <c r="E1730">
        <v>0</v>
      </c>
    </row>
    <row r="1731" spans="1:5">
      <c r="A1731" s="485">
        <v>423030566700</v>
      </c>
      <c r="B1731" t="s">
        <v>3179</v>
      </c>
      <c r="C1731">
        <v>0</v>
      </c>
      <c r="D1731">
        <v>0</v>
      </c>
      <c r="E1731">
        <v>0</v>
      </c>
    </row>
    <row r="1732" spans="1:5">
      <c r="A1732" s="485">
        <v>423030566700</v>
      </c>
      <c r="B1732" t="s">
        <v>3180</v>
      </c>
      <c r="C1732">
        <v>0</v>
      </c>
      <c r="D1732">
        <v>0</v>
      </c>
      <c r="E1732">
        <v>0</v>
      </c>
    </row>
    <row r="1733" spans="1:5">
      <c r="A1733" s="485">
        <v>423030566700</v>
      </c>
      <c r="B1733" t="s">
        <v>3181</v>
      </c>
      <c r="C1733">
        <v>0</v>
      </c>
      <c r="D1733">
        <v>0</v>
      </c>
      <c r="E1733">
        <v>0</v>
      </c>
    </row>
    <row r="1734" spans="1:5">
      <c r="A1734" s="485">
        <v>423030566700</v>
      </c>
      <c r="B1734" t="s">
        <v>3182</v>
      </c>
      <c r="C1734">
        <v>336.13479999999998</v>
      </c>
      <c r="D1734">
        <v>578.07899999999995</v>
      </c>
      <c r="E1734">
        <v>914.21379999999999</v>
      </c>
    </row>
    <row r="1735" spans="1:5">
      <c r="A1735" s="485">
        <v>423030888600</v>
      </c>
      <c r="B1735" t="s">
        <v>3183</v>
      </c>
      <c r="C1735">
        <v>0</v>
      </c>
      <c r="D1735">
        <v>0</v>
      </c>
      <c r="E1735">
        <v>0</v>
      </c>
    </row>
    <row r="1736" spans="1:5">
      <c r="A1736" s="485">
        <v>423030888600</v>
      </c>
      <c r="B1736" t="s">
        <v>3184</v>
      </c>
      <c r="C1736">
        <v>0</v>
      </c>
      <c r="D1736">
        <v>0</v>
      </c>
      <c r="E1736">
        <v>0</v>
      </c>
    </row>
    <row r="1737" spans="1:5">
      <c r="A1737" s="485">
        <v>423030713500</v>
      </c>
      <c r="B1737" t="s">
        <v>3185</v>
      </c>
      <c r="C1737">
        <v>29.25</v>
      </c>
      <c r="D1737">
        <v>18.366099999999999</v>
      </c>
      <c r="E1737">
        <v>47.616100000000003</v>
      </c>
    </row>
    <row r="1738" spans="1:5">
      <c r="A1738" s="485">
        <v>423030567300</v>
      </c>
      <c r="B1738" t="s">
        <v>3186</v>
      </c>
      <c r="C1738">
        <v>0</v>
      </c>
      <c r="D1738">
        <v>0</v>
      </c>
      <c r="E1738">
        <v>0</v>
      </c>
    </row>
    <row r="1739" spans="1:5">
      <c r="A1739" s="485">
        <v>423030567300</v>
      </c>
      <c r="B1739" t="s">
        <v>3187</v>
      </c>
      <c r="C1739">
        <v>1</v>
      </c>
      <c r="D1739">
        <v>1.1467999999999998</v>
      </c>
      <c r="E1739">
        <v>2.1467999999999998</v>
      </c>
    </row>
    <row r="1740" spans="1:5">
      <c r="A1740" s="485">
        <v>423030567800</v>
      </c>
      <c r="B1740" t="s">
        <v>3188</v>
      </c>
      <c r="C1740">
        <v>292.04430000000002</v>
      </c>
      <c r="D1740">
        <v>252.45000000000002</v>
      </c>
      <c r="E1740">
        <v>544.49430000000007</v>
      </c>
    </row>
    <row r="1741" spans="1:5">
      <c r="A1741" s="485">
        <v>423030714400</v>
      </c>
      <c r="B1741" t="s">
        <v>3189</v>
      </c>
      <c r="C1741">
        <v>0</v>
      </c>
      <c r="D1741">
        <v>0</v>
      </c>
      <c r="E1741">
        <v>0</v>
      </c>
    </row>
    <row r="1742" spans="1:5">
      <c r="A1742" s="485">
        <v>423030568400</v>
      </c>
      <c r="B1742" t="s">
        <v>3190</v>
      </c>
      <c r="C1742">
        <v>0</v>
      </c>
      <c r="D1742">
        <v>0</v>
      </c>
      <c r="E1742">
        <v>0</v>
      </c>
    </row>
    <row r="1743" spans="1:5">
      <c r="A1743" s="485">
        <v>423030715100</v>
      </c>
      <c r="B1743" t="s">
        <v>3191</v>
      </c>
      <c r="C1743">
        <v>38.333400000000005</v>
      </c>
      <c r="D1743">
        <v>11.8307</v>
      </c>
      <c r="E1743">
        <v>50.164100000000005</v>
      </c>
    </row>
    <row r="1744" spans="1:5">
      <c r="A1744" s="485">
        <v>423030715400</v>
      </c>
      <c r="B1744" t="s">
        <v>3192</v>
      </c>
      <c r="C1744">
        <v>0</v>
      </c>
      <c r="D1744">
        <v>0</v>
      </c>
      <c r="E1744">
        <v>0</v>
      </c>
    </row>
    <row r="1745" spans="1:5">
      <c r="A1745" s="485">
        <v>423030712200</v>
      </c>
      <c r="B1745" t="s">
        <v>3193</v>
      </c>
      <c r="C1745">
        <v>4.5495000000000001</v>
      </c>
      <c r="D1745">
        <v>1.1834</v>
      </c>
      <c r="E1745">
        <v>5.7328999999999999</v>
      </c>
    </row>
    <row r="1746" spans="1:5">
      <c r="A1746" s="485">
        <v>423030712400</v>
      </c>
      <c r="B1746" t="s">
        <v>3194</v>
      </c>
      <c r="C1746">
        <v>135.2637</v>
      </c>
      <c r="D1746">
        <v>43.005000000000003</v>
      </c>
      <c r="E1746">
        <v>178.2687</v>
      </c>
    </row>
    <row r="1747" spans="1:5">
      <c r="A1747" s="485">
        <v>423030569100</v>
      </c>
      <c r="B1747" t="s">
        <v>3195</v>
      </c>
      <c r="C1747">
        <v>1.7175000000000002</v>
      </c>
      <c r="D1747">
        <v>2.2143999999999999</v>
      </c>
      <c r="E1747">
        <v>3.9319000000000002</v>
      </c>
    </row>
    <row r="1748" spans="1:5">
      <c r="A1748" s="485">
        <v>423030712600</v>
      </c>
      <c r="B1748" t="s">
        <v>3196</v>
      </c>
      <c r="C1748">
        <v>415.62109999999996</v>
      </c>
      <c r="D1748">
        <v>5.6694999999999993</v>
      </c>
      <c r="E1748">
        <v>421.29059999999993</v>
      </c>
    </row>
    <row r="1749" spans="1:5">
      <c r="A1749" s="485">
        <v>423030728300</v>
      </c>
      <c r="B1749" t="s">
        <v>3197</v>
      </c>
      <c r="C1749">
        <v>0</v>
      </c>
      <c r="D1749">
        <v>0</v>
      </c>
      <c r="E1749">
        <v>0</v>
      </c>
    </row>
    <row r="1750" spans="1:5">
      <c r="A1750" s="485">
        <v>423030569700</v>
      </c>
      <c r="B1750" t="s">
        <v>3198</v>
      </c>
      <c r="C1750">
        <v>468.90909999999997</v>
      </c>
      <c r="D1750">
        <v>400.90139999999997</v>
      </c>
      <c r="E1750">
        <v>869.81049999999993</v>
      </c>
    </row>
    <row r="1751" spans="1:5">
      <c r="A1751" s="485">
        <v>423030569700</v>
      </c>
      <c r="B1751" t="s">
        <v>3199</v>
      </c>
      <c r="C1751">
        <v>0</v>
      </c>
      <c r="D1751">
        <v>27.776500000000006</v>
      </c>
      <c r="E1751">
        <v>27.776500000000006</v>
      </c>
    </row>
    <row r="1752" spans="1:5">
      <c r="A1752" s="485">
        <v>423030570500</v>
      </c>
      <c r="B1752" t="s">
        <v>3200</v>
      </c>
      <c r="C1752">
        <v>1</v>
      </c>
      <c r="D1752">
        <v>3.0539999999999998</v>
      </c>
      <c r="E1752">
        <v>4.0540000000000003</v>
      </c>
    </row>
    <row r="1753" spans="1:5">
      <c r="A1753" s="485">
        <v>423030712900</v>
      </c>
      <c r="B1753" t="s">
        <v>3201</v>
      </c>
      <c r="C1753">
        <v>577.69240000000002</v>
      </c>
      <c r="D1753">
        <v>30.0242</v>
      </c>
      <c r="E1753">
        <v>607.71659999999997</v>
      </c>
    </row>
    <row r="1754" spans="1:5">
      <c r="A1754" s="485">
        <v>423030713200</v>
      </c>
      <c r="B1754" t="s">
        <v>3202</v>
      </c>
      <c r="C1754">
        <v>21.166800000000002</v>
      </c>
      <c r="D1754">
        <v>10.335000000000001</v>
      </c>
      <c r="E1754">
        <v>31.501800000000003</v>
      </c>
    </row>
    <row r="1755" spans="1:5">
      <c r="A1755" s="485">
        <v>423030571500</v>
      </c>
      <c r="B1755" t="s">
        <v>3203</v>
      </c>
      <c r="C1755">
        <v>0</v>
      </c>
      <c r="D1755">
        <v>2.8834999999999997</v>
      </c>
      <c r="E1755">
        <v>2.8834999999999997</v>
      </c>
    </row>
    <row r="1756" spans="1:5">
      <c r="A1756" s="485">
        <v>423031455500</v>
      </c>
      <c r="B1756" t="s">
        <v>3204</v>
      </c>
      <c r="C1756">
        <v>4937.2998999999991</v>
      </c>
      <c r="D1756">
        <v>2055.48</v>
      </c>
      <c r="E1756">
        <v>6992.7798999999995</v>
      </c>
    </row>
    <row r="1757" spans="1:5">
      <c r="A1757" s="485">
        <v>423030759500</v>
      </c>
      <c r="B1757" t="s">
        <v>3205</v>
      </c>
      <c r="C1757">
        <v>66.636399999999995</v>
      </c>
      <c r="D1757">
        <v>43.835399999999993</v>
      </c>
      <c r="E1757">
        <v>110.47179999999999</v>
      </c>
    </row>
    <row r="1758" spans="1:5">
      <c r="A1758" s="485">
        <v>423030716500</v>
      </c>
      <c r="B1758" t="s">
        <v>3206</v>
      </c>
      <c r="C1758">
        <v>0.99990000000000001</v>
      </c>
      <c r="D1758">
        <v>1.0112000000000001</v>
      </c>
      <c r="E1758">
        <v>2.0110999999999999</v>
      </c>
    </row>
    <row r="1759" spans="1:5">
      <c r="A1759" s="485">
        <v>423030571600</v>
      </c>
      <c r="B1759" t="s">
        <v>3207</v>
      </c>
      <c r="C1759">
        <v>0</v>
      </c>
      <c r="D1759">
        <v>0</v>
      </c>
      <c r="E1759">
        <v>0</v>
      </c>
    </row>
    <row r="1760" spans="1:5">
      <c r="A1760" s="485">
        <v>423030571600</v>
      </c>
      <c r="B1760" t="s">
        <v>3208</v>
      </c>
      <c r="C1760">
        <v>0</v>
      </c>
      <c r="D1760">
        <v>0</v>
      </c>
      <c r="E1760">
        <v>0</v>
      </c>
    </row>
    <row r="1761" spans="1:5">
      <c r="A1761" s="485">
        <v>423030571800</v>
      </c>
      <c r="B1761" t="s">
        <v>3209</v>
      </c>
      <c r="C1761">
        <v>2</v>
      </c>
      <c r="D1761">
        <v>3.7143000000000002</v>
      </c>
      <c r="E1761">
        <v>5.7142999999999997</v>
      </c>
    </row>
    <row r="1762" spans="1:5">
      <c r="A1762" s="485">
        <v>423030571900</v>
      </c>
      <c r="B1762" t="s">
        <v>3210</v>
      </c>
      <c r="C1762">
        <v>65.5</v>
      </c>
      <c r="D1762">
        <v>11.8828</v>
      </c>
      <c r="E1762">
        <v>77.382800000000003</v>
      </c>
    </row>
    <row r="1763" spans="1:5">
      <c r="A1763" s="485">
        <v>423030572600</v>
      </c>
      <c r="B1763" t="s">
        <v>3211</v>
      </c>
      <c r="C1763">
        <v>0</v>
      </c>
      <c r="D1763">
        <v>19.819500000000001</v>
      </c>
      <c r="E1763">
        <v>19.819500000000001</v>
      </c>
    </row>
    <row r="1764" spans="1:5">
      <c r="A1764" s="485">
        <v>423030572700</v>
      </c>
      <c r="B1764" t="s">
        <v>3212</v>
      </c>
      <c r="C1764">
        <v>187.21510000000001</v>
      </c>
      <c r="D1764">
        <v>186.29159999999999</v>
      </c>
      <c r="E1764">
        <v>373.50670000000002</v>
      </c>
    </row>
    <row r="1765" spans="1:5">
      <c r="A1765" s="485">
        <v>423030747600</v>
      </c>
      <c r="B1765" t="s">
        <v>3213</v>
      </c>
      <c r="C1765">
        <v>110.02169999999998</v>
      </c>
      <c r="D1765">
        <v>23.892400000000002</v>
      </c>
      <c r="E1765">
        <v>133.91409999999999</v>
      </c>
    </row>
    <row r="1766" spans="1:5">
      <c r="A1766" s="485">
        <v>423030888700</v>
      </c>
      <c r="B1766" t="s">
        <v>3214</v>
      </c>
      <c r="C1766">
        <v>139.50550000000001</v>
      </c>
      <c r="D1766">
        <v>241.006</v>
      </c>
      <c r="E1766">
        <v>380.51150000000001</v>
      </c>
    </row>
    <row r="1767" spans="1:5">
      <c r="A1767" s="485">
        <v>423030572900</v>
      </c>
      <c r="B1767" t="s">
        <v>3215</v>
      </c>
      <c r="C1767">
        <v>0</v>
      </c>
      <c r="D1767">
        <v>0</v>
      </c>
      <c r="E1767">
        <v>0</v>
      </c>
    </row>
    <row r="1768" spans="1:5">
      <c r="A1768" s="485">
        <v>423030572900</v>
      </c>
      <c r="B1768" t="s">
        <v>3216</v>
      </c>
      <c r="C1768">
        <v>0</v>
      </c>
      <c r="D1768">
        <v>0</v>
      </c>
      <c r="E1768">
        <v>0</v>
      </c>
    </row>
    <row r="1769" spans="1:5">
      <c r="A1769" s="485">
        <v>423030572900</v>
      </c>
      <c r="B1769" t="s">
        <v>3217</v>
      </c>
      <c r="C1769">
        <v>0</v>
      </c>
      <c r="D1769">
        <v>0</v>
      </c>
      <c r="E1769">
        <v>0</v>
      </c>
    </row>
    <row r="1770" spans="1:5">
      <c r="A1770" s="485">
        <v>423030572900</v>
      </c>
      <c r="B1770" t="s">
        <v>3218</v>
      </c>
      <c r="C1770">
        <v>0</v>
      </c>
      <c r="D1770">
        <v>0</v>
      </c>
      <c r="E1770">
        <v>0</v>
      </c>
    </row>
    <row r="1771" spans="1:5">
      <c r="A1771" s="485">
        <v>423030572900</v>
      </c>
      <c r="B1771" t="s">
        <v>3219</v>
      </c>
      <c r="C1771">
        <v>0</v>
      </c>
      <c r="D1771">
        <v>0</v>
      </c>
      <c r="E1771">
        <v>0</v>
      </c>
    </row>
    <row r="1772" spans="1:5">
      <c r="A1772" s="485">
        <v>423030572900</v>
      </c>
      <c r="B1772" t="s">
        <v>3220</v>
      </c>
      <c r="C1772">
        <v>0</v>
      </c>
      <c r="D1772">
        <v>0</v>
      </c>
      <c r="E1772">
        <v>0</v>
      </c>
    </row>
    <row r="1773" spans="1:5">
      <c r="A1773" s="485">
        <v>423030572900</v>
      </c>
      <c r="B1773" t="s">
        <v>3221</v>
      </c>
      <c r="C1773">
        <v>0</v>
      </c>
      <c r="D1773">
        <v>0</v>
      </c>
      <c r="E1773">
        <v>0</v>
      </c>
    </row>
    <row r="1774" spans="1:5">
      <c r="A1774" s="485">
        <v>423030725100</v>
      </c>
      <c r="B1774" t="s">
        <v>3222</v>
      </c>
      <c r="C1774">
        <v>0.68490000000000006</v>
      </c>
      <c r="D1774">
        <v>0.10919999999999999</v>
      </c>
      <c r="E1774">
        <v>0.79410000000000003</v>
      </c>
    </row>
    <row r="1775" spans="1:5">
      <c r="A1775" s="485">
        <v>423030573000</v>
      </c>
      <c r="B1775" t="s">
        <v>3223</v>
      </c>
      <c r="C1775">
        <v>161.0001</v>
      </c>
      <c r="D1775">
        <v>319.03039999999999</v>
      </c>
      <c r="E1775">
        <v>480.03049999999996</v>
      </c>
    </row>
    <row r="1776" spans="1:5">
      <c r="A1776" s="485">
        <v>423030725300</v>
      </c>
      <c r="B1776" t="s">
        <v>3224</v>
      </c>
      <c r="C1776">
        <v>2</v>
      </c>
      <c r="D1776">
        <v>1.3031999999999999</v>
      </c>
      <c r="E1776">
        <v>3.3031999999999999</v>
      </c>
    </row>
    <row r="1777" spans="1:5">
      <c r="A1777" s="485">
        <v>423030571400</v>
      </c>
      <c r="B1777" t="s">
        <v>3225</v>
      </c>
      <c r="C1777">
        <v>161.77780000000001</v>
      </c>
      <c r="D1777">
        <v>0.69430000000000003</v>
      </c>
      <c r="E1777">
        <v>162.47210000000001</v>
      </c>
    </row>
    <row r="1778" spans="1:5">
      <c r="A1778" s="485">
        <v>423030729800</v>
      </c>
      <c r="B1778" t="s">
        <v>3226</v>
      </c>
      <c r="C1778">
        <v>0</v>
      </c>
      <c r="D1778">
        <v>0</v>
      </c>
      <c r="E1778">
        <v>0</v>
      </c>
    </row>
    <row r="1779" spans="1:5">
      <c r="A1779" s="485">
        <v>423030340300</v>
      </c>
      <c r="B1779" t="s">
        <v>3227</v>
      </c>
      <c r="C1779">
        <v>0</v>
      </c>
      <c r="D1779">
        <v>0</v>
      </c>
      <c r="E1779">
        <v>0</v>
      </c>
    </row>
    <row r="1780" spans="1:5">
      <c r="A1780" s="485">
        <v>423030730100</v>
      </c>
      <c r="B1780">
        <v>2054825</v>
      </c>
      <c r="C1780">
        <v>337.75659999999999</v>
      </c>
      <c r="D1780">
        <v>104.63200000000001</v>
      </c>
      <c r="E1780">
        <v>442.3886</v>
      </c>
    </row>
    <row r="1781" spans="1:5">
      <c r="A1781" s="485">
        <v>423030725500</v>
      </c>
      <c r="B1781" t="s">
        <v>3228</v>
      </c>
      <c r="C1781">
        <v>20.363600000000002</v>
      </c>
      <c r="D1781">
        <v>13.6053</v>
      </c>
      <c r="E1781">
        <v>33.968900000000005</v>
      </c>
    </row>
    <row r="1782" spans="1:5">
      <c r="A1782" s="485">
        <v>423030725500</v>
      </c>
      <c r="B1782" t="s">
        <v>3229</v>
      </c>
      <c r="C1782">
        <v>4.3896999999999995</v>
      </c>
      <c r="D1782">
        <v>2.6970000000000001</v>
      </c>
      <c r="E1782">
        <v>7.0866999999999996</v>
      </c>
    </row>
    <row r="1783" spans="1:5">
      <c r="A1783" s="485">
        <v>423030572100</v>
      </c>
      <c r="B1783" t="s">
        <v>3230</v>
      </c>
      <c r="C1783">
        <v>0</v>
      </c>
      <c r="D1783">
        <v>0</v>
      </c>
      <c r="E1783">
        <v>0</v>
      </c>
    </row>
    <row r="1784" spans="1:5">
      <c r="A1784" s="485">
        <v>423030572200</v>
      </c>
      <c r="B1784" t="s">
        <v>3231</v>
      </c>
      <c r="C1784">
        <v>3.3719999999999999</v>
      </c>
      <c r="D1784">
        <v>0.10859999999999999</v>
      </c>
      <c r="E1784">
        <v>3.4805999999999999</v>
      </c>
    </row>
    <row r="1785" spans="1:5">
      <c r="A1785" s="485">
        <v>423030741900</v>
      </c>
      <c r="B1785" t="s">
        <v>3232</v>
      </c>
      <c r="C1785">
        <v>216.79300000000001</v>
      </c>
      <c r="D1785">
        <v>1.22</v>
      </c>
      <c r="E1785">
        <v>218.01300000000001</v>
      </c>
    </row>
    <row r="1786" spans="1:5">
      <c r="A1786" s="485">
        <v>423030744300</v>
      </c>
      <c r="B1786" t="s">
        <v>3233</v>
      </c>
      <c r="C1786">
        <v>82.136299999999991</v>
      </c>
      <c r="D1786">
        <v>23.2532</v>
      </c>
      <c r="E1786">
        <v>105.3895</v>
      </c>
    </row>
    <row r="1787" spans="1:5">
      <c r="A1787" s="485">
        <v>423030741400</v>
      </c>
      <c r="B1787" t="s">
        <v>3234</v>
      </c>
      <c r="C1787">
        <v>0</v>
      </c>
      <c r="D1787">
        <v>0</v>
      </c>
      <c r="E1787">
        <v>0</v>
      </c>
    </row>
    <row r="1788" spans="1:5">
      <c r="A1788" s="485">
        <v>423030576000</v>
      </c>
      <c r="B1788" t="s">
        <v>3235</v>
      </c>
      <c r="C1788">
        <v>714</v>
      </c>
      <c r="D1788">
        <v>1768</v>
      </c>
      <c r="E1788">
        <v>2482</v>
      </c>
    </row>
    <row r="1789" spans="1:5">
      <c r="A1789" s="485">
        <v>423030576000</v>
      </c>
      <c r="B1789" t="s">
        <v>3236</v>
      </c>
      <c r="C1789">
        <v>0</v>
      </c>
      <c r="D1789">
        <v>2.8834999999999997</v>
      </c>
      <c r="E1789">
        <v>2.8834999999999997</v>
      </c>
    </row>
    <row r="1790" spans="1:5">
      <c r="A1790" s="485">
        <v>423030576400</v>
      </c>
      <c r="B1790" t="s">
        <v>3237</v>
      </c>
      <c r="C1790">
        <v>0</v>
      </c>
      <c r="D1790">
        <v>1.0212000000000001</v>
      </c>
      <c r="E1790">
        <v>1.0212000000000001</v>
      </c>
    </row>
    <row r="1791" spans="1:5">
      <c r="A1791" s="485">
        <v>423030725200</v>
      </c>
      <c r="B1791" t="s">
        <v>3238</v>
      </c>
      <c r="C1791">
        <v>0</v>
      </c>
      <c r="D1791">
        <v>0</v>
      </c>
      <c r="E1791">
        <v>0</v>
      </c>
    </row>
    <row r="1792" spans="1:5">
      <c r="A1792" s="485">
        <v>423030725200</v>
      </c>
      <c r="B1792" t="s">
        <v>3239</v>
      </c>
      <c r="C1792">
        <v>0</v>
      </c>
      <c r="D1792">
        <v>0</v>
      </c>
      <c r="E1792">
        <v>0</v>
      </c>
    </row>
    <row r="1793" spans="1:5">
      <c r="A1793" s="485">
        <v>423030725200</v>
      </c>
      <c r="B1793" t="s">
        <v>3240</v>
      </c>
      <c r="C1793">
        <v>0</v>
      </c>
      <c r="D1793">
        <v>0</v>
      </c>
      <c r="E1793">
        <v>0</v>
      </c>
    </row>
    <row r="1794" spans="1:5">
      <c r="A1794" s="485">
        <v>423030748300</v>
      </c>
      <c r="B1794" t="s">
        <v>3241</v>
      </c>
      <c r="C1794">
        <v>0</v>
      </c>
      <c r="D1794">
        <v>0</v>
      </c>
      <c r="E1794">
        <v>0</v>
      </c>
    </row>
    <row r="1795" spans="1:5">
      <c r="A1795" s="485">
        <v>423030577700</v>
      </c>
      <c r="B1795" t="s">
        <v>3242</v>
      </c>
      <c r="C1795">
        <v>147.42229999999998</v>
      </c>
      <c r="D1795">
        <v>89.037599999999998</v>
      </c>
      <c r="E1795">
        <v>236.45989999999998</v>
      </c>
    </row>
    <row r="1796" spans="1:5">
      <c r="A1796" s="485">
        <v>423030577700</v>
      </c>
      <c r="B1796" t="s">
        <v>3243</v>
      </c>
      <c r="C1796">
        <v>0</v>
      </c>
      <c r="D1796">
        <v>0</v>
      </c>
      <c r="E1796">
        <v>0</v>
      </c>
    </row>
    <row r="1797" spans="1:5">
      <c r="A1797" s="485">
        <v>423030579100</v>
      </c>
      <c r="B1797" t="s">
        <v>3244</v>
      </c>
      <c r="C1797">
        <v>0</v>
      </c>
      <c r="D1797">
        <v>0</v>
      </c>
      <c r="E1797">
        <v>0</v>
      </c>
    </row>
    <row r="1798" spans="1:5">
      <c r="A1798" s="485">
        <v>423030579100</v>
      </c>
      <c r="B1798" t="s">
        <v>3245</v>
      </c>
      <c r="C1798">
        <v>6.8634999999999993</v>
      </c>
      <c r="D1798">
        <v>0.74419999999999997</v>
      </c>
      <c r="E1798">
        <v>7.6076999999999995</v>
      </c>
    </row>
    <row r="1799" spans="1:5">
      <c r="A1799" s="485">
        <v>423030716100</v>
      </c>
      <c r="B1799" t="s">
        <v>3246</v>
      </c>
      <c r="C1799">
        <v>3.4617</v>
      </c>
      <c r="D1799">
        <v>0.40259999999999996</v>
      </c>
      <c r="E1799">
        <v>3.8643000000000001</v>
      </c>
    </row>
    <row r="1800" spans="1:5">
      <c r="A1800" s="485">
        <v>423030715700</v>
      </c>
      <c r="B1800" t="s">
        <v>3247</v>
      </c>
      <c r="C1800">
        <v>0</v>
      </c>
      <c r="D1800">
        <v>28.0685</v>
      </c>
      <c r="E1800">
        <v>28.0685</v>
      </c>
    </row>
    <row r="1801" spans="1:5">
      <c r="A1801" s="485">
        <v>423030715900</v>
      </c>
      <c r="B1801" t="s">
        <v>3248</v>
      </c>
      <c r="C1801">
        <v>0</v>
      </c>
      <c r="D1801">
        <v>0</v>
      </c>
      <c r="E1801">
        <v>0</v>
      </c>
    </row>
    <row r="1802" spans="1:5">
      <c r="A1802" s="485">
        <v>423030711900</v>
      </c>
      <c r="B1802" t="s">
        <v>3249</v>
      </c>
      <c r="C1802">
        <v>235.93889999999999</v>
      </c>
      <c r="D1802">
        <v>40.784399999999998</v>
      </c>
      <c r="E1802">
        <v>276.72329999999999</v>
      </c>
    </row>
    <row r="1803" spans="1:5">
      <c r="A1803" s="485">
        <v>423030580300</v>
      </c>
      <c r="B1803" t="s">
        <v>3250</v>
      </c>
      <c r="C1803">
        <v>4.2308000000000003</v>
      </c>
      <c r="D1803">
        <v>0.85499999999999998</v>
      </c>
      <c r="E1803">
        <v>5.0858000000000008</v>
      </c>
    </row>
    <row r="1804" spans="1:5">
      <c r="A1804" s="485">
        <v>423030580700</v>
      </c>
      <c r="B1804" t="s">
        <v>3251</v>
      </c>
      <c r="C1804">
        <v>4.101</v>
      </c>
      <c r="D1804">
        <v>1.8200000000000001E-2</v>
      </c>
      <c r="E1804">
        <v>4.1192000000000002</v>
      </c>
    </row>
    <row r="1805" spans="1:5">
      <c r="A1805" s="485">
        <v>423030583500</v>
      </c>
      <c r="B1805" t="s">
        <v>3252</v>
      </c>
      <c r="C1805">
        <v>0</v>
      </c>
      <c r="D1805">
        <v>0</v>
      </c>
      <c r="E1805">
        <v>0</v>
      </c>
    </row>
    <row r="1806" spans="1:5">
      <c r="A1806" s="485">
        <v>423030717500</v>
      </c>
      <c r="B1806" t="s">
        <v>3253</v>
      </c>
      <c r="C1806">
        <v>0.86899999999999999</v>
      </c>
      <c r="D1806">
        <v>0.87359999999999993</v>
      </c>
      <c r="E1806">
        <v>1.7425999999999999</v>
      </c>
    </row>
    <row r="1807" spans="1:5">
      <c r="A1807" s="485">
        <v>423030584000</v>
      </c>
      <c r="B1807">
        <v>2502623</v>
      </c>
      <c r="C1807">
        <v>49.822499999999998</v>
      </c>
      <c r="D1807">
        <v>15.2712</v>
      </c>
      <c r="E1807">
        <v>65.093699999999998</v>
      </c>
    </row>
    <row r="1808" spans="1:5">
      <c r="A1808" s="485">
        <v>423030584000</v>
      </c>
      <c r="B1808" t="s">
        <v>3254</v>
      </c>
      <c r="C1808">
        <v>1</v>
      </c>
      <c r="D1808">
        <v>0.97750000000000004</v>
      </c>
      <c r="E1808">
        <v>1.9775</v>
      </c>
    </row>
    <row r="1809" spans="1:5">
      <c r="A1809" s="485">
        <v>423030584000</v>
      </c>
      <c r="B1809" t="s">
        <v>3255</v>
      </c>
      <c r="C1809">
        <v>0.14019999999999999</v>
      </c>
      <c r="D1809">
        <v>0</v>
      </c>
      <c r="E1809">
        <v>0.14019999999999999</v>
      </c>
    </row>
    <row r="1810" spans="1:5">
      <c r="A1810" s="485">
        <v>423030897900</v>
      </c>
      <c r="B1810" t="s">
        <v>3256</v>
      </c>
      <c r="C1810">
        <v>0</v>
      </c>
      <c r="D1810">
        <v>0</v>
      </c>
      <c r="E1810">
        <v>0</v>
      </c>
    </row>
    <row r="1811" spans="1:5">
      <c r="A1811" s="485">
        <v>423030584500</v>
      </c>
      <c r="B1811">
        <v>2075857</v>
      </c>
      <c r="C1811">
        <v>218.07410000000002</v>
      </c>
      <c r="D1811">
        <v>60.966400000000007</v>
      </c>
      <c r="E1811">
        <v>279.04050000000001</v>
      </c>
    </row>
    <row r="1812" spans="1:5">
      <c r="A1812" s="485">
        <v>423030782100</v>
      </c>
      <c r="B1812" t="s">
        <v>3257</v>
      </c>
      <c r="C1812">
        <v>7.6818</v>
      </c>
      <c r="D1812">
        <v>3.4499999999999997</v>
      </c>
      <c r="E1812">
        <v>11.1318</v>
      </c>
    </row>
    <row r="1813" spans="1:5">
      <c r="A1813" s="485">
        <v>423030584800</v>
      </c>
      <c r="B1813" t="s">
        <v>3258</v>
      </c>
      <c r="C1813">
        <v>9.2759</v>
      </c>
      <c r="D1813">
        <v>48.25439999999999</v>
      </c>
      <c r="E1813">
        <v>57.53029999999999</v>
      </c>
    </row>
    <row r="1814" spans="1:5">
      <c r="A1814" s="485">
        <v>423030791700</v>
      </c>
      <c r="B1814" t="s">
        <v>3259</v>
      </c>
      <c r="C1814">
        <v>2.3487999999999998</v>
      </c>
      <c r="D1814">
        <v>2.08</v>
      </c>
      <c r="E1814">
        <v>4.4287999999999998</v>
      </c>
    </row>
    <row r="1815" spans="1:5">
      <c r="A1815" s="485">
        <v>423030573200</v>
      </c>
      <c r="B1815" t="s">
        <v>3260</v>
      </c>
      <c r="C1815">
        <v>10.0738</v>
      </c>
      <c r="D1815">
        <v>0.182</v>
      </c>
      <c r="E1815">
        <v>10.255800000000001</v>
      </c>
    </row>
    <row r="1816" spans="1:5">
      <c r="A1816" s="485">
        <v>423030748900</v>
      </c>
      <c r="B1816" t="s">
        <v>3261</v>
      </c>
      <c r="C1816">
        <v>159.06379999999999</v>
      </c>
      <c r="D1816">
        <v>4.7417999999999996</v>
      </c>
      <c r="E1816">
        <v>163.8056</v>
      </c>
    </row>
    <row r="1817" spans="1:5">
      <c r="A1817" s="485">
        <v>423030772300</v>
      </c>
      <c r="B1817" t="s">
        <v>3262</v>
      </c>
      <c r="C1817">
        <v>0</v>
      </c>
      <c r="D1817">
        <v>0</v>
      </c>
      <c r="E1817">
        <v>0</v>
      </c>
    </row>
    <row r="1818" spans="1:5">
      <c r="A1818" s="485">
        <v>423030574100</v>
      </c>
      <c r="B1818" t="s">
        <v>3263</v>
      </c>
      <c r="C1818">
        <v>0</v>
      </c>
      <c r="D1818">
        <v>0</v>
      </c>
      <c r="E1818">
        <v>0</v>
      </c>
    </row>
    <row r="1819" spans="1:5">
      <c r="A1819" s="485">
        <v>423030574100</v>
      </c>
      <c r="B1819" t="s">
        <v>3264</v>
      </c>
      <c r="C1819">
        <v>0</v>
      </c>
      <c r="D1819">
        <v>0</v>
      </c>
      <c r="E1819">
        <v>0</v>
      </c>
    </row>
    <row r="1820" spans="1:5">
      <c r="A1820" s="485">
        <v>423030574400</v>
      </c>
      <c r="B1820" t="s">
        <v>3265</v>
      </c>
      <c r="C1820">
        <v>3.3331999999999997</v>
      </c>
      <c r="D1820">
        <v>5.1546000000000003</v>
      </c>
      <c r="E1820">
        <v>8.4878</v>
      </c>
    </row>
    <row r="1821" spans="1:5">
      <c r="A1821" s="485">
        <v>423030732500</v>
      </c>
      <c r="B1821" t="s">
        <v>3266</v>
      </c>
      <c r="C1821">
        <v>0</v>
      </c>
      <c r="D1821">
        <v>0</v>
      </c>
      <c r="E1821">
        <v>0</v>
      </c>
    </row>
    <row r="1822" spans="1:5">
      <c r="A1822" s="485">
        <v>423030732500</v>
      </c>
      <c r="B1822" t="s">
        <v>3267</v>
      </c>
      <c r="C1822">
        <v>0</v>
      </c>
      <c r="D1822">
        <v>0</v>
      </c>
      <c r="E1822">
        <v>0</v>
      </c>
    </row>
    <row r="1823" spans="1:5">
      <c r="A1823" s="485">
        <v>423030732500</v>
      </c>
      <c r="B1823" t="s">
        <v>3268</v>
      </c>
      <c r="C1823">
        <v>0</v>
      </c>
      <c r="D1823">
        <v>0</v>
      </c>
      <c r="E1823">
        <v>0</v>
      </c>
    </row>
    <row r="1824" spans="1:5">
      <c r="A1824" s="485">
        <v>423030732500</v>
      </c>
      <c r="B1824" t="s">
        <v>3269</v>
      </c>
      <c r="C1824">
        <v>0</v>
      </c>
      <c r="D1824">
        <v>0</v>
      </c>
      <c r="E1824">
        <v>0</v>
      </c>
    </row>
    <row r="1825" spans="1:5">
      <c r="A1825" s="485">
        <v>423030732500</v>
      </c>
      <c r="B1825" t="s">
        <v>3270</v>
      </c>
      <c r="C1825">
        <v>0</v>
      </c>
      <c r="D1825">
        <v>0</v>
      </c>
      <c r="E1825">
        <v>0</v>
      </c>
    </row>
    <row r="1826" spans="1:5">
      <c r="A1826" s="485">
        <v>423030732500</v>
      </c>
      <c r="B1826" t="s">
        <v>3271</v>
      </c>
      <c r="C1826">
        <v>0</v>
      </c>
      <c r="D1826">
        <v>0</v>
      </c>
      <c r="E1826">
        <v>0</v>
      </c>
    </row>
    <row r="1827" spans="1:5">
      <c r="A1827" s="485">
        <v>423030732500</v>
      </c>
      <c r="B1827" t="s">
        <v>3272</v>
      </c>
      <c r="C1827">
        <v>0</v>
      </c>
      <c r="D1827">
        <v>0</v>
      </c>
      <c r="E1827">
        <v>0</v>
      </c>
    </row>
    <row r="1828" spans="1:5">
      <c r="A1828" s="485">
        <v>423030731100</v>
      </c>
      <c r="B1828" t="s">
        <v>3273</v>
      </c>
      <c r="C1828">
        <v>33.000100000000003</v>
      </c>
      <c r="D1828">
        <v>7.5665999999999993</v>
      </c>
      <c r="E1828">
        <v>40.566700000000004</v>
      </c>
    </row>
    <row r="1829" spans="1:5">
      <c r="A1829" s="485">
        <v>423030794100</v>
      </c>
      <c r="B1829" t="s">
        <v>3274</v>
      </c>
      <c r="C1829">
        <v>0</v>
      </c>
      <c r="D1829">
        <v>0</v>
      </c>
      <c r="E1829">
        <v>0</v>
      </c>
    </row>
    <row r="1830" spans="1:5">
      <c r="A1830" s="485">
        <v>423030761300</v>
      </c>
      <c r="B1830" t="s">
        <v>3275</v>
      </c>
      <c r="C1830">
        <v>0</v>
      </c>
      <c r="D1830">
        <v>0</v>
      </c>
      <c r="E1830">
        <v>0</v>
      </c>
    </row>
    <row r="1831" spans="1:5">
      <c r="A1831" s="485">
        <v>423031015800</v>
      </c>
      <c r="B1831" t="s">
        <v>3276</v>
      </c>
      <c r="C1831">
        <v>0</v>
      </c>
      <c r="D1831">
        <v>0</v>
      </c>
      <c r="E1831">
        <v>0</v>
      </c>
    </row>
    <row r="1832" spans="1:5">
      <c r="A1832" s="485">
        <v>423031228900</v>
      </c>
      <c r="B1832" t="s">
        <v>3277</v>
      </c>
      <c r="C1832">
        <v>0</v>
      </c>
      <c r="D1832">
        <v>0</v>
      </c>
      <c r="E1832">
        <v>0</v>
      </c>
    </row>
    <row r="1833" spans="1:5">
      <c r="A1833" s="485">
        <v>423030576300</v>
      </c>
      <c r="B1833" t="s">
        <v>3278</v>
      </c>
      <c r="C1833">
        <v>2.0326</v>
      </c>
      <c r="D1833">
        <v>1.4801</v>
      </c>
      <c r="E1833">
        <v>3.5126999999999997</v>
      </c>
    </row>
    <row r="1834" spans="1:5">
      <c r="A1834" s="485">
        <v>423030576900</v>
      </c>
      <c r="B1834" t="s">
        <v>3279</v>
      </c>
      <c r="C1834">
        <v>17.364700000000003</v>
      </c>
      <c r="D1834">
        <v>2.3168000000000002</v>
      </c>
      <c r="E1834">
        <v>19.681500000000003</v>
      </c>
    </row>
    <row r="1835" spans="1:5">
      <c r="A1835" s="485">
        <v>423030577300</v>
      </c>
      <c r="B1835" t="s">
        <v>3280</v>
      </c>
      <c r="C1835">
        <v>294.19309999999996</v>
      </c>
      <c r="D1835">
        <v>96.341000000000008</v>
      </c>
      <c r="E1835">
        <v>390.53409999999997</v>
      </c>
    </row>
    <row r="1836" spans="1:5">
      <c r="A1836" s="485">
        <v>423030771400</v>
      </c>
      <c r="B1836" t="s">
        <v>3281</v>
      </c>
      <c r="C1836">
        <v>630.33319999999992</v>
      </c>
      <c r="D1836">
        <v>571.54979999999989</v>
      </c>
      <c r="E1836">
        <v>1201.8829999999998</v>
      </c>
    </row>
    <row r="1837" spans="1:5">
      <c r="A1837" s="485">
        <v>423030776900</v>
      </c>
      <c r="B1837" t="s">
        <v>3282</v>
      </c>
      <c r="C1837">
        <v>2.8137999999999996</v>
      </c>
      <c r="D1837">
        <v>0.32940000000000003</v>
      </c>
      <c r="E1837">
        <v>3.1431999999999998</v>
      </c>
    </row>
    <row r="1838" spans="1:5">
      <c r="A1838" s="485">
        <v>423030776900</v>
      </c>
      <c r="B1838" t="s">
        <v>3283</v>
      </c>
      <c r="C1838">
        <v>0</v>
      </c>
      <c r="D1838">
        <v>0</v>
      </c>
      <c r="E1838">
        <v>0</v>
      </c>
    </row>
    <row r="1839" spans="1:5">
      <c r="A1839" s="485">
        <v>423030776900</v>
      </c>
      <c r="B1839" t="s">
        <v>3284</v>
      </c>
      <c r="C1839">
        <v>0</v>
      </c>
      <c r="D1839">
        <v>0</v>
      </c>
      <c r="E1839">
        <v>0</v>
      </c>
    </row>
    <row r="1840" spans="1:5">
      <c r="A1840" s="485">
        <v>423030776900</v>
      </c>
      <c r="B1840" t="s">
        <v>3285</v>
      </c>
      <c r="C1840">
        <v>0</v>
      </c>
      <c r="D1840">
        <v>0</v>
      </c>
      <c r="E1840">
        <v>0</v>
      </c>
    </row>
    <row r="1841" spans="1:5">
      <c r="A1841" s="485">
        <v>423030738600</v>
      </c>
      <c r="B1841" t="s">
        <v>3286</v>
      </c>
      <c r="C1841">
        <v>1</v>
      </c>
      <c r="D1841">
        <v>0.92310000000000003</v>
      </c>
      <c r="E1841">
        <v>1.9231</v>
      </c>
    </row>
    <row r="1842" spans="1:5">
      <c r="A1842" s="485">
        <v>423030740000</v>
      </c>
      <c r="B1842" t="s">
        <v>3287</v>
      </c>
      <c r="C1842">
        <v>7.329299999999999</v>
      </c>
      <c r="D1842">
        <v>1.0556000000000001</v>
      </c>
      <c r="E1842">
        <v>8.3848999999999982</v>
      </c>
    </row>
    <row r="1843" spans="1:5">
      <c r="A1843" s="485">
        <v>423030740700</v>
      </c>
      <c r="B1843" t="s">
        <v>3288</v>
      </c>
      <c r="C1843">
        <v>2.7220999999999997</v>
      </c>
      <c r="D1843">
        <v>0.3367</v>
      </c>
      <c r="E1843">
        <v>3.0587999999999997</v>
      </c>
    </row>
    <row r="1844" spans="1:5">
      <c r="A1844" s="485">
        <v>423030725700</v>
      </c>
      <c r="B1844" t="s">
        <v>3289</v>
      </c>
      <c r="C1844">
        <v>1.9998999999999998</v>
      </c>
      <c r="D1844">
        <v>0.7268</v>
      </c>
      <c r="E1844">
        <v>2.7266999999999997</v>
      </c>
    </row>
    <row r="1845" spans="1:5">
      <c r="A1845" s="485">
        <v>423030787200</v>
      </c>
      <c r="B1845" t="s">
        <v>3290</v>
      </c>
      <c r="C1845">
        <v>0</v>
      </c>
      <c r="D1845">
        <v>0</v>
      </c>
      <c r="E1845">
        <v>0</v>
      </c>
    </row>
    <row r="1846" spans="1:5">
      <c r="A1846" s="485">
        <v>423030581600</v>
      </c>
      <c r="B1846" t="s">
        <v>3291</v>
      </c>
      <c r="C1846">
        <v>4.6292</v>
      </c>
      <c r="D1846">
        <v>0.10919999999999999</v>
      </c>
      <c r="E1846">
        <v>4.7384000000000004</v>
      </c>
    </row>
    <row r="1847" spans="1:5">
      <c r="A1847" s="485">
        <v>423030777400</v>
      </c>
      <c r="B1847" t="s">
        <v>3292</v>
      </c>
      <c r="C1847">
        <v>5.1955999999999998</v>
      </c>
      <c r="D1847">
        <v>0.86999999999999988</v>
      </c>
      <c r="E1847">
        <v>6.0655999999999999</v>
      </c>
    </row>
    <row r="1848" spans="1:5">
      <c r="A1848" s="485">
        <v>423030584300</v>
      </c>
      <c r="B1848" t="s">
        <v>3293</v>
      </c>
      <c r="C1848">
        <v>0</v>
      </c>
      <c r="D1848">
        <v>0</v>
      </c>
      <c r="E1848">
        <v>0</v>
      </c>
    </row>
    <row r="1849" spans="1:5">
      <c r="A1849" s="485">
        <v>423032861400</v>
      </c>
      <c r="B1849" t="s">
        <v>3294</v>
      </c>
      <c r="C1849">
        <v>208.4999</v>
      </c>
      <c r="D1849">
        <v>132.61449999999999</v>
      </c>
      <c r="E1849">
        <v>341.11439999999999</v>
      </c>
    </row>
    <row r="1850" spans="1:5">
      <c r="A1850" s="485">
        <v>423030761000</v>
      </c>
      <c r="B1850" t="s">
        <v>3295</v>
      </c>
      <c r="C1850">
        <v>19.000099999999996</v>
      </c>
      <c r="D1850">
        <v>11.432</v>
      </c>
      <c r="E1850">
        <v>30.432099999999998</v>
      </c>
    </row>
    <row r="1851" spans="1:5">
      <c r="A1851" s="485">
        <v>423030770900</v>
      </c>
      <c r="B1851" t="s">
        <v>3296</v>
      </c>
      <c r="C1851">
        <v>1</v>
      </c>
      <c r="D1851">
        <v>2.1320000000000001</v>
      </c>
      <c r="E1851">
        <v>3.1320000000000001</v>
      </c>
    </row>
    <row r="1852" spans="1:5">
      <c r="A1852" s="485">
        <v>423030761500</v>
      </c>
      <c r="B1852" t="s">
        <v>3297</v>
      </c>
      <c r="C1852">
        <v>17700</v>
      </c>
      <c r="D1852">
        <v>0</v>
      </c>
      <c r="E1852">
        <v>17700</v>
      </c>
    </row>
    <row r="1853" spans="1:5">
      <c r="A1853" s="485">
        <v>423030761500</v>
      </c>
      <c r="B1853" t="s">
        <v>3298</v>
      </c>
      <c r="C1853">
        <v>42.000300000000003</v>
      </c>
      <c r="D1853">
        <v>11.132100000000001</v>
      </c>
      <c r="E1853">
        <v>53.132400000000004</v>
      </c>
    </row>
    <row r="1854" spans="1:5">
      <c r="A1854" s="485">
        <v>423030794500</v>
      </c>
      <c r="B1854" t="s">
        <v>3299</v>
      </c>
      <c r="C1854">
        <v>3.6606000000000001</v>
      </c>
      <c r="D1854">
        <v>4.1128</v>
      </c>
      <c r="E1854">
        <v>7.7734000000000005</v>
      </c>
    </row>
    <row r="1855" spans="1:5">
      <c r="A1855" s="485">
        <v>423030781100</v>
      </c>
      <c r="B1855" t="s">
        <v>3300</v>
      </c>
      <c r="C1855">
        <v>174.22209999999998</v>
      </c>
      <c r="D1855">
        <v>14.414999999999999</v>
      </c>
      <c r="E1855">
        <v>188.63709999999998</v>
      </c>
    </row>
    <row r="1856" spans="1:5">
      <c r="A1856" s="485">
        <v>423030585400</v>
      </c>
      <c r="B1856" t="s">
        <v>3301</v>
      </c>
      <c r="C1856">
        <v>0</v>
      </c>
      <c r="D1856">
        <v>0</v>
      </c>
      <c r="E1856">
        <v>0</v>
      </c>
    </row>
    <row r="1857" spans="1:5">
      <c r="A1857" s="485">
        <v>423030781700</v>
      </c>
      <c r="B1857" t="s">
        <v>3302</v>
      </c>
      <c r="C1857">
        <v>1.3110999999999999</v>
      </c>
      <c r="D1857">
        <v>2.6459999999999999</v>
      </c>
      <c r="E1857">
        <v>3.9570999999999996</v>
      </c>
    </row>
    <row r="1858" spans="1:5">
      <c r="A1858" s="485">
        <v>423030585700</v>
      </c>
      <c r="B1858" t="s">
        <v>3303</v>
      </c>
      <c r="C1858">
        <v>15.5557</v>
      </c>
      <c r="D1858">
        <v>0.82810000000000006</v>
      </c>
      <c r="E1858">
        <v>16.383800000000001</v>
      </c>
    </row>
    <row r="1859" spans="1:5">
      <c r="A1859" s="485">
        <v>423030586600</v>
      </c>
      <c r="B1859" t="s">
        <v>3304</v>
      </c>
      <c r="C1859">
        <v>156.15380000000002</v>
      </c>
      <c r="D1859">
        <v>44.200599999999994</v>
      </c>
      <c r="E1859">
        <v>200.3544</v>
      </c>
    </row>
    <row r="1860" spans="1:5">
      <c r="A1860" s="485">
        <v>423030759300</v>
      </c>
      <c r="B1860" t="s">
        <v>3305</v>
      </c>
      <c r="C1860">
        <v>4.0762000000000009</v>
      </c>
      <c r="D1860">
        <v>0.18909999999999999</v>
      </c>
      <c r="E1860">
        <v>4.2653000000000008</v>
      </c>
    </row>
    <row r="1861" spans="1:5">
      <c r="A1861" s="485">
        <v>423031168400</v>
      </c>
      <c r="B1861" t="s">
        <v>3306</v>
      </c>
      <c r="C1861">
        <v>20.7776</v>
      </c>
      <c r="D1861">
        <v>0.86879999999999991</v>
      </c>
      <c r="E1861">
        <v>21.6464</v>
      </c>
    </row>
    <row r="1862" spans="1:5">
      <c r="A1862" s="485">
        <v>423030588800</v>
      </c>
      <c r="B1862" t="s">
        <v>3307</v>
      </c>
      <c r="C1862">
        <v>0</v>
      </c>
      <c r="D1862">
        <v>0</v>
      </c>
      <c r="E1862">
        <v>0</v>
      </c>
    </row>
    <row r="1863" spans="1:5">
      <c r="A1863" s="485">
        <v>423030716200</v>
      </c>
      <c r="B1863" t="s">
        <v>3308</v>
      </c>
      <c r="C1863">
        <v>8.4497</v>
      </c>
      <c r="D1863">
        <v>10.3049</v>
      </c>
      <c r="E1863">
        <v>18.7546</v>
      </c>
    </row>
    <row r="1864" spans="1:5">
      <c r="A1864" s="485">
        <v>423031171900</v>
      </c>
      <c r="B1864" t="s">
        <v>3309</v>
      </c>
      <c r="C1864">
        <v>0</v>
      </c>
      <c r="D1864">
        <v>0</v>
      </c>
      <c r="E1864">
        <v>0</v>
      </c>
    </row>
    <row r="1865" spans="1:5">
      <c r="A1865" s="485">
        <v>423031171900</v>
      </c>
      <c r="B1865" t="s">
        <v>3310</v>
      </c>
      <c r="C1865">
        <v>0</v>
      </c>
      <c r="D1865">
        <v>0</v>
      </c>
      <c r="E1865">
        <v>0</v>
      </c>
    </row>
    <row r="1866" spans="1:5">
      <c r="A1866" s="485">
        <v>423031171900</v>
      </c>
      <c r="B1866" t="s">
        <v>3311</v>
      </c>
      <c r="C1866">
        <v>0</v>
      </c>
      <c r="D1866">
        <v>0</v>
      </c>
      <c r="E1866">
        <v>0</v>
      </c>
    </row>
    <row r="1867" spans="1:5">
      <c r="A1867" s="485">
        <v>423031171900</v>
      </c>
      <c r="B1867" t="s">
        <v>3312</v>
      </c>
      <c r="C1867">
        <v>0</v>
      </c>
      <c r="D1867">
        <v>0</v>
      </c>
      <c r="E1867">
        <v>0</v>
      </c>
    </row>
    <row r="1868" spans="1:5">
      <c r="A1868" s="485">
        <v>423031171900</v>
      </c>
      <c r="B1868" t="s">
        <v>3313</v>
      </c>
      <c r="C1868">
        <v>0</v>
      </c>
      <c r="D1868">
        <v>0</v>
      </c>
      <c r="E1868">
        <v>0</v>
      </c>
    </row>
    <row r="1869" spans="1:5">
      <c r="A1869" s="485">
        <v>423031171900</v>
      </c>
      <c r="B1869" t="s">
        <v>3314</v>
      </c>
      <c r="C1869">
        <v>0</v>
      </c>
      <c r="D1869">
        <v>0</v>
      </c>
      <c r="E1869">
        <v>0</v>
      </c>
    </row>
    <row r="1870" spans="1:5">
      <c r="A1870" s="485">
        <v>423030716400</v>
      </c>
      <c r="B1870" t="s">
        <v>3315</v>
      </c>
      <c r="C1870">
        <v>1.6434000000000002</v>
      </c>
      <c r="D1870">
        <v>0.59399999999999997</v>
      </c>
      <c r="E1870">
        <v>2.2374000000000001</v>
      </c>
    </row>
    <row r="1871" spans="1:5">
      <c r="A1871" s="485">
        <v>423031165800</v>
      </c>
      <c r="B1871" t="s">
        <v>3316</v>
      </c>
      <c r="C1871">
        <v>0</v>
      </c>
      <c r="D1871">
        <v>0</v>
      </c>
      <c r="E1871">
        <v>0</v>
      </c>
    </row>
    <row r="1872" spans="1:5">
      <c r="A1872" s="485">
        <v>423030733600</v>
      </c>
      <c r="B1872" t="s">
        <v>3317</v>
      </c>
      <c r="C1872">
        <v>0</v>
      </c>
      <c r="D1872">
        <v>0</v>
      </c>
      <c r="E1872">
        <v>0</v>
      </c>
    </row>
    <row r="1873" spans="1:5">
      <c r="A1873" s="485">
        <v>423031130900</v>
      </c>
      <c r="B1873" t="s">
        <v>3318</v>
      </c>
      <c r="C1873">
        <v>0</v>
      </c>
      <c r="D1873">
        <v>0</v>
      </c>
      <c r="E1873">
        <v>0</v>
      </c>
    </row>
    <row r="1874" spans="1:5">
      <c r="A1874" s="485">
        <v>423031130900</v>
      </c>
      <c r="B1874" t="s">
        <v>3319</v>
      </c>
      <c r="C1874">
        <v>0</v>
      </c>
      <c r="D1874">
        <v>0</v>
      </c>
      <c r="E1874">
        <v>0</v>
      </c>
    </row>
    <row r="1875" spans="1:5">
      <c r="A1875" s="485">
        <v>423031130900</v>
      </c>
      <c r="B1875" t="s">
        <v>3320</v>
      </c>
      <c r="C1875">
        <v>0</v>
      </c>
      <c r="D1875">
        <v>0</v>
      </c>
      <c r="E1875">
        <v>0</v>
      </c>
    </row>
    <row r="1876" spans="1:5">
      <c r="A1876" s="485">
        <v>423031130900</v>
      </c>
      <c r="B1876" t="s">
        <v>3321</v>
      </c>
      <c r="C1876">
        <v>0</v>
      </c>
      <c r="D1876">
        <v>0</v>
      </c>
      <c r="E1876">
        <v>0</v>
      </c>
    </row>
    <row r="1877" spans="1:5">
      <c r="A1877" s="485">
        <v>423031130900</v>
      </c>
      <c r="B1877" t="s">
        <v>3322</v>
      </c>
      <c r="C1877">
        <v>0</v>
      </c>
      <c r="D1877">
        <v>0</v>
      </c>
      <c r="E1877">
        <v>0</v>
      </c>
    </row>
    <row r="1878" spans="1:5">
      <c r="A1878" s="485">
        <v>423031130900</v>
      </c>
      <c r="B1878" t="s">
        <v>3323</v>
      </c>
      <c r="C1878">
        <v>0</v>
      </c>
      <c r="D1878">
        <v>0</v>
      </c>
      <c r="E1878">
        <v>0</v>
      </c>
    </row>
    <row r="1879" spans="1:5">
      <c r="A1879" s="485">
        <v>423031130900</v>
      </c>
      <c r="B1879" t="s">
        <v>3324</v>
      </c>
      <c r="C1879">
        <v>0</v>
      </c>
      <c r="D1879">
        <v>0</v>
      </c>
      <c r="E1879">
        <v>0</v>
      </c>
    </row>
    <row r="1880" spans="1:5">
      <c r="A1880" s="485">
        <v>423030590500</v>
      </c>
      <c r="B1880" t="s">
        <v>3325</v>
      </c>
      <c r="C1880">
        <v>0</v>
      </c>
      <c r="D1880">
        <v>0</v>
      </c>
      <c r="E1880">
        <v>0</v>
      </c>
    </row>
    <row r="1881" spans="1:5">
      <c r="A1881" s="485">
        <v>423030590500</v>
      </c>
      <c r="B1881" t="s">
        <v>3326</v>
      </c>
      <c r="C1881">
        <v>0</v>
      </c>
      <c r="D1881">
        <v>0</v>
      </c>
      <c r="E1881">
        <v>0</v>
      </c>
    </row>
    <row r="1882" spans="1:5">
      <c r="A1882" s="485">
        <v>423030590500</v>
      </c>
      <c r="B1882" t="s">
        <v>3327</v>
      </c>
      <c r="C1882">
        <v>0</v>
      </c>
      <c r="D1882">
        <v>0</v>
      </c>
      <c r="E1882">
        <v>0</v>
      </c>
    </row>
    <row r="1883" spans="1:5">
      <c r="A1883" s="485">
        <v>423030590500</v>
      </c>
      <c r="B1883" t="s">
        <v>3328</v>
      </c>
      <c r="C1883">
        <v>85.32589999999999</v>
      </c>
      <c r="D1883">
        <v>54.820399999999999</v>
      </c>
      <c r="E1883">
        <v>140.1463</v>
      </c>
    </row>
    <row r="1884" spans="1:5">
      <c r="A1884" s="485">
        <v>423030734700</v>
      </c>
      <c r="B1884" t="s">
        <v>3329</v>
      </c>
      <c r="C1884">
        <v>0</v>
      </c>
      <c r="D1884">
        <v>0</v>
      </c>
      <c r="E1884">
        <v>0</v>
      </c>
    </row>
    <row r="1885" spans="1:5">
      <c r="A1885" s="485">
        <v>423030595200</v>
      </c>
      <c r="B1885" t="s">
        <v>3330</v>
      </c>
      <c r="C1885">
        <v>0</v>
      </c>
      <c r="D1885">
        <v>0</v>
      </c>
      <c r="E1885">
        <v>0</v>
      </c>
    </row>
    <row r="1886" spans="1:5">
      <c r="A1886" s="485">
        <v>423030735600</v>
      </c>
      <c r="B1886" t="s">
        <v>3331</v>
      </c>
      <c r="C1886">
        <v>0</v>
      </c>
      <c r="D1886">
        <v>0</v>
      </c>
      <c r="E1886">
        <v>0</v>
      </c>
    </row>
    <row r="1887" spans="1:5">
      <c r="A1887" s="485">
        <v>423030736900</v>
      </c>
      <c r="B1887" t="s">
        <v>3332</v>
      </c>
      <c r="C1887">
        <v>0</v>
      </c>
      <c r="D1887">
        <v>16.206000000000003</v>
      </c>
      <c r="E1887">
        <v>16.206000000000003</v>
      </c>
    </row>
    <row r="1888" spans="1:5">
      <c r="A1888" s="485">
        <v>423031728600</v>
      </c>
      <c r="B1888" t="s">
        <v>3333</v>
      </c>
      <c r="C1888">
        <v>200.08880000000002</v>
      </c>
      <c r="D1888">
        <v>0.25340000000000001</v>
      </c>
      <c r="E1888">
        <v>200.34220000000002</v>
      </c>
    </row>
    <row r="1889" spans="1:5">
      <c r="A1889" s="485">
        <v>423030706500</v>
      </c>
      <c r="B1889" t="s">
        <v>3334</v>
      </c>
      <c r="C1889">
        <v>0.99990000000000001</v>
      </c>
      <c r="D1889">
        <v>2.9311000000000003</v>
      </c>
      <c r="E1889">
        <v>3.931</v>
      </c>
    </row>
    <row r="1890" spans="1:5">
      <c r="A1890" s="485">
        <v>423031039000</v>
      </c>
      <c r="B1890" t="s">
        <v>3335</v>
      </c>
      <c r="C1890">
        <v>0</v>
      </c>
      <c r="D1890">
        <v>0</v>
      </c>
      <c r="E1890">
        <v>0</v>
      </c>
    </row>
    <row r="1891" spans="1:5">
      <c r="A1891" s="485">
        <v>423030593900</v>
      </c>
      <c r="B1891">
        <v>2108151</v>
      </c>
      <c r="C1891">
        <v>4.7664</v>
      </c>
      <c r="D1891">
        <v>111.23</v>
      </c>
      <c r="E1891">
        <v>115.99640000000001</v>
      </c>
    </row>
    <row r="1892" spans="1:5">
      <c r="A1892" s="485">
        <v>423030596300</v>
      </c>
      <c r="B1892" t="s">
        <v>3336</v>
      </c>
      <c r="C1892">
        <v>237.22839999999999</v>
      </c>
      <c r="D1892">
        <v>130.6105</v>
      </c>
      <c r="E1892">
        <v>367.83889999999997</v>
      </c>
    </row>
    <row r="1893" spans="1:5">
      <c r="A1893" s="485">
        <v>423030598000</v>
      </c>
      <c r="B1893" t="s">
        <v>3337</v>
      </c>
      <c r="C1893">
        <v>1.0001</v>
      </c>
      <c r="D1893">
        <v>1.3992</v>
      </c>
      <c r="E1893">
        <v>2.3993000000000002</v>
      </c>
    </row>
    <row r="1894" spans="1:5">
      <c r="A1894" s="485">
        <v>423030588900</v>
      </c>
      <c r="B1894" t="s">
        <v>3338</v>
      </c>
      <c r="C1894">
        <v>3.9960000000000009</v>
      </c>
      <c r="D1894">
        <v>0</v>
      </c>
      <c r="E1894">
        <v>3.9960000000000009</v>
      </c>
    </row>
    <row r="1895" spans="1:5">
      <c r="A1895" s="485">
        <v>423030596700</v>
      </c>
      <c r="B1895">
        <v>2847734</v>
      </c>
      <c r="C1895">
        <v>1.0001</v>
      </c>
      <c r="D1895">
        <v>2.7894000000000001</v>
      </c>
      <c r="E1895">
        <v>3.7895000000000003</v>
      </c>
    </row>
    <row r="1896" spans="1:5">
      <c r="A1896" s="485">
        <v>423030596700</v>
      </c>
      <c r="B1896" t="s">
        <v>3339</v>
      </c>
      <c r="C1896">
        <v>0</v>
      </c>
      <c r="D1896">
        <v>0</v>
      </c>
      <c r="E1896">
        <v>0</v>
      </c>
    </row>
    <row r="1897" spans="1:5">
      <c r="A1897" s="485">
        <v>423030792500</v>
      </c>
      <c r="B1897" t="s">
        <v>3340</v>
      </c>
      <c r="C1897">
        <v>0</v>
      </c>
      <c r="D1897">
        <v>0</v>
      </c>
      <c r="E1897">
        <v>0</v>
      </c>
    </row>
    <row r="1898" spans="1:5">
      <c r="A1898" s="485">
        <v>423030792500</v>
      </c>
      <c r="B1898" t="s">
        <v>3341</v>
      </c>
      <c r="C1898">
        <v>116.94129999999998</v>
      </c>
      <c r="D1898">
        <v>3.0377999999999998</v>
      </c>
      <c r="E1898">
        <v>119.97909999999999</v>
      </c>
    </row>
    <row r="1899" spans="1:5">
      <c r="A1899" s="485">
        <v>423030586100</v>
      </c>
      <c r="B1899" t="s">
        <v>3342</v>
      </c>
      <c r="C1899">
        <v>36.941099999999999</v>
      </c>
      <c r="D1899">
        <v>3.1395</v>
      </c>
      <c r="E1899">
        <v>40.080599999999997</v>
      </c>
    </row>
    <row r="1900" spans="1:5">
      <c r="A1900" s="485">
        <v>423030586100</v>
      </c>
      <c r="B1900" t="s">
        <v>3343</v>
      </c>
      <c r="C1900">
        <v>0</v>
      </c>
      <c r="D1900">
        <v>0</v>
      </c>
      <c r="E1900">
        <v>0</v>
      </c>
    </row>
    <row r="1901" spans="1:5">
      <c r="A1901" s="485">
        <v>423030586300</v>
      </c>
      <c r="B1901" t="s">
        <v>3344</v>
      </c>
      <c r="C1901">
        <v>1.3977999999999999</v>
      </c>
      <c r="D1901">
        <v>0.46639999999999998</v>
      </c>
      <c r="E1901">
        <v>1.8641999999999999</v>
      </c>
    </row>
    <row r="1902" spans="1:5">
      <c r="A1902" s="485">
        <v>423030586000</v>
      </c>
      <c r="B1902" t="s">
        <v>3345</v>
      </c>
      <c r="C1902">
        <v>1</v>
      </c>
      <c r="D1902">
        <v>0.57000000000000006</v>
      </c>
      <c r="E1902">
        <v>1.57</v>
      </c>
    </row>
    <row r="1903" spans="1:5">
      <c r="A1903" s="485">
        <v>423030586000</v>
      </c>
      <c r="B1903" t="s">
        <v>3346</v>
      </c>
      <c r="C1903">
        <v>2</v>
      </c>
      <c r="D1903">
        <v>0.27950000000000003</v>
      </c>
      <c r="E1903">
        <v>2.2795000000000001</v>
      </c>
    </row>
    <row r="1904" spans="1:5">
      <c r="A1904" s="485">
        <v>423030596400</v>
      </c>
      <c r="B1904" t="s">
        <v>3347</v>
      </c>
      <c r="C1904">
        <v>84.372100000000003</v>
      </c>
      <c r="D1904">
        <v>120.20649999999999</v>
      </c>
      <c r="E1904">
        <v>204.57859999999999</v>
      </c>
    </row>
    <row r="1905" spans="1:5">
      <c r="A1905" s="485">
        <v>423030593200</v>
      </c>
      <c r="B1905" t="s">
        <v>3348</v>
      </c>
      <c r="C1905">
        <v>0</v>
      </c>
      <c r="D1905">
        <v>0</v>
      </c>
      <c r="E1905">
        <v>0</v>
      </c>
    </row>
    <row r="1906" spans="1:5">
      <c r="A1906" s="485">
        <v>423030596000</v>
      </c>
      <c r="B1906" t="s">
        <v>3349</v>
      </c>
      <c r="C1906">
        <v>0</v>
      </c>
      <c r="D1906">
        <v>1.022</v>
      </c>
      <c r="E1906">
        <v>1.022</v>
      </c>
    </row>
    <row r="1907" spans="1:5">
      <c r="A1907" s="485">
        <v>423030586700</v>
      </c>
      <c r="B1907" t="s">
        <v>3350</v>
      </c>
      <c r="C1907">
        <v>100.07690000000001</v>
      </c>
      <c r="D1907">
        <v>1.5749999999999997</v>
      </c>
      <c r="E1907">
        <v>101.65190000000001</v>
      </c>
    </row>
    <row r="1908" spans="1:5">
      <c r="A1908" s="485">
        <v>423030595900</v>
      </c>
      <c r="B1908" t="s">
        <v>3351</v>
      </c>
      <c r="C1908">
        <v>0</v>
      </c>
      <c r="D1908">
        <v>0</v>
      </c>
      <c r="E1908">
        <v>0</v>
      </c>
    </row>
    <row r="1909" spans="1:5">
      <c r="A1909" s="485">
        <v>423030587600</v>
      </c>
      <c r="B1909" t="s">
        <v>3352</v>
      </c>
      <c r="C1909">
        <v>0.85880000000000001</v>
      </c>
      <c r="D1909">
        <v>0.57329999999999992</v>
      </c>
      <c r="E1909">
        <v>1.4320999999999999</v>
      </c>
    </row>
    <row r="1910" spans="1:5">
      <c r="A1910" s="485">
        <v>423031015200</v>
      </c>
      <c r="B1910" t="s">
        <v>3353</v>
      </c>
      <c r="C1910">
        <v>12.304300000000001</v>
      </c>
      <c r="D1910">
        <v>1.5620000000000001</v>
      </c>
      <c r="E1910">
        <v>13.866300000000001</v>
      </c>
    </row>
    <row r="1911" spans="1:5">
      <c r="A1911" s="485">
        <v>423030893500</v>
      </c>
      <c r="B1911" t="s">
        <v>3354</v>
      </c>
      <c r="C1911">
        <v>0</v>
      </c>
      <c r="D1911">
        <v>3.8690000000000002</v>
      </c>
      <c r="E1911">
        <v>3.8690000000000002</v>
      </c>
    </row>
    <row r="1912" spans="1:5">
      <c r="A1912" s="485">
        <v>423030598200</v>
      </c>
      <c r="B1912" t="s">
        <v>3355</v>
      </c>
      <c r="C1912">
        <v>1.1103999999999998</v>
      </c>
      <c r="D1912">
        <v>0.99639999999999995</v>
      </c>
      <c r="E1912">
        <v>2.1067999999999998</v>
      </c>
    </row>
    <row r="1913" spans="1:5">
      <c r="A1913" s="485">
        <v>423030719500</v>
      </c>
      <c r="B1913" t="s">
        <v>3356</v>
      </c>
      <c r="C1913">
        <v>55.846200000000003</v>
      </c>
      <c r="D1913">
        <v>49.909300000000002</v>
      </c>
      <c r="E1913">
        <v>105.75550000000001</v>
      </c>
    </row>
    <row r="1914" spans="1:5">
      <c r="A1914" s="485">
        <v>423030597100</v>
      </c>
      <c r="B1914" t="s">
        <v>3357</v>
      </c>
      <c r="C1914">
        <v>1.9176</v>
      </c>
      <c r="D1914">
        <v>1.8127999999999997</v>
      </c>
      <c r="E1914">
        <v>3.7303999999999995</v>
      </c>
    </row>
    <row r="1915" spans="1:5">
      <c r="A1915" s="485">
        <v>423030597100</v>
      </c>
      <c r="B1915" t="s">
        <v>3358</v>
      </c>
      <c r="C1915">
        <v>0</v>
      </c>
      <c r="D1915">
        <v>0</v>
      </c>
      <c r="E1915">
        <v>0</v>
      </c>
    </row>
    <row r="1916" spans="1:5">
      <c r="A1916" s="485">
        <v>423030597100</v>
      </c>
      <c r="B1916" t="s">
        <v>3359</v>
      </c>
      <c r="C1916">
        <v>0</v>
      </c>
      <c r="D1916">
        <v>0</v>
      </c>
      <c r="E1916">
        <v>0</v>
      </c>
    </row>
    <row r="1917" spans="1:5">
      <c r="A1917" s="485">
        <v>423030597100</v>
      </c>
      <c r="B1917" t="s">
        <v>3360</v>
      </c>
      <c r="C1917">
        <v>0</v>
      </c>
      <c r="D1917">
        <v>0</v>
      </c>
      <c r="E1917">
        <v>0</v>
      </c>
    </row>
    <row r="1918" spans="1:5">
      <c r="A1918" s="485">
        <v>423030603500</v>
      </c>
      <c r="B1918" t="s">
        <v>3361</v>
      </c>
      <c r="C1918">
        <v>1.0001000000000002</v>
      </c>
      <c r="D1918">
        <v>0.62129999999999996</v>
      </c>
      <c r="E1918">
        <v>1.6214000000000002</v>
      </c>
    </row>
    <row r="1919" spans="1:5">
      <c r="A1919" s="485">
        <v>423030600500</v>
      </c>
      <c r="B1919" t="s">
        <v>3362</v>
      </c>
      <c r="C1919">
        <v>0</v>
      </c>
      <c r="D1919">
        <v>0</v>
      </c>
      <c r="E1919">
        <v>0</v>
      </c>
    </row>
    <row r="1920" spans="1:5">
      <c r="A1920" s="485">
        <v>423030612900</v>
      </c>
      <c r="B1920" t="s">
        <v>3363</v>
      </c>
      <c r="C1920">
        <v>0</v>
      </c>
      <c r="D1920">
        <v>4195.4195</v>
      </c>
      <c r="E1920">
        <v>4195.4195</v>
      </c>
    </row>
    <row r="1921" spans="1:5">
      <c r="A1921" s="485">
        <v>423030600300</v>
      </c>
      <c r="B1921" t="s">
        <v>3364</v>
      </c>
      <c r="C1921">
        <v>47</v>
      </c>
      <c r="D1921">
        <v>22.663999999999998</v>
      </c>
      <c r="E1921">
        <v>69.664000000000001</v>
      </c>
    </row>
    <row r="1922" spans="1:5">
      <c r="A1922" s="485">
        <v>423030599800</v>
      </c>
      <c r="B1922" t="s">
        <v>3365</v>
      </c>
      <c r="C1922">
        <v>0</v>
      </c>
      <c r="D1922">
        <v>7.9204999999999988</v>
      </c>
      <c r="E1922">
        <v>7.9204999999999988</v>
      </c>
    </row>
    <row r="1923" spans="1:5">
      <c r="A1923" s="485">
        <v>423030599800</v>
      </c>
      <c r="B1923" t="s">
        <v>3366</v>
      </c>
      <c r="C1923">
        <v>0.3034</v>
      </c>
      <c r="D1923">
        <v>0</v>
      </c>
      <c r="E1923">
        <v>0.3034</v>
      </c>
    </row>
    <row r="1924" spans="1:5">
      <c r="A1924" s="485">
        <v>423030599600</v>
      </c>
      <c r="B1924" t="s">
        <v>3367</v>
      </c>
      <c r="C1924">
        <v>0</v>
      </c>
      <c r="D1924">
        <v>0</v>
      </c>
      <c r="E1924">
        <v>0</v>
      </c>
    </row>
    <row r="1925" spans="1:5">
      <c r="A1925" s="485">
        <v>423030599400</v>
      </c>
      <c r="B1925" t="s">
        <v>3368</v>
      </c>
      <c r="C1925">
        <v>0</v>
      </c>
      <c r="D1925">
        <v>0</v>
      </c>
      <c r="E1925">
        <v>0</v>
      </c>
    </row>
    <row r="1926" spans="1:5">
      <c r="A1926" s="485">
        <v>423030603300</v>
      </c>
      <c r="B1926" t="s">
        <v>3369</v>
      </c>
      <c r="C1926">
        <v>0.3412</v>
      </c>
      <c r="D1926">
        <v>3.9648000000000008</v>
      </c>
      <c r="E1926">
        <v>4.3060000000000009</v>
      </c>
    </row>
    <row r="1927" spans="1:5">
      <c r="A1927" s="485">
        <v>423030601500</v>
      </c>
      <c r="B1927" t="s">
        <v>3370</v>
      </c>
      <c r="C1927">
        <v>14.9999</v>
      </c>
      <c r="D1927">
        <v>13.103999999999999</v>
      </c>
      <c r="E1927">
        <v>28.103899999999999</v>
      </c>
    </row>
    <row r="1928" spans="1:5">
      <c r="A1928" s="485">
        <v>423030601500</v>
      </c>
      <c r="B1928" t="s">
        <v>3371</v>
      </c>
      <c r="C1928">
        <v>0.71870000000000001</v>
      </c>
      <c r="D1928">
        <v>0</v>
      </c>
      <c r="E1928">
        <v>0.71870000000000001</v>
      </c>
    </row>
    <row r="1929" spans="1:5">
      <c r="A1929" s="485">
        <v>423030603200</v>
      </c>
      <c r="B1929" t="s">
        <v>3372</v>
      </c>
      <c r="C1929">
        <v>0</v>
      </c>
      <c r="D1929">
        <v>0</v>
      </c>
      <c r="E1929">
        <v>0</v>
      </c>
    </row>
    <row r="1930" spans="1:5">
      <c r="A1930" s="485">
        <v>423030603200</v>
      </c>
      <c r="B1930" t="s">
        <v>3373</v>
      </c>
      <c r="C1930">
        <v>0</v>
      </c>
      <c r="D1930">
        <v>0</v>
      </c>
      <c r="E1930">
        <v>0</v>
      </c>
    </row>
    <row r="1931" spans="1:5">
      <c r="A1931" s="485">
        <v>423030603200</v>
      </c>
      <c r="B1931" t="s">
        <v>3374</v>
      </c>
      <c r="C1931">
        <v>0</v>
      </c>
      <c r="D1931">
        <v>0</v>
      </c>
      <c r="E1931">
        <v>0</v>
      </c>
    </row>
    <row r="1932" spans="1:5">
      <c r="A1932" s="485">
        <v>423030603200</v>
      </c>
      <c r="B1932" t="s">
        <v>3375</v>
      </c>
      <c r="C1932">
        <v>31.086099999999998</v>
      </c>
      <c r="D1932">
        <v>50.303000000000004</v>
      </c>
      <c r="E1932">
        <v>81.389099999999999</v>
      </c>
    </row>
    <row r="1933" spans="1:5">
      <c r="A1933" s="485">
        <v>423030598700</v>
      </c>
      <c r="B1933" t="s">
        <v>3376</v>
      </c>
      <c r="C1933">
        <v>16.9999</v>
      </c>
      <c r="D1933">
        <v>9.1800000000000007E-2</v>
      </c>
      <c r="E1933">
        <v>17.091699999999999</v>
      </c>
    </row>
    <row r="1934" spans="1:5">
      <c r="A1934" s="485">
        <v>423030598700</v>
      </c>
      <c r="B1934" t="s">
        <v>3377</v>
      </c>
      <c r="C1934">
        <v>0</v>
      </c>
      <c r="D1934">
        <v>0</v>
      </c>
      <c r="E1934">
        <v>0</v>
      </c>
    </row>
    <row r="1935" spans="1:5">
      <c r="A1935" s="485">
        <v>423030598700</v>
      </c>
      <c r="B1935" t="s">
        <v>3378</v>
      </c>
      <c r="C1935">
        <v>16.914359999999999</v>
      </c>
      <c r="D1935">
        <v>27.597700000000003</v>
      </c>
      <c r="E1935">
        <v>44.512060000000005</v>
      </c>
    </row>
    <row r="1936" spans="1:5">
      <c r="A1936" s="485">
        <v>423030597600</v>
      </c>
      <c r="B1936" t="s">
        <v>3379</v>
      </c>
      <c r="C1936">
        <v>6.8504999999999994</v>
      </c>
      <c r="D1936">
        <v>1.1102000000000001</v>
      </c>
      <c r="E1936">
        <v>7.9606999999999992</v>
      </c>
    </row>
    <row r="1937" spans="1:5">
      <c r="A1937" s="485">
        <v>423030601600</v>
      </c>
      <c r="B1937" t="s">
        <v>3380</v>
      </c>
      <c r="C1937">
        <v>470.76669999999996</v>
      </c>
      <c r="D1937">
        <v>580.64670000000001</v>
      </c>
      <c r="E1937">
        <v>1051.4133999999999</v>
      </c>
    </row>
    <row r="1938" spans="1:5">
      <c r="A1938" s="485">
        <v>423030601600</v>
      </c>
      <c r="B1938" t="s">
        <v>3381</v>
      </c>
      <c r="C1938">
        <v>0</v>
      </c>
      <c r="D1938">
        <v>2533.7205000000004</v>
      </c>
      <c r="E1938">
        <v>2533.7205000000004</v>
      </c>
    </row>
    <row r="1939" spans="1:5">
      <c r="A1939" s="485">
        <v>423030257400</v>
      </c>
      <c r="B1939" t="s">
        <v>3382</v>
      </c>
      <c r="C1939">
        <v>0</v>
      </c>
      <c r="D1939">
        <v>0</v>
      </c>
      <c r="E1939">
        <v>0</v>
      </c>
    </row>
    <row r="1940" spans="1:5">
      <c r="A1940" s="485">
        <v>423030602600</v>
      </c>
      <c r="B1940" t="s">
        <v>3383</v>
      </c>
      <c r="C1940">
        <v>3.8671000000000002</v>
      </c>
      <c r="D1940">
        <v>2.1295999999999999</v>
      </c>
      <c r="E1940">
        <v>5.9967000000000006</v>
      </c>
    </row>
    <row r="1941" spans="1:5">
      <c r="A1941" s="485">
        <v>423030603600</v>
      </c>
      <c r="B1941" t="s">
        <v>3384</v>
      </c>
      <c r="C1941">
        <v>0</v>
      </c>
      <c r="D1941">
        <v>0</v>
      </c>
      <c r="E1941">
        <v>0</v>
      </c>
    </row>
    <row r="1942" spans="1:5">
      <c r="A1942" s="485">
        <v>423030603600</v>
      </c>
      <c r="B1942" t="s">
        <v>3385</v>
      </c>
      <c r="C1942">
        <v>0</v>
      </c>
      <c r="D1942">
        <v>0</v>
      </c>
      <c r="E1942">
        <v>0</v>
      </c>
    </row>
    <row r="1943" spans="1:5">
      <c r="A1943" s="485">
        <v>423030603600</v>
      </c>
      <c r="B1943" t="s">
        <v>3386</v>
      </c>
      <c r="C1943">
        <v>0</v>
      </c>
      <c r="D1943">
        <v>0</v>
      </c>
      <c r="E1943">
        <v>0</v>
      </c>
    </row>
    <row r="1944" spans="1:5">
      <c r="A1944" s="485">
        <v>423030603600</v>
      </c>
      <c r="B1944" t="s">
        <v>3387</v>
      </c>
      <c r="C1944">
        <v>0</v>
      </c>
      <c r="D1944">
        <v>0</v>
      </c>
      <c r="E1944">
        <v>0</v>
      </c>
    </row>
    <row r="1945" spans="1:5">
      <c r="A1945" s="485">
        <v>423030603600</v>
      </c>
      <c r="B1945" t="s">
        <v>3388</v>
      </c>
      <c r="C1945">
        <v>0</v>
      </c>
      <c r="D1945">
        <v>0</v>
      </c>
      <c r="E1945">
        <v>0</v>
      </c>
    </row>
    <row r="1946" spans="1:5">
      <c r="A1946" s="485">
        <v>423030603600</v>
      </c>
      <c r="B1946" t="s">
        <v>3389</v>
      </c>
      <c r="C1946">
        <v>0</v>
      </c>
      <c r="D1946">
        <v>0</v>
      </c>
      <c r="E1946">
        <v>0</v>
      </c>
    </row>
    <row r="1947" spans="1:5">
      <c r="A1947" s="485">
        <v>423030603600</v>
      </c>
      <c r="B1947" t="s">
        <v>3390</v>
      </c>
      <c r="C1947">
        <v>0</v>
      </c>
      <c r="D1947">
        <v>0</v>
      </c>
      <c r="E1947">
        <v>0</v>
      </c>
    </row>
    <row r="1948" spans="1:5">
      <c r="A1948" s="485">
        <v>423030603000</v>
      </c>
      <c r="B1948" t="s">
        <v>3391</v>
      </c>
      <c r="C1948">
        <v>12.443099999999999</v>
      </c>
      <c r="D1948">
        <v>3.42</v>
      </c>
      <c r="E1948">
        <v>15.863099999999999</v>
      </c>
    </row>
    <row r="1949" spans="1:5">
      <c r="A1949" s="485">
        <v>423030597500</v>
      </c>
      <c r="B1949" t="s">
        <v>3392</v>
      </c>
      <c r="C1949">
        <v>0</v>
      </c>
      <c r="D1949">
        <v>0</v>
      </c>
      <c r="E1949">
        <v>0</v>
      </c>
    </row>
    <row r="1950" spans="1:5">
      <c r="A1950" s="485">
        <v>423030601800</v>
      </c>
      <c r="B1950" t="s">
        <v>3393</v>
      </c>
      <c r="C1950">
        <v>5.8998999999999988</v>
      </c>
      <c r="D1950">
        <v>1.5109000000000001</v>
      </c>
      <c r="E1950">
        <v>7.4107999999999992</v>
      </c>
    </row>
    <row r="1951" spans="1:5">
      <c r="A1951" s="485">
        <v>423030601300</v>
      </c>
      <c r="B1951" t="s">
        <v>3394</v>
      </c>
      <c r="C1951">
        <v>0</v>
      </c>
      <c r="D1951">
        <v>0</v>
      </c>
      <c r="E1951">
        <v>0</v>
      </c>
    </row>
    <row r="1952" spans="1:5">
      <c r="A1952" s="485">
        <v>423030719200</v>
      </c>
      <c r="B1952" t="s">
        <v>3395</v>
      </c>
      <c r="C1952">
        <v>1.7445999999999999</v>
      </c>
      <c r="D1952">
        <v>4.1510999999999996</v>
      </c>
      <c r="E1952">
        <v>5.8956999999999997</v>
      </c>
    </row>
    <row r="1953" spans="1:5">
      <c r="A1953" s="485">
        <v>423030613900</v>
      </c>
      <c r="B1953" t="s">
        <v>3396</v>
      </c>
      <c r="C1953">
        <v>0</v>
      </c>
      <c r="D1953">
        <v>0</v>
      </c>
      <c r="E1953">
        <v>0</v>
      </c>
    </row>
    <row r="1954" spans="1:5">
      <c r="A1954" s="485">
        <v>423030949200</v>
      </c>
      <c r="B1954" t="s">
        <v>3397</v>
      </c>
      <c r="C1954">
        <v>0</v>
      </c>
      <c r="D1954">
        <v>0</v>
      </c>
      <c r="E1954">
        <v>0</v>
      </c>
    </row>
    <row r="1955" spans="1:5">
      <c r="A1955" s="485">
        <v>423030789900</v>
      </c>
      <c r="B1955" t="s">
        <v>3398</v>
      </c>
      <c r="C1955">
        <v>57.369799999999998</v>
      </c>
      <c r="D1955">
        <v>0.9464999999999999</v>
      </c>
      <c r="E1955">
        <v>58.316299999999998</v>
      </c>
    </row>
    <row r="1956" spans="1:5">
      <c r="A1956" s="485">
        <v>423030782000</v>
      </c>
      <c r="B1956" t="s">
        <v>3399</v>
      </c>
      <c r="C1956">
        <v>0</v>
      </c>
      <c r="D1956">
        <v>0</v>
      </c>
      <c r="E1956">
        <v>0</v>
      </c>
    </row>
    <row r="1957" spans="1:5">
      <c r="A1957" s="485">
        <v>423030607600</v>
      </c>
      <c r="B1957" t="s">
        <v>3400</v>
      </c>
      <c r="C1957">
        <v>1.9999999999999998</v>
      </c>
      <c r="D1957">
        <v>1.0977999999999999</v>
      </c>
      <c r="E1957">
        <v>3.0977999999999994</v>
      </c>
    </row>
    <row r="1958" spans="1:5">
      <c r="A1958" s="485">
        <v>423030607100</v>
      </c>
      <c r="B1958" t="s">
        <v>3401</v>
      </c>
      <c r="C1958">
        <v>0</v>
      </c>
      <c r="D1958">
        <v>0</v>
      </c>
      <c r="E1958">
        <v>0</v>
      </c>
    </row>
    <row r="1959" spans="1:5">
      <c r="A1959" s="485">
        <v>423030607700</v>
      </c>
      <c r="B1959" t="s">
        <v>3402</v>
      </c>
      <c r="C1959">
        <v>0</v>
      </c>
      <c r="D1959">
        <v>0</v>
      </c>
      <c r="E1959">
        <v>0</v>
      </c>
    </row>
    <row r="1960" spans="1:5">
      <c r="A1960" s="485">
        <v>423030607500</v>
      </c>
      <c r="B1960" t="s">
        <v>3403</v>
      </c>
      <c r="C1960">
        <v>0</v>
      </c>
      <c r="D1960">
        <v>0</v>
      </c>
      <c r="E1960">
        <v>0</v>
      </c>
    </row>
    <row r="1961" spans="1:5">
      <c r="A1961" s="485">
        <v>423030607500</v>
      </c>
      <c r="B1961" t="s">
        <v>3404</v>
      </c>
      <c r="C1961">
        <v>0</v>
      </c>
      <c r="D1961">
        <v>0</v>
      </c>
      <c r="E1961">
        <v>0</v>
      </c>
    </row>
    <row r="1962" spans="1:5">
      <c r="A1962" s="485">
        <v>423030607500</v>
      </c>
      <c r="B1962" t="s">
        <v>3405</v>
      </c>
      <c r="C1962">
        <v>0</v>
      </c>
      <c r="D1962">
        <v>0</v>
      </c>
      <c r="E1962">
        <v>0</v>
      </c>
    </row>
    <row r="1963" spans="1:5">
      <c r="A1963" s="485">
        <v>423030607500</v>
      </c>
      <c r="B1963" t="s">
        <v>3406</v>
      </c>
      <c r="C1963">
        <v>0</v>
      </c>
      <c r="D1963">
        <v>0</v>
      </c>
      <c r="E1963">
        <v>0</v>
      </c>
    </row>
    <row r="1964" spans="1:5">
      <c r="A1964" s="485">
        <v>423030607500</v>
      </c>
      <c r="B1964" t="s">
        <v>3407</v>
      </c>
      <c r="C1964">
        <v>0</v>
      </c>
      <c r="D1964">
        <v>0</v>
      </c>
      <c r="E1964">
        <v>0</v>
      </c>
    </row>
    <row r="1965" spans="1:5">
      <c r="A1965" s="485">
        <v>423030607500</v>
      </c>
      <c r="B1965" t="s">
        <v>3408</v>
      </c>
      <c r="C1965">
        <v>0</v>
      </c>
      <c r="D1965">
        <v>0</v>
      </c>
      <c r="E1965">
        <v>0</v>
      </c>
    </row>
    <row r="1966" spans="1:5">
      <c r="A1966" s="485">
        <v>423030607500</v>
      </c>
      <c r="B1966" t="s">
        <v>3409</v>
      </c>
      <c r="C1966">
        <v>0</v>
      </c>
      <c r="D1966">
        <v>0</v>
      </c>
      <c r="E1966">
        <v>0</v>
      </c>
    </row>
    <row r="1967" spans="1:5">
      <c r="A1967" s="485">
        <v>423030607200</v>
      </c>
      <c r="B1967" t="s">
        <v>3410</v>
      </c>
      <c r="C1967">
        <v>46.033199999999994</v>
      </c>
      <c r="D1967">
        <v>20.622</v>
      </c>
      <c r="E1967">
        <v>66.655199999999994</v>
      </c>
    </row>
    <row r="1968" spans="1:5">
      <c r="A1968" s="485">
        <v>423031015300</v>
      </c>
      <c r="B1968" t="s">
        <v>3411</v>
      </c>
      <c r="C1968">
        <v>0.31109999999999999</v>
      </c>
      <c r="D1968">
        <v>0</v>
      </c>
      <c r="E1968">
        <v>0.31109999999999999</v>
      </c>
    </row>
    <row r="1969" spans="1:5">
      <c r="A1969" s="485">
        <v>423031015300</v>
      </c>
      <c r="B1969" t="s">
        <v>3412</v>
      </c>
      <c r="C1969">
        <v>0</v>
      </c>
      <c r="D1969">
        <v>0</v>
      </c>
      <c r="E1969">
        <v>0</v>
      </c>
    </row>
    <row r="1970" spans="1:5">
      <c r="A1970" s="485">
        <v>423030610900</v>
      </c>
      <c r="B1970" t="s">
        <v>3413</v>
      </c>
      <c r="C1970">
        <v>113.31699999999999</v>
      </c>
      <c r="D1970">
        <v>110.84399999999999</v>
      </c>
      <c r="E1970">
        <v>224.161</v>
      </c>
    </row>
    <row r="1971" spans="1:5">
      <c r="A1971" s="485">
        <v>423030610900</v>
      </c>
      <c r="B1971" t="s">
        <v>3414</v>
      </c>
      <c r="C1971">
        <v>0</v>
      </c>
      <c r="D1971">
        <v>0</v>
      </c>
      <c r="E1971">
        <v>0</v>
      </c>
    </row>
    <row r="1972" spans="1:5">
      <c r="A1972" s="485">
        <v>423030613200</v>
      </c>
      <c r="B1972" t="s">
        <v>3415</v>
      </c>
      <c r="C1972">
        <v>187.9999</v>
      </c>
      <c r="D1972">
        <v>212.08520000000001</v>
      </c>
      <c r="E1972">
        <v>400.08510000000001</v>
      </c>
    </row>
    <row r="1973" spans="1:5">
      <c r="A1973" s="485">
        <v>423030613200</v>
      </c>
      <c r="B1973" t="s">
        <v>3416</v>
      </c>
      <c r="C1973">
        <v>0</v>
      </c>
      <c r="D1973">
        <v>7.8475000000000001</v>
      </c>
      <c r="E1973">
        <v>7.8475000000000001</v>
      </c>
    </row>
    <row r="1974" spans="1:5">
      <c r="A1974" s="485">
        <v>423030607000</v>
      </c>
      <c r="B1974" t="s">
        <v>3417</v>
      </c>
      <c r="C1974">
        <v>0</v>
      </c>
      <c r="D1974">
        <v>0.98549999999999993</v>
      </c>
      <c r="E1974">
        <v>0.98549999999999993</v>
      </c>
    </row>
    <row r="1975" spans="1:5">
      <c r="A1975" s="485">
        <v>423030604300</v>
      </c>
      <c r="B1975" t="s">
        <v>3418</v>
      </c>
      <c r="C1975">
        <v>0</v>
      </c>
      <c r="D1975">
        <v>0</v>
      </c>
      <c r="E1975">
        <v>0</v>
      </c>
    </row>
    <row r="1976" spans="1:5">
      <c r="A1976" s="485">
        <v>423030604800</v>
      </c>
      <c r="B1976" t="s">
        <v>3419</v>
      </c>
      <c r="C1976">
        <v>0</v>
      </c>
      <c r="D1976">
        <v>0</v>
      </c>
      <c r="E1976">
        <v>0</v>
      </c>
    </row>
    <row r="1977" spans="1:5">
      <c r="A1977" s="485">
        <v>423030605600</v>
      </c>
      <c r="B1977" t="s">
        <v>3420</v>
      </c>
      <c r="C1977">
        <v>4.9997999999999996</v>
      </c>
      <c r="D1977">
        <v>3.4047000000000001</v>
      </c>
      <c r="E1977">
        <v>8.4044999999999987</v>
      </c>
    </row>
    <row r="1978" spans="1:5">
      <c r="A1978" s="485">
        <v>423030604000</v>
      </c>
      <c r="B1978" t="s">
        <v>3421</v>
      </c>
      <c r="C1978">
        <v>0</v>
      </c>
      <c r="D1978">
        <v>0</v>
      </c>
      <c r="E1978">
        <v>0</v>
      </c>
    </row>
    <row r="1979" spans="1:5">
      <c r="A1979" s="485">
        <v>423030605900</v>
      </c>
      <c r="B1979" t="s">
        <v>3422</v>
      </c>
      <c r="C1979">
        <v>0</v>
      </c>
      <c r="D1979">
        <v>0</v>
      </c>
      <c r="E1979">
        <v>0</v>
      </c>
    </row>
    <row r="1980" spans="1:5">
      <c r="A1980" s="485">
        <v>423030604400</v>
      </c>
      <c r="B1980" t="s">
        <v>3423</v>
      </c>
      <c r="C1980">
        <v>0</v>
      </c>
      <c r="D1980">
        <v>0</v>
      </c>
      <c r="E1980">
        <v>0</v>
      </c>
    </row>
    <row r="1981" spans="1:5">
      <c r="A1981" s="485">
        <v>423030785100</v>
      </c>
      <c r="B1981" t="s">
        <v>3424</v>
      </c>
      <c r="C1981">
        <v>22525.275800000003</v>
      </c>
      <c r="D1981">
        <v>4710.2352000000001</v>
      </c>
      <c r="E1981">
        <v>27235.511000000002</v>
      </c>
    </row>
    <row r="1982" spans="1:5">
      <c r="A1982" s="485">
        <v>423030616600</v>
      </c>
      <c r="B1982" t="s">
        <v>3425</v>
      </c>
      <c r="C1982">
        <v>2.7065999999999999</v>
      </c>
      <c r="D1982">
        <v>0.33399999999999996</v>
      </c>
      <c r="E1982">
        <v>3.0406</v>
      </c>
    </row>
    <row r="1983" spans="1:5">
      <c r="A1983" s="485">
        <v>423030617400</v>
      </c>
      <c r="B1983" t="s">
        <v>3426</v>
      </c>
      <c r="C1983">
        <v>0</v>
      </c>
      <c r="D1983">
        <v>0</v>
      </c>
      <c r="E1983">
        <v>0</v>
      </c>
    </row>
    <row r="1984" spans="1:5">
      <c r="A1984" s="485">
        <v>423030604600</v>
      </c>
      <c r="B1984" t="s">
        <v>3427</v>
      </c>
      <c r="C1984">
        <v>35.7866</v>
      </c>
      <c r="D1984">
        <v>17.658799999999999</v>
      </c>
      <c r="E1984">
        <v>53.445399999999999</v>
      </c>
    </row>
    <row r="1985" spans="1:5">
      <c r="A1985" s="485">
        <v>423030765600</v>
      </c>
      <c r="B1985" t="s">
        <v>3428</v>
      </c>
      <c r="C1985">
        <v>0</v>
      </c>
      <c r="D1985">
        <v>0</v>
      </c>
      <c r="E1985">
        <v>0</v>
      </c>
    </row>
    <row r="1986" spans="1:5">
      <c r="A1986" s="485">
        <v>423030622000</v>
      </c>
      <c r="B1986" t="s">
        <v>3429</v>
      </c>
      <c r="C1986">
        <v>12.444400000000002</v>
      </c>
      <c r="D1986">
        <v>33.908999999999999</v>
      </c>
      <c r="E1986">
        <v>46.353400000000001</v>
      </c>
    </row>
    <row r="1987" spans="1:5">
      <c r="A1987" s="485">
        <v>423030623000</v>
      </c>
      <c r="B1987" t="s">
        <v>3430</v>
      </c>
      <c r="C1987">
        <v>1.9999</v>
      </c>
      <c r="D1987">
        <v>1.2162999999999999</v>
      </c>
      <c r="E1987">
        <v>3.2161999999999997</v>
      </c>
    </row>
    <row r="1988" spans="1:5">
      <c r="A1988" s="485">
        <v>423030621600</v>
      </c>
      <c r="B1988" t="s">
        <v>3431</v>
      </c>
      <c r="C1988">
        <v>2.5453000000000006</v>
      </c>
      <c r="D1988">
        <v>0.56120000000000003</v>
      </c>
      <c r="E1988">
        <v>3.1065000000000005</v>
      </c>
    </row>
    <row r="1989" spans="1:5">
      <c r="A1989" s="485">
        <v>423030801200</v>
      </c>
      <c r="B1989" t="s">
        <v>3432</v>
      </c>
      <c r="C1989">
        <v>0</v>
      </c>
      <c r="D1989">
        <v>0</v>
      </c>
      <c r="E1989">
        <v>0</v>
      </c>
    </row>
    <row r="1990" spans="1:5">
      <c r="A1990" s="485">
        <v>423031252000</v>
      </c>
      <c r="B1990" t="s">
        <v>3433</v>
      </c>
      <c r="C1990">
        <v>0</v>
      </c>
      <c r="D1990">
        <v>0</v>
      </c>
      <c r="E1990">
        <v>0</v>
      </c>
    </row>
    <row r="1991" spans="1:5">
      <c r="A1991" s="485">
        <v>423031339400</v>
      </c>
      <c r="B1991" t="s">
        <v>3434</v>
      </c>
      <c r="C1991">
        <v>66.848699999999994</v>
      </c>
      <c r="D1991">
        <v>0.217</v>
      </c>
      <c r="E1991">
        <v>67.065699999999993</v>
      </c>
    </row>
    <row r="1992" spans="1:5">
      <c r="A1992" s="485">
        <v>423030643000</v>
      </c>
      <c r="B1992" t="s">
        <v>3435</v>
      </c>
      <c r="C1992">
        <v>4.0002000000000004</v>
      </c>
      <c r="D1992">
        <v>0.9919</v>
      </c>
      <c r="E1992">
        <v>4.9921000000000006</v>
      </c>
    </row>
    <row r="1993" spans="1:5">
      <c r="A1993" s="485">
        <v>423030743200</v>
      </c>
      <c r="B1993" t="s">
        <v>3436</v>
      </c>
      <c r="C1993">
        <v>16.761099999999999</v>
      </c>
      <c r="D1993">
        <v>3.0538999999999996</v>
      </c>
      <c r="E1993">
        <v>19.814999999999998</v>
      </c>
    </row>
    <row r="1994" spans="1:5">
      <c r="A1994" s="485">
        <v>423030738000</v>
      </c>
      <c r="B1994" t="s">
        <v>3437</v>
      </c>
      <c r="C1994">
        <v>0</v>
      </c>
      <c r="D1994">
        <v>0</v>
      </c>
      <c r="E1994">
        <v>0</v>
      </c>
    </row>
    <row r="1995" spans="1:5">
      <c r="A1995" s="485">
        <v>423030738400</v>
      </c>
      <c r="B1995" t="s">
        <v>3438</v>
      </c>
      <c r="C1995">
        <v>225.50009999999997</v>
      </c>
      <c r="D1995">
        <v>55.1</v>
      </c>
      <c r="E1995">
        <v>280.6001</v>
      </c>
    </row>
    <row r="1996" spans="1:5">
      <c r="A1996" s="485">
        <v>423030741200</v>
      </c>
      <c r="B1996" t="s">
        <v>3439</v>
      </c>
      <c r="C1996">
        <v>0</v>
      </c>
      <c r="D1996">
        <v>0</v>
      </c>
      <c r="E1996">
        <v>0</v>
      </c>
    </row>
    <row r="1997" spans="1:5">
      <c r="A1997" s="485">
        <v>423030741600</v>
      </c>
      <c r="B1997" t="s">
        <v>3440</v>
      </c>
      <c r="C1997">
        <v>0</v>
      </c>
      <c r="D1997">
        <v>0</v>
      </c>
      <c r="E1997">
        <v>0</v>
      </c>
    </row>
    <row r="1998" spans="1:5">
      <c r="A1998" s="485">
        <v>423030742800</v>
      </c>
      <c r="B1998" t="s">
        <v>3441</v>
      </c>
      <c r="C1998">
        <v>0</v>
      </c>
      <c r="D1998">
        <v>0</v>
      </c>
      <c r="E1998">
        <v>0</v>
      </c>
    </row>
    <row r="1999" spans="1:5">
      <c r="A1999" s="485">
        <v>423030643200</v>
      </c>
      <c r="B1999" t="s">
        <v>3442</v>
      </c>
      <c r="C1999">
        <v>0</v>
      </c>
      <c r="D1999">
        <v>0</v>
      </c>
      <c r="E1999">
        <v>0</v>
      </c>
    </row>
    <row r="2000" spans="1:5">
      <c r="A2000" s="485">
        <v>423030643200</v>
      </c>
      <c r="B2000" t="s">
        <v>3443</v>
      </c>
      <c r="C2000">
        <v>0</v>
      </c>
      <c r="D2000">
        <v>0</v>
      </c>
      <c r="E2000">
        <v>0</v>
      </c>
    </row>
    <row r="2001" spans="1:5">
      <c r="A2001" s="485">
        <v>423030643200</v>
      </c>
      <c r="B2001" t="s">
        <v>3444</v>
      </c>
      <c r="C2001">
        <v>0</v>
      </c>
      <c r="D2001">
        <v>0</v>
      </c>
      <c r="E2001">
        <v>0</v>
      </c>
    </row>
    <row r="2002" spans="1:5">
      <c r="A2002" s="485">
        <v>423030643200</v>
      </c>
      <c r="B2002" t="s">
        <v>3445</v>
      </c>
      <c r="C2002">
        <v>0</v>
      </c>
      <c r="D2002">
        <v>0</v>
      </c>
      <c r="E2002">
        <v>0</v>
      </c>
    </row>
    <row r="2003" spans="1:5">
      <c r="A2003" s="485">
        <v>423030643200</v>
      </c>
      <c r="B2003" t="s">
        <v>3446</v>
      </c>
      <c r="C2003">
        <v>0</v>
      </c>
      <c r="D2003">
        <v>0</v>
      </c>
      <c r="E2003">
        <v>0</v>
      </c>
    </row>
    <row r="2004" spans="1:5">
      <c r="A2004" s="485">
        <v>423030643200</v>
      </c>
      <c r="B2004" t="s">
        <v>3447</v>
      </c>
      <c r="C2004">
        <v>0</v>
      </c>
      <c r="D2004">
        <v>0</v>
      </c>
      <c r="E2004">
        <v>0</v>
      </c>
    </row>
    <row r="2005" spans="1:5">
      <c r="A2005" s="485">
        <v>423030643200</v>
      </c>
      <c r="B2005" t="s">
        <v>3448</v>
      </c>
      <c r="C2005">
        <v>0</v>
      </c>
      <c r="D2005">
        <v>0</v>
      </c>
      <c r="E2005">
        <v>0</v>
      </c>
    </row>
    <row r="2006" spans="1:5">
      <c r="A2006" s="485">
        <v>423030631000</v>
      </c>
      <c r="B2006" t="s">
        <v>3449</v>
      </c>
      <c r="C2006">
        <v>2298</v>
      </c>
      <c r="D2006">
        <v>1.1956</v>
      </c>
      <c r="E2006">
        <v>2299.1956</v>
      </c>
    </row>
    <row r="2007" spans="1:5">
      <c r="A2007" s="485">
        <v>423030648800</v>
      </c>
      <c r="B2007" t="s">
        <v>3450</v>
      </c>
      <c r="C2007">
        <v>0</v>
      </c>
      <c r="D2007">
        <v>0</v>
      </c>
      <c r="E2007">
        <v>0</v>
      </c>
    </row>
    <row r="2008" spans="1:5">
      <c r="A2008" s="485">
        <v>423030727800</v>
      </c>
      <c r="B2008" t="s">
        <v>3451</v>
      </c>
      <c r="C2008">
        <v>0.72629999999999995</v>
      </c>
      <c r="D2008">
        <v>0.54600000000000004</v>
      </c>
      <c r="E2008">
        <v>1.2723</v>
      </c>
    </row>
    <row r="2009" spans="1:5">
      <c r="A2009" s="485">
        <v>423030755200</v>
      </c>
      <c r="B2009" t="s">
        <v>3452</v>
      </c>
      <c r="C2009">
        <v>0</v>
      </c>
      <c r="D2009">
        <v>0</v>
      </c>
      <c r="E2009">
        <v>0</v>
      </c>
    </row>
    <row r="2010" spans="1:5">
      <c r="A2010" s="485">
        <v>423030744100</v>
      </c>
      <c r="B2010" t="s">
        <v>3453</v>
      </c>
      <c r="C2010">
        <v>1.4556</v>
      </c>
      <c r="D2010">
        <v>2.5657999999999999</v>
      </c>
      <c r="E2010">
        <v>4.0213999999999999</v>
      </c>
    </row>
    <row r="2011" spans="1:5">
      <c r="A2011" s="485">
        <v>423030624200</v>
      </c>
      <c r="B2011" t="s">
        <v>3454</v>
      </c>
      <c r="C2011">
        <v>0</v>
      </c>
      <c r="D2011">
        <v>0</v>
      </c>
      <c r="E2011">
        <v>0</v>
      </c>
    </row>
    <row r="2012" spans="1:5">
      <c r="A2012" s="485">
        <v>423030624200</v>
      </c>
      <c r="B2012" t="s">
        <v>3455</v>
      </c>
      <c r="C2012">
        <v>0</v>
      </c>
      <c r="D2012">
        <v>0</v>
      </c>
      <c r="E2012">
        <v>0</v>
      </c>
    </row>
    <row r="2013" spans="1:5">
      <c r="A2013" s="485">
        <v>423030624200</v>
      </c>
      <c r="B2013" t="s">
        <v>3456</v>
      </c>
      <c r="C2013">
        <v>0</v>
      </c>
      <c r="D2013">
        <v>0</v>
      </c>
      <c r="E2013">
        <v>0</v>
      </c>
    </row>
    <row r="2014" spans="1:5">
      <c r="A2014" s="485">
        <v>423030624200</v>
      </c>
      <c r="B2014" t="s">
        <v>3457</v>
      </c>
      <c r="C2014">
        <v>0</v>
      </c>
      <c r="D2014">
        <v>0</v>
      </c>
      <c r="E2014">
        <v>0</v>
      </c>
    </row>
    <row r="2015" spans="1:5">
      <c r="A2015" s="485">
        <v>423030624200</v>
      </c>
      <c r="B2015" t="s">
        <v>3458</v>
      </c>
      <c r="C2015">
        <v>0</v>
      </c>
      <c r="D2015">
        <v>0</v>
      </c>
      <c r="E2015">
        <v>0</v>
      </c>
    </row>
    <row r="2016" spans="1:5">
      <c r="A2016" s="485">
        <v>423030624200</v>
      </c>
      <c r="B2016" t="s">
        <v>3459</v>
      </c>
      <c r="C2016">
        <v>0</v>
      </c>
      <c r="D2016">
        <v>0</v>
      </c>
      <c r="E2016">
        <v>0</v>
      </c>
    </row>
    <row r="2017" spans="1:5">
      <c r="A2017" s="485">
        <v>423030624200</v>
      </c>
      <c r="B2017" t="s">
        <v>3460</v>
      </c>
      <c r="C2017">
        <v>0</v>
      </c>
      <c r="D2017">
        <v>0</v>
      </c>
      <c r="E2017">
        <v>0</v>
      </c>
    </row>
    <row r="2018" spans="1:5">
      <c r="A2018" s="485">
        <v>423030626600</v>
      </c>
      <c r="B2018" t="s">
        <v>3461</v>
      </c>
      <c r="C2018">
        <v>101.32190000000001</v>
      </c>
      <c r="D2018">
        <v>276.05130000000003</v>
      </c>
      <c r="E2018">
        <v>377.37320000000005</v>
      </c>
    </row>
    <row r="2019" spans="1:5">
      <c r="A2019" s="485">
        <v>423030626600</v>
      </c>
      <c r="B2019" t="s">
        <v>3462</v>
      </c>
      <c r="C2019">
        <v>0</v>
      </c>
      <c r="D2019">
        <v>39.529499999999999</v>
      </c>
      <c r="E2019">
        <v>39.529499999999999</v>
      </c>
    </row>
    <row r="2020" spans="1:5">
      <c r="A2020" s="485">
        <v>423030626300</v>
      </c>
      <c r="B2020" t="s">
        <v>3463</v>
      </c>
      <c r="C2020">
        <v>0</v>
      </c>
      <c r="D2020">
        <v>0</v>
      </c>
      <c r="E2020">
        <v>0</v>
      </c>
    </row>
    <row r="2021" spans="1:5">
      <c r="A2021" s="485">
        <v>423030626300</v>
      </c>
      <c r="B2021" t="s">
        <v>3464</v>
      </c>
      <c r="C2021">
        <v>0</v>
      </c>
      <c r="D2021">
        <v>0</v>
      </c>
      <c r="E2021">
        <v>0</v>
      </c>
    </row>
    <row r="2022" spans="1:5">
      <c r="A2022" s="485">
        <v>423030626300</v>
      </c>
      <c r="B2022" t="s">
        <v>3465</v>
      </c>
      <c r="C2022">
        <v>0</v>
      </c>
      <c r="D2022">
        <v>0</v>
      </c>
      <c r="E2022">
        <v>0</v>
      </c>
    </row>
    <row r="2023" spans="1:5">
      <c r="A2023" s="485">
        <v>423030626300</v>
      </c>
      <c r="B2023" t="s">
        <v>3466</v>
      </c>
      <c r="C2023">
        <v>0</v>
      </c>
      <c r="D2023">
        <v>0</v>
      </c>
      <c r="E2023">
        <v>0</v>
      </c>
    </row>
    <row r="2024" spans="1:5">
      <c r="A2024" s="485">
        <v>423030626300</v>
      </c>
      <c r="B2024" t="s">
        <v>3467</v>
      </c>
      <c r="C2024">
        <v>0</v>
      </c>
      <c r="D2024">
        <v>0</v>
      </c>
      <c r="E2024">
        <v>0</v>
      </c>
    </row>
    <row r="2025" spans="1:5">
      <c r="A2025" s="485">
        <v>423030626300</v>
      </c>
      <c r="B2025" t="s">
        <v>3468</v>
      </c>
      <c r="C2025">
        <v>0</v>
      </c>
      <c r="D2025">
        <v>0</v>
      </c>
      <c r="E2025">
        <v>0</v>
      </c>
    </row>
    <row r="2026" spans="1:5">
      <c r="A2026" s="485">
        <v>423030617000</v>
      </c>
      <c r="B2026" t="s">
        <v>3469</v>
      </c>
      <c r="C2026">
        <v>0</v>
      </c>
      <c r="D2026">
        <v>0</v>
      </c>
      <c r="E2026">
        <v>0</v>
      </c>
    </row>
    <row r="2027" spans="1:5">
      <c r="A2027" s="485">
        <v>423030617000</v>
      </c>
      <c r="B2027" t="s">
        <v>3470</v>
      </c>
      <c r="C2027">
        <v>11904</v>
      </c>
      <c r="D2027">
        <v>7545.0295999999998</v>
      </c>
      <c r="E2027">
        <v>19449.029600000002</v>
      </c>
    </row>
    <row r="2028" spans="1:5">
      <c r="A2028" s="485">
        <v>423030726900</v>
      </c>
      <c r="B2028" t="s">
        <v>3471</v>
      </c>
      <c r="C2028">
        <v>9.9999999999999982</v>
      </c>
      <c r="D2028">
        <v>12.4038</v>
      </c>
      <c r="E2028">
        <v>22.403799999999997</v>
      </c>
    </row>
    <row r="2029" spans="1:5">
      <c r="A2029" s="485">
        <v>423030644600</v>
      </c>
      <c r="B2029" t="s">
        <v>3472</v>
      </c>
      <c r="C2029">
        <v>0</v>
      </c>
      <c r="D2029">
        <v>0</v>
      </c>
      <c r="E2029">
        <v>0</v>
      </c>
    </row>
    <row r="2030" spans="1:5">
      <c r="A2030" s="485">
        <v>423030640400</v>
      </c>
      <c r="B2030" t="s">
        <v>3473</v>
      </c>
      <c r="C2030">
        <v>0.99990000000000001</v>
      </c>
      <c r="D2030">
        <v>1.9308000000000001</v>
      </c>
      <c r="E2030">
        <v>2.9306999999999999</v>
      </c>
    </row>
    <row r="2031" spans="1:5">
      <c r="A2031" s="485">
        <v>423030635600</v>
      </c>
      <c r="B2031" t="s">
        <v>3474</v>
      </c>
      <c r="C2031">
        <v>9.7815000000000012</v>
      </c>
      <c r="D2031">
        <v>3.2319999999999998</v>
      </c>
      <c r="E2031">
        <v>13.013500000000001</v>
      </c>
    </row>
    <row r="2032" spans="1:5">
      <c r="A2032" s="485">
        <v>423030635600</v>
      </c>
      <c r="B2032" t="s">
        <v>3475</v>
      </c>
      <c r="C2032">
        <v>0</v>
      </c>
      <c r="D2032">
        <v>12.154500000000001</v>
      </c>
      <c r="E2032">
        <v>12.154500000000001</v>
      </c>
    </row>
    <row r="2033" spans="1:5">
      <c r="A2033" s="485">
        <v>423030620100</v>
      </c>
      <c r="B2033" t="s">
        <v>3476</v>
      </c>
      <c r="C2033">
        <v>5.1111000000000004</v>
      </c>
      <c r="D2033">
        <v>0.30499999999999999</v>
      </c>
      <c r="E2033">
        <v>5.4161000000000001</v>
      </c>
    </row>
    <row r="2034" spans="1:5">
      <c r="A2034" s="485">
        <v>423030620400</v>
      </c>
      <c r="B2034" t="s">
        <v>3477</v>
      </c>
      <c r="C2034">
        <v>12.4444</v>
      </c>
      <c r="D2034">
        <v>7.9194000000000004</v>
      </c>
      <c r="E2034">
        <v>20.363800000000001</v>
      </c>
    </row>
    <row r="2035" spans="1:5">
      <c r="A2035" s="485">
        <v>423030621500</v>
      </c>
      <c r="B2035" t="s">
        <v>3478</v>
      </c>
      <c r="C2035">
        <v>0</v>
      </c>
      <c r="D2035">
        <v>0</v>
      </c>
      <c r="E2035">
        <v>0</v>
      </c>
    </row>
    <row r="2036" spans="1:5">
      <c r="A2036" s="485">
        <v>423030642200</v>
      </c>
      <c r="B2036" t="s">
        <v>3479</v>
      </c>
      <c r="C2036">
        <v>386.93189999999998</v>
      </c>
      <c r="D2036">
        <v>107.42099999999999</v>
      </c>
      <c r="E2036">
        <v>494.35289999999998</v>
      </c>
    </row>
    <row r="2037" spans="1:5">
      <c r="A2037" s="485">
        <v>423030631600</v>
      </c>
      <c r="B2037" t="s">
        <v>3480</v>
      </c>
      <c r="C2037">
        <v>0</v>
      </c>
      <c r="D2037">
        <v>0</v>
      </c>
      <c r="E2037">
        <v>0</v>
      </c>
    </row>
    <row r="2038" spans="1:5">
      <c r="A2038" s="485">
        <v>423030631400</v>
      </c>
      <c r="B2038" t="s">
        <v>3481</v>
      </c>
      <c r="C2038">
        <v>9.6592000000000002</v>
      </c>
      <c r="D2038">
        <v>1.5371999999999999</v>
      </c>
      <c r="E2038">
        <v>11.196400000000001</v>
      </c>
    </row>
    <row r="2039" spans="1:5">
      <c r="A2039" s="485">
        <v>423030631500</v>
      </c>
      <c r="B2039" t="s">
        <v>3482</v>
      </c>
      <c r="C2039">
        <v>0</v>
      </c>
      <c r="D2039">
        <v>0</v>
      </c>
      <c r="E2039">
        <v>0</v>
      </c>
    </row>
    <row r="2040" spans="1:5">
      <c r="A2040" s="485">
        <v>423030631500</v>
      </c>
      <c r="B2040" t="s">
        <v>3483</v>
      </c>
      <c r="C2040">
        <v>0</v>
      </c>
      <c r="D2040">
        <v>0</v>
      </c>
      <c r="E2040">
        <v>0</v>
      </c>
    </row>
    <row r="2041" spans="1:5">
      <c r="A2041" s="485">
        <v>423030631500</v>
      </c>
      <c r="B2041" t="s">
        <v>3484</v>
      </c>
      <c r="C2041">
        <v>0</v>
      </c>
      <c r="D2041">
        <v>0</v>
      </c>
      <c r="E2041">
        <v>0</v>
      </c>
    </row>
    <row r="2042" spans="1:5">
      <c r="A2042" s="485">
        <v>423030631500</v>
      </c>
      <c r="B2042" t="s">
        <v>3485</v>
      </c>
      <c r="C2042">
        <v>0</v>
      </c>
      <c r="D2042">
        <v>0</v>
      </c>
      <c r="E2042">
        <v>0</v>
      </c>
    </row>
    <row r="2043" spans="1:5">
      <c r="A2043" s="485">
        <v>423030631500</v>
      </c>
      <c r="B2043" t="s">
        <v>3486</v>
      </c>
      <c r="C2043">
        <v>0</v>
      </c>
      <c r="D2043">
        <v>0</v>
      </c>
      <c r="E2043">
        <v>0</v>
      </c>
    </row>
    <row r="2044" spans="1:5">
      <c r="A2044" s="485">
        <v>423030631500</v>
      </c>
      <c r="B2044" t="s">
        <v>3487</v>
      </c>
      <c r="C2044">
        <v>0</v>
      </c>
      <c r="D2044">
        <v>0</v>
      </c>
      <c r="E2044">
        <v>0</v>
      </c>
    </row>
    <row r="2045" spans="1:5">
      <c r="A2045" s="485">
        <v>423030631500</v>
      </c>
      <c r="B2045" t="s">
        <v>3488</v>
      </c>
      <c r="C2045">
        <v>0</v>
      </c>
      <c r="D2045">
        <v>0</v>
      </c>
      <c r="E2045">
        <v>0</v>
      </c>
    </row>
    <row r="2046" spans="1:5">
      <c r="A2046" s="485">
        <v>423030773400</v>
      </c>
      <c r="B2046" t="s">
        <v>3489</v>
      </c>
      <c r="C2046">
        <v>925.45979999999997</v>
      </c>
      <c r="D2046">
        <v>321.5188</v>
      </c>
      <c r="E2046">
        <v>1246.9785999999999</v>
      </c>
    </row>
    <row r="2047" spans="1:5">
      <c r="A2047" s="485">
        <v>423030773300</v>
      </c>
      <c r="B2047" t="s">
        <v>3490</v>
      </c>
      <c r="C2047">
        <v>0</v>
      </c>
      <c r="D2047">
        <v>0</v>
      </c>
      <c r="E2047">
        <v>0</v>
      </c>
    </row>
    <row r="2048" spans="1:5">
      <c r="A2048" s="485">
        <v>423030774200</v>
      </c>
      <c r="B2048" t="s">
        <v>3491</v>
      </c>
      <c r="C2048">
        <v>0</v>
      </c>
      <c r="D2048">
        <v>0</v>
      </c>
      <c r="E2048">
        <v>0</v>
      </c>
    </row>
    <row r="2049" spans="1:5">
      <c r="A2049" s="485">
        <v>423030728100</v>
      </c>
      <c r="B2049" t="s">
        <v>3492</v>
      </c>
      <c r="C2049">
        <v>0</v>
      </c>
      <c r="D2049">
        <v>0</v>
      </c>
      <c r="E2049">
        <v>0</v>
      </c>
    </row>
    <row r="2050" spans="1:5">
      <c r="A2050" s="485">
        <v>423030778800</v>
      </c>
      <c r="B2050">
        <v>12850201</v>
      </c>
      <c r="C2050">
        <v>0.5</v>
      </c>
      <c r="D2050">
        <v>2.4542999999999999</v>
      </c>
      <c r="E2050">
        <v>2.9542999999999999</v>
      </c>
    </row>
    <row r="2051" spans="1:5">
      <c r="A2051" s="485">
        <v>423030774300</v>
      </c>
      <c r="B2051" t="s">
        <v>3493</v>
      </c>
      <c r="C2051">
        <v>212.65560000000002</v>
      </c>
      <c r="D2051">
        <v>63.755800000000001</v>
      </c>
      <c r="E2051">
        <v>276.41140000000001</v>
      </c>
    </row>
    <row r="2052" spans="1:5">
      <c r="A2052" s="485">
        <v>423030774300</v>
      </c>
      <c r="B2052" t="s">
        <v>3494</v>
      </c>
      <c r="C2052">
        <v>0</v>
      </c>
      <c r="D2052">
        <v>0</v>
      </c>
      <c r="E2052">
        <v>0</v>
      </c>
    </row>
    <row r="2053" spans="1:5">
      <c r="A2053" s="485">
        <v>423030789700</v>
      </c>
      <c r="B2053" t="s">
        <v>3495</v>
      </c>
      <c r="C2053">
        <v>106.40010000000001</v>
      </c>
      <c r="D2053">
        <v>39.131999999999998</v>
      </c>
      <c r="E2053">
        <v>145.53210000000001</v>
      </c>
    </row>
    <row r="2054" spans="1:5">
      <c r="A2054" s="485">
        <v>423030642400</v>
      </c>
      <c r="B2054" t="s">
        <v>3496</v>
      </c>
      <c r="C2054">
        <v>0</v>
      </c>
      <c r="D2054">
        <v>0</v>
      </c>
      <c r="E2054">
        <v>0</v>
      </c>
    </row>
    <row r="2055" spans="1:5">
      <c r="A2055" s="485">
        <v>423030621200</v>
      </c>
      <c r="B2055" t="s">
        <v>3497</v>
      </c>
      <c r="C2055">
        <v>0</v>
      </c>
      <c r="D2055">
        <v>0</v>
      </c>
      <c r="E2055">
        <v>0</v>
      </c>
    </row>
    <row r="2056" spans="1:5">
      <c r="A2056" s="485">
        <v>423030781400</v>
      </c>
      <c r="B2056" t="s">
        <v>3498</v>
      </c>
      <c r="C2056">
        <v>167.0112</v>
      </c>
      <c r="D2056">
        <v>116.145</v>
      </c>
      <c r="E2056">
        <v>283.15620000000001</v>
      </c>
    </row>
    <row r="2057" spans="1:5">
      <c r="A2057" s="485">
        <v>423030622500</v>
      </c>
      <c r="B2057" t="s">
        <v>3499</v>
      </c>
      <c r="C2057">
        <v>7.625</v>
      </c>
      <c r="D2057">
        <v>6.48</v>
      </c>
      <c r="E2057">
        <v>14.105</v>
      </c>
    </row>
    <row r="2058" spans="1:5">
      <c r="A2058" s="485">
        <v>423030622500</v>
      </c>
      <c r="B2058" t="s">
        <v>3500</v>
      </c>
      <c r="C2058">
        <v>3.0000999999999998</v>
      </c>
      <c r="D2058">
        <v>333.31709999999998</v>
      </c>
      <c r="E2058">
        <v>336.31719999999996</v>
      </c>
    </row>
    <row r="2059" spans="1:5">
      <c r="A2059" s="485">
        <v>423030626900</v>
      </c>
      <c r="B2059" t="s">
        <v>3501</v>
      </c>
      <c r="C2059">
        <v>10.297499999999999</v>
      </c>
      <c r="D2059">
        <v>1.2648999999999999</v>
      </c>
      <c r="E2059">
        <v>11.5624</v>
      </c>
    </row>
    <row r="2060" spans="1:5">
      <c r="A2060" s="485">
        <v>423030758100</v>
      </c>
      <c r="B2060" t="s">
        <v>3502</v>
      </c>
      <c r="C2060">
        <v>0.99990000000000001</v>
      </c>
      <c r="D2060">
        <v>1.8165</v>
      </c>
      <c r="E2060">
        <v>2.8163999999999998</v>
      </c>
    </row>
    <row r="2061" spans="1:5">
      <c r="A2061" s="485">
        <v>423031226200</v>
      </c>
      <c r="B2061" t="s">
        <v>3503</v>
      </c>
      <c r="C2061">
        <v>0</v>
      </c>
      <c r="D2061">
        <v>0</v>
      </c>
      <c r="E2061">
        <v>0</v>
      </c>
    </row>
    <row r="2062" spans="1:5">
      <c r="A2062" s="485">
        <v>423031226200</v>
      </c>
      <c r="B2062" t="s">
        <v>3504</v>
      </c>
      <c r="C2062">
        <v>0</v>
      </c>
      <c r="D2062">
        <v>0</v>
      </c>
      <c r="E2062">
        <v>0</v>
      </c>
    </row>
    <row r="2063" spans="1:5">
      <c r="A2063" s="485">
        <v>423031226200</v>
      </c>
      <c r="B2063" t="s">
        <v>3505</v>
      </c>
      <c r="C2063">
        <v>0</v>
      </c>
      <c r="D2063">
        <v>0</v>
      </c>
      <c r="E2063">
        <v>0</v>
      </c>
    </row>
    <row r="2064" spans="1:5">
      <c r="A2064" s="485">
        <v>423031226200</v>
      </c>
      <c r="B2064" t="s">
        <v>3506</v>
      </c>
      <c r="C2064">
        <v>0</v>
      </c>
      <c r="D2064">
        <v>0</v>
      </c>
      <c r="E2064">
        <v>0</v>
      </c>
    </row>
    <row r="2065" spans="1:5">
      <c r="A2065" s="485">
        <v>423031226200</v>
      </c>
      <c r="B2065" t="s">
        <v>3507</v>
      </c>
      <c r="C2065">
        <v>0</v>
      </c>
      <c r="D2065">
        <v>0</v>
      </c>
      <c r="E2065">
        <v>0</v>
      </c>
    </row>
    <row r="2066" spans="1:5">
      <c r="A2066" s="485">
        <v>423031226200</v>
      </c>
      <c r="B2066" t="s">
        <v>3508</v>
      </c>
      <c r="C2066">
        <v>0</v>
      </c>
      <c r="D2066">
        <v>0</v>
      </c>
      <c r="E2066">
        <v>0</v>
      </c>
    </row>
    <row r="2067" spans="1:5">
      <c r="A2067" s="485">
        <v>423031226200</v>
      </c>
      <c r="B2067" t="s">
        <v>3509</v>
      </c>
      <c r="C2067">
        <v>0</v>
      </c>
      <c r="D2067">
        <v>0</v>
      </c>
      <c r="E2067">
        <v>0</v>
      </c>
    </row>
    <row r="2068" spans="1:5">
      <c r="A2068" s="485">
        <v>423030753100</v>
      </c>
      <c r="B2068" t="s">
        <v>3510</v>
      </c>
      <c r="C2068">
        <v>0</v>
      </c>
      <c r="D2068">
        <v>0</v>
      </c>
      <c r="E2068">
        <v>0</v>
      </c>
    </row>
    <row r="2069" spans="1:5">
      <c r="A2069" s="485">
        <v>423030620600</v>
      </c>
      <c r="B2069" t="s">
        <v>3511</v>
      </c>
      <c r="C2069">
        <v>0</v>
      </c>
      <c r="D2069">
        <v>0</v>
      </c>
      <c r="E2069">
        <v>0</v>
      </c>
    </row>
    <row r="2070" spans="1:5">
      <c r="A2070" s="485">
        <v>423030779700</v>
      </c>
      <c r="B2070" t="s">
        <v>3512</v>
      </c>
      <c r="C2070">
        <v>0</v>
      </c>
      <c r="D2070">
        <v>30.149000000000004</v>
      </c>
      <c r="E2070">
        <v>30.149000000000004</v>
      </c>
    </row>
    <row r="2071" spans="1:5">
      <c r="A2071" s="485">
        <v>423030777700</v>
      </c>
      <c r="B2071" t="s">
        <v>3513</v>
      </c>
      <c r="C2071">
        <v>35.771900000000002</v>
      </c>
      <c r="D2071">
        <v>18.3261</v>
      </c>
      <c r="E2071">
        <v>54.097999999999999</v>
      </c>
    </row>
    <row r="2072" spans="1:5">
      <c r="A2072" s="485">
        <v>423030753200</v>
      </c>
      <c r="B2072" t="s">
        <v>3514</v>
      </c>
      <c r="C2072">
        <v>3.1000000000000005</v>
      </c>
      <c r="D2072">
        <v>9.0499999999999997E-2</v>
      </c>
      <c r="E2072">
        <v>3.1905000000000006</v>
      </c>
    </row>
    <row r="2073" spans="1:5">
      <c r="A2073" s="485">
        <v>423030752800</v>
      </c>
      <c r="B2073" t="s">
        <v>3515</v>
      </c>
      <c r="C2073">
        <v>0</v>
      </c>
      <c r="D2073">
        <v>0</v>
      </c>
      <c r="E2073">
        <v>0</v>
      </c>
    </row>
    <row r="2074" spans="1:5">
      <c r="A2074" s="485">
        <v>423030726400</v>
      </c>
      <c r="B2074" t="s">
        <v>3516</v>
      </c>
      <c r="C2074">
        <v>0</v>
      </c>
      <c r="D2074">
        <v>0</v>
      </c>
      <c r="E2074">
        <v>0</v>
      </c>
    </row>
    <row r="2075" spans="1:5">
      <c r="A2075" s="485">
        <v>423030726100</v>
      </c>
      <c r="B2075" t="s">
        <v>3517</v>
      </c>
      <c r="C2075">
        <v>0</v>
      </c>
      <c r="D2075">
        <v>0</v>
      </c>
      <c r="E2075">
        <v>0</v>
      </c>
    </row>
    <row r="2076" spans="1:5">
      <c r="A2076" s="485">
        <v>423030774600</v>
      </c>
      <c r="B2076" t="s">
        <v>3518</v>
      </c>
      <c r="C2076">
        <v>78.666700000000006</v>
      </c>
      <c r="D2076">
        <v>6.0268000000000006</v>
      </c>
      <c r="E2076">
        <v>84.6935</v>
      </c>
    </row>
    <row r="2077" spans="1:5">
      <c r="A2077" s="485">
        <v>423030769800</v>
      </c>
      <c r="B2077" t="s">
        <v>3519</v>
      </c>
      <c r="C2077">
        <v>174.5</v>
      </c>
      <c r="D2077">
        <v>216.95</v>
      </c>
      <c r="E2077">
        <v>391.45</v>
      </c>
    </row>
    <row r="2078" spans="1:5">
      <c r="A2078" s="485">
        <v>423030759000</v>
      </c>
      <c r="B2078" t="s">
        <v>3520</v>
      </c>
      <c r="C2078">
        <v>7.4999999999999997E-2</v>
      </c>
      <c r="D2078">
        <v>0.63460000000000005</v>
      </c>
      <c r="E2078">
        <v>0.70960000000000001</v>
      </c>
    </row>
    <row r="2079" spans="1:5">
      <c r="A2079" s="485">
        <v>423030757000</v>
      </c>
      <c r="B2079" t="s">
        <v>3521</v>
      </c>
      <c r="C2079">
        <v>129.7765</v>
      </c>
      <c r="D2079">
        <v>21.020600000000002</v>
      </c>
      <c r="E2079">
        <v>150.7971</v>
      </c>
    </row>
    <row r="2080" spans="1:5">
      <c r="A2080" s="485">
        <v>423030758400</v>
      </c>
      <c r="B2080" t="s">
        <v>3522</v>
      </c>
      <c r="C2080">
        <v>2.0001000000000002</v>
      </c>
      <c r="D2080">
        <v>6.0571000000000002</v>
      </c>
      <c r="E2080">
        <v>8.0571999999999999</v>
      </c>
    </row>
    <row r="2081" spans="1:5">
      <c r="A2081" s="485">
        <v>423030758400</v>
      </c>
      <c r="B2081" t="s">
        <v>3523</v>
      </c>
      <c r="C2081">
        <v>0</v>
      </c>
      <c r="D2081">
        <v>3.6530000000000005</v>
      </c>
      <c r="E2081">
        <v>3.6530000000000005</v>
      </c>
    </row>
    <row r="2082" spans="1:5">
      <c r="A2082" s="485">
        <v>423030757600</v>
      </c>
      <c r="B2082" t="s">
        <v>3524</v>
      </c>
      <c r="C2082">
        <v>992.55049999999994</v>
      </c>
      <c r="D2082">
        <v>384.59120000000001</v>
      </c>
      <c r="E2082">
        <v>1377.1416999999999</v>
      </c>
    </row>
    <row r="2083" spans="1:5">
      <c r="A2083" s="485">
        <v>423031146200</v>
      </c>
      <c r="B2083" t="s">
        <v>3525</v>
      </c>
      <c r="C2083">
        <v>0</v>
      </c>
      <c r="D2083">
        <v>0</v>
      </c>
      <c r="E2083">
        <v>0</v>
      </c>
    </row>
    <row r="2084" spans="1:5">
      <c r="A2084" s="485">
        <v>423031146200</v>
      </c>
      <c r="B2084" t="s">
        <v>3526</v>
      </c>
      <c r="C2084">
        <v>0</v>
      </c>
      <c r="D2084">
        <v>0</v>
      </c>
      <c r="E2084">
        <v>0</v>
      </c>
    </row>
    <row r="2085" spans="1:5">
      <c r="A2085" s="485">
        <v>423031146200</v>
      </c>
      <c r="B2085" t="s">
        <v>3527</v>
      </c>
      <c r="C2085">
        <v>0</v>
      </c>
      <c r="D2085">
        <v>0</v>
      </c>
      <c r="E2085">
        <v>0</v>
      </c>
    </row>
    <row r="2086" spans="1:5">
      <c r="A2086" s="485">
        <v>423031146200</v>
      </c>
      <c r="B2086" t="s">
        <v>3528</v>
      </c>
      <c r="C2086">
        <v>0</v>
      </c>
      <c r="D2086">
        <v>0</v>
      </c>
      <c r="E2086">
        <v>0</v>
      </c>
    </row>
    <row r="2087" spans="1:5">
      <c r="A2087" s="485">
        <v>423031146200</v>
      </c>
      <c r="B2087" t="s">
        <v>3529</v>
      </c>
      <c r="C2087">
        <v>0</v>
      </c>
      <c r="D2087">
        <v>0</v>
      </c>
      <c r="E2087">
        <v>0</v>
      </c>
    </row>
    <row r="2088" spans="1:5">
      <c r="A2088" s="485">
        <v>423031146200</v>
      </c>
      <c r="B2088" t="s">
        <v>3530</v>
      </c>
      <c r="C2088">
        <v>0</v>
      </c>
      <c r="D2088">
        <v>0</v>
      </c>
      <c r="E2088">
        <v>0</v>
      </c>
    </row>
    <row r="2089" spans="1:5">
      <c r="A2089" s="485">
        <v>423030757800</v>
      </c>
      <c r="B2089" t="s">
        <v>3531</v>
      </c>
      <c r="C2089">
        <v>25.232799999999997</v>
      </c>
      <c r="D2089">
        <v>2.5131999999999999</v>
      </c>
      <c r="E2089">
        <v>27.745999999999999</v>
      </c>
    </row>
    <row r="2090" spans="1:5">
      <c r="A2090" s="485">
        <v>423030747200</v>
      </c>
      <c r="B2090" t="s">
        <v>3532</v>
      </c>
      <c r="C2090">
        <v>0</v>
      </c>
      <c r="D2090">
        <v>0</v>
      </c>
      <c r="E2090">
        <v>0</v>
      </c>
    </row>
    <row r="2091" spans="1:5">
      <c r="A2091" s="485">
        <v>423030777300</v>
      </c>
      <c r="B2091" t="s">
        <v>3533</v>
      </c>
      <c r="C2091">
        <v>15.3124</v>
      </c>
      <c r="D2091">
        <v>14.326400000000001</v>
      </c>
      <c r="E2091">
        <v>29.638800000000003</v>
      </c>
    </row>
    <row r="2092" spans="1:5">
      <c r="A2092" s="485">
        <v>423030754000</v>
      </c>
      <c r="B2092" t="s">
        <v>3534</v>
      </c>
      <c r="C2092">
        <v>0</v>
      </c>
      <c r="D2092">
        <v>0</v>
      </c>
      <c r="E2092">
        <v>0</v>
      </c>
    </row>
    <row r="2093" spans="1:5">
      <c r="A2093" s="485">
        <v>423030603900</v>
      </c>
      <c r="B2093" t="s">
        <v>3535</v>
      </c>
      <c r="C2093">
        <v>102.5457</v>
      </c>
      <c r="D2093">
        <v>32.055</v>
      </c>
      <c r="E2093">
        <v>134.60069999999999</v>
      </c>
    </row>
    <row r="2094" spans="1:5">
      <c r="A2094" s="485">
        <v>423030603800</v>
      </c>
      <c r="B2094" t="s">
        <v>3536</v>
      </c>
      <c r="C2094">
        <v>4.2889000000000008</v>
      </c>
      <c r="D2094">
        <v>0.74590000000000001</v>
      </c>
      <c r="E2094">
        <v>5.0348000000000006</v>
      </c>
    </row>
    <row r="2095" spans="1:5">
      <c r="A2095" s="485">
        <v>423030603800</v>
      </c>
      <c r="B2095" t="s">
        <v>3537</v>
      </c>
      <c r="C2095">
        <v>0</v>
      </c>
      <c r="D2095">
        <v>0</v>
      </c>
      <c r="E2095">
        <v>0</v>
      </c>
    </row>
    <row r="2096" spans="1:5">
      <c r="A2096" s="485">
        <v>423030603700</v>
      </c>
      <c r="B2096" t="s">
        <v>3538</v>
      </c>
      <c r="C2096">
        <v>2.4022000000000001</v>
      </c>
      <c r="D2096">
        <v>0.72720000000000007</v>
      </c>
      <c r="E2096">
        <v>3.1294000000000004</v>
      </c>
    </row>
    <row r="2097" spans="1:5">
      <c r="A2097" s="485">
        <v>423031183300</v>
      </c>
      <c r="B2097" t="s">
        <v>3539</v>
      </c>
      <c r="C2097">
        <v>0</v>
      </c>
      <c r="D2097">
        <v>0</v>
      </c>
      <c r="E2097">
        <v>0</v>
      </c>
    </row>
    <row r="2098" spans="1:5">
      <c r="A2098" s="485">
        <v>423030628300</v>
      </c>
      <c r="B2098" t="s">
        <v>3540</v>
      </c>
      <c r="C2098">
        <v>6.4270000000000014</v>
      </c>
      <c r="D2098">
        <v>6.902000000000001</v>
      </c>
      <c r="E2098">
        <v>13.329000000000002</v>
      </c>
    </row>
    <row r="2099" spans="1:5">
      <c r="A2099" s="485">
        <v>423030627800</v>
      </c>
      <c r="B2099" t="s">
        <v>3541</v>
      </c>
      <c r="C2099">
        <v>0</v>
      </c>
      <c r="D2099">
        <v>0</v>
      </c>
      <c r="E2099">
        <v>0</v>
      </c>
    </row>
    <row r="2100" spans="1:5">
      <c r="A2100" s="485">
        <v>423030627800</v>
      </c>
      <c r="B2100" t="s">
        <v>3542</v>
      </c>
      <c r="C2100">
        <v>0</v>
      </c>
      <c r="D2100">
        <v>0</v>
      </c>
      <c r="E2100">
        <v>0</v>
      </c>
    </row>
    <row r="2101" spans="1:5">
      <c r="A2101" s="485">
        <v>423030627800</v>
      </c>
      <c r="B2101" t="s">
        <v>3543</v>
      </c>
      <c r="C2101">
        <v>0</v>
      </c>
      <c r="D2101">
        <v>0</v>
      </c>
      <c r="E2101">
        <v>0</v>
      </c>
    </row>
    <row r="2102" spans="1:5">
      <c r="A2102" s="485">
        <v>423030627800</v>
      </c>
      <c r="B2102" t="s">
        <v>3544</v>
      </c>
      <c r="C2102">
        <v>0</v>
      </c>
      <c r="D2102">
        <v>0</v>
      </c>
      <c r="E2102">
        <v>0</v>
      </c>
    </row>
    <row r="2103" spans="1:5">
      <c r="A2103" s="485">
        <v>423030627800</v>
      </c>
      <c r="B2103" t="s">
        <v>3545</v>
      </c>
      <c r="C2103">
        <v>0</v>
      </c>
      <c r="D2103">
        <v>0</v>
      </c>
      <c r="E2103">
        <v>0</v>
      </c>
    </row>
    <row r="2104" spans="1:5">
      <c r="A2104" s="485">
        <v>423030627800</v>
      </c>
      <c r="B2104" t="s">
        <v>3546</v>
      </c>
      <c r="C2104">
        <v>0</v>
      </c>
      <c r="D2104">
        <v>0</v>
      </c>
      <c r="E2104">
        <v>0</v>
      </c>
    </row>
    <row r="2105" spans="1:5">
      <c r="A2105" s="485">
        <v>423030629200</v>
      </c>
      <c r="B2105" t="s">
        <v>3547</v>
      </c>
      <c r="C2105">
        <v>0</v>
      </c>
      <c r="D2105">
        <v>0</v>
      </c>
      <c r="E2105">
        <v>0</v>
      </c>
    </row>
    <row r="2106" spans="1:5">
      <c r="A2106" s="485">
        <v>423030627500</v>
      </c>
      <c r="B2106" t="s">
        <v>3548</v>
      </c>
      <c r="C2106">
        <v>40.046399999999998</v>
      </c>
      <c r="D2106">
        <v>14.145900000000001</v>
      </c>
      <c r="E2106">
        <v>54.192300000000003</v>
      </c>
    </row>
    <row r="2107" spans="1:5">
      <c r="A2107" s="485">
        <v>423030627500</v>
      </c>
      <c r="B2107" t="s">
        <v>3549</v>
      </c>
      <c r="C2107">
        <v>38.434800000000003</v>
      </c>
      <c r="D2107">
        <v>10.582000000000001</v>
      </c>
      <c r="E2107">
        <v>49.016800000000003</v>
      </c>
    </row>
    <row r="2108" spans="1:5">
      <c r="A2108" s="485">
        <v>423030629900</v>
      </c>
      <c r="B2108" t="s">
        <v>3550</v>
      </c>
      <c r="C2108">
        <v>38.144199999999991</v>
      </c>
      <c r="D2108">
        <v>0.495</v>
      </c>
      <c r="E2108">
        <v>38.639199999999988</v>
      </c>
    </row>
    <row r="2109" spans="1:5">
      <c r="A2109" s="485">
        <v>423030635000</v>
      </c>
      <c r="B2109">
        <v>2373572</v>
      </c>
      <c r="C2109">
        <v>70.560600000000008</v>
      </c>
      <c r="D2109">
        <v>16.478099999999998</v>
      </c>
      <c r="E2109">
        <v>87.038700000000006</v>
      </c>
    </row>
    <row r="2110" spans="1:5">
      <c r="A2110" s="485">
        <v>423030636600</v>
      </c>
      <c r="B2110" t="s">
        <v>3551</v>
      </c>
      <c r="C2110">
        <v>0</v>
      </c>
      <c r="D2110">
        <v>0</v>
      </c>
      <c r="E2110">
        <v>0</v>
      </c>
    </row>
    <row r="2111" spans="1:5">
      <c r="A2111" s="485">
        <v>423030622800</v>
      </c>
      <c r="B2111" t="s">
        <v>3552</v>
      </c>
      <c r="C2111">
        <v>0</v>
      </c>
      <c r="D2111">
        <v>0</v>
      </c>
      <c r="E2111">
        <v>0</v>
      </c>
    </row>
    <row r="2112" spans="1:5">
      <c r="A2112" s="485">
        <v>423030719600</v>
      </c>
      <c r="B2112" t="s">
        <v>3553</v>
      </c>
      <c r="C2112">
        <v>0</v>
      </c>
      <c r="D2112">
        <v>3.9784999999999995</v>
      </c>
      <c r="E2112">
        <v>3.9784999999999995</v>
      </c>
    </row>
    <row r="2113" spans="1:5">
      <c r="A2113" s="485">
        <v>423030626500</v>
      </c>
      <c r="B2113" t="s">
        <v>3554</v>
      </c>
      <c r="C2113">
        <v>0</v>
      </c>
      <c r="D2113">
        <v>0</v>
      </c>
      <c r="E2113">
        <v>0</v>
      </c>
    </row>
    <row r="2114" spans="1:5">
      <c r="A2114" s="485">
        <v>423030639900</v>
      </c>
      <c r="B2114" t="s">
        <v>3555</v>
      </c>
      <c r="C2114">
        <v>5938.3478000000005</v>
      </c>
      <c r="D2114">
        <v>63.927999999999997</v>
      </c>
      <c r="E2114">
        <v>6002.2758000000003</v>
      </c>
    </row>
    <row r="2115" spans="1:5">
      <c r="A2115" s="485">
        <v>423030639600</v>
      </c>
      <c r="B2115" t="s">
        <v>3556</v>
      </c>
      <c r="C2115">
        <v>0</v>
      </c>
      <c r="D2115">
        <v>0</v>
      </c>
      <c r="E2115">
        <v>0</v>
      </c>
    </row>
    <row r="2116" spans="1:5">
      <c r="A2116" s="485">
        <v>423030789600</v>
      </c>
      <c r="B2116" t="s">
        <v>3557</v>
      </c>
      <c r="C2116">
        <v>1.5745999999999998</v>
      </c>
      <c r="D2116">
        <v>2.1917</v>
      </c>
      <c r="E2116">
        <v>3.7662999999999998</v>
      </c>
    </row>
    <row r="2117" spans="1:5">
      <c r="A2117" s="485">
        <v>423030626100</v>
      </c>
      <c r="B2117" t="s">
        <v>3558</v>
      </c>
      <c r="C2117">
        <v>0</v>
      </c>
      <c r="D2117">
        <v>0</v>
      </c>
      <c r="E2117">
        <v>0</v>
      </c>
    </row>
    <row r="2118" spans="1:5">
      <c r="A2118" s="485">
        <v>423030638600</v>
      </c>
      <c r="B2118" t="s">
        <v>3559</v>
      </c>
      <c r="C2118">
        <v>0</v>
      </c>
      <c r="D2118">
        <v>0</v>
      </c>
      <c r="E2118">
        <v>0</v>
      </c>
    </row>
    <row r="2119" spans="1:5">
      <c r="A2119" s="485">
        <v>423030773600</v>
      </c>
      <c r="B2119" t="s">
        <v>3560</v>
      </c>
      <c r="C2119">
        <v>11.9999</v>
      </c>
      <c r="D2119">
        <v>11.129999999999999</v>
      </c>
      <c r="E2119">
        <v>23.129899999999999</v>
      </c>
    </row>
    <row r="2120" spans="1:5">
      <c r="A2120" s="485">
        <v>423030773600</v>
      </c>
      <c r="B2120" t="s">
        <v>3561</v>
      </c>
      <c r="C2120">
        <v>0</v>
      </c>
      <c r="D2120">
        <v>0</v>
      </c>
      <c r="E2120">
        <v>0</v>
      </c>
    </row>
    <row r="2121" spans="1:5">
      <c r="A2121" s="485">
        <v>423030773900</v>
      </c>
      <c r="B2121" t="s">
        <v>3562</v>
      </c>
      <c r="C2121">
        <v>100.09690000000001</v>
      </c>
      <c r="D2121">
        <v>65.751400000000004</v>
      </c>
      <c r="E2121">
        <v>165.84829999999999</v>
      </c>
    </row>
    <row r="2122" spans="1:5">
      <c r="A2122" s="485">
        <v>423030786900</v>
      </c>
      <c r="B2122" t="s">
        <v>3563</v>
      </c>
      <c r="C2122">
        <v>1946</v>
      </c>
      <c r="D2122">
        <v>6769.2763999999997</v>
      </c>
      <c r="E2122">
        <v>8715.2763999999988</v>
      </c>
    </row>
    <row r="2123" spans="1:5">
      <c r="A2123" s="485">
        <v>423030786900</v>
      </c>
      <c r="B2123" t="s">
        <v>3564</v>
      </c>
      <c r="C2123">
        <v>0</v>
      </c>
      <c r="D2123">
        <v>435.77349999999996</v>
      </c>
      <c r="E2123">
        <v>435.77349999999996</v>
      </c>
    </row>
    <row r="2124" spans="1:5">
      <c r="A2124" s="485">
        <v>423030747300</v>
      </c>
      <c r="B2124" t="s">
        <v>3565</v>
      </c>
      <c r="C2124">
        <v>11.000100000000002</v>
      </c>
      <c r="D2124">
        <v>10.961999999999998</v>
      </c>
      <c r="E2124">
        <v>21.9621</v>
      </c>
    </row>
    <row r="2125" spans="1:5">
      <c r="A2125" s="485">
        <v>423030775100</v>
      </c>
      <c r="B2125" t="s">
        <v>3566</v>
      </c>
      <c r="C2125">
        <v>7.5715000000000003</v>
      </c>
      <c r="D2125">
        <v>1.7142999999999999</v>
      </c>
      <c r="E2125">
        <v>9.2858000000000001</v>
      </c>
    </row>
    <row r="2126" spans="1:5">
      <c r="A2126" s="485">
        <v>423030633500</v>
      </c>
      <c r="B2126" t="s">
        <v>3567</v>
      </c>
      <c r="C2126">
        <v>0</v>
      </c>
      <c r="D2126">
        <v>0</v>
      </c>
      <c r="E2126">
        <v>0</v>
      </c>
    </row>
    <row r="2127" spans="1:5">
      <c r="A2127" s="485">
        <v>423030633500</v>
      </c>
      <c r="B2127" t="s">
        <v>3568</v>
      </c>
      <c r="C2127">
        <v>0</v>
      </c>
      <c r="D2127">
        <v>0</v>
      </c>
      <c r="E2127">
        <v>0</v>
      </c>
    </row>
    <row r="2128" spans="1:5">
      <c r="A2128" s="485">
        <v>423030633500</v>
      </c>
      <c r="B2128" t="s">
        <v>3569</v>
      </c>
      <c r="C2128">
        <v>0</v>
      </c>
      <c r="D2128">
        <v>0</v>
      </c>
      <c r="E2128">
        <v>0</v>
      </c>
    </row>
    <row r="2129" spans="1:5">
      <c r="A2129" s="485">
        <v>423030633500</v>
      </c>
      <c r="B2129" t="s">
        <v>3570</v>
      </c>
      <c r="C2129">
        <v>0</v>
      </c>
      <c r="D2129">
        <v>0</v>
      </c>
      <c r="E2129">
        <v>0</v>
      </c>
    </row>
    <row r="2130" spans="1:5">
      <c r="A2130" s="485">
        <v>423030633500</v>
      </c>
      <c r="B2130" t="s">
        <v>3571</v>
      </c>
      <c r="C2130">
        <v>0</v>
      </c>
      <c r="D2130">
        <v>0</v>
      </c>
      <c r="E2130">
        <v>0</v>
      </c>
    </row>
    <row r="2131" spans="1:5">
      <c r="A2131" s="485">
        <v>423030633500</v>
      </c>
      <c r="B2131" t="s">
        <v>3572</v>
      </c>
      <c r="C2131">
        <v>0</v>
      </c>
      <c r="D2131">
        <v>0</v>
      </c>
      <c r="E2131">
        <v>0</v>
      </c>
    </row>
    <row r="2132" spans="1:5">
      <c r="A2132" s="485">
        <v>423031188900</v>
      </c>
      <c r="B2132" t="s">
        <v>3573</v>
      </c>
      <c r="C2132">
        <v>0</v>
      </c>
      <c r="D2132">
        <v>0</v>
      </c>
      <c r="E2132">
        <v>0</v>
      </c>
    </row>
    <row r="2133" spans="1:5">
      <c r="A2133" s="485">
        <v>423031188900</v>
      </c>
      <c r="B2133" t="s">
        <v>3574</v>
      </c>
      <c r="C2133">
        <v>0</v>
      </c>
      <c r="D2133">
        <v>0</v>
      </c>
      <c r="E2133">
        <v>0</v>
      </c>
    </row>
    <row r="2134" spans="1:5">
      <c r="A2134" s="485">
        <v>423031188900</v>
      </c>
      <c r="B2134" t="s">
        <v>3575</v>
      </c>
      <c r="C2134">
        <v>0</v>
      </c>
      <c r="D2134">
        <v>0</v>
      </c>
      <c r="E2134">
        <v>0</v>
      </c>
    </row>
    <row r="2135" spans="1:5">
      <c r="A2135" s="485">
        <v>423031188900</v>
      </c>
      <c r="B2135" t="s">
        <v>3576</v>
      </c>
      <c r="C2135">
        <v>0</v>
      </c>
      <c r="D2135">
        <v>0</v>
      </c>
      <c r="E2135">
        <v>0</v>
      </c>
    </row>
    <row r="2136" spans="1:5">
      <c r="A2136" s="485">
        <v>423031188900</v>
      </c>
      <c r="B2136" t="s">
        <v>3577</v>
      </c>
      <c r="C2136">
        <v>0</v>
      </c>
      <c r="D2136">
        <v>0</v>
      </c>
      <c r="E2136">
        <v>0</v>
      </c>
    </row>
    <row r="2137" spans="1:5">
      <c r="A2137" s="485">
        <v>423031188900</v>
      </c>
      <c r="B2137" t="s">
        <v>3578</v>
      </c>
      <c r="C2137">
        <v>0</v>
      </c>
      <c r="D2137">
        <v>0</v>
      </c>
      <c r="E2137">
        <v>0</v>
      </c>
    </row>
    <row r="2138" spans="1:5">
      <c r="A2138" s="485">
        <v>423030634200</v>
      </c>
      <c r="B2138" t="s">
        <v>3579</v>
      </c>
      <c r="C2138">
        <v>3.5063999999999997</v>
      </c>
      <c r="D2138">
        <v>0.41630000000000006</v>
      </c>
      <c r="E2138">
        <v>3.9226999999999999</v>
      </c>
    </row>
    <row r="2139" spans="1:5">
      <c r="A2139" s="485">
        <v>423030639700</v>
      </c>
      <c r="B2139" t="s">
        <v>3580</v>
      </c>
      <c r="C2139">
        <v>0</v>
      </c>
      <c r="D2139">
        <v>0</v>
      </c>
      <c r="E2139">
        <v>0</v>
      </c>
    </row>
    <row r="2140" spans="1:5">
      <c r="A2140" s="485">
        <v>423030662500</v>
      </c>
      <c r="B2140" t="s">
        <v>3581</v>
      </c>
      <c r="C2140">
        <v>70.451700000000002</v>
      </c>
      <c r="D2140">
        <v>30.155999999999999</v>
      </c>
      <c r="E2140">
        <v>100.60769999999999</v>
      </c>
    </row>
    <row r="2141" spans="1:5">
      <c r="A2141" s="485">
        <v>423030661200</v>
      </c>
      <c r="B2141" t="s">
        <v>3582</v>
      </c>
      <c r="C2141">
        <v>0</v>
      </c>
      <c r="D2141">
        <v>0</v>
      </c>
      <c r="E2141">
        <v>0</v>
      </c>
    </row>
    <row r="2142" spans="1:5">
      <c r="A2142" s="485">
        <v>423030712100</v>
      </c>
      <c r="B2142" t="s">
        <v>3583</v>
      </c>
      <c r="C2142">
        <v>0</v>
      </c>
      <c r="D2142">
        <v>0</v>
      </c>
      <c r="E2142">
        <v>0</v>
      </c>
    </row>
    <row r="2143" spans="1:5">
      <c r="A2143" s="485">
        <v>423030661300</v>
      </c>
      <c r="B2143" t="s">
        <v>3584</v>
      </c>
      <c r="C2143">
        <v>0</v>
      </c>
      <c r="D2143">
        <v>0</v>
      </c>
      <c r="E2143">
        <v>0</v>
      </c>
    </row>
    <row r="2144" spans="1:5">
      <c r="A2144" s="485">
        <v>423030661300</v>
      </c>
      <c r="B2144" t="s">
        <v>3585</v>
      </c>
      <c r="C2144">
        <v>0</v>
      </c>
      <c r="D2144">
        <v>0</v>
      </c>
      <c r="E2144">
        <v>0</v>
      </c>
    </row>
    <row r="2145" spans="1:5">
      <c r="A2145" s="485">
        <v>423030661300</v>
      </c>
      <c r="B2145" t="s">
        <v>3586</v>
      </c>
      <c r="C2145">
        <v>0</v>
      </c>
      <c r="D2145">
        <v>0</v>
      </c>
      <c r="E2145">
        <v>0</v>
      </c>
    </row>
    <row r="2146" spans="1:5">
      <c r="A2146" s="485">
        <v>423030661300</v>
      </c>
      <c r="B2146" t="s">
        <v>3587</v>
      </c>
      <c r="C2146">
        <v>0</v>
      </c>
      <c r="D2146">
        <v>0</v>
      </c>
      <c r="E2146">
        <v>0</v>
      </c>
    </row>
    <row r="2147" spans="1:5">
      <c r="A2147" s="485">
        <v>423030661300</v>
      </c>
      <c r="B2147" t="s">
        <v>3588</v>
      </c>
      <c r="C2147">
        <v>0</v>
      </c>
      <c r="D2147">
        <v>0</v>
      </c>
      <c r="E2147">
        <v>0</v>
      </c>
    </row>
    <row r="2148" spans="1:5">
      <c r="A2148" s="485">
        <v>423030661300</v>
      </c>
      <c r="B2148" t="s">
        <v>3589</v>
      </c>
      <c r="C2148">
        <v>0</v>
      </c>
      <c r="D2148">
        <v>0</v>
      </c>
      <c r="E2148">
        <v>0</v>
      </c>
    </row>
    <row r="2149" spans="1:5">
      <c r="A2149" s="485">
        <v>423030661300</v>
      </c>
      <c r="B2149" t="s">
        <v>3590</v>
      </c>
      <c r="C2149">
        <v>0</v>
      </c>
      <c r="D2149">
        <v>0</v>
      </c>
      <c r="E2149">
        <v>0</v>
      </c>
    </row>
    <row r="2150" spans="1:5">
      <c r="A2150" s="485">
        <v>423030657800</v>
      </c>
      <c r="B2150" t="s">
        <v>3591</v>
      </c>
      <c r="C2150">
        <v>10.3809</v>
      </c>
      <c r="D2150">
        <v>0.52489999999999992</v>
      </c>
      <c r="E2150">
        <v>10.905800000000001</v>
      </c>
    </row>
    <row r="2151" spans="1:5">
      <c r="A2151" s="485">
        <v>423030662700</v>
      </c>
      <c r="B2151" t="s">
        <v>3592</v>
      </c>
      <c r="C2151">
        <v>0</v>
      </c>
      <c r="D2151">
        <v>0</v>
      </c>
      <c r="E2151">
        <v>0</v>
      </c>
    </row>
    <row r="2152" spans="1:5">
      <c r="A2152" s="485">
        <v>423030661500</v>
      </c>
      <c r="B2152" t="s">
        <v>3593</v>
      </c>
      <c r="C2152">
        <v>18.681399999999996</v>
      </c>
      <c r="D2152">
        <v>2.9028999999999998</v>
      </c>
      <c r="E2152">
        <v>21.584299999999995</v>
      </c>
    </row>
    <row r="2153" spans="1:5">
      <c r="A2153" s="485">
        <v>423030782800</v>
      </c>
      <c r="B2153" t="s">
        <v>3594</v>
      </c>
      <c r="C2153">
        <v>34.8889</v>
      </c>
      <c r="D2153">
        <v>13.5207</v>
      </c>
      <c r="E2153">
        <v>48.409599999999998</v>
      </c>
    </row>
    <row r="2154" spans="1:5">
      <c r="A2154" s="485">
        <v>423030662900</v>
      </c>
      <c r="B2154" t="s">
        <v>3595</v>
      </c>
      <c r="C2154">
        <v>0</v>
      </c>
      <c r="D2154">
        <v>0</v>
      </c>
      <c r="E2154">
        <v>0</v>
      </c>
    </row>
    <row r="2155" spans="1:5">
      <c r="A2155" s="485">
        <v>423030931400</v>
      </c>
      <c r="B2155" t="s">
        <v>3596</v>
      </c>
      <c r="C2155">
        <v>0</v>
      </c>
      <c r="D2155">
        <v>0</v>
      </c>
      <c r="E2155">
        <v>0</v>
      </c>
    </row>
    <row r="2156" spans="1:5">
      <c r="A2156" s="485">
        <v>423030642500</v>
      </c>
      <c r="B2156" t="s">
        <v>3597</v>
      </c>
      <c r="C2156">
        <v>191.6414</v>
      </c>
      <c r="D2156">
        <v>100.4325</v>
      </c>
      <c r="E2156">
        <v>292.07389999999998</v>
      </c>
    </row>
    <row r="2157" spans="1:5">
      <c r="A2157" s="485">
        <v>423030663100</v>
      </c>
      <c r="B2157" t="s">
        <v>3598</v>
      </c>
      <c r="C2157">
        <v>103.04340000000001</v>
      </c>
      <c r="D2157">
        <v>112.268</v>
      </c>
      <c r="E2157">
        <v>215.31139999999999</v>
      </c>
    </row>
    <row r="2158" spans="1:5">
      <c r="A2158" s="485">
        <v>423031214000</v>
      </c>
      <c r="B2158" t="s">
        <v>3599</v>
      </c>
      <c r="C2158">
        <v>1.5725</v>
      </c>
      <c r="D2158">
        <v>0.90089999999999992</v>
      </c>
      <c r="E2158">
        <v>2.4733999999999998</v>
      </c>
    </row>
    <row r="2159" spans="1:5">
      <c r="A2159" s="485">
        <v>423030660800</v>
      </c>
      <c r="B2159" t="s">
        <v>3600</v>
      </c>
      <c r="C2159">
        <v>74.250100000000003</v>
      </c>
      <c r="D2159">
        <v>58.3628</v>
      </c>
      <c r="E2159">
        <v>132.6129</v>
      </c>
    </row>
    <row r="2160" spans="1:5">
      <c r="A2160" s="485">
        <v>423030658400</v>
      </c>
      <c r="B2160" t="s">
        <v>3601</v>
      </c>
      <c r="C2160">
        <v>2.25</v>
      </c>
      <c r="D2160">
        <v>0.46500000000000008</v>
      </c>
      <c r="E2160">
        <v>2.7149999999999999</v>
      </c>
    </row>
    <row r="2161" spans="1:5">
      <c r="A2161" s="485">
        <v>423030649300</v>
      </c>
      <c r="B2161" t="s">
        <v>3602</v>
      </c>
      <c r="C2161">
        <v>0</v>
      </c>
      <c r="D2161">
        <v>0</v>
      </c>
      <c r="E2161">
        <v>0</v>
      </c>
    </row>
    <row r="2162" spans="1:5">
      <c r="A2162" s="485">
        <v>423030660500</v>
      </c>
      <c r="B2162" t="s">
        <v>3603</v>
      </c>
      <c r="C2162">
        <v>17.678099999999997</v>
      </c>
      <c r="D2162">
        <v>1.8109</v>
      </c>
      <c r="E2162">
        <v>19.488999999999997</v>
      </c>
    </row>
    <row r="2163" spans="1:5">
      <c r="A2163" s="485">
        <v>423030646400</v>
      </c>
      <c r="B2163" t="s">
        <v>3604</v>
      </c>
      <c r="C2163">
        <v>151.38199999999998</v>
      </c>
      <c r="D2163">
        <v>52.472200000000001</v>
      </c>
      <c r="E2163">
        <v>203.85419999999999</v>
      </c>
    </row>
    <row r="2164" spans="1:5">
      <c r="A2164" s="485">
        <v>423030659900</v>
      </c>
      <c r="B2164" t="s">
        <v>3605</v>
      </c>
      <c r="C2164">
        <v>0</v>
      </c>
      <c r="D2164">
        <v>8.9060000000000006</v>
      </c>
      <c r="E2164">
        <v>8.9060000000000006</v>
      </c>
    </row>
    <row r="2165" spans="1:5">
      <c r="A2165" s="485">
        <v>423030668000</v>
      </c>
      <c r="B2165" t="s">
        <v>3606</v>
      </c>
      <c r="C2165">
        <v>3.5115000000000003</v>
      </c>
      <c r="D2165">
        <v>0.50019999999999998</v>
      </c>
      <c r="E2165">
        <v>4.0117000000000003</v>
      </c>
    </row>
    <row r="2166" spans="1:5">
      <c r="A2166" s="485">
        <v>423030659300</v>
      </c>
      <c r="B2166" t="s">
        <v>3607</v>
      </c>
      <c r="C2166">
        <v>31.606600000000004</v>
      </c>
      <c r="D2166">
        <v>1.6500000000000001</v>
      </c>
      <c r="E2166">
        <v>33.256600000000006</v>
      </c>
    </row>
    <row r="2167" spans="1:5">
      <c r="A2167" s="485">
        <v>423030659300</v>
      </c>
      <c r="B2167" t="s">
        <v>3608</v>
      </c>
      <c r="C2167">
        <v>0</v>
      </c>
      <c r="D2167">
        <v>0</v>
      </c>
      <c r="E2167">
        <v>0</v>
      </c>
    </row>
    <row r="2168" spans="1:5">
      <c r="A2168" s="485">
        <v>423030647200</v>
      </c>
      <c r="B2168" t="s">
        <v>3609</v>
      </c>
      <c r="C2168">
        <v>5.1955999999999998</v>
      </c>
      <c r="D2168">
        <v>0.91500000000000004</v>
      </c>
      <c r="E2168">
        <v>6.1105999999999998</v>
      </c>
    </row>
    <row r="2169" spans="1:5">
      <c r="A2169" s="485">
        <v>423030646900</v>
      </c>
      <c r="B2169" t="s">
        <v>3610</v>
      </c>
      <c r="C2169">
        <v>36.644400000000005</v>
      </c>
      <c r="D2169">
        <v>10.575000000000001</v>
      </c>
      <c r="E2169">
        <v>47.219400000000007</v>
      </c>
    </row>
    <row r="2170" spans="1:5">
      <c r="A2170" s="485">
        <v>423030660600</v>
      </c>
      <c r="B2170" t="s">
        <v>3611</v>
      </c>
      <c r="C2170">
        <v>52.222200000000001</v>
      </c>
      <c r="D2170">
        <v>19.965</v>
      </c>
      <c r="E2170">
        <v>72.187200000000004</v>
      </c>
    </row>
    <row r="2171" spans="1:5">
      <c r="A2171" s="485">
        <v>423030793200</v>
      </c>
      <c r="B2171" t="s">
        <v>3612</v>
      </c>
      <c r="C2171">
        <v>3.3250000000000002</v>
      </c>
      <c r="D2171">
        <v>1.7324999999999999</v>
      </c>
      <c r="E2171">
        <v>5.0575000000000001</v>
      </c>
    </row>
    <row r="2172" spans="1:5">
      <c r="A2172" s="485">
        <v>423030659600</v>
      </c>
      <c r="B2172" t="s">
        <v>3613</v>
      </c>
      <c r="C2172">
        <v>0</v>
      </c>
      <c r="D2172">
        <v>0</v>
      </c>
      <c r="E2172">
        <v>0</v>
      </c>
    </row>
    <row r="2173" spans="1:5">
      <c r="A2173" s="485">
        <v>423030659200</v>
      </c>
      <c r="B2173" t="s">
        <v>3614</v>
      </c>
      <c r="C2173">
        <v>20.228499999999997</v>
      </c>
      <c r="D2173">
        <v>1.2152000000000001</v>
      </c>
      <c r="E2173">
        <v>21.443699999999996</v>
      </c>
    </row>
    <row r="2174" spans="1:5">
      <c r="A2174" s="485">
        <v>423030658900</v>
      </c>
      <c r="B2174" t="s">
        <v>3615</v>
      </c>
      <c r="C2174">
        <v>0</v>
      </c>
      <c r="D2174">
        <v>0</v>
      </c>
      <c r="E2174">
        <v>0</v>
      </c>
    </row>
    <row r="2175" spans="1:5">
      <c r="A2175" s="485">
        <v>423030795200</v>
      </c>
      <c r="B2175" t="s">
        <v>3616</v>
      </c>
      <c r="C2175">
        <v>0</v>
      </c>
      <c r="D2175">
        <v>0</v>
      </c>
      <c r="E2175">
        <v>0</v>
      </c>
    </row>
    <row r="2176" spans="1:5">
      <c r="A2176" s="485">
        <v>423030795200</v>
      </c>
      <c r="B2176" t="s">
        <v>3617</v>
      </c>
      <c r="C2176">
        <v>190.70009999999996</v>
      </c>
      <c r="D2176">
        <v>24.875500000000002</v>
      </c>
      <c r="E2176">
        <v>215.57559999999995</v>
      </c>
    </row>
    <row r="2177" spans="1:5">
      <c r="A2177" s="485">
        <v>423030795200</v>
      </c>
      <c r="B2177" t="s">
        <v>3618</v>
      </c>
      <c r="C2177">
        <v>190.70009999999996</v>
      </c>
      <c r="D2177">
        <v>24.875500000000002</v>
      </c>
      <c r="E2177">
        <v>215.57559999999995</v>
      </c>
    </row>
    <row r="2178" spans="1:5">
      <c r="A2178" s="485">
        <v>423031184700</v>
      </c>
      <c r="B2178" t="s">
        <v>3619</v>
      </c>
      <c r="C2178">
        <v>292.70769999999999</v>
      </c>
      <c r="D2178">
        <v>61.152000000000001</v>
      </c>
      <c r="E2178">
        <v>353.85969999999998</v>
      </c>
    </row>
    <row r="2179" spans="1:5">
      <c r="A2179" s="485">
        <v>423030648600</v>
      </c>
      <c r="B2179" t="s">
        <v>3620</v>
      </c>
      <c r="C2179">
        <v>0</v>
      </c>
      <c r="D2179">
        <v>0</v>
      </c>
      <c r="E2179">
        <v>0</v>
      </c>
    </row>
    <row r="2180" spans="1:5">
      <c r="A2180" s="485">
        <v>423030648600</v>
      </c>
      <c r="B2180" t="s">
        <v>3621</v>
      </c>
      <c r="C2180">
        <v>0</v>
      </c>
      <c r="D2180">
        <v>0</v>
      </c>
      <c r="E2180">
        <v>0</v>
      </c>
    </row>
    <row r="2181" spans="1:5">
      <c r="A2181" s="485">
        <v>423030648600</v>
      </c>
      <c r="B2181" t="s">
        <v>3622</v>
      </c>
      <c r="C2181">
        <v>0</v>
      </c>
      <c r="D2181">
        <v>0</v>
      </c>
      <c r="E2181">
        <v>0</v>
      </c>
    </row>
    <row r="2182" spans="1:5">
      <c r="A2182" s="485">
        <v>423030647900</v>
      </c>
      <c r="B2182" t="s">
        <v>3623</v>
      </c>
      <c r="C2182">
        <v>0</v>
      </c>
      <c r="D2182">
        <v>0</v>
      </c>
      <c r="E2182">
        <v>0</v>
      </c>
    </row>
    <row r="2183" spans="1:5">
      <c r="A2183" s="485">
        <v>423032137400</v>
      </c>
      <c r="B2183" t="s">
        <v>3624</v>
      </c>
      <c r="C2183">
        <v>0</v>
      </c>
      <c r="D2183">
        <v>0</v>
      </c>
      <c r="E2183">
        <v>0</v>
      </c>
    </row>
    <row r="2184" spans="1:5">
      <c r="A2184" s="485">
        <v>423030666100</v>
      </c>
      <c r="B2184" t="s">
        <v>3625</v>
      </c>
      <c r="C2184">
        <v>135.04480000000001</v>
      </c>
      <c r="D2184">
        <v>45.435000000000002</v>
      </c>
      <c r="E2184">
        <v>180.47980000000001</v>
      </c>
    </row>
    <row r="2185" spans="1:5">
      <c r="A2185" s="485">
        <v>423030664100</v>
      </c>
      <c r="B2185" t="s">
        <v>3626</v>
      </c>
      <c r="C2185">
        <v>0</v>
      </c>
      <c r="D2185">
        <v>162.68049999999999</v>
      </c>
      <c r="E2185">
        <v>162.68049999999999</v>
      </c>
    </row>
    <row r="2186" spans="1:5">
      <c r="A2186" s="485">
        <v>423030664100</v>
      </c>
      <c r="B2186" t="s">
        <v>3627</v>
      </c>
      <c r="C2186">
        <v>11.146000000000001</v>
      </c>
      <c r="D2186">
        <v>7.05</v>
      </c>
      <c r="E2186">
        <v>18.196000000000002</v>
      </c>
    </row>
    <row r="2187" spans="1:5">
      <c r="A2187" s="485">
        <v>423030663400</v>
      </c>
      <c r="B2187" t="s">
        <v>3628</v>
      </c>
      <c r="C2187">
        <v>19.255800000000001</v>
      </c>
      <c r="D2187">
        <v>0.46360000000000001</v>
      </c>
      <c r="E2187">
        <v>19.7194</v>
      </c>
    </row>
    <row r="2188" spans="1:5">
      <c r="A2188" s="485">
        <v>423030664500</v>
      </c>
      <c r="B2188" t="s">
        <v>3629</v>
      </c>
      <c r="C2188">
        <v>1.7144000000000001</v>
      </c>
      <c r="D2188">
        <v>2.2761999999999998</v>
      </c>
      <c r="E2188">
        <v>3.9905999999999997</v>
      </c>
    </row>
    <row r="2189" spans="1:5">
      <c r="A2189" s="485">
        <v>423030667700</v>
      </c>
      <c r="B2189">
        <v>121019371103</v>
      </c>
      <c r="C2189">
        <v>0</v>
      </c>
      <c r="D2189">
        <v>0</v>
      </c>
      <c r="E2189">
        <v>0</v>
      </c>
    </row>
    <row r="2190" spans="1:5">
      <c r="A2190" s="485">
        <v>423030667700</v>
      </c>
      <c r="B2190" t="s">
        <v>3630</v>
      </c>
      <c r="C2190">
        <v>3.9443999999999999</v>
      </c>
      <c r="D2190">
        <v>4.7532000000000005</v>
      </c>
      <c r="E2190">
        <v>8.6976000000000013</v>
      </c>
    </row>
    <row r="2191" spans="1:5">
      <c r="A2191" s="485">
        <v>423030667200</v>
      </c>
      <c r="B2191" t="s">
        <v>3631</v>
      </c>
      <c r="C2191">
        <v>62.499899999999997</v>
      </c>
      <c r="D2191">
        <v>49.6449</v>
      </c>
      <c r="E2191">
        <v>112.1448</v>
      </c>
    </row>
    <row r="2192" spans="1:5">
      <c r="A2192" s="485">
        <v>423030666600</v>
      </c>
      <c r="B2192" t="s">
        <v>3632</v>
      </c>
      <c r="C2192">
        <v>0</v>
      </c>
      <c r="D2192">
        <v>0</v>
      </c>
      <c r="E2192">
        <v>0</v>
      </c>
    </row>
    <row r="2193" spans="1:5">
      <c r="A2193" s="485">
        <v>423030666600</v>
      </c>
      <c r="B2193" t="s">
        <v>3633</v>
      </c>
      <c r="C2193">
        <v>0</v>
      </c>
      <c r="D2193">
        <v>0</v>
      </c>
      <c r="E2193">
        <v>0</v>
      </c>
    </row>
    <row r="2194" spans="1:5">
      <c r="A2194" s="485">
        <v>423030666600</v>
      </c>
      <c r="B2194" t="s">
        <v>3634</v>
      </c>
      <c r="C2194">
        <v>0</v>
      </c>
      <c r="D2194">
        <v>0</v>
      </c>
      <c r="E2194">
        <v>0</v>
      </c>
    </row>
    <row r="2195" spans="1:5">
      <c r="A2195" s="485">
        <v>423030666600</v>
      </c>
      <c r="B2195" t="s">
        <v>3635</v>
      </c>
      <c r="C2195">
        <v>0</v>
      </c>
      <c r="D2195">
        <v>0</v>
      </c>
      <c r="E2195">
        <v>0</v>
      </c>
    </row>
    <row r="2196" spans="1:5">
      <c r="A2196" s="485">
        <v>423030666600</v>
      </c>
      <c r="B2196" t="s">
        <v>3636</v>
      </c>
      <c r="C2196">
        <v>0</v>
      </c>
      <c r="D2196">
        <v>0</v>
      </c>
      <c r="E2196">
        <v>0</v>
      </c>
    </row>
    <row r="2197" spans="1:5">
      <c r="A2197" s="485">
        <v>423030666600</v>
      </c>
      <c r="B2197" t="s">
        <v>3637</v>
      </c>
      <c r="C2197">
        <v>0</v>
      </c>
      <c r="D2197">
        <v>0</v>
      </c>
      <c r="E2197">
        <v>0</v>
      </c>
    </row>
    <row r="2198" spans="1:5">
      <c r="A2198" s="485">
        <v>423030666600</v>
      </c>
      <c r="B2198" t="s">
        <v>3638</v>
      </c>
      <c r="C2198">
        <v>0</v>
      </c>
      <c r="D2198">
        <v>0</v>
      </c>
      <c r="E2198">
        <v>0</v>
      </c>
    </row>
    <row r="2199" spans="1:5">
      <c r="A2199" s="485">
        <v>423030659000</v>
      </c>
      <c r="B2199" t="s">
        <v>3639</v>
      </c>
      <c r="C2199">
        <v>1.9999</v>
      </c>
      <c r="D2199">
        <v>1.7024000000000001</v>
      </c>
      <c r="E2199">
        <v>3.7023000000000001</v>
      </c>
    </row>
    <row r="2200" spans="1:5">
      <c r="A2200" s="485">
        <v>423030667100</v>
      </c>
      <c r="B2200" t="s">
        <v>3640</v>
      </c>
      <c r="C2200">
        <v>8.1032999999999991</v>
      </c>
      <c r="D2200">
        <v>6.4065999999999992</v>
      </c>
      <c r="E2200">
        <v>14.509899999999998</v>
      </c>
    </row>
    <row r="2201" spans="1:5">
      <c r="A2201" s="485">
        <v>423030717700</v>
      </c>
      <c r="B2201" t="s">
        <v>3641</v>
      </c>
      <c r="C2201">
        <v>0.99990000000000001</v>
      </c>
      <c r="D2201">
        <v>1.6536000000000004</v>
      </c>
      <c r="E2201">
        <v>2.6535000000000002</v>
      </c>
    </row>
    <row r="2202" spans="1:5">
      <c r="A2202" s="485">
        <v>423030664400</v>
      </c>
      <c r="B2202" t="s">
        <v>3642</v>
      </c>
      <c r="C2202">
        <v>0</v>
      </c>
      <c r="D2202">
        <v>0</v>
      </c>
      <c r="E2202">
        <v>0</v>
      </c>
    </row>
    <row r="2203" spans="1:5">
      <c r="A2203" s="485">
        <v>423030662000</v>
      </c>
      <c r="B2203">
        <v>10704301</v>
      </c>
      <c r="C2203">
        <v>0</v>
      </c>
      <c r="D2203">
        <v>11.972</v>
      </c>
      <c r="E2203">
        <v>11.972</v>
      </c>
    </row>
    <row r="2204" spans="1:5">
      <c r="A2204" s="485">
        <v>423030664200</v>
      </c>
      <c r="B2204" t="s">
        <v>3643</v>
      </c>
      <c r="C2204">
        <v>369</v>
      </c>
      <c r="D2204">
        <v>434.34939999999995</v>
      </c>
      <c r="E2204">
        <v>803.34939999999995</v>
      </c>
    </row>
    <row r="2205" spans="1:5">
      <c r="A2205" s="485">
        <v>423030730800</v>
      </c>
      <c r="B2205" t="s">
        <v>3644</v>
      </c>
      <c r="C2205">
        <v>116.99999999999999</v>
      </c>
      <c r="D2205">
        <v>280.80599999999998</v>
      </c>
      <c r="E2205">
        <v>397.80599999999998</v>
      </c>
    </row>
    <row r="2206" spans="1:5">
      <c r="A2206" s="485">
        <v>423030730800</v>
      </c>
      <c r="B2206" t="s">
        <v>3645</v>
      </c>
      <c r="C2206">
        <v>1</v>
      </c>
      <c r="D2206">
        <v>3.1104000000000003</v>
      </c>
      <c r="E2206">
        <v>4.1104000000000003</v>
      </c>
    </row>
    <row r="2207" spans="1:5">
      <c r="A2207" s="485">
        <v>423031346000</v>
      </c>
      <c r="B2207" t="s">
        <v>3646</v>
      </c>
      <c r="C2207">
        <v>0</v>
      </c>
      <c r="D2207">
        <v>0</v>
      </c>
      <c r="E2207">
        <v>0</v>
      </c>
    </row>
    <row r="2208" spans="1:5">
      <c r="A2208" s="485">
        <v>423031346000</v>
      </c>
      <c r="B2208" t="s">
        <v>3647</v>
      </c>
      <c r="C2208">
        <v>1.9132000000000002</v>
      </c>
      <c r="D2208">
        <v>1.621</v>
      </c>
      <c r="E2208">
        <v>3.5342000000000002</v>
      </c>
    </row>
    <row r="2209" spans="1:5">
      <c r="A2209" s="485">
        <v>423030730300</v>
      </c>
      <c r="B2209" t="s">
        <v>3648</v>
      </c>
      <c r="C2209">
        <v>0</v>
      </c>
      <c r="D2209">
        <v>0</v>
      </c>
      <c r="E2209">
        <v>0</v>
      </c>
    </row>
    <row r="2210" spans="1:5">
      <c r="A2210" s="485">
        <v>423030768200</v>
      </c>
      <c r="B2210" t="s">
        <v>3649</v>
      </c>
      <c r="C2210">
        <v>0</v>
      </c>
      <c r="D2210">
        <v>0</v>
      </c>
      <c r="E2210">
        <v>0</v>
      </c>
    </row>
    <row r="2211" spans="1:5">
      <c r="A2211" s="485">
        <v>423030783900</v>
      </c>
      <c r="B2211" t="s">
        <v>3650</v>
      </c>
      <c r="C2211">
        <v>0</v>
      </c>
      <c r="D2211">
        <v>0</v>
      </c>
      <c r="E2211">
        <v>0</v>
      </c>
    </row>
    <row r="2212" spans="1:5">
      <c r="A2212" s="485">
        <v>423030764000</v>
      </c>
      <c r="B2212" t="s">
        <v>3651</v>
      </c>
      <c r="C2212">
        <v>235.85110000000003</v>
      </c>
      <c r="D2212">
        <v>19.7561</v>
      </c>
      <c r="E2212">
        <v>255.60720000000003</v>
      </c>
    </row>
    <row r="2213" spans="1:5">
      <c r="A2213" s="485">
        <v>423030764600</v>
      </c>
      <c r="B2213" t="s">
        <v>3652</v>
      </c>
      <c r="C2213">
        <v>32.616299999999995</v>
      </c>
      <c r="D2213">
        <v>5.58</v>
      </c>
      <c r="E2213">
        <v>38.196299999999994</v>
      </c>
    </row>
    <row r="2214" spans="1:5">
      <c r="A2214" s="485">
        <v>423030764600</v>
      </c>
      <c r="B2214" t="s">
        <v>3653</v>
      </c>
      <c r="C2214">
        <v>0</v>
      </c>
      <c r="D2214">
        <v>0</v>
      </c>
      <c r="E2214">
        <v>0</v>
      </c>
    </row>
    <row r="2215" spans="1:5">
      <c r="A2215" s="485">
        <v>423030765900</v>
      </c>
      <c r="B2215" t="s">
        <v>3654</v>
      </c>
      <c r="C2215">
        <v>0</v>
      </c>
      <c r="D2215">
        <v>0</v>
      </c>
      <c r="E2215">
        <v>0</v>
      </c>
    </row>
    <row r="2216" spans="1:5">
      <c r="A2216" s="485">
        <v>423030766300</v>
      </c>
      <c r="B2216" t="s">
        <v>3655</v>
      </c>
      <c r="C2216">
        <v>54.988199999999999</v>
      </c>
      <c r="D2216">
        <v>3.8917999999999999</v>
      </c>
      <c r="E2216">
        <v>58.879999999999995</v>
      </c>
    </row>
    <row r="2217" spans="1:5">
      <c r="A2217" s="485">
        <v>423030760600</v>
      </c>
      <c r="B2217" t="s">
        <v>3656</v>
      </c>
      <c r="C2217">
        <v>91.669999999999987</v>
      </c>
      <c r="D2217">
        <v>3.6511999999999993</v>
      </c>
      <c r="E2217">
        <v>95.32119999999999</v>
      </c>
    </row>
    <row r="2218" spans="1:5">
      <c r="A2218" s="485">
        <v>423031457000</v>
      </c>
      <c r="B2218" t="s">
        <v>3657</v>
      </c>
      <c r="C2218">
        <v>6.5843000000000007</v>
      </c>
      <c r="D2218">
        <v>2.0592000000000001</v>
      </c>
      <c r="E2218">
        <v>8.6435000000000013</v>
      </c>
    </row>
    <row r="2219" spans="1:5">
      <c r="A2219" s="485">
        <v>423030666800</v>
      </c>
      <c r="B2219" t="s">
        <v>3658</v>
      </c>
      <c r="C2219">
        <v>384.1087</v>
      </c>
      <c r="D2219">
        <v>27.675000000000001</v>
      </c>
      <c r="E2219">
        <v>411.78370000000001</v>
      </c>
    </row>
    <row r="2220" spans="1:5">
      <c r="A2220" s="485">
        <v>423030750800</v>
      </c>
      <c r="B2220" t="s">
        <v>3659</v>
      </c>
      <c r="C2220">
        <v>5.7802000000000016</v>
      </c>
      <c r="D2220">
        <v>0.77829999999999999</v>
      </c>
      <c r="E2220">
        <v>6.5585000000000013</v>
      </c>
    </row>
    <row r="2221" spans="1:5">
      <c r="A2221" s="485">
        <v>423030750500</v>
      </c>
      <c r="B2221" t="s">
        <v>3660</v>
      </c>
      <c r="C2221">
        <v>32.579700000000003</v>
      </c>
      <c r="D2221">
        <v>9.3298999999999985</v>
      </c>
      <c r="E2221">
        <v>41.909599999999998</v>
      </c>
    </row>
    <row r="2222" spans="1:5">
      <c r="A2222" s="485">
        <v>423030669200</v>
      </c>
      <c r="B2222" t="s">
        <v>3661</v>
      </c>
      <c r="C2222">
        <v>2.3635999999999999</v>
      </c>
      <c r="D2222">
        <v>2.5829999999999997</v>
      </c>
      <c r="E2222">
        <v>4.9466000000000001</v>
      </c>
    </row>
    <row r="2223" spans="1:5">
      <c r="A2223" s="485">
        <v>423030750200</v>
      </c>
      <c r="B2223" t="s">
        <v>3662</v>
      </c>
      <c r="C2223">
        <v>4.5225999999999997</v>
      </c>
      <c r="D2223">
        <v>3.4566999999999997</v>
      </c>
      <c r="E2223">
        <v>7.9792999999999994</v>
      </c>
    </row>
    <row r="2224" spans="1:5">
      <c r="A2224" s="485">
        <v>423030749000</v>
      </c>
      <c r="B2224" t="s">
        <v>3663</v>
      </c>
      <c r="C2224">
        <v>0</v>
      </c>
      <c r="D2224">
        <v>0</v>
      </c>
      <c r="E2224">
        <v>0</v>
      </c>
    </row>
    <row r="2225" spans="1:5">
      <c r="A2225" s="485">
        <v>423030749000</v>
      </c>
      <c r="B2225" t="s">
        <v>3664</v>
      </c>
      <c r="C2225">
        <v>9.5699999999999993E-2</v>
      </c>
      <c r="D2225">
        <v>1.0019999999999998</v>
      </c>
      <c r="E2225">
        <v>1.0976999999999997</v>
      </c>
    </row>
    <row r="2226" spans="1:5">
      <c r="A2226" s="485">
        <v>423030748000</v>
      </c>
      <c r="B2226" t="s">
        <v>3665</v>
      </c>
      <c r="C2226">
        <v>1271.2386999999999</v>
      </c>
      <c r="D2226">
        <v>6.2220000000000004</v>
      </c>
      <c r="E2226">
        <v>1277.4606999999999</v>
      </c>
    </row>
    <row r="2227" spans="1:5">
      <c r="A2227" s="485">
        <v>423030759700</v>
      </c>
      <c r="B2227" t="s">
        <v>3666</v>
      </c>
      <c r="C2227">
        <v>6.5568999999999997</v>
      </c>
      <c r="D2227">
        <v>1.1102000000000001</v>
      </c>
      <c r="E2227">
        <v>7.6670999999999996</v>
      </c>
    </row>
    <row r="2228" spans="1:5">
      <c r="A2228" s="485">
        <v>423031301000</v>
      </c>
      <c r="B2228" t="s">
        <v>3667</v>
      </c>
      <c r="C2228">
        <v>0</v>
      </c>
      <c r="D2228">
        <v>0</v>
      </c>
      <c r="E2228">
        <v>0</v>
      </c>
    </row>
    <row r="2229" spans="1:5">
      <c r="A2229" s="485">
        <v>423031301000</v>
      </c>
      <c r="B2229" t="s">
        <v>3668</v>
      </c>
      <c r="C2229">
        <v>0</v>
      </c>
      <c r="D2229">
        <v>0</v>
      </c>
      <c r="E2229">
        <v>0</v>
      </c>
    </row>
    <row r="2230" spans="1:5">
      <c r="A2230" s="485">
        <v>423031301000</v>
      </c>
      <c r="B2230" t="s">
        <v>3669</v>
      </c>
      <c r="C2230">
        <v>0</v>
      </c>
      <c r="D2230">
        <v>0</v>
      </c>
      <c r="E2230">
        <v>0</v>
      </c>
    </row>
    <row r="2231" spans="1:5">
      <c r="A2231" s="485">
        <v>423031301000</v>
      </c>
      <c r="B2231" t="s">
        <v>3670</v>
      </c>
      <c r="C2231">
        <v>0</v>
      </c>
      <c r="D2231">
        <v>0</v>
      </c>
      <c r="E2231">
        <v>0</v>
      </c>
    </row>
    <row r="2232" spans="1:5">
      <c r="A2232" s="485">
        <v>423031301000</v>
      </c>
      <c r="B2232" t="s">
        <v>3671</v>
      </c>
      <c r="C2232">
        <v>0</v>
      </c>
      <c r="D2232">
        <v>0</v>
      </c>
      <c r="E2232">
        <v>0</v>
      </c>
    </row>
    <row r="2233" spans="1:5">
      <c r="A2233" s="485">
        <v>423031301000</v>
      </c>
      <c r="B2233" t="s">
        <v>3672</v>
      </c>
      <c r="C2233">
        <v>0</v>
      </c>
      <c r="D2233">
        <v>0</v>
      </c>
      <c r="E2233">
        <v>0</v>
      </c>
    </row>
    <row r="2234" spans="1:5">
      <c r="A2234" s="485">
        <v>423030713000</v>
      </c>
      <c r="B2234" t="s">
        <v>3673</v>
      </c>
      <c r="C2234">
        <v>0</v>
      </c>
      <c r="D2234">
        <v>0</v>
      </c>
      <c r="E2234">
        <v>0</v>
      </c>
    </row>
    <row r="2235" spans="1:5">
      <c r="A2235" s="485">
        <v>423030713100</v>
      </c>
      <c r="B2235" t="s">
        <v>3674</v>
      </c>
      <c r="C2235">
        <v>200.43889999999999</v>
      </c>
      <c r="D2235">
        <v>33.451599999999999</v>
      </c>
      <c r="E2235">
        <v>233.89049999999997</v>
      </c>
    </row>
    <row r="2236" spans="1:5">
      <c r="A2236" s="485">
        <v>423030669800</v>
      </c>
      <c r="B2236" t="s">
        <v>3675</v>
      </c>
      <c r="C2236">
        <v>0</v>
      </c>
      <c r="D2236">
        <v>0</v>
      </c>
      <c r="E2236">
        <v>0</v>
      </c>
    </row>
    <row r="2237" spans="1:5">
      <c r="A2237" s="485">
        <v>423030702600</v>
      </c>
      <c r="B2237" t="s">
        <v>3676</v>
      </c>
      <c r="C2237">
        <v>0</v>
      </c>
      <c r="D2237">
        <v>0</v>
      </c>
      <c r="E2237">
        <v>0</v>
      </c>
    </row>
    <row r="2238" spans="1:5">
      <c r="A2238" s="485">
        <v>423030702800</v>
      </c>
      <c r="B2238" t="s">
        <v>3677</v>
      </c>
      <c r="C2238">
        <v>0</v>
      </c>
      <c r="D2238">
        <v>82.125</v>
      </c>
      <c r="E2238">
        <v>82.125</v>
      </c>
    </row>
    <row r="2239" spans="1:5">
      <c r="A2239" s="485">
        <v>423030703100</v>
      </c>
      <c r="B2239" t="s">
        <v>3678</v>
      </c>
      <c r="C2239">
        <v>0</v>
      </c>
      <c r="D2239">
        <v>0</v>
      </c>
      <c r="E2239">
        <v>0</v>
      </c>
    </row>
    <row r="2240" spans="1:5">
      <c r="A2240" s="485">
        <v>423030670200</v>
      </c>
      <c r="B2240" t="s">
        <v>3679</v>
      </c>
      <c r="C2240">
        <v>0</v>
      </c>
      <c r="D2240">
        <v>0</v>
      </c>
      <c r="E2240">
        <v>0</v>
      </c>
    </row>
    <row r="2241" spans="1:5">
      <c r="A2241" s="485">
        <v>423030670200</v>
      </c>
      <c r="B2241" t="s">
        <v>3680</v>
      </c>
      <c r="C2241">
        <v>5.3260000000000005</v>
      </c>
      <c r="D2241">
        <v>0.58500000000000008</v>
      </c>
      <c r="E2241">
        <v>5.9110000000000005</v>
      </c>
    </row>
    <row r="2242" spans="1:5">
      <c r="A2242" s="485">
        <v>423030798000</v>
      </c>
      <c r="B2242" t="s">
        <v>3681</v>
      </c>
      <c r="C2242">
        <v>0</v>
      </c>
      <c r="D2242">
        <v>0</v>
      </c>
      <c r="E2242">
        <v>0</v>
      </c>
    </row>
    <row r="2243" spans="1:5">
      <c r="A2243" s="485">
        <v>423030670100</v>
      </c>
      <c r="B2243" t="s">
        <v>3682</v>
      </c>
      <c r="C2243">
        <v>8.1668000000000003</v>
      </c>
      <c r="D2243">
        <v>0.46500000000000008</v>
      </c>
      <c r="E2243">
        <v>8.6318000000000001</v>
      </c>
    </row>
    <row r="2244" spans="1:5">
      <c r="A2244" s="485">
        <v>423030670300</v>
      </c>
      <c r="B2244" t="s">
        <v>3683</v>
      </c>
      <c r="C2244">
        <v>497.90909999999997</v>
      </c>
      <c r="D2244">
        <v>24.324300000000001</v>
      </c>
      <c r="E2244">
        <v>522.23339999999996</v>
      </c>
    </row>
    <row r="2245" spans="1:5">
      <c r="A2245" s="485">
        <v>423030756300</v>
      </c>
      <c r="B2245" t="s">
        <v>3684</v>
      </c>
      <c r="C2245">
        <v>14</v>
      </c>
      <c r="D2245">
        <v>3.4775</v>
      </c>
      <c r="E2245">
        <v>17.477499999999999</v>
      </c>
    </row>
    <row r="2246" spans="1:5">
      <c r="A2246" s="485">
        <v>423030711500</v>
      </c>
      <c r="B2246" t="s">
        <v>3685</v>
      </c>
      <c r="C2246">
        <v>44.333300000000001</v>
      </c>
      <c r="D2246">
        <v>28.3065</v>
      </c>
      <c r="E2246">
        <v>72.639800000000008</v>
      </c>
    </row>
    <row r="2247" spans="1:5">
      <c r="A2247" s="485">
        <v>423030711500</v>
      </c>
      <c r="B2247" t="s">
        <v>3686</v>
      </c>
      <c r="C2247">
        <v>2.6666999999999996</v>
      </c>
      <c r="D2247">
        <v>14.708400000000001</v>
      </c>
      <c r="E2247">
        <v>17.3751</v>
      </c>
    </row>
    <row r="2248" spans="1:5">
      <c r="A2248" s="485">
        <v>423030744400</v>
      </c>
      <c r="B2248" t="s">
        <v>3687</v>
      </c>
      <c r="C2248">
        <v>0</v>
      </c>
      <c r="D2248">
        <v>0</v>
      </c>
      <c r="E2248">
        <v>0</v>
      </c>
    </row>
    <row r="2249" spans="1:5">
      <c r="A2249" s="485">
        <v>423030751600</v>
      </c>
      <c r="B2249" t="s">
        <v>3688</v>
      </c>
      <c r="C2249">
        <v>0</v>
      </c>
      <c r="D2249">
        <v>0</v>
      </c>
      <c r="E2249">
        <v>0</v>
      </c>
    </row>
    <row r="2250" spans="1:5">
      <c r="A2250" s="485">
        <v>423030751300</v>
      </c>
      <c r="B2250" t="s">
        <v>3689</v>
      </c>
      <c r="C2250">
        <v>0</v>
      </c>
      <c r="D2250">
        <v>0</v>
      </c>
      <c r="E2250">
        <v>0</v>
      </c>
    </row>
    <row r="2251" spans="1:5">
      <c r="A2251" s="485">
        <v>423030711800</v>
      </c>
      <c r="B2251" t="s">
        <v>3690</v>
      </c>
      <c r="C2251">
        <v>0</v>
      </c>
      <c r="D2251">
        <v>0</v>
      </c>
      <c r="E2251">
        <v>0</v>
      </c>
    </row>
    <row r="2252" spans="1:5">
      <c r="A2252" s="485">
        <v>423030754200</v>
      </c>
      <c r="B2252" t="s">
        <v>3691</v>
      </c>
      <c r="C2252">
        <v>0</v>
      </c>
      <c r="D2252">
        <v>0</v>
      </c>
      <c r="E2252">
        <v>0</v>
      </c>
    </row>
    <row r="2253" spans="1:5">
      <c r="A2253" s="485">
        <v>423030755900</v>
      </c>
      <c r="B2253" t="s">
        <v>3692</v>
      </c>
      <c r="C2253">
        <v>269.7817</v>
      </c>
      <c r="D2253">
        <v>0.77829999999999999</v>
      </c>
      <c r="E2253">
        <v>270.56</v>
      </c>
    </row>
    <row r="2254" spans="1:5">
      <c r="A2254" s="485">
        <v>423030759100</v>
      </c>
      <c r="B2254" t="s">
        <v>3693</v>
      </c>
      <c r="C2254">
        <v>0</v>
      </c>
      <c r="D2254">
        <v>0</v>
      </c>
      <c r="E2254">
        <v>0</v>
      </c>
    </row>
    <row r="2255" spans="1:5">
      <c r="A2255" s="485">
        <v>423030759100</v>
      </c>
      <c r="B2255" t="s">
        <v>3694</v>
      </c>
      <c r="C2255">
        <v>0.99999999999999989</v>
      </c>
      <c r="D2255">
        <v>0.91079999999999983</v>
      </c>
      <c r="E2255">
        <v>1.9107999999999996</v>
      </c>
    </row>
    <row r="2256" spans="1:5">
      <c r="A2256" s="485">
        <v>423030669300</v>
      </c>
      <c r="B2256" t="s">
        <v>3695</v>
      </c>
      <c r="C2256">
        <v>0</v>
      </c>
      <c r="D2256">
        <v>0</v>
      </c>
      <c r="E2256">
        <v>0</v>
      </c>
    </row>
    <row r="2257" spans="1:5">
      <c r="A2257" s="485">
        <v>423030669600</v>
      </c>
      <c r="B2257" t="s">
        <v>3696</v>
      </c>
      <c r="C2257">
        <v>0</v>
      </c>
      <c r="D2257">
        <v>0</v>
      </c>
      <c r="E2257">
        <v>0</v>
      </c>
    </row>
    <row r="2258" spans="1:5">
      <c r="A2258" s="485">
        <v>423030669600</v>
      </c>
      <c r="B2258" t="s">
        <v>3697</v>
      </c>
      <c r="C2258">
        <v>6509.8463000000002</v>
      </c>
      <c r="D2258">
        <v>347.94659999999999</v>
      </c>
      <c r="E2258">
        <v>6857.7929000000004</v>
      </c>
    </row>
    <row r="2259" spans="1:5">
      <c r="A2259" s="485">
        <v>423030673700</v>
      </c>
      <c r="B2259" t="s">
        <v>3698</v>
      </c>
      <c r="C2259">
        <v>17.4239</v>
      </c>
      <c r="D2259">
        <v>1.83</v>
      </c>
      <c r="E2259">
        <v>19.253900000000002</v>
      </c>
    </row>
    <row r="2260" spans="1:5">
      <c r="A2260" s="485">
        <v>423030717000</v>
      </c>
      <c r="B2260" t="s">
        <v>3699</v>
      </c>
      <c r="C2260">
        <v>0.93259999999999998</v>
      </c>
      <c r="D2260">
        <v>1.2558000000000002</v>
      </c>
      <c r="E2260">
        <v>2.1884000000000001</v>
      </c>
    </row>
    <row r="2261" spans="1:5">
      <c r="A2261" s="485">
        <v>423030717400</v>
      </c>
      <c r="B2261" t="s">
        <v>3700</v>
      </c>
      <c r="C2261">
        <v>4.6666999999999996</v>
      </c>
      <c r="D2261">
        <v>3.0683999999999996</v>
      </c>
      <c r="E2261">
        <v>7.7350999999999992</v>
      </c>
    </row>
    <row r="2262" spans="1:5">
      <c r="A2262" s="485">
        <v>423030706000</v>
      </c>
      <c r="B2262" t="s">
        <v>3701</v>
      </c>
      <c r="C2262">
        <v>79.999899999999982</v>
      </c>
      <c r="D2262">
        <v>0.24</v>
      </c>
      <c r="E2262">
        <v>80.239899999999977</v>
      </c>
    </row>
    <row r="2263" spans="1:5">
      <c r="A2263" s="485">
        <v>423030710500</v>
      </c>
      <c r="B2263" t="s">
        <v>3702</v>
      </c>
      <c r="C2263">
        <v>49.310900000000004</v>
      </c>
      <c r="D2263">
        <v>7.9169999999999998</v>
      </c>
      <c r="E2263">
        <v>57.227900000000005</v>
      </c>
    </row>
    <row r="2264" spans="1:5">
      <c r="A2264" s="485">
        <v>423030718000</v>
      </c>
      <c r="B2264" t="s">
        <v>3703</v>
      </c>
      <c r="C2264">
        <v>1.8902000000000001</v>
      </c>
      <c r="D2264">
        <v>2.2181999999999995</v>
      </c>
      <c r="E2264">
        <v>4.1083999999999996</v>
      </c>
    </row>
    <row r="2265" spans="1:5">
      <c r="A2265" s="485">
        <v>423030718800</v>
      </c>
      <c r="B2265" t="s">
        <v>3704</v>
      </c>
      <c r="C2265">
        <v>75.692300000000003</v>
      </c>
      <c r="D2265">
        <v>31</v>
      </c>
      <c r="E2265">
        <v>106.6923</v>
      </c>
    </row>
    <row r="2266" spans="1:5">
      <c r="A2266" s="485">
        <v>423030718800</v>
      </c>
      <c r="B2266" t="s">
        <v>3705</v>
      </c>
      <c r="C2266">
        <v>0</v>
      </c>
      <c r="D2266">
        <v>0</v>
      </c>
      <c r="E2266">
        <v>0</v>
      </c>
    </row>
    <row r="2267" spans="1:5">
      <c r="A2267" s="485">
        <v>423030733500</v>
      </c>
      <c r="B2267" t="s">
        <v>3706</v>
      </c>
      <c r="C2267">
        <v>49.168100000000003</v>
      </c>
      <c r="D2267">
        <v>10.0648</v>
      </c>
      <c r="E2267">
        <v>59.232900000000001</v>
      </c>
    </row>
    <row r="2268" spans="1:5">
      <c r="A2268" s="485">
        <v>423031252800</v>
      </c>
      <c r="B2268" t="s">
        <v>3707</v>
      </c>
      <c r="C2268">
        <v>0</v>
      </c>
      <c r="D2268">
        <v>0</v>
      </c>
      <c r="E2268">
        <v>0</v>
      </c>
    </row>
    <row r="2269" spans="1:5">
      <c r="A2269" s="485">
        <v>423030734900</v>
      </c>
      <c r="B2269" t="s">
        <v>3708</v>
      </c>
      <c r="C2269">
        <v>4.4945000000000004</v>
      </c>
      <c r="D2269">
        <v>6.0656999999999996</v>
      </c>
      <c r="E2269">
        <v>10.5602</v>
      </c>
    </row>
    <row r="2270" spans="1:5">
      <c r="A2270" s="485">
        <v>423030702200</v>
      </c>
      <c r="B2270" t="s">
        <v>3709</v>
      </c>
      <c r="C2270">
        <v>0</v>
      </c>
      <c r="D2270">
        <v>0</v>
      </c>
      <c r="E2270">
        <v>0</v>
      </c>
    </row>
    <row r="2271" spans="1:5">
      <c r="A2271" s="485">
        <v>423030709300</v>
      </c>
      <c r="B2271" t="s">
        <v>3710</v>
      </c>
      <c r="C2271">
        <v>84.916600000000017</v>
      </c>
      <c r="D2271">
        <v>9.0150000000000006</v>
      </c>
      <c r="E2271">
        <v>93.931600000000017</v>
      </c>
    </row>
    <row r="2272" spans="1:5">
      <c r="A2272" s="485">
        <v>423030707000</v>
      </c>
      <c r="B2272" t="s">
        <v>3711</v>
      </c>
      <c r="C2272">
        <v>2.4432</v>
      </c>
      <c r="D2272">
        <v>1.4038999999999999</v>
      </c>
      <c r="E2272">
        <v>3.8471000000000002</v>
      </c>
    </row>
    <row r="2273" spans="1:5">
      <c r="A2273" s="485">
        <v>423030709400</v>
      </c>
      <c r="B2273" t="s">
        <v>3712</v>
      </c>
      <c r="C2273">
        <v>0</v>
      </c>
      <c r="D2273">
        <v>0</v>
      </c>
      <c r="E2273">
        <v>0</v>
      </c>
    </row>
    <row r="2274" spans="1:5">
      <c r="A2274" s="485">
        <v>423030709600</v>
      </c>
      <c r="B2274" t="s">
        <v>3713</v>
      </c>
      <c r="C2274">
        <v>0</v>
      </c>
      <c r="D2274">
        <v>0</v>
      </c>
      <c r="E2274">
        <v>0</v>
      </c>
    </row>
    <row r="2275" spans="1:5">
      <c r="A2275" s="485">
        <v>423030710100</v>
      </c>
      <c r="B2275" t="s">
        <v>3714</v>
      </c>
      <c r="C2275">
        <v>0</v>
      </c>
      <c r="D2275">
        <v>0</v>
      </c>
      <c r="E2275">
        <v>0</v>
      </c>
    </row>
    <row r="2276" spans="1:5">
      <c r="A2276" s="485">
        <v>423030777800</v>
      </c>
      <c r="B2276" t="s">
        <v>3715</v>
      </c>
      <c r="C2276">
        <v>2000.3112000000001</v>
      </c>
      <c r="D2276">
        <v>2713.4449999999997</v>
      </c>
      <c r="E2276">
        <v>4713.7561999999998</v>
      </c>
    </row>
    <row r="2277" spans="1:5">
      <c r="A2277" s="485">
        <v>423030777800</v>
      </c>
      <c r="B2277" t="s">
        <v>3716</v>
      </c>
      <c r="C2277">
        <v>5051.6521999999995</v>
      </c>
      <c r="D2277">
        <v>5187.91</v>
      </c>
      <c r="E2277">
        <v>10239.5622</v>
      </c>
    </row>
    <row r="2278" spans="1:5">
      <c r="A2278" s="485">
        <v>423030777800</v>
      </c>
      <c r="B2278" t="s">
        <v>3717</v>
      </c>
      <c r="C2278">
        <v>0</v>
      </c>
      <c r="D2278">
        <v>0</v>
      </c>
      <c r="E2278">
        <v>0</v>
      </c>
    </row>
    <row r="2279" spans="1:5">
      <c r="A2279" s="485">
        <v>423030310500</v>
      </c>
      <c r="B2279" t="s">
        <v>3718</v>
      </c>
      <c r="C2279">
        <v>4.7691999999999997</v>
      </c>
      <c r="D2279">
        <v>1.2907999999999999</v>
      </c>
      <c r="E2279">
        <v>6.06</v>
      </c>
    </row>
    <row r="2280" spans="1:5">
      <c r="A2280" s="485">
        <v>423030268600</v>
      </c>
      <c r="B2280" t="s">
        <v>3719</v>
      </c>
      <c r="C2280">
        <v>0</v>
      </c>
      <c r="D2280">
        <v>0</v>
      </c>
      <c r="E2280">
        <v>0</v>
      </c>
    </row>
    <row r="2281" spans="1:5">
      <c r="A2281" s="485">
        <v>423030268600</v>
      </c>
      <c r="B2281" t="s">
        <v>3720</v>
      </c>
      <c r="C2281">
        <v>41.851000000000006</v>
      </c>
      <c r="D2281">
        <v>24.8</v>
      </c>
      <c r="E2281">
        <v>66.65100000000001</v>
      </c>
    </row>
    <row r="2282" spans="1:5">
      <c r="A2282" s="485">
        <v>423030268600</v>
      </c>
      <c r="B2282" t="s">
        <v>3721</v>
      </c>
      <c r="C2282">
        <v>3.6809000000000003</v>
      </c>
      <c r="D2282">
        <v>2.6164000000000001</v>
      </c>
      <c r="E2282">
        <v>6.2972999999999999</v>
      </c>
    </row>
    <row r="2283" spans="1:5">
      <c r="A2283" s="485">
        <v>423030668100</v>
      </c>
      <c r="B2283" t="s">
        <v>3722</v>
      </c>
      <c r="C2283">
        <v>0</v>
      </c>
      <c r="D2283">
        <v>0</v>
      </c>
      <c r="E2283">
        <v>0</v>
      </c>
    </row>
    <row r="2284" spans="1:5">
      <c r="A2284" s="485">
        <v>423030668100</v>
      </c>
      <c r="B2284" t="s">
        <v>3723</v>
      </c>
      <c r="C2284">
        <v>0</v>
      </c>
      <c r="D2284">
        <v>0</v>
      </c>
      <c r="E2284">
        <v>0</v>
      </c>
    </row>
    <row r="2285" spans="1:5">
      <c r="A2285" s="485">
        <v>423030668100</v>
      </c>
      <c r="B2285" t="s">
        <v>3724</v>
      </c>
      <c r="C2285">
        <v>0</v>
      </c>
      <c r="D2285">
        <v>0</v>
      </c>
      <c r="E2285">
        <v>0</v>
      </c>
    </row>
    <row r="2286" spans="1:5">
      <c r="A2286" s="485">
        <v>423030668100</v>
      </c>
      <c r="B2286" t="s">
        <v>3725</v>
      </c>
      <c r="C2286">
        <v>0</v>
      </c>
      <c r="D2286">
        <v>0</v>
      </c>
      <c r="E2286">
        <v>0</v>
      </c>
    </row>
    <row r="2287" spans="1:5">
      <c r="A2287" s="485">
        <v>423030668100</v>
      </c>
      <c r="B2287" t="s">
        <v>3726</v>
      </c>
      <c r="C2287">
        <v>0</v>
      </c>
      <c r="D2287">
        <v>0</v>
      </c>
      <c r="E2287">
        <v>0</v>
      </c>
    </row>
    <row r="2288" spans="1:5">
      <c r="A2288" s="485">
        <v>423030668100</v>
      </c>
      <c r="B2288" t="s">
        <v>3727</v>
      </c>
      <c r="C2288">
        <v>0</v>
      </c>
      <c r="D2288">
        <v>0</v>
      </c>
      <c r="E2288">
        <v>0</v>
      </c>
    </row>
    <row r="2289" spans="1:5">
      <c r="A2289" s="485">
        <v>423030668100</v>
      </c>
      <c r="B2289" t="s">
        <v>3728</v>
      </c>
      <c r="C2289">
        <v>0</v>
      </c>
      <c r="D2289">
        <v>0</v>
      </c>
      <c r="E2289">
        <v>0</v>
      </c>
    </row>
    <row r="2290" spans="1:5">
      <c r="A2290" s="485">
        <v>423030668100</v>
      </c>
      <c r="B2290" t="s">
        <v>3729</v>
      </c>
      <c r="C2290">
        <v>0</v>
      </c>
      <c r="D2290">
        <v>0</v>
      </c>
      <c r="E2290">
        <v>0</v>
      </c>
    </row>
    <row r="2291" spans="1:5">
      <c r="A2291" s="485">
        <v>423030668100</v>
      </c>
      <c r="B2291" t="s">
        <v>3730</v>
      </c>
      <c r="C2291">
        <v>0</v>
      </c>
      <c r="D2291">
        <v>0</v>
      </c>
      <c r="E2291">
        <v>0</v>
      </c>
    </row>
    <row r="2292" spans="1:5">
      <c r="A2292" s="485">
        <v>423030668100</v>
      </c>
      <c r="B2292" t="s">
        <v>3731</v>
      </c>
      <c r="C2292">
        <v>0</v>
      </c>
      <c r="D2292">
        <v>0</v>
      </c>
      <c r="E2292">
        <v>0</v>
      </c>
    </row>
    <row r="2293" spans="1:5">
      <c r="A2293" s="485">
        <v>423030668100</v>
      </c>
      <c r="B2293" t="s">
        <v>3732</v>
      </c>
      <c r="C2293">
        <v>0</v>
      </c>
      <c r="D2293">
        <v>0</v>
      </c>
      <c r="E2293">
        <v>0</v>
      </c>
    </row>
    <row r="2294" spans="1:5">
      <c r="A2294" s="485">
        <v>423030668100</v>
      </c>
      <c r="B2294" t="s">
        <v>3733</v>
      </c>
      <c r="C2294">
        <v>0</v>
      </c>
      <c r="D2294">
        <v>0</v>
      </c>
      <c r="E2294">
        <v>0</v>
      </c>
    </row>
    <row r="2295" spans="1:5">
      <c r="A2295" s="485">
        <v>423030668100</v>
      </c>
      <c r="B2295" t="s">
        <v>3734</v>
      </c>
      <c r="C2295">
        <v>0</v>
      </c>
      <c r="D2295">
        <v>0</v>
      </c>
      <c r="E2295">
        <v>0</v>
      </c>
    </row>
    <row r="2296" spans="1:5">
      <c r="A2296" s="485">
        <v>423030667400</v>
      </c>
      <c r="B2296" t="s">
        <v>3735</v>
      </c>
      <c r="C2296">
        <v>52.845500000000001</v>
      </c>
      <c r="D2296">
        <v>75.092600000000004</v>
      </c>
      <c r="E2296">
        <v>127.93810000000001</v>
      </c>
    </row>
    <row r="2297" spans="1:5">
      <c r="A2297" s="485">
        <v>423030667400</v>
      </c>
      <c r="B2297" t="s">
        <v>3736</v>
      </c>
      <c r="C2297">
        <v>4</v>
      </c>
      <c r="D2297">
        <v>0</v>
      </c>
      <c r="E2297">
        <v>4</v>
      </c>
    </row>
    <row r="2298" spans="1:5">
      <c r="A2298" s="485">
        <v>423030667900</v>
      </c>
      <c r="B2298" t="s">
        <v>3737</v>
      </c>
      <c r="C2298">
        <v>47.1982</v>
      </c>
      <c r="D2298">
        <v>17.844299999999997</v>
      </c>
      <c r="E2298">
        <v>65.04249999999999</v>
      </c>
    </row>
    <row r="2299" spans="1:5">
      <c r="A2299" s="485">
        <v>423030667300</v>
      </c>
      <c r="B2299" t="s">
        <v>3738</v>
      </c>
      <c r="C2299">
        <v>3.3487999999999998</v>
      </c>
      <c r="D2299">
        <v>0.3458</v>
      </c>
      <c r="E2299">
        <v>3.6945999999999999</v>
      </c>
    </row>
    <row r="2300" spans="1:5">
      <c r="A2300" s="485">
        <v>423030710300</v>
      </c>
      <c r="B2300" t="s">
        <v>3739</v>
      </c>
      <c r="C2300">
        <v>0</v>
      </c>
      <c r="D2300">
        <v>0</v>
      </c>
      <c r="E2300">
        <v>0</v>
      </c>
    </row>
    <row r="2301" spans="1:5">
      <c r="A2301" s="485">
        <v>423030710300</v>
      </c>
      <c r="B2301" t="s">
        <v>3740</v>
      </c>
      <c r="C2301">
        <v>0</v>
      </c>
      <c r="D2301">
        <v>0</v>
      </c>
      <c r="E2301">
        <v>0</v>
      </c>
    </row>
    <row r="2302" spans="1:5">
      <c r="A2302" s="485">
        <v>423030710300</v>
      </c>
      <c r="B2302" t="s">
        <v>3741</v>
      </c>
      <c r="C2302">
        <v>0</v>
      </c>
      <c r="D2302">
        <v>0</v>
      </c>
      <c r="E2302">
        <v>0</v>
      </c>
    </row>
    <row r="2303" spans="1:5">
      <c r="A2303" s="485">
        <v>423030710300</v>
      </c>
      <c r="B2303" t="s">
        <v>3742</v>
      </c>
      <c r="C2303">
        <v>0</v>
      </c>
      <c r="D2303">
        <v>0</v>
      </c>
      <c r="E2303">
        <v>0</v>
      </c>
    </row>
    <row r="2304" spans="1:5">
      <c r="A2304" s="485">
        <v>423030710300</v>
      </c>
      <c r="B2304" t="s">
        <v>3743</v>
      </c>
      <c r="C2304">
        <v>0</v>
      </c>
      <c r="D2304">
        <v>0</v>
      </c>
      <c r="E2304">
        <v>0</v>
      </c>
    </row>
    <row r="2305" spans="1:5">
      <c r="A2305" s="485">
        <v>423030700500</v>
      </c>
      <c r="B2305" t="s">
        <v>3744</v>
      </c>
      <c r="C2305">
        <v>0</v>
      </c>
      <c r="D2305">
        <v>0</v>
      </c>
      <c r="E2305">
        <v>0</v>
      </c>
    </row>
    <row r="2306" spans="1:5">
      <c r="A2306" s="485">
        <v>423030700100</v>
      </c>
      <c r="B2306" t="s">
        <v>3745</v>
      </c>
      <c r="C2306">
        <v>0</v>
      </c>
      <c r="D2306">
        <v>0</v>
      </c>
      <c r="E2306">
        <v>0</v>
      </c>
    </row>
    <row r="2307" spans="1:5">
      <c r="A2307" s="485">
        <v>423030699200</v>
      </c>
      <c r="B2307" t="s">
        <v>3746</v>
      </c>
      <c r="C2307">
        <v>0</v>
      </c>
      <c r="D2307">
        <v>0</v>
      </c>
      <c r="E2307">
        <v>0</v>
      </c>
    </row>
    <row r="2308" spans="1:5">
      <c r="A2308" s="485">
        <v>423030698900</v>
      </c>
      <c r="B2308" t="s">
        <v>3747</v>
      </c>
      <c r="C2308">
        <v>1</v>
      </c>
      <c r="D2308">
        <v>1.4117</v>
      </c>
      <c r="E2308">
        <v>2.4116999999999997</v>
      </c>
    </row>
    <row r="2309" spans="1:5">
      <c r="A2309" s="485">
        <v>423030704600</v>
      </c>
      <c r="B2309" t="s">
        <v>3748</v>
      </c>
      <c r="C2309">
        <v>1.9284999999999997</v>
      </c>
      <c r="D2309">
        <v>1.9672999999999996</v>
      </c>
      <c r="E2309">
        <v>3.8957999999999995</v>
      </c>
    </row>
    <row r="2310" spans="1:5">
      <c r="A2310" s="485">
        <v>423030567600</v>
      </c>
      <c r="B2310" t="s">
        <v>3749</v>
      </c>
      <c r="C2310">
        <v>4.3409000000000004</v>
      </c>
      <c r="D2310">
        <v>0.45499999999999996</v>
      </c>
      <c r="E2310">
        <v>4.7959000000000005</v>
      </c>
    </row>
    <row r="2311" spans="1:5">
      <c r="A2311" s="485">
        <v>423030710800</v>
      </c>
      <c r="B2311">
        <v>12118542104</v>
      </c>
      <c r="C2311">
        <v>11.483500000000001</v>
      </c>
      <c r="D2311">
        <v>8.7061999999999991</v>
      </c>
      <c r="E2311">
        <v>20.189700000000002</v>
      </c>
    </row>
    <row r="2312" spans="1:5">
      <c r="A2312" s="485">
        <v>423030710800</v>
      </c>
      <c r="B2312" t="s">
        <v>3750</v>
      </c>
      <c r="C2312">
        <v>0</v>
      </c>
      <c r="D2312">
        <v>0</v>
      </c>
      <c r="E2312">
        <v>0</v>
      </c>
    </row>
    <row r="2313" spans="1:5">
      <c r="A2313" s="485">
        <v>423030711000</v>
      </c>
      <c r="B2313" t="s">
        <v>3751</v>
      </c>
      <c r="C2313">
        <v>1.6141000000000003</v>
      </c>
      <c r="D2313">
        <v>1.3037999999999998</v>
      </c>
      <c r="E2313">
        <v>2.9179000000000004</v>
      </c>
    </row>
    <row r="2314" spans="1:5">
      <c r="A2314" s="485">
        <v>423030703600</v>
      </c>
      <c r="B2314" t="s">
        <v>3752</v>
      </c>
      <c r="C2314">
        <v>0</v>
      </c>
      <c r="D2314">
        <v>0</v>
      </c>
      <c r="E2314">
        <v>0</v>
      </c>
    </row>
    <row r="2315" spans="1:5">
      <c r="A2315" s="485">
        <v>423030703600</v>
      </c>
      <c r="B2315" t="s">
        <v>3753</v>
      </c>
      <c r="C2315">
        <v>0</v>
      </c>
      <c r="D2315">
        <v>0</v>
      </c>
      <c r="E2315">
        <v>0</v>
      </c>
    </row>
    <row r="2316" spans="1:5">
      <c r="A2316" s="485">
        <v>423030703600</v>
      </c>
      <c r="B2316" t="s">
        <v>3754</v>
      </c>
      <c r="C2316">
        <v>0</v>
      </c>
      <c r="D2316">
        <v>0</v>
      </c>
      <c r="E2316">
        <v>0</v>
      </c>
    </row>
    <row r="2317" spans="1:5">
      <c r="A2317" s="485">
        <v>423030703600</v>
      </c>
      <c r="B2317" t="s">
        <v>3755</v>
      </c>
      <c r="C2317">
        <v>0</v>
      </c>
      <c r="D2317">
        <v>0</v>
      </c>
      <c r="E2317">
        <v>0</v>
      </c>
    </row>
    <row r="2318" spans="1:5">
      <c r="A2318" s="485">
        <v>423030703600</v>
      </c>
      <c r="B2318" t="s">
        <v>3756</v>
      </c>
      <c r="C2318">
        <v>0</v>
      </c>
      <c r="D2318">
        <v>0</v>
      </c>
      <c r="E2318">
        <v>0</v>
      </c>
    </row>
    <row r="2319" spans="1:5">
      <c r="A2319" s="485">
        <v>423030703600</v>
      </c>
      <c r="B2319" t="s">
        <v>3757</v>
      </c>
      <c r="C2319">
        <v>0</v>
      </c>
      <c r="D2319">
        <v>0</v>
      </c>
      <c r="E2319">
        <v>0</v>
      </c>
    </row>
    <row r="2320" spans="1:5">
      <c r="A2320" s="485">
        <v>423031206800</v>
      </c>
      <c r="B2320" t="s">
        <v>3758</v>
      </c>
      <c r="C2320">
        <v>0</v>
      </c>
      <c r="D2320">
        <v>0</v>
      </c>
      <c r="E2320">
        <v>0</v>
      </c>
    </row>
    <row r="2321" spans="1:5">
      <c r="A2321" s="485">
        <v>423030820000</v>
      </c>
      <c r="B2321" t="s">
        <v>3759</v>
      </c>
      <c r="C2321">
        <v>449.96840000000003</v>
      </c>
      <c r="D2321">
        <v>71.513900000000007</v>
      </c>
      <c r="E2321">
        <v>521.48230000000001</v>
      </c>
    </row>
    <row r="2322" spans="1:5">
      <c r="A2322" s="485">
        <v>423030830100</v>
      </c>
      <c r="B2322" t="s">
        <v>3760</v>
      </c>
      <c r="C2322">
        <v>89.285700000000006</v>
      </c>
      <c r="D2322">
        <v>1.4105000000000001</v>
      </c>
      <c r="E2322">
        <v>90.696200000000005</v>
      </c>
    </row>
    <row r="2323" spans="1:5">
      <c r="A2323" s="485">
        <v>423030817100</v>
      </c>
      <c r="B2323" t="s">
        <v>3761</v>
      </c>
      <c r="C2323">
        <v>183</v>
      </c>
      <c r="D2323">
        <v>9.2880999999999982</v>
      </c>
      <c r="E2323">
        <v>192.28809999999999</v>
      </c>
    </row>
    <row r="2324" spans="1:5">
      <c r="A2324" s="485">
        <v>423030870800</v>
      </c>
      <c r="B2324" t="s">
        <v>3762</v>
      </c>
      <c r="C2324">
        <v>956.13799999999992</v>
      </c>
      <c r="D2324">
        <v>3.1940999999999997</v>
      </c>
      <c r="E2324">
        <v>959.33209999999997</v>
      </c>
    </row>
    <row r="2325" spans="1:5">
      <c r="A2325" s="485">
        <v>423030829700</v>
      </c>
      <c r="B2325" t="s">
        <v>3763</v>
      </c>
      <c r="C2325">
        <v>207.2713</v>
      </c>
      <c r="D2325">
        <v>0.624</v>
      </c>
      <c r="E2325">
        <v>207.89529999999999</v>
      </c>
    </row>
    <row r="2326" spans="1:5">
      <c r="A2326" s="485">
        <v>423030850400</v>
      </c>
      <c r="B2326" t="s">
        <v>3764</v>
      </c>
      <c r="C2326">
        <v>0</v>
      </c>
      <c r="D2326">
        <v>0</v>
      </c>
      <c r="E2326">
        <v>0</v>
      </c>
    </row>
    <row r="2327" spans="1:5">
      <c r="A2327" s="485">
        <v>423030951000</v>
      </c>
      <c r="B2327" t="s">
        <v>3765</v>
      </c>
      <c r="C2327">
        <v>0</v>
      </c>
      <c r="D2327">
        <v>0</v>
      </c>
      <c r="E2327">
        <v>0</v>
      </c>
    </row>
    <row r="2328" spans="1:5">
      <c r="A2328" s="485">
        <v>423030809800</v>
      </c>
      <c r="B2328" t="s">
        <v>3766</v>
      </c>
      <c r="C2328">
        <v>0</v>
      </c>
      <c r="D2328">
        <v>0</v>
      </c>
      <c r="E2328">
        <v>0</v>
      </c>
    </row>
    <row r="2329" spans="1:5">
      <c r="A2329" s="485">
        <v>423031235200</v>
      </c>
      <c r="B2329" t="s">
        <v>3767</v>
      </c>
      <c r="C2329">
        <v>0</v>
      </c>
      <c r="D2329">
        <v>0</v>
      </c>
      <c r="E2329">
        <v>0</v>
      </c>
    </row>
    <row r="2330" spans="1:5">
      <c r="A2330" s="485">
        <v>423030862000</v>
      </c>
      <c r="B2330" t="s">
        <v>3768</v>
      </c>
      <c r="C2330">
        <v>10.2858</v>
      </c>
      <c r="D2330">
        <v>1.1736</v>
      </c>
      <c r="E2330">
        <v>11.4594</v>
      </c>
    </row>
    <row r="2331" spans="1:5">
      <c r="A2331" s="485">
        <v>423030822500</v>
      </c>
      <c r="B2331" t="s">
        <v>3769</v>
      </c>
      <c r="C2331">
        <v>0</v>
      </c>
      <c r="D2331">
        <v>0</v>
      </c>
      <c r="E2331">
        <v>0</v>
      </c>
    </row>
    <row r="2332" spans="1:5">
      <c r="A2332" s="485">
        <v>423030829800</v>
      </c>
      <c r="B2332" t="s">
        <v>3770</v>
      </c>
      <c r="C2332">
        <v>3.3175999999999997</v>
      </c>
      <c r="D2332">
        <v>0.79279999999999995</v>
      </c>
      <c r="E2332">
        <v>4.1103999999999994</v>
      </c>
    </row>
    <row r="2333" spans="1:5">
      <c r="A2333" s="485">
        <v>423030823100</v>
      </c>
      <c r="B2333" t="s">
        <v>3771</v>
      </c>
      <c r="C2333">
        <v>8.0647000000000002</v>
      </c>
      <c r="D2333">
        <v>1.3601999999999999</v>
      </c>
      <c r="E2333">
        <v>9.4249000000000009</v>
      </c>
    </row>
    <row r="2334" spans="1:5">
      <c r="A2334" s="485">
        <v>423030822800</v>
      </c>
      <c r="B2334" t="s">
        <v>3772</v>
      </c>
      <c r="C2334">
        <v>0</v>
      </c>
      <c r="D2334">
        <v>0</v>
      </c>
      <c r="E2334">
        <v>0</v>
      </c>
    </row>
    <row r="2335" spans="1:5">
      <c r="A2335" s="485">
        <v>423031058300</v>
      </c>
      <c r="B2335" t="s">
        <v>3773</v>
      </c>
      <c r="C2335">
        <v>0</v>
      </c>
      <c r="D2335">
        <v>0</v>
      </c>
      <c r="E2335">
        <v>0</v>
      </c>
    </row>
    <row r="2336" spans="1:5">
      <c r="A2336" s="485">
        <v>423031451900</v>
      </c>
      <c r="B2336" t="s">
        <v>3774</v>
      </c>
      <c r="C2336">
        <v>0</v>
      </c>
      <c r="D2336">
        <v>0</v>
      </c>
      <c r="E2336">
        <v>0</v>
      </c>
    </row>
    <row r="2337" spans="1:5">
      <c r="A2337" s="485">
        <v>423030873100</v>
      </c>
      <c r="B2337" t="s">
        <v>3775</v>
      </c>
      <c r="C2337">
        <v>16.0001</v>
      </c>
      <c r="D2337">
        <v>4.9960000000000004</v>
      </c>
      <c r="E2337">
        <v>20.996099999999998</v>
      </c>
    </row>
    <row r="2338" spans="1:5">
      <c r="A2338" s="485">
        <v>423031055900</v>
      </c>
      <c r="B2338" t="s">
        <v>3776</v>
      </c>
      <c r="C2338">
        <v>0</v>
      </c>
      <c r="D2338">
        <v>0</v>
      </c>
      <c r="E2338">
        <v>0</v>
      </c>
    </row>
    <row r="2339" spans="1:5">
      <c r="A2339" s="485">
        <v>423030822900</v>
      </c>
      <c r="B2339" t="s">
        <v>3777</v>
      </c>
      <c r="C2339">
        <v>0</v>
      </c>
      <c r="D2339">
        <v>0</v>
      </c>
      <c r="E2339">
        <v>0</v>
      </c>
    </row>
    <row r="2340" spans="1:5">
      <c r="A2340" s="485">
        <v>423030822900</v>
      </c>
      <c r="B2340" t="s">
        <v>3778</v>
      </c>
      <c r="C2340">
        <v>0</v>
      </c>
      <c r="D2340">
        <v>0</v>
      </c>
      <c r="E2340">
        <v>0</v>
      </c>
    </row>
    <row r="2341" spans="1:5">
      <c r="A2341" s="485">
        <v>423030808400</v>
      </c>
      <c r="B2341" t="s">
        <v>3779</v>
      </c>
      <c r="C2341">
        <v>0</v>
      </c>
      <c r="D2341">
        <v>0</v>
      </c>
      <c r="E2341">
        <v>0</v>
      </c>
    </row>
    <row r="2342" spans="1:5">
      <c r="A2342" s="485">
        <v>423030808600</v>
      </c>
      <c r="B2342" t="s">
        <v>3780</v>
      </c>
      <c r="C2342">
        <v>0</v>
      </c>
      <c r="D2342">
        <v>0</v>
      </c>
      <c r="E2342">
        <v>0</v>
      </c>
    </row>
    <row r="2343" spans="1:5">
      <c r="A2343" s="485">
        <v>423030808700</v>
      </c>
      <c r="B2343" t="s">
        <v>3781</v>
      </c>
      <c r="C2343">
        <v>0</v>
      </c>
      <c r="D2343">
        <v>0</v>
      </c>
      <c r="E2343">
        <v>0</v>
      </c>
    </row>
    <row r="2344" spans="1:5">
      <c r="A2344" s="485">
        <v>423030801500</v>
      </c>
      <c r="B2344" t="s">
        <v>3782</v>
      </c>
      <c r="C2344">
        <v>0</v>
      </c>
      <c r="D2344">
        <v>0</v>
      </c>
      <c r="E2344">
        <v>0</v>
      </c>
    </row>
    <row r="2345" spans="1:5">
      <c r="A2345" s="485">
        <v>423030809000</v>
      </c>
      <c r="B2345" t="s">
        <v>3783</v>
      </c>
      <c r="C2345">
        <v>0</v>
      </c>
      <c r="D2345">
        <v>0</v>
      </c>
      <c r="E2345">
        <v>0</v>
      </c>
    </row>
    <row r="2346" spans="1:5">
      <c r="A2346" s="485">
        <v>423030876400</v>
      </c>
      <c r="B2346" t="s">
        <v>3784</v>
      </c>
      <c r="C2346">
        <v>0</v>
      </c>
      <c r="D2346">
        <v>0</v>
      </c>
      <c r="E2346">
        <v>0</v>
      </c>
    </row>
    <row r="2347" spans="1:5">
      <c r="A2347" s="485">
        <v>423030861000</v>
      </c>
      <c r="B2347" t="s">
        <v>3785</v>
      </c>
      <c r="C2347">
        <v>0</v>
      </c>
      <c r="D2347">
        <v>0</v>
      </c>
      <c r="E2347">
        <v>0</v>
      </c>
    </row>
    <row r="2348" spans="1:5">
      <c r="A2348" s="485">
        <v>423030861000</v>
      </c>
      <c r="B2348" t="s">
        <v>3786</v>
      </c>
      <c r="C2348">
        <v>0</v>
      </c>
      <c r="D2348">
        <v>0</v>
      </c>
      <c r="E2348">
        <v>0</v>
      </c>
    </row>
    <row r="2349" spans="1:5">
      <c r="A2349" s="485">
        <v>423030861600</v>
      </c>
      <c r="B2349" t="s">
        <v>3787</v>
      </c>
      <c r="C2349">
        <v>0</v>
      </c>
      <c r="D2349">
        <v>5.548</v>
      </c>
      <c r="E2349">
        <v>5.548</v>
      </c>
    </row>
    <row r="2350" spans="1:5">
      <c r="A2350" s="485">
        <v>423030808300</v>
      </c>
      <c r="B2350" t="s">
        <v>3788</v>
      </c>
      <c r="C2350">
        <v>0</v>
      </c>
      <c r="D2350">
        <v>0</v>
      </c>
      <c r="E2350">
        <v>0</v>
      </c>
    </row>
    <row r="2351" spans="1:5">
      <c r="A2351" s="485">
        <v>423030806400</v>
      </c>
      <c r="B2351" t="s">
        <v>3789</v>
      </c>
      <c r="C2351">
        <v>0</v>
      </c>
      <c r="D2351">
        <v>0</v>
      </c>
      <c r="E2351">
        <v>0</v>
      </c>
    </row>
    <row r="2352" spans="1:5">
      <c r="A2352" s="485">
        <v>423030871700</v>
      </c>
      <c r="B2352" t="s">
        <v>3790</v>
      </c>
      <c r="C2352">
        <v>0</v>
      </c>
      <c r="D2352">
        <v>11.241999999999999</v>
      </c>
      <c r="E2352">
        <v>11.241999999999999</v>
      </c>
    </row>
    <row r="2353" spans="1:5">
      <c r="A2353" s="485">
        <v>423030871700</v>
      </c>
      <c r="B2353" t="s">
        <v>3791</v>
      </c>
      <c r="C2353">
        <v>17.143000000000001</v>
      </c>
      <c r="D2353">
        <v>1.9092</v>
      </c>
      <c r="E2353">
        <v>19.052199999999999</v>
      </c>
    </row>
    <row r="2354" spans="1:5">
      <c r="A2354" s="485">
        <v>423030813100</v>
      </c>
      <c r="B2354" t="s">
        <v>3792</v>
      </c>
      <c r="C2354">
        <v>1.9999</v>
      </c>
      <c r="D2354">
        <v>8.2085000000000008</v>
      </c>
      <c r="E2354">
        <v>10.208400000000001</v>
      </c>
    </row>
    <row r="2355" spans="1:5">
      <c r="A2355" s="485">
        <v>423030813100</v>
      </c>
      <c r="B2355" t="s">
        <v>3793</v>
      </c>
      <c r="C2355">
        <v>10.2667</v>
      </c>
      <c r="D2355">
        <v>11.945600000000001</v>
      </c>
      <c r="E2355">
        <v>22.212299999999999</v>
      </c>
    </row>
    <row r="2356" spans="1:5">
      <c r="A2356" s="485">
        <v>423030871500</v>
      </c>
      <c r="B2356" t="s">
        <v>3794</v>
      </c>
      <c r="C2356">
        <v>0</v>
      </c>
      <c r="D2356">
        <v>0</v>
      </c>
      <c r="E2356">
        <v>0</v>
      </c>
    </row>
    <row r="2357" spans="1:5">
      <c r="A2357" s="485">
        <v>423030870600</v>
      </c>
      <c r="B2357" t="s">
        <v>3795</v>
      </c>
      <c r="C2357">
        <v>1</v>
      </c>
      <c r="D2357">
        <v>2.6936</v>
      </c>
      <c r="E2357">
        <v>3.6936</v>
      </c>
    </row>
    <row r="2358" spans="1:5">
      <c r="A2358" s="485">
        <v>423030813500</v>
      </c>
      <c r="B2358" t="s">
        <v>3796</v>
      </c>
      <c r="C2358">
        <v>127.6186</v>
      </c>
      <c r="D2358">
        <v>65.451899999999995</v>
      </c>
      <c r="E2358">
        <v>193.07049999999998</v>
      </c>
    </row>
    <row r="2359" spans="1:5">
      <c r="A2359" s="485">
        <v>423030801600</v>
      </c>
      <c r="B2359" t="s">
        <v>3797</v>
      </c>
      <c r="C2359">
        <v>2.0000999999999998</v>
      </c>
      <c r="D2359">
        <v>1.7452000000000005</v>
      </c>
      <c r="E2359">
        <v>3.7453000000000003</v>
      </c>
    </row>
    <row r="2360" spans="1:5">
      <c r="A2360" s="485">
        <v>423030812400</v>
      </c>
      <c r="B2360" t="s">
        <v>3798</v>
      </c>
      <c r="C2360">
        <v>8.0626999999999995</v>
      </c>
      <c r="D2360">
        <v>4.7697000000000003</v>
      </c>
      <c r="E2360">
        <v>12.8324</v>
      </c>
    </row>
    <row r="2361" spans="1:5">
      <c r="A2361" s="485">
        <v>423031131500</v>
      </c>
      <c r="B2361" t="s">
        <v>3799</v>
      </c>
      <c r="C2361">
        <v>0</v>
      </c>
      <c r="D2361">
        <v>0</v>
      </c>
      <c r="E2361">
        <v>0</v>
      </c>
    </row>
    <row r="2362" spans="1:5">
      <c r="A2362" s="485">
        <v>423030811900</v>
      </c>
      <c r="B2362" t="s">
        <v>3800</v>
      </c>
      <c r="C2362">
        <v>0</v>
      </c>
      <c r="D2362">
        <v>0</v>
      </c>
      <c r="E2362">
        <v>0</v>
      </c>
    </row>
    <row r="2363" spans="1:5">
      <c r="A2363" s="485">
        <v>423030867900</v>
      </c>
      <c r="B2363">
        <v>9005556770</v>
      </c>
      <c r="C2363">
        <v>1.0001</v>
      </c>
      <c r="D2363">
        <v>1.0911</v>
      </c>
      <c r="E2363">
        <v>2.0911999999999997</v>
      </c>
    </row>
    <row r="2364" spans="1:5">
      <c r="A2364" s="485">
        <v>423031027400</v>
      </c>
      <c r="B2364" t="s">
        <v>3801</v>
      </c>
      <c r="C2364">
        <v>661.44270000000006</v>
      </c>
      <c r="D2364">
        <v>424.80700000000002</v>
      </c>
      <c r="E2364">
        <v>1086.2497000000001</v>
      </c>
    </row>
    <row r="2365" spans="1:5">
      <c r="A2365" s="485">
        <v>423030810200</v>
      </c>
      <c r="B2365" t="s">
        <v>3802</v>
      </c>
      <c r="C2365">
        <v>0</v>
      </c>
      <c r="D2365">
        <v>0</v>
      </c>
      <c r="E2365">
        <v>0</v>
      </c>
    </row>
    <row r="2366" spans="1:5">
      <c r="A2366" s="485">
        <v>423030870900</v>
      </c>
      <c r="B2366" t="s">
        <v>3803</v>
      </c>
      <c r="C2366">
        <v>0</v>
      </c>
      <c r="D2366">
        <v>0</v>
      </c>
      <c r="E2366">
        <v>0</v>
      </c>
    </row>
    <row r="2367" spans="1:5">
      <c r="A2367" s="485">
        <v>423030877700</v>
      </c>
      <c r="B2367" t="s">
        <v>3804</v>
      </c>
      <c r="C2367">
        <v>0</v>
      </c>
      <c r="D2367">
        <v>5.694</v>
      </c>
      <c r="E2367">
        <v>5.694</v>
      </c>
    </row>
    <row r="2368" spans="1:5">
      <c r="A2368" s="485">
        <v>423030874500</v>
      </c>
      <c r="B2368" t="s">
        <v>3805</v>
      </c>
      <c r="C2368">
        <v>471.99979999999994</v>
      </c>
      <c r="D2368">
        <v>87.942400000000006</v>
      </c>
      <c r="E2368">
        <v>559.94219999999996</v>
      </c>
    </row>
    <row r="2369" spans="1:5">
      <c r="A2369" s="485">
        <v>423030856000</v>
      </c>
      <c r="B2369" t="s">
        <v>3806</v>
      </c>
      <c r="C2369">
        <v>0</v>
      </c>
      <c r="D2369">
        <v>0</v>
      </c>
      <c r="E2369">
        <v>0</v>
      </c>
    </row>
    <row r="2370" spans="1:5">
      <c r="A2370" s="485">
        <v>423031006900</v>
      </c>
      <c r="B2370" t="s">
        <v>3807</v>
      </c>
      <c r="C2370">
        <v>0</v>
      </c>
      <c r="D2370">
        <v>0</v>
      </c>
      <c r="E2370">
        <v>0</v>
      </c>
    </row>
    <row r="2371" spans="1:5">
      <c r="A2371" s="485">
        <v>423031000700</v>
      </c>
      <c r="B2371" t="s">
        <v>3808</v>
      </c>
      <c r="C2371">
        <v>0</v>
      </c>
      <c r="D2371">
        <v>0</v>
      </c>
      <c r="E2371">
        <v>0</v>
      </c>
    </row>
    <row r="2372" spans="1:5">
      <c r="A2372" s="485">
        <v>423030866900</v>
      </c>
      <c r="B2372" t="s">
        <v>3809</v>
      </c>
      <c r="C2372">
        <v>31.193400000000004</v>
      </c>
      <c r="D2372">
        <v>6.7349999999999994</v>
      </c>
      <c r="E2372">
        <v>37.928400000000003</v>
      </c>
    </row>
    <row r="2373" spans="1:5">
      <c r="A2373" s="485">
        <v>423030867000</v>
      </c>
      <c r="B2373" t="s">
        <v>3810</v>
      </c>
      <c r="C2373">
        <v>6383.0909000000001</v>
      </c>
      <c r="D2373">
        <v>4385.4223000000002</v>
      </c>
      <c r="E2373">
        <v>10768.513200000001</v>
      </c>
    </row>
    <row r="2374" spans="1:5">
      <c r="A2374" s="485">
        <v>423030995600</v>
      </c>
      <c r="B2374" t="s">
        <v>3811</v>
      </c>
      <c r="C2374">
        <v>0</v>
      </c>
      <c r="D2374">
        <v>0</v>
      </c>
      <c r="E2374">
        <v>0</v>
      </c>
    </row>
    <row r="2375" spans="1:5">
      <c r="A2375" s="485">
        <v>423030865000</v>
      </c>
      <c r="B2375" t="s">
        <v>3812</v>
      </c>
      <c r="C2375">
        <v>0</v>
      </c>
      <c r="D2375">
        <v>0</v>
      </c>
      <c r="E2375">
        <v>0</v>
      </c>
    </row>
    <row r="2376" spans="1:5">
      <c r="A2376" s="485">
        <v>423030833600</v>
      </c>
      <c r="B2376" t="s">
        <v>3813</v>
      </c>
      <c r="C2376">
        <v>0</v>
      </c>
      <c r="D2376">
        <v>0</v>
      </c>
      <c r="E2376">
        <v>0</v>
      </c>
    </row>
    <row r="2377" spans="1:5">
      <c r="A2377" s="485">
        <v>423030833600</v>
      </c>
      <c r="B2377" t="s">
        <v>3814</v>
      </c>
      <c r="C2377">
        <v>3.0332999999999997</v>
      </c>
      <c r="D2377">
        <v>1.06</v>
      </c>
      <c r="E2377">
        <v>4.0932999999999993</v>
      </c>
    </row>
    <row r="2378" spans="1:5">
      <c r="A2378" s="485">
        <v>423030803800</v>
      </c>
      <c r="B2378" t="s">
        <v>3815</v>
      </c>
      <c r="C2378">
        <v>1</v>
      </c>
      <c r="D2378">
        <v>1.1946000000000001</v>
      </c>
      <c r="E2378">
        <v>2.1946000000000003</v>
      </c>
    </row>
    <row r="2379" spans="1:5">
      <c r="A2379" s="485">
        <v>423031001500</v>
      </c>
      <c r="B2379" t="s">
        <v>3816</v>
      </c>
      <c r="C2379">
        <v>0</v>
      </c>
      <c r="D2379">
        <v>0</v>
      </c>
      <c r="E2379">
        <v>0</v>
      </c>
    </row>
    <row r="2380" spans="1:5">
      <c r="A2380" s="485">
        <v>423030877100</v>
      </c>
      <c r="B2380" t="s">
        <v>3817</v>
      </c>
      <c r="C2380">
        <v>0</v>
      </c>
      <c r="D2380">
        <v>0</v>
      </c>
      <c r="E2380">
        <v>0</v>
      </c>
    </row>
    <row r="2381" spans="1:5">
      <c r="A2381" s="485">
        <v>423031069900</v>
      </c>
      <c r="B2381" t="s">
        <v>3818</v>
      </c>
      <c r="C2381">
        <v>0</v>
      </c>
      <c r="D2381">
        <v>0</v>
      </c>
      <c r="E2381">
        <v>0</v>
      </c>
    </row>
    <row r="2382" spans="1:5">
      <c r="A2382" s="485">
        <v>423030872400</v>
      </c>
      <c r="B2382" t="s">
        <v>3819</v>
      </c>
      <c r="C2382">
        <v>6.0627000000000004</v>
      </c>
      <c r="D2382">
        <v>0.28210000000000002</v>
      </c>
      <c r="E2382">
        <v>6.3448000000000002</v>
      </c>
    </row>
    <row r="2383" spans="1:5">
      <c r="A2383" s="485">
        <v>423030877800</v>
      </c>
      <c r="B2383" t="s">
        <v>3820</v>
      </c>
      <c r="C2383">
        <v>0</v>
      </c>
      <c r="D2383">
        <v>0</v>
      </c>
      <c r="E2383">
        <v>0</v>
      </c>
    </row>
    <row r="2384" spans="1:5">
      <c r="A2384" s="485">
        <v>423030831200</v>
      </c>
      <c r="B2384" t="s">
        <v>3821</v>
      </c>
      <c r="C2384">
        <v>26.593800000000002</v>
      </c>
      <c r="D2384">
        <v>30.467500000000001</v>
      </c>
      <c r="E2384">
        <v>57.061300000000003</v>
      </c>
    </row>
    <row r="2385" spans="1:5">
      <c r="A2385" s="485">
        <v>423030862100</v>
      </c>
      <c r="B2385" t="s">
        <v>3822</v>
      </c>
      <c r="C2385">
        <v>0</v>
      </c>
      <c r="D2385">
        <v>0</v>
      </c>
      <c r="E2385">
        <v>0</v>
      </c>
    </row>
    <row r="2386" spans="1:5">
      <c r="A2386" s="485">
        <v>423031006800</v>
      </c>
      <c r="B2386">
        <v>9006784492</v>
      </c>
      <c r="C2386">
        <v>11.9846</v>
      </c>
      <c r="D2386">
        <v>1.4196</v>
      </c>
      <c r="E2386">
        <v>13.404199999999999</v>
      </c>
    </row>
    <row r="2387" spans="1:5">
      <c r="A2387" s="485">
        <v>423030833700</v>
      </c>
      <c r="B2387" t="s">
        <v>3823</v>
      </c>
      <c r="C2387">
        <v>128.67580000000001</v>
      </c>
      <c r="D2387">
        <v>19.133800000000001</v>
      </c>
      <c r="E2387">
        <v>147.80960000000002</v>
      </c>
    </row>
    <row r="2388" spans="1:5">
      <c r="A2388" s="485">
        <v>423031233100</v>
      </c>
      <c r="B2388" t="s">
        <v>3824</v>
      </c>
      <c r="C2388">
        <v>0</v>
      </c>
      <c r="D2388">
        <v>149.577</v>
      </c>
      <c r="E2388">
        <v>149.577</v>
      </c>
    </row>
    <row r="2389" spans="1:5">
      <c r="A2389" s="485">
        <v>423030806700</v>
      </c>
      <c r="B2389" t="s">
        <v>3825</v>
      </c>
      <c r="C2389">
        <v>191.92070000000001</v>
      </c>
      <c r="D2389">
        <v>7.3528000000000002</v>
      </c>
      <c r="E2389">
        <v>199.27350000000001</v>
      </c>
    </row>
    <row r="2390" spans="1:5">
      <c r="A2390" s="485">
        <v>423030877900</v>
      </c>
      <c r="B2390" t="s">
        <v>3826</v>
      </c>
      <c r="C2390">
        <v>1</v>
      </c>
      <c r="D2390">
        <v>1.9601000000000002</v>
      </c>
      <c r="E2390">
        <v>2.9601000000000002</v>
      </c>
    </row>
    <row r="2391" spans="1:5">
      <c r="A2391" s="485">
        <v>423030806900</v>
      </c>
      <c r="B2391" t="s">
        <v>3827</v>
      </c>
      <c r="C2391">
        <v>1.6667000000000001</v>
      </c>
      <c r="D2391">
        <v>1.0648</v>
      </c>
      <c r="E2391">
        <v>2.7315</v>
      </c>
    </row>
    <row r="2392" spans="1:5">
      <c r="A2392" s="485">
        <v>423030873800</v>
      </c>
      <c r="B2392" t="s">
        <v>3828</v>
      </c>
      <c r="C2392">
        <v>30.333299999999998</v>
      </c>
      <c r="D2392">
        <v>5.6239999999999997</v>
      </c>
      <c r="E2392">
        <v>35.957299999999996</v>
      </c>
    </row>
    <row r="2393" spans="1:5">
      <c r="A2393" s="485">
        <v>423030807400</v>
      </c>
      <c r="B2393" t="s">
        <v>3829</v>
      </c>
      <c r="C2393">
        <v>0</v>
      </c>
      <c r="D2393">
        <v>6.1685000000000008</v>
      </c>
      <c r="E2393">
        <v>6.1685000000000008</v>
      </c>
    </row>
    <row r="2394" spans="1:5">
      <c r="A2394" s="485">
        <v>423030807300</v>
      </c>
      <c r="B2394" t="s">
        <v>3830</v>
      </c>
      <c r="C2394">
        <v>58.951500000000003</v>
      </c>
      <c r="D2394">
        <v>50.559599999999996</v>
      </c>
      <c r="E2394">
        <v>109.5111</v>
      </c>
    </row>
    <row r="2395" spans="1:5">
      <c r="A2395" s="485">
        <v>423030859800</v>
      </c>
      <c r="B2395" t="s">
        <v>3831</v>
      </c>
      <c r="C2395">
        <v>0</v>
      </c>
      <c r="D2395">
        <v>0</v>
      </c>
      <c r="E2395">
        <v>0</v>
      </c>
    </row>
    <row r="2396" spans="1:5">
      <c r="A2396" s="485">
        <v>423031267900</v>
      </c>
      <c r="B2396" t="s">
        <v>3832</v>
      </c>
      <c r="C2396">
        <v>1.4823999999999999</v>
      </c>
      <c r="D2396">
        <v>1.02</v>
      </c>
      <c r="E2396">
        <v>2.5023999999999997</v>
      </c>
    </row>
    <row r="2397" spans="1:5">
      <c r="A2397" s="485">
        <v>423030807900</v>
      </c>
      <c r="B2397" t="s">
        <v>3833</v>
      </c>
      <c r="C2397">
        <v>0</v>
      </c>
      <c r="D2397">
        <v>0</v>
      </c>
      <c r="E2397">
        <v>0</v>
      </c>
    </row>
    <row r="2398" spans="1:5">
      <c r="A2398" s="485">
        <v>423030839100</v>
      </c>
      <c r="B2398" t="s">
        <v>3834</v>
      </c>
      <c r="C2398">
        <v>93.350200000000001</v>
      </c>
      <c r="D2398">
        <v>21.25</v>
      </c>
      <c r="E2398">
        <v>114.6002</v>
      </c>
    </row>
    <row r="2399" spans="1:5">
      <c r="A2399" s="485">
        <v>423030839300</v>
      </c>
      <c r="B2399" t="s">
        <v>3835</v>
      </c>
      <c r="C2399">
        <v>0</v>
      </c>
      <c r="D2399">
        <v>11.4245</v>
      </c>
      <c r="E2399">
        <v>11.4245</v>
      </c>
    </row>
    <row r="2400" spans="1:5">
      <c r="A2400" s="485">
        <v>423030839900</v>
      </c>
      <c r="B2400" t="s">
        <v>3836</v>
      </c>
      <c r="C2400">
        <v>220.79689999999999</v>
      </c>
      <c r="D2400">
        <v>45.081400000000002</v>
      </c>
      <c r="E2400">
        <v>265.87829999999997</v>
      </c>
    </row>
    <row r="2401" spans="1:5">
      <c r="A2401" s="485">
        <v>423031001400</v>
      </c>
      <c r="B2401" t="s">
        <v>3837</v>
      </c>
      <c r="C2401">
        <v>19</v>
      </c>
      <c r="D2401">
        <v>0</v>
      </c>
      <c r="E2401">
        <v>19</v>
      </c>
    </row>
    <row r="2402" spans="1:5">
      <c r="A2402" s="485">
        <v>423031001400</v>
      </c>
      <c r="B2402" t="s">
        <v>3838</v>
      </c>
      <c r="C2402">
        <v>52503</v>
      </c>
      <c r="D2402">
        <v>81001.502399999998</v>
      </c>
      <c r="E2402">
        <v>133504.5024</v>
      </c>
    </row>
    <row r="2403" spans="1:5">
      <c r="A2403" s="485">
        <v>423030862500</v>
      </c>
      <c r="B2403">
        <v>9004719718</v>
      </c>
      <c r="C2403">
        <v>473.99990000000003</v>
      </c>
      <c r="D2403">
        <v>75.657399999999996</v>
      </c>
      <c r="E2403">
        <v>549.65730000000008</v>
      </c>
    </row>
    <row r="2404" spans="1:5">
      <c r="A2404" s="485">
        <v>423030865900</v>
      </c>
      <c r="B2404" t="s">
        <v>3839</v>
      </c>
      <c r="C2404">
        <v>0</v>
      </c>
      <c r="D2404">
        <v>0</v>
      </c>
      <c r="E2404">
        <v>0</v>
      </c>
    </row>
    <row r="2405" spans="1:5">
      <c r="A2405" s="485">
        <v>423030866400</v>
      </c>
      <c r="B2405">
        <v>9007019573</v>
      </c>
      <c r="C2405">
        <v>18.660999999999998</v>
      </c>
      <c r="D2405">
        <v>12.997200000000003</v>
      </c>
      <c r="E2405">
        <v>31.658200000000001</v>
      </c>
    </row>
    <row r="2406" spans="1:5">
      <c r="A2406" s="485">
        <v>423031072700</v>
      </c>
      <c r="B2406" t="s">
        <v>3840</v>
      </c>
      <c r="C2406">
        <v>13.211500000000001</v>
      </c>
      <c r="D2406">
        <v>1.5209999999999999</v>
      </c>
      <c r="E2406">
        <v>14.732500000000002</v>
      </c>
    </row>
    <row r="2407" spans="1:5">
      <c r="A2407" s="485">
        <v>423030817500</v>
      </c>
      <c r="B2407" t="s">
        <v>3841</v>
      </c>
      <c r="C2407">
        <v>179.92060000000001</v>
      </c>
      <c r="D2407">
        <v>1.3377000000000001</v>
      </c>
      <c r="E2407">
        <v>181.25830000000002</v>
      </c>
    </row>
    <row r="2408" spans="1:5">
      <c r="A2408" s="485">
        <v>423030834100</v>
      </c>
      <c r="B2408">
        <v>201845034767</v>
      </c>
      <c r="C2408">
        <v>0</v>
      </c>
      <c r="D2408">
        <v>0</v>
      </c>
      <c r="E2408">
        <v>0</v>
      </c>
    </row>
    <row r="2409" spans="1:5">
      <c r="A2409" s="485">
        <v>423030834100</v>
      </c>
      <c r="B2409" t="s">
        <v>3842</v>
      </c>
      <c r="C2409">
        <v>1</v>
      </c>
      <c r="D2409">
        <v>0.43920000000000003</v>
      </c>
      <c r="E2409">
        <v>1.4392</v>
      </c>
    </row>
    <row r="2410" spans="1:5">
      <c r="A2410" s="485">
        <v>423030969100</v>
      </c>
      <c r="B2410" t="s">
        <v>3843</v>
      </c>
      <c r="C2410">
        <v>0</v>
      </c>
      <c r="D2410">
        <v>0</v>
      </c>
      <c r="E2410">
        <v>0</v>
      </c>
    </row>
    <row r="2411" spans="1:5">
      <c r="A2411" s="485">
        <v>423031194000</v>
      </c>
      <c r="B2411" t="s">
        <v>3844</v>
      </c>
      <c r="C2411">
        <v>0</v>
      </c>
      <c r="D2411">
        <v>0</v>
      </c>
      <c r="E2411">
        <v>0</v>
      </c>
    </row>
    <row r="2412" spans="1:5">
      <c r="A2412" s="485">
        <v>423031194000</v>
      </c>
      <c r="B2412" t="s">
        <v>3845</v>
      </c>
      <c r="C2412">
        <v>6046.2459000000008</v>
      </c>
      <c r="D2412">
        <v>571.68960000000004</v>
      </c>
      <c r="E2412">
        <v>6617.9355000000005</v>
      </c>
    </row>
    <row r="2413" spans="1:5">
      <c r="A2413" s="485">
        <v>423030819600</v>
      </c>
      <c r="B2413" t="s">
        <v>3846</v>
      </c>
      <c r="C2413">
        <v>211.36359999999999</v>
      </c>
      <c r="D2413">
        <v>30.482299999999999</v>
      </c>
      <c r="E2413">
        <v>241.8459</v>
      </c>
    </row>
    <row r="2414" spans="1:5">
      <c r="A2414" s="485">
        <v>423030819800</v>
      </c>
      <c r="B2414" t="s">
        <v>3847</v>
      </c>
      <c r="C2414">
        <v>6.200400000000001</v>
      </c>
      <c r="D2414">
        <v>0</v>
      </c>
      <c r="E2414">
        <v>6.200400000000001</v>
      </c>
    </row>
    <row r="2415" spans="1:5">
      <c r="A2415" s="485">
        <v>423030820300</v>
      </c>
      <c r="B2415" t="s">
        <v>3848</v>
      </c>
      <c r="C2415">
        <v>0</v>
      </c>
      <c r="D2415">
        <v>0</v>
      </c>
      <c r="E2415">
        <v>0</v>
      </c>
    </row>
    <row r="2416" spans="1:5">
      <c r="A2416" s="485">
        <v>423030820400</v>
      </c>
      <c r="B2416" t="s">
        <v>3849</v>
      </c>
      <c r="C2416">
        <v>0</v>
      </c>
      <c r="D2416">
        <v>0</v>
      </c>
      <c r="E2416">
        <v>0</v>
      </c>
    </row>
    <row r="2417" spans="1:5">
      <c r="A2417" s="485">
        <v>423031517400</v>
      </c>
      <c r="B2417" t="s">
        <v>3850</v>
      </c>
      <c r="C2417">
        <v>1</v>
      </c>
      <c r="D2417">
        <v>4.8099000000000007</v>
      </c>
      <c r="E2417">
        <v>5.8099000000000007</v>
      </c>
    </row>
    <row r="2418" spans="1:5">
      <c r="A2418" s="485">
        <v>423030820500</v>
      </c>
      <c r="B2418" t="s">
        <v>3851</v>
      </c>
      <c r="C2418">
        <v>2.4588999999999999</v>
      </c>
      <c r="D2418">
        <v>1.2269000000000001</v>
      </c>
      <c r="E2418">
        <v>3.6858</v>
      </c>
    </row>
    <row r="2419" spans="1:5">
      <c r="A2419" s="485">
        <v>423030988400</v>
      </c>
      <c r="B2419" t="s">
        <v>3852</v>
      </c>
      <c r="C2419">
        <v>8.059099999999999</v>
      </c>
      <c r="D2419">
        <v>3.3696000000000002</v>
      </c>
      <c r="E2419">
        <v>11.428699999999999</v>
      </c>
    </row>
    <row r="2420" spans="1:5">
      <c r="A2420" s="485">
        <v>423030876500</v>
      </c>
      <c r="B2420" t="s">
        <v>3853</v>
      </c>
      <c r="C2420">
        <v>0</v>
      </c>
      <c r="D2420">
        <v>0</v>
      </c>
      <c r="E2420">
        <v>0</v>
      </c>
    </row>
    <row r="2421" spans="1:5">
      <c r="A2421" s="485">
        <v>423030825000</v>
      </c>
      <c r="B2421" t="s">
        <v>3854</v>
      </c>
      <c r="C2421">
        <v>25.8889</v>
      </c>
      <c r="D2421">
        <v>11.354199999999999</v>
      </c>
      <c r="E2421">
        <v>37.243099999999998</v>
      </c>
    </row>
    <row r="2422" spans="1:5">
      <c r="A2422" s="485">
        <v>423030824600</v>
      </c>
      <c r="B2422" t="s">
        <v>3855</v>
      </c>
      <c r="C2422">
        <v>1.4444000000000001</v>
      </c>
      <c r="D2422">
        <v>1.83</v>
      </c>
      <c r="E2422">
        <v>3.2744</v>
      </c>
    </row>
    <row r="2423" spans="1:5">
      <c r="A2423" s="485">
        <v>423031001900</v>
      </c>
      <c r="B2423" t="s">
        <v>3856</v>
      </c>
      <c r="C2423">
        <v>0</v>
      </c>
      <c r="D2423">
        <v>0</v>
      </c>
      <c r="E2423">
        <v>0</v>
      </c>
    </row>
    <row r="2424" spans="1:5">
      <c r="A2424" s="485">
        <v>423030834300</v>
      </c>
      <c r="B2424" t="s">
        <v>3857</v>
      </c>
      <c r="C2424">
        <v>220.00020000000004</v>
      </c>
      <c r="D2424">
        <v>30.666999999999998</v>
      </c>
      <c r="E2424">
        <v>250.66720000000004</v>
      </c>
    </row>
    <row r="2425" spans="1:5">
      <c r="A2425" s="485">
        <v>423030989000</v>
      </c>
      <c r="B2425" t="s">
        <v>3858</v>
      </c>
      <c r="C2425">
        <v>0</v>
      </c>
      <c r="D2425">
        <v>0</v>
      </c>
      <c r="E2425">
        <v>0</v>
      </c>
    </row>
    <row r="2426" spans="1:5">
      <c r="A2426" s="485">
        <v>423030874700</v>
      </c>
      <c r="B2426" t="s">
        <v>3859</v>
      </c>
      <c r="C2426">
        <v>0</v>
      </c>
      <c r="D2426">
        <v>0</v>
      </c>
      <c r="E2426">
        <v>0</v>
      </c>
    </row>
    <row r="2427" spans="1:5">
      <c r="A2427" s="485">
        <v>423030824700</v>
      </c>
      <c r="B2427" t="s">
        <v>3860</v>
      </c>
      <c r="C2427">
        <v>0</v>
      </c>
      <c r="D2427">
        <v>0</v>
      </c>
      <c r="E2427">
        <v>0</v>
      </c>
    </row>
    <row r="2428" spans="1:5">
      <c r="A2428" s="485">
        <v>423030856100</v>
      </c>
      <c r="B2428" t="s">
        <v>3861</v>
      </c>
      <c r="C2428">
        <v>11.645199999999999</v>
      </c>
      <c r="D2428">
        <v>4.4098000000000006</v>
      </c>
      <c r="E2428">
        <v>16.055</v>
      </c>
    </row>
    <row r="2429" spans="1:5">
      <c r="A2429" s="485">
        <v>423030828300</v>
      </c>
      <c r="B2429" t="s">
        <v>3862</v>
      </c>
      <c r="C2429">
        <v>0</v>
      </c>
      <c r="D2429">
        <v>0</v>
      </c>
      <c r="E2429">
        <v>0</v>
      </c>
    </row>
    <row r="2430" spans="1:5">
      <c r="A2430" s="485">
        <v>423030828300</v>
      </c>
      <c r="B2430" t="s">
        <v>3863</v>
      </c>
      <c r="C2430">
        <v>26.25</v>
      </c>
      <c r="D2430">
        <v>29.907100000000003</v>
      </c>
      <c r="E2430">
        <v>56.1571</v>
      </c>
    </row>
    <row r="2431" spans="1:5">
      <c r="A2431" s="485">
        <v>423031561900</v>
      </c>
      <c r="B2431" t="s">
        <v>3864</v>
      </c>
      <c r="C2431">
        <v>1</v>
      </c>
      <c r="D2431">
        <v>2.1429999999999998</v>
      </c>
      <c r="E2431">
        <v>3.1429999999999998</v>
      </c>
    </row>
    <row r="2432" spans="1:5">
      <c r="A2432" s="485">
        <v>423030865500</v>
      </c>
      <c r="B2432" t="s">
        <v>3865</v>
      </c>
      <c r="C2432">
        <v>456.42860000000002</v>
      </c>
      <c r="D2432">
        <v>73.441999999999993</v>
      </c>
      <c r="E2432">
        <v>529.87059999999997</v>
      </c>
    </row>
    <row r="2433" spans="1:5">
      <c r="A2433" s="485">
        <v>423030818200</v>
      </c>
      <c r="B2433" t="s">
        <v>3866</v>
      </c>
      <c r="C2433">
        <v>0</v>
      </c>
      <c r="D2433">
        <v>0</v>
      </c>
      <c r="E2433">
        <v>0</v>
      </c>
    </row>
    <row r="2434" spans="1:5">
      <c r="A2434" s="485">
        <v>423030808100</v>
      </c>
      <c r="B2434" t="s">
        <v>3867</v>
      </c>
      <c r="C2434">
        <v>18</v>
      </c>
      <c r="D2434">
        <v>0</v>
      </c>
      <c r="E2434">
        <v>18</v>
      </c>
    </row>
    <row r="2435" spans="1:5">
      <c r="A2435" s="485">
        <v>423030808100</v>
      </c>
      <c r="B2435" t="s">
        <v>3868</v>
      </c>
      <c r="C2435">
        <v>49.963100000000004</v>
      </c>
      <c r="D2435">
        <v>12.750999999999999</v>
      </c>
      <c r="E2435">
        <v>62.714100000000002</v>
      </c>
    </row>
    <row r="2436" spans="1:5">
      <c r="A2436" s="485">
        <v>423031012000</v>
      </c>
      <c r="B2436" t="s">
        <v>3869</v>
      </c>
      <c r="C2436">
        <v>2.3281000000000001</v>
      </c>
      <c r="D2436">
        <v>1.1255999999999999</v>
      </c>
      <c r="E2436">
        <v>3.4537</v>
      </c>
    </row>
    <row r="2437" spans="1:5">
      <c r="A2437" s="485">
        <v>423030818100</v>
      </c>
      <c r="B2437" t="s">
        <v>3870</v>
      </c>
      <c r="C2437">
        <v>0</v>
      </c>
      <c r="D2437">
        <v>0</v>
      </c>
      <c r="E2437">
        <v>0</v>
      </c>
    </row>
    <row r="2438" spans="1:5">
      <c r="A2438" s="485">
        <v>423030818100</v>
      </c>
      <c r="B2438" t="s">
        <v>3871</v>
      </c>
      <c r="C2438">
        <v>0</v>
      </c>
      <c r="D2438">
        <v>18.8705</v>
      </c>
      <c r="E2438">
        <v>18.8705</v>
      </c>
    </row>
    <row r="2439" spans="1:5">
      <c r="A2439" s="485">
        <v>423030818100</v>
      </c>
      <c r="B2439" t="s">
        <v>3872</v>
      </c>
      <c r="C2439">
        <v>33.760499999999993</v>
      </c>
      <c r="D2439">
        <v>29.933300000000003</v>
      </c>
      <c r="E2439">
        <v>63.693799999999996</v>
      </c>
    </row>
    <row r="2440" spans="1:5">
      <c r="A2440" s="485">
        <v>423031255600</v>
      </c>
      <c r="B2440" t="s">
        <v>3873</v>
      </c>
      <c r="C2440">
        <v>0</v>
      </c>
      <c r="D2440">
        <v>0</v>
      </c>
      <c r="E2440">
        <v>0</v>
      </c>
    </row>
    <row r="2441" spans="1:5">
      <c r="A2441" s="485">
        <v>423030995400</v>
      </c>
      <c r="B2441" t="s">
        <v>3874</v>
      </c>
      <c r="C2441">
        <v>0</v>
      </c>
      <c r="D2441">
        <v>5.694</v>
      </c>
      <c r="E2441">
        <v>5.694</v>
      </c>
    </row>
    <row r="2442" spans="1:5">
      <c r="A2442" s="485">
        <v>423030872500</v>
      </c>
      <c r="B2442" t="s">
        <v>3875</v>
      </c>
      <c r="C2442">
        <v>71.415300000000002</v>
      </c>
      <c r="D2442">
        <v>2.9799000000000002</v>
      </c>
      <c r="E2442">
        <v>74.395200000000003</v>
      </c>
    </row>
    <row r="2443" spans="1:5">
      <c r="A2443" s="485">
        <v>423031251000</v>
      </c>
      <c r="B2443" t="s">
        <v>3876</v>
      </c>
      <c r="C2443">
        <v>0</v>
      </c>
      <c r="D2443">
        <v>0</v>
      </c>
      <c r="E2443">
        <v>0</v>
      </c>
    </row>
    <row r="2444" spans="1:5">
      <c r="A2444" s="485">
        <v>423030845000</v>
      </c>
      <c r="B2444" t="s">
        <v>3877</v>
      </c>
      <c r="C2444">
        <v>212.0548</v>
      </c>
      <c r="D2444">
        <v>11.0016</v>
      </c>
      <c r="E2444">
        <v>223.0564</v>
      </c>
    </row>
    <row r="2445" spans="1:5">
      <c r="A2445" s="485">
        <v>423030847200</v>
      </c>
      <c r="B2445" t="s">
        <v>3878</v>
      </c>
      <c r="C2445">
        <v>925.18640000000005</v>
      </c>
      <c r="D2445">
        <v>108.6763</v>
      </c>
      <c r="E2445">
        <v>1033.8627000000001</v>
      </c>
    </row>
    <row r="2446" spans="1:5">
      <c r="A2446" s="485">
        <v>423030847300</v>
      </c>
      <c r="B2446" t="s">
        <v>3879</v>
      </c>
      <c r="C2446">
        <v>6.9999999999999982</v>
      </c>
      <c r="D2446">
        <v>1.4479000000000002</v>
      </c>
      <c r="E2446">
        <v>8.4478999999999989</v>
      </c>
    </row>
    <row r="2447" spans="1:5">
      <c r="A2447" s="485">
        <v>423030872600</v>
      </c>
      <c r="B2447" t="s">
        <v>3880</v>
      </c>
      <c r="C2447">
        <v>61.677500000000002</v>
      </c>
      <c r="D2447">
        <v>3.5034999999999998</v>
      </c>
      <c r="E2447">
        <v>65.180999999999997</v>
      </c>
    </row>
    <row r="2448" spans="1:5">
      <c r="A2448" s="485">
        <v>423030870700</v>
      </c>
      <c r="B2448" t="s">
        <v>3881</v>
      </c>
      <c r="C2448">
        <v>0</v>
      </c>
      <c r="D2448">
        <v>319.375</v>
      </c>
      <c r="E2448">
        <v>319.375</v>
      </c>
    </row>
    <row r="2449" spans="1:5">
      <c r="A2449" s="485">
        <v>423030870700</v>
      </c>
      <c r="B2449" t="s">
        <v>3882</v>
      </c>
      <c r="C2449">
        <v>0</v>
      </c>
      <c r="D2449">
        <v>4.7111999999999998</v>
      </c>
      <c r="E2449">
        <v>4.7111999999999998</v>
      </c>
    </row>
    <row r="2450" spans="1:5">
      <c r="A2450" s="485">
        <v>423030843300</v>
      </c>
      <c r="B2450" t="s">
        <v>3883</v>
      </c>
      <c r="C2450">
        <v>0</v>
      </c>
      <c r="D2450">
        <v>0</v>
      </c>
      <c r="E2450">
        <v>0</v>
      </c>
    </row>
    <row r="2451" spans="1:5">
      <c r="A2451" s="485">
        <v>423030859900</v>
      </c>
      <c r="B2451" t="s">
        <v>3884</v>
      </c>
      <c r="C2451">
        <v>33.258099999999999</v>
      </c>
      <c r="D2451">
        <v>3.2673999999999999</v>
      </c>
      <c r="E2451">
        <v>36.525500000000001</v>
      </c>
    </row>
    <row r="2452" spans="1:5">
      <c r="A2452" s="485">
        <v>423030827400</v>
      </c>
      <c r="B2452" t="s">
        <v>3885</v>
      </c>
      <c r="C2452">
        <v>0</v>
      </c>
      <c r="D2452">
        <v>0</v>
      </c>
      <c r="E2452">
        <v>0</v>
      </c>
    </row>
    <row r="2453" spans="1:5">
      <c r="A2453" s="485">
        <v>423030957000</v>
      </c>
      <c r="B2453" t="s">
        <v>3886</v>
      </c>
      <c r="C2453">
        <v>0</v>
      </c>
      <c r="D2453">
        <v>0</v>
      </c>
      <c r="E2453">
        <v>0</v>
      </c>
    </row>
    <row r="2454" spans="1:5">
      <c r="A2454" s="485">
        <v>423030832800</v>
      </c>
      <c r="B2454" t="s">
        <v>3887</v>
      </c>
      <c r="C2454">
        <v>33.350200000000001</v>
      </c>
      <c r="D2454">
        <v>3.2369999999999997</v>
      </c>
      <c r="E2454">
        <v>36.587200000000003</v>
      </c>
    </row>
    <row r="2455" spans="1:5">
      <c r="A2455" s="485">
        <v>423030832800</v>
      </c>
      <c r="B2455" t="s">
        <v>3888</v>
      </c>
      <c r="C2455">
        <v>0</v>
      </c>
      <c r="D2455">
        <v>0</v>
      </c>
      <c r="E2455">
        <v>0</v>
      </c>
    </row>
    <row r="2456" spans="1:5">
      <c r="A2456" s="485">
        <v>423030844000</v>
      </c>
      <c r="B2456" t="s">
        <v>3889</v>
      </c>
      <c r="C2456">
        <v>0.99990000000000001</v>
      </c>
      <c r="D2456">
        <v>0.19519999999999998</v>
      </c>
      <c r="E2456">
        <v>1.1951000000000001</v>
      </c>
    </row>
    <row r="2457" spans="1:5">
      <c r="A2457" s="485">
        <v>423030825700</v>
      </c>
      <c r="B2457" t="s">
        <v>3890</v>
      </c>
      <c r="C2457">
        <v>0</v>
      </c>
      <c r="D2457">
        <v>7.008</v>
      </c>
      <c r="E2457">
        <v>7.008</v>
      </c>
    </row>
    <row r="2458" spans="1:5">
      <c r="A2458" s="485">
        <v>423030875400</v>
      </c>
      <c r="B2458" t="s">
        <v>3891</v>
      </c>
      <c r="C2458">
        <v>52.000000000000007</v>
      </c>
      <c r="D2458">
        <v>21.921400000000006</v>
      </c>
      <c r="E2458">
        <v>73.921400000000006</v>
      </c>
    </row>
    <row r="2459" spans="1:5">
      <c r="A2459" s="485">
        <v>423030870400</v>
      </c>
      <c r="B2459">
        <v>9007517572</v>
      </c>
      <c r="C2459">
        <v>50</v>
      </c>
      <c r="D2459">
        <v>89.242699999999999</v>
      </c>
      <c r="E2459">
        <v>139.24270000000001</v>
      </c>
    </row>
    <row r="2460" spans="1:5">
      <c r="A2460" s="485">
        <v>423030864100</v>
      </c>
      <c r="B2460" t="s">
        <v>3892</v>
      </c>
      <c r="C2460">
        <v>30.984300000000001</v>
      </c>
      <c r="D2460">
        <v>4.1113999999999997</v>
      </c>
      <c r="E2460">
        <v>35.095700000000001</v>
      </c>
    </row>
    <row r="2461" spans="1:5">
      <c r="A2461" s="485">
        <v>423030831300</v>
      </c>
      <c r="B2461" t="s">
        <v>3893</v>
      </c>
      <c r="C2461">
        <v>0</v>
      </c>
      <c r="D2461">
        <v>5.8035000000000005</v>
      </c>
      <c r="E2461">
        <v>5.8035000000000005</v>
      </c>
    </row>
    <row r="2462" spans="1:5">
      <c r="A2462" s="485">
        <v>423030988500</v>
      </c>
      <c r="B2462" t="s">
        <v>3894</v>
      </c>
      <c r="C2462">
        <v>0</v>
      </c>
      <c r="D2462">
        <v>0</v>
      </c>
      <c r="E2462">
        <v>0</v>
      </c>
    </row>
    <row r="2463" spans="1:5">
      <c r="A2463" s="485">
        <v>423030827000</v>
      </c>
      <c r="B2463" t="s">
        <v>3895</v>
      </c>
      <c r="C2463">
        <v>0</v>
      </c>
      <c r="D2463">
        <v>5.8764999999999992</v>
      </c>
      <c r="E2463">
        <v>5.8764999999999992</v>
      </c>
    </row>
    <row r="2464" spans="1:5">
      <c r="A2464" s="485">
        <v>423030833800</v>
      </c>
      <c r="B2464" t="s">
        <v>3896</v>
      </c>
      <c r="C2464">
        <v>5.6666999999999987</v>
      </c>
      <c r="D2464">
        <v>0.61879999999999991</v>
      </c>
      <c r="E2464">
        <v>6.285499999999999</v>
      </c>
    </row>
    <row r="2465" spans="1:5">
      <c r="A2465" s="485">
        <v>423030833500</v>
      </c>
      <c r="B2465" t="s">
        <v>3897</v>
      </c>
      <c r="C2465">
        <v>2.2418999999999998</v>
      </c>
      <c r="D2465">
        <v>1.2648999999999999</v>
      </c>
      <c r="E2465">
        <v>3.5067999999999997</v>
      </c>
    </row>
    <row r="2466" spans="1:5">
      <c r="A2466" s="485">
        <v>423030864300</v>
      </c>
      <c r="B2466" t="s">
        <v>3898</v>
      </c>
      <c r="C2466">
        <v>474</v>
      </c>
      <c r="D2466">
        <v>356.93509999999998</v>
      </c>
      <c r="E2466">
        <v>830.93509999999992</v>
      </c>
    </row>
    <row r="2467" spans="1:5">
      <c r="A2467" s="485">
        <v>423030826400</v>
      </c>
      <c r="B2467" t="s">
        <v>3899</v>
      </c>
      <c r="C2467">
        <v>2</v>
      </c>
      <c r="D2467">
        <v>6.5933999999999999</v>
      </c>
      <c r="E2467">
        <v>8.593399999999999</v>
      </c>
    </row>
    <row r="2468" spans="1:5">
      <c r="A2468" s="485">
        <v>423030834000</v>
      </c>
      <c r="B2468" t="s">
        <v>3900</v>
      </c>
      <c r="C2468">
        <v>39.333299999999994</v>
      </c>
      <c r="D2468">
        <v>13.8872</v>
      </c>
      <c r="E2468">
        <v>53.220499999999994</v>
      </c>
    </row>
    <row r="2469" spans="1:5">
      <c r="A2469" s="485">
        <v>423030864500</v>
      </c>
      <c r="B2469" t="s">
        <v>3901</v>
      </c>
      <c r="C2469">
        <v>44.748599999999996</v>
      </c>
      <c r="D2469">
        <v>11.293099999999999</v>
      </c>
      <c r="E2469">
        <v>56.041699999999992</v>
      </c>
    </row>
    <row r="2470" spans="1:5">
      <c r="A2470" s="485">
        <v>423030831400</v>
      </c>
      <c r="B2470" t="s">
        <v>3902</v>
      </c>
      <c r="C2470">
        <v>11</v>
      </c>
      <c r="D2470">
        <v>8.1547999999999998</v>
      </c>
      <c r="E2470">
        <v>19.154800000000002</v>
      </c>
    </row>
    <row r="2471" spans="1:5">
      <c r="A2471" s="485">
        <v>423030984600</v>
      </c>
      <c r="B2471" t="s">
        <v>3903</v>
      </c>
      <c r="C2471">
        <v>0</v>
      </c>
      <c r="D2471">
        <v>0</v>
      </c>
      <c r="E2471">
        <v>0</v>
      </c>
    </row>
    <row r="2472" spans="1:5">
      <c r="A2472" s="485">
        <v>423030833900</v>
      </c>
      <c r="B2472" t="s">
        <v>3904</v>
      </c>
      <c r="C2472">
        <v>145.4999</v>
      </c>
      <c r="D2472">
        <v>5.9969000000000001</v>
      </c>
      <c r="E2472">
        <v>151.49680000000001</v>
      </c>
    </row>
    <row r="2473" spans="1:5">
      <c r="A2473" s="485">
        <v>423030873300</v>
      </c>
      <c r="B2473" t="s">
        <v>3905</v>
      </c>
      <c r="C2473">
        <v>1</v>
      </c>
      <c r="D2473">
        <v>51.569599999999994</v>
      </c>
      <c r="E2473">
        <v>52.569599999999994</v>
      </c>
    </row>
    <row r="2474" spans="1:5">
      <c r="A2474" s="485">
        <v>423030833400</v>
      </c>
      <c r="B2474" t="s">
        <v>3906</v>
      </c>
      <c r="C2474">
        <v>5.5715000000000012</v>
      </c>
      <c r="D2474">
        <v>0.75900000000000001</v>
      </c>
      <c r="E2474">
        <v>6.3305000000000016</v>
      </c>
    </row>
    <row r="2475" spans="1:5">
      <c r="A2475" s="485">
        <v>423030817400</v>
      </c>
      <c r="B2475" t="s">
        <v>3907</v>
      </c>
      <c r="C2475">
        <v>21664.25</v>
      </c>
      <c r="D2475">
        <v>1.1254999999999999</v>
      </c>
      <c r="E2475">
        <v>21665.375499999998</v>
      </c>
    </row>
    <row r="2476" spans="1:5">
      <c r="A2476" s="485">
        <v>423030817400</v>
      </c>
      <c r="B2476" t="s">
        <v>3908</v>
      </c>
      <c r="C2476">
        <v>212.29700000000003</v>
      </c>
      <c r="D2476">
        <v>309.48129999999998</v>
      </c>
      <c r="E2476">
        <v>521.77829999999994</v>
      </c>
    </row>
    <row r="2477" spans="1:5">
      <c r="A2477" s="485">
        <v>423030864200</v>
      </c>
      <c r="B2477" t="s">
        <v>3909</v>
      </c>
      <c r="C2477">
        <v>85.587199999999996</v>
      </c>
      <c r="D2477">
        <v>29.209099999999999</v>
      </c>
      <c r="E2477">
        <v>114.7963</v>
      </c>
    </row>
    <row r="2478" spans="1:5">
      <c r="A2478" s="485">
        <v>423030822400</v>
      </c>
      <c r="B2478" t="s">
        <v>3910</v>
      </c>
      <c r="C2478">
        <v>0</v>
      </c>
      <c r="D2478">
        <v>247.47000000000003</v>
      </c>
      <c r="E2478">
        <v>247.47000000000003</v>
      </c>
    </row>
    <row r="2479" spans="1:5">
      <c r="A2479" s="485">
        <v>423030822400</v>
      </c>
      <c r="B2479" t="s">
        <v>3911</v>
      </c>
      <c r="C2479">
        <v>2233.5518999999999</v>
      </c>
      <c r="D2479">
        <v>213.1268</v>
      </c>
      <c r="E2479">
        <v>2446.6786999999999</v>
      </c>
    </row>
    <row r="2480" spans="1:5">
      <c r="A2480" s="485">
        <v>423030821500</v>
      </c>
      <c r="B2480" t="s">
        <v>3912</v>
      </c>
      <c r="C2480">
        <v>0</v>
      </c>
      <c r="D2480">
        <v>0</v>
      </c>
      <c r="E2480">
        <v>0</v>
      </c>
    </row>
    <row r="2481" spans="1:5">
      <c r="A2481" s="485">
        <v>423030833200</v>
      </c>
      <c r="B2481" t="s">
        <v>3913</v>
      </c>
      <c r="C2481">
        <v>2.1250999999999998</v>
      </c>
      <c r="D2481">
        <v>1.4586999999999999</v>
      </c>
      <c r="E2481">
        <v>3.5837999999999997</v>
      </c>
    </row>
    <row r="2482" spans="1:5">
      <c r="A2482" s="485">
        <v>423030821700</v>
      </c>
      <c r="B2482" t="s">
        <v>3914</v>
      </c>
      <c r="C2482">
        <v>0</v>
      </c>
      <c r="D2482">
        <v>0</v>
      </c>
      <c r="E2482">
        <v>0</v>
      </c>
    </row>
    <row r="2483" spans="1:5">
      <c r="A2483" s="485">
        <v>423030870200</v>
      </c>
      <c r="B2483" t="s">
        <v>3915</v>
      </c>
      <c r="C2483">
        <v>369.38700000000006</v>
      </c>
      <c r="D2483">
        <v>2.5116000000000001</v>
      </c>
      <c r="E2483">
        <v>371.89860000000004</v>
      </c>
    </row>
    <row r="2484" spans="1:5">
      <c r="A2484" s="485">
        <v>423030875100</v>
      </c>
      <c r="B2484" t="s">
        <v>3916</v>
      </c>
      <c r="C2484">
        <v>0</v>
      </c>
      <c r="D2484">
        <v>0</v>
      </c>
      <c r="E2484">
        <v>0</v>
      </c>
    </row>
    <row r="2485" spans="1:5">
      <c r="A2485" s="485">
        <v>423030854800</v>
      </c>
      <c r="B2485">
        <v>9002300155</v>
      </c>
      <c r="C2485">
        <v>4.5484999999999998</v>
      </c>
      <c r="D2485">
        <v>2.0272000000000001</v>
      </c>
      <c r="E2485">
        <v>6.5756999999999994</v>
      </c>
    </row>
    <row r="2486" spans="1:5">
      <c r="A2486" s="485">
        <v>423030832500</v>
      </c>
      <c r="B2486" t="s">
        <v>3917</v>
      </c>
      <c r="C2486">
        <v>0</v>
      </c>
      <c r="D2486">
        <v>0</v>
      </c>
      <c r="E2486">
        <v>0</v>
      </c>
    </row>
    <row r="2487" spans="1:5">
      <c r="A2487" s="485">
        <v>423030819500</v>
      </c>
      <c r="B2487" t="s">
        <v>3918</v>
      </c>
      <c r="C2487">
        <v>11.780000000000001</v>
      </c>
      <c r="D2487">
        <v>1.2449999999999999</v>
      </c>
      <c r="E2487">
        <v>13.025</v>
      </c>
    </row>
    <row r="2488" spans="1:5">
      <c r="A2488" s="485">
        <v>423030833300</v>
      </c>
      <c r="B2488">
        <v>9001722321</v>
      </c>
      <c r="C2488">
        <v>14.100000000000001</v>
      </c>
      <c r="D2488">
        <v>0.71889999999999998</v>
      </c>
      <c r="E2488">
        <v>14.818900000000001</v>
      </c>
    </row>
    <row r="2489" spans="1:5">
      <c r="A2489" s="485">
        <v>423030820800</v>
      </c>
      <c r="B2489" t="s">
        <v>3919</v>
      </c>
      <c r="C2489">
        <v>0.61670000000000003</v>
      </c>
      <c r="D2489">
        <v>0.81809999999999994</v>
      </c>
      <c r="E2489">
        <v>1.4348000000000001</v>
      </c>
    </row>
    <row r="2490" spans="1:5">
      <c r="A2490" s="485">
        <v>423030869100</v>
      </c>
      <c r="B2490" t="s">
        <v>3920</v>
      </c>
      <c r="C2490">
        <v>214.76569999999998</v>
      </c>
      <c r="D2490">
        <v>114.1148</v>
      </c>
      <c r="E2490">
        <v>328.88049999999998</v>
      </c>
    </row>
    <row r="2491" spans="1:5">
      <c r="A2491" s="485">
        <v>423030856300</v>
      </c>
      <c r="B2491" t="s">
        <v>3921</v>
      </c>
      <c r="C2491">
        <v>44.741900000000001</v>
      </c>
      <c r="D2491">
        <v>8.6021000000000001</v>
      </c>
      <c r="E2491">
        <v>53.344000000000001</v>
      </c>
    </row>
    <row r="2492" spans="1:5">
      <c r="A2492" s="485">
        <v>423030829200</v>
      </c>
      <c r="B2492" t="s">
        <v>3922</v>
      </c>
      <c r="C2492">
        <v>26.000100000000003</v>
      </c>
      <c r="D2492">
        <v>122</v>
      </c>
      <c r="E2492">
        <v>148.0001</v>
      </c>
    </row>
    <row r="2493" spans="1:5">
      <c r="A2493" s="485">
        <v>423030829200</v>
      </c>
      <c r="B2493" t="s">
        <v>3923</v>
      </c>
      <c r="C2493">
        <v>32</v>
      </c>
      <c r="D2493">
        <v>0.53689999999999993</v>
      </c>
      <c r="E2493">
        <v>32.536900000000003</v>
      </c>
    </row>
    <row r="2494" spans="1:5">
      <c r="A2494" s="485">
        <v>423030829100</v>
      </c>
      <c r="B2494" t="s">
        <v>3924</v>
      </c>
      <c r="C2494">
        <v>8.7346000000000004</v>
      </c>
      <c r="D2494">
        <v>0.4466</v>
      </c>
      <c r="E2494">
        <v>9.1812000000000005</v>
      </c>
    </row>
    <row r="2495" spans="1:5">
      <c r="A2495" s="485">
        <v>423030831900</v>
      </c>
      <c r="B2495" t="s">
        <v>3925</v>
      </c>
      <c r="C2495">
        <v>5.6668000000000012</v>
      </c>
      <c r="D2495">
        <v>0.36020000000000002</v>
      </c>
      <c r="E2495">
        <v>6.027000000000001</v>
      </c>
    </row>
    <row r="2496" spans="1:5">
      <c r="A2496" s="485">
        <v>423030874600</v>
      </c>
      <c r="B2496" t="s">
        <v>3926</v>
      </c>
      <c r="C2496">
        <v>0</v>
      </c>
      <c r="D2496">
        <v>0</v>
      </c>
      <c r="E2496">
        <v>0</v>
      </c>
    </row>
    <row r="2497" spans="1:5">
      <c r="A2497" s="485">
        <v>423030878500</v>
      </c>
      <c r="B2497" t="s">
        <v>3927</v>
      </c>
      <c r="C2497">
        <v>0</v>
      </c>
      <c r="D2497">
        <v>0</v>
      </c>
      <c r="E2497">
        <v>0</v>
      </c>
    </row>
    <row r="2498" spans="1:5">
      <c r="A2498" s="485">
        <v>423030868600</v>
      </c>
      <c r="B2498" t="s">
        <v>3928</v>
      </c>
      <c r="C2498">
        <v>0</v>
      </c>
      <c r="D2498">
        <v>0</v>
      </c>
      <c r="E2498">
        <v>0</v>
      </c>
    </row>
    <row r="2499" spans="1:5">
      <c r="A2499" s="485">
        <v>423030853700</v>
      </c>
      <c r="B2499" t="s">
        <v>3929</v>
      </c>
      <c r="C2499">
        <v>2.0001000000000002</v>
      </c>
      <c r="D2499">
        <v>2.2151999999999998</v>
      </c>
      <c r="E2499">
        <v>4.2153</v>
      </c>
    </row>
    <row r="2500" spans="1:5">
      <c r="A2500" s="485">
        <v>423030838700</v>
      </c>
      <c r="B2500" t="s">
        <v>3930</v>
      </c>
      <c r="C2500">
        <v>11.125099999999998</v>
      </c>
      <c r="D2500">
        <v>0.84729999999999994</v>
      </c>
      <c r="E2500">
        <v>11.972399999999999</v>
      </c>
    </row>
    <row r="2501" spans="1:5">
      <c r="A2501" s="485">
        <v>423030861900</v>
      </c>
      <c r="B2501" t="s">
        <v>3931</v>
      </c>
      <c r="C2501">
        <v>0.82539999999999991</v>
      </c>
      <c r="D2501">
        <v>1.9391999999999998</v>
      </c>
      <c r="E2501">
        <v>2.7645999999999997</v>
      </c>
    </row>
    <row r="2502" spans="1:5">
      <c r="A2502" s="485">
        <v>423030876200</v>
      </c>
      <c r="B2502" t="s">
        <v>3932</v>
      </c>
      <c r="C2502">
        <v>0</v>
      </c>
      <c r="D2502">
        <v>0</v>
      </c>
      <c r="E2502">
        <v>0</v>
      </c>
    </row>
    <row r="2503" spans="1:5">
      <c r="A2503" s="485">
        <v>423030870100</v>
      </c>
      <c r="B2503" t="s">
        <v>3933</v>
      </c>
      <c r="C2503">
        <v>19.203299999999999</v>
      </c>
      <c r="D2503">
        <v>0.98280000000000012</v>
      </c>
      <c r="E2503">
        <v>20.1861</v>
      </c>
    </row>
    <row r="2504" spans="1:5">
      <c r="A2504" s="485">
        <v>423030959300</v>
      </c>
      <c r="B2504" t="s">
        <v>3934</v>
      </c>
      <c r="C2504">
        <v>0</v>
      </c>
      <c r="D2504">
        <v>0</v>
      </c>
      <c r="E2504">
        <v>0</v>
      </c>
    </row>
    <row r="2505" spans="1:5">
      <c r="A2505" s="485">
        <v>423030838300</v>
      </c>
      <c r="B2505" t="s">
        <v>3935</v>
      </c>
      <c r="C2505">
        <v>2.4286000000000003</v>
      </c>
      <c r="D2505">
        <v>1.2267000000000001</v>
      </c>
      <c r="E2505">
        <v>3.6553000000000004</v>
      </c>
    </row>
    <row r="2506" spans="1:5">
      <c r="A2506" s="485">
        <v>423030841400</v>
      </c>
      <c r="B2506" t="s">
        <v>3936</v>
      </c>
      <c r="C2506">
        <v>283.13109999999995</v>
      </c>
      <c r="D2506">
        <v>97.081800000000001</v>
      </c>
      <c r="E2506">
        <v>380.21289999999993</v>
      </c>
    </row>
    <row r="2507" spans="1:5">
      <c r="A2507" s="485">
        <v>423030836000</v>
      </c>
      <c r="B2507" t="s">
        <v>3937</v>
      </c>
      <c r="C2507">
        <v>0</v>
      </c>
      <c r="D2507">
        <v>0</v>
      </c>
      <c r="E2507">
        <v>0</v>
      </c>
    </row>
    <row r="2508" spans="1:5">
      <c r="A2508" s="485">
        <v>423030836000</v>
      </c>
      <c r="B2508" t="s">
        <v>3938</v>
      </c>
      <c r="C2508">
        <v>307.875</v>
      </c>
      <c r="D2508">
        <v>44.501399999999997</v>
      </c>
      <c r="E2508">
        <v>352.37639999999999</v>
      </c>
    </row>
    <row r="2509" spans="1:5">
      <c r="A2509" s="485">
        <v>423030878700</v>
      </c>
      <c r="B2509" t="s">
        <v>3939</v>
      </c>
      <c r="C2509">
        <v>0</v>
      </c>
      <c r="D2509">
        <v>0</v>
      </c>
      <c r="E2509">
        <v>0</v>
      </c>
    </row>
    <row r="2510" spans="1:5">
      <c r="A2510" s="485">
        <v>423030834700</v>
      </c>
      <c r="B2510" t="s">
        <v>3940</v>
      </c>
      <c r="C2510">
        <v>0</v>
      </c>
      <c r="D2510">
        <v>5.2924999999999995</v>
      </c>
      <c r="E2510">
        <v>5.2924999999999995</v>
      </c>
    </row>
    <row r="2511" spans="1:5">
      <c r="A2511" s="485">
        <v>423030958000</v>
      </c>
      <c r="B2511" t="s">
        <v>3941</v>
      </c>
      <c r="C2511">
        <v>0</v>
      </c>
      <c r="D2511">
        <v>0</v>
      </c>
      <c r="E2511">
        <v>0</v>
      </c>
    </row>
    <row r="2512" spans="1:5">
      <c r="A2512" s="485">
        <v>423031114100</v>
      </c>
      <c r="B2512" t="s">
        <v>3942</v>
      </c>
      <c r="C2512">
        <v>692</v>
      </c>
      <c r="D2512">
        <v>778.34580000000005</v>
      </c>
      <c r="E2512">
        <v>1470.3458000000001</v>
      </c>
    </row>
    <row r="2513" spans="1:5">
      <c r="A2513" s="485">
        <v>423030835000</v>
      </c>
      <c r="B2513" t="s">
        <v>3943</v>
      </c>
      <c r="C2513">
        <v>0</v>
      </c>
      <c r="D2513">
        <v>0</v>
      </c>
      <c r="E2513">
        <v>0</v>
      </c>
    </row>
    <row r="2514" spans="1:5">
      <c r="A2514" s="485">
        <v>423030835000</v>
      </c>
      <c r="B2514" t="s">
        <v>3944</v>
      </c>
      <c r="C2514">
        <v>0</v>
      </c>
      <c r="D2514">
        <v>0</v>
      </c>
      <c r="E2514">
        <v>0</v>
      </c>
    </row>
    <row r="2515" spans="1:5">
      <c r="A2515" s="485">
        <v>423030801700</v>
      </c>
      <c r="B2515" t="s">
        <v>3945</v>
      </c>
      <c r="C2515">
        <v>0</v>
      </c>
      <c r="D2515">
        <v>12.811500000000002</v>
      </c>
      <c r="E2515">
        <v>12.811500000000002</v>
      </c>
    </row>
    <row r="2516" spans="1:5">
      <c r="A2516" s="485">
        <v>423031106700</v>
      </c>
      <c r="B2516" t="s">
        <v>3946</v>
      </c>
      <c r="C2516">
        <v>0</v>
      </c>
      <c r="D2516">
        <v>0</v>
      </c>
      <c r="E2516">
        <v>0</v>
      </c>
    </row>
    <row r="2517" spans="1:5">
      <c r="A2517" s="485">
        <v>423030845500</v>
      </c>
      <c r="B2517" t="s">
        <v>3947</v>
      </c>
      <c r="C2517">
        <v>0</v>
      </c>
      <c r="D2517">
        <v>0</v>
      </c>
      <c r="E2517">
        <v>0</v>
      </c>
    </row>
    <row r="2518" spans="1:5">
      <c r="A2518" s="485">
        <v>423030845800</v>
      </c>
      <c r="B2518" t="s">
        <v>3948</v>
      </c>
      <c r="C2518">
        <v>38.312599999999989</v>
      </c>
      <c r="D2518">
        <v>1.968</v>
      </c>
      <c r="E2518">
        <v>40.280599999999993</v>
      </c>
    </row>
    <row r="2519" spans="1:5">
      <c r="A2519" s="485">
        <v>423030845600</v>
      </c>
      <c r="B2519" t="s">
        <v>3949</v>
      </c>
      <c r="C2519">
        <v>0</v>
      </c>
      <c r="D2519">
        <v>0</v>
      </c>
      <c r="E2519">
        <v>0</v>
      </c>
    </row>
    <row r="2520" spans="1:5">
      <c r="A2520" s="485">
        <v>423030860000</v>
      </c>
      <c r="B2520" t="s">
        <v>3950</v>
      </c>
      <c r="C2520">
        <v>0</v>
      </c>
      <c r="D2520">
        <v>0</v>
      </c>
      <c r="E2520">
        <v>0</v>
      </c>
    </row>
    <row r="2521" spans="1:5">
      <c r="A2521" s="485">
        <v>423030860000</v>
      </c>
      <c r="B2521" t="s">
        <v>3951</v>
      </c>
      <c r="C2521">
        <v>30.915199999999999</v>
      </c>
      <c r="D2521">
        <v>10.593499999999999</v>
      </c>
      <c r="E2521">
        <v>41.508699999999997</v>
      </c>
    </row>
    <row r="2522" spans="1:5">
      <c r="A2522" s="485">
        <v>423030867300</v>
      </c>
      <c r="B2522" t="s">
        <v>3952</v>
      </c>
      <c r="C2522">
        <v>595.63930000000005</v>
      </c>
      <c r="D2522">
        <v>1.4783999999999999</v>
      </c>
      <c r="E2522">
        <v>597.11770000000001</v>
      </c>
    </row>
    <row r="2523" spans="1:5">
      <c r="A2523" s="485">
        <v>423030810100</v>
      </c>
      <c r="B2523" t="s">
        <v>3953</v>
      </c>
      <c r="C2523">
        <v>0</v>
      </c>
      <c r="D2523">
        <v>0</v>
      </c>
      <c r="E2523">
        <v>0</v>
      </c>
    </row>
    <row r="2524" spans="1:5">
      <c r="A2524" s="485">
        <v>423030858900</v>
      </c>
      <c r="B2524" t="s">
        <v>3954</v>
      </c>
      <c r="C2524">
        <v>0</v>
      </c>
      <c r="D2524">
        <v>0</v>
      </c>
      <c r="E2524">
        <v>0</v>
      </c>
    </row>
    <row r="2525" spans="1:5">
      <c r="A2525" s="485">
        <v>423030861800</v>
      </c>
      <c r="B2525" t="s">
        <v>3955</v>
      </c>
      <c r="C2525">
        <v>12332.301600000001</v>
      </c>
      <c r="D2525">
        <v>1204.5</v>
      </c>
      <c r="E2525">
        <v>13536.801600000001</v>
      </c>
    </row>
    <row r="2526" spans="1:5">
      <c r="A2526" s="485">
        <v>423030862200</v>
      </c>
      <c r="B2526" t="s">
        <v>3956</v>
      </c>
      <c r="C2526">
        <v>0</v>
      </c>
      <c r="D2526">
        <v>6.5334999999999992</v>
      </c>
      <c r="E2526">
        <v>6.5334999999999992</v>
      </c>
    </row>
    <row r="2527" spans="1:5">
      <c r="A2527" s="485">
        <v>423030860100</v>
      </c>
      <c r="B2527" t="s">
        <v>3957</v>
      </c>
      <c r="C2527">
        <v>0</v>
      </c>
      <c r="D2527">
        <v>0</v>
      </c>
      <c r="E2527">
        <v>0</v>
      </c>
    </row>
    <row r="2528" spans="1:5">
      <c r="A2528" s="485">
        <v>423030858600</v>
      </c>
      <c r="B2528" t="s">
        <v>3958</v>
      </c>
      <c r="C2528">
        <v>7.0321999999999987</v>
      </c>
      <c r="D2528">
        <v>0.19109999999999999</v>
      </c>
      <c r="E2528">
        <v>7.2232999999999983</v>
      </c>
    </row>
    <row r="2529" spans="1:5">
      <c r="A2529" s="485">
        <v>423030860400</v>
      </c>
      <c r="B2529" t="s">
        <v>3959</v>
      </c>
      <c r="C2529">
        <v>0</v>
      </c>
      <c r="D2529">
        <v>0</v>
      </c>
      <c r="E2529">
        <v>0</v>
      </c>
    </row>
    <row r="2530" spans="1:5">
      <c r="A2530" s="485">
        <v>423031623800</v>
      </c>
      <c r="B2530" t="s">
        <v>3960</v>
      </c>
      <c r="C2530">
        <v>0</v>
      </c>
      <c r="D2530">
        <v>0</v>
      </c>
      <c r="E2530">
        <v>0</v>
      </c>
    </row>
    <row r="2531" spans="1:5">
      <c r="A2531" s="485">
        <v>423030842200</v>
      </c>
      <c r="B2531" t="s">
        <v>3961</v>
      </c>
      <c r="C2531">
        <v>0</v>
      </c>
      <c r="D2531">
        <v>5.694</v>
      </c>
      <c r="E2531">
        <v>5.694</v>
      </c>
    </row>
    <row r="2532" spans="1:5">
      <c r="A2532" s="485">
        <v>423030872800</v>
      </c>
      <c r="B2532" t="s">
        <v>3962</v>
      </c>
      <c r="C2532">
        <v>0</v>
      </c>
      <c r="D2532">
        <v>0</v>
      </c>
      <c r="E2532">
        <v>0</v>
      </c>
    </row>
    <row r="2533" spans="1:5">
      <c r="A2533" s="485">
        <v>423030872800</v>
      </c>
      <c r="B2533" t="s">
        <v>3963</v>
      </c>
      <c r="C2533">
        <v>4</v>
      </c>
      <c r="D2533">
        <v>0.69230000000000003</v>
      </c>
      <c r="E2533">
        <v>4.6923000000000004</v>
      </c>
    </row>
    <row r="2534" spans="1:5">
      <c r="A2534" s="485">
        <v>423030830500</v>
      </c>
      <c r="B2534" t="s">
        <v>3964</v>
      </c>
      <c r="C2534">
        <v>26.000000000000004</v>
      </c>
      <c r="D2534">
        <v>1.6607999999999998</v>
      </c>
      <c r="E2534">
        <v>27.660800000000002</v>
      </c>
    </row>
    <row r="2535" spans="1:5">
      <c r="A2535" s="485">
        <v>423030869800</v>
      </c>
      <c r="B2535" t="s">
        <v>3965</v>
      </c>
      <c r="C2535">
        <v>51.096800000000002</v>
      </c>
      <c r="D2535">
        <v>3.8064</v>
      </c>
      <c r="E2535">
        <v>54.903199999999998</v>
      </c>
    </row>
    <row r="2536" spans="1:5">
      <c r="A2536" s="485">
        <v>423030842400</v>
      </c>
      <c r="B2536" t="s">
        <v>3966</v>
      </c>
      <c r="C2536">
        <v>0</v>
      </c>
      <c r="D2536">
        <v>0</v>
      </c>
      <c r="E2536">
        <v>0</v>
      </c>
    </row>
    <row r="2537" spans="1:5">
      <c r="A2537" s="485">
        <v>423030836900</v>
      </c>
      <c r="B2537" t="s">
        <v>3967</v>
      </c>
      <c r="C2537">
        <v>8</v>
      </c>
      <c r="D2537">
        <v>0</v>
      </c>
      <c r="E2537">
        <v>8</v>
      </c>
    </row>
    <row r="2538" spans="1:5">
      <c r="A2538" s="485">
        <v>423030836900</v>
      </c>
      <c r="B2538" t="s">
        <v>3968</v>
      </c>
      <c r="C2538">
        <v>11.1906</v>
      </c>
      <c r="D2538">
        <v>0.56110000000000004</v>
      </c>
      <c r="E2538">
        <v>11.7517</v>
      </c>
    </row>
    <row r="2539" spans="1:5">
      <c r="A2539" s="485">
        <v>423030842500</v>
      </c>
      <c r="B2539">
        <v>9005993014</v>
      </c>
      <c r="C2539">
        <v>472.58050000000003</v>
      </c>
      <c r="D2539">
        <v>377.07819999999998</v>
      </c>
      <c r="E2539">
        <v>849.65869999999995</v>
      </c>
    </row>
    <row r="2540" spans="1:5">
      <c r="A2540" s="485">
        <v>423030836500</v>
      </c>
      <c r="B2540" t="s">
        <v>3969</v>
      </c>
      <c r="C2540">
        <v>11.620799999999999</v>
      </c>
      <c r="D2540">
        <v>1.6025999999999998</v>
      </c>
      <c r="E2540">
        <v>13.223399999999998</v>
      </c>
    </row>
    <row r="2541" spans="1:5">
      <c r="A2541" s="485">
        <v>423031156500</v>
      </c>
      <c r="B2541" t="s">
        <v>3970</v>
      </c>
      <c r="C2541">
        <v>19.9999</v>
      </c>
      <c r="D2541">
        <v>9.0690999999999988</v>
      </c>
      <c r="E2541">
        <v>29.068999999999999</v>
      </c>
    </row>
    <row r="2542" spans="1:5">
      <c r="A2542" s="485">
        <v>423030836100</v>
      </c>
      <c r="B2542" t="s">
        <v>3971</v>
      </c>
      <c r="C2542">
        <v>0</v>
      </c>
      <c r="D2542">
        <v>0</v>
      </c>
      <c r="E2542">
        <v>0</v>
      </c>
    </row>
    <row r="2543" spans="1:5">
      <c r="A2543" s="485">
        <v>423030862700</v>
      </c>
      <c r="B2543" t="s">
        <v>3972</v>
      </c>
      <c r="C2543">
        <v>202.66669999999999</v>
      </c>
      <c r="D2543">
        <v>3.8310999999999997</v>
      </c>
      <c r="E2543">
        <v>206.49779999999998</v>
      </c>
    </row>
    <row r="2544" spans="1:5">
      <c r="A2544" s="485">
        <v>423030841600</v>
      </c>
      <c r="B2544" t="s">
        <v>3973</v>
      </c>
      <c r="C2544">
        <v>0</v>
      </c>
      <c r="D2544">
        <v>0</v>
      </c>
      <c r="E2544">
        <v>0</v>
      </c>
    </row>
    <row r="2545" spans="1:5">
      <c r="A2545" s="485">
        <v>423030863100</v>
      </c>
      <c r="B2545" t="s">
        <v>3974</v>
      </c>
      <c r="C2545">
        <v>374.95230000000009</v>
      </c>
      <c r="D2545">
        <v>32.221899999999998</v>
      </c>
      <c r="E2545">
        <v>407.1742000000001</v>
      </c>
    </row>
    <row r="2546" spans="1:5">
      <c r="A2546" s="485">
        <v>423030864900</v>
      </c>
      <c r="B2546" t="s">
        <v>3975</v>
      </c>
      <c r="C2546">
        <v>1.6773</v>
      </c>
      <c r="D2546">
        <v>1.71</v>
      </c>
      <c r="E2546">
        <v>3.3872999999999998</v>
      </c>
    </row>
    <row r="2547" spans="1:5">
      <c r="A2547" s="485">
        <v>423030862900</v>
      </c>
      <c r="B2547" t="s">
        <v>3976</v>
      </c>
      <c r="C2547">
        <v>498.226</v>
      </c>
      <c r="D2547">
        <v>51.891300000000001</v>
      </c>
      <c r="E2547">
        <v>550.1173</v>
      </c>
    </row>
    <row r="2548" spans="1:5">
      <c r="A2548" s="485">
        <v>423030874400</v>
      </c>
      <c r="B2548" t="s">
        <v>3977</v>
      </c>
      <c r="C2548">
        <v>0</v>
      </c>
      <c r="D2548">
        <v>0</v>
      </c>
      <c r="E2548">
        <v>0</v>
      </c>
    </row>
    <row r="2549" spans="1:5">
      <c r="A2549" s="485">
        <v>423030851500</v>
      </c>
      <c r="B2549" t="s">
        <v>3978</v>
      </c>
      <c r="C2549">
        <v>44.762199999999993</v>
      </c>
      <c r="D2549">
        <v>4.0899000000000001</v>
      </c>
      <c r="E2549">
        <v>48.852099999999993</v>
      </c>
    </row>
    <row r="2550" spans="1:5">
      <c r="A2550" s="485">
        <v>423030861100</v>
      </c>
      <c r="B2550" t="s">
        <v>3979</v>
      </c>
      <c r="C2550">
        <v>0</v>
      </c>
      <c r="D2550">
        <v>0</v>
      </c>
      <c r="E2550">
        <v>0</v>
      </c>
    </row>
    <row r="2551" spans="1:5">
      <c r="A2551" s="485">
        <v>423031683500</v>
      </c>
      <c r="B2551" t="s">
        <v>3980</v>
      </c>
      <c r="C2551">
        <v>0</v>
      </c>
      <c r="D2551">
        <v>0</v>
      </c>
      <c r="E2551">
        <v>0</v>
      </c>
    </row>
    <row r="2552" spans="1:5">
      <c r="A2552" s="485">
        <v>423031185700</v>
      </c>
      <c r="B2552" t="s">
        <v>3981</v>
      </c>
      <c r="C2552">
        <v>0</v>
      </c>
      <c r="D2552">
        <v>0</v>
      </c>
      <c r="E2552">
        <v>0</v>
      </c>
    </row>
    <row r="2553" spans="1:5">
      <c r="A2553" s="485">
        <v>423030848300</v>
      </c>
      <c r="B2553" t="s">
        <v>3982</v>
      </c>
      <c r="C2553">
        <v>0</v>
      </c>
      <c r="D2553">
        <v>0</v>
      </c>
      <c r="E2553">
        <v>0</v>
      </c>
    </row>
    <row r="2554" spans="1:5">
      <c r="A2554" s="485">
        <v>423030850700</v>
      </c>
      <c r="B2554" t="s">
        <v>3983</v>
      </c>
      <c r="C2554">
        <v>0</v>
      </c>
      <c r="D2554">
        <v>0</v>
      </c>
      <c r="E2554">
        <v>0</v>
      </c>
    </row>
    <row r="2555" spans="1:5">
      <c r="A2555" s="485">
        <v>423030879000</v>
      </c>
      <c r="B2555" t="s">
        <v>3984</v>
      </c>
      <c r="C2555">
        <v>1</v>
      </c>
      <c r="D2555">
        <v>5.3724999999999996</v>
      </c>
      <c r="E2555">
        <v>6.3724999999999996</v>
      </c>
    </row>
    <row r="2556" spans="1:5">
      <c r="A2556" s="485">
        <v>423030863500</v>
      </c>
      <c r="B2556" t="s">
        <v>3985</v>
      </c>
      <c r="C2556">
        <v>0</v>
      </c>
      <c r="D2556">
        <v>0</v>
      </c>
      <c r="E2556">
        <v>0</v>
      </c>
    </row>
    <row r="2557" spans="1:5">
      <c r="A2557" s="485">
        <v>423030863600</v>
      </c>
      <c r="B2557" t="s">
        <v>3986</v>
      </c>
      <c r="C2557">
        <v>6.9665999999999997</v>
      </c>
      <c r="D2557">
        <v>0</v>
      </c>
      <c r="E2557">
        <v>6.9665999999999997</v>
      </c>
    </row>
    <row r="2558" spans="1:5">
      <c r="A2558" s="485">
        <v>423030863600</v>
      </c>
      <c r="B2558" t="s">
        <v>3987</v>
      </c>
      <c r="C2558">
        <v>24</v>
      </c>
      <c r="D2558">
        <v>22.367700000000003</v>
      </c>
      <c r="E2558">
        <v>46.367699999999999</v>
      </c>
    </row>
    <row r="2559" spans="1:5">
      <c r="A2559" s="485">
        <v>423030869700</v>
      </c>
      <c r="B2559" t="s">
        <v>3988</v>
      </c>
      <c r="C2559">
        <v>0</v>
      </c>
      <c r="D2559">
        <v>0</v>
      </c>
      <c r="E2559">
        <v>0</v>
      </c>
    </row>
    <row r="2560" spans="1:5">
      <c r="A2560" s="485">
        <v>423030851100</v>
      </c>
      <c r="B2560" t="s">
        <v>3989</v>
      </c>
      <c r="C2560">
        <v>11.0953</v>
      </c>
      <c r="D2560">
        <v>0.55509999999999993</v>
      </c>
      <c r="E2560">
        <v>11.650399999999999</v>
      </c>
    </row>
    <row r="2561" spans="1:5">
      <c r="A2561" s="485">
        <v>423030852400</v>
      </c>
      <c r="B2561" t="s">
        <v>3990</v>
      </c>
      <c r="C2561">
        <v>1</v>
      </c>
      <c r="D2561">
        <v>172.864</v>
      </c>
      <c r="E2561">
        <v>173.864</v>
      </c>
    </row>
    <row r="2562" spans="1:5">
      <c r="A2562" s="485">
        <v>423030864000</v>
      </c>
      <c r="B2562" t="s">
        <v>3991</v>
      </c>
      <c r="C2562">
        <v>1.6129</v>
      </c>
      <c r="D2562">
        <v>3.7268999999999997</v>
      </c>
      <c r="E2562">
        <v>5.3397999999999994</v>
      </c>
    </row>
    <row r="2563" spans="1:5">
      <c r="A2563" s="485">
        <v>423030850000</v>
      </c>
      <c r="B2563" t="s">
        <v>3992</v>
      </c>
      <c r="C2563">
        <v>0</v>
      </c>
      <c r="D2563">
        <v>0</v>
      </c>
      <c r="E2563">
        <v>0</v>
      </c>
    </row>
    <row r="2564" spans="1:5">
      <c r="A2564" s="485">
        <v>423030854600</v>
      </c>
      <c r="B2564" t="s">
        <v>3993</v>
      </c>
      <c r="C2564">
        <v>171.22219999999999</v>
      </c>
      <c r="D2564">
        <v>15.661899999999999</v>
      </c>
      <c r="E2564">
        <v>186.88409999999999</v>
      </c>
    </row>
    <row r="2565" spans="1:5">
      <c r="A2565" s="485">
        <v>423030995300</v>
      </c>
      <c r="B2565" t="s">
        <v>3994</v>
      </c>
      <c r="C2565">
        <v>1.0001</v>
      </c>
      <c r="D2565">
        <v>0.1147</v>
      </c>
      <c r="E2565">
        <v>1.1148</v>
      </c>
    </row>
    <row r="2566" spans="1:5">
      <c r="A2566" s="485">
        <v>423030853600</v>
      </c>
      <c r="B2566" t="s">
        <v>3995</v>
      </c>
      <c r="C2566">
        <v>1.0001</v>
      </c>
      <c r="D2566">
        <v>0.13650000000000001</v>
      </c>
      <c r="E2566">
        <v>1.1366000000000001</v>
      </c>
    </row>
    <row r="2567" spans="1:5">
      <c r="A2567" s="485">
        <v>423030867200</v>
      </c>
      <c r="B2567" t="s">
        <v>3996</v>
      </c>
      <c r="C2567">
        <v>0</v>
      </c>
      <c r="D2567">
        <v>0</v>
      </c>
      <c r="E2567">
        <v>0</v>
      </c>
    </row>
    <row r="2568" spans="1:5">
      <c r="A2568" s="485">
        <v>423030867200</v>
      </c>
      <c r="B2568" t="s">
        <v>3997</v>
      </c>
      <c r="C2568">
        <v>433.3</v>
      </c>
      <c r="D2568">
        <v>312.15800000000007</v>
      </c>
      <c r="E2568">
        <v>745.45800000000008</v>
      </c>
    </row>
    <row r="2569" spans="1:5">
      <c r="A2569" s="485">
        <v>423030854700</v>
      </c>
      <c r="B2569" t="s">
        <v>3998</v>
      </c>
      <c r="C2569">
        <v>3.4001999999999999</v>
      </c>
      <c r="D2569">
        <v>0.92079999999999995</v>
      </c>
      <c r="E2569">
        <v>4.3209999999999997</v>
      </c>
    </row>
    <row r="2570" spans="1:5">
      <c r="A2570" s="485">
        <v>423030989600</v>
      </c>
      <c r="B2570" t="s">
        <v>3999</v>
      </c>
      <c r="C2570">
        <v>0</v>
      </c>
      <c r="D2570">
        <v>0</v>
      </c>
      <c r="E2570">
        <v>0</v>
      </c>
    </row>
    <row r="2571" spans="1:5">
      <c r="A2571" s="485">
        <v>423030849100</v>
      </c>
      <c r="B2571" t="s">
        <v>4000</v>
      </c>
      <c r="C2571">
        <v>0</v>
      </c>
      <c r="D2571">
        <v>0</v>
      </c>
      <c r="E2571">
        <v>0</v>
      </c>
    </row>
    <row r="2572" spans="1:5">
      <c r="A2572" s="485">
        <v>423030849100</v>
      </c>
      <c r="B2572" t="s">
        <v>4001</v>
      </c>
      <c r="C2572">
        <v>0</v>
      </c>
      <c r="D2572">
        <v>0</v>
      </c>
      <c r="E2572">
        <v>0</v>
      </c>
    </row>
    <row r="2573" spans="1:5">
      <c r="A2573" s="485">
        <v>423030879100</v>
      </c>
      <c r="B2573" t="s">
        <v>4002</v>
      </c>
      <c r="C2573">
        <v>0</v>
      </c>
      <c r="D2573">
        <v>0</v>
      </c>
      <c r="E2573">
        <v>0</v>
      </c>
    </row>
    <row r="2574" spans="1:5">
      <c r="A2574" s="485">
        <v>423030879100</v>
      </c>
      <c r="B2574" t="s">
        <v>4003</v>
      </c>
      <c r="C2574">
        <v>18.046900000000001</v>
      </c>
      <c r="D2574">
        <v>0</v>
      </c>
      <c r="E2574">
        <v>18.046900000000001</v>
      </c>
    </row>
    <row r="2575" spans="1:5">
      <c r="A2575" s="485">
        <v>423030853800</v>
      </c>
      <c r="B2575" t="s">
        <v>4004</v>
      </c>
      <c r="C2575">
        <v>18.0001</v>
      </c>
      <c r="D2575">
        <v>5.3435999999999986</v>
      </c>
      <c r="E2575">
        <v>23.343699999999998</v>
      </c>
    </row>
    <row r="2576" spans="1:5">
      <c r="A2576" s="485">
        <v>423030849300</v>
      </c>
      <c r="B2576" t="s">
        <v>4005</v>
      </c>
      <c r="C2576">
        <v>0</v>
      </c>
      <c r="D2576">
        <v>27.228999999999999</v>
      </c>
      <c r="E2576">
        <v>27.228999999999999</v>
      </c>
    </row>
    <row r="2577" spans="1:5">
      <c r="A2577" s="485">
        <v>423030848900</v>
      </c>
      <c r="B2577" t="s">
        <v>4006</v>
      </c>
      <c r="C2577">
        <v>0</v>
      </c>
      <c r="D2577">
        <v>0</v>
      </c>
      <c r="E2577">
        <v>0</v>
      </c>
    </row>
    <row r="2578" spans="1:5">
      <c r="A2578" s="485">
        <v>423031257800</v>
      </c>
      <c r="B2578" t="s">
        <v>4007</v>
      </c>
      <c r="C2578">
        <v>0</v>
      </c>
      <c r="D2578">
        <v>0</v>
      </c>
      <c r="E2578">
        <v>0</v>
      </c>
    </row>
    <row r="2579" spans="1:5">
      <c r="A2579" s="485">
        <v>423031464000</v>
      </c>
      <c r="B2579" t="s">
        <v>4008</v>
      </c>
      <c r="C2579">
        <v>0</v>
      </c>
      <c r="D2579">
        <v>0</v>
      </c>
      <c r="E2579">
        <v>0</v>
      </c>
    </row>
    <row r="2580" spans="1:5">
      <c r="A2580" s="485">
        <v>423031464000</v>
      </c>
      <c r="B2580" t="s">
        <v>4009</v>
      </c>
      <c r="C2580">
        <v>0</v>
      </c>
      <c r="D2580">
        <v>0</v>
      </c>
      <c r="E2580">
        <v>0</v>
      </c>
    </row>
    <row r="2581" spans="1:5">
      <c r="A2581" s="485">
        <v>423030875200</v>
      </c>
      <c r="B2581" t="s">
        <v>4010</v>
      </c>
      <c r="C2581">
        <v>0</v>
      </c>
      <c r="D2581">
        <v>5.8035000000000005</v>
      </c>
      <c r="E2581">
        <v>5.8035000000000005</v>
      </c>
    </row>
    <row r="2582" spans="1:5">
      <c r="A2582" s="485">
        <v>423030837100</v>
      </c>
      <c r="B2582" t="s">
        <v>4011</v>
      </c>
      <c r="C2582">
        <v>0</v>
      </c>
      <c r="D2582">
        <v>0</v>
      </c>
      <c r="E2582">
        <v>0</v>
      </c>
    </row>
    <row r="2583" spans="1:5">
      <c r="A2583" s="485">
        <v>423030837000</v>
      </c>
      <c r="B2583" t="s">
        <v>4012</v>
      </c>
      <c r="C2583">
        <v>1.0001000000000002</v>
      </c>
      <c r="D2583">
        <v>4.7485000000000008</v>
      </c>
      <c r="E2583">
        <v>5.7486000000000015</v>
      </c>
    </row>
    <row r="2584" spans="1:5">
      <c r="A2584" s="485">
        <v>423031031900</v>
      </c>
      <c r="B2584" t="s">
        <v>4013</v>
      </c>
      <c r="C2584">
        <v>1277.6668</v>
      </c>
      <c r="D2584">
        <v>158.51519999999999</v>
      </c>
      <c r="E2584">
        <v>1436.182</v>
      </c>
    </row>
    <row r="2585" spans="1:5">
      <c r="A2585" s="485">
        <v>423030856200</v>
      </c>
      <c r="B2585" t="s">
        <v>4014</v>
      </c>
      <c r="C2585">
        <v>1.4308000000000001</v>
      </c>
      <c r="D2585">
        <v>1.7366000000000001</v>
      </c>
      <c r="E2585">
        <v>3.1674000000000002</v>
      </c>
    </row>
    <row r="2586" spans="1:5">
      <c r="A2586" s="485">
        <v>423030969500</v>
      </c>
      <c r="B2586" t="s">
        <v>4015</v>
      </c>
      <c r="C2586">
        <v>0</v>
      </c>
      <c r="D2586">
        <v>0</v>
      </c>
      <c r="E2586">
        <v>0</v>
      </c>
    </row>
    <row r="2587" spans="1:5">
      <c r="A2587" s="485">
        <v>423030854100</v>
      </c>
      <c r="B2587" t="s">
        <v>4016</v>
      </c>
      <c r="C2587">
        <v>0</v>
      </c>
      <c r="D2587">
        <v>0</v>
      </c>
      <c r="E2587">
        <v>0</v>
      </c>
    </row>
    <row r="2588" spans="1:5">
      <c r="A2588" s="485">
        <v>423030854100</v>
      </c>
      <c r="B2588" t="s">
        <v>4017</v>
      </c>
      <c r="C2588">
        <v>0</v>
      </c>
      <c r="D2588">
        <v>0</v>
      </c>
      <c r="E2588">
        <v>0</v>
      </c>
    </row>
    <row r="2589" spans="1:5">
      <c r="A2589" s="485">
        <v>423030854100</v>
      </c>
      <c r="B2589" t="s">
        <v>4018</v>
      </c>
      <c r="C2589">
        <v>0</v>
      </c>
      <c r="D2589">
        <v>0</v>
      </c>
      <c r="E2589">
        <v>0</v>
      </c>
    </row>
    <row r="2590" spans="1:5">
      <c r="A2590" s="485">
        <v>423031430900</v>
      </c>
      <c r="B2590" t="s">
        <v>4019</v>
      </c>
      <c r="C2590">
        <v>0</v>
      </c>
      <c r="D2590">
        <v>0</v>
      </c>
      <c r="E2590">
        <v>0</v>
      </c>
    </row>
    <row r="2591" spans="1:5">
      <c r="A2591" s="485">
        <v>423031027800</v>
      </c>
      <c r="B2591" t="s">
        <v>4020</v>
      </c>
      <c r="C2591">
        <v>7.9999000000000002</v>
      </c>
      <c r="D2591">
        <v>0.38850000000000001</v>
      </c>
      <c r="E2591">
        <v>8.3884000000000007</v>
      </c>
    </row>
    <row r="2592" spans="1:5">
      <c r="A2592" s="485">
        <v>423031853800</v>
      </c>
      <c r="B2592" t="s">
        <v>4021</v>
      </c>
      <c r="C2592">
        <v>0.54949999999999999</v>
      </c>
      <c r="D2592">
        <v>1.2726000000000002</v>
      </c>
      <c r="E2592">
        <v>1.8221000000000003</v>
      </c>
    </row>
    <row r="2593" spans="1:5">
      <c r="A2593" s="485">
        <v>423030186000</v>
      </c>
      <c r="B2593" t="s">
        <v>4022</v>
      </c>
      <c r="C2593">
        <v>0</v>
      </c>
      <c r="D2593">
        <v>0</v>
      </c>
      <c r="E2593">
        <v>0</v>
      </c>
    </row>
    <row r="2594" spans="1:5">
      <c r="A2594" s="485">
        <v>423030616300</v>
      </c>
      <c r="B2594" t="s">
        <v>4023</v>
      </c>
      <c r="C2594">
        <v>0</v>
      </c>
      <c r="D2594">
        <v>0</v>
      </c>
      <c r="E2594">
        <v>0</v>
      </c>
    </row>
    <row r="2595" spans="1:5">
      <c r="A2595" s="485">
        <v>423030616300</v>
      </c>
      <c r="B2595" t="s">
        <v>4024</v>
      </c>
      <c r="C2595">
        <v>47.489000000000004</v>
      </c>
      <c r="D2595">
        <v>0.48</v>
      </c>
      <c r="E2595">
        <v>47.969000000000001</v>
      </c>
    </row>
    <row r="2596" spans="1:5">
      <c r="A2596" s="485">
        <v>423031660100</v>
      </c>
      <c r="B2596" t="s">
        <v>4025</v>
      </c>
      <c r="C2596">
        <v>0</v>
      </c>
      <c r="D2596">
        <v>0</v>
      </c>
      <c r="E2596">
        <v>0</v>
      </c>
    </row>
    <row r="2597" spans="1:5">
      <c r="A2597" s="485">
        <v>423030363500</v>
      </c>
      <c r="B2597" t="s">
        <v>4026</v>
      </c>
      <c r="C2597">
        <v>0</v>
      </c>
      <c r="D2597">
        <v>0</v>
      </c>
      <c r="E2597">
        <v>0</v>
      </c>
    </row>
    <row r="2598" spans="1:5">
      <c r="A2598" s="485">
        <v>423031721900</v>
      </c>
      <c r="B2598" t="s">
        <v>4027</v>
      </c>
      <c r="C2598">
        <v>0</v>
      </c>
      <c r="D2598">
        <v>0</v>
      </c>
      <c r="E2598">
        <v>0</v>
      </c>
    </row>
    <row r="2599" spans="1:5">
      <c r="A2599" s="485">
        <v>423031270100</v>
      </c>
      <c r="B2599" t="s">
        <v>4028</v>
      </c>
      <c r="C2599">
        <v>210.23860000000002</v>
      </c>
      <c r="D2599">
        <v>18.454799999999999</v>
      </c>
      <c r="E2599">
        <v>228.69340000000003</v>
      </c>
    </row>
    <row r="2600" spans="1:5">
      <c r="A2600" s="485">
        <v>423030482400</v>
      </c>
      <c r="B2600" t="s">
        <v>4029</v>
      </c>
      <c r="C2600">
        <v>0</v>
      </c>
      <c r="D2600">
        <v>0</v>
      </c>
      <c r="E2600">
        <v>0</v>
      </c>
    </row>
    <row r="2601" spans="1:5">
      <c r="A2601" s="485">
        <v>423030279500</v>
      </c>
      <c r="B2601" t="s">
        <v>4030</v>
      </c>
      <c r="C2601">
        <v>0</v>
      </c>
      <c r="D2601">
        <v>2.9028</v>
      </c>
      <c r="E2601">
        <v>2.9028</v>
      </c>
    </row>
    <row r="2602" spans="1:5">
      <c r="A2602" s="485">
        <v>423031816300</v>
      </c>
      <c r="B2602" t="s">
        <v>4031</v>
      </c>
      <c r="C2602">
        <v>0</v>
      </c>
      <c r="D2602">
        <v>0</v>
      </c>
      <c r="E2602">
        <v>0</v>
      </c>
    </row>
    <row r="2603" spans="1:5">
      <c r="A2603" s="485">
        <v>423032008500</v>
      </c>
      <c r="B2603" t="s">
        <v>4032</v>
      </c>
      <c r="C2603">
        <v>0</v>
      </c>
      <c r="D2603">
        <v>0</v>
      </c>
      <c r="E2603">
        <v>0</v>
      </c>
    </row>
    <row r="2604" spans="1:5">
      <c r="A2604" s="485">
        <v>423030287900</v>
      </c>
      <c r="B2604" t="s">
        <v>4033</v>
      </c>
      <c r="C2604">
        <v>0.99990000000000001</v>
      </c>
      <c r="D2604">
        <v>7.0085000000000006</v>
      </c>
      <c r="E2604">
        <v>8.0084</v>
      </c>
    </row>
    <row r="2605" spans="1:5">
      <c r="A2605" s="485">
        <v>423030287800</v>
      </c>
      <c r="B2605" t="s">
        <v>4034</v>
      </c>
      <c r="C2605">
        <v>0</v>
      </c>
      <c r="D2605">
        <v>2.9865999999999997</v>
      </c>
      <c r="E2605">
        <v>2.9865999999999997</v>
      </c>
    </row>
    <row r="2606" spans="1:5">
      <c r="A2606" s="485">
        <v>423031950300</v>
      </c>
      <c r="B2606" t="s">
        <v>4035</v>
      </c>
      <c r="C2606">
        <v>0</v>
      </c>
      <c r="D2606">
        <v>0</v>
      </c>
      <c r="E2606">
        <v>0</v>
      </c>
    </row>
    <row r="2607" spans="1:5">
      <c r="A2607" s="485">
        <v>423031100200</v>
      </c>
      <c r="B2607" t="s">
        <v>4036</v>
      </c>
      <c r="C2607">
        <v>0</v>
      </c>
      <c r="D2607">
        <v>0</v>
      </c>
      <c r="E2607">
        <v>0</v>
      </c>
    </row>
    <row r="2608" spans="1:5">
      <c r="A2608" s="485">
        <v>423031733500</v>
      </c>
      <c r="B2608" t="s">
        <v>4037</v>
      </c>
      <c r="C2608">
        <v>0</v>
      </c>
      <c r="D2608">
        <v>0</v>
      </c>
      <c r="E2608">
        <v>0</v>
      </c>
    </row>
    <row r="2609" spans="1:5">
      <c r="A2609" s="485">
        <v>423031474500</v>
      </c>
      <c r="B2609" t="s">
        <v>4038</v>
      </c>
      <c r="C2609">
        <v>0</v>
      </c>
      <c r="D2609">
        <v>0</v>
      </c>
      <c r="E2609">
        <v>0</v>
      </c>
    </row>
    <row r="2610" spans="1:5">
      <c r="A2610" s="485">
        <v>423031775000</v>
      </c>
      <c r="B2610" t="s">
        <v>4039</v>
      </c>
      <c r="C2610">
        <v>0</v>
      </c>
      <c r="D2610">
        <v>0</v>
      </c>
      <c r="E2610">
        <v>0</v>
      </c>
    </row>
    <row r="2611" spans="1:5">
      <c r="A2611" s="485">
        <v>423031423500</v>
      </c>
      <c r="B2611" t="s">
        <v>4040</v>
      </c>
      <c r="C2611">
        <v>0</v>
      </c>
      <c r="D2611">
        <v>0</v>
      </c>
      <c r="E2611">
        <v>0</v>
      </c>
    </row>
    <row r="2612" spans="1:5">
      <c r="A2612" s="485">
        <v>423031663000</v>
      </c>
      <c r="B2612" t="s">
        <v>4041</v>
      </c>
      <c r="C2612">
        <v>0</v>
      </c>
      <c r="D2612">
        <v>0</v>
      </c>
      <c r="E2612">
        <v>0</v>
      </c>
    </row>
    <row r="2613" spans="1:5">
      <c r="A2613" s="485">
        <v>423030305000</v>
      </c>
      <c r="B2613" t="s">
        <v>4042</v>
      </c>
      <c r="C2613">
        <v>0</v>
      </c>
      <c r="D2613">
        <v>0</v>
      </c>
      <c r="E2613">
        <v>0</v>
      </c>
    </row>
    <row r="2614" spans="1:5">
      <c r="A2614" s="485">
        <v>423031573900</v>
      </c>
      <c r="B2614" t="s">
        <v>4043</v>
      </c>
      <c r="C2614">
        <v>24</v>
      </c>
      <c r="D2614">
        <v>10.902799999999999</v>
      </c>
      <c r="E2614">
        <v>34.902799999999999</v>
      </c>
    </row>
    <row r="2615" spans="1:5">
      <c r="A2615" s="485">
        <v>423031740300</v>
      </c>
      <c r="B2615" t="s">
        <v>4044</v>
      </c>
      <c r="C2615">
        <v>0</v>
      </c>
      <c r="D2615">
        <v>0</v>
      </c>
      <c r="E2615">
        <v>0</v>
      </c>
    </row>
    <row r="2616" spans="1:5">
      <c r="A2616" s="485">
        <v>423031865600</v>
      </c>
      <c r="B2616" t="s">
        <v>4045</v>
      </c>
      <c r="C2616">
        <v>122.5714</v>
      </c>
      <c r="D2616">
        <v>60.147000000000006</v>
      </c>
      <c r="E2616">
        <v>182.7184</v>
      </c>
    </row>
    <row r="2617" spans="1:5">
      <c r="A2617" s="485">
        <v>423031395100</v>
      </c>
      <c r="B2617" t="s">
        <v>4046</v>
      </c>
      <c r="C2617">
        <v>0</v>
      </c>
      <c r="D2617">
        <v>0</v>
      </c>
      <c r="E2617">
        <v>0</v>
      </c>
    </row>
    <row r="2618" spans="1:5">
      <c r="A2618" s="485">
        <v>423031623300</v>
      </c>
      <c r="B2618" t="s">
        <v>4047</v>
      </c>
      <c r="C2618">
        <v>0</v>
      </c>
      <c r="D2618">
        <v>0</v>
      </c>
      <c r="E2618">
        <v>0</v>
      </c>
    </row>
    <row r="2619" spans="1:5">
      <c r="A2619" s="485">
        <v>423031757800</v>
      </c>
      <c r="B2619" t="s">
        <v>4048</v>
      </c>
      <c r="C2619">
        <v>0</v>
      </c>
      <c r="D2619">
        <v>0</v>
      </c>
      <c r="E2619">
        <v>0</v>
      </c>
    </row>
    <row r="2620" spans="1:5">
      <c r="A2620" s="485">
        <v>423031361100</v>
      </c>
      <c r="B2620" t="s">
        <v>4049</v>
      </c>
      <c r="C2620">
        <v>0</v>
      </c>
      <c r="D2620">
        <v>0</v>
      </c>
      <c r="E2620">
        <v>0</v>
      </c>
    </row>
    <row r="2621" spans="1:5">
      <c r="A2621" s="485">
        <v>423030237800</v>
      </c>
      <c r="B2621" t="s">
        <v>4050</v>
      </c>
      <c r="C2621">
        <v>0</v>
      </c>
      <c r="D2621">
        <v>0</v>
      </c>
      <c r="E2621">
        <v>0</v>
      </c>
    </row>
    <row r="2622" spans="1:5">
      <c r="A2622" s="485">
        <v>423032368000</v>
      </c>
      <c r="B2622" t="s">
        <v>4051</v>
      </c>
      <c r="C2622">
        <v>0</v>
      </c>
      <c r="D2622">
        <v>0</v>
      </c>
      <c r="E2622">
        <v>0</v>
      </c>
    </row>
    <row r="2623" spans="1:5">
      <c r="A2623" s="485">
        <v>423030174900</v>
      </c>
      <c r="B2623" t="s">
        <v>4052</v>
      </c>
      <c r="C2623">
        <v>106.66679999999999</v>
      </c>
      <c r="D2623">
        <v>64.183800000000005</v>
      </c>
      <c r="E2623">
        <v>170.85059999999999</v>
      </c>
    </row>
    <row r="2624" spans="1:5">
      <c r="A2624" s="485">
        <v>423030174900</v>
      </c>
      <c r="B2624" t="s">
        <v>4053</v>
      </c>
      <c r="C2624">
        <v>0</v>
      </c>
      <c r="D2624">
        <v>131.58249999999998</v>
      </c>
      <c r="E2624">
        <v>131.58249999999998</v>
      </c>
    </row>
    <row r="2625" spans="1:5">
      <c r="A2625" s="485">
        <v>423030012600</v>
      </c>
      <c r="B2625" t="s">
        <v>4054</v>
      </c>
      <c r="C2625">
        <v>0</v>
      </c>
      <c r="D2625">
        <v>119.0265</v>
      </c>
      <c r="E2625">
        <v>119.0265</v>
      </c>
    </row>
    <row r="2626" spans="1:5">
      <c r="A2626" s="485">
        <v>423030012600</v>
      </c>
      <c r="B2626" t="s">
        <v>4055</v>
      </c>
      <c r="C2626">
        <v>0</v>
      </c>
      <c r="D2626">
        <v>210.261</v>
      </c>
      <c r="E2626">
        <v>210.261</v>
      </c>
    </row>
    <row r="2627" spans="1:5">
      <c r="A2627" s="485">
        <v>423030104200</v>
      </c>
      <c r="B2627" t="s">
        <v>4056</v>
      </c>
      <c r="C2627">
        <v>0</v>
      </c>
      <c r="D2627">
        <v>0</v>
      </c>
      <c r="E2627">
        <v>0</v>
      </c>
    </row>
    <row r="2628" spans="1:5">
      <c r="A2628" s="485">
        <v>423031669500</v>
      </c>
      <c r="B2628" t="s">
        <v>4057</v>
      </c>
      <c r="C2628">
        <v>0</v>
      </c>
      <c r="D2628">
        <v>0</v>
      </c>
      <c r="E2628">
        <v>0</v>
      </c>
    </row>
    <row r="2629" spans="1:5">
      <c r="A2629" s="485">
        <v>423031409700</v>
      </c>
      <c r="B2629" t="s">
        <v>4058</v>
      </c>
      <c r="C2629">
        <v>0</v>
      </c>
      <c r="D2629">
        <v>0</v>
      </c>
      <c r="E2629">
        <v>0</v>
      </c>
    </row>
    <row r="2630" spans="1:5">
      <c r="A2630" s="485">
        <v>423030045100</v>
      </c>
      <c r="B2630" t="s">
        <v>4059</v>
      </c>
      <c r="C2630">
        <v>0</v>
      </c>
      <c r="D2630">
        <v>0</v>
      </c>
      <c r="E2630">
        <v>0</v>
      </c>
    </row>
    <row r="2631" spans="1:5">
      <c r="A2631" s="485">
        <v>423030054500</v>
      </c>
      <c r="B2631" t="s">
        <v>4060</v>
      </c>
      <c r="C2631">
        <v>0</v>
      </c>
      <c r="D2631">
        <v>0</v>
      </c>
      <c r="E2631">
        <v>0</v>
      </c>
    </row>
    <row r="2632" spans="1:5">
      <c r="A2632" s="485">
        <v>423031150700</v>
      </c>
      <c r="B2632" t="s">
        <v>4061</v>
      </c>
      <c r="C2632">
        <v>0</v>
      </c>
      <c r="D2632">
        <v>0</v>
      </c>
      <c r="E2632">
        <v>0</v>
      </c>
    </row>
    <row r="2633" spans="1:5">
      <c r="A2633" s="485">
        <v>423031957600</v>
      </c>
      <c r="B2633" t="s">
        <v>4062</v>
      </c>
      <c r="C2633">
        <v>0</v>
      </c>
      <c r="D2633">
        <v>0</v>
      </c>
      <c r="E2633">
        <v>0</v>
      </c>
    </row>
    <row r="2634" spans="1:5">
      <c r="A2634" s="485">
        <v>423031223700</v>
      </c>
      <c r="B2634" t="s">
        <v>4063</v>
      </c>
      <c r="C2634">
        <v>0</v>
      </c>
      <c r="D2634">
        <v>0</v>
      </c>
      <c r="E2634">
        <v>0</v>
      </c>
    </row>
    <row r="2635" spans="1:5">
      <c r="A2635" s="485">
        <v>423031382000</v>
      </c>
      <c r="B2635" t="s">
        <v>4064</v>
      </c>
      <c r="C2635">
        <v>0</v>
      </c>
      <c r="D2635">
        <v>0</v>
      </c>
      <c r="E2635">
        <v>0</v>
      </c>
    </row>
    <row r="2636" spans="1:5">
      <c r="A2636" s="485">
        <v>423031398100</v>
      </c>
      <c r="B2636" t="s">
        <v>4065</v>
      </c>
      <c r="C2636">
        <v>51.511700000000005</v>
      </c>
      <c r="D2636">
        <v>11.045199999999999</v>
      </c>
      <c r="E2636">
        <v>62.556900000000006</v>
      </c>
    </row>
    <row r="2637" spans="1:5">
      <c r="A2637" s="485">
        <v>423030189400</v>
      </c>
      <c r="B2637" t="s">
        <v>4066</v>
      </c>
      <c r="C2637">
        <v>0</v>
      </c>
      <c r="D2637">
        <v>0</v>
      </c>
      <c r="E2637">
        <v>0</v>
      </c>
    </row>
    <row r="2638" spans="1:5">
      <c r="A2638" s="485">
        <v>423031284000</v>
      </c>
      <c r="B2638" t="s">
        <v>4067</v>
      </c>
      <c r="C2638">
        <v>0</v>
      </c>
      <c r="D2638">
        <v>0</v>
      </c>
      <c r="E2638">
        <v>0</v>
      </c>
    </row>
    <row r="2639" spans="1:5">
      <c r="A2639" s="485">
        <v>423031398300</v>
      </c>
      <c r="B2639" t="s">
        <v>4068</v>
      </c>
      <c r="C2639">
        <v>5.6942000000000004</v>
      </c>
      <c r="D2639">
        <v>3.0281000000000002</v>
      </c>
      <c r="E2639">
        <v>8.7223000000000006</v>
      </c>
    </row>
    <row r="2640" spans="1:5">
      <c r="A2640" s="485">
        <v>423031696800</v>
      </c>
      <c r="B2640" t="s">
        <v>4069</v>
      </c>
      <c r="C2640">
        <v>17.529299999999999</v>
      </c>
      <c r="D2640">
        <v>2.1623999999999999</v>
      </c>
      <c r="E2640">
        <v>19.691699999999997</v>
      </c>
    </row>
    <row r="2641" spans="1:5">
      <c r="A2641" s="485">
        <v>423031696800</v>
      </c>
      <c r="B2641" t="s">
        <v>4070</v>
      </c>
      <c r="C2641">
        <v>0</v>
      </c>
      <c r="D2641">
        <v>0</v>
      </c>
      <c r="E2641">
        <v>0</v>
      </c>
    </row>
    <row r="2642" spans="1:5">
      <c r="A2642" s="485">
        <v>423031126400</v>
      </c>
      <c r="B2642" t="s">
        <v>4071</v>
      </c>
      <c r="C2642">
        <v>0</v>
      </c>
      <c r="D2642">
        <v>0</v>
      </c>
      <c r="E2642">
        <v>0</v>
      </c>
    </row>
    <row r="2643" spans="1:5">
      <c r="A2643" s="485">
        <v>423031309900</v>
      </c>
      <c r="B2643" t="s">
        <v>4072</v>
      </c>
      <c r="C2643">
        <v>0</v>
      </c>
      <c r="D2643">
        <v>0</v>
      </c>
      <c r="E2643">
        <v>0</v>
      </c>
    </row>
    <row r="2644" spans="1:5">
      <c r="A2644" s="485">
        <v>423031513000</v>
      </c>
      <c r="B2644" t="s">
        <v>4073</v>
      </c>
      <c r="C2644">
        <v>0</v>
      </c>
      <c r="D2644">
        <v>0</v>
      </c>
      <c r="E2644">
        <v>0</v>
      </c>
    </row>
    <row r="2645" spans="1:5">
      <c r="A2645" s="485">
        <v>423030021600</v>
      </c>
      <c r="B2645" t="s">
        <v>4074</v>
      </c>
      <c r="C2645">
        <v>43.218399999999988</v>
      </c>
      <c r="D2645">
        <v>10.959199999999999</v>
      </c>
      <c r="E2645">
        <v>54.177599999999984</v>
      </c>
    </row>
    <row r="2646" spans="1:5">
      <c r="A2646" s="485">
        <v>423030134300</v>
      </c>
      <c r="B2646" t="s">
        <v>4075</v>
      </c>
      <c r="C2646">
        <v>0</v>
      </c>
      <c r="D2646">
        <v>0</v>
      </c>
      <c r="E2646">
        <v>0</v>
      </c>
    </row>
    <row r="2647" spans="1:5">
      <c r="A2647" s="485">
        <v>423030148300</v>
      </c>
      <c r="B2647" t="s">
        <v>4076</v>
      </c>
      <c r="C2647">
        <v>0</v>
      </c>
      <c r="D2647">
        <v>0</v>
      </c>
      <c r="E2647">
        <v>0</v>
      </c>
    </row>
    <row r="2648" spans="1:5">
      <c r="A2648" s="485">
        <v>423030159500</v>
      </c>
      <c r="B2648" t="s">
        <v>4077</v>
      </c>
      <c r="C2648">
        <v>0.23860000000000001</v>
      </c>
      <c r="D2648">
        <v>2.0789999999999997</v>
      </c>
      <c r="E2648">
        <v>2.3175999999999997</v>
      </c>
    </row>
    <row r="2649" spans="1:5">
      <c r="A2649" s="485">
        <v>423030186500</v>
      </c>
      <c r="B2649" t="s">
        <v>4078</v>
      </c>
      <c r="C2649">
        <v>0</v>
      </c>
      <c r="D2649">
        <v>0</v>
      </c>
      <c r="E2649">
        <v>0</v>
      </c>
    </row>
    <row r="2650" spans="1:5">
      <c r="A2650" s="485">
        <v>423031396400</v>
      </c>
      <c r="B2650" t="s">
        <v>4079</v>
      </c>
      <c r="C2650">
        <v>0</v>
      </c>
      <c r="D2650">
        <v>0</v>
      </c>
      <c r="E2650">
        <v>0</v>
      </c>
    </row>
    <row r="2651" spans="1:5">
      <c r="A2651" s="485">
        <v>423030168000</v>
      </c>
      <c r="B2651" t="s">
        <v>4080</v>
      </c>
      <c r="C2651">
        <v>0</v>
      </c>
      <c r="D2651">
        <v>0</v>
      </c>
      <c r="E2651">
        <v>0</v>
      </c>
    </row>
    <row r="2652" spans="1:5">
      <c r="A2652" s="485">
        <v>423030206100</v>
      </c>
      <c r="B2652" t="s">
        <v>4081</v>
      </c>
      <c r="C2652">
        <v>0</v>
      </c>
      <c r="D2652">
        <v>0</v>
      </c>
      <c r="E2652">
        <v>0</v>
      </c>
    </row>
    <row r="2653" spans="1:5">
      <c r="A2653" s="485">
        <v>423032038400</v>
      </c>
      <c r="B2653" t="s">
        <v>4082</v>
      </c>
      <c r="C2653">
        <v>0</v>
      </c>
      <c r="D2653">
        <v>0</v>
      </c>
      <c r="E2653">
        <v>0</v>
      </c>
    </row>
    <row r="2654" spans="1:5">
      <c r="A2654" s="485">
        <v>423030208700</v>
      </c>
      <c r="B2654" t="s">
        <v>4083</v>
      </c>
      <c r="C2654">
        <v>250</v>
      </c>
      <c r="D2654">
        <v>40.185600000000001</v>
      </c>
      <c r="E2654">
        <v>290.18560000000002</v>
      </c>
    </row>
    <row r="2655" spans="1:5">
      <c r="A2655" s="485">
        <v>423031834900</v>
      </c>
      <c r="B2655" t="s">
        <v>4084</v>
      </c>
      <c r="C2655">
        <v>3.9999999999999996</v>
      </c>
      <c r="D2655">
        <v>529.75</v>
      </c>
      <c r="E2655">
        <v>533.75</v>
      </c>
    </row>
    <row r="2656" spans="1:5">
      <c r="A2656" s="485">
        <v>423031834900</v>
      </c>
      <c r="B2656" t="s">
        <v>4085</v>
      </c>
      <c r="C2656">
        <v>0</v>
      </c>
      <c r="D2656">
        <v>0</v>
      </c>
      <c r="E2656">
        <v>0</v>
      </c>
    </row>
    <row r="2657" spans="1:5">
      <c r="A2657" s="485">
        <v>423030215500</v>
      </c>
      <c r="B2657" t="s">
        <v>4086</v>
      </c>
      <c r="C2657">
        <v>56.236600000000003</v>
      </c>
      <c r="D2657">
        <v>100.0416</v>
      </c>
      <c r="E2657">
        <v>156.2782</v>
      </c>
    </row>
    <row r="2658" spans="1:5">
      <c r="A2658" s="485">
        <v>423030215500</v>
      </c>
      <c r="B2658" t="s">
        <v>4087</v>
      </c>
      <c r="C2658">
        <v>0</v>
      </c>
      <c r="D2658">
        <v>93.294000000000011</v>
      </c>
      <c r="E2658">
        <v>93.294000000000011</v>
      </c>
    </row>
    <row r="2659" spans="1:5">
      <c r="A2659" s="485">
        <v>423030515600</v>
      </c>
      <c r="B2659" t="s">
        <v>4088</v>
      </c>
      <c r="C2659">
        <v>0</v>
      </c>
      <c r="D2659">
        <v>0</v>
      </c>
      <c r="E2659">
        <v>0</v>
      </c>
    </row>
    <row r="2660" spans="1:5">
      <c r="A2660" s="485">
        <v>423031683800</v>
      </c>
      <c r="B2660" t="s">
        <v>4089</v>
      </c>
      <c r="C2660">
        <v>1928.5813000000001</v>
      </c>
      <c r="D2660">
        <v>63.263200000000005</v>
      </c>
      <c r="E2660">
        <v>1991.8445000000002</v>
      </c>
    </row>
    <row r="2661" spans="1:5">
      <c r="A2661" s="485">
        <v>423030548800</v>
      </c>
      <c r="B2661" t="s">
        <v>4090</v>
      </c>
      <c r="C2661">
        <v>1</v>
      </c>
      <c r="D2661">
        <v>0.86329999999999996</v>
      </c>
      <c r="E2661">
        <v>1.8633</v>
      </c>
    </row>
    <row r="2662" spans="1:5">
      <c r="A2662" s="485">
        <v>423030919600</v>
      </c>
      <c r="B2662" t="s">
        <v>4091</v>
      </c>
      <c r="C2662">
        <v>0</v>
      </c>
      <c r="D2662">
        <v>0</v>
      </c>
      <c r="E2662">
        <v>0</v>
      </c>
    </row>
    <row r="2663" spans="1:5">
      <c r="A2663" s="485">
        <v>423031841200</v>
      </c>
      <c r="B2663" t="s">
        <v>4092</v>
      </c>
      <c r="C2663">
        <v>0</v>
      </c>
      <c r="D2663">
        <v>0</v>
      </c>
      <c r="E2663">
        <v>0</v>
      </c>
    </row>
    <row r="2664" spans="1:5">
      <c r="A2664" s="485">
        <v>423033147300</v>
      </c>
      <c r="B2664" t="s">
        <v>4093</v>
      </c>
      <c r="C2664">
        <v>0</v>
      </c>
      <c r="D2664">
        <v>0</v>
      </c>
      <c r="E2664">
        <v>0</v>
      </c>
    </row>
    <row r="2665" spans="1:5">
      <c r="A2665" s="485">
        <v>423032044700</v>
      </c>
      <c r="B2665" t="s">
        <v>4094</v>
      </c>
      <c r="C2665">
        <v>0</v>
      </c>
      <c r="D2665">
        <v>0</v>
      </c>
      <c r="E2665">
        <v>0</v>
      </c>
    </row>
    <row r="2666" spans="1:5">
      <c r="A2666" s="485">
        <v>423031678600</v>
      </c>
      <c r="B2666" t="s">
        <v>4095</v>
      </c>
      <c r="C2666">
        <v>50.5</v>
      </c>
      <c r="D2666">
        <v>89.199600000000004</v>
      </c>
      <c r="E2666">
        <v>139.6996</v>
      </c>
    </row>
    <row r="2667" spans="1:5">
      <c r="A2667" s="485">
        <v>423031332500</v>
      </c>
      <c r="B2667" t="s">
        <v>4096</v>
      </c>
      <c r="C2667">
        <v>0</v>
      </c>
      <c r="D2667">
        <v>0</v>
      </c>
      <c r="E2667">
        <v>0</v>
      </c>
    </row>
    <row r="2668" spans="1:5">
      <c r="A2668" s="485">
        <v>423031791400</v>
      </c>
      <c r="B2668" t="s">
        <v>4097</v>
      </c>
      <c r="C2668">
        <v>0</v>
      </c>
      <c r="D2668">
        <v>0</v>
      </c>
      <c r="E2668">
        <v>0</v>
      </c>
    </row>
    <row r="2669" spans="1:5">
      <c r="A2669" s="485">
        <v>423031301600</v>
      </c>
      <c r="B2669">
        <v>240061534</v>
      </c>
      <c r="C2669">
        <v>0</v>
      </c>
      <c r="D2669">
        <v>0</v>
      </c>
      <c r="E2669">
        <v>0</v>
      </c>
    </row>
    <row r="2670" spans="1:5">
      <c r="A2670" s="485">
        <v>423031301600</v>
      </c>
      <c r="B2670" t="s">
        <v>4098</v>
      </c>
      <c r="C2670">
        <v>0</v>
      </c>
      <c r="D2670">
        <v>0</v>
      </c>
      <c r="E2670">
        <v>0</v>
      </c>
    </row>
    <row r="2671" spans="1:5">
      <c r="A2671" s="485">
        <v>423030947300</v>
      </c>
      <c r="B2671" t="s">
        <v>4099</v>
      </c>
      <c r="C2671">
        <v>0</v>
      </c>
      <c r="D2671">
        <v>0</v>
      </c>
      <c r="E2671">
        <v>0</v>
      </c>
    </row>
    <row r="2672" spans="1:5">
      <c r="A2672" s="485">
        <v>423030924800</v>
      </c>
      <c r="B2672" t="s">
        <v>4100</v>
      </c>
      <c r="C2672">
        <v>0</v>
      </c>
      <c r="D2672">
        <v>2.19</v>
      </c>
      <c r="E2672">
        <v>2.19</v>
      </c>
    </row>
    <row r="2673" spans="1:5">
      <c r="A2673" s="485">
        <v>423031332400</v>
      </c>
      <c r="B2673" t="s">
        <v>4101</v>
      </c>
      <c r="C2673">
        <v>0</v>
      </c>
      <c r="D2673">
        <v>0</v>
      </c>
      <c r="E2673">
        <v>0</v>
      </c>
    </row>
    <row r="2674" spans="1:5">
      <c r="A2674" s="485">
        <v>423031578600</v>
      </c>
      <c r="B2674" t="s">
        <v>4102</v>
      </c>
      <c r="C2674">
        <v>0</v>
      </c>
      <c r="D2674">
        <v>0</v>
      </c>
      <c r="E2674">
        <v>0</v>
      </c>
    </row>
    <row r="2675" spans="1:5">
      <c r="A2675" s="485">
        <v>423030780900</v>
      </c>
      <c r="B2675" t="s">
        <v>4103</v>
      </c>
      <c r="C2675">
        <v>0</v>
      </c>
      <c r="D2675">
        <v>0</v>
      </c>
      <c r="E2675">
        <v>0</v>
      </c>
    </row>
    <row r="2676" spans="1:5">
      <c r="A2676" s="485">
        <v>423031925400</v>
      </c>
      <c r="B2676" t="s">
        <v>4104</v>
      </c>
      <c r="C2676">
        <v>0</v>
      </c>
      <c r="D2676">
        <v>0</v>
      </c>
      <c r="E2676">
        <v>0</v>
      </c>
    </row>
    <row r="2677" spans="1:5">
      <c r="A2677" s="485">
        <v>423031907900</v>
      </c>
      <c r="B2677" t="s">
        <v>4105</v>
      </c>
      <c r="C2677">
        <v>2.7000999999999999</v>
      </c>
      <c r="D2677">
        <v>1.4417</v>
      </c>
      <c r="E2677">
        <v>4.1417999999999999</v>
      </c>
    </row>
    <row r="2678" spans="1:5">
      <c r="A2678" s="485">
        <v>423032012700</v>
      </c>
      <c r="B2678" t="s">
        <v>4106</v>
      </c>
      <c r="C2678">
        <v>0</v>
      </c>
      <c r="D2678">
        <v>118.84399999999999</v>
      </c>
      <c r="E2678">
        <v>118.84399999999999</v>
      </c>
    </row>
    <row r="2679" spans="1:5">
      <c r="A2679" s="485">
        <v>423031359800</v>
      </c>
      <c r="B2679" t="s">
        <v>4107</v>
      </c>
      <c r="C2679">
        <v>0</v>
      </c>
      <c r="D2679">
        <v>0</v>
      </c>
      <c r="E2679">
        <v>0</v>
      </c>
    </row>
    <row r="2680" spans="1:5">
      <c r="A2680" s="485">
        <v>423031359800</v>
      </c>
      <c r="B2680" t="s">
        <v>4108</v>
      </c>
      <c r="C2680">
        <v>0</v>
      </c>
      <c r="D2680">
        <v>0</v>
      </c>
      <c r="E2680">
        <v>0</v>
      </c>
    </row>
    <row r="2681" spans="1:5">
      <c r="A2681" s="485">
        <v>423031359800</v>
      </c>
      <c r="B2681" t="s">
        <v>4109</v>
      </c>
      <c r="C2681">
        <v>0</v>
      </c>
      <c r="D2681">
        <v>0</v>
      </c>
      <c r="E2681">
        <v>0</v>
      </c>
    </row>
    <row r="2682" spans="1:5">
      <c r="A2682" s="485">
        <v>423031359800</v>
      </c>
      <c r="B2682" t="s">
        <v>4110</v>
      </c>
      <c r="C2682">
        <v>0</v>
      </c>
      <c r="D2682">
        <v>0</v>
      </c>
      <c r="E2682">
        <v>0</v>
      </c>
    </row>
    <row r="2683" spans="1:5">
      <c r="A2683" s="485">
        <v>423031359800</v>
      </c>
      <c r="B2683" t="s">
        <v>4111</v>
      </c>
      <c r="C2683">
        <v>0</v>
      </c>
      <c r="D2683">
        <v>0</v>
      </c>
      <c r="E2683">
        <v>0</v>
      </c>
    </row>
    <row r="2684" spans="1:5">
      <c r="A2684" s="485">
        <v>423031359800</v>
      </c>
      <c r="B2684" t="s">
        <v>4112</v>
      </c>
      <c r="C2684">
        <v>0</v>
      </c>
      <c r="D2684">
        <v>0</v>
      </c>
      <c r="E2684">
        <v>0</v>
      </c>
    </row>
    <row r="2685" spans="1:5">
      <c r="A2685" s="485">
        <v>423031359800</v>
      </c>
      <c r="B2685" t="s">
        <v>4113</v>
      </c>
      <c r="C2685">
        <v>0</v>
      </c>
      <c r="D2685">
        <v>0</v>
      </c>
      <c r="E2685">
        <v>0</v>
      </c>
    </row>
    <row r="2686" spans="1:5">
      <c r="A2686" s="485">
        <v>423031359800</v>
      </c>
      <c r="B2686" t="s">
        <v>4114</v>
      </c>
      <c r="C2686">
        <v>0</v>
      </c>
      <c r="D2686">
        <v>0</v>
      </c>
      <c r="E2686">
        <v>0</v>
      </c>
    </row>
    <row r="2687" spans="1:5">
      <c r="A2687" s="485">
        <v>423030723000</v>
      </c>
      <c r="B2687" t="s">
        <v>4115</v>
      </c>
      <c r="C2687">
        <v>0</v>
      </c>
      <c r="D2687">
        <v>0</v>
      </c>
      <c r="E2687">
        <v>0</v>
      </c>
    </row>
    <row r="2688" spans="1:5">
      <c r="A2688" s="485">
        <v>423031326800</v>
      </c>
      <c r="B2688">
        <v>5693038974</v>
      </c>
      <c r="C2688">
        <v>0</v>
      </c>
      <c r="D2688">
        <v>0</v>
      </c>
      <c r="E2688">
        <v>0</v>
      </c>
    </row>
    <row r="2689" spans="1:5">
      <c r="A2689" s="485">
        <v>423031790300</v>
      </c>
      <c r="B2689" t="s">
        <v>4116</v>
      </c>
      <c r="C2689">
        <v>10.5505</v>
      </c>
      <c r="D2689">
        <v>3.258</v>
      </c>
      <c r="E2689">
        <v>13.808499999999999</v>
      </c>
    </row>
    <row r="2690" spans="1:5">
      <c r="A2690" s="485">
        <v>423031340500</v>
      </c>
      <c r="B2690" t="s">
        <v>4117</v>
      </c>
      <c r="C2690">
        <v>0</v>
      </c>
      <c r="D2690">
        <v>0</v>
      </c>
      <c r="E2690">
        <v>0</v>
      </c>
    </row>
    <row r="2691" spans="1:5">
      <c r="A2691" s="485">
        <v>423031340500</v>
      </c>
      <c r="B2691" t="s">
        <v>4118</v>
      </c>
      <c r="C2691">
        <v>0</v>
      </c>
      <c r="D2691">
        <v>0</v>
      </c>
      <c r="E2691">
        <v>0</v>
      </c>
    </row>
    <row r="2692" spans="1:5">
      <c r="A2692" s="485">
        <v>423031340500</v>
      </c>
      <c r="B2692" t="s">
        <v>4119</v>
      </c>
      <c r="C2692">
        <v>0</v>
      </c>
      <c r="D2692">
        <v>0</v>
      </c>
      <c r="E2692">
        <v>0</v>
      </c>
    </row>
    <row r="2693" spans="1:5">
      <c r="A2693" s="485">
        <v>423031340500</v>
      </c>
      <c r="B2693" t="s">
        <v>4120</v>
      </c>
      <c r="C2693">
        <v>0</v>
      </c>
      <c r="D2693">
        <v>0</v>
      </c>
      <c r="E2693">
        <v>0</v>
      </c>
    </row>
    <row r="2694" spans="1:5">
      <c r="A2694" s="485">
        <v>423031340500</v>
      </c>
      <c r="B2694" t="s">
        <v>4121</v>
      </c>
      <c r="C2694">
        <v>0</v>
      </c>
      <c r="D2694">
        <v>0</v>
      </c>
      <c r="E2694">
        <v>0</v>
      </c>
    </row>
    <row r="2695" spans="1:5">
      <c r="A2695" s="485">
        <v>423031340500</v>
      </c>
      <c r="B2695" t="s">
        <v>4122</v>
      </c>
      <c r="C2695">
        <v>0</v>
      </c>
      <c r="D2695">
        <v>0</v>
      </c>
      <c r="E2695">
        <v>0</v>
      </c>
    </row>
    <row r="2696" spans="1:5">
      <c r="A2696" s="485">
        <v>423032000000</v>
      </c>
      <c r="B2696" t="s">
        <v>4123</v>
      </c>
      <c r="C2696">
        <v>681.43069999999989</v>
      </c>
      <c r="D2696">
        <v>209.22749999999999</v>
      </c>
      <c r="E2696">
        <v>890.65819999999985</v>
      </c>
    </row>
    <row r="2697" spans="1:5">
      <c r="A2697" s="485">
        <v>423030723300</v>
      </c>
      <c r="B2697" t="s">
        <v>4124</v>
      </c>
      <c r="C2697">
        <v>0</v>
      </c>
      <c r="D2697">
        <v>0</v>
      </c>
      <c r="E2697">
        <v>0</v>
      </c>
    </row>
    <row r="2698" spans="1:5">
      <c r="A2698" s="485">
        <v>423031296800</v>
      </c>
      <c r="B2698" t="s">
        <v>4125</v>
      </c>
      <c r="C2698">
        <v>0</v>
      </c>
      <c r="D2698">
        <v>0</v>
      </c>
      <c r="E2698">
        <v>0</v>
      </c>
    </row>
    <row r="2699" spans="1:5">
      <c r="A2699" s="485">
        <v>423031392800</v>
      </c>
      <c r="B2699" t="s">
        <v>4126</v>
      </c>
      <c r="C2699">
        <v>0</v>
      </c>
      <c r="D2699">
        <v>0</v>
      </c>
      <c r="E2699">
        <v>0</v>
      </c>
    </row>
    <row r="2700" spans="1:5">
      <c r="A2700" s="485">
        <v>423031392800</v>
      </c>
      <c r="B2700" t="s">
        <v>4127</v>
      </c>
      <c r="C2700">
        <v>0</v>
      </c>
      <c r="D2700">
        <v>0</v>
      </c>
      <c r="E2700">
        <v>0</v>
      </c>
    </row>
    <row r="2701" spans="1:5">
      <c r="A2701" s="485">
        <v>423031392800</v>
      </c>
      <c r="B2701" t="s">
        <v>4128</v>
      </c>
      <c r="C2701">
        <v>0</v>
      </c>
      <c r="D2701">
        <v>0</v>
      </c>
      <c r="E2701">
        <v>0</v>
      </c>
    </row>
    <row r="2702" spans="1:5">
      <c r="A2702" s="485">
        <v>423031392800</v>
      </c>
      <c r="B2702" t="s">
        <v>4129</v>
      </c>
      <c r="C2702">
        <v>0</v>
      </c>
      <c r="D2702">
        <v>0</v>
      </c>
      <c r="E2702">
        <v>0</v>
      </c>
    </row>
    <row r="2703" spans="1:5">
      <c r="A2703" s="485">
        <v>423031392800</v>
      </c>
      <c r="B2703" t="s">
        <v>4130</v>
      </c>
      <c r="C2703">
        <v>0</v>
      </c>
      <c r="D2703">
        <v>0</v>
      </c>
      <c r="E2703">
        <v>0</v>
      </c>
    </row>
    <row r="2704" spans="1:5">
      <c r="A2704" s="485">
        <v>423031392800</v>
      </c>
      <c r="B2704" t="s">
        <v>4131</v>
      </c>
      <c r="C2704">
        <v>0</v>
      </c>
      <c r="D2704">
        <v>0</v>
      </c>
      <c r="E2704">
        <v>0</v>
      </c>
    </row>
    <row r="2705" spans="1:5">
      <c r="A2705" s="485">
        <v>423031392800</v>
      </c>
      <c r="B2705" t="s">
        <v>4132</v>
      </c>
      <c r="C2705">
        <v>0</v>
      </c>
      <c r="D2705">
        <v>0</v>
      </c>
      <c r="E2705">
        <v>0</v>
      </c>
    </row>
    <row r="2706" spans="1:5">
      <c r="A2706" s="485">
        <v>423031769000</v>
      </c>
      <c r="B2706" t="s">
        <v>4133</v>
      </c>
      <c r="C2706">
        <v>2.5714000000000001</v>
      </c>
      <c r="D2706">
        <v>2.2372000000000001</v>
      </c>
      <c r="E2706">
        <v>4.8086000000000002</v>
      </c>
    </row>
    <row r="2707" spans="1:5">
      <c r="A2707" s="485">
        <v>423030790200</v>
      </c>
      <c r="B2707" t="s">
        <v>4134</v>
      </c>
      <c r="C2707">
        <v>0</v>
      </c>
      <c r="D2707">
        <v>0</v>
      </c>
      <c r="E2707">
        <v>0</v>
      </c>
    </row>
    <row r="2708" spans="1:5">
      <c r="A2708" s="485">
        <v>423030790200</v>
      </c>
      <c r="B2708" t="s">
        <v>4135</v>
      </c>
      <c r="C2708">
        <v>0</v>
      </c>
      <c r="D2708">
        <v>0</v>
      </c>
      <c r="E2708">
        <v>0</v>
      </c>
    </row>
    <row r="2709" spans="1:5">
      <c r="A2709" s="485">
        <v>423031827100</v>
      </c>
      <c r="B2709" t="s">
        <v>4136</v>
      </c>
      <c r="C2709">
        <v>0</v>
      </c>
      <c r="D2709">
        <v>0</v>
      </c>
      <c r="E2709">
        <v>0</v>
      </c>
    </row>
    <row r="2710" spans="1:5">
      <c r="A2710" s="485">
        <v>423031790200</v>
      </c>
      <c r="B2710" t="s">
        <v>4137</v>
      </c>
      <c r="C2710">
        <v>0</v>
      </c>
      <c r="D2710">
        <v>0</v>
      </c>
      <c r="E2710">
        <v>0</v>
      </c>
    </row>
    <row r="2711" spans="1:5">
      <c r="A2711" s="485">
        <v>423031790200</v>
      </c>
      <c r="B2711" t="s">
        <v>4138</v>
      </c>
      <c r="C2711">
        <v>0</v>
      </c>
      <c r="D2711">
        <v>0</v>
      </c>
      <c r="E2711">
        <v>0</v>
      </c>
    </row>
    <row r="2712" spans="1:5">
      <c r="A2712" s="485">
        <v>423031790200</v>
      </c>
      <c r="B2712" t="s">
        <v>4139</v>
      </c>
      <c r="C2712">
        <v>0</v>
      </c>
      <c r="D2712">
        <v>0</v>
      </c>
      <c r="E2712">
        <v>0</v>
      </c>
    </row>
    <row r="2713" spans="1:5">
      <c r="A2713" s="485">
        <v>423031790200</v>
      </c>
      <c r="B2713" t="s">
        <v>4140</v>
      </c>
      <c r="C2713">
        <v>0</v>
      </c>
      <c r="D2713">
        <v>0</v>
      </c>
      <c r="E2713">
        <v>0</v>
      </c>
    </row>
    <row r="2714" spans="1:5">
      <c r="A2714" s="485">
        <v>423031790200</v>
      </c>
      <c r="B2714" t="s">
        <v>4141</v>
      </c>
      <c r="C2714">
        <v>0</v>
      </c>
      <c r="D2714">
        <v>0</v>
      </c>
      <c r="E2714">
        <v>0</v>
      </c>
    </row>
    <row r="2715" spans="1:5">
      <c r="A2715" s="485">
        <v>423031790200</v>
      </c>
      <c r="B2715" t="s">
        <v>4142</v>
      </c>
      <c r="C2715">
        <v>0</v>
      </c>
      <c r="D2715">
        <v>0</v>
      </c>
      <c r="E2715">
        <v>0</v>
      </c>
    </row>
    <row r="2716" spans="1:5">
      <c r="A2716" s="485">
        <v>423030574700</v>
      </c>
      <c r="B2716" t="s">
        <v>4143</v>
      </c>
      <c r="C2716">
        <v>161.06819999999999</v>
      </c>
      <c r="D2716">
        <v>43.112299999999998</v>
      </c>
      <c r="E2716">
        <v>204.18049999999999</v>
      </c>
    </row>
    <row r="2717" spans="1:5">
      <c r="A2717" s="485">
        <v>423031121500</v>
      </c>
      <c r="B2717" t="s">
        <v>4144</v>
      </c>
      <c r="C2717">
        <v>2.8182</v>
      </c>
      <c r="D2717">
        <v>30.360600000000002</v>
      </c>
      <c r="E2717">
        <v>33.178800000000003</v>
      </c>
    </row>
    <row r="2718" spans="1:5">
      <c r="A2718" s="485">
        <v>423031584900</v>
      </c>
      <c r="B2718" t="s">
        <v>4145</v>
      </c>
      <c r="C2718">
        <v>0</v>
      </c>
      <c r="D2718">
        <v>0</v>
      </c>
      <c r="E2718">
        <v>0</v>
      </c>
    </row>
    <row r="2719" spans="1:5">
      <c r="A2719" s="485">
        <v>423031278500</v>
      </c>
      <c r="B2719" t="s">
        <v>4146</v>
      </c>
      <c r="C2719">
        <v>0</v>
      </c>
      <c r="D2719">
        <v>59.458500000000001</v>
      </c>
      <c r="E2719">
        <v>59.458500000000001</v>
      </c>
    </row>
    <row r="2720" spans="1:5">
      <c r="A2720" s="485">
        <v>423031609600</v>
      </c>
      <c r="B2720" t="s">
        <v>4147</v>
      </c>
      <c r="C2720">
        <v>0</v>
      </c>
      <c r="D2720">
        <v>0</v>
      </c>
      <c r="E2720">
        <v>0</v>
      </c>
    </row>
    <row r="2721" spans="1:5">
      <c r="A2721" s="485">
        <v>423031282300</v>
      </c>
      <c r="B2721" t="s">
        <v>4148</v>
      </c>
      <c r="C2721">
        <v>0</v>
      </c>
      <c r="D2721">
        <v>0</v>
      </c>
      <c r="E2721">
        <v>0</v>
      </c>
    </row>
    <row r="2722" spans="1:5">
      <c r="A2722" s="485">
        <v>423031282300</v>
      </c>
      <c r="B2722" t="s">
        <v>4149</v>
      </c>
      <c r="C2722">
        <v>0</v>
      </c>
      <c r="D2722">
        <v>0</v>
      </c>
      <c r="E2722">
        <v>0</v>
      </c>
    </row>
    <row r="2723" spans="1:5">
      <c r="A2723" s="485">
        <v>423031282300</v>
      </c>
      <c r="B2723" t="s">
        <v>4150</v>
      </c>
      <c r="C2723">
        <v>0</v>
      </c>
      <c r="D2723">
        <v>0</v>
      </c>
      <c r="E2723">
        <v>0</v>
      </c>
    </row>
    <row r="2724" spans="1:5">
      <c r="A2724" s="485">
        <v>423031282300</v>
      </c>
      <c r="B2724" t="s">
        <v>4151</v>
      </c>
      <c r="C2724">
        <v>0</v>
      </c>
      <c r="D2724">
        <v>0</v>
      </c>
      <c r="E2724">
        <v>0</v>
      </c>
    </row>
    <row r="2725" spans="1:5">
      <c r="A2725" s="485">
        <v>423031282300</v>
      </c>
      <c r="B2725" t="s">
        <v>4152</v>
      </c>
      <c r="C2725">
        <v>0</v>
      </c>
      <c r="D2725">
        <v>0</v>
      </c>
      <c r="E2725">
        <v>0</v>
      </c>
    </row>
    <row r="2726" spans="1:5">
      <c r="A2726" s="485">
        <v>423031282300</v>
      </c>
      <c r="B2726" t="s">
        <v>4153</v>
      </c>
      <c r="C2726">
        <v>0</v>
      </c>
      <c r="D2726">
        <v>0</v>
      </c>
      <c r="E2726">
        <v>0</v>
      </c>
    </row>
    <row r="2727" spans="1:5">
      <c r="A2727" s="485">
        <v>423031282300</v>
      </c>
      <c r="B2727" t="s">
        <v>4154</v>
      </c>
      <c r="C2727">
        <v>0</v>
      </c>
      <c r="D2727">
        <v>0</v>
      </c>
      <c r="E2727">
        <v>0</v>
      </c>
    </row>
    <row r="2728" spans="1:5">
      <c r="A2728" s="485">
        <v>423031214300</v>
      </c>
      <c r="B2728" t="s">
        <v>4155</v>
      </c>
      <c r="C2728">
        <v>0</v>
      </c>
      <c r="D2728">
        <v>0</v>
      </c>
      <c r="E2728">
        <v>0</v>
      </c>
    </row>
    <row r="2729" spans="1:5">
      <c r="A2729" s="485">
        <v>423031214300</v>
      </c>
      <c r="B2729" t="s">
        <v>4156</v>
      </c>
      <c r="C2729">
        <v>0</v>
      </c>
      <c r="D2729">
        <v>0</v>
      </c>
      <c r="E2729">
        <v>0</v>
      </c>
    </row>
    <row r="2730" spans="1:5">
      <c r="A2730" s="485">
        <v>423031214300</v>
      </c>
      <c r="B2730" t="s">
        <v>4157</v>
      </c>
      <c r="C2730">
        <v>0</v>
      </c>
      <c r="D2730">
        <v>0</v>
      </c>
      <c r="E2730">
        <v>0</v>
      </c>
    </row>
    <row r="2731" spans="1:5">
      <c r="A2731" s="485">
        <v>423031214300</v>
      </c>
      <c r="B2731" t="s">
        <v>4158</v>
      </c>
      <c r="C2731">
        <v>0</v>
      </c>
      <c r="D2731">
        <v>0</v>
      </c>
      <c r="E2731">
        <v>0</v>
      </c>
    </row>
    <row r="2732" spans="1:5">
      <c r="A2732" s="485">
        <v>423031214300</v>
      </c>
      <c r="B2732" t="s">
        <v>4159</v>
      </c>
      <c r="C2732">
        <v>0</v>
      </c>
      <c r="D2732">
        <v>0</v>
      </c>
      <c r="E2732">
        <v>0</v>
      </c>
    </row>
    <row r="2733" spans="1:5">
      <c r="A2733" s="485">
        <v>423031214300</v>
      </c>
      <c r="B2733" t="s">
        <v>4160</v>
      </c>
      <c r="C2733">
        <v>0</v>
      </c>
      <c r="D2733">
        <v>0</v>
      </c>
      <c r="E2733">
        <v>0</v>
      </c>
    </row>
    <row r="2734" spans="1:5">
      <c r="A2734" s="485">
        <v>423031214300</v>
      </c>
      <c r="B2734" t="s">
        <v>4161</v>
      </c>
      <c r="C2734">
        <v>0</v>
      </c>
      <c r="D2734">
        <v>0</v>
      </c>
      <c r="E2734">
        <v>0</v>
      </c>
    </row>
    <row r="2735" spans="1:5">
      <c r="A2735" s="485">
        <v>423030607300</v>
      </c>
      <c r="B2735" t="s">
        <v>4162</v>
      </c>
      <c r="C2735">
        <v>12.574499999999999</v>
      </c>
      <c r="D2735">
        <v>0.62219999999999998</v>
      </c>
      <c r="E2735">
        <v>13.196699999999998</v>
      </c>
    </row>
    <row r="2736" spans="1:5">
      <c r="A2736" s="485">
        <v>423030710600</v>
      </c>
      <c r="B2736" t="s">
        <v>4163</v>
      </c>
      <c r="C2736">
        <v>22.000000000000004</v>
      </c>
      <c r="D2736">
        <v>0.99550000000000005</v>
      </c>
      <c r="E2736">
        <v>22.995500000000003</v>
      </c>
    </row>
    <row r="2737" spans="1:5">
      <c r="A2737" s="485">
        <v>423031239100</v>
      </c>
      <c r="B2737" t="s">
        <v>4164</v>
      </c>
      <c r="C2737">
        <v>0</v>
      </c>
      <c r="D2737">
        <v>0</v>
      </c>
      <c r="E2737">
        <v>0</v>
      </c>
    </row>
    <row r="2738" spans="1:5">
      <c r="A2738" s="485">
        <v>423030604100</v>
      </c>
      <c r="B2738" t="s">
        <v>4165</v>
      </c>
      <c r="C2738">
        <v>0</v>
      </c>
      <c r="D2738">
        <v>0</v>
      </c>
      <c r="E2738">
        <v>0</v>
      </c>
    </row>
    <row r="2739" spans="1:5">
      <c r="A2739" s="485">
        <v>423030760500</v>
      </c>
      <c r="B2739" t="s">
        <v>4166</v>
      </c>
      <c r="C2739">
        <v>0</v>
      </c>
      <c r="D2739">
        <v>1.3140000000000001</v>
      </c>
      <c r="E2739">
        <v>1.3140000000000001</v>
      </c>
    </row>
    <row r="2740" spans="1:5">
      <c r="A2740" s="485">
        <v>423031661900</v>
      </c>
      <c r="B2740" t="s">
        <v>4167</v>
      </c>
      <c r="C2740">
        <v>0</v>
      </c>
      <c r="D2740">
        <v>0</v>
      </c>
      <c r="E2740">
        <v>0</v>
      </c>
    </row>
    <row r="2741" spans="1:5">
      <c r="A2741" s="485">
        <v>423031907200</v>
      </c>
      <c r="B2741" t="s">
        <v>4168</v>
      </c>
      <c r="C2741">
        <v>0</v>
      </c>
      <c r="D2741">
        <v>0</v>
      </c>
      <c r="E2741">
        <v>0</v>
      </c>
    </row>
    <row r="2742" spans="1:5">
      <c r="A2742" s="485">
        <v>423031907200</v>
      </c>
      <c r="B2742" t="s">
        <v>4169</v>
      </c>
      <c r="C2742">
        <v>0</v>
      </c>
      <c r="D2742">
        <v>0</v>
      </c>
      <c r="E2742">
        <v>0</v>
      </c>
    </row>
    <row r="2743" spans="1:5">
      <c r="A2743" s="485">
        <v>423031907200</v>
      </c>
      <c r="B2743" t="s">
        <v>4170</v>
      </c>
      <c r="C2743">
        <v>0</v>
      </c>
      <c r="D2743">
        <v>0</v>
      </c>
      <c r="E2743">
        <v>0</v>
      </c>
    </row>
    <row r="2744" spans="1:5">
      <c r="A2744" s="485">
        <v>423031907200</v>
      </c>
      <c r="B2744" t="s">
        <v>4171</v>
      </c>
      <c r="C2744">
        <v>0</v>
      </c>
      <c r="D2744">
        <v>0</v>
      </c>
      <c r="E2744">
        <v>0</v>
      </c>
    </row>
    <row r="2745" spans="1:5">
      <c r="A2745" s="485">
        <v>423031907200</v>
      </c>
      <c r="B2745" t="s">
        <v>4172</v>
      </c>
      <c r="C2745">
        <v>0</v>
      </c>
      <c r="D2745">
        <v>0</v>
      </c>
      <c r="E2745">
        <v>0</v>
      </c>
    </row>
    <row r="2746" spans="1:5">
      <c r="A2746" s="485">
        <v>423031907200</v>
      </c>
      <c r="B2746" t="s">
        <v>4173</v>
      </c>
      <c r="C2746">
        <v>0</v>
      </c>
      <c r="D2746">
        <v>0</v>
      </c>
      <c r="E2746">
        <v>0</v>
      </c>
    </row>
    <row r="2747" spans="1:5">
      <c r="A2747" s="485">
        <v>423031907200</v>
      </c>
      <c r="B2747" t="s">
        <v>4174</v>
      </c>
      <c r="C2747">
        <v>0</v>
      </c>
      <c r="D2747">
        <v>0</v>
      </c>
      <c r="E2747">
        <v>0</v>
      </c>
    </row>
    <row r="2748" spans="1:5">
      <c r="A2748" s="485">
        <v>423030765400</v>
      </c>
      <c r="B2748" t="s">
        <v>4175</v>
      </c>
      <c r="C2748">
        <v>22.386199999999999</v>
      </c>
      <c r="D2748">
        <v>6.8999999999999995</v>
      </c>
      <c r="E2748">
        <v>29.286199999999997</v>
      </c>
    </row>
    <row r="2749" spans="1:5">
      <c r="A2749" s="485">
        <v>423030716700</v>
      </c>
      <c r="B2749" t="s">
        <v>4176</v>
      </c>
      <c r="C2749">
        <v>0</v>
      </c>
      <c r="D2749">
        <v>3.504</v>
      </c>
      <c r="E2749">
        <v>3.504</v>
      </c>
    </row>
    <row r="2750" spans="1:5">
      <c r="A2750" s="485">
        <v>423030661100</v>
      </c>
      <c r="B2750" t="s">
        <v>4177</v>
      </c>
      <c r="C2750">
        <v>0</v>
      </c>
      <c r="D2750">
        <v>0</v>
      </c>
      <c r="E2750">
        <v>0</v>
      </c>
    </row>
    <row r="2751" spans="1:5">
      <c r="A2751" s="485">
        <v>423031807700</v>
      </c>
      <c r="B2751" t="s">
        <v>4178</v>
      </c>
      <c r="C2751">
        <v>37</v>
      </c>
      <c r="D2751">
        <v>33.200000000000003</v>
      </c>
      <c r="E2751">
        <v>70.2</v>
      </c>
    </row>
    <row r="2752" spans="1:5">
      <c r="A2752" s="485">
        <v>423031126600</v>
      </c>
      <c r="B2752" t="s">
        <v>4179</v>
      </c>
      <c r="C2752">
        <v>0</v>
      </c>
      <c r="D2752">
        <v>0</v>
      </c>
      <c r="E2752">
        <v>0</v>
      </c>
    </row>
    <row r="2753" spans="1:5">
      <c r="A2753" s="485"/>
      <c r="C2753">
        <f>SUM(C15:C2752)</f>
        <v>1035317.8136760007</v>
      </c>
      <c r="D2753">
        <f t="shared" ref="D2753:E2753" si="1">SUM(D15:D2752)</f>
        <v>403950.55540000001</v>
      </c>
      <c r="E2753">
        <f t="shared" si="1"/>
        <v>1439268.3690760001</v>
      </c>
    </row>
    <row r="2754" spans="1:5">
      <c r="A2754" s="485"/>
    </row>
    <row r="2755" spans="1:5">
      <c r="A2755" s="485"/>
    </row>
    <row r="2756" spans="1:5">
      <c r="A2756" s="485"/>
    </row>
    <row r="2757" spans="1:5">
      <c r="A2757" s="485"/>
    </row>
    <row r="2758" spans="1:5">
      <c r="A2758" s="485"/>
    </row>
    <row r="2759" spans="1:5">
      <c r="A2759" s="485"/>
    </row>
    <row r="2760" spans="1:5">
      <c r="A2760" s="485"/>
    </row>
    <row r="2761" spans="1:5">
      <c r="A2761" s="485"/>
    </row>
    <row r="2762" spans="1:5">
      <c r="A2762" s="485"/>
    </row>
    <row r="2763" spans="1:5">
      <c r="A2763" s="485"/>
    </row>
    <row r="2764" spans="1:5">
      <c r="A2764" s="485"/>
    </row>
    <row r="2765" spans="1:5">
      <c r="A2765" s="485"/>
    </row>
    <row r="2766" spans="1:5">
      <c r="A2766" s="485"/>
    </row>
    <row r="2767" spans="1:5">
      <c r="A2767" s="485"/>
    </row>
    <row r="2768" spans="1:5">
      <c r="A2768" s="485"/>
    </row>
    <row r="2769" spans="1:1">
      <c r="A2769" s="485"/>
    </row>
    <row r="2770" spans="1:1">
      <c r="A2770" s="485"/>
    </row>
    <row r="2771" spans="1:1">
      <c r="A2771" s="485"/>
    </row>
    <row r="2772" spans="1:1">
      <c r="A2772" s="485"/>
    </row>
    <row r="2773" spans="1:1">
      <c r="A2773" s="485"/>
    </row>
    <row r="2774" spans="1:1">
      <c r="A2774" s="485"/>
    </row>
    <row r="2775" spans="1:1">
      <c r="A2775" s="485"/>
    </row>
    <row r="2776" spans="1:1">
      <c r="A2776" s="485"/>
    </row>
    <row r="2777" spans="1:1">
      <c r="A2777" s="485"/>
    </row>
    <row r="2778" spans="1:1">
      <c r="A2778" s="485"/>
    </row>
    <row r="2779" spans="1:1">
      <c r="A2779" s="485"/>
    </row>
    <row r="2780" spans="1:1">
      <c r="A2780" s="485"/>
    </row>
    <row r="2781" spans="1:1">
      <c r="A2781" s="485"/>
    </row>
    <row r="2782" spans="1:1">
      <c r="A2782" s="485"/>
    </row>
    <row r="2783" spans="1:1">
      <c r="A2783" s="485"/>
    </row>
    <row r="2784" spans="1:1">
      <c r="A2784" s="485"/>
    </row>
    <row r="2785" spans="1:1">
      <c r="A2785" s="485"/>
    </row>
    <row r="2786" spans="1:1">
      <c r="A2786" s="485"/>
    </row>
    <row r="2787" spans="1:1">
      <c r="A2787" s="485"/>
    </row>
    <row r="2788" spans="1:1">
      <c r="A2788" s="485"/>
    </row>
    <row r="2789" spans="1:1">
      <c r="A2789" s="485"/>
    </row>
    <row r="2790" spans="1:1">
      <c r="A2790" s="485"/>
    </row>
    <row r="2791" spans="1:1">
      <c r="A2791" s="485"/>
    </row>
    <row r="2792" spans="1:1">
      <c r="A2792" s="485"/>
    </row>
    <row r="2793" spans="1:1">
      <c r="A2793" s="485"/>
    </row>
    <row r="2794" spans="1:1">
      <c r="A2794" s="485"/>
    </row>
    <row r="2795" spans="1:1">
      <c r="A2795" s="485"/>
    </row>
    <row r="2796" spans="1:1">
      <c r="A2796" s="485"/>
    </row>
    <row r="2797" spans="1:1">
      <c r="A2797" s="485"/>
    </row>
    <row r="2798" spans="1:1">
      <c r="A2798" s="485"/>
    </row>
    <row r="2799" spans="1:1">
      <c r="A2799" s="485"/>
    </row>
    <row r="2800" spans="1:1">
      <c r="A2800" s="485"/>
    </row>
    <row r="2801" spans="1:1">
      <c r="A2801" s="485"/>
    </row>
    <row r="2802" spans="1:1">
      <c r="A2802" s="485"/>
    </row>
    <row r="2803" spans="1:1">
      <c r="A2803" s="485"/>
    </row>
    <row r="2804" spans="1:1">
      <c r="A2804" s="485"/>
    </row>
    <row r="2805" spans="1:1">
      <c r="A2805" s="485"/>
    </row>
    <row r="2806" spans="1:1">
      <c r="A2806" s="485"/>
    </row>
    <row r="2807" spans="1:1">
      <c r="A2807" s="485"/>
    </row>
    <row r="2808" spans="1:1">
      <c r="A2808" s="485"/>
    </row>
    <row r="2809" spans="1:1">
      <c r="A2809" s="485"/>
    </row>
    <row r="2810" spans="1:1">
      <c r="A2810" s="485"/>
    </row>
    <row r="2811" spans="1:1">
      <c r="A2811" s="485"/>
    </row>
    <row r="2812" spans="1:1">
      <c r="A2812" s="485"/>
    </row>
    <row r="2813" spans="1:1">
      <c r="A2813" s="485"/>
    </row>
    <row r="2814" spans="1:1">
      <c r="A2814" s="485"/>
    </row>
    <row r="2815" spans="1:1">
      <c r="A2815" s="485"/>
    </row>
    <row r="2816" spans="1:1">
      <c r="A2816" s="485"/>
    </row>
    <row r="2817" spans="1:1">
      <c r="A2817" s="485"/>
    </row>
    <row r="2818" spans="1:1">
      <c r="A2818" s="485"/>
    </row>
    <row r="2819" spans="1:1">
      <c r="A2819" s="485"/>
    </row>
    <row r="2820" spans="1:1">
      <c r="A2820" s="485"/>
    </row>
    <row r="2821" spans="1:1">
      <c r="A2821" s="485"/>
    </row>
    <row r="2822" spans="1:1">
      <c r="A2822" s="485"/>
    </row>
    <row r="2823" spans="1:1">
      <c r="A2823" s="485"/>
    </row>
    <row r="2824" spans="1:1">
      <c r="A2824" s="485"/>
    </row>
    <row r="2825" spans="1:1">
      <c r="A2825" s="485"/>
    </row>
    <row r="2826" spans="1:1">
      <c r="A2826" s="485"/>
    </row>
    <row r="2827" spans="1:1">
      <c r="A2827" s="485"/>
    </row>
    <row r="2828" spans="1:1">
      <c r="A2828" s="485"/>
    </row>
    <row r="2829" spans="1:1">
      <c r="A2829" s="485"/>
    </row>
    <row r="2830" spans="1:1">
      <c r="A2830" s="485"/>
    </row>
    <row r="2831" spans="1:1">
      <c r="A2831" s="485"/>
    </row>
    <row r="2832" spans="1:1">
      <c r="A2832" s="485"/>
    </row>
    <row r="2833" spans="1:1">
      <c r="A2833" s="485"/>
    </row>
    <row r="2834" spans="1:1">
      <c r="A2834" s="485"/>
    </row>
    <row r="2835" spans="1:1">
      <c r="A2835" s="485"/>
    </row>
    <row r="2836" spans="1:1">
      <c r="A2836" s="485"/>
    </row>
    <row r="2837" spans="1:1">
      <c r="A2837" s="485"/>
    </row>
    <row r="2838" spans="1:1">
      <c r="A2838" s="485"/>
    </row>
    <row r="2839" spans="1:1">
      <c r="A2839" s="485"/>
    </row>
    <row r="2840" spans="1:1">
      <c r="A2840" s="485"/>
    </row>
    <row r="2841" spans="1:1">
      <c r="A2841" s="485"/>
    </row>
    <row r="2842" spans="1:1">
      <c r="A2842" s="485"/>
    </row>
    <row r="2843" spans="1:1">
      <c r="A2843" s="485"/>
    </row>
    <row r="2844" spans="1:1">
      <c r="A2844" s="485"/>
    </row>
    <row r="2845" spans="1:1">
      <c r="A2845" s="485"/>
    </row>
    <row r="2846" spans="1:1">
      <c r="A2846" s="485"/>
    </row>
    <row r="2847" spans="1:1">
      <c r="A2847" s="485"/>
    </row>
    <row r="2848" spans="1:1">
      <c r="A2848" s="485"/>
    </row>
    <row r="2849" spans="1:1">
      <c r="A2849" s="485"/>
    </row>
    <row r="2850" spans="1:1">
      <c r="A2850" s="485"/>
    </row>
    <row r="2851" spans="1:1">
      <c r="A2851" s="485"/>
    </row>
    <row r="2852" spans="1:1">
      <c r="A2852" s="485"/>
    </row>
    <row r="2853" spans="1:1">
      <c r="A2853" s="485"/>
    </row>
    <row r="2854" spans="1:1">
      <c r="A2854" s="485"/>
    </row>
    <row r="2855" spans="1:1">
      <c r="A2855" s="485"/>
    </row>
    <row r="2856" spans="1:1">
      <c r="A2856" s="485"/>
    </row>
    <row r="2857" spans="1:1">
      <c r="A2857" s="485"/>
    </row>
    <row r="2858" spans="1:1">
      <c r="A2858" s="485"/>
    </row>
    <row r="2859" spans="1:1">
      <c r="A2859" s="485"/>
    </row>
    <row r="2860" spans="1:1">
      <c r="A2860" s="485"/>
    </row>
    <row r="2861" spans="1:1">
      <c r="A2861" s="485"/>
    </row>
    <row r="2862" spans="1:1">
      <c r="A2862" s="485"/>
    </row>
    <row r="2863" spans="1:1">
      <c r="A2863" s="485"/>
    </row>
    <row r="2864" spans="1:1">
      <c r="A2864" s="485"/>
    </row>
    <row r="2865" spans="1:1">
      <c r="A2865" s="485"/>
    </row>
    <row r="2866" spans="1:1">
      <c r="A2866" s="485"/>
    </row>
    <row r="2867" spans="1:1">
      <c r="A2867" s="485"/>
    </row>
    <row r="2868" spans="1:1">
      <c r="A2868" s="485"/>
    </row>
    <row r="2869" spans="1:1">
      <c r="A2869" s="485"/>
    </row>
    <row r="2870" spans="1:1">
      <c r="A2870" s="485"/>
    </row>
    <row r="2871" spans="1:1">
      <c r="A2871" s="485"/>
    </row>
    <row r="2872" spans="1:1">
      <c r="A2872" s="485"/>
    </row>
    <row r="2873" spans="1:1">
      <c r="A2873" s="485"/>
    </row>
    <row r="2874" spans="1:1">
      <c r="A2874" s="485"/>
    </row>
    <row r="2875" spans="1:1">
      <c r="A2875" s="485"/>
    </row>
    <row r="2876" spans="1:1">
      <c r="A2876" s="485"/>
    </row>
    <row r="2877" spans="1:1">
      <c r="A2877" s="485"/>
    </row>
    <row r="2878" spans="1:1">
      <c r="A2878" s="485"/>
    </row>
    <row r="2879" spans="1:1">
      <c r="A2879" s="485"/>
    </row>
    <row r="2880" spans="1:1">
      <c r="A2880" s="485"/>
    </row>
    <row r="2881" spans="1:1">
      <c r="A2881" s="485"/>
    </row>
    <row r="2882" spans="1:1">
      <c r="A2882" s="485"/>
    </row>
    <row r="2883" spans="1:1">
      <c r="A2883" s="485"/>
    </row>
    <row r="2884" spans="1:1">
      <c r="A2884" s="485"/>
    </row>
    <row r="2885" spans="1:1">
      <c r="A2885" s="485"/>
    </row>
    <row r="2886" spans="1:1">
      <c r="A2886" s="485"/>
    </row>
    <row r="2887" spans="1:1">
      <c r="A2887" s="485"/>
    </row>
    <row r="2888" spans="1:1">
      <c r="A2888" s="485"/>
    </row>
    <row r="2889" spans="1:1">
      <c r="A2889" s="485"/>
    </row>
    <row r="2890" spans="1:1">
      <c r="A2890" s="485"/>
    </row>
    <row r="2891" spans="1:1">
      <c r="A2891" s="485"/>
    </row>
    <row r="2892" spans="1:1">
      <c r="A2892" s="485"/>
    </row>
    <row r="2893" spans="1:1">
      <c r="A2893" s="485"/>
    </row>
    <row r="2894" spans="1:1">
      <c r="A2894" s="485"/>
    </row>
    <row r="2895" spans="1:1">
      <c r="A2895" s="485"/>
    </row>
    <row r="2896" spans="1:1">
      <c r="A2896" s="485"/>
    </row>
    <row r="2897" spans="1:1">
      <c r="A2897" s="485"/>
    </row>
    <row r="2898" spans="1:1">
      <c r="A2898" s="485"/>
    </row>
    <row r="2899" spans="1:1">
      <c r="A2899" s="485"/>
    </row>
    <row r="2900" spans="1:1">
      <c r="A2900" s="485"/>
    </row>
    <row r="2901" spans="1:1">
      <c r="A2901" s="485"/>
    </row>
    <row r="2902" spans="1:1">
      <c r="A2902" s="485"/>
    </row>
    <row r="2903" spans="1:1">
      <c r="A2903" s="485"/>
    </row>
    <row r="2904" spans="1:1">
      <c r="A2904" s="485"/>
    </row>
    <row r="2905" spans="1:1">
      <c r="A2905" s="485"/>
    </row>
    <row r="2906" spans="1:1">
      <c r="A2906" s="485"/>
    </row>
    <row r="2907" spans="1:1">
      <c r="A2907" s="485"/>
    </row>
    <row r="2908" spans="1:1">
      <c r="A2908" s="485"/>
    </row>
    <row r="2909" spans="1:1">
      <c r="A2909" s="485"/>
    </row>
    <row r="2910" spans="1:1">
      <c r="A2910" s="485"/>
    </row>
    <row r="2911" spans="1:1">
      <c r="A2911" s="485"/>
    </row>
    <row r="2912" spans="1:1">
      <c r="A2912" s="485"/>
    </row>
    <row r="2913" spans="1:1">
      <c r="A2913" s="485"/>
    </row>
    <row r="2914" spans="1:1">
      <c r="A2914" s="485"/>
    </row>
    <row r="2915" spans="1:1">
      <c r="A2915" s="485"/>
    </row>
    <row r="2916" spans="1:1">
      <c r="A2916" s="485"/>
    </row>
    <row r="2917" spans="1:1">
      <c r="A2917" s="485"/>
    </row>
    <row r="2918" spans="1:1">
      <c r="A2918" s="485"/>
    </row>
    <row r="2919" spans="1:1">
      <c r="A2919" s="485"/>
    </row>
    <row r="2920" spans="1:1">
      <c r="A2920" s="485"/>
    </row>
    <row r="2921" spans="1:1">
      <c r="A2921" s="485"/>
    </row>
    <row r="2922" spans="1:1">
      <c r="A2922" s="485"/>
    </row>
    <row r="2923" spans="1:1">
      <c r="A2923" s="485"/>
    </row>
    <row r="2924" spans="1:1">
      <c r="A2924" s="485"/>
    </row>
    <row r="2925" spans="1:1">
      <c r="A2925" s="485"/>
    </row>
    <row r="2926" spans="1:1">
      <c r="A2926" s="485"/>
    </row>
    <row r="2927" spans="1:1">
      <c r="A2927" s="485"/>
    </row>
    <row r="2928" spans="1:1">
      <c r="A2928" s="485"/>
    </row>
    <row r="2929" spans="1:1">
      <c r="A2929" s="485"/>
    </row>
    <row r="2930" spans="1:1">
      <c r="A2930" s="485"/>
    </row>
    <row r="2931" spans="1:1">
      <c r="A2931" s="485"/>
    </row>
    <row r="2932" spans="1:1">
      <c r="A2932" s="485"/>
    </row>
    <row r="2933" spans="1:1">
      <c r="A2933" s="485"/>
    </row>
    <row r="2934" spans="1:1">
      <c r="A2934" s="485"/>
    </row>
    <row r="2935" spans="1:1">
      <c r="A2935" s="485"/>
    </row>
    <row r="2936" spans="1:1">
      <c r="A2936" s="485"/>
    </row>
    <row r="2937" spans="1:1">
      <c r="A2937" s="485"/>
    </row>
    <row r="2938" spans="1:1">
      <c r="A2938" s="485"/>
    </row>
    <row r="2939" spans="1:1">
      <c r="A2939" s="485"/>
    </row>
    <row r="2940" spans="1:1">
      <c r="A2940" s="485"/>
    </row>
    <row r="2941" spans="1:1">
      <c r="A2941" s="485"/>
    </row>
    <row r="2942" spans="1:1">
      <c r="A2942" s="485"/>
    </row>
    <row r="2943" spans="1:1">
      <c r="A2943" s="485"/>
    </row>
    <row r="2944" spans="1:1">
      <c r="A2944" s="485"/>
    </row>
    <row r="2945" spans="1:1">
      <c r="A2945" s="485"/>
    </row>
    <row r="2946" spans="1:1">
      <c r="A2946" s="485"/>
    </row>
    <row r="2947" spans="1:1">
      <c r="A2947" s="485"/>
    </row>
    <row r="2948" spans="1:1">
      <c r="A2948" s="485"/>
    </row>
    <row r="2949" spans="1:1">
      <c r="A2949" s="485"/>
    </row>
    <row r="2950" spans="1:1">
      <c r="A2950" s="485"/>
    </row>
    <row r="2951" spans="1:1">
      <c r="A2951" s="485"/>
    </row>
    <row r="2952" spans="1:1">
      <c r="A2952" s="485"/>
    </row>
    <row r="2953" spans="1:1">
      <c r="A2953" s="485"/>
    </row>
    <row r="2954" spans="1:1">
      <c r="A2954" s="485"/>
    </row>
    <row r="2955" spans="1:1">
      <c r="A2955" s="485"/>
    </row>
    <row r="2956" spans="1:1">
      <c r="A2956" s="485"/>
    </row>
    <row r="2957" spans="1:1">
      <c r="A2957" s="485"/>
    </row>
    <row r="2958" spans="1:1">
      <c r="A2958" s="485"/>
    </row>
    <row r="2959" spans="1:1">
      <c r="A2959" s="485"/>
    </row>
    <row r="2960" spans="1:1">
      <c r="A2960" s="485"/>
    </row>
    <row r="2961" spans="1:1">
      <c r="A2961" s="485"/>
    </row>
    <row r="2962" spans="1:1">
      <c r="A2962" s="485"/>
    </row>
    <row r="2963" spans="1:1">
      <c r="A2963" s="485"/>
    </row>
    <row r="2964" spans="1:1">
      <c r="A2964" s="485"/>
    </row>
    <row r="2965" spans="1:1">
      <c r="A2965" s="485"/>
    </row>
    <row r="2966" spans="1:1">
      <c r="A2966" s="485"/>
    </row>
    <row r="2967" spans="1:1">
      <c r="A2967" s="485"/>
    </row>
    <row r="2968" spans="1:1">
      <c r="A2968" s="485"/>
    </row>
    <row r="2969" spans="1:1">
      <c r="A2969" s="485"/>
    </row>
    <row r="2970" spans="1:1">
      <c r="A2970" s="485"/>
    </row>
    <row r="2971" spans="1:1">
      <c r="A2971" s="485"/>
    </row>
    <row r="2972" spans="1:1">
      <c r="A2972" s="485"/>
    </row>
    <row r="2973" spans="1:1">
      <c r="A2973" s="485"/>
    </row>
    <row r="2974" spans="1:1">
      <c r="A2974" s="485"/>
    </row>
    <row r="2975" spans="1:1">
      <c r="A2975" s="485"/>
    </row>
    <row r="2976" spans="1:1">
      <c r="A2976" s="485"/>
    </row>
    <row r="2977" spans="1:1">
      <c r="A2977" s="485"/>
    </row>
    <row r="2978" spans="1:1">
      <c r="A2978" s="485"/>
    </row>
    <row r="2979" spans="1:1">
      <c r="A2979" s="485"/>
    </row>
    <row r="2980" spans="1:1">
      <c r="A2980" s="485"/>
    </row>
    <row r="2981" spans="1:1">
      <c r="A2981" s="485"/>
    </row>
    <row r="2982" spans="1:1">
      <c r="A2982" s="485"/>
    </row>
    <row r="2983" spans="1:1">
      <c r="A2983" s="485"/>
    </row>
    <row r="2984" spans="1:1">
      <c r="A2984" s="485"/>
    </row>
    <row r="2985" spans="1:1">
      <c r="A2985" s="485"/>
    </row>
    <row r="2986" spans="1:1">
      <c r="A2986" s="485"/>
    </row>
    <row r="2987" spans="1:1">
      <c r="A2987" s="485"/>
    </row>
    <row r="2988" spans="1:1">
      <c r="A2988" s="485"/>
    </row>
    <row r="2989" spans="1:1">
      <c r="A2989" s="485"/>
    </row>
    <row r="2990" spans="1:1">
      <c r="A2990" s="485"/>
    </row>
    <row r="2991" spans="1:1">
      <c r="A2991" s="485"/>
    </row>
    <row r="2992" spans="1:1">
      <c r="A2992" s="485"/>
    </row>
    <row r="2993" spans="1:1">
      <c r="A2993" s="485"/>
    </row>
    <row r="2994" spans="1:1">
      <c r="A2994" s="485"/>
    </row>
    <row r="2995" spans="1:1">
      <c r="A2995" s="485"/>
    </row>
    <row r="2996" spans="1:1">
      <c r="A2996" s="485"/>
    </row>
    <row r="2997" spans="1:1">
      <c r="A2997" s="485"/>
    </row>
    <row r="2998" spans="1:1">
      <c r="A2998" s="485"/>
    </row>
    <row r="2999" spans="1:1">
      <c r="A2999" s="485"/>
    </row>
    <row r="3000" spans="1:1">
      <c r="A3000" s="485"/>
    </row>
    <row r="3001" spans="1:1">
      <c r="A3001" s="485"/>
    </row>
    <row r="3002" spans="1:1">
      <c r="A3002" s="485"/>
    </row>
    <row r="3003" spans="1:1">
      <c r="A3003" s="485"/>
    </row>
    <row r="3004" spans="1:1">
      <c r="A3004" s="485"/>
    </row>
    <row r="3005" spans="1:1">
      <c r="A3005" s="485"/>
    </row>
    <row r="3006" spans="1:1">
      <c r="A3006" s="485"/>
    </row>
    <row r="3007" spans="1:1">
      <c r="A3007" s="485"/>
    </row>
    <row r="3008" spans="1:1">
      <c r="A3008" s="485"/>
    </row>
    <row r="3009" spans="1:1">
      <c r="A3009" s="485"/>
    </row>
    <row r="3010" spans="1:1">
      <c r="A3010" s="485"/>
    </row>
    <row r="3011" spans="1:1">
      <c r="A3011" s="485"/>
    </row>
    <row r="3012" spans="1:1">
      <c r="A3012" s="485"/>
    </row>
    <row r="3013" spans="1:1">
      <c r="A3013" s="485"/>
    </row>
    <row r="3014" spans="1:1">
      <c r="A3014" s="485"/>
    </row>
    <row r="3015" spans="1:1">
      <c r="A3015" s="485"/>
    </row>
    <row r="3016" spans="1:1">
      <c r="A3016" s="485"/>
    </row>
    <row r="3017" spans="1:1">
      <c r="A3017" s="485"/>
    </row>
    <row r="3018" spans="1:1">
      <c r="A3018" s="485"/>
    </row>
    <row r="3019" spans="1:1">
      <c r="A3019" s="485"/>
    </row>
    <row r="3020" spans="1:1">
      <c r="A3020" s="485"/>
    </row>
    <row r="3021" spans="1:1">
      <c r="A3021" s="485"/>
    </row>
    <row r="3022" spans="1:1">
      <c r="A3022" s="485"/>
    </row>
    <row r="3023" spans="1:1">
      <c r="A3023" s="485"/>
    </row>
    <row r="3024" spans="1:1">
      <c r="A3024" s="485"/>
    </row>
    <row r="3025" spans="1:1">
      <c r="A3025" s="485"/>
    </row>
    <row r="3026" spans="1:1">
      <c r="A3026" s="485"/>
    </row>
    <row r="3027" spans="1:1">
      <c r="A3027" s="485"/>
    </row>
    <row r="3028" spans="1:1">
      <c r="A3028" s="485"/>
    </row>
    <row r="3029" spans="1:1">
      <c r="A3029" s="485"/>
    </row>
    <row r="3030" spans="1:1">
      <c r="A3030" s="485"/>
    </row>
    <row r="3031" spans="1:1">
      <c r="A3031" s="485"/>
    </row>
    <row r="3032" spans="1:1">
      <c r="A3032" s="485"/>
    </row>
    <row r="3033" spans="1:1">
      <c r="A3033" s="485"/>
    </row>
    <row r="3034" spans="1:1">
      <c r="A3034" s="485"/>
    </row>
    <row r="3035" spans="1:1">
      <c r="A3035" s="485"/>
    </row>
    <row r="3036" spans="1:1">
      <c r="A3036" s="485"/>
    </row>
    <row r="3037" spans="1:1">
      <c r="A3037" s="485"/>
    </row>
    <row r="3038" spans="1:1">
      <c r="A3038" s="485"/>
    </row>
    <row r="3039" spans="1:1">
      <c r="A3039" s="485"/>
    </row>
    <row r="3040" spans="1:1">
      <c r="A3040" s="485"/>
    </row>
    <row r="3041" spans="1:1">
      <c r="A3041" s="485"/>
    </row>
    <row r="3042" spans="1:1">
      <c r="A3042" s="485"/>
    </row>
    <row r="3043" spans="1:1">
      <c r="A3043" s="485"/>
    </row>
    <row r="3044" spans="1:1">
      <c r="A3044" s="485"/>
    </row>
    <row r="3045" spans="1:1">
      <c r="A3045" s="485"/>
    </row>
    <row r="3046" spans="1:1">
      <c r="A3046" s="485"/>
    </row>
    <row r="3047" spans="1:1">
      <c r="A3047" s="485"/>
    </row>
    <row r="3048" spans="1:1">
      <c r="A3048" s="485"/>
    </row>
    <row r="3049" spans="1:1">
      <c r="A3049" s="485"/>
    </row>
    <row r="3050" spans="1:1">
      <c r="A3050" s="485"/>
    </row>
    <row r="3051" spans="1:1">
      <c r="A3051" s="485"/>
    </row>
    <row r="3052" spans="1:1">
      <c r="A3052" s="485"/>
    </row>
    <row r="3053" spans="1:1">
      <c r="A3053" s="485"/>
    </row>
    <row r="3054" spans="1:1">
      <c r="A3054" s="485"/>
    </row>
    <row r="3055" spans="1:1">
      <c r="A3055" s="485"/>
    </row>
    <row r="3056" spans="1:1">
      <c r="A3056" s="485"/>
    </row>
    <row r="3057" spans="1:1">
      <c r="A3057" s="485"/>
    </row>
    <row r="3058" spans="1:1">
      <c r="A3058" s="485"/>
    </row>
    <row r="3059" spans="1:1">
      <c r="A3059" s="485"/>
    </row>
    <row r="3060" spans="1:1">
      <c r="A3060" s="485"/>
    </row>
    <row r="3061" spans="1:1">
      <c r="A3061" s="485"/>
    </row>
    <row r="3062" spans="1:1">
      <c r="A3062" s="485"/>
    </row>
    <row r="3063" spans="1:1">
      <c r="A3063" s="485"/>
    </row>
    <row r="3064" spans="1:1">
      <c r="A3064" s="485"/>
    </row>
    <row r="3065" spans="1:1">
      <c r="A3065" s="485"/>
    </row>
    <row r="3066" spans="1:1">
      <c r="A3066" s="485"/>
    </row>
    <row r="3067" spans="1:1">
      <c r="A3067" s="485"/>
    </row>
    <row r="3068" spans="1:1">
      <c r="A3068" s="485"/>
    </row>
    <row r="3069" spans="1:1">
      <c r="A3069" s="485"/>
    </row>
    <row r="3070" spans="1:1">
      <c r="A3070" s="485"/>
    </row>
    <row r="3071" spans="1:1">
      <c r="A3071" s="485"/>
    </row>
    <row r="3072" spans="1:1">
      <c r="A3072" s="485"/>
    </row>
    <row r="3073" spans="1:1">
      <c r="A3073" s="485"/>
    </row>
    <row r="3074" spans="1:1">
      <c r="A3074" s="485"/>
    </row>
    <row r="3075" spans="1:1">
      <c r="A3075" s="485"/>
    </row>
    <row r="3076" spans="1:1">
      <c r="A3076" s="485"/>
    </row>
    <row r="3077" spans="1:1">
      <c r="A3077" s="485"/>
    </row>
    <row r="3078" spans="1:1">
      <c r="A3078" s="485"/>
    </row>
    <row r="3079" spans="1:1">
      <c r="A3079" s="485"/>
    </row>
    <row r="3080" spans="1:1">
      <c r="A3080" s="485"/>
    </row>
    <row r="3081" spans="1:1">
      <c r="A3081" s="485"/>
    </row>
    <row r="3082" spans="1:1">
      <c r="A3082" s="485"/>
    </row>
    <row r="3083" spans="1:1">
      <c r="A3083" s="485"/>
    </row>
    <row r="3084" spans="1:1">
      <c r="A3084" s="485"/>
    </row>
    <row r="3085" spans="1:1">
      <c r="A3085" s="485"/>
    </row>
    <row r="3086" spans="1:1">
      <c r="A3086" s="485"/>
    </row>
    <row r="3087" spans="1:1">
      <c r="A3087" s="485"/>
    </row>
    <row r="3088" spans="1:1">
      <c r="A3088" s="485"/>
    </row>
    <row r="3089" spans="1:1">
      <c r="A3089" s="485"/>
    </row>
    <row r="3090" spans="1:1">
      <c r="A3090" s="485"/>
    </row>
    <row r="3091" spans="1:1">
      <c r="A3091" s="485"/>
    </row>
    <row r="3092" spans="1:1">
      <c r="A3092" s="485"/>
    </row>
    <row r="3093" spans="1:1">
      <c r="A3093" s="485"/>
    </row>
    <row r="3094" spans="1:1">
      <c r="A3094" s="485"/>
    </row>
    <row r="3095" spans="1:1">
      <c r="A3095" s="485"/>
    </row>
    <row r="3096" spans="1:1">
      <c r="A3096" s="485"/>
    </row>
    <row r="3097" spans="1:1">
      <c r="A3097" s="485"/>
    </row>
    <row r="3098" spans="1:1">
      <c r="A3098" s="485"/>
    </row>
    <row r="3099" spans="1:1">
      <c r="A3099" s="485"/>
    </row>
    <row r="3100" spans="1:1">
      <c r="A3100" s="485"/>
    </row>
    <row r="3101" spans="1:1">
      <c r="A3101" s="485"/>
    </row>
    <row r="3102" spans="1:1">
      <c r="A3102" s="485"/>
    </row>
    <row r="3103" spans="1:1">
      <c r="A3103" s="485"/>
    </row>
    <row r="3104" spans="1:1">
      <c r="A3104" s="485"/>
    </row>
    <row r="3105" spans="1:1">
      <c r="A3105" s="485"/>
    </row>
    <row r="3106" spans="1:1">
      <c r="A3106" s="485"/>
    </row>
    <row r="3107" spans="1:1">
      <c r="A3107" s="485"/>
    </row>
    <row r="3108" spans="1:1">
      <c r="A3108" s="485"/>
    </row>
    <row r="3109" spans="1:1">
      <c r="A3109" s="485"/>
    </row>
    <row r="3110" spans="1:1">
      <c r="A3110" s="485"/>
    </row>
    <row r="3111" spans="1:1">
      <c r="A3111" s="485"/>
    </row>
    <row r="3112" spans="1:1">
      <c r="A3112" s="485"/>
    </row>
    <row r="3113" spans="1:1">
      <c r="A3113" s="485"/>
    </row>
    <row r="3114" spans="1:1">
      <c r="A3114" s="485"/>
    </row>
    <row r="3115" spans="1:1">
      <c r="A3115" s="485"/>
    </row>
    <row r="3116" spans="1:1">
      <c r="A3116" s="485"/>
    </row>
    <row r="3117" spans="1:1">
      <c r="A3117" s="485"/>
    </row>
    <row r="3118" spans="1:1">
      <c r="A3118" s="485"/>
    </row>
    <row r="3119" spans="1:1">
      <c r="A3119" s="485"/>
    </row>
    <row r="3120" spans="1:1">
      <c r="A3120" s="485"/>
    </row>
    <row r="3121" spans="1:1">
      <c r="A3121" s="485"/>
    </row>
    <row r="3122" spans="1:1">
      <c r="A3122" s="485"/>
    </row>
    <row r="3123" spans="1:1">
      <c r="A3123" s="485"/>
    </row>
    <row r="3124" spans="1:1">
      <c r="A3124" s="485"/>
    </row>
    <row r="3125" spans="1:1">
      <c r="A3125" s="485"/>
    </row>
    <row r="3126" spans="1:1">
      <c r="A3126" s="485"/>
    </row>
    <row r="3127" spans="1:1">
      <c r="A3127" s="485"/>
    </row>
    <row r="3128" spans="1:1">
      <c r="A3128" s="485"/>
    </row>
    <row r="3129" spans="1:1">
      <c r="A3129" s="485"/>
    </row>
    <row r="3130" spans="1:1">
      <c r="A3130" s="485"/>
    </row>
    <row r="3131" spans="1:1">
      <c r="A3131" s="485"/>
    </row>
    <row r="3132" spans="1:1">
      <c r="A3132" s="485"/>
    </row>
    <row r="3133" spans="1:1">
      <c r="A3133" s="485"/>
    </row>
    <row r="3134" spans="1:1">
      <c r="A3134" s="485"/>
    </row>
    <row r="3135" spans="1:1">
      <c r="A3135" s="485"/>
    </row>
    <row r="3136" spans="1:1">
      <c r="A3136" s="485"/>
    </row>
    <row r="3137" spans="1:1">
      <c r="A3137" s="485"/>
    </row>
    <row r="3138" spans="1:1">
      <c r="A3138" s="485"/>
    </row>
    <row r="3139" spans="1:1">
      <c r="A3139" s="485"/>
    </row>
    <row r="3140" spans="1:1">
      <c r="A3140" s="485"/>
    </row>
    <row r="3141" spans="1:1">
      <c r="A3141" s="485"/>
    </row>
    <row r="3142" spans="1:1">
      <c r="A3142" s="485"/>
    </row>
    <row r="3143" spans="1:1">
      <c r="A3143" s="485"/>
    </row>
    <row r="3144" spans="1:1">
      <c r="A3144" s="485"/>
    </row>
    <row r="3145" spans="1:1">
      <c r="A3145" s="485"/>
    </row>
    <row r="3146" spans="1:1">
      <c r="A3146" s="485"/>
    </row>
    <row r="3147" spans="1:1">
      <c r="A3147" s="485"/>
    </row>
    <row r="3148" spans="1:1">
      <c r="A3148" s="485"/>
    </row>
    <row r="3149" spans="1:1">
      <c r="A3149" s="485"/>
    </row>
    <row r="3150" spans="1:1">
      <c r="A3150" s="485"/>
    </row>
    <row r="3151" spans="1:1">
      <c r="A3151" s="485"/>
    </row>
    <row r="3152" spans="1:1">
      <c r="A3152" s="485"/>
    </row>
    <row r="3153" spans="1:1">
      <c r="A3153" s="485"/>
    </row>
    <row r="3154" spans="1:1">
      <c r="A3154" s="485"/>
    </row>
    <row r="3155" spans="1:1">
      <c r="A3155" s="485"/>
    </row>
    <row r="3156" spans="1:1">
      <c r="A3156" s="485"/>
    </row>
    <row r="3157" spans="1:1">
      <c r="A3157" s="485"/>
    </row>
    <row r="3158" spans="1:1">
      <c r="A3158" s="485"/>
    </row>
    <row r="3159" spans="1:1">
      <c r="A3159" s="485"/>
    </row>
    <row r="3160" spans="1:1">
      <c r="A3160" s="485"/>
    </row>
    <row r="3161" spans="1:1">
      <c r="A3161" s="485"/>
    </row>
    <row r="3162" spans="1:1">
      <c r="A3162" s="485"/>
    </row>
    <row r="3163" spans="1:1">
      <c r="A3163" s="485"/>
    </row>
    <row r="3164" spans="1:1">
      <c r="A3164" s="485"/>
    </row>
    <row r="3165" spans="1:1">
      <c r="A3165" s="485"/>
    </row>
    <row r="3166" spans="1:1">
      <c r="A3166" s="485"/>
    </row>
    <row r="3167" spans="1:1">
      <c r="A3167" s="485"/>
    </row>
    <row r="3168" spans="1:1">
      <c r="A3168" s="485"/>
    </row>
    <row r="3169" spans="1:1">
      <c r="A3169" s="485"/>
    </row>
    <row r="3170" spans="1:1">
      <c r="A3170" s="485"/>
    </row>
    <row r="3171" spans="1:1">
      <c r="A3171" s="485"/>
    </row>
    <row r="3172" spans="1:1">
      <c r="A3172" s="485"/>
    </row>
    <row r="3173" spans="1:1">
      <c r="A3173" s="485"/>
    </row>
    <row r="3174" spans="1:1">
      <c r="A3174" s="485"/>
    </row>
    <row r="3175" spans="1:1">
      <c r="A3175" s="485"/>
    </row>
    <row r="3176" spans="1:1">
      <c r="A3176" s="485"/>
    </row>
    <row r="3177" spans="1:1">
      <c r="A3177" s="485"/>
    </row>
    <row r="3178" spans="1:1">
      <c r="A3178" s="485"/>
    </row>
    <row r="3179" spans="1:1">
      <c r="A3179" s="485"/>
    </row>
    <row r="3180" spans="1:1">
      <c r="A3180" s="485"/>
    </row>
    <row r="3181" spans="1:1">
      <c r="A3181" s="485"/>
    </row>
    <row r="3182" spans="1:1">
      <c r="A3182" s="485"/>
    </row>
    <row r="3183" spans="1:1">
      <c r="A3183" s="485"/>
    </row>
    <row r="3184" spans="1:1">
      <c r="A3184" s="485"/>
    </row>
    <row r="3185" spans="1:1">
      <c r="A3185" s="485"/>
    </row>
    <row r="3186" spans="1:1">
      <c r="A3186" s="485"/>
    </row>
    <row r="3187" spans="1:1">
      <c r="A3187" s="485"/>
    </row>
    <row r="3188" spans="1:1">
      <c r="A3188" s="485"/>
    </row>
    <row r="3189" spans="1:1">
      <c r="A3189" s="485"/>
    </row>
    <row r="3190" spans="1:1">
      <c r="A3190" s="485"/>
    </row>
    <row r="3191" spans="1:1">
      <c r="A3191" s="485"/>
    </row>
    <row r="3192" spans="1:1">
      <c r="A3192" s="485"/>
    </row>
    <row r="3193" spans="1:1">
      <c r="A3193" s="485"/>
    </row>
    <row r="3194" spans="1:1">
      <c r="A3194" s="485"/>
    </row>
    <row r="3195" spans="1:1">
      <c r="A3195" s="485"/>
    </row>
    <row r="3196" spans="1:1">
      <c r="A3196" s="485"/>
    </row>
    <row r="3197" spans="1:1">
      <c r="A3197" s="485"/>
    </row>
    <row r="3198" spans="1:1">
      <c r="A3198" s="485"/>
    </row>
    <row r="3199" spans="1:1">
      <c r="A3199" s="485"/>
    </row>
    <row r="3200" spans="1:1">
      <c r="A3200" s="485"/>
    </row>
    <row r="3201" spans="1:1">
      <c r="A3201" s="485"/>
    </row>
    <row r="3202" spans="1:1">
      <c r="A3202" s="485"/>
    </row>
    <row r="3203" spans="1:1">
      <c r="A3203" s="485"/>
    </row>
    <row r="3204" spans="1:1">
      <c r="A3204" s="485"/>
    </row>
    <row r="3205" spans="1:1">
      <c r="A3205" s="485"/>
    </row>
    <row r="3206" spans="1:1">
      <c r="A3206" s="485"/>
    </row>
    <row r="3207" spans="1:1">
      <c r="A3207" s="485"/>
    </row>
    <row r="3208" spans="1:1">
      <c r="A3208" s="485"/>
    </row>
    <row r="3209" spans="1:1">
      <c r="A3209" s="485"/>
    </row>
    <row r="3210" spans="1:1">
      <c r="A3210" s="485"/>
    </row>
    <row r="3211" spans="1:1">
      <c r="A3211" s="485"/>
    </row>
    <row r="3212" spans="1:1">
      <c r="A3212" s="485"/>
    </row>
    <row r="3213" spans="1:1">
      <c r="A3213" s="485"/>
    </row>
    <row r="3214" spans="1:1">
      <c r="A3214" s="485"/>
    </row>
    <row r="3215" spans="1:1">
      <c r="A3215" s="485"/>
    </row>
    <row r="3216" spans="1:1">
      <c r="A3216" s="485"/>
    </row>
    <row r="3217" spans="1:1">
      <c r="A3217" s="485"/>
    </row>
    <row r="3218" spans="1:1">
      <c r="A3218" s="485"/>
    </row>
    <row r="3219" spans="1:1">
      <c r="A3219" s="485"/>
    </row>
    <row r="3220" spans="1:1">
      <c r="A3220" s="485"/>
    </row>
    <row r="3221" spans="1:1">
      <c r="A3221" s="485"/>
    </row>
    <row r="3222" spans="1:1">
      <c r="A3222" s="485"/>
    </row>
    <row r="3223" spans="1:1">
      <c r="A3223" s="485"/>
    </row>
    <row r="3224" spans="1:1">
      <c r="A3224" s="485"/>
    </row>
    <row r="3225" spans="1:1">
      <c r="A3225" s="485"/>
    </row>
    <row r="3226" spans="1:1">
      <c r="A3226" s="485"/>
    </row>
    <row r="3227" spans="1:1">
      <c r="A3227" s="485"/>
    </row>
    <row r="3228" spans="1:1">
      <c r="A3228" s="485"/>
    </row>
    <row r="3229" spans="1:1">
      <c r="A3229" s="485"/>
    </row>
    <row r="3230" spans="1:1">
      <c r="A3230" s="485"/>
    </row>
    <row r="3231" spans="1:1">
      <c r="A3231" s="485"/>
    </row>
    <row r="3232" spans="1:1">
      <c r="A3232" s="485"/>
    </row>
    <row r="3233" spans="1:1">
      <c r="A3233" s="485"/>
    </row>
    <row r="3234" spans="1:1">
      <c r="A3234" s="485"/>
    </row>
    <row r="3235" spans="1:1">
      <c r="A3235" s="485"/>
    </row>
    <row r="3236" spans="1:1">
      <c r="A3236" s="485"/>
    </row>
    <row r="3237" spans="1:1">
      <c r="A3237" s="485"/>
    </row>
    <row r="3238" spans="1:1">
      <c r="A3238" s="485"/>
    </row>
    <row r="3239" spans="1:1">
      <c r="A3239" s="485"/>
    </row>
    <row r="3240" spans="1:1">
      <c r="A3240" s="485"/>
    </row>
    <row r="3241" spans="1:1">
      <c r="A3241" s="485"/>
    </row>
    <row r="3242" spans="1:1">
      <c r="A3242" s="485"/>
    </row>
    <row r="3243" spans="1:1">
      <c r="A3243" s="485"/>
    </row>
    <row r="3244" spans="1:1">
      <c r="A3244" s="485"/>
    </row>
    <row r="3245" spans="1:1">
      <c r="A3245" s="485"/>
    </row>
    <row r="3246" spans="1:1">
      <c r="A3246" s="485"/>
    </row>
    <row r="3247" spans="1:1">
      <c r="A3247" s="485"/>
    </row>
    <row r="3248" spans="1:1">
      <c r="A3248" s="485"/>
    </row>
    <row r="3249" spans="1:1">
      <c r="A3249" s="485"/>
    </row>
    <row r="3250" spans="1:1">
      <c r="A3250" s="485"/>
    </row>
    <row r="3251" spans="1:1">
      <c r="A3251" s="485"/>
    </row>
    <row r="3252" spans="1:1">
      <c r="A3252" s="485"/>
    </row>
    <row r="3253" spans="1:1">
      <c r="A3253" s="485"/>
    </row>
    <row r="3254" spans="1:1">
      <c r="A3254" s="485"/>
    </row>
    <row r="3255" spans="1:1">
      <c r="A3255" s="485"/>
    </row>
    <row r="3256" spans="1:1">
      <c r="A3256" s="485"/>
    </row>
    <row r="3257" spans="1:1">
      <c r="A3257" s="485"/>
    </row>
    <row r="3258" spans="1:1">
      <c r="A3258" s="485"/>
    </row>
    <row r="3259" spans="1:1">
      <c r="A3259" s="485"/>
    </row>
    <row r="3260" spans="1:1">
      <c r="A3260" s="485"/>
    </row>
    <row r="3261" spans="1:1">
      <c r="A3261" s="485"/>
    </row>
    <row r="3262" spans="1:1">
      <c r="A3262" s="485"/>
    </row>
    <row r="3263" spans="1:1">
      <c r="A3263" s="485"/>
    </row>
    <row r="3264" spans="1:1">
      <c r="A3264" s="485"/>
    </row>
    <row r="3265" spans="1:1">
      <c r="A3265" s="485"/>
    </row>
    <row r="3266" spans="1:1">
      <c r="A3266" s="485"/>
    </row>
    <row r="3267" spans="1:1">
      <c r="A3267" s="485"/>
    </row>
    <row r="3268" spans="1:1">
      <c r="A3268" s="485"/>
    </row>
    <row r="3269" spans="1:1">
      <c r="A3269" s="485"/>
    </row>
    <row r="3270" spans="1:1">
      <c r="A3270" s="485"/>
    </row>
    <row r="3271" spans="1:1">
      <c r="A3271" s="485"/>
    </row>
    <row r="3272" spans="1:1">
      <c r="A3272" s="485"/>
    </row>
    <row r="3273" spans="1:1">
      <c r="A3273" s="485"/>
    </row>
    <row r="3274" spans="1:1">
      <c r="A3274" s="485"/>
    </row>
    <row r="3275" spans="1:1">
      <c r="A3275" s="485"/>
    </row>
    <row r="3276" spans="1:1">
      <c r="A3276" s="485"/>
    </row>
    <row r="3277" spans="1:1">
      <c r="A3277" s="485"/>
    </row>
    <row r="3278" spans="1:1">
      <c r="A3278" s="485"/>
    </row>
    <row r="3279" spans="1:1">
      <c r="A3279" s="485"/>
    </row>
    <row r="3280" spans="1:1">
      <c r="A3280" s="485"/>
    </row>
    <row r="3281" spans="1:1">
      <c r="A3281" s="485"/>
    </row>
    <row r="3282" spans="1:1">
      <c r="A3282" s="485"/>
    </row>
    <row r="3283" spans="1:1">
      <c r="A3283" s="485"/>
    </row>
    <row r="3284" spans="1:1">
      <c r="A3284" s="485"/>
    </row>
    <row r="3285" spans="1:1">
      <c r="A3285" s="485"/>
    </row>
    <row r="3286" spans="1:1">
      <c r="A3286" s="485"/>
    </row>
    <row r="3287" spans="1:1">
      <c r="A3287" s="485"/>
    </row>
    <row r="3288" spans="1:1">
      <c r="A3288" s="485"/>
    </row>
    <row r="3289" spans="1:1">
      <c r="A3289" s="485"/>
    </row>
    <row r="3290" spans="1:1">
      <c r="A3290" s="485"/>
    </row>
    <row r="3291" spans="1:1">
      <c r="A3291" s="485"/>
    </row>
    <row r="3292" spans="1:1">
      <c r="A3292" s="485"/>
    </row>
    <row r="3293" spans="1:1">
      <c r="A3293" s="485"/>
    </row>
    <row r="3294" spans="1:1">
      <c r="A3294" s="485"/>
    </row>
    <row r="3295" spans="1:1">
      <c r="A3295" s="485"/>
    </row>
    <row r="3296" spans="1:1">
      <c r="A3296" s="485"/>
    </row>
    <row r="3297" spans="1:1">
      <c r="A3297" s="485"/>
    </row>
    <row r="3298" spans="1:1">
      <c r="A3298" s="485"/>
    </row>
    <row r="3299" spans="1:1">
      <c r="A3299" s="485"/>
    </row>
    <row r="3300" spans="1:1">
      <c r="A3300" s="485"/>
    </row>
    <row r="3301" spans="1:1">
      <c r="A3301" s="485"/>
    </row>
    <row r="3302" spans="1:1">
      <c r="A3302" s="485"/>
    </row>
    <row r="3303" spans="1:1">
      <c r="A3303" s="485"/>
    </row>
    <row r="3304" spans="1:1">
      <c r="A3304" s="485"/>
    </row>
    <row r="3305" spans="1:1">
      <c r="A3305" s="485"/>
    </row>
    <row r="3306" spans="1:1">
      <c r="A3306" s="485"/>
    </row>
    <row r="3307" spans="1:1">
      <c r="A3307" s="485"/>
    </row>
    <row r="3308" spans="1:1">
      <c r="A3308" s="485"/>
    </row>
    <row r="3309" spans="1:1">
      <c r="A3309" s="485"/>
    </row>
    <row r="3310" spans="1:1">
      <c r="A3310" s="485"/>
    </row>
    <row r="3311" spans="1:1">
      <c r="A3311" s="485"/>
    </row>
    <row r="3312" spans="1:1">
      <c r="A3312" s="485"/>
    </row>
    <row r="3313" spans="1:1">
      <c r="A3313" s="485"/>
    </row>
    <row r="3314" spans="1:1">
      <c r="A3314" s="485"/>
    </row>
    <row r="3315" spans="1:1">
      <c r="A3315" s="485"/>
    </row>
    <row r="3316" spans="1:1">
      <c r="A3316" s="485"/>
    </row>
    <row r="3317" spans="1:1">
      <c r="A3317" s="485"/>
    </row>
    <row r="3318" spans="1:1">
      <c r="A3318" s="485"/>
    </row>
    <row r="3319" spans="1:1">
      <c r="A3319" s="485"/>
    </row>
    <row r="3320" spans="1:1">
      <c r="A3320" s="485"/>
    </row>
    <row r="3321" spans="1:1">
      <c r="A3321" s="485"/>
    </row>
    <row r="3322" spans="1:1">
      <c r="A3322" s="485"/>
    </row>
    <row r="3323" spans="1:1">
      <c r="A3323" s="485"/>
    </row>
    <row r="3324" spans="1:1">
      <c r="A3324" s="485"/>
    </row>
    <row r="3325" spans="1:1">
      <c r="A3325" s="485"/>
    </row>
    <row r="3326" spans="1:1">
      <c r="A3326" s="485"/>
    </row>
    <row r="3327" spans="1:1">
      <c r="A3327" s="485"/>
    </row>
    <row r="3328" spans="1:1">
      <c r="A3328" s="485"/>
    </row>
    <row r="3329" spans="1:1">
      <c r="A3329" s="485"/>
    </row>
    <row r="3330" spans="1:1">
      <c r="A3330" s="485"/>
    </row>
    <row r="3331" spans="1:1">
      <c r="A3331" s="485"/>
    </row>
    <row r="3332" spans="1:1">
      <c r="A3332" s="485"/>
    </row>
    <row r="3333" spans="1:1">
      <c r="A3333" s="485"/>
    </row>
    <row r="3334" spans="1:1">
      <c r="A3334" s="485"/>
    </row>
    <row r="3335" spans="1:1">
      <c r="A3335" s="485"/>
    </row>
    <row r="3336" spans="1:1">
      <c r="A3336" s="485"/>
    </row>
    <row r="3337" spans="1:1">
      <c r="A3337" s="485"/>
    </row>
    <row r="3338" spans="1:1">
      <c r="A3338" s="485"/>
    </row>
    <row r="3339" spans="1:1">
      <c r="A3339" s="485"/>
    </row>
    <row r="3340" spans="1:1">
      <c r="A3340" s="485"/>
    </row>
    <row r="3341" spans="1:1">
      <c r="A3341" s="485"/>
    </row>
    <row r="3342" spans="1:1">
      <c r="A3342" s="485"/>
    </row>
    <row r="3343" spans="1:1">
      <c r="A3343" s="485"/>
    </row>
    <row r="3344" spans="1:1">
      <c r="A3344" s="485"/>
    </row>
    <row r="3345" spans="1:1">
      <c r="A3345" s="485"/>
    </row>
    <row r="3346" spans="1:1">
      <c r="A3346" s="485"/>
    </row>
    <row r="3347" spans="1:1">
      <c r="A3347" s="485"/>
    </row>
    <row r="3348" spans="1:1">
      <c r="A3348" s="485"/>
    </row>
    <row r="3349" spans="1:1">
      <c r="A3349" s="485"/>
    </row>
    <row r="3350" spans="1:1">
      <c r="A3350" s="485"/>
    </row>
    <row r="3351" spans="1:1">
      <c r="A3351" s="485"/>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D0AAB-092F-40D1-AFD9-03B898CA70FA}">
  <sheetPr codeName="Sheet33">
    <tabColor theme="7" tint="0.59999389629810485"/>
  </sheetPr>
  <dimension ref="A1:O467"/>
  <sheetViews>
    <sheetView topLeftCell="C1" zoomScale="90" zoomScaleNormal="90" workbookViewId="0">
      <pane ySplit="1" topLeftCell="A367" activePane="bottomLeft" state="frozen"/>
      <selection activeCell="B7" sqref="B7"/>
      <selection pane="bottomLeft" activeCell="B7" sqref="B7"/>
    </sheetView>
  </sheetViews>
  <sheetFormatPr defaultColWidth="8.8984375" defaultRowHeight="13.8"/>
  <cols>
    <col min="2" max="2" width="41" customWidth="1"/>
    <col min="3" max="3" width="38.09765625" customWidth="1"/>
    <col min="4" max="5" width="18.09765625" customWidth="1"/>
    <col min="6" max="6" width="18.8984375" customWidth="1"/>
    <col min="7" max="7" width="41.09765625" customWidth="1"/>
    <col min="8" max="9" width="23.09765625" bestFit="1" customWidth="1"/>
    <col min="10" max="10" width="42.09765625" bestFit="1" customWidth="1"/>
    <col min="11" max="11" width="19.09765625" bestFit="1" customWidth="1"/>
    <col min="12" max="12" width="9.09765625" bestFit="1" customWidth="1"/>
    <col min="13" max="13" width="7.5" bestFit="1" customWidth="1"/>
    <col min="14" max="14" width="7" bestFit="1" customWidth="1"/>
    <col min="15" max="15" width="18" bestFit="1" customWidth="1"/>
    <col min="16" max="16" width="40.59765625" customWidth="1"/>
    <col min="17" max="17" width="17.09765625" bestFit="1" customWidth="1"/>
    <col min="18" max="18" width="27.59765625" bestFit="1" customWidth="1"/>
    <col min="19" max="19" width="19.59765625" bestFit="1" customWidth="1"/>
    <col min="20" max="20" width="40.09765625" bestFit="1" customWidth="1"/>
    <col min="21" max="22" width="22.5" bestFit="1" customWidth="1"/>
    <col min="23" max="23" width="40.09765625" bestFit="1" customWidth="1"/>
    <col min="24" max="24" width="17.09765625" bestFit="1" customWidth="1"/>
    <col min="25" max="25" width="8.09765625" bestFit="1" customWidth="1"/>
    <col min="26" max="27" width="6.59765625" bestFit="1" customWidth="1"/>
    <col min="28" max="28" width="16.09765625" bestFit="1" customWidth="1"/>
  </cols>
  <sheetData>
    <row r="1" spans="1:15">
      <c r="A1" t="s">
        <v>4180</v>
      </c>
      <c r="B1" t="s">
        <v>750</v>
      </c>
      <c r="C1" t="s">
        <v>4181</v>
      </c>
      <c r="D1" t="s">
        <v>646</v>
      </c>
      <c r="E1" t="s">
        <v>647</v>
      </c>
      <c r="F1" t="s">
        <v>648</v>
      </c>
      <c r="G1" t="s">
        <v>1200</v>
      </c>
      <c r="H1" t="s">
        <v>645</v>
      </c>
      <c r="I1" t="s">
        <v>677</v>
      </c>
      <c r="J1" t="s">
        <v>683</v>
      </c>
      <c r="K1" t="s">
        <v>678</v>
      </c>
      <c r="L1" t="s">
        <v>4182</v>
      </c>
      <c r="M1" t="s">
        <v>1187</v>
      </c>
      <c r="N1" t="s">
        <v>649</v>
      </c>
      <c r="O1" s="1" t="s">
        <v>684</v>
      </c>
    </row>
    <row r="2" spans="1:15">
      <c r="B2" s="62" t="s">
        <v>1018</v>
      </c>
      <c r="C2" t="s">
        <v>743</v>
      </c>
      <c r="D2" t="s">
        <v>661</v>
      </c>
      <c r="E2" t="s">
        <v>155</v>
      </c>
      <c r="F2" t="s">
        <v>662</v>
      </c>
      <c r="G2" t="s">
        <v>706</v>
      </c>
      <c r="H2" t="s">
        <v>655</v>
      </c>
      <c r="I2" t="s">
        <v>655</v>
      </c>
      <c r="J2" t="s">
        <v>706</v>
      </c>
      <c r="K2" t="s">
        <v>682</v>
      </c>
      <c r="M2" t="s">
        <v>1190</v>
      </c>
      <c r="N2" t="s">
        <v>663</v>
      </c>
      <c r="O2" s="1" t="s">
        <v>104</v>
      </c>
    </row>
    <row r="3" spans="1:15">
      <c r="B3" s="62" t="s">
        <v>1019</v>
      </c>
      <c r="C3" t="s">
        <v>743</v>
      </c>
      <c r="D3" t="s">
        <v>661</v>
      </c>
      <c r="E3" t="s">
        <v>155</v>
      </c>
      <c r="F3" t="s">
        <v>662</v>
      </c>
      <c r="G3" t="s">
        <v>707</v>
      </c>
      <c r="H3" t="s">
        <v>655</v>
      </c>
      <c r="I3" t="s">
        <v>655</v>
      </c>
      <c r="J3" t="s">
        <v>707</v>
      </c>
      <c r="K3" t="s">
        <v>682</v>
      </c>
      <c r="M3" t="s">
        <v>1192</v>
      </c>
      <c r="N3" t="s">
        <v>663</v>
      </c>
      <c r="O3" s="1" t="s">
        <v>104</v>
      </c>
    </row>
    <row r="4" spans="1:15">
      <c r="B4" s="62" t="s">
        <v>1070</v>
      </c>
      <c r="C4" t="s">
        <v>743</v>
      </c>
      <c r="D4" t="s">
        <v>661</v>
      </c>
      <c r="E4" t="s">
        <v>155</v>
      </c>
      <c r="F4" t="s">
        <v>662</v>
      </c>
      <c r="G4" t="s">
        <v>708</v>
      </c>
      <c r="H4" t="s">
        <v>655</v>
      </c>
      <c r="I4" t="s">
        <v>655</v>
      </c>
      <c r="J4" t="s">
        <v>708</v>
      </c>
      <c r="K4" t="s">
        <v>682</v>
      </c>
      <c r="M4" t="s">
        <v>1208</v>
      </c>
      <c r="N4" t="s">
        <v>663</v>
      </c>
      <c r="O4" s="1" t="s">
        <v>104</v>
      </c>
    </row>
    <row r="5" spans="1:15">
      <c r="B5" s="62" t="s">
        <v>1020</v>
      </c>
      <c r="C5" t="s">
        <v>743</v>
      </c>
      <c r="D5" t="s">
        <v>661</v>
      </c>
      <c r="E5" t="s">
        <v>155</v>
      </c>
      <c r="F5" t="s">
        <v>662</v>
      </c>
      <c r="G5" t="s">
        <v>709</v>
      </c>
      <c r="H5" t="s">
        <v>655</v>
      </c>
      <c r="I5" t="s">
        <v>655</v>
      </c>
      <c r="J5" t="s">
        <v>709</v>
      </c>
      <c r="K5" t="s">
        <v>682</v>
      </c>
      <c r="M5" t="s">
        <v>1210</v>
      </c>
      <c r="N5" t="s">
        <v>663</v>
      </c>
      <c r="O5" s="1" t="s">
        <v>104</v>
      </c>
    </row>
    <row r="6" spans="1:15">
      <c r="B6" s="62" t="s">
        <v>1021</v>
      </c>
      <c r="C6" t="s">
        <v>743</v>
      </c>
      <c r="D6" t="s">
        <v>661</v>
      </c>
      <c r="E6" t="s">
        <v>155</v>
      </c>
      <c r="F6" t="s">
        <v>662</v>
      </c>
      <c r="G6" t="s">
        <v>710</v>
      </c>
      <c r="H6" t="s">
        <v>655</v>
      </c>
      <c r="I6" t="s">
        <v>655</v>
      </c>
      <c r="J6" t="s">
        <v>710</v>
      </c>
      <c r="K6" t="s">
        <v>682</v>
      </c>
      <c r="M6" t="s">
        <v>1193</v>
      </c>
      <c r="N6" t="s">
        <v>663</v>
      </c>
      <c r="O6" s="1" t="s">
        <v>104</v>
      </c>
    </row>
    <row r="7" spans="1:15">
      <c r="B7" s="62" t="s">
        <v>1022</v>
      </c>
      <c r="C7" t="s">
        <v>743</v>
      </c>
      <c r="D7" t="s">
        <v>661</v>
      </c>
      <c r="E7" t="s">
        <v>155</v>
      </c>
      <c r="F7" t="s">
        <v>662</v>
      </c>
      <c r="G7" t="s">
        <v>711</v>
      </c>
      <c r="H7" t="s">
        <v>655</v>
      </c>
      <c r="I7" t="s">
        <v>655</v>
      </c>
      <c r="J7" t="s">
        <v>711</v>
      </c>
      <c r="K7" t="s">
        <v>682</v>
      </c>
      <c r="M7" t="s">
        <v>1213</v>
      </c>
      <c r="N7" t="s">
        <v>663</v>
      </c>
      <c r="O7" s="1" t="s">
        <v>104</v>
      </c>
    </row>
    <row r="8" spans="1:15">
      <c r="B8" s="62" t="s">
        <v>1023</v>
      </c>
      <c r="C8" t="s">
        <v>743</v>
      </c>
      <c r="D8" t="s">
        <v>661</v>
      </c>
      <c r="E8" t="s">
        <v>155</v>
      </c>
      <c r="F8" t="s">
        <v>662</v>
      </c>
      <c r="G8" t="s">
        <v>712</v>
      </c>
      <c r="H8" t="s">
        <v>655</v>
      </c>
      <c r="I8" t="s">
        <v>655</v>
      </c>
      <c r="J8" t="s">
        <v>712</v>
      </c>
      <c r="K8" t="s">
        <v>682</v>
      </c>
      <c r="M8" t="s">
        <v>1189</v>
      </c>
      <c r="N8" t="s">
        <v>663</v>
      </c>
      <c r="O8" s="1" t="s">
        <v>104</v>
      </c>
    </row>
    <row r="9" spans="1:15">
      <c r="B9" s="62" t="s">
        <v>1024</v>
      </c>
      <c r="C9" t="s">
        <v>743</v>
      </c>
      <c r="D9" t="s">
        <v>661</v>
      </c>
      <c r="E9" t="s">
        <v>155</v>
      </c>
      <c r="F9" t="s">
        <v>662</v>
      </c>
      <c r="G9" t="s">
        <v>713</v>
      </c>
      <c r="H9" t="s">
        <v>655</v>
      </c>
      <c r="I9" t="s">
        <v>655</v>
      </c>
      <c r="J9" t="s">
        <v>713</v>
      </c>
      <c r="K9" t="s">
        <v>682</v>
      </c>
      <c r="M9" t="s">
        <v>1216</v>
      </c>
      <c r="N9" t="s">
        <v>663</v>
      </c>
      <c r="O9" s="1" t="s">
        <v>104</v>
      </c>
    </row>
    <row r="10" spans="1:15">
      <c r="B10" s="62" t="s">
        <v>1002</v>
      </c>
      <c r="C10" t="s">
        <v>4183</v>
      </c>
      <c r="D10" t="s">
        <v>661</v>
      </c>
      <c r="E10" t="s">
        <v>155</v>
      </c>
      <c r="F10" t="s">
        <v>662</v>
      </c>
      <c r="G10" t="s">
        <v>697</v>
      </c>
      <c r="H10" t="s">
        <v>655</v>
      </c>
      <c r="I10" t="s">
        <v>655</v>
      </c>
      <c r="J10" t="s">
        <v>697</v>
      </c>
      <c r="K10" t="s">
        <v>681</v>
      </c>
      <c r="M10" t="s">
        <v>1190</v>
      </c>
      <c r="N10" t="s">
        <v>663</v>
      </c>
      <c r="O10" s="1" t="s">
        <v>104</v>
      </c>
    </row>
    <row r="11" spans="1:15">
      <c r="B11" s="62" t="s">
        <v>1003</v>
      </c>
      <c r="C11" t="s">
        <v>4183</v>
      </c>
      <c r="D11" t="s">
        <v>661</v>
      </c>
      <c r="E11" t="s">
        <v>155</v>
      </c>
      <c r="F11" t="s">
        <v>662</v>
      </c>
      <c r="G11" t="s">
        <v>698</v>
      </c>
      <c r="H11" t="s">
        <v>655</v>
      </c>
      <c r="I11" t="s">
        <v>655</v>
      </c>
      <c r="J11" t="s">
        <v>698</v>
      </c>
      <c r="K11" t="s">
        <v>681</v>
      </c>
      <c r="M11" t="s">
        <v>1192</v>
      </c>
      <c r="N11" t="s">
        <v>663</v>
      </c>
      <c r="O11" s="1" t="s">
        <v>104</v>
      </c>
    </row>
    <row r="12" spans="1:15">
      <c r="B12" s="62" t="s">
        <v>1004</v>
      </c>
      <c r="C12" t="s">
        <v>4183</v>
      </c>
      <c r="D12" t="s">
        <v>661</v>
      </c>
      <c r="E12" t="s">
        <v>155</v>
      </c>
      <c r="F12" t="s">
        <v>662</v>
      </c>
      <c r="G12" t="s">
        <v>699</v>
      </c>
      <c r="H12" t="s">
        <v>655</v>
      </c>
      <c r="I12" t="s">
        <v>655</v>
      </c>
      <c r="J12" t="s">
        <v>699</v>
      </c>
      <c r="K12" t="s">
        <v>681</v>
      </c>
      <c r="M12" t="s">
        <v>1208</v>
      </c>
      <c r="N12" t="s">
        <v>663</v>
      </c>
      <c r="O12" s="1" t="s">
        <v>104</v>
      </c>
    </row>
    <row r="13" spans="1:15">
      <c r="B13" s="62" t="s">
        <v>1005</v>
      </c>
      <c r="C13" t="s">
        <v>4183</v>
      </c>
      <c r="D13" t="s">
        <v>661</v>
      </c>
      <c r="E13" t="s">
        <v>155</v>
      </c>
      <c r="F13" t="s">
        <v>662</v>
      </c>
      <c r="G13" t="s">
        <v>700</v>
      </c>
      <c r="H13" t="s">
        <v>655</v>
      </c>
      <c r="I13" t="s">
        <v>655</v>
      </c>
      <c r="J13" t="s">
        <v>700</v>
      </c>
      <c r="K13" t="s">
        <v>681</v>
      </c>
      <c r="M13" t="s">
        <v>1210</v>
      </c>
      <c r="N13" t="s">
        <v>663</v>
      </c>
      <c r="O13" s="1" t="s">
        <v>104</v>
      </c>
    </row>
    <row r="14" spans="1:15">
      <c r="B14" s="62" t="s">
        <v>1006</v>
      </c>
      <c r="C14" t="s">
        <v>4183</v>
      </c>
      <c r="D14" t="s">
        <v>661</v>
      </c>
      <c r="E14" t="s">
        <v>155</v>
      </c>
      <c r="F14" t="s">
        <v>662</v>
      </c>
      <c r="G14" t="s">
        <v>701</v>
      </c>
      <c r="H14" t="s">
        <v>655</v>
      </c>
      <c r="I14" t="s">
        <v>655</v>
      </c>
      <c r="J14" t="s">
        <v>701</v>
      </c>
      <c r="K14" t="s">
        <v>681</v>
      </c>
      <c r="M14" t="s">
        <v>1193</v>
      </c>
      <c r="N14" t="s">
        <v>663</v>
      </c>
      <c r="O14" s="1" t="s">
        <v>104</v>
      </c>
    </row>
    <row r="15" spans="1:15">
      <c r="B15" s="62" t="s">
        <v>1007</v>
      </c>
      <c r="C15" t="s">
        <v>4183</v>
      </c>
      <c r="D15" t="s">
        <v>661</v>
      </c>
      <c r="E15" t="s">
        <v>155</v>
      </c>
      <c r="F15" t="s">
        <v>662</v>
      </c>
      <c r="G15" t="s">
        <v>702</v>
      </c>
      <c r="H15" t="s">
        <v>655</v>
      </c>
      <c r="I15" t="s">
        <v>655</v>
      </c>
      <c r="J15" t="s">
        <v>702</v>
      </c>
      <c r="K15" t="s">
        <v>681</v>
      </c>
      <c r="M15" t="s">
        <v>1213</v>
      </c>
      <c r="N15" t="s">
        <v>663</v>
      </c>
      <c r="O15" s="1" t="s">
        <v>104</v>
      </c>
    </row>
    <row r="16" spans="1:15">
      <c r="B16" s="62" t="s">
        <v>1008</v>
      </c>
      <c r="C16" t="s">
        <v>4183</v>
      </c>
      <c r="D16" t="s">
        <v>661</v>
      </c>
      <c r="E16" t="s">
        <v>155</v>
      </c>
      <c r="F16" t="s">
        <v>662</v>
      </c>
      <c r="G16" t="s">
        <v>703</v>
      </c>
      <c r="H16" t="s">
        <v>655</v>
      </c>
      <c r="I16" t="s">
        <v>655</v>
      </c>
      <c r="J16" t="s">
        <v>703</v>
      </c>
      <c r="K16" t="s">
        <v>681</v>
      </c>
      <c r="M16" t="s">
        <v>1189</v>
      </c>
      <c r="N16" t="s">
        <v>663</v>
      </c>
      <c r="O16" s="1" t="s">
        <v>104</v>
      </c>
    </row>
    <row r="17" spans="2:15">
      <c r="B17" s="62" t="s">
        <v>1009</v>
      </c>
      <c r="C17" t="s">
        <v>4183</v>
      </c>
      <c r="D17" t="s">
        <v>661</v>
      </c>
      <c r="E17" t="s">
        <v>155</v>
      </c>
      <c r="F17" t="s">
        <v>662</v>
      </c>
      <c r="G17" t="s">
        <v>704</v>
      </c>
      <c r="H17" t="s">
        <v>655</v>
      </c>
      <c r="I17" t="s">
        <v>655</v>
      </c>
      <c r="J17" t="s">
        <v>704</v>
      </c>
      <c r="K17" t="s">
        <v>681</v>
      </c>
      <c r="M17" t="s">
        <v>1216</v>
      </c>
      <c r="N17" t="s">
        <v>663</v>
      </c>
      <c r="O17" s="1" t="s">
        <v>104</v>
      </c>
    </row>
    <row r="18" spans="2:15">
      <c r="B18" s="62" t="s">
        <v>1010</v>
      </c>
      <c r="C18" t="s">
        <v>4184</v>
      </c>
      <c r="D18" t="s">
        <v>661</v>
      </c>
      <c r="E18" t="s">
        <v>155</v>
      </c>
      <c r="F18" t="s">
        <v>662</v>
      </c>
      <c r="G18" t="s">
        <v>722</v>
      </c>
      <c r="H18" t="s">
        <v>655</v>
      </c>
      <c r="I18" t="s">
        <v>655</v>
      </c>
      <c r="J18" t="s">
        <v>722</v>
      </c>
      <c r="K18" t="s">
        <v>681</v>
      </c>
      <c r="M18" t="s">
        <v>1190</v>
      </c>
      <c r="N18" t="s">
        <v>663</v>
      </c>
      <c r="O18" s="1" t="s">
        <v>104</v>
      </c>
    </row>
    <row r="19" spans="2:15">
      <c r="B19" s="62" t="s">
        <v>1011</v>
      </c>
      <c r="C19" t="s">
        <v>4184</v>
      </c>
      <c r="D19" t="s">
        <v>661</v>
      </c>
      <c r="E19" t="s">
        <v>155</v>
      </c>
      <c r="F19" t="s">
        <v>662</v>
      </c>
      <c r="G19" t="s">
        <v>723</v>
      </c>
      <c r="H19" t="s">
        <v>655</v>
      </c>
      <c r="I19" t="s">
        <v>655</v>
      </c>
      <c r="J19" t="s">
        <v>723</v>
      </c>
      <c r="K19" t="s">
        <v>681</v>
      </c>
      <c r="M19" t="s">
        <v>1192</v>
      </c>
      <c r="N19" t="s">
        <v>663</v>
      </c>
      <c r="O19" s="1" t="s">
        <v>104</v>
      </c>
    </row>
    <row r="20" spans="2:15">
      <c r="B20" s="62" t="s">
        <v>1012</v>
      </c>
      <c r="C20" t="s">
        <v>4184</v>
      </c>
      <c r="D20" t="s">
        <v>661</v>
      </c>
      <c r="E20" t="s">
        <v>155</v>
      </c>
      <c r="F20" t="s">
        <v>662</v>
      </c>
      <c r="G20" t="s">
        <v>724</v>
      </c>
      <c r="H20" t="s">
        <v>655</v>
      </c>
      <c r="I20" t="s">
        <v>655</v>
      </c>
      <c r="J20" t="s">
        <v>724</v>
      </c>
      <c r="K20" t="s">
        <v>681</v>
      </c>
      <c r="M20" t="s">
        <v>1208</v>
      </c>
      <c r="N20" t="s">
        <v>663</v>
      </c>
      <c r="O20" s="1" t="s">
        <v>104</v>
      </c>
    </row>
    <row r="21" spans="2:15">
      <c r="B21" s="62" t="s">
        <v>1013</v>
      </c>
      <c r="C21" t="s">
        <v>4184</v>
      </c>
      <c r="D21" t="s">
        <v>661</v>
      </c>
      <c r="E21" t="s">
        <v>155</v>
      </c>
      <c r="F21" t="s">
        <v>662</v>
      </c>
      <c r="G21" t="s">
        <v>725</v>
      </c>
      <c r="H21" t="s">
        <v>655</v>
      </c>
      <c r="I21" t="s">
        <v>655</v>
      </c>
      <c r="J21" t="s">
        <v>725</v>
      </c>
      <c r="K21" t="s">
        <v>681</v>
      </c>
      <c r="M21" t="s">
        <v>1210</v>
      </c>
      <c r="N21" t="s">
        <v>663</v>
      </c>
      <c r="O21" s="1" t="s">
        <v>104</v>
      </c>
    </row>
    <row r="22" spans="2:15">
      <c r="B22" s="62" t="s">
        <v>1014</v>
      </c>
      <c r="C22" t="s">
        <v>4184</v>
      </c>
      <c r="D22" t="s">
        <v>661</v>
      </c>
      <c r="E22" t="s">
        <v>155</v>
      </c>
      <c r="F22" t="s">
        <v>662</v>
      </c>
      <c r="G22" t="s">
        <v>726</v>
      </c>
      <c r="H22" t="s">
        <v>655</v>
      </c>
      <c r="I22" t="s">
        <v>655</v>
      </c>
      <c r="J22" t="s">
        <v>726</v>
      </c>
      <c r="K22" t="s">
        <v>681</v>
      </c>
      <c r="M22" t="s">
        <v>1193</v>
      </c>
      <c r="N22" t="s">
        <v>663</v>
      </c>
      <c r="O22" s="1" t="s">
        <v>104</v>
      </c>
    </row>
    <row r="23" spans="2:15">
      <c r="B23" s="62" t="s">
        <v>1015</v>
      </c>
      <c r="C23" t="s">
        <v>4184</v>
      </c>
      <c r="D23" t="s">
        <v>661</v>
      </c>
      <c r="E23" t="s">
        <v>155</v>
      </c>
      <c r="F23" t="s">
        <v>662</v>
      </c>
      <c r="G23" t="s">
        <v>727</v>
      </c>
      <c r="H23" t="s">
        <v>655</v>
      </c>
      <c r="I23" t="s">
        <v>655</v>
      </c>
      <c r="J23" t="s">
        <v>727</v>
      </c>
      <c r="K23" t="s">
        <v>681</v>
      </c>
      <c r="M23" t="s">
        <v>1213</v>
      </c>
      <c r="N23" t="s">
        <v>663</v>
      </c>
      <c r="O23" s="1" t="s">
        <v>104</v>
      </c>
    </row>
    <row r="24" spans="2:15">
      <c r="B24" s="62" t="s">
        <v>1016</v>
      </c>
      <c r="C24" t="s">
        <v>4184</v>
      </c>
      <c r="D24" t="s">
        <v>661</v>
      </c>
      <c r="E24" t="s">
        <v>155</v>
      </c>
      <c r="F24" t="s">
        <v>662</v>
      </c>
      <c r="G24" t="s">
        <v>728</v>
      </c>
      <c r="H24" t="s">
        <v>655</v>
      </c>
      <c r="I24" t="s">
        <v>655</v>
      </c>
      <c r="J24" t="s">
        <v>728</v>
      </c>
      <c r="K24" t="s">
        <v>681</v>
      </c>
      <c r="M24" t="s">
        <v>1189</v>
      </c>
      <c r="N24" t="s">
        <v>663</v>
      </c>
      <c r="O24" s="1" t="s">
        <v>104</v>
      </c>
    </row>
    <row r="25" spans="2:15">
      <c r="B25" s="62" t="s">
        <v>1017</v>
      </c>
      <c r="C25" t="s">
        <v>4184</v>
      </c>
      <c r="D25" t="s">
        <v>661</v>
      </c>
      <c r="E25" t="s">
        <v>155</v>
      </c>
      <c r="F25" t="s">
        <v>662</v>
      </c>
      <c r="G25" t="s">
        <v>729</v>
      </c>
      <c r="H25" t="s">
        <v>655</v>
      </c>
      <c r="I25" t="s">
        <v>655</v>
      </c>
      <c r="J25" t="s">
        <v>729</v>
      </c>
      <c r="K25" t="s">
        <v>681</v>
      </c>
      <c r="M25" t="s">
        <v>1216</v>
      </c>
      <c r="N25" t="s">
        <v>663</v>
      </c>
      <c r="O25" s="1" t="s">
        <v>104</v>
      </c>
    </row>
    <row r="26" spans="2:15">
      <c r="B26" s="62" t="s">
        <v>994</v>
      </c>
      <c r="C26" t="s">
        <v>4185</v>
      </c>
      <c r="D26" t="s">
        <v>661</v>
      </c>
      <c r="E26" t="s">
        <v>155</v>
      </c>
      <c r="F26" t="s">
        <v>662</v>
      </c>
      <c r="G26" t="s">
        <v>714</v>
      </c>
      <c r="H26" t="s">
        <v>655</v>
      </c>
      <c r="I26" t="s">
        <v>655</v>
      </c>
      <c r="J26" t="s">
        <v>714</v>
      </c>
      <c r="K26" t="s">
        <v>681</v>
      </c>
      <c r="M26" t="s">
        <v>1190</v>
      </c>
      <c r="N26" t="s">
        <v>663</v>
      </c>
      <c r="O26" s="1" t="s">
        <v>104</v>
      </c>
    </row>
    <row r="27" spans="2:15">
      <c r="B27" s="62" t="s">
        <v>995</v>
      </c>
      <c r="C27" t="s">
        <v>4185</v>
      </c>
      <c r="D27" t="s">
        <v>661</v>
      </c>
      <c r="E27" t="s">
        <v>155</v>
      </c>
      <c r="F27" t="s">
        <v>662</v>
      </c>
      <c r="G27" t="s">
        <v>715</v>
      </c>
      <c r="H27" t="s">
        <v>655</v>
      </c>
      <c r="I27" t="s">
        <v>655</v>
      </c>
      <c r="J27" t="s">
        <v>715</v>
      </c>
      <c r="K27" t="s">
        <v>681</v>
      </c>
      <c r="M27" t="s">
        <v>1192</v>
      </c>
      <c r="N27" t="s">
        <v>663</v>
      </c>
      <c r="O27" s="1" t="s">
        <v>104</v>
      </c>
    </row>
    <row r="28" spans="2:15">
      <c r="B28" s="62" t="s">
        <v>996</v>
      </c>
      <c r="C28" t="s">
        <v>4185</v>
      </c>
      <c r="D28" t="s">
        <v>661</v>
      </c>
      <c r="E28" t="s">
        <v>155</v>
      </c>
      <c r="F28" t="s">
        <v>662</v>
      </c>
      <c r="G28" t="s">
        <v>716</v>
      </c>
      <c r="H28" t="s">
        <v>655</v>
      </c>
      <c r="I28" t="s">
        <v>655</v>
      </c>
      <c r="J28" t="s">
        <v>716</v>
      </c>
      <c r="K28" t="s">
        <v>681</v>
      </c>
      <c r="M28" t="s">
        <v>1208</v>
      </c>
      <c r="N28" t="s">
        <v>663</v>
      </c>
      <c r="O28" s="1" t="s">
        <v>104</v>
      </c>
    </row>
    <row r="29" spans="2:15">
      <c r="B29" s="62" t="s">
        <v>997</v>
      </c>
      <c r="C29" t="s">
        <v>4185</v>
      </c>
      <c r="D29" t="s">
        <v>661</v>
      </c>
      <c r="E29" t="s">
        <v>155</v>
      </c>
      <c r="F29" t="s">
        <v>662</v>
      </c>
      <c r="G29" t="s">
        <v>717</v>
      </c>
      <c r="H29" t="s">
        <v>655</v>
      </c>
      <c r="I29" t="s">
        <v>655</v>
      </c>
      <c r="J29" t="s">
        <v>717</v>
      </c>
      <c r="K29" t="s">
        <v>681</v>
      </c>
      <c r="M29" t="s">
        <v>1210</v>
      </c>
      <c r="N29" t="s">
        <v>663</v>
      </c>
      <c r="O29" s="1" t="s">
        <v>104</v>
      </c>
    </row>
    <row r="30" spans="2:15">
      <c r="B30" s="62" t="s">
        <v>998</v>
      </c>
      <c r="C30" t="s">
        <v>4185</v>
      </c>
      <c r="D30" t="s">
        <v>661</v>
      </c>
      <c r="E30" t="s">
        <v>155</v>
      </c>
      <c r="F30" t="s">
        <v>662</v>
      </c>
      <c r="G30" t="s">
        <v>718</v>
      </c>
      <c r="H30" t="s">
        <v>655</v>
      </c>
      <c r="I30" t="s">
        <v>655</v>
      </c>
      <c r="J30" t="s">
        <v>718</v>
      </c>
      <c r="K30" t="s">
        <v>681</v>
      </c>
      <c r="M30" t="s">
        <v>1193</v>
      </c>
      <c r="N30" t="s">
        <v>663</v>
      </c>
      <c r="O30" s="1" t="s">
        <v>104</v>
      </c>
    </row>
    <row r="31" spans="2:15">
      <c r="B31" s="62" t="s">
        <v>999</v>
      </c>
      <c r="C31" t="s">
        <v>4185</v>
      </c>
      <c r="D31" t="s">
        <v>661</v>
      </c>
      <c r="E31" t="s">
        <v>155</v>
      </c>
      <c r="F31" t="s">
        <v>662</v>
      </c>
      <c r="G31" t="s">
        <v>719</v>
      </c>
      <c r="H31" t="s">
        <v>655</v>
      </c>
      <c r="I31" t="s">
        <v>655</v>
      </c>
      <c r="J31" t="s">
        <v>719</v>
      </c>
      <c r="K31" t="s">
        <v>681</v>
      </c>
      <c r="M31" t="s">
        <v>1213</v>
      </c>
      <c r="N31" t="s">
        <v>663</v>
      </c>
      <c r="O31" s="1" t="s">
        <v>104</v>
      </c>
    </row>
    <row r="32" spans="2:15">
      <c r="B32" s="62" t="s">
        <v>1000</v>
      </c>
      <c r="C32" t="s">
        <v>4185</v>
      </c>
      <c r="D32" t="s">
        <v>661</v>
      </c>
      <c r="E32" t="s">
        <v>155</v>
      </c>
      <c r="F32" t="s">
        <v>662</v>
      </c>
      <c r="G32" t="s">
        <v>720</v>
      </c>
      <c r="H32" t="s">
        <v>655</v>
      </c>
      <c r="I32" t="s">
        <v>655</v>
      </c>
      <c r="J32" t="s">
        <v>720</v>
      </c>
      <c r="K32" t="s">
        <v>681</v>
      </c>
      <c r="M32" t="s">
        <v>1189</v>
      </c>
      <c r="N32" t="s">
        <v>663</v>
      </c>
      <c r="O32" s="1" t="s">
        <v>104</v>
      </c>
    </row>
    <row r="33" spans="2:15">
      <c r="B33" s="62" t="s">
        <v>1001</v>
      </c>
      <c r="C33" t="s">
        <v>4185</v>
      </c>
      <c r="D33" t="s">
        <v>661</v>
      </c>
      <c r="E33" t="s">
        <v>155</v>
      </c>
      <c r="F33" t="s">
        <v>662</v>
      </c>
      <c r="G33" t="s">
        <v>721</v>
      </c>
      <c r="H33" t="s">
        <v>655</v>
      </c>
      <c r="I33" t="s">
        <v>655</v>
      </c>
      <c r="J33" t="s">
        <v>721</v>
      </c>
      <c r="K33" t="s">
        <v>681</v>
      </c>
      <c r="M33" t="s">
        <v>1216</v>
      </c>
      <c r="N33" t="s">
        <v>663</v>
      </c>
      <c r="O33" s="1" t="s">
        <v>104</v>
      </c>
    </row>
    <row r="34" spans="2:15">
      <c r="B34" s="62" t="s">
        <v>986</v>
      </c>
      <c r="C34" t="s">
        <v>158</v>
      </c>
      <c r="D34" t="s">
        <v>661</v>
      </c>
      <c r="E34" t="s">
        <v>155</v>
      </c>
      <c r="F34" t="s">
        <v>662</v>
      </c>
      <c r="G34" t="s">
        <v>688</v>
      </c>
      <c r="H34" t="s">
        <v>655</v>
      </c>
      <c r="I34" t="s">
        <v>655</v>
      </c>
      <c r="J34" t="s">
        <v>688</v>
      </c>
      <c r="K34" t="s">
        <v>681</v>
      </c>
      <c r="M34" t="s">
        <v>1190</v>
      </c>
      <c r="N34" t="s">
        <v>663</v>
      </c>
      <c r="O34" s="1" t="s">
        <v>104</v>
      </c>
    </row>
    <row r="35" spans="2:15">
      <c r="B35" s="62" t="s">
        <v>987</v>
      </c>
      <c r="C35" t="s">
        <v>158</v>
      </c>
      <c r="D35" t="s">
        <v>661</v>
      </c>
      <c r="E35" t="s">
        <v>155</v>
      </c>
      <c r="F35" t="s">
        <v>662</v>
      </c>
      <c r="G35" t="s">
        <v>689</v>
      </c>
      <c r="H35" t="s">
        <v>655</v>
      </c>
      <c r="I35" t="s">
        <v>655</v>
      </c>
      <c r="J35" t="s">
        <v>689</v>
      </c>
      <c r="K35" t="s">
        <v>681</v>
      </c>
      <c r="M35" t="s">
        <v>1192</v>
      </c>
      <c r="N35" t="s">
        <v>663</v>
      </c>
      <c r="O35" s="1" t="s">
        <v>104</v>
      </c>
    </row>
    <row r="36" spans="2:15">
      <c r="B36" s="62" t="s">
        <v>988</v>
      </c>
      <c r="C36" t="s">
        <v>158</v>
      </c>
      <c r="D36" t="s">
        <v>661</v>
      </c>
      <c r="E36" t="s">
        <v>155</v>
      </c>
      <c r="F36" t="s">
        <v>662</v>
      </c>
      <c r="G36" t="s">
        <v>690</v>
      </c>
      <c r="H36" t="s">
        <v>655</v>
      </c>
      <c r="I36" t="s">
        <v>655</v>
      </c>
      <c r="J36" t="s">
        <v>690</v>
      </c>
      <c r="K36" t="s">
        <v>681</v>
      </c>
      <c r="M36" t="s">
        <v>1208</v>
      </c>
      <c r="N36" t="s">
        <v>663</v>
      </c>
      <c r="O36" s="1" t="s">
        <v>104</v>
      </c>
    </row>
    <row r="37" spans="2:15">
      <c r="B37" s="62" t="s">
        <v>989</v>
      </c>
      <c r="C37" t="s">
        <v>158</v>
      </c>
      <c r="D37" t="s">
        <v>661</v>
      </c>
      <c r="E37" t="s">
        <v>155</v>
      </c>
      <c r="F37" t="s">
        <v>662</v>
      </c>
      <c r="G37" t="s">
        <v>691</v>
      </c>
      <c r="H37" t="s">
        <v>655</v>
      </c>
      <c r="I37" t="s">
        <v>655</v>
      </c>
      <c r="J37" t="s">
        <v>691</v>
      </c>
      <c r="K37" t="s">
        <v>681</v>
      </c>
      <c r="M37" t="s">
        <v>1210</v>
      </c>
      <c r="N37" t="s">
        <v>663</v>
      </c>
      <c r="O37" s="1" t="s">
        <v>104</v>
      </c>
    </row>
    <row r="38" spans="2:15">
      <c r="B38" s="62" t="s">
        <v>990</v>
      </c>
      <c r="C38" t="s">
        <v>158</v>
      </c>
      <c r="D38" t="s">
        <v>661</v>
      </c>
      <c r="E38" t="s">
        <v>155</v>
      </c>
      <c r="F38" t="s">
        <v>662</v>
      </c>
      <c r="G38" t="s">
        <v>692</v>
      </c>
      <c r="H38" t="s">
        <v>655</v>
      </c>
      <c r="I38" t="s">
        <v>655</v>
      </c>
      <c r="J38" t="s">
        <v>692</v>
      </c>
      <c r="K38" t="s">
        <v>681</v>
      </c>
      <c r="M38" t="s">
        <v>1193</v>
      </c>
      <c r="N38" t="s">
        <v>663</v>
      </c>
      <c r="O38" s="1" t="s">
        <v>104</v>
      </c>
    </row>
    <row r="39" spans="2:15">
      <c r="B39" s="62" t="s">
        <v>991</v>
      </c>
      <c r="C39" t="s">
        <v>158</v>
      </c>
      <c r="D39" t="s">
        <v>661</v>
      </c>
      <c r="E39" t="s">
        <v>155</v>
      </c>
      <c r="F39" t="s">
        <v>662</v>
      </c>
      <c r="G39" t="s">
        <v>693</v>
      </c>
      <c r="H39" t="s">
        <v>655</v>
      </c>
      <c r="I39" t="s">
        <v>655</v>
      </c>
      <c r="J39" t="s">
        <v>693</v>
      </c>
      <c r="K39" t="s">
        <v>681</v>
      </c>
      <c r="M39" t="s">
        <v>1213</v>
      </c>
      <c r="N39" t="s">
        <v>663</v>
      </c>
      <c r="O39" s="1" t="s">
        <v>104</v>
      </c>
    </row>
    <row r="40" spans="2:15">
      <c r="B40" s="62" t="s">
        <v>992</v>
      </c>
      <c r="C40" t="s">
        <v>158</v>
      </c>
      <c r="D40" t="s">
        <v>661</v>
      </c>
      <c r="E40" t="s">
        <v>155</v>
      </c>
      <c r="F40" t="s">
        <v>662</v>
      </c>
      <c r="G40" t="s">
        <v>694</v>
      </c>
      <c r="H40" t="s">
        <v>655</v>
      </c>
      <c r="I40" t="s">
        <v>655</v>
      </c>
      <c r="J40" t="s">
        <v>694</v>
      </c>
      <c r="K40" t="s">
        <v>680</v>
      </c>
      <c r="M40" t="s">
        <v>1189</v>
      </c>
      <c r="N40" t="s">
        <v>663</v>
      </c>
      <c r="O40" s="1" t="s">
        <v>104</v>
      </c>
    </row>
    <row r="41" spans="2:15">
      <c r="B41" s="62" t="s">
        <v>993</v>
      </c>
      <c r="C41" t="s">
        <v>158</v>
      </c>
      <c r="D41" t="s">
        <v>661</v>
      </c>
      <c r="E41" t="s">
        <v>155</v>
      </c>
      <c r="F41" t="s">
        <v>662</v>
      </c>
      <c r="G41" t="s">
        <v>696</v>
      </c>
      <c r="H41" t="s">
        <v>655</v>
      </c>
      <c r="I41" t="s">
        <v>655</v>
      </c>
      <c r="J41" t="s">
        <v>696</v>
      </c>
      <c r="K41" t="s">
        <v>681</v>
      </c>
      <c r="M41" t="s">
        <v>1216</v>
      </c>
      <c r="N41" t="s">
        <v>663</v>
      </c>
      <c r="O41" s="1" t="s">
        <v>104</v>
      </c>
    </row>
    <row r="42" spans="2:15">
      <c r="B42" s="62" t="s">
        <v>705</v>
      </c>
      <c r="C42" t="s">
        <v>4186</v>
      </c>
      <c r="D42" t="s">
        <v>661</v>
      </c>
      <c r="E42" t="s">
        <v>155</v>
      </c>
      <c r="F42" t="s">
        <v>662</v>
      </c>
      <c r="G42" t="s">
        <v>705</v>
      </c>
      <c r="H42" t="s">
        <v>655</v>
      </c>
      <c r="I42" t="s">
        <v>655</v>
      </c>
      <c r="J42" t="s">
        <v>705</v>
      </c>
      <c r="K42" t="s">
        <v>680</v>
      </c>
      <c r="M42" t="s">
        <v>1192</v>
      </c>
      <c r="N42" t="s">
        <v>663</v>
      </c>
      <c r="O42" s="1" t="s">
        <v>104</v>
      </c>
    </row>
    <row r="43" spans="2:15">
      <c r="B43" t="str">
        <f>'Telstra BCA'!$A3</f>
        <v>Telstra services on BCA Sites ACT</v>
      </c>
      <c r="C43" t="s">
        <v>4187</v>
      </c>
      <c r="D43" t="s">
        <v>661</v>
      </c>
      <c r="E43" t="s">
        <v>155</v>
      </c>
      <c r="F43" t="s">
        <v>662</v>
      </c>
      <c r="G43" t="s">
        <v>706</v>
      </c>
      <c r="H43" t="s">
        <v>655</v>
      </c>
      <c r="I43" t="s">
        <v>655</v>
      </c>
      <c r="J43" t="s">
        <v>706</v>
      </c>
      <c r="K43" t="s">
        <v>682</v>
      </c>
      <c r="M43" t="s">
        <v>1190</v>
      </c>
      <c r="N43" t="s">
        <v>663</v>
      </c>
      <c r="O43" s="1" t="s">
        <v>104</v>
      </c>
    </row>
    <row r="44" spans="2:15">
      <c r="B44" t="str">
        <f>'Telstra BCA'!$A4</f>
        <v>Telstra services on BCA Sites NSW</v>
      </c>
      <c r="C44" t="s">
        <v>4187</v>
      </c>
      <c r="D44" t="s">
        <v>661</v>
      </c>
      <c r="E44" t="s">
        <v>155</v>
      </c>
      <c r="F44" t="s">
        <v>662</v>
      </c>
      <c r="G44" t="s">
        <v>707</v>
      </c>
      <c r="H44" t="s">
        <v>655</v>
      </c>
      <c r="I44" t="s">
        <v>655</v>
      </c>
      <c r="J44" t="s">
        <v>707</v>
      </c>
      <c r="K44" t="s">
        <v>682</v>
      </c>
      <c r="M44" t="s">
        <v>1192</v>
      </c>
      <c r="N44" t="s">
        <v>663</v>
      </c>
      <c r="O44" s="1" t="s">
        <v>104</v>
      </c>
    </row>
    <row r="45" spans="2:15">
      <c r="B45" t="str">
        <f>'Telstra BCA'!$A5</f>
        <v>Telstra services on BCA Sites NT</v>
      </c>
      <c r="C45" t="s">
        <v>4187</v>
      </c>
      <c r="D45" t="s">
        <v>661</v>
      </c>
      <c r="E45" t="s">
        <v>155</v>
      </c>
      <c r="F45" t="s">
        <v>662</v>
      </c>
      <c r="G45" t="s">
        <v>708</v>
      </c>
      <c r="H45" t="s">
        <v>655</v>
      </c>
      <c r="I45" t="s">
        <v>655</v>
      </c>
      <c r="J45" t="s">
        <v>708</v>
      </c>
      <c r="K45" t="s">
        <v>682</v>
      </c>
      <c r="M45" t="s">
        <v>1208</v>
      </c>
      <c r="N45" t="s">
        <v>663</v>
      </c>
      <c r="O45" s="1" t="s">
        <v>104</v>
      </c>
    </row>
    <row r="46" spans="2:15">
      <c r="B46" t="str">
        <f>'Telstra BCA'!$A6</f>
        <v>Telstra services on BCA Sites QLD</v>
      </c>
      <c r="C46" t="s">
        <v>4187</v>
      </c>
      <c r="D46" t="s">
        <v>661</v>
      </c>
      <c r="E46" t="s">
        <v>155</v>
      </c>
      <c r="F46" t="s">
        <v>662</v>
      </c>
      <c r="G46" t="s">
        <v>709</v>
      </c>
      <c r="H46" t="s">
        <v>655</v>
      </c>
      <c r="I46" t="s">
        <v>655</v>
      </c>
      <c r="J46" t="s">
        <v>709</v>
      </c>
      <c r="K46" t="s">
        <v>682</v>
      </c>
      <c r="M46" t="s">
        <v>1210</v>
      </c>
      <c r="N46" t="s">
        <v>663</v>
      </c>
      <c r="O46" s="1" t="s">
        <v>104</v>
      </c>
    </row>
    <row r="47" spans="2:15">
      <c r="B47" t="str">
        <f>'Telstra BCA'!$A7</f>
        <v>Telstra services on BCA Sites SA</v>
      </c>
      <c r="C47" t="s">
        <v>4187</v>
      </c>
      <c r="D47" t="s">
        <v>661</v>
      </c>
      <c r="E47" t="s">
        <v>155</v>
      </c>
      <c r="F47" t="s">
        <v>662</v>
      </c>
      <c r="G47" t="s">
        <v>710</v>
      </c>
      <c r="H47" t="s">
        <v>655</v>
      </c>
      <c r="I47" t="s">
        <v>655</v>
      </c>
      <c r="J47" t="s">
        <v>710</v>
      </c>
      <c r="K47" t="s">
        <v>682</v>
      </c>
      <c r="M47" t="s">
        <v>1193</v>
      </c>
      <c r="N47" t="s">
        <v>663</v>
      </c>
      <c r="O47" s="1" t="s">
        <v>104</v>
      </c>
    </row>
    <row r="48" spans="2:15">
      <c r="B48" t="str">
        <f>'Telstra BCA'!$A8</f>
        <v>Telstra services on BCA Sites TAS</v>
      </c>
      <c r="C48" t="s">
        <v>4187</v>
      </c>
      <c r="D48" t="s">
        <v>661</v>
      </c>
      <c r="E48" t="s">
        <v>155</v>
      </c>
      <c r="F48" t="s">
        <v>662</v>
      </c>
      <c r="G48" t="s">
        <v>711</v>
      </c>
      <c r="H48" t="s">
        <v>655</v>
      </c>
      <c r="I48" t="s">
        <v>655</v>
      </c>
      <c r="J48" t="s">
        <v>711</v>
      </c>
      <c r="K48" t="s">
        <v>682</v>
      </c>
      <c r="M48" t="s">
        <v>1213</v>
      </c>
      <c r="N48" t="s">
        <v>663</v>
      </c>
      <c r="O48" s="1" t="s">
        <v>104</v>
      </c>
    </row>
    <row r="49" spans="2:15">
      <c r="B49" t="str">
        <f>'Telstra BCA'!$A9</f>
        <v>Telstra services on BCA Sites VIC</v>
      </c>
      <c r="C49" t="s">
        <v>4187</v>
      </c>
      <c r="D49" t="s">
        <v>661</v>
      </c>
      <c r="E49" t="s">
        <v>155</v>
      </c>
      <c r="F49" t="s">
        <v>662</v>
      </c>
      <c r="G49" t="s">
        <v>712</v>
      </c>
      <c r="H49" t="s">
        <v>655</v>
      </c>
      <c r="I49" t="s">
        <v>655</v>
      </c>
      <c r="J49" t="s">
        <v>712</v>
      </c>
      <c r="K49" t="s">
        <v>682</v>
      </c>
      <c r="M49" t="s">
        <v>1189</v>
      </c>
      <c r="N49" t="s">
        <v>663</v>
      </c>
      <c r="O49" s="1" t="s">
        <v>104</v>
      </c>
    </row>
    <row r="50" spans="2:15">
      <c r="B50" t="str">
        <f>'Telstra BCA'!$A10</f>
        <v>Telstra services on BCA Sites WA</v>
      </c>
      <c r="C50" t="s">
        <v>4187</v>
      </c>
      <c r="D50" t="s">
        <v>661</v>
      </c>
      <c r="E50" t="s">
        <v>155</v>
      </c>
      <c r="F50" t="s">
        <v>662</v>
      </c>
      <c r="G50" t="s">
        <v>713</v>
      </c>
      <c r="H50" t="s">
        <v>655</v>
      </c>
      <c r="I50" t="s">
        <v>655</v>
      </c>
      <c r="J50" t="s">
        <v>713</v>
      </c>
      <c r="K50" t="s">
        <v>682</v>
      </c>
      <c r="M50" t="s">
        <v>1216</v>
      </c>
      <c r="N50" t="s">
        <v>663</v>
      </c>
      <c r="O50" s="1" t="s">
        <v>104</v>
      </c>
    </row>
    <row r="51" spans="2:15">
      <c r="B51" t="str">
        <f>'BCA Removal'!$A3</f>
        <v>BCA on Telstra sites for removal ACT</v>
      </c>
      <c r="C51" t="s">
        <v>4188</v>
      </c>
      <c r="D51" t="s">
        <v>661</v>
      </c>
      <c r="E51" t="s">
        <v>155</v>
      </c>
      <c r="F51" t="s">
        <v>662</v>
      </c>
      <c r="G51" t="s">
        <v>706</v>
      </c>
      <c r="H51" t="s">
        <v>655</v>
      </c>
      <c r="I51" t="s">
        <v>655</v>
      </c>
      <c r="J51" t="s">
        <v>706</v>
      </c>
      <c r="K51" t="s">
        <v>682</v>
      </c>
      <c r="M51" t="s">
        <v>1190</v>
      </c>
      <c r="N51" t="s">
        <v>663</v>
      </c>
      <c r="O51" s="1" t="s">
        <v>104</v>
      </c>
    </row>
    <row r="52" spans="2:15">
      <c r="B52" t="str">
        <f>'BCA Removal'!$A4</f>
        <v>BCA on Telstra sites for removal NSW</v>
      </c>
      <c r="C52" t="s">
        <v>4188</v>
      </c>
      <c r="D52" t="s">
        <v>661</v>
      </c>
      <c r="E52" t="s">
        <v>155</v>
      </c>
      <c r="F52" t="s">
        <v>662</v>
      </c>
      <c r="G52" t="s">
        <v>707</v>
      </c>
      <c r="H52" t="s">
        <v>655</v>
      </c>
      <c r="I52" t="s">
        <v>655</v>
      </c>
      <c r="J52" t="s">
        <v>707</v>
      </c>
      <c r="K52" t="s">
        <v>682</v>
      </c>
      <c r="M52" t="s">
        <v>1192</v>
      </c>
      <c r="N52" t="s">
        <v>663</v>
      </c>
      <c r="O52" s="1" t="s">
        <v>104</v>
      </c>
    </row>
    <row r="53" spans="2:15">
      <c r="B53" t="str">
        <f>'BCA Removal'!$A5</f>
        <v>BCA on Telstra sites for removal NT</v>
      </c>
      <c r="C53" t="s">
        <v>4188</v>
      </c>
      <c r="D53" t="s">
        <v>661</v>
      </c>
      <c r="E53" t="s">
        <v>155</v>
      </c>
      <c r="F53" t="s">
        <v>662</v>
      </c>
      <c r="G53" t="s">
        <v>708</v>
      </c>
      <c r="H53" t="s">
        <v>655</v>
      </c>
      <c r="I53" t="s">
        <v>655</v>
      </c>
      <c r="J53" t="s">
        <v>708</v>
      </c>
      <c r="K53" t="s">
        <v>682</v>
      </c>
      <c r="M53" t="s">
        <v>1208</v>
      </c>
      <c r="N53" t="s">
        <v>663</v>
      </c>
      <c r="O53" s="1" t="s">
        <v>104</v>
      </c>
    </row>
    <row r="54" spans="2:15">
      <c r="B54" t="str">
        <f>'BCA Removal'!$A6</f>
        <v>BCA on Telstra sites for removal QLD</v>
      </c>
      <c r="C54" t="s">
        <v>4188</v>
      </c>
      <c r="D54" t="s">
        <v>661</v>
      </c>
      <c r="E54" t="s">
        <v>155</v>
      </c>
      <c r="F54" t="s">
        <v>662</v>
      </c>
      <c r="G54" t="s">
        <v>709</v>
      </c>
      <c r="H54" t="s">
        <v>655</v>
      </c>
      <c r="I54" t="s">
        <v>655</v>
      </c>
      <c r="J54" t="s">
        <v>709</v>
      </c>
      <c r="K54" t="s">
        <v>682</v>
      </c>
      <c r="M54" t="s">
        <v>1210</v>
      </c>
      <c r="N54" t="s">
        <v>663</v>
      </c>
      <c r="O54" s="1" t="s">
        <v>104</v>
      </c>
    </row>
    <row r="55" spans="2:15">
      <c r="B55" t="str">
        <f>'BCA Removal'!$A7</f>
        <v>BCA on Telstra sites for removal SA</v>
      </c>
      <c r="C55" t="s">
        <v>4188</v>
      </c>
      <c r="D55" t="s">
        <v>661</v>
      </c>
      <c r="E55" t="s">
        <v>155</v>
      </c>
      <c r="F55" t="s">
        <v>662</v>
      </c>
      <c r="G55" t="s">
        <v>710</v>
      </c>
      <c r="H55" t="s">
        <v>655</v>
      </c>
      <c r="I55" t="s">
        <v>655</v>
      </c>
      <c r="J55" t="s">
        <v>710</v>
      </c>
      <c r="K55" t="s">
        <v>682</v>
      </c>
      <c r="M55" t="s">
        <v>1193</v>
      </c>
      <c r="N55" t="s">
        <v>663</v>
      </c>
      <c r="O55" s="1" t="s">
        <v>104</v>
      </c>
    </row>
    <row r="56" spans="2:15">
      <c r="B56" t="str">
        <f>'BCA Removal'!$A8</f>
        <v>BCA on Telstra sites for removal TAS</v>
      </c>
      <c r="C56" t="s">
        <v>4188</v>
      </c>
      <c r="D56" t="s">
        <v>661</v>
      </c>
      <c r="E56" t="s">
        <v>155</v>
      </c>
      <c r="F56" t="s">
        <v>662</v>
      </c>
      <c r="G56" t="s">
        <v>711</v>
      </c>
      <c r="H56" t="s">
        <v>655</v>
      </c>
      <c r="I56" t="s">
        <v>655</v>
      </c>
      <c r="J56" t="s">
        <v>711</v>
      </c>
      <c r="K56" t="s">
        <v>682</v>
      </c>
      <c r="M56" t="s">
        <v>1213</v>
      </c>
      <c r="N56" t="s">
        <v>663</v>
      </c>
      <c r="O56" s="1" t="s">
        <v>104</v>
      </c>
    </row>
    <row r="57" spans="2:15">
      <c r="B57" t="str">
        <f>'BCA Removal'!$A9</f>
        <v>BCA on Telstra sites for removal VIC</v>
      </c>
      <c r="C57" t="s">
        <v>4188</v>
      </c>
      <c r="D57" t="s">
        <v>661</v>
      </c>
      <c r="E57" t="s">
        <v>155</v>
      </c>
      <c r="F57" t="s">
        <v>662</v>
      </c>
      <c r="G57" t="s">
        <v>712</v>
      </c>
      <c r="H57" t="s">
        <v>655</v>
      </c>
      <c r="I57" t="s">
        <v>655</v>
      </c>
      <c r="J57" t="s">
        <v>712</v>
      </c>
      <c r="K57" t="s">
        <v>682</v>
      </c>
      <c r="M57" t="s">
        <v>1189</v>
      </c>
      <c r="N57" t="s">
        <v>663</v>
      </c>
      <c r="O57" s="1" t="s">
        <v>104</v>
      </c>
    </row>
    <row r="58" spans="2:15">
      <c r="B58" t="str">
        <f>'BCA Removal'!$A10</f>
        <v>BCA on Telstra sites for removal WA</v>
      </c>
      <c r="C58" t="s">
        <v>4188</v>
      </c>
      <c r="D58" t="s">
        <v>661</v>
      </c>
      <c r="E58" t="s">
        <v>155</v>
      </c>
      <c r="F58" t="s">
        <v>662</v>
      </c>
      <c r="G58" t="s">
        <v>713</v>
      </c>
      <c r="H58" t="s">
        <v>655</v>
      </c>
      <c r="I58" t="s">
        <v>655</v>
      </c>
      <c r="J58" t="s">
        <v>713</v>
      </c>
      <c r="K58" t="s">
        <v>682</v>
      </c>
      <c r="M58" t="s">
        <v>1216</v>
      </c>
      <c r="N58" t="s">
        <v>663</v>
      </c>
      <c r="O58" s="1" t="s">
        <v>104</v>
      </c>
    </row>
    <row r="59" spans="2:15">
      <c r="B59" t="s">
        <v>804</v>
      </c>
      <c r="C59" t="s">
        <v>4189</v>
      </c>
      <c r="D59" t="s">
        <v>661</v>
      </c>
      <c r="E59" t="s">
        <v>155</v>
      </c>
      <c r="F59" t="s">
        <v>662</v>
      </c>
      <c r="G59" t="s">
        <v>706</v>
      </c>
      <c r="H59" t="s">
        <v>655</v>
      </c>
      <c r="I59" t="s">
        <v>655</v>
      </c>
      <c r="J59" t="s">
        <v>706</v>
      </c>
      <c r="K59" t="s">
        <v>682</v>
      </c>
      <c r="M59" t="s">
        <v>1190</v>
      </c>
      <c r="N59" t="s">
        <v>663</v>
      </c>
      <c r="O59" s="1" t="s">
        <v>104</v>
      </c>
    </row>
    <row r="60" spans="2:15">
      <c r="B60" t="s">
        <v>805</v>
      </c>
      <c r="C60" t="s">
        <v>4189</v>
      </c>
      <c r="D60" t="s">
        <v>661</v>
      </c>
      <c r="E60" t="s">
        <v>155</v>
      </c>
      <c r="F60" t="s">
        <v>662</v>
      </c>
      <c r="G60" t="s">
        <v>707</v>
      </c>
      <c r="H60" t="s">
        <v>655</v>
      </c>
      <c r="I60" t="s">
        <v>655</v>
      </c>
      <c r="J60" t="s">
        <v>707</v>
      </c>
      <c r="K60" t="s">
        <v>682</v>
      </c>
      <c r="M60" t="s">
        <v>1192</v>
      </c>
      <c r="N60" t="s">
        <v>663</v>
      </c>
      <c r="O60" s="1" t="s">
        <v>104</v>
      </c>
    </row>
    <row r="61" spans="2:15">
      <c r="B61" t="s">
        <v>806</v>
      </c>
      <c r="C61" t="s">
        <v>4189</v>
      </c>
      <c r="D61" t="s">
        <v>661</v>
      </c>
      <c r="E61" t="s">
        <v>155</v>
      </c>
      <c r="F61" t="s">
        <v>662</v>
      </c>
      <c r="G61" t="s">
        <v>708</v>
      </c>
      <c r="H61" t="s">
        <v>655</v>
      </c>
      <c r="I61" t="s">
        <v>655</v>
      </c>
      <c r="J61" t="s">
        <v>708</v>
      </c>
      <c r="K61" t="s">
        <v>682</v>
      </c>
      <c r="M61" t="s">
        <v>1208</v>
      </c>
      <c r="N61" t="s">
        <v>663</v>
      </c>
      <c r="O61" s="1" t="s">
        <v>104</v>
      </c>
    </row>
    <row r="62" spans="2:15">
      <c r="B62" t="s">
        <v>807</v>
      </c>
      <c r="C62" t="s">
        <v>4189</v>
      </c>
      <c r="D62" t="s">
        <v>661</v>
      </c>
      <c r="E62" t="s">
        <v>155</v>
      </c>
      <c r="F62" t="s">
        <v>662</v>
      </c>
      <c r="G62" t="s">
        <v>709</v>
      </c>
      <c r="H62" t="s">
        <v>655</v>
      </c>
      <c r="I62" t="s">
        <v>655</v>
      </c>
      <c r="J62" t="s">
        <v>709</v>
      </c>
      <c r="K62" t="s">
        <v>682</v>
      </c>
      <c r="M62" t="s">
        <v>1210</v>
      </c>
      <c r="N62" t="s">
        <v>663</v>
      </c>
      <c r="O62" s="1" t="s">
        <v>104</v>
      </c>
    </row>
    <row r="63" spans="2:15">
      <c r="B63" t="s">
        <v>808</v>
      </c>
      <c r="C63" t="s">
        <v>4189</v>
      </c>
      <c r="D63" t="s">
        <v>661</v>
      </c>
      <c r="E63" t="s">
        <v>155</v>
      </c>
      <c r="F63" t="s">
        <v>662</v>
      </c>
      <c r="G63" t="s">
        <v>710</v>
      </c>
      <c r="H63" t="s">
        <v>655</v>
      </c>
      <c r="I63" t="s">
        <v>655</v>
      </c>
      <c r="J63" t="s">
        <v>710</v>
      </c>
      <c r="K63" t="s">
        <v>682</v>
      </c>
      <c r="M63" t="s">
        <v>1193</v>
      </c>
      <c r="N63" t="s">
        <v>663</v>
      </c>
      <c r="O63" s="1" t="s">
        <v>104</v>
      </c>
    </row>
    <row r="64" spans="2:15">
      <c r="B64" t="s">
        <v>809</v>
      </c>
      <c r="C64" t="s">
        <v>4189</v>
      </c>
      <c r="D64" t="s">
        <v>661</v>
      </c>
      <c r="E64" t="s">
        <v>155</v>
      </c>
      <c r="F64" t="s">
        <v>662</v>
      </c>
      <c r="G64" t="s">
        <v>711</v>
      </c>
      <c r="H64" t="s">
        <v>655</v>
      </c>
      <c r="I64" t="s">
        <v>655</v>
      </c>
      <c r="J64" t="s">
        <v>711</v>
      </c>
      <c r="K64" t="s">
        <v>682</v>
      </c>
      <c r="M64" t="s">
        <v>1213</v>
      </c>
      <c r="N64" t="s">
        <v>663</v>
      </c>
      <c r="O64" s="1" t="s">
        <v>104</v>
      </c>
    </row>
    <row r="65" spans="2:15">
      <c r="B65" t="s">
        <v>810</v>
      </c>
      <c r="C65" t="s">
        <v>4189</v>
      </c>
      <c r="D65" t="s">
        <v>661</v>
      </c>
      <c r="E65" t="s">
        <v>155</v>
      </c>
      <c r="F65" t="s">
        <v>662</v>
      </c>
      <c r="G65" t="s">
        <v>712</v>
      </c>
      <c r="H65" t="s">
        <v>655</v>
      </c>
      <c r="I65" t="s">
        <v>655</v>
      </c>
      <c r="J65" t="s">
        <v>712</v>
      </c>
      <c r="K65" t="s">
        <v>682</v>
      </c>
      <c r="M65" t="s">
        <v>1189</v>
      </c>
      <c r="N65" t="s">
        <v>663</v>
      </c>
      <c r="O65" s="1" t="s">
        <v>104</v>
      </c>
    </row>
    <row r="66" spans="2:15">
      <c r="B66" t="s">
        <v>811</v>
      </c>
      <c r="C66" t="s">
        <v>4189</v>
      </c>
      <c r="D66" t="s">
        <v>661</v>
      </c>
      <c r="E66" t="s">
        <v>155</v>
      </c>
      <c r="F66" t="s">
        <v>662</v>
      </c>
      <c r="G66" t="s">
        <v>713</v>
      </c>
      <c r="H66" t="s">
        <v>655</v>
      </c>
      <c r="I66" t="s">
        <v>655</v>
      </c>
      <c r="J66" t="s">
        <v>713</v>
      </c>
      <c r="K66" t="s">
        <v>682</v>
      </c>
      <c r="M66" t="s">
        <v>1216</v>
      </c>
      <c r="N66" t="s">
        <v>663</v>
      </c>
      <c r="O66" s="1" t="s">
        <v>104</v>
      </c>
    </row>
    <row r="67" spans="2:15">
      <c r="B67" s="62" t="s">
        <v>4190</v>
      </c>
      <c r="C67" t="s">
        <v>743</v>
      </c>
      <c r="D67" t="s">
        <v>665</v>
      </c>
      <c r="E67" t="s">
        <v>668</v>
      </c>
      <c r="F67" t="s">
        <v>666</v>
      </c>
      <c r="G67" t="s">
        <v>706</v>
      </c>
      <c r="H67" t="s">
        <v>655</v>
      </c>
      <c r="I67" t="s">
        <v>655</v>
      </c>
      <c r="J67" t="s">
        <v>706</v>
      </c>
      <c r="K67" t="s">
        <v>682</v>
      </c>
      <c r="M67" t="s">
        <v>1190</v>
      </c>
      <c r="N67" t="s">
        <v>670</v>
      </c>
      <c r="O67" s="1" t="s">
        <v>695</v>
      </c>
    </row>
    <row r="68" spans="2:15">
      <c r="B68" t="s">
        <v>1025</v>
      </c>
      <c r="C68" t="s">
        <v>743</v>
      </c>
      <c r="D68" t="s">
        <v>665</v>
      </c>
      <c r="E68" t="s">
        <v>668</v>
      </c>
      <c r="F68" t="s">
        <v>666</v>
      </c>
      <c r="G68" t="s">
        <v>707</v>
      </c>
      <c r="H68" t="s">
        <v>655</v>
      </c>
      <c r="I68" t="s">
        <v>655</v>
      </c>
      <c r="J68" t="s">
        <v>707</v>
      </c>
      <c r="K68" t="s">
        <v>682</v>
      </c>
      <c r="M68" t="s">
        <v>1192</v>
      </c>
      <c r="N68" t="s">
        <v>670</v>
      </c>
      <c r="O68" s="1" t="s">
        <v>695</v>
      </c>
    </row>
    <row r="69" spans="2:15">
      <c r="B69" s="62" t="s">
        <v>4191</v>
      </c>
      <c r="C69" t="s">
        <v>743</v>
      </c>
      <c r="D69" t="s">
        <v>665</v>
      </c>
      <c r="E69" t="s">
        <v>668</v>
      </c>
      <c r="F69" t="s">
        <v>666</v>
      </c>
      <c r="G69" t="s">
        <v>709</v>
      </c>
      <c r="H69" t="s">
        <v>655</v>
      </c>
      <c r="I69" t="s">
        <v>655</v>
      </c>
      <c r="J69" t="s">
        <v>709</v>
      </c>
      <c r="K69" t="s">
        <v>682</v>
      </c>
      <c r="M69" t="s">
        <v>1210</v>
      </c>
      <c r="N69" t="s">
        <v>670</v>
      </c>
      <c r="O69" s="1" t="s">
        <v>695</v>
      </c>
    </row>
    <row r="70" spans="2:15">
      <c r="B70" t="s">
        <v>1027</v>
      </c>
      <c r="C70" t="s">
        <v>743</v>
      </c>
      <c r="D70" t="s">
        <v>665</v>
      </c>
      <c r="E70" t="s">
        <v>668</v>
      </c>
      <c r="F70" t="s">
        <v>666</v>
      </c>
      <c r="G70" t="s">
        <v>710</v>
      </c>
      <c r="H70" t="s">
        <v>655</v>
      </c>
      <c r="I70" t="s">
        <v>655</v>
      </c>
      <c r="J70" t="s">
        <v>710</v>
      </c>
      <c r="K70" t="s">
        <v>682</v>
      </c>
      <c r="M70" t="s">
        <v>1193</v>
      </c>
      <c r="N70" t="s">
        <v>670</v>
      </c>
      <c r="O70" s="1" t="s">
        <v>695</v>
      </c>
    </row>
    <row r="71" spans="2:15">
      <c r="B71" s="62" t="s">
        <v>4192</v>
      </c>
      <c r="C71" t="s">
        <v>743</v>
      </c>
      <c r="D71" t="s">
        <v>665</v>
      </c>
      <c r="E71" t="s">
        <v>668</v>
      </c>
      <c r="F71" t="s">
        <v>666</v>
      </c>
      <c r="G71" t="s">
        <v>711</v>
      </c>
      <c r="H71" t="s">
        <v>655</v>
      </c>
      <c r="I71" t="s">
        <v>655</v>
      </c>
      <c r="J71" t="s">
        <v>711</v>
      </c>
      <c r="K71" t="s">
        <v>682</v>
      </c>
      <c r="M71" t="s">
        <v>1213</v>
      </c>
      <c r="N71" t="s">
        <v>670</v>
      </c>
      <c r="O71" s="1" t="s">
        <v>695</v>
      </c>
    </row>
    <row r="72" spans="2:15">
      <c r="B72" t="s">
        <v>1029</v>
      </c>
      <c r="C72" t="s">
        <v>743</v>
      </c>
      <c r="D72" t="s">
        <v>665</v>
      </c>
      <c r="E72" t="s">
        <v>668</v>
      </c>
      <c r="F72" t="s">
        <v>666</v>
      </c>
      <c r="G72" t="s">
        <v>712</v>
      </c>
      <c r="H72" t="s">
        <v>655</v>
      </c>
      <c r="I72" t="s">
        <v>655</v>
      </c>
      <c r="J72" t="s">
        <v>712</v>
      </c>
      <c r="K72" t="s">
        <v>682</v>
      </c>
      <c r="M72" t="s">
        <v>1189</v>
      </c>
      <c r="N72" t="s">
        <v>670</v>
      </c>
      <c r="O72" s="1" t="s">
        <v>695</v>
      </c>
    </row>
    <row r="73" spans="2:15">
      <c r="B73" s="62" t="s">
        <v>4193</v>
      </c>
      <c r="C73" t="s">
        <v>743</v>
      </c>
      <c r="D73" t="s">
        <v>665</v>
      </c>
      <c r="E73" t="s">
        <v>668</v>
      </c>
      <c r="F73" t="s">
        <v>666</v>
      </c>
      <c r="G73" t="s">
        <v>713</v>
      </c>
      <c r="H73" t="s">
        <v>655</v>
      </c>
      <c r="I73" t="s">
        <v>655</v>
      </c>
      <c r="J73" t="s">
        <v>713</v>
      </c>
      <c r="K73" t="s">
        <v>682</v>
      </c>
      <c r="M73" t="s">
        <v>1216</v>
      </c>
      <c r="N73" t="s">
        <v>670</v>
      </c>
      <c r="O73" s="1" t="s">
        <v>695</v>
      </c>
    </row>
    <row r="74" spans="2:15">
      <c r="B74" s="62" t="s">
        <v>4194</v>
      </c>
      <c r="C74" t="s">
        <v>743</v>
      </c>
      <c r="D74" t="s">
        <v>665</v>
      </c>
      <c r="E74" t="s">
        <v>668</v>
      </c>
      <c r="F74" t="s">
        <v>666</v>
      </c>
      <c r="G74" t="s">
        <v>706</v>
      </c>
      <c r="H74" t="s">
        <v>655</v>
      </c>
      <c r="I74" t="s">
        <v>655</v>
      </c>
      <c r="J74" t="s">
        <v>706</v>
      </c>
      <c r="K74" t="s">
        <v>682</v>
      </c>
      <c r="M74" t="s">
        <v>1190</v>
      </c>
      <c r="N74" t="s">
        <v>670</v>
      </c>
      <c r="O74" s="1" t="s">
        <v>686</v>
      </c>
    </row>
    <row r="75" spans="2:15">
      <c r="B75" t="s">
        <v>1026</v>
      </c>
      <c r="C75" t="s">
        <v>743</v>
      </c>
      <c r="D75" t="s">
        <v>665</v>
      </c>
      <c r="E75" t="s">
        <v>668</v>
      </c>
      <c r="F75" t="s">
        <v>666</v>
      </c>
      <c r="G75" t="s">
        <v>707</v>
      </c>
      <c r="H75" t="s">
        <v>655</v>
      </c>
      <c r="I75" t="s">
        <v>655</v>
      </c>
      <c r="J75" t="s">
        <v>707</v>
      </c>
      <c r="K75" t="s">
        <v>682</v>
      </c>
      <c r="M75" t="s">
        <v>1192</v>
      </c>
      <c r="N75" t="s">
        <v>670</v>
      </c>
      <c r="O75" s="1" t="s">
        <v>686</v>
      </c>
    </row>
    <row r="76" spans="2:15">
      <c r="B76" s="62" t="s">
        <v>4195</v>
      </c>
      <c r="C76" t="s">
        <v>743</v>
      </c>
      <c r="D76" t="s">
        <v>665</v>
      </c>
      <c r="E76" t="s">
        <v>668</v>
      </c>
      <c r="F76" t="s">
        <v>666</v>
      </c>
      <c r="G76" t="s">
        <v>709</v>
      </c>
      <c r="H76" t="s">
        <v>655</v>
      </c>
      <c r="I76" t="s">
        <v>655</v>
      </c>
      <c r="J76" t="s">
        <v>709</v>
      </c>
      <c r="K76" t="s">
        <v>682</v>
      </c>
      <c r="M76" t="s">
        <v>1210</v>
      </c>
      <c r="N76" t="s">
        <v>670</v>
      </c>
      <c r="O76" s="1" t="s">
        <v>686</v>
      </c>
    </row>
    <row r="77" spans="2:15">
      <c r="B77" t="s">
        <v>1028</v>
      </c>
      <c r="C77" t="s">
        <v>743</v>
      </c>
      <c r="D77" t="s">
        <v>665</v>
      </c>
      <c r="E77" t="s">
        <v>668</v>
      </c>
      <c r="F77" t="s">
        <v>666</v>
      </c>
      <c r="G77" t="s">
        <v>710</v>
      </c>
      <c r="H77" t="s">
        <v>655</v>
      </c>
      <c r="I77" t="s">
        <v>655</v>
      </c>
      <c r="J77" t="s">
        <v>710</v>
      </c>
      <c r="K77" t="s">
        <v>682</v>
      </c>
      <c r="M77" t="s">
        <v>1193</v>
      </c>
      <c r="N77" t="s">
        <v>670</v>
      </c>
      <c r="O77" s="1" t="s">
        <v>686</v>
      </c>
    </row>
    <row r="78" spans="2:15">
      <c r="B78" s="62" t="s">
        <v>4196</v>
      </c>
      <c r="C78" t="s">
        <v>743</v>
      </c>
      <c r="D78" t="s">
        <v>665</v>
      </c>
      <c r="E78" t="s">
        <v>668</v>
      </c>
      <c r="F78" t="s">
        <v>666</v>
      </c>
      <c r="G78" t="s">
        <v>711</v>
      </c>
      <c r="H78" t="s">
        <v>655</v>
      </c>
      <c r="I78" t="s">
        <v>655</v>
      </c>
      <c r="J78" t="s">
        <v>711</v>
      </c>
      <c r="K78" t="s">
        <v>682</v>
      </c>
      <c r="M78" t="s">
        <v>1213</v>
      </c>
      <c r="N78" t="s">
        <v>670</v>
      </c>
      <c r="O78" s="1" t="s">
        <v>686</v>
      </c>
    </row>
    <row r="79" spans="2:15">
      <c r="B79" t="s">
        <v>1030</v>
      </c>
      <c r="C79" t="s">
        <v>743</v>
      </c>
      <c r="D79" t="s">
        <v>665</v>
      </c>
      <c r="E79" t="s">
        <v>668</v>
      </c>
      <c r="F79" t="s">
        <v>666</v>
      </c>
      <c r="G79" t="s">
        <v>712</v>
      </c>
      <c r="H79" t="s">
        <v>655</v>
      </c>
      <c r="I79" t="s">
        <v>655</v>
      </c>
      <c r="J79" t="s">
        <v>712</v>
      </c>
      <c r="K79" t="s">
        <v>682</v>
      </c>
      <c r="M79" t="s">
        <v>1189</v>
      </c>
      <c r="N79" t="s">
        <v>670</v>
      </c>
      <c r="O79" s="1" t="s">
        <v>686</v>
      </c>
    </row>
    <row r="80" spans="2:15">
      <c r="B80" s="62" t="s">
        <v>4197</v>
      </c>
      <c r="C80" t="s">
        <v>743</v>
      </c>
      <c r="D80" t="s">
        <v>665</v>
      </c>
      <c r="E80" t="s">
        <v>668</v>
      </c>
      <c r="F80" t="s">
        <v>666</v>
      </c>
      <c r="G80" t="s">
        <v>713</v>
      </c>
      <c r="H80" t="s">
        <v>655</v>
      </c>
      <c r="I80" t="s">
        <v>655</v>
      </c>
      <c r="J80" t="s">
        <v>713</v>
      </c>
      <c r="K80" t="s">
        <v>682</v>
      </c>
      <c r="M80" t="s">
        <v>1216</v>
      </c>
      <c r="N80" t="s">
        <v>670</v>
      </c>
      <c r="O80" s="1" t="s">
        <v>686</v>
      </c>
    </row>
    <row r="81" spans="2:15">
      <c r="B81" t="s">
        <v>1057</v>
      </c>
      <c r="C81" t="s">
        <v>158</v>
      </c>
      <c r="D81" t="s">
        <v>665</v>
      </c>
      <c r="E81" t="s">
        <v>668</v>
      </c>
      <c r="F81" t="s">
        <v>666</v>
      </c>
      <c r="G81" t="s">
        <v>694</v>
      </c>
      <c r="H81" t="s">
        <v>655</v>
      </c>
      <c r="I81" t="s">
        <v>655</v>
      </c>
      <c r="J81" t="s">
        <v>694</v>
      </c>
      <c r="K81" t="s">
        <v>680</v>
      </c>
      <c r="M81" t="s">
        <v>1189</v>
      </c>
      <c r="N81" t="s">
        <v>670</v>
      </c>
      <c r="O81" s="1" t="s">
        <v>695</v>
      </c>
    </row>
    <row r="82" spans="2:15">
      <c r="B82" t="s">
        <v>1060</v>
      </c>
      <c r="C82" t="s">
        <v>158</v>
      </c>
      <c r="D82" t="s">
        <v>665</v>
      </c>
      <c r="E82" t="s">
        <v>668</v>
      </c>
      <c r="F82" t="s">
        <v>666</v>
      </c>
      <c r="G82" t="s">
        <v>694</v>
      </c>
      <c r="H82" t="s">
        <v>655</v>
      </c>
      <c r="I82" t="s">
        <v>655</v>
      </c>
      <c r="J82" t="s">
        <v>694</v>
      </c>
      <c r="K82" t="s">
        <v>680</v>
      </c>
      <c r="M82" t="s">
        <v>1189</v>
      </c>
      <c r="N82" t="s">
        <v>670</v>
      </c>
      <c r="O82" s="1" t="s">
        <v>686</v>
      </c>
    </row>
    <row r="83" spans="2:15">
      <c r="B83" s="62" t="s">
        <v>4198</v>
      </c>
      <c r="C83" t="s">
        <v>4185</v>
      </c>
      <c r="D83" t="s">
        <v>665</v>
      </c>
      <c r="E83" t="s">
        <v>668</v>
      </c>
      <c r="F83" t="s">
        <v>666</v>
      </c>
      <c r="G83" t="s">
        <v>714</v>
      </c>
      <c r="H83" t="s">
        <v>655</v>
      </c>
      <c r="I83" t="s">
        <v>655</v>
      </c>
      <c r="J83" t="s">
        <v>714</v>
      </c>
      <c r="K83" t="s">
        <v>681</v>
      </c>
      <c r="M83" t="s">
        <v>1190</v>
      </c>
      <c r="N83" t="s">
        <v>670</v>
      </c>
      <c r="O83" s="1" t="s">
        <v>695</v>
      </c>
    </row>
    <row r="84" spans="2:15">
      <c r="B84" s="62" t="s">
        <v>1191</v>
      </c>
      <c r="C84" t="s">
        <v>4185</v>
      </c>
      <c r="D84" t="s">
        <v>665</v>
      </c>
      <c r="E84" t="s">
        <v>668</v>
      </c>
      <c r="F84" t="s">
        <v>666</v>
      </c>
      <c r="G84" t="s">
        <v>715</v>
      </c>
      <c r="H84" t="s">
        <v>655</v>
      </c>
      <c r="I84" t="s">
        <v>655</v>
      </c>
      <c r="J84" t="s">
        <v>715</v>
      </c>
      <c r="K84" t="s">
        <v>681</v>
      </c>
      <c r="M84" t="s">
        <v>1192</v>
      </c>
      <c r="N84" t="s">
        <v>670</v>
      </c>
      <c r="O84" s="1" t="s">
        <v>695</v>
      </c>
    </row>
    <row r="85" spans="2:15">
      <c r="B85" s="62" t="s">
        <v>4199</v>
      </c>
      <c r="C85" t="s">
        <v>4185</v>
      </c>
      <c r="D85" t="s">
        <v>665</v>
      </c>
      <c r="E85" t="s">
        <v>668</v>
      </c>
      <c r="F85" t="s">
        <v>666</v>
      </c>
      <c r="G85" t="s">
        <v>717</v>
      </c>
      <c r="H85" t="s">
        <v>655</v>
      </c>
      <c r="I85" t="s">
        <v>655</v>
      </c>
      <c r="J85" t="s">
        <v>717</v>
      </c>
      <c r="K85" t="s">
        <v>681</v>
      </c>
      <c r="M85" t="s">
        <v>1210</v>
      </c>
      <c r="N85" t="s">
        <v>670</v>
      </c>
      <c r="O85" s="1" t="s">
        <v>695</v>
      </c>
    </row>
    <row r="86" spans="2:15">
      <c r="B86" s="62" t="s">
        <v>4200</v>
      </c>
      <c r="C86" t="s">
        <v>4185</v>
      </c>
      <c r="D86" t="s">
        <v>665</v>
      </c>
      <c r="E86" t="s">
        <v>668</v>
      </c>
      <c r="F86" t="s">
        <v>666</v>
      </c>
      <c r="G86" t="s">
        <v>718</v>
      </c>
      <c r="H86" t="s">
        <v>655</v>
      </c>
      <c r="I86" t="s">
        <v>655</v>
      </c>
      <c r="J86" t="s">
        <v>718</v>
      </c>
      <c r="K86" t="s">
        <v>681</v>
      </c>
      <c r="M86" t="s">
        <v>1193</v>
      </c>
      <c r="N86" t="s">
        <v>670</v>
      </c>
      <c r="O86" s="1" t="s">
        <v>695</v>
      </c>
    </row>
    <row r="87" spans="2:15">
      <c r="B87" s="62" t="s">
        <v>4201</v>
      </c>
      <c r="C87" t="s">
        <v>4185</v>
      </c>
      <c r="D87" t="s">
        <v>665</v>
      </c>
      <c r="E87" t="s">
        <v>668</v>
      </c>
      <c r="F87" t="s">
        <v>666</v>
      </c>
      <c r="G87" t="s">
        <v>719</v>
      </c>
      <c r="H87" t="s">
        <v>655</v>
      </c>
      <c r="I87" t="s">
        <v>655</v>
      </c>
      <c r="J87" t="s">
        <v>719</v>
      </c>
      <c r="K87" t="s">
        <v>681</v>
      </c>
      <c r="M87" t="s">
        <v>1213</v>
      </c>
      <c r="N87" t="s">
        <v>670</v>
      </c>
      <c r="O87" s="1" t="s">
        <v>695</v>
      </c>
    </row>
    <row r="88" spans="2:15">
      <c r="B88" t="s">
        <v>1059</v>
      </c>
      <c r="C88" t="s">
        <v>4185</v>
      </c>
      <c r="D88" t="s">
        <v>665</v>
      </c>
      <c r="E88" t="s">
        <v>668</v>
      </c>
      <c r="F88" t="s">
        <v>666</v>
      </c>
      <c r="G88" t="s">
        <v>720</v>
      </c>
      <c r="H88" t="s">
        <v>655</v>
      </c>
      <c r="I88" t="s">
        <v>655</v>
      </c>
      <c r="J88" t="s">
        <v>720</v>
      </c>
      <c r="K88" t="s">
        <v>681</v>
      </c>
      <c r="M88" t="s">
        <v>1189</v>
      </c>
      <c r="N88" t="s">
        <v>670</v>
      </c>
      <c r="O88" s="1" t="s">
        <v>695</v>
      </c>
    </row>
    <row r="89" spans="2:15">
      <c r="B89" s="62" t="s">
        <v>4202</v>
      </c>
      <c r="C89" t="s">
        <v>4185</v>
      </c>
      <c r="D89" t="s">
        <v>665</v>
      </c>
      <c r="E89" t="s">
        <v>668</v>
      </c>
      <c r="F89" t="s">
        <v>666</v>
      </c>
      <c r="G89" t="s">
        <v>721</v>
      </c>
      <c r="H89" t="s">
        <v>655</v>
      </c>
      <c r="I89" t="s">
        <v>655</v>
      </c>
      <c r="J89" t="s">
        <v>721</v>
      </c>
      <c r="K89" t="s">
        <v>681</v>
      </c>
      <c r="M89" t="s">
        <v>1216</v>
      </c>
      <c r="N89" t="s">
        <v>670</v>
      </c>
      <c r="O89" s="1" t="s">
        <v>695</v>
      </c>
    </row>
    <row r="90" spans="2:15">
      <c r="B90" s="62" t="s">
        <v>4203</v>
      </c>
      <c r="C90" t="s">
        <v>4185</v>
      </c>
      <c r="D90" t="s">
        <v>665</v>
      </c>
      <c r="E90" t="s">
        <v>668</v>
      </c>
      <c r="F90" t="s">
        <v>666</v>
      </c>
      <c r="G90" t="s">
        <v>714</v>
      </c>
      <c r="H90" t="s">
        <v>655</v>
      </c>
      <c r="I90" t="s">
        <v>655</v>
      </c>
      <c r="J90" t="s">
        <v>714</v>
      </c>
      <c r="K90" t="s">
        <v>681</v>
      </c>
      <c r="M90" t="s">
        <v>1190</v>
      </c>
      <c r="N90" t="s">
        <v>670</v>
      </c>
      <c r="O90" s="1" t="s">
        <v>686</v>
      </c>
    </row>
    <row r="91" spans="2:15">
      <c r="B91" s="62" t="s">
        <v>1194</v>
      </c>
      <c r="C91" t="s">
        <v>4185</v>
      </c>
      <c r="D91" t="s">
        <v>665</v>
      </c>
      <c r="E91" t="s">
        <v>668</v>
      </c>
      <c r="F91" t="s">
        <v>666</v>
      </c>
      <c r="G91" t="s">
        <v>715</v>
      </c>
      <c r="H91" t="s">
        <v>655</v>
      </c>
      <c r="I91" t="s">
        <v>655</v>
      </c>
      <c r="J91" t="s">
        <v>715</v>
      </c>
      <c r="K91" t="s">
        <v>681</v>
      </c>
      <c r="M91" t="s">
        <v>1192</v>
      </c>
      <c r="N91" t="s">
        <v>670</v>
      </c>
      <c r="O91" s="1" t="s">
        <v>686</v>
      </c>
    </row>
    <row r="92" spans="2:15">
      <c r="B92" s="62" t="s">
        <v>4204</v>
      </c>
      <c r="C92" t="s">
        <v>4185</v>
      </c>
      <c r="D92" t="s">
        <v>665</v>
      </c>
      <c r="E92" t="s">
        <v>668</v>
      </c>
      <c r="F92" t="s">
        <v>666</v>
      </c>
      <c r="G92" t="s">
        <v>717</v>
      </c>
      <c r="H92" t="s">
        <v>655</v>
      </c>
      <c r="I92" t="s">
        <v>655</v>
      </c>
      <c r="J92" t="s">
        <v>717</v>
      </c>
      <c r="K92" t="s">
        <v>681</v>
      </c>
      <c r="M92" t="s">
        <v>1210</v>
      </c>
      <c r="N92" t="s">
        <v>670</v>
      </c>
      <c r="O92" s="1" t="s">
        <v>686</v>
      </c>
    </row>
    <row r="93" spans="2:15">
      <c r="B93" s="62" t="s">
        <v>4205</v>
      </c>
      <c r="C93" t="s">
        <v>4185</v>
      </c>
      <c r="D93" t="s">
        <v>665</v>
      </c>
      <c r="E93" t="s">
        <v>668</v>
      </c>
      <c r="F93" t="s">
        <v>666</v>
      </c>
      <c r="G93" t="s">
        <v>718</v>
      </c>
      <c r="H93" t="s">
        <v>655</v>
      </c>
      <c r="I93" t="s">
        <v>655</v>
      </c>
      <c r="J93" t="s">
        <v>718</v>
      </c>
      <c r="K93" t="s">
        <v>681</v>
      </c>
      <c r="M93" t="s">
        <v>1193</v>
      </c>
      <c r="N93" t="s">
        <v>670</v>
      </c>
      <c r="O93" s="1" t="s">
        <v>686</v>
      </c>
    </row>
    <row r="94" spans="2:15">
      <c r="B94" s="62" t="s">
        <v>4206</v>
      </c>
      <c r="C94" t="s">
        <v>4185</v>
      </c>
      <c r="D94" t="s">
        <v>665</v>
      </c>
      <c r="E94" t="s">
        <v>668</v>
      </c>
      <c r="F94" t="s">
        <v>666</v>
      </c>
      <c r="G94" t="s">
        <v>719</v>
      </c>
      <c r="H94" t="s">
        <v>655</v>
      </c>
      <c r="I94" t="s">
        <v>655</v>
      </c>
      <c r="J94" t="s">
        <v>719</v>
      </c>
      <c r="K94" t="s">
        <v>681</v>
      </c>
      <c r="M94" t="s">
        <v>1213</v>
      </c>
      <c r="N94" t="s">
        <v>670</v>
      </c>
      <c r="O94" s="1" t="s">
        <v>686</v>
      </c>
    </row>
    <row r="95" spans="2:15">
      <c r="B95" t="s">
        <v>1062</v>
      </c>
      <c r="C95" t="s">
        <v>4185</v>
      </c>
      <c r="D95" t="s">
        <v>665</v>
      </c>
      <c r="E95" t="s">
        <v>668</v>
      </c>
      <c r="F95" t="s">
        <v>666</v>
      </c>
      <c r="G95" t="s">
        <v>720</v>
      </c>
      <c r="H95" t="s">
        <v>655</v>
      </c>
      <c r="I95" t="s">
        <v>655</v>
      </c>
      <c r="J95" t="s">
        <v>720</v>
      </c>
      <c r="K95" t="s">
        <v>681</v>
      </c>
      <c r="M95" t="s">
        <v>1189</v>
      </c>
      <c r="N95" t="s">
        <v>670</v>
      </c>
      <c r="O95" t="s">
        <v>686</v>
      </c>
    </row>
    <row r="96" spans="2:15">
      <c r="B96" s="62" t="s">
        <v>4207</v>
      </c>
      <c r="C96" t="s">
        <v>4185</v>
      </c>
      <c r="D96" t="s">
        <v>665</v>
      </c>
      <c r="E96" t="s">
        <v>668</v>
      </c>
      <c r="F96" t="s">
        <v>666</v>
      </c>
      <c r="G96" t="s">
        <v>721</v>
      </c>
      <c r="H96" t="s">
        <v>655</v>
      </c>
      <c r="I96" t="s">
        <v>655</v>
      </c>
      <c r="J96" t="s">
        <v>721</v>
      </c>
      <c r="K96" t="s">
        <v>681</v>
      </c>
      <c r="M96" t="s">
        <v>1216</v>
      </c>
      <c r="N96" t="s">
        <v>670</v>
      </c>
      <c r="O96" t="s">
        <v>686</v>
      </c>
    </row>
    <row r="97" spans="2:15">
      <c r="B97" t="s">
        <v>1058</v>
      </c>
      <c r="C97" t="s">
        <v>4183</v>
      </c>
      <c r="D97" t="s">
        <v>665</v>
      </c>
      <c r="E97" t="s">
        <v>668</v>
      </c>
      <c r="F97" t="s">
        <v>666</v>
      </c>
      <c r="G97" t="s">
        <v>697</v>
      </c>
      <c r="H97" t="s">
        <v>655</v>
      </c>
      <c r="I97" t="s">
        <v>655</v>
      </c>
      <c r="J97" t="s">
        <v>697</v>
      </c>
      <c r="K97" t="s">
        <v>681</v>
      </c>
      <c r="M97" t="s">
        <v>1190</v>
      </c>
      <c r="N97" t="s">
        <v>670</v>
      </c>
      <c r="O97" t="s">
        <v>695</v>
      </c>
    </row>
    <row r="98" spans="2:15">
      <c r="B98" t="s">
        <v>1061</v>
      </c>
      <c r="C98" t="s">
        <v>4183</v>
      </c>
      <c r="D98" t="s">
        <v>665</v>
      </c>
      <c r="E98" t="s">
        <v>668</v>
      </c>
      <c r="F98" t="s">
        <v>666</v>
      </c>
      <c r="G98" t="s">
        <v>697</v>
      </c>
      <c r="H98" t="s">
        <v>655</v>
      </c>
      <c r="I98" t="s">
        <v>655</v>
      </c>
      <c r="J98" t="s">
        <v>697</v>
      </c>
      <c r="K98" t="s">
        <v>681</v>
      </c>
      <c r="M98" t="s">
        <v>1190</v>
      </c>
      <c r="N98" t="s">
        <v>670</v>
      </c>
      <c r="O98" t="s">
        <v>686</v>
      </c>
    </row>
    <row r="99" spans="2:15">
      <c r="B99" t="s">
        <v>878</v>
      </c>
      <c r="C99" t="s">
        <v>158</v>
      </c>
      <c r="D99" t="s">
        <v>155</v>
      </c>
      <c r="E99" t="s">
        <v>656</v>
      </c>
      <c r="F99" t="s">
        <v>657</v>
      </c>
      <c r="G99" t="s">
        <v>694</v>
      </c>
      <c r="H99" t="s">
        <v>655</v>
      </c>
      <c r="I99" t="s">
        <v>655</v>
      </c>
      <c r="J99" t="s">
        <v>694</v>
      </c>
      <c r="K99" t="s">
        <v>680</v>
      </c>
      <c r="L99" t="s">
        <v>4208</v>
      </c>
      <c r="M99" t="s">
        <v>1189</v>
      </c>
      <c r="N99" t="s">
        <v>658</v>
      </c>
      <c r="O99" t="s">
        <v>686</v>
      </c>
    </row>
    <row r="100" spans="2:15">
      <c r="B100" t="s">
        <v>877</v>
      </c>
      <c r="C100" t="s">
        <v>705</v>
      </c>
      <c r="D100" t="s">
        <v>155</v>
      </c>
      <c r="E100" t="s">
        <v>656</v>
      </c>
      <c r="F100" t="s">
        <v>657</v>
      </c>
      <c r="G100" t="s">
        <v>705</v>
      </c>
      <c r="H100" t="s">
        <v>655</v>
      </c>
      <c r="I100" t="s">
        <v>655</v>
      </c>
      <c r="J100" t="s">
        <v>705</v>
      </c>
      <c r="K100" t="s">
        <v>680</v>
      </c>
      <c r="L100" t="s">
        <v>4208</v>
      </c>
      <c r="M100" t="s">
        <v>1192</v>
      </c>
      <c r="N100" t="s">
        <v>658</v>
      </c>
      <c r="O100" t="s">
        <v>686</v>
      </c>
    </row>
    <row r="101" spans="2:15">
      <c r="B101" t="s">
        <v>879</v>
      </c>
      <c r="C101" t="s">
        <v>158</v>
      </c>
      <c r="D101" t="s">
        <v>155</v>
      </c>
      <c r="E101" t="s">
        <v>656</v>
      </c>
      <c r="F101" t="s">
        <v>657</v>
      </c>
      <c r="G101" t="s">
        <v>689</v>
      </c>
      <c r="H101" t="s">
        <v>655</v>
      </c>
      <c r="I101" t="s">
        <v>655</v>
      </c>
      <c r="J101" t="s">
        <v>689</v>
      </c>
      <c r="K101" t="s">
        <v>681</v>
      </c>
      <c r="L101" t="s">
        <v>4208</v>
      </c>
      <c r="M101" t="s">
        <v>1192</v>
      </c>
      <c r="N101" t="s">
        <v>658</v>
      </c>
      <c r="O101" t="s">
        <v>686</v>
      </c>
    </row>
    <row r="102" spans="2:15">
      <c r="B102" t="str">
        <f>'NET Genset Grounds'!$A3</f>
        <v>Diesel Generators Network Visionstream ACT</v>
      </c>
      <c r="C102" t="s">
        <v>4209</v>
      </c>
      <c r="D102" t="s">
        <v>155</v>
      </c>
      <c r="E102" t="s">
        <v>656</v>
      </c>
      <c r="F102" t="s">
        <v>657</v>
      </c>
      <c r="G102" t="s">
        <v>706</v>
      </c>
      <c r="H102" t="s">
        <v>655</v>
      </c>
      <c r="I102" t="s">
        <v>655</v>
      </c>
      <c r="J102" t="s">
        <v>706</v>
      </c>
      <c r="K102" t="s">
        <v>682</v>
      </c>
      <c r="M102" t="s">
        <v>1190</v>
      </c>
      <c r="N102" t="s">
        <v>658</v>
      </c>
      <c r="O102" t="s">
        <v>686</v>
      </c>
    </row>
    <row r="103" spans="2:15">
      <c r="B103" t="str">
        <f>'NET Genset Grounds'!$A4</f>
        <v>Diesel Generators Network Visionstream NSW</v>
      </c>
      <c r="C103" t="s">
        <v>4209</v>
      </c>
      <c r="D103" t="s">
        <v>155</v>
      </c>
      <c r="E103" t="s">
        <v>656</v>
      </c>
      <c r="F103" t="s">
        <v>657</v>
      </c>
      <c r="G103" t="s">
        <v>707</v>
      </c>
      <c r="H103" t="s">
        <v>655</v>
      </c>
      <c r="I103" t="s">
        <v>655</v>
      </c>
      <c r="J103" t="s">
        <v>707</v>
      </c>
      <c r="K103" t="s">
        <v>682</v>
      </c>
      <c r="M103" t="s">
        <v>1192</v>
      </c>
      <c r="N103" t="s">
        <v>658</v>
      </c>
      <c r="O103" t="s">
        <v>686</v>
      </c>
    </row>
    <row r="104" spans="2:15">
      <c r="B104" t="str">
        <f>'NET Genset Grounds'!$A5</f>
        <v>Diesel Generators Network Visionstream NT</v>
      </c>
      <c r="C104" t="s">
        <v>4209</v>
      </c>
      <c r="D104" t="s">
        <v>155</v>
      </c>
      <c r="E104" t="s">
        <v>656</v>
      </c>
      <c r="F104" t="s">
        <v>657</v>
      </c>
      <c r="G104" t="s">
        <v>708</v>
      </c>
      <c r="H104" t="s">
        <v>655</v>
      </c>
      <c r="I104" t="s">
        <v>655</v>
      </c>
      <c r="J104" t="s">
        <v>708</v>
      </c>
      <c r="K104" t="s">
        <v>682</v>
      </c>
      <c r="M104" t="s">
        <v>1208</v>
      </c>
      <c r="N104" t="s">
        <v>658</v>
      </c>
      <c r="O104" t="s">
        <v>686</v>
      </c>
    </row>
    <row r="105" spans="2:15">
      <c r="B105" t="str">
        <f>'NET Genset Grounds'!$A6</f>
        <v>Diesel Generators Network Visionstream QLD</v>
      </c>
      <c r="C105" t="s">
        <v>4209</v>
      </c>
      <c r="D105" t="s">
        <v>155</v>
      </c>
      <c r="E105" t="s">
        <v>656</v>
      </c>
      <c r="F105" t="s">
        <v>657</v>
      </c>
      <c r="G105" t="s">
        <v>709</v>
      </c>
      <c r="H105" t="s">
        <v>655</v>
      </c>
      <c r="I105" t="s">
        <v>655</v>
      </c>
      <c r="J105" t="s">
        <v>709</v>
      </c>
      <c r="K105" t="s">
        <v>682</v>
      </c>
      <c r="M105" t="s">
        <v>1210</v>
      </c>
      <c r="N105" t="s">
        <v>658</v>
      </c>
      <c r="O105" t="s">
        <v>686</v>
      </c>
    </row>
    <row r="106" spans="2:15">
      <c r="B106" t="str">
        <f>'NET Genset Grounds'!$A7</f>
        <v>Diesel Generators Network Visionstream SA</v>
      </c>
      <c r="C106" t="s">
        <v>4209</v>
      </c>
      <c r="D106" t="s">
        <v>155</v>
      </c>
      <c r="E106" t="s">
        <v>656</v>
      </c>
      <c r="F106" t="s">
        <v>657</v>
      </c>
      <c r="G106" t="s">
        <v>710</v>
      </c>
      <c r="H106" t="s">
        <v>655</v>
      </c>
      <c r="I106" t="s">
        <v>655</v>
      </c>
      <c r="J106" t="s">
        <v>710</v>
      </c>
      <c r="K106" t="s">
        <v>682</v>
      </c>
      <c r="M106" t="s">
        <v>1193</v>
      </c>
      <c r="N106" t="s">
        <v>658</v>
      </c>
      <c r="O106" t="s">
        <v>686</v>
      </c>
    </row>
    <row r="107" spans="2:15">
      <c r="B107" t="str">
        <f>'NET Genset Grounds'!$A8</f>
        <v>Diesel Generators Network Visionstream TAS</v>
      </c>
      <c r="C107" t="s">
        <v>4209</v>
      </c>
      <c r="D107" t="s">
        <v>155</v>
      </c>
      <c r="E107" t="s">
        <v>656</v>
      </c>
      <c r="F107" t="s">
        <v>657</v>
      </c>
      <c r="G107" t="s">
        <v>711</v>
      </c>
      <c r="H107" t="s">
        <v>655</v>
      </c>
      <c r="I107" t="s">
        <v>655</v>
      </c>
      <c r="J107" t="s">
        <v>711</v>
      </c>
      <c r="K107" t="s">
        <v>682</v>
      </c>
      <c r="M107" t="s">
        <v>1213</v>
      </c>
      <c r="N107" t="s">
        <v>658</v>
      </c>
      <c r="O107" t="s">
        <v>686</v>
      </c>
    </row>
    <row r="108" spans="2:15">
      <c r="B108" t="str">
        <f>'NET Genset Grounds'!$A9</f>
        <v>Diesel Generators Network Visionstream VIC</v>
      </c>
      <c r="C108" t="s">
        <v>4209</v>
      </c>
      <c r="D108" t="s">
        <v>155</v>
      </c>
      <c r="E108" t="s">
        <v>656</v>
      </c>
      <c r="F108" t="s">
        <v>657</v>
      </c>
      <c r="G108" t="s">
        <v>712</v>
      </c>
      <c r="H108" t="s">
        <v>655</v>
      </c>
      <c r="I108" t="s">
        <v>655</v>
      </c>
      <c r="J108" t="s">
        <v>712</v>
      </c>
      <c r="K108" t="s">
        <v>682</v>
      </c>
      <c r="M108" t="s">
        <v>1189</v>
      </c>
      <c r="N108" t="s">
        <v>658</v>
      </c>
      <c r="O108" t="s">
        <v>686</v>
      </c>
    </row>
    <row r="109" spans="2:15">
      <c r="B109" t="str">
        <f>'NET Genset Grounds'!$A10</f>
        <v>Diesel Generators Network Visionstream WA</v>
      </c>
      <c r="C109" t="s">
        <v>4209</v>
      </c>
      <c r="D109" t="s">
        <v>155</v>
      </c>
      <c r="E109" t="s">
        <v>656</v>
      </c>
      <c r="F109" t="s">
        <v>657</v>
      </c>
      <c r="G109" t="s">
        <v>713</v>
      </c>
      <c r="H109" t="s">
        <v>655</v>
      </c>
      <c r="I109" t="s">
        <v>655</v>
      </c>
      <c r="J109" t="s">
        <v>713</v>
      </c>
      <c r="K109" t="s">
        <v>682</v>
      </c>
      <c r="M109" t="s">
        <v>1216</v>
      </c>
      <c r="N109" t="s">
        <v>658</v>
      </c>
      <c r="O109" t="s">
        <v>686</v>
      </c>
    </row>
    <row r="110" spans="2:15">
      <c r="B110" t="str">
        <f>'NET Genset Grounds'!$A11</f>
        <v>LPG Generators Network Visionstream ACT</v>
      </c>
      <c r="C110" t="s">
        <v>4209</v>
      </c>
      <c r="D110" t="s">
        <v>155</v>
      </c>
      <c r="E110" t="s">
        <v>660</v>
      </c>
      <c r="F110" t="s">
        <v>657</v>
      </c>
      <c r="G110" t="s">
        <v>706</v>
      </c>
      <c r="H110" t="s">
        <v>655</v>
      </c>
      <c r="I110" t="s">
        <v>655</v>
      </c>
      <c r="J110" t="s">
        <v>706</v>
      </c>
      <c r="K110" t="s">
        <v>682</v>
      </c>
      <c r="M110" t="s">
        <v>1190</v>
      </c>
      <c r="N110" t="s">
        <v>658</v>
      </c>
      <c r="O110" t="s">
        <v>686</v>
      </c>
    </row>
    <row r="111" spans="2:15">
      <c r="B111" t="str">
        <f>'NET Genset Grounds'!$A12</f>
        <v>LPG Generators Network Visionstream NSW</v>
      </c>
      <c r="C111" t="s">
        <v>4209</v>
      </c>
      <c r="D111" t="s">
        <v>155</v>
      </c>
      <c r="E111" t="s">
        <v>660</v>
      </c>
      <c r="F111" t="s">
        <v>657</v>
      </c>
      <c r="G111" t="s">
        <v>707</v>
      </c>
      <c r="H111" t="s">
        <v>655</v>
      </c>
      <c r="I111" t="s">
        <v>655</v>
      </c>
      <c r="J111" t="s">
        <v>707</v>
      </c>
      <c r="K111" t="s">
        <v>682</v>
      </c>
      <c r="M111" t="s">
        <v>1192</v>
      </c>
      <c r="N111" t="s">
        <v>658</v>
      </c>
      <c r="O111" t="s">
        <v>686</v>
      </c>
    </row>
    <row r="112" spans="2:15">
      <c r="B112" t="str">
        <f>'NET Genset Grounds'!$A$18</f>
        <v>LPG Generators Network Visionstream NT</v>
      </c>
      <c r="C112" t="s">
        <v>4209</v>
      </c>
      <c r="D112" t="s">
        <v>155</v>
      </c>
      <c r="E112" t="s">
        <v>660</v>
      </c>
      <c r="F112" t="s">
        <v>657</v>
      </c>
      <c r="G112" t="s">
        <v>708</v>
      </c>
      <c r="H112" t="s">
        <v>655</v>
      </c>
      <c r="I112" t="s">
        <v>655</v>
      </c>
      <c r="J112" t="s">
        <v>708</v>
      </c>
      <c r="K112" t="s">
        <v>682</v>
      </c>
      <c r="M112" t="s">
        <v>1208</v>
      </c>
      <c r="N112" t="s">
        <v>658</v>
      </c>
      <c r="O112" t="s">
        <v>686</v>
      </c>
    </row>
    <row r="113" spans="2:15">
      <c r="B113" t="str">
        <f>'NET Genset Grounds'!$A$14</f>
        <v>LPG Generators Network Visionstream QLD</v>
      </c>
      <c r="C113" t="s">
        <v>4209</v>
      </c>
      <c r="D113" t="s">
        <v>155</v>
      </c>
      <c r="E113" t="s">
        <v>660</v>
      </c>
      <c r="F113" t="s">
        <v>657</v>
      </c>
      <c r="G113" t="s">
        <v>709</v>
      </c>
      <c r="H113" t="s">
        <v>655</v>
      </c>
      <c r="I113" t="s">
        <v>655</v>
      </c>
      <c r="J113" t="s">
        <v>709</v>
      </c>
      <c r="K113" t="s">
        <v>682</v>
      </c>
      <c r="M113" t="s">
        <v>1210</v>
      </c>
      <c r="N113" t="s">
        <v>658</v>
      </c>
      <c r="O113" t="s">
        <v>686</v>
      </c>
    </row>
    <row r="114" spans="2:15">
      <c r="B114" t="str">
        <f>'NET Genset Grounds'!$A$16</f>
        <v>LPG Generators Network Visionstream SA</v>
      </c>
      <c r="C114" t="s">
        <v>4209</v>
      </c>
      <c r="D114" t="s">
        <v>155</v>
      </c>
      <c r="E114" t="s">
        <v>660</v>
      </c>
      <c r="F114" t="s">
        <v>657</v>
      </c>
      <c r="G114" t="s">
        <v>710</v>
      </c>
      <c r="H114" t="s">
        <v>655</v>
      </c>
      <c r="I114" t="s">
        <v>655</v>
      </c>
      <c r="J114" t="s">
        <v>710</v>
      </c>
      <c r="K114" t="s">
        <v>682</v>
      </c>
      <c r="M114" t="s">
        <v>1193</v>
      </c>
      <c r="N114" t="s">
        <v>658</v>
      </c>
      <c r="O114" t="s">
        <v>686</v>
      </c>
    </row>
    <row r="115" spans="2:15">
      <c r="B115" t="str">
        <f>'NET Genset Grounds'!$A$17</f>
        <v>LPG Generators Network Visionstream TAS</v>
      </c>
      <c r="C115" t="s">
        <v>4209</v>
      </c>
      <c r="D115" t="s">
        <v>155</v>
      </c>
      <c r="E115" t="s">
        <v>660</v>
      </c>
      <c r="F115" t="s">
        <v>657</v>
      </c>
      <c r="G115" t="s">
        <v>711</v>
      </c>
      <c r="H115" t="s">
        <v>655</v>
      </c>
      <c r="I115" t="s">
        <v>655</v>
      </c>
      <c r="J115" t="s">
        <v>711</v>
      </c>
      <c r="K115" t="s">
        <v>682</v>
      </c>
      <c r="M115" t="s">
        <v>1213</v>
      </c>
      <c r="N115" t="s">
        <v>658</v>
      </c>
      <c r="O115" t="s">
        <v>686</v>
      </c>
    </row>
    <row r="116" spans="2:15">
      <c r="B116" t="str">
        <f>'NET Genset Grounds'!$A$13</f>
        <v>LPG Generators Network Visionstream VIC</v>
      </c>
      <c r="C116" t="s">
        <v>4209</v>
      </c>
      <c r="D116" t="s">
        <v>155</v>
      </c>
      <c r="E116" t="s">
        <v>660</v>
      </c>
      <c r="F116" t="s">
        <v>657</v>
      </c>
      <c r="G116" t="s">
        <v>712</v>
      </c>
      <c r="H116" t="s">
        <v>655</v>
      </c>
      <c r="I116" t="s">
        <v>655</v>
      </c>
      <c r="J116" t="s">
        <v>712</v>
      </c>
      <c r="K116" t="s">
        <v>682</v>
      </c>
      <c r="M116" t="s">
        <v>1189</v>
      </c>
      <c r="N116" t="s">
        <v>658</v>
      </c>
      <c r="O116" t="s">
        <v>686</v>
      </c>
    </row>
    <row r="117" spans="2:15">
      <c r="B117" t="str">
        <f>'NET Genset Grounds'!$A$15</f>
        <v>LPG Generators Network Visionstream WA</v>
      </c>
      <c r="C117" t="s">
        <v>4209</v>
      </c>
      <c r="D117" t="s">
        <v>155</v>
      </c>
      <c r="E117" t="s">
        <v>660</v>
      </c>
      <c r="F117" t="s">
        <v>657</v>
      </c>
      <c r="G117" t="s">
        <v>713</v>
      </c>
      <c r="H117" t="s">
        <v>655</v>
      </c>
      <c r="I117" t="s">
        <v>655</v>
      </c>
      <c r="J117" t="s">
        <v>713</v>
      </c>
      <c r="K117" t="s">
        <v>682</v>
      </c>
      <c r="M117" t="s">
        <v>1216</v>
      </c>
      <c r="N117" t="s">
        <v>658</v>
      </c>
      <c r="O117" t="s">
        <v>686</v>
      </c>
    </row>
    <row r="118" spans="2:15">
      <c r="B118" t="str">
        <f>'NET Genset Grounds'!$A19</f>
        <v>Petrol Generators Network Visionstream ACT</v>
      </c>
      <c r="C118" t="s">
        <v>4209</v>
      </c>
      <c r="D118" t="s">
        <v>155</v>
      </c>
      <c r="E118" t="s">
        <v>659</v>
      </c>
      <c r="F118" t="s">
        <v>657</v>
      </c>
      <c r="G118" t="s">
        <v>706</v>
      </c>
      <c r="H118" t="s">
        <v>655</v>
      </c>
      <c r="I118" t="s">
        <v>655</v>
      </c>
      <c r="J118" t="s">
        <v>706</v>
      </c>
      <c r="K118" t="s">
        <v>682</v>
      </c>
      <c r="M118" t="s">
        <v>1190</v>
      </c>
      <c r="N118" t="s">
        <v>658</v>
      </c>
      <c r="O118" t="s">
        <v>686</v>
      </c>
    </row>
    <row r="119" spans="2:15">
      <c r="B119" t="str">
        <f>'NET Genset Grounds'!$A20</f>
        <v>Petrol Generators Network Visionstream NSW</v>
      </c>
      <c r="C119" t="s">
        <v>4209</v>
      </c>
      <c r="D119" t="s">
        <v>155</v>
      </c>
      <c r="E119" t="s">
        <v>659</v>
      </c>
      <c r="F119" t="s">
        <v>657</v>
      </c>
      <c r="G119" t="s">
        <v>707</v>
      </c>
      <c r="H119" t="s">
        <v>655</v>
      </c>
      <c r="I119" t="s">
        <v>655</v>
      </c>
      <c r="J119" t="s">
        <v>707</v>
      </c>
      <c r="K119" t="s">
        <v>682</v>
      </c>
      <c r="M119" t="s">
        <v>1192</v>
      </c>
      <c r="N119" t="s">
        <v>658</v>
      </c>
      <c r="O119" t="s">
        <v>686</v>
      </c>
    </row>
    <row r="120" spans="2:15">
      <c r="B120" t="str">
        <f>'NET Genset Grounds'!$A21</f>
        <v>Petrol Generators Network Visionstream NT</v>
      </c>
      <c r="C120" t="s">
        <v>4209</v>
      </c>
      <c r="D120" t="s">
        <v>155</v>
      </c>
      <c r="E120" t="s">
        <v>659</v>
      </c>
      <c r="F120" t="s">
        <v>657</v>
      </c>
      <c r="G120" t="s">
        <v>708</v>
      </c>
      <c r="H120" t="s">
        <v>655</v>
      </c>
      <c r="I120" t="s">
        <v>655</v>
      </c>
      <c r="J120" t="s">
        <v>708</v>
      </c>
      <c r="K120" t="s">
        <v>682</v>
      </c>
      <c r="M120" t="s">
        <v>1208</v>
      </c>
      <c r="N120" t="s">
        <v>658</v>
      </c>
      <c r="O120" t="s">
        <v>686</v>
      </c>
    </row>
    <row r="121" spans="2:15">
      <c r="B121" t="str">
        <f>'NET Genset Grounds'!$A22</f>
        <v>Petrol Generators Network Visionstream QLD</v>
      </c>
      <c r="C121" t="s">
        <v>4209</v>
      </c>
      <c r="D121" t="s">
        <v>155</v>
      </c>
      <c r="E121" t="s">
        <v>659</v>
      </c>
      <c r="F121" t="s">
        <v>657</v>
      </c>
      <c r="G121" t="s">
        <v>709</v>
      </c>
      <c r="H121" t="s">
        <v>655</v>
      </c>
      <c r="I121" t="s">
        <v>655</v>
      </c>
      <c r="J121" t="s">
        <v>709</v>
      </c>
      <c r="K121" t="s">
        <v>682</v>
      </c>
      <c r="M121" t="s">
        <v>1210</v>
      </c>
      <c r="N121" t="s">
        <v>658</v>
      </c>
      <c r="O121" t="s">
        <v>686</v>
      </c>
    </row>
    <row r="122" spans="2:15">
      <c r="B122" t="str">
        <f>'NET Genset Grounds'!$A23</f>
        <v>Petrol Generators Network Visionstream SA</v>
      </c>
      <c r="C122" t="s">
        <v>4209</v>
      </c>
      <c r="D122" t="s">
        <v>155</v>
      </c>
      <c r="E122" t="s">
        <v>659</v>
      </c>
      <c r="F122" t="s">
        <v>657</v>
      </c>
      <c r="G122" t="s">
        <v>710</v>
      </c>
      <c r="H122" t="s">
        <v>655</v>
      </c>
      <c r="I122" t="s">
        <v>655</v>
      </c>
      <c r="J122" t="s">
        <v>710</v>
      </c>
      <c r="K122" t="s">
        <v>682</v>
      </c>
      <c r="M122" t="s">
        <v>1193</v>
      </c>
      <c r="N122" t="s">
        <v>658</v>
      </c>
      <c r="O122" t="s">
        <v>686</v>
      </c>
    </row>
    <row r="123" spans="2:15">
      <c r="B123" t="str">
        <f>'NET Genset Grounds'!$A24</f>
        <v>Petrol Generators Network Visionstream TAS</v>
      </c>
      <c r="C123" t="s">
        <v>4209</v>
      </c>
      <c r="D123" t="s">
        <v>155</v>
      </c>
      <c r="E123" t="s">
        <v>659</v>
      </c>
      <c r="F123" t="s">
        <v>657</v>
      </c>
      <c r="G123" t="s">
        <v>711</v>
      </c>
      <c r="H123" t="s">
        <v>655</v>
      </c>
      <c r="I123" t="s">
        <v>655</v>
      </c>
      <c r="J123" t="s">
        <v>711</v>
      </c>
      <c r="K123" t="s">
        <v>682</v>
      </c>
      <c r="M123" t="s">
        <v>1213</v>
      </c>
      <c r="N123" t="s">
        <v>658</v>
      </c>
      <c r="O123" t="s">
        <v>686</v>
      </c>
    </row>
    <row r="124" spans="2:15">
      <c r="B124" t="str">
        <f>'NET Genset Grounds'!$A25</f>
        <v>Petrol Generators Network Visionstream VIC</v>
      </c>
      <c r="C124" t="s">
        <v>4209</v>
      </c>
      <c r="D124" t="s">
        <v>155</v>
      </c>
      <c r="E124" t="s">
        <v>659</v>
      </c>
      <c r="F124" t="s">
        <v>657</v>
      </c>
      <c r="G124" t="s">
        <v>712</v>
      </c>
      <c r="H124" t="s">
        <v>655</v>
      </c>
      <c r="I124" t="s">
        <v>655</v>
      </c>
      <c r="J124" t="s">
        <v>712</v>
      </c>
      <c r="K124" t="s">
        <v>682</v>
      </c>
      <c r="M124" t="s">
        <v>1189</v>
      </c>
      <c r="N124" t="s">
        <v>658</v>
      </c>
      <c r="O124" t="s">
        <v>686</v>
      </c>
    </row>
    <row r="125" spans="2:15">
      <c r="B125" t="str">
        <f>'NET Genset Grounds'!$A26</f>
        <v>Petrol Generators Network Visionstream WA</v>
      </c>
      <c r="C125" t="s">
        <v>4209</v>
      </c>
      <c r="D125" t="s">
        <v>155</v>
      </c>
      <c r="E125" t="s">
        <v>659</v>
      </c>
      <c r="F125" t="s">
        <v>657</v>
      </c>
      <c r="G125" t="s">
        <v>713</v>
      </c>
      <c r="H125" t="s">
        <v>655</v>
      </c>
      <c r="I125" t="s">
        <v>655</v>
      </c>
      <c r="J125" t="s">
        <v>713</v>
      </c>
      <c r="K125" t="s">
        <v>682</v>
      </c>
      <c r="M125" t="s">
        <v>1216</v>
      </c>
      <c r="N125" t="s">
        <v>658</v>
      </c>
      <c r="O125" t="s">
        <v>686</v>
      </c>
    </row>
    <row r="126" spans="2:15">
      <c r="B126" t="str">
        <f>'NET Genset Grounds'!$A27</f>
        <v>Other Grounds Portable Gensets etc Diesel ACT</v>
      </c>
      <c r="C126" t="s">
        <v>4210</v>
      </c>
      <c r="D126" t="s">
        <v>665</v>
      </c>
      <c r="E126" t="s">
        <v>656</v>
      </c>
      <c r="F126" t="s">
        <v>666</v>
      </c>
      <c r="G126" t="s">
        <v>706</v>
      </c>
      <c r="H126" t="s">
        <v>655</v>
      </c>
      <c r="I126" t="s">
        <v>655</v>
      </c>
      <c r="J126" t="s">
        <v>706</v>
      </c>
      <c r="K126" t="s">
        <v>682</v>
      </c>
      <c r="M126" t="s">
        <v>1190</v>
      </c>
      <c r="N126" t="s">
        <v>658</v>
      </c>
      <c r="O126" t="s">
        <v>686</v>
      </c>
    </row>
    <row r="127" spans="2:15">
      <c r="B127" t="str">
        <f>'NET Genset Grounds'!$A28</f>
        <v>Other Grounds Portable Gensets etc Diesel NSW</v>
      </c>
      <c r="C127" t="s">
        <v>4210</v>
      </c>
      <c r="D127" t="s">
        <v>665</v>
      </c>
      <c r="E127" t="s">
        <v>656</v>
      </c>
      <c r="F127" t="s">
        <v>666</v>
      </c>
      <c r="G127" t="s">
        <v>707</v>
      </c>
      <c r="H127" t="s">
        <v>655</v>
      </c>
      <c r="I127" t="s">
        <v>655</v>
      </c>
      <c r="J127" t="s">
        <v>707</v>
      </c>
      <c r="K127" t="s">
        <v>682</v>
      </c>
      <c r="M127" t="s">
        <v>1192</v>
      </c>
      <c r="N127" t="s">
        <v>658</v>
      </c>
      <c r="O127" t="s">
        <v>686</v>
      </c>
    </row>
    <row r="128" spans="2:15">
      <c r="B128" t="str">
        <f>'NET Genset Grounds'!$A29</f>
        <v>Other Grounds Portable Gensets etc Diesel NT</v>
      </c>
      <c r="C128" t="s">
        <v>4210</v>
      </c>
      <c r="D128" t="s">
        <v>665</v>
      </c>
      <c r="E128" t="s">
        <v>656</v>
      </c>
      <c r="F128" t="s">
        <v>666</v>
      </c>
      <c r="G128" t="s">
        <v>708</v>
      </c>
      <c r="H128" t="s">
        <v>655</v>
      </c>
      <c r="I128" t="s">
        <v>655</v>
      </c>
      <c r="J128" t="s">
        <v>708</v>
      </c>
      <c r="K128" t="s">
        <v>682</v>
      </c>
      <c r="M128" t="s">
        <v>1208</v>
      </c>
      <c r="N128" t="s">
        <v>658</v>
      </c>
      <c r="O128" t="s">
        <v>686</v>
      </c>
    </row>
    <row r="129" spans="2:15">
      <c r="B129" t="str">
        <f>'NET Genset Grounds'!$A30</f>
        <v>Other Grounds Portable Gensets etc Diesel QLD</v>
      </c>
      <c r="C129" t="s">
        <v>4210</v>
      </c>
      <c r="D129" t="s">
        <v>665</v>
      </c>
      <c r="E129" t="s">
        <v>656</v>
      </c>
      <c r="F129" t="s">
        <v>666</v>
      </c>
      <c r="G129" t="s">
        <v>709</v>
      </c>
      <c r="H129" t="s">
        <v>655</v>
      </c>
      <c r="I129" t="s">
        <v>655</v>
      </c>
      <c r="J129" t="s">
        <v>709</v>
      </c>
      <c r="K129" t="s">
        <v>682</v>
      </c>
      <c r="M129" t="s">
        <v>1210</v>
      </c>
      <c r="N129" t="s">
        <v>658</v>
      </c>
      <c r="O129" t="s">
        <v>686</v>
      </c>
    </row>
    <row r="130" spans="2:15">
      <c r="B130" t="str">
        <f>'NET Genset Grounds'!$A31</f>
        <v>Other Grounds Portable Gensets etc Diesel SA</v>
      </c>
      <c r="C130" t="s">
        <v>4210</v>
      </c>
      <c r="D130" t="s">
        <v>665</v>
      </c>
      <c r="E130" t="s">
        <v>656</v>
      </c>
      <c r="F130" t="s">
        <v>666</v>
      </c>
      <c r="G130" t="s">
        <v>710</v>
      </c>
      <c r="H130" t="s">
        <v>655</v>
      </c>
      <c r="I130" t="s">
        <v>655</v>
      </c>
      <c r="J130" t="s">
        <v>710</v>
      </c>
      <c r="K130" t="s">
        <v>682</v>
      </c>
      <c r="M130" t="s">
        <v>1193</v>
      </c>
      <c r="N130" t="s">
        <v>658</v>
      </c>
      <c r="O130" t="s">
        <v>686</v>
      </c>
    </row>
    <row r="131" spans="2:15">
      <c r="B131" t="str">
        <f>'NET Genset Grounds'!$A32</f>
        <v>Other Grounds Portable Gensets etc Diesel TAS</v>
      </c>
      <c r="C131" t="s">
        <v>4210</v>
      </c>
      <c r="D131" t="s">
        <v>665</v>
      </c>
      <c r="E131" t="s">
        <v>656</v>
      </c>
      <c r="F131" t="s">
        <v>666</v>
      </c>
      <c r="G131" t="s">
        <v>711</v>
      </c>
      <c r="H131" t="s">
        <v>655</v>
      </c>
      <c r="I131" t="s">
        <v>655</v>
      </c>
      <c r="J131" t="s">
        <v>711</v>
      </c>
      <c r="K131" t="s">
        <v>682</v>
      </c>
      <c r="M131" t="s">
        <v>1213</v>
      </c>
      <c r="N131" t="s">
        <v>658</v>
      </c>
      <c r="O131" t="s">
        <v>686</v>
      </c>
    </row>
    <row r="132" spans="2:15">
      <c r="B132" t="str">
        <f>'NET Genset Grounds'!$A33</f>
        <v>Other Grounds Portable Gensets etc Diesel VIC</v>
      </c>
      <c r="C132" t="s">
        <v>4210</v>
      </c>
      <c r="D132" t="s">
        <v>665</v>
      </c>
      <c r="E132" t="s">
        <v>656</v>
      </c>
      <c r="F132" t="s">
        <v>666</v>
      </c>
      <c r="G132" t="s">
        <v>712</v>
      </c>
      <c r="H132" t="s">
        <v>655</v>
      </c>
      <c r="I132" t="s">
        <v>655</v>
      </c>
      <c r="J132" t="s">
        <v>712</v>
      </c>
      <c r="K132" t="s">
        <v>682</v>
      </c>
      <c r="M132" t="s">
        <v>1189</v>
      </c>
      <c r="N132" t="s">
        <v>658</v>
      </c>
      <c r="O132" t="s">
        <v>686</v>
      </c>
    </row>
    <row r="133" spans="2:15">
      <c r="B133" t="str">
        <f>'NET Genset Grounds'!$A34</f>
        <v>Other Grounds Portable Gensets etc Diesel WA</v>
      </c>
      <c r="C133" t="s">
        <v>4210</v>
      </c>
      <c r="D133" t="s">
        <v>665</v>
      </c>
      <c r="E133" t="s">
        <v>656</v>
      </c>
      <c r="F133" t="s">
        <v>666</v>
      </c>
      <c r="G133" t="s">
        <v>713</v>
      </c>
      <c r="H133" t="s">
        <v>655</v>
      </c>
      <c r="I133" t="s">
        <v>655</v>
      </c>
      <c r="J133" t="s">
        <v>713</v>
      </c>
      <c r="K133" t="s">
        <v>682</v>
      </c>
      <c r="M133" t="s">
        <v>1216</v>
      </c>
      <c r="N133" t="s">
        <v>658</v>
      </c>
      <c r="O133" t="s">
        <v>686</v>
      </c>
    </row>
    <row r="134" spans="2:15">
      <c r="B134" t="str">
        <f>'NET Genset Grounds'!$A35</f>
        <v>Other Grounds Portable Gensets etc LPG ACT</v>
      </c>
      <c r="C134" t="s">
        <v>4210</v>
      </c>
      <c r="D134" t="s">
        <v>665</v>
      </c>
      <c r="E134" t="s">
        <v>660</v>
      </c>
      <c r="F134" t="s">
        <v>666</v>
      </c>
      <c r="G134" t="s">
        <v>706</v>
      </c>
      <c r="H134" t="s">
        <v>655</v>
      </c>
      <c r="I134" t="s">
        <v>655</v>
      </c>
      <c r="J134" t="s">
        <v>706</v>
      </c>
      <c r="K134" t="s">
        <v>682</v>
      </c>
      <c r="M134" t="s">
        <v>1190</v>
      </c>
      <c r="N134" t="s">
        <v>658</v>
      </c>
      <c r="O134" t="s">
        <v>686</v>
      </c>
    </row>
    <row r="135" spans="2:15">
      <c r="B135" t="str">
        <f>'NET Genset Grounds'!$A36</f>
        <v>Other Grounds Portable Gensets etc LPG NSW</v>
      </c>
      <c r="C135" t="s">
        <v>4210</v>
      </c>
      <c r="D135" t="s">
        <v>665</v>
      </c>
      <c r="E135" t="s">
        <v>660</v>
      </c>
      <c r="F135" t="s">
        <v>666</v>
      </c>
      <c r="G135" t="s">
        <v>707</v>
      </c>
      <c r="H135" t="s">
        <v>655</v>
      </c>
      <c r="I135" t="s">
        <v>655</v>
      </c>
      <c r="J135" t="s">
        <v>707</v>
      </c>
      <c r="K135" t="s">
        <v>682</v>
      </c>
      <c r="M135" t="s">
        <v>1192</v>
      </c>
      <c r="N135" t="s">
        <v>658</v>
      </c>
      <c r="O135" t="s">
        <v>686</v>
      </c>
    </row>
    <row r="136" spans="2:15">
      <c r="B136" t="str">
        <f>'NET Genset Grounds'!$A$42</f>
        <v>Other Grounds Portable Gensets etc LPG NT</v>
      </c>
      <c r="C136" t="s">
        <v>4210</v>
      </c>
      <c r="D136" t="s">
        <v>665</v>
      </c>
      <c r="E136" t="s">
        <v>660</v>
      </c>
      <c r="F136" t="s">
        <v>666</v>
      </c>
      <c r="G136" t="s">
        <v>708</v>
      </c>
      <c r="H136" t="s">
        <v>655</v>
      </c>
      <c r="I136" t="s">
        <v>655</v>
      </c>
      <c r="J136" t="s">
        <v>708</v>
      </c>
      <c r="K136" t="s">
        <v>682</v>
      </c>
      <c r="M136" t="s">
        <v>1208</v>
      </c>
      <c r="N136" t="s">
        <v>658</v>
      </c>
      <c r="O136" t="s">
        <v>686</v>
      </c>
    </row>
    <row r="137" spans="2:15">
      <c r="B137" t="str">
        <f>'NET Genset Grounds'!$A$38</f>
        <v>Other Grounds Portable Gensets etc LPG QLD</v>
      </c>
      <c r="C137" t="s">
        <v>4210</v>
      </c>
      <c r="D137" t="s">
        <v>665</v>
      </c>
      <c r="E137" t="s">
        <v>660</v>
      </c>
      <c r="F137" t="s">
        <v>666</v>
      </c>
      <c r="G137" t="s">
        <v>709</v>
      </c>
      <c r="H137" t="s">
        <v>655</v>
      </c>
      <c r="I137" t="s">
        <v>655</v>
      </c>
      <c r="J137" t="s">
        <v>709</v>
      </c>
      <c r="K137" t="s">
        <v>682</v>
      </c>
      <c r="M137" t="s">
        <v>1210</v>
      </c>
      <c r="N137" t="s">
        <v>658</v>
      </c>
      <c r="O137" t="s">
        <v>686</v>
      </c>
    </row>
    <row r="138" spans="2:15">
      <c r="B138" t="str">
        <f>'NET Genset Grounds'!$A$40</f>
        <v>Other Grounds Portable Gensets etc LPG SA</v>
      </c>
      <c r="C138" t="s">
        <v>4210</v>
      </c>
      <c r="D138" t="s">
        <v>665</v>
      </c>
      <c r="E138" t="s">
        <v>660</v>
      </c>
      <c r="F138" t="s">
        <v>666</v>
      </c>
      <c r="G138" t="s">
        <v>710</v>
      </c>
      <c r="H138" t="s">
        <v>655</v>
      </c>
      <c r="I138" t="s">
        <v>655</v>
      </c>
      <c r="J138" t="s">
        <v>710</v>
      </c>
      <c r="K138" t="s">
        <v>682</v>
      </c>
      <c r="M138" t="s">
        <v>1193</v>
      </c>
      <c r="N138" t="s">
        <v>658</v>
      </c>
      <c r="O138" t="s">
        <v>686</v>
      </c>
    </row>
    <row r="139" spans="2:15">
      <c r="B139" t="str">
        <f>'NET Genset Grounds'!$A$41</f>
        <v>Other Grounds Portable Gensets etc LPG TAS</v>
      </c>
      <c r="C139" t="s">
        <v>4210</v>
      </c>
      <c r="D139" t="s">
        <v>665</v>
      </c>
      <c r="E139" t="s">
        <v>660</v>
      </c>
      <c r="F139" t="s">
        <v>666</v>
      </c>
      <c r="G139" t="s">
        <v>711</v>
      </c>
      <c r="H139" t="s">
        <v>655</v>
      </c>
      <c r="I139" t="s">
        <v>655</v>
      </c>
      <c r="J139" t="s">
        <v>711</v>
      </c>
      <c r="K139" t="s">
        <v>682</v>
      </c>
      <c r="M139" t="s">
        <v>1213</v>
      </c>
      <c r="N139" t="s">
        <v>658</v>
      </c>
      <c r="O139" t="s">
        <v>686</v>
      </c>
    </row>
    <row r="140" spans="2:15">
      <c r="B140" t="str">
        <f>'NET Genset Grounds'!$A$37</f>
        <v>Other Grounds Portable Gensets etc LPG VIC</v>
      </c>
      <c r="C140" t="s">
        <v>4210</v>
      </c>
      <c r="D140" t="s">
        <v>665</v>
      </c>
      <c r="E140" t="s">
        <v>660</v>
      </c>
      <c r="F140" t="s">
        <v>666</v>
      </c>
      <c r="G140" t="s">
        <v>712</v>
      </c>
      <c r="H140" t="s">
        <v>655</v>
      </c>
      <c r="I140" t="s">
        <v>655</v>
      </c>
      <c r="J140" t="s">
        <v>712</v>
      </c>
      <c r="K140" t="s">
        <v>682</v>
      </c>
      <c r="M140" t="s">
        <v>1189</v>
      </c>
      <c r="N140" t="s">
        <v>658</v>
      </c>
      <c r="O140" t="s">
        <v>686</v>
      </c>
    </row>
    <row r="141" spans="2:15">
      <c r="B141" t="str">
        <f>'NET Genset Grounds'!$A$39</f>
        <v>Other Grounds Portable Gensets etc LPG WA</v>
      </c>
      <c r="C141" t="s">
        <v>4210</v>
      </c>
      <c r="D141" t="s">
        <v>665</v>
      </c>
      <c r="E141" t="s">
        <v>660</v>
      </c>
      <c r="F141" t="s">
        <v>666</v>
      </c>
      <c r="G141" t="s">
        <v>713</v>
      </c>
      <c r="H141" t="s">
        <v>655</v>
      </c>
      <c r="I141" t="s">
        <v>655</v>
      </c>
      <c r="J141" t="s">
        <v>713</v>
      </c>
      <c r="K141" t="s">
        <v>682</v>
      </c>
      <c r="M141" t="s">
        <v>1216</v>
      </c>
      <c r="N141" t="s">
        <v>658</v>
      </c>
      <c r="O141" t="s">
        <v>686</v>
      </c>
    </row>
    <row r="142" spans="2:15">
      <c r="B142" t="str">
        <f>'NET Genset Grounds'!$A43</f>
        <v>Other Grounds Portable Gensets etc Petrol ACT</v>
      </c>
      <c r="C142" t="s">
        <v>4210</v>
      </c>
      <c r="D142" t="s">
        <v>665</v>
      </c>
      <c r="E142" t="s">
        <v>659</v>
      </c>
      <c r="F142" t="s">
        <v>666</v>
      </c>
      <c r="G142" t="s">
        <v>706</v>
      </c>
      <c r="H142" t="s">
        <v>655</v>
      </c>
      <c r="I142" t="s">
        <v>655</v>
      </c>
      <c r="J142" t="s">
        <v>706</v>
      </c>
      <c r="K142" t="s">
        <v>682</v>
      </c>
      <c r="M142" t="s">
        <v>1190</v>
      </c>
      <c r="N142" t="s">
        <v>658</v>
      </c>
      <c r="O142" t="s">
        <v>686</v>
      </c>
    </row>
    <row r="143" spans="2:15">
      <c r="B143" t="str">
        <f>'NET Genset Grounds'!$A44</f>
        <v>Other Grounds Portable Gensets etc Petrol NSW</v>
      </c>
      <c r="C143" t="s">
        <v>4210</v>
      </c>
      <c r="D143" t="s">
        <v>665</v>
      </c>
      <c r="E143" t="s">
        <v>659</v>
      </c>
      <c r="F143" t="s">
        <v>666</v>
      </c>
      <c r="G143" t="s">
        <v>707</v>
      </c>
      <c r="H143" t="s">
        <v>655</v>
      </c>
      <c r="I143" t="s">
        <v>655</v>
      </c>
      <c r="J143" t="s">
        <v>707</v>
      </c>
      <c r="K143" t="s">
        <v>682</v>
      </c>
      <c r="M143" t="s">
        <v>1192</v>
      </c>
      <c r="N143" t="s">
        <v>658</v>
      </c>
      <c r="O143" t="s">
        <v>686</v>
      </c>
    </row>
    <row r="144" spans="2:15">
      <c r="B144" t="str">
        <f>'NET Genset Grounds'!$A45</f>
        <v>Other Grounds Portable Gensets etc Petrol NT</v>
      </c>
      <c r="C144" t="s">
        <v>4210</v>
      </c>
      <c r="D144" t="s">
        <v>665</v>
      </c>
      <c r="E144" t="s">
        <v>659</v>
      </c>
      <c r="F144" t="s">
        <v>666</v>
      </c>
      <c r="G144" t="s">
        <v>708</v>
      </c>
      <c r="H144" t="s">
        <v>655</v>
      </c>
      <c r="I144" t="s">
        <v>655</v>
      </c>
      <c r="J144" t="s">
        <v>708</v>
      </c>
      <c r="K144" t="s">
        <v>682</v>
      </c>
      <c r="M144" t="s">
        <v>1208</v>
      </c>
      <c r="N144" t="s">
        <v>658</v>
      </c>
      <c r="O144" t="s">
        <v>686</v>
      </c>
    </row>
    <row r="145" spans="2:15">
      <c r="B145" t="str">
        <f>'NET Genset Grounds'!$A46</f>
        <v>Other Grounds Portable Gensets etc Petrol QLD</v>
      </c>
      <c r="C145" t="s">
        <v>4210</v>
      </c>
      <c r="D145" t="s">
        <v>665</v>
      </c>
      <c r="E145" t="s">
        <v>659</v>
      </c>
      <c r="F145" t="s">
        <v>666</v>
      </c>
      <c r="G145" t="s">
        <v>709</v>
      </c>
      <c r="H145" t="s">
        <v>655</v>
      </c>
      <c r="I145" t="s">
        <v>655</v>
      </c>
      <c r="J145" t="s">
        <v>709</v>
      </c>
      <c r="K145" t="s">
        <v>682</v>
      </c>
      <c r="M145" t="s">
        <v>1210</v>
      </c>
      <c r="N145" t="s">
        <v>658</v>
      </c>
      <c r="O145" t="s">
        <v>686</v>
      </c>
    </row>
    <row r="146" spans="2:15">
      <c r="B146" t="str">
        <f>'NET Genset Grounds'!$A47</f>
        <v>Other Grounds Portable Gensets etc Petrol SA</v>
      </c>
      <c r="C146" t="s">
        <v>4210</v>
      </c>
      <c r="D146" t="s">
        <v>665</v>
      </c>
      <c r="E146" t="s">
        <v>659</v>
      </c>
      <c r="F146" t="s">
        <v>666</v>
      </c>
      <c r="G146" t="s">
        <v>710</v>
      </c>
      <c r="H146" t="s">
        <v>655</v>
      </c>
      <c r="I146" t="s">
        <v>655</v>
      </c>
      <c r="J146" t="s">
        <v>710</v>
      </c>
      <c r="K146" t="s">
        <v>682</v>
      </c>
      <c r="M146" t="s">
        <v>1193</v>
      </c>
      <c r="N146" t="s">
        <v>658</v>
      </c>
      <c r="O146" t="s">
        <v>686</v>
      </c>
    </row>
    <row r="147" spans="2:15">
      <c r="B147" t="str">
        <f>'NET Genset Grounds'!$A48</f>
        <v>Other Grounds Portable Gensets etc Petrol TAS</v>
      </c>
      <c r="C147" t="s">
        <v>4210</v>
      </c>
      <c r="D147" t="s">
        <v>665</v>
      </c>
      <c r="E147" t="s">
        <v>659</v>
      </c>
      <c r="F147" t="s">
        <v>666</v>
      </c>
      <c r="G147" t="s">
        <v>711</v>
      </c>
      <c r="H147" t="s">
        <v>655</v>
      </c>
      <c r="I147" t="s">
        <v>655</v>
      </c>
      <c r="J147" t="s">
        <v>711</v>
      </c>
      <c r="K147" t="s">
        <v>682</v>
      </c>
      <c r="M147" t="s">
        <v>1213</v>
      </c>
      <c r="N147" t="s">
        <v>658</v>
      </c>
      <c r="O147" t="s">
        <v>686</v>
      </c>
    </row>
    <row r="148" spans="2:15">
      <c r="B148" t="str">
        <f>'NET Genset Grounds'!$A49</f>
        <v>Other Grounds Portable Gensets etc Petrol VIC</v>
      </c>
      <c r="C148" t="s">
        <v>4210</v>
      </c>
      <c r="D148" t="s">
        <v>665</v>
      </c>
      <c r="E148" t="s">
        <v>659</v>
      </c>
      <c r="F148" t="s">
        <v>666</v>
      </c>
      <c r="G148" t="s">
        <v>712</v>
      </c>
      <c r="H148" t="s">
        <v>655</v>
      </c>
      <c r="I148" t="s">
        <v>655</v>
      </c>
      <c r="J148" t="s">
        <v>712</v>
      </c>
      <c r="K148" t="s">
        <v>682</v>
      </c>
      <c r="M148" t="s">
        <v>1189</v>
      </c>
      <c r="N148" t="s">
        <v>658</v>
      </c>
      <c r="O148" t="s">
        <v>686</v>
      </c>
    </row>
    <row r="149" spans="2:15">
      <c r="B149" t="str">
        <f>'NET Genset Grounds'!$A50</f>
        <v>Other Grounds Portable Gensets etc Petrol WA</v>
      </c>
      <c r="C149" t="s">
        <v>4210</v>
      </c>
      <c r="D149" t="s">
        <v>665</v>
      </c>
      <c r="E149" t="s">
        <v>659</v>
      </c>
      <c r="F149" t="s">
        <v>666</v>
      </c>
      <c r="G149" t="s">
        <v>713</v>
      </c>
      <c r="H149" t="s">
        <v>655</v>
      </c>
      <c r="I149" t="s">
        <v>655</v>
      </c>
      <c r="J149" t="s">
        <v>713</v>
      </c>
      <c r="K149" t="s">
        <v>682</v>
      </c>
      <c r="M149" t="s">
        <v>1216</v>
      </c>
      <c r="N149" t="s">
        <v>658</v>
      </c>
      <c r="O149" t="s">
        <v>686</v>
      </c>
    </row>
    <row r="150" spans="2:15">
      <c r="B150" t="str">
        <f>'NON Genset'!$A3</f>
        <v>Diesel Generators NON-Network COMMERCIAL JLL ACT</v>
      </c>
      <c r="C150" t="s">
        <v>4211</v>
      </c>
      <c r="D150" t="s">
        <v>155</v>
      </c>
      <c r="E150" t="s">
        <v>656</v>
      </c>
      <c r="F150" t="s">
        <v>657</v>
      </c>
      <c r="G150" t="s">
        <v>714</v>
      </c>
      <c r="H150" t="s">
        <v>655</v>
      </c>
      <c r="I150" t="s">
        <v>655</v>
      </c>
      <c r="J150" t="s">
        <v>714</v>
      </c>
      <c r="K150" t="s">
        <v>681</v>
      </c>
      <c r="M150" t="s">
        <v>1190</v>
      </c>
      <c r="N150" t="s">
        <v>658</v>
      </c>
      <c r="O150" t="s">
        <v>686</v>
      </c>
    </row>
    <row r="151" spans="2:15">
      <c r="B151" t="str">
        <f>'NON Genset'!$A4</f>
        <v>Diesel Generators NON-Network COMMERCIAL JLL NSW</v>
      </c>
      <c r="C151" t="s">
        <v>4211</v>
      </c>
      <c r="D151" t="s">
        <v>155</v>
      </c>
      <c r="E151" t="s">
        <v>656</v>
      </c>
      <c r="F151" t="s">
        <v>657</v>
      </c>
      <c r="G151" t="s">
        <v>715</v>
      </c>
      <c r="H151" t="s">
        <v>655</v>
      </c>
      <c r="I151" t="s">
        <v>655</v>
      </c>
      <c r="J151" t="s">
        <v>715</v>
      </c>
      <c r="K151" t="s">
        <v>681</v>
      </c>
      <c r="M151" t="s">
        <v>1192</v>
      </c>
      <c r="N151" t="s">
        <v>658</v>
      </c>
      <c r="O151" t="s">
        <v>686</v>
      </c>
    </row>
    <row r="152" spans="2:15">
      <c r="B152" t="str">
        <f>'NON Genset'!$A5</f>
        <v>Diesel Generators NON-Network COMMERCIAL JLL NT</v>
      </c>
      <c r="C152" t="s">
        <v>4211</v>
      </c>
      <c r="D152" t="s">
        <v>155</v>
      </c>
      <c r="E152" t="s">
        <v>656</v>
      </c>
      <c r="F152" t="s">
        <v>657</v>
      </c>
      <c r="G152" t="s">
        <v>716</v>
      </c>
      <c r="H152" t="s">
        <v>655</v>
      </c>
      <c r="I152" t="s">
        <v>655</v>
      </c>
      <c r="J152" t="s">
        <v>716</v>
      </c>
      <c r="K152" t="s">
        <v>681</v>
      </c>
      <c r="M152" t="s">
        <v>1208</v>
      </c>
      <c r="N152" t="s">
        <v>658</v>
      </c>
      <c r="O152" t="s">
        <v>686</v>
      </c>
    </row>
    <row r="153" spans="2:15">
      <c r="B153" t="str">
        <f>'NON Genset'!$A6</f>
        <v>Diesel Generators NON-Network COMMERCIAL JLL QLD</v>
      </c>
      <c r="C153" t="s">
        <v>4211</v>
      </c>
      <c r="D153" t="s">
        <v>155</v>
      </c>
      <c r="E153" t="s">
        <v>656</v>
      </c>
      <c r="F153" t="s">
        <v>657</v>
      </c>
      <c r="G153" t="s">
        <v>717</v>
      </c>
      <c r="H153" t="s">
        <v>655</v>
      </c>
      <c r="I153" t="s">
        <v>655</v>
      </c>
      <c r="J153" t="s">
        <v>717</v>
      </c>
      <c r="K153" t="s">
        <v>681</v>
      </c>
      <c r="M153" t="s">
        <v>1210</v>
      </c>
      <c r="N153" t="s">
        <v>658</v>
      </c>
      <c r="O153" t="s">
        <v>686</v>
      </c>
    </row>
    <row r="154" spans="2:15">
      <c r="B154" t="str">
        <f>'NON Genset'!$A7</f>
        <v>Diesel Generators NON-Network COMMERCIAL JLL SA</v>
      </c>
      <c r="C154" t="s">
        <v>4211</v>
      </c>
      <c r="D154" t="s">
        <v>155</v>
      </c>
      <c r="E154" t="s">
        <v>656</v>
      </c>
      <c r="F154" t="s">
        <v>657</v>
      </c>
      <c r="G154" t="s">
        <v>718</v>
      </c>
      <c r="H154" t="s">
        <v>655</v>
      </c>
      <c r="I154" t="s">
        <v>655</v>
      </c>
      <c r="J154" t="s">
        <v>718</v>
      </c>
      <c r="K154" t="s">
        <v>681</v>
      </c>
      <c r="M154" t="s">
        <v>1193</v>
      </c>
      <c r="N154" t="s">
        <v>658</v>
      </c>
      <c r="O154" t="s">
        <v>686</v>
      </c>
    </row>
    <row r="155" spans="2:15">
      <c r="B155" t="str">
        <f>'NON Genset'!$A8</f>
        <v>Diesel Generators NON-Network COMMERCIAL JLL TAS</v>
      </c>
      <c r="C155" t="s">
        <v>4211</v>
      </c>
      <c r="D155" t="s">
        <v>155</v>
      </c>
      <c r="E155" t="s">
        <v>656</v>
      </c>
      <c r="F155" t="s">
        <v>657</v>
      </c>
      <c r="G155" t="s">
        <v>719</v>
      </c>
      <c r="H155" t="s">
        <v>655</v>
      </c>
      <c r="I155" t="s">
        <v>655</v>
      </c>
      <c r="J155" t="s">
        <v>719</v>
      </c>
      <c r="K155" t="s">
        <v>681</v>
      </c>
      <c r="M155" t="s">
        <v>1213</v>
      </c>
      <c r="N155" t="s">
        <v>658</v>
      </c>
      <c r="O155" t="s">
        <v>686</v>
      </c>
    </row>
    <row r="156" spans="2:15">
      <c r="B156" t="str">
        <f>'NON Genset'!$A9</f>
        <v>Diesel Generators NON-Network COMMERCIAL JLL VIC</v>
      </c>
      <c r="C156" t="s">
        <v>4211</v>
      </c>
      <c r="D156" t="s">
        <v>155</v>
      </c>
      <c r="E156" t="s">
        <v>656</v>
      </c>
      <c r="F156" t="s">
        <v>657</v>
      </c>
      <c r="G156" t="s">
        <v>720</v>
      </c>
      <c r="H156" t="s">
        <v>655</v>
      </c>
      <c r="I156" t="s">
        <v>655</v>
      </c>
      <c r="J156" t="s">
        <v>720</v>
      </c>
      <c r="K156" t="s">
        <v>681</v>
      </c>
      <c r="M156" t="s">
        <v>1189</v>
      </c>
      <c r="N156" t="s">
        <v>658</v>
      </c>
      <c r="O156" t="s">
        <v>686</v>
      </c>
    </row>
    <row r="157" spans="2:15">
      <c r="B157" t="str">
        <f>'NON Genset'!$A10</f>
        <v>Diesel Generators NON-Network COMMERCIAL JLL WA</v>
      </c>
      <c r="C157" t="s">
        <v>4211</v>
      </c>
      <c r="D157" t="s">
        <v>155</v>
      </c>
      <c r="E157" t="s">
        <v>656</v>
      </c>
      <c r="F157" t="s">
        <v>657</v>
      </c>
      <c r="G157" t="s">
        <v>721</v>
      </c>
      <c r="H157" t="s">
        <v>655</v>
      </c>
      <c r="I157" t="s">
        <v>655</v>
      </c>
      <c r="J157" t="s">
        <v>721</v>
      </c>
      <c r="K157" t="s">
        <v>681</v>
      </c>
      <c r="M157" t="s">
        <v>1216</v>
      </c>
      <c r="N157" t="s">
        <v>658</v>
      </c>
      <c r="O157" t="s">
        <v>686</v>
      </c>
    </row>
    <row r="158" spans="2:15">
      <c r="B158" t="str">
        <f>'NON Genset'!$A11</f>
        <v>LPG Generators NON-Network COMMERCIAL JLL ACT</v>
      </c>
      <c r="C158" t="s">
        <v>4211</v>
      </c>
      <c r="D158" t="s">
        <v>155</v>
      </c>
      <c r="E158" t="s">
        <v>660</v>
      </c>
      <c r="F158" t="s">
        <v>657</v>
      </c>
      <c r="G158" t="s">
        <v>714</v>
      </c>
      <c r="H158" t="s">
        <v>655</v>
      </c>
      <c r="I158" t="s">
        <v>655</v>
      </c>
      <c r="J158" t="s">
        <v>714</v>
      </c>
      <c r="K158" t="s">
        <v>681</v>
      </c>
      <c r="M158" t="s">
        <v>1190</v>
      </c>
      <c r="N158" t="s">
        <v>658</v>
      </c>
      <c r="O158" t="s">
        <v>686</v>
      </c>
    </row>
    <row r="159" spans="2:15">
      <c r="B159" t="str">
        <f>'NON Genset'!$A12</f>
        <v>LPG Generators NON-Network COMMERCIAL JLL NSW</v>
      </c>
      <c r="C159" t="s">
        <v>4211</v>
      </c>
      <c r="D159" t="s">
        <v>155</v>
      </c>
      <c r="E159" t="s">
        <v>660</v>
      </c>
      <c r="F159" t="s">
        <v>657</v>
      </c>
      <c r="G159" t="s">
        <v>715</v>
      </c>
      <c r="H159" t="s">
        <v>655</v>
      </c>
      <c r="I159" t="s">
        <v>655</v>
      </c>
      <c r="J159" t="s">
        <v>715</v>
      </c>
      <c r="K159" t="s">
        <v>681</v>
      </c>
      <c r="M159" t="s">
        <v>1192</v>
      </c>
      <c r="N159" t="s">
        <v>658</v>
      </c>
      <c r="O159" t="s">
        <v>686</v>
      </c>
    </row>
    <row r="160" spans="2:15">
      <c r="B160" t="str">
        <f>'NON Genset'!$A13</f>
        <v>LPG Generators NON-Network COMMERCIAL JLL NT</v>
      </c>
      <c r="C160" t="s">
        <v>4211</v>
      </c>
      <c r="D160" t="s">
        <v>155</v>
      </c>
      <c r="E160" t="s">
        <v>660</v>
      </c>
      <c r="F160" t="s">
        <v>657</v>
      </c>
      <c r="G160" t="s">
        <v>716</v>
      </c>
      <c r="H160" t="s">
        <v>655</v>
      </c>
      <c r="I160" t="s">
        <v>655</v>
      </c>
      <c r="J160" t="s">
        <v>716</v>
      </c>
      <c r="K160" t="s">
        <v>681</v>
      </c>
      <c r="M160" t="s">
        <v>1208</v>
      </c>
      <c r="N160" t="s">
        <v>658</v>
      </c>
      <c r="O160" t="s">
        <v>686</v>
      </c>
    </row>
    <row r="161" spans="2:15">
      <c r="B161" t="str">
        <f>'NON Genset'!$A14</f>
        <v>LPG Generators NON-Network COMMERCIAL JLL QLD</v>
      </c>
      <c r="C161" t="s">
        <v>4211</v>
      </c>
      <c r="D161" t="s">
        <v>155</v>
      </c>
      <c r="E161" t="s">
        <v>660</v>
      </c>
      <c r="F161" t="s">
        <v>657</v>
      </c>
      <c r="G161" t="s">
        <v>717</v>
      </c>
      <c r="H161" t="s">
        <v>655</v>
      </c>
      <c r="I161" t="s">
        <v>655</v>
      </c>
      <c r="J161" t="s">
        <v>717</v>
      </c>
      <c r="K161" t="s">
        <v>681</v>
      </c>
      <c r="M161" t="s">
        <v>1210</v>
      </c>
      <c r="N161" t="s">
        <v>658</v>
      </c>
      <c r="O161" t="s">
        <v>686</v>
      </c>
    </row>
    <row r="162" spans="2:15">
      <c r="B162" t="str">
        <f>'NON Genset'!$A15</f>
        <v>LPG Generators NON-Network COMMERCIAL JLL SA</v>
      </c>
      <c r="C162" t="s">
        <v>4211</v>
      </c>
      <c r="D162" t="s">
        <v>155</v>
      </c>
      <c r="E162" t="s">
        <v>660</v>
      </c>
      <c r="F162" t="s">
        <v>657</v>
      </c>
      <c r="G162" t="s">
        <v>718</v>
      </c>
      <c r="H162" t="s">
        <v>655</v>
      </c>
      <c r="I162" t="s">
        <v>655</v>
      </c>
      <c r="J162" t="s">
        <v>718</v>
      </c>
      <c r="K162" t="s">
        <v>681</v>
      </c>
      <c r="M162" t="s">
        <v>1193</v>
      </c>
      <c r="N162" t="s">
        <v>658</v>
      </c>
      <c r="O162" t="s">
        <v>686</v>
      </c>
    </row>
    <row r="163" spans="2:15">
      <c r="B163" t="str">
        <f>'NON Genset'!$A16</f>
        <v>LPG Generators NON-Network COMMERCIAL JLL TAS</v>
      </c>
      <c r="C163" t="s">
        <v>4211</v>
      </c>
      <c r="D163" t="s">
        <v>155</v>
      </c>
      <c r="E163" t="s">
        <v>660</v>
      </c>
      <c r="F163" t="s">
        <v>657</v>
      </c>
      <c r="G163" t="s">
        <v>719</v>
      </c>
      <c r="H163" t="s">
        <v>655</v>
      </c>
      <c r="I163" t="s">
        <v>655</v>
      </c>
      <c r="J163" t="s">
        <v>719</v>
      </c>
      <c r="K163" t="s">
        <v>681</v>
      </c>
      <c r="M163" t="s">
        <v>1213</v>
      </c>
      <c r="N163" t="s">
        <v>658</v>
      </c>
      <c r="O163" t="s">
        <v>686</v>
      </c>
    </row>
    <row r="164" spans="2:15">
      <c r="B164" t="str">
        <f>'NON Genset'!$A17</f>
        <v>LPG Generators NON-Network COMMERCIAL JLL VIC</v>
      </c>
      <c r="C164" t="s">
        <v>4211</v>
      </c>
      <c r="D164" t="s">
        <v>155</v>
      </c>
      <c r="E164" t="s">
        <v>660</v>
      </c>
      <c r="F164" t="s">
        <v>657</v>
      </c>
      <c r="G164" t="s">
        <v>720</v>
      </c>
      <c r="H164" t="s">
        <v>655</v>
      </c>
      <c r="I164" t="s">
        <v>655</v>
      </c>
      <c r="J164" t="s">
        <v>720</v>
      </c>
      <c r="K164" t="s">
        <v>681</v>
      </c>
      <c r="M164" t="s">
        <v>1189</v>
      </c>
      <c r="N164" t="s">
        <v>658</v>
      </c>
      <c r="O164" t="s">
        <v>686</v>
      </c>
    </row>
    <row r="165" spans="2:15">
      <c r="B165" t="str">
        <f>'NON Genset'!$A18</f>
        <v>LPG Generators NON-Network COMMERCIAL JLL WA</v>
      </c>
      <c r="C165" t="s">
        <v>4211</v>
      </c>
      <c r="D165" t="s">
        <v>155</v>
      </c>
      <c r="E165" t="s">
        <v>660</v>
      </c>
      <c r="F165" t="s">
        <v>657</v>
      </c>
      <c r="G165" t="s">
        <v>721</v>
      </c>
      <c r="H165" t="s">
        <v>655</v>
      </c>
      <c r="I165" t="s">
        <v>655</v>
      </c>
      <c r="J165" t="s">
        <v>721</v>
      </c>
      <c r="K165" t="s">
        <v>681</v>
      </c>
      <c r="M165" t="s">
        <v>1216</v>
      </c>
      <c r="N165" t="s">
        <v>658</v>
      </c>
      <c r="O165" t="s">
        <v>686</v>
      </c>
    </row>
    <row r="166" spans="2:15">
      <c r="B166" t="s">
        <v>828</v>
      </c>
      <c r="C166" t="s">
        <v>4212</v>
      </c>
      <c r="D166" t="s">
        <v>671</v>
      </c>
      <c r="E166" t="s">
        <v>656</v>
      </c>
      <c r="F166" t="s">
        <v>672</v>
      </c>
      <c r="G166" t="s">
        <v>706</v>
      </c>
      <c r="H166" t="s">
        <v>655</v>
      </c>
      <c r="I166" t="s">
        <v>655</v>
      </c>
      <c r="J166" t="s">
        <v>706</v>
      </c>
      <c r="K166" t="s">
        <v>682</v>
      </c>
      <c r="M166" t="s">
        <v>1190</v>
      </c>
      <c r="N166" t="s">
        <v>658</v>
      </c>
      <c r="O166" t="s">
        <v>686</v>
      </c>
    </row>
    <row r="167" spans="2:15">
      <c r="B167" t="s">
        <v>829</v>
      </c>
      <c r="C167" t="s">
        <v>4212</v>
      </c>
      <c r="D167" t="s">
        <v>671</v>
      </c>
      <c r="E167" t="s">
        <v>656</v>
      </c>
      <c r="F167" t="s">
        <v>672</v>
      </c>
      <c r="G167" t="s">
        <v>707</v>
      </c>
      <c r="H167" t="s">
        <v>655</v>
      </c>
      <c r="I167" t="s">
        <v>655</v>
      </c>
      <c r="J167" t="s">
        <v>707</v>
      </c>
      <c r="K167" t="s">
        <v>682</v>
      </c>
      <c r="M167" t="s">
        <v>1192</v>
      </c>
      <c r="N167" t="s">
        <v>658</v>
      </c>
      <c r="O167" t="s">
        <v>686</v>
      </c>
    </row>
    <row r="168" spans="2:15">
      <c r="B168" t="s">
        <v>830</v>
      </c>
      <c r="C168" t="s">
        <v>4212</v>
      </c>
      <c r="D168" t="s">
        <v>671</v>
      </c>
      <c r="E168" t="s">
        <v>656</v>
      </c>
      <c r="F168" t="s">
        <v>672</v>
      </c>
      <c r="G168" t="s">
        <v>708</v>
      </c>
      <c r="H168" t="s">
        <v>655</v>
      </c>
      <c r="I168" t="s">
        <v>655</v>
      </c>
      <c r="J168" t="s">
        <v>708</v>
      </c>
      <c r="K168" t="s">
        <v>682</v>
      </c>
      <c r="M168" t="s">
        <v>1208</v>
      </c>
      <c r="N168" t="s">
        <v>658</v>
      </c>
      <c r="O168" t="s">
        <v>686</v>
      </c>
    </row>
    <row r="169" spans="2:15">
      <c r="B169" t="s">
        <v>831</v>
      </c>
      <c r="C169" t="s">
        <v>4212</v>
      </c>
      <c r="D169" t="s">
        <v>671</v>
      </c>
      <c r="E169" t="s">
        <v>656</v>
      </c>
      <c r="F169" t="s">
        <v>672</v>
      </c>
      <c r="G169" t="s">
        <v>709</v>
      </c>
      <c r="H169" t="s">
        <v>655</v>
      </c>
      <c r="I169" t="s">
        <v>655</v>
      </c>
      <c r="J169" t="s">
        <v>709</v>
      </c>
      <c r="K169" t="s">
        <v>682</v>
      </c>
      <c r="M169" t="s">
        <v>1210</v>
      </c>
      <c r="N169" t="s">
        <v>658</v>
      </c>
      <c r="O169" t="s">
        <v>686</v>
      </c>
    </row>
    <row r="170" spans="2:15">
      <c r="B170" t="s">
        <v>832</v>
      </c>
      <c r="C170" t="s">
        <v>4212</v>
      </c>
      <c r="D170" t="s">
        <v>671</v>
      </c>
      <c r="E170" t="s">
        <v>656</v>
      </c>
      <c r="F170" t="s">
        <v>672</v>
      </c>
      <c r="G170" t="s">
        <v>710</v>
      </c>
      <c r="H170" t="s">
        <v>655</v>
      </c>
      <c r="I170" t="s">
        <v>655</v>
      </c>
      <c r="J170" t="s">
        <v>710</v>
      </c>
      <c r="K170" t="s">
        <v>682</v>
      </c>
      <c r="M170" t="s">
        <v>1193</v>
      </c>
      <c r="N170" t="s">
        <v>658</v>
      </c>
      <c r="O170" t="s">
        <v>686</v>
      </c>
    </row>
    <row r="171" spans="2:15">
      <c r="B171" t="s">
        <v>833</v>
      </c>
      <c r="C171" t="s">
        <v>4212</v>
      </c>
      <c r="D171" t="s">
        <v>671</v>
      </c>
      <c r="E171" t="s">
        <v>656</v>
      </c>
      <c r="F171" t="s">
        <v>672</v>
      </c>
      <c r="G171" t="s">
        <v>711</v>
      </c>
      <c r="H171" t="s">
        <v>655</v>
      </c>
      <c r="I171" t="s">
        <v>655</v>
      </c>
      <c r="J171" t="s">
        <v>711</v>
      </c>
      <c r="K171" t="s">
        <v>682</v>
      </c>
      <c r="M171" t="s">
        <v>1213</v>
      </c>
      <c r="N171" t="s">
        <v>658</v>
      </c>
      <c r="O171" t="s">
        <v>686</v>
      </c>
    </row>
    <row r="172" spans="2:15">
      <c r="B172" t="s">
        <v>834</v>
      </c>
      <c r="C172" t="s">
        <v>4212</v>
      </c>
      <c r="D172" t="s">
        <v>671</v>
      </c>
      <c r="E172" t="s">
        <v>656</v>
      </c>
      <c r="F172" t="s">
        <v>672</v>
      </c>
      <c r="G172" t="s">
        <v>712</v>
      </c>
      <c r="H172" t="s">
        <v>655</v>
      </c>
      <c r="I172" t="s">
        <v>655</v>
      </c>
      <c r="J172" t="s">
        <v>712</v>
      </c>
      <c r="K172" t="s">
        <v>682</v>
      </c>
      <c r="M172" t="s">
        <v>1189</v>
      </c>
      <c r="N172" t="s">
        <v>658</v>
      </c>
      <c r="O172" t="s">
        <v>686</v>
      </c>
    </row>
    <row r="173" spans="2:15">
      <c r="B173" t="s">
        <v>835</v>
      </c>
      <c r="C173" t="s">
        <v>4212</v>
      </c>
      <c r="D173" t="s">
        <v>671</v>
      </c>
      <c r="E173" t="s">
        <v>656</v>
      </c>
      <c r="F173" t="s">
        <v>672</v>
      </c>
      <c r="G173" t="s">
        <v>713</v>
      </c>
      <c r="H173" t="s">
        <v>655</v>
      </c>
      <c r="I173" t="s">
        <v>655</v>
      </c>
      <c r="J173" t="s">
        <v>713</v>
      </c>
      <c r="K173" t="s">
        <v>682</v>
      </c>
      <c r="M173" t="s">
        <v>1216</v>
      </c>
      <c r="N173" t="s">
        <v>658</v>
      </c>
      <c r="O173" t="s">
        <v>686</v>
      </c>
    </row>
    <row r="174" spans="2:15">
      <c r="B174" t="s">
        <v>836</v>
      </c>
      <c r="C174" t="s">
        <v>4212</v>
      </c>
      <c r="D174" t="s">
        <v>671</v>
      </c>
      <c r="E174" t="s">
        <v>659</v>
      </c>
      <c r="F174" t="s">
        <v>672</v>
      </c>
      <c r="G174" t="s">
        <v>706</v>
      </c>
      <c r="H174" t="s">
        <v>655</v>
      </c>
      <c r="I174" t="s">
        <v>655</v>
      </c>
      <c r="J174" t="s">
        <v>706</v>
      </c>
      <c r="K174" t="s">
        <v>682</v>
      </c>
      <c r="M174" t="s">
        <v>1190</v>
      </c>
      <c r="N174" t="s">
        <v>658</v>
      </c>
      <c r="O174" t="s">
        <v>686</v>
      </c>
    </row>
    <row r="175" spans="2:15">
      <c r="B175" t="s">
        <v>837</v>
      </c>
      <c r="C175" t="s">
        <v>4212</v>
      </c>
      <c r="D175" t="s">
        <v>671</v>
      </c>
      <c r="E175" t="s">
        <v>659</v>
      </c>
      <c r="F175" t="s">
        <v>672</v>
      </c>
      <c r="G175" t="s">
        <v>707</v>
      </c>
      <c r="H175" t="s">
        <v>655</v>
      </c>
      <c r="I175" t="s">
        <v>655</v>
      </c>
      <c r="J175" t="s">
        <v>707</v>
      </c>
      <c r="K175" t="s">
        <v>682</v>
      </c>
      <c r="M175" t="s">
        <v>1192</v>
      </c>
      <c r="N175" t="s">
        <v>658</v>
      </c>
      <c r="O175" t="s">
        <v>686</v>
      </c>
    </row>
    <row r="176" spans="2:15">
      <c r="B176" t="s">
        <v>838</v>
      </c>
      <c r="C176" t="s">
        <v>4212</v>
      </c>
      <c r="D176" t="s">
        <v>671</v>
      </c>
      <c r="E176" t="s">
        <v>659</v>
      </c>
      <c r="F176" t="s">
        <v>672</v>
      </c>
      <c r="G176" t="s">
        <v>708</v>
      </c>
      <c r="H176" t="s">
        <v>655</v>
      </c>
      <c r="I176" t="s">
        <v>655</v>
      </c>
      <c r="J176" t="s">
        <v>708</v>
      </c>
      <c r="K176" t="s">
        <v>682</v>
      </c>
      <c r="M176" t="s">
        <v>1208</v>
      </c>
      <c r="N176" t="s">
        <v>658</v>
      </c>
      <c r="O176" t="s">
        <v>686</v>
      </c>
    </row>
    <row r="177" spans="2:15">
      <c r="B177" t="s">
        <v>839</v>
      </c>
      <c r="C177" t="s">
        <v>4212</v>
      </c>
      <c r="D177" t="s">
        <v>671</v>
      </c>
      <c r="E177" t="s">
        <v>659</v>
      </c>
      <c r="F177" t="s">
        <v>672</v>
      </c>
      <c r="G177" t="s">
        <v>709</v>
      </c>
      <c r="H177" t="s">
        <v>655</v>
      </c>
      <c r="I177" t="s">
        <v>655</v>
      </c>
      <c r="J177" t="s">
        <v>709</v>
      </c>
      <c r="K177" t="s">
        <v>682</v>
      </c>
      <c r="M177" t="s">
        <v>1210</v>
      </c>
      <c r="N177" t="s">
        <v>658</v>
      </c>
      <c r="O177" t="s">
        <v>686</v>
      </c>
    </row>
    <row r="178" spans="2:15">
      <c r="B178" t="s">
        <v>840</v>
      </c>
      <c r="C178" t="s">
        <v>4212</v>
      </c>
      <c r="D178" t="s">
        <v>671</v>
      </c>
      <c r="E178" t="s">
        <v>659</v>
      </c>
      <c r="F178" t="s">
        <v>672</v>
      </c>
      <c r="G178" t="s">
        <v>710</v>
      </c>
      <c r="H178" t="s">
        <v>655</v>
      </c>
      <c r="I178" t="s">
        <v>655</v>
      </c>
      <c r="J178" t="s">
        <v>710</v>
      </c>
      <c r="K178" t="s">
        <v>682</v>
      </c>
      <c r="M178" t="s">
        <v>1193</v>
      </c>
      <c r="N178" t="s">
        <v>658</v>
      </c>
      <c r="O178" t="s">
        <v>686</v>
      </c>
    </row>
    <row r="179" spans="2:15">
      <c r="B179" t="s">
        <v>841</v>
      </c>
      <c r="C179" t="s">
        <v>4212</v>
      </c>
      <c r="D179" t="s">
        <v>671</v>
      </c>
      <c r="E179" t="s">
        <v>659</v>
      </c>
      <c r="F179" t="s">
        <v>672</v>
      </c>
      <c r="G179" t="s">
        <v>711</v>
      </c>
      <c r="H179" t="s">
        <v>655</v>
      </c>
      <c r="I179" t="s">
        <v>655</v>
      </c>
      <c r="J179" t="s">
        <v>711</v>
      </c>
      <c r="K179" t="s">
        <v>682</v>
      </c>
      <c r="M179" t="s">
        <v>1213</v>
      </c>
      <c r="N179" t="s">
        <v>658</v>
      </c>
      <c r="O179" t="s">
        <v>686</v>
      </c>
    </row>
    <row r="180" spans="2:15">
      <c r="B180" t="s">
        <v>842</v>
      </c>
      <c r="C180" t="s">
        <v>4212</v>
      </c>
      <c r="D180" t="s">
        <v>671</v>
      </c>
      <c r="E180" t="s">
        <v>659</v>
      </c>
      <c r="F180" t="s">
        <v>672</v>
      </c>
      <c r="G180" t="s">
        <v>712</v>
      </c>
      <c r="H180" t="s">
        <v>655</v>
      </c>
      <c r="I180" t="s">
        <v>655</v>
      </c>
      <c r="J180" t="s">
        <v>712</v>
      </c>
      <c r="K180" t="s">
        <v>682</v>
      </c>
      <c r="M180" t="s">
        <v>1189</v>
      </c>
      <c r="N180" t="s">
        <v>658</v>
      </c>
      <c r="O180" t="s">
        <v>686</v>
      </c>
    </row>
    <row r="181" spans="2:15">
      <c r="B181" t="s">
        <v>843</v>
      </c>
      <c r="C181" t="s">
        <v>4212</v>
      </c>
      <c r="D181" t="s">
        <v>671</v>
      </c>
      <c r="E181" t="s">
        <v>659</v>
      </c>
      <c r="F181" t="s">
        <v>672</v>
      </c>
      <c r="G181" t="s">
        <v>713</v>
      </c>
      <c r="H181" t="s">
        <v>655</v>
      </c>
      <c r="I181" t="s">
        <v>655</v>
      </c>
      <c r="J181" t="s">
        <v>713</v>
      </c>
      <c r="K181" t="s">
        <v>682</v>
      </c>
      <c r="M181" t="s">
        <v>1216</v>
      </c>
      <c r="N181" t="s">
        <v>658</v>
      </c>
      <c r="O181" t="s">
        <v>686</v>
      </c>
    </row>
    <row r="182" spans="2:15">
      <c r="B182" s="23" t="s">
        <v>4213</v>
      </c>
      <c r="C182" t="s">
        <v>4212</v>
      </c>
      <c r="D182" t="s">
        <v>671</v>
      </c>
      <c r="E182" t="s">
        <v>656</v>
      </c>
      <c r="F182" t="s">
        <v>671</v>
      </c>
      <c r="G182" t="s">
        <v>706</v>
      </c>
      <c r="H182" t="s">
        <v>655</v>
      </c>
      <c r="I182" t="s">
        <v>655</v>
      </c>
      <c r="J182" t="s">
        <v>706</v>
      </c>
      <c r="K182" t="s">
        <v>682</v>
      </c>
      <c r="M182" t="s">
        <v>1190</v>
      </c>
      <c r="N182" t="s">
        <v>658</v>
      </c>
      <c r="O182" t="s">
        <v>695</v>
      </c>
    </row>
    <row r="183" spans="2:15">
      <c r="B183" t="s">
        <v>844</v>
      </c>
      <c r="C183" t="s">
        <v>4212</v>
      </c>
      <c r="D183" t="s">
        <v>671</v>
      </c>
      <c r="E183" t="s">
        <v>656</v>
      </c>
      <c r="F183" t="s">
        <v>671</v>
      </c>
      <c r="G183" t="s">
        <v>707</v>
      </c>
      <c r="H183" t="s">
        <v>655</v>
      </c>
      <c r="I183" t="s">
        <v>655</v>
      </c>
      <c r="J183" t="s">
        <v>707</v>
      </c>
      <c r="K183" t="s">
        <v>682</v>
      </c>
      <c r="M183" t="s">
        <v>1192</v>
      </c>
      <c r="N183" t="s">
        <v>658</v>
      </c>
      <c r="O183" t="s">
        <v>695</v>
      </c>
    </row>
    <row r="184" spans="2:15">
      <c r="B184" s="23" t="s">
        <v>4214</v>
      </c>
      <c r="C184" t="s">
        <v>4212</v>
      </c>
      <c r="D184" t="s">
        <v>671</v>
      </c>
      <c r="E184" t="s">
        <v>656</v>
      </c>
      <c r="F184" t="s">
        <v>671</v>
      </c>
      <c r="G184" t="s">
        <v>708</v>
      </c>
      <c r="H184" t="s">
        <v>655</v>
      </c>
      <c r="I184" t="s">
        <v>655</v>
      </c>
      <c r="J184" t="s">
        <v>708</v>
      </c>
      <c r="K184" t="s">
        <v>682</v>
      </c>
      <c r="M184" t="s">
        <v>1208</v>
      </c>
      <c r="N184" t="s">
        <v>658</v>
      </c>
      <c r="O184" t="s">
        <v>695</v>
      </c>
    </row>
    <row r="185" spans="2:15">
      <c r="B185" t="s">
        <v>845</v>
      </c>
      <c r="C185" t="s">
        <v>4212</v>
      </c>
      <c r="D185" t="s">
        <v>671</v>
      </c>
      <c r="E185" t="s">
        <v>656</v>
      </c>
      <c r="F185" t="s">
        <v>671</v>
      </c>
      <c r="G185" t="s">
        <v>709</v>
      </c>
      <c r="H185" t="s">
        <v>655</v>
      </c>
      <c r="I185" t="s">
        <v>655</v>
      </c>
      <c r="J185" t="s">
        <v>709</v>
      </c>
      <c r="K185" t="s">
        <v>682</v>
      </c>
      <c r="M185" t="s">
        <v>1210</v>
      </c>
      <c r="N185" t="s">
        <v>658</v>
      </c>
      <c r="O185" t="s">
        <v>695</v>
      </c>
    </row>
    <row r="186" spans="2:15">
      <c r="B186" t="s">
        <v>846</v>
      </c>
      <c r="C186" t="s">
        <v>4212</v>
      </c>
      <c r="D186" t="s">
        <v>671</v>
      </c>
      <c r="E186" t="s">
        <v>656</v>
      </c>
      <c r="F186" t="s">
        <v>671</v>
      </c>
      <c r="G186" t="s">
        <v>710</v>
      </c>
      <c r="H186" t="s">
        <v>655</v>
      </c>
      <c r="I186" t="s">
        <v>655</v>
      </c>
      <c r="J186" t="s">
        <v>710</v>
      </c>
      <c r="K186" t="s">
        <v>682</v>
      </c>
      <c r="M186" t="s">
        <v>1193</v>
      </c>
      <c r="N186" t="s">
        <v>658</v>
      </c>
      <c r="O186" t="s">
        <v>695</v>
      </c>
    </row>
    <row r="187" spans="2:15">
      <c r="B187" t="s">
        <v>847</v>
      </c>
      <c r="C187" t="s">
        <v>4212</v>
      </c>
      <c r="D187" t="s">
        <v>671</v>
      </c>
      <c r="E187" t="s">
        <v>656</v>
      </c>
      <c r="F187" t="s">
        <v>671</v>
      </c>
      <c r="G187" t="s">
        <v>711</v>
      </c>
      <c r="H187" t="s">
        <v>655</v>
      </c>
      <c r="I187" t="s">
        <v>655</v>
      </c>
      <c r="J187" t="s">
        <v>711</v>
      </c>
      <c r="K187" t="s">
        <v>682</v>
      </c>
      <c r="M187" t="s">
        <v>1213</v>
      </c>
      <c r="N187" t="s">
        <v>658</v>
      </c>
      <c r="O187" t="s">
        <v>695</v>
      </c>
    </row>
    <row r="188" spans="2:15">
      <c r="B188" t="s">
        <v>848</v>
      </c>
      <c r="C188" t="s">
        <v>4212</v>
      </c>
      <c r="D188" t="s">
        <v>671</v>
      </c>
      <c r="E188" t="s">
        <v>656</v>
      </c>
      <c r="F188" t="s">
        <v>671</v>
      </c>
      <c r="G188" t="s">
        <v>712</v>
      </c>
      <c r="H188" t="s">
        <v>655</v>
      </c>
      <c r="I188" t="s">
        <v>655</v>
      </c>
      <c r="J188" t="s">
        <v>712</v>
      </c>
      <c r="K188" t="s">
        <v>682</v>
      </c>
      <c r="M188" t="s">
        <v>1189</v>
      </c>
      <c r="N188" t="s">
        <v>658</v>
      </c>
      <c r="O188" t="s">
        <v>695</v>
      </c>
    </row>
    <row r="189" spans="2:15">
      <c r="B189" t="s">
        <v>849</v>
      </c>
      <c r="C189" t="s">
        <v>4212</v>
      </c>
      <c r="D189" t="s">
        <v>671</v>
      </c>
      <c r="E189" t="s">
        <v>656</v>
      </c>
      <c r="F189" t="s">
        <v>671</v>
      </c>
      <c r="G189" t="s">
        <v>713</v>
      </c>
      <c r="H189" t="s">
        <v>655</v>
      </c>
      <c r="I189" t="s">
        <v>655</v>
      </c>
      <c r="J189" t="s">
        <v>713</v>
      </c>
      <c r="K189" t="s">
        <v>682</v>
      </c>
      <c r="M189" t="s">
        <v>1216</v>
      </c>
      <c r="N189" t="s">
        <v>658</v>
      </c>
      <c r="O189" t="s">
        <v>695</v>
      </c>
    </row>
    <row r="190" spans="2:15">
      <c r="B190" t="s">
        <v>850</v>
      </c>
      <c r="C190" t="s">
        <v>4212</v>
      </c>
      <c r="D190" t="s">
        <v>671</v>
      </c>
      <c r="E190" t="s">
        <v>656</v>
      </c>
      <c r="F190" t="s">
        <v>672</v>
      </c>
      <c r="G190" t="s">
        <v>706</v>
      </c>
      <c r="H190" t="s">
        <v>655</v>
      </c>
      <c r="I190" t="s">
        <v>655</v>
      </c>
      <c r="J190" t="s">
        <v>706</v>
      </c>
      <c r="K190" t="s">
        <v>682</v>
      </c>
      <c r="M190" t="s">
        <v>1190</v>
      </c>
      <c r="N190" t="s">
        <v>658</v>
      </c>
      <c r="O190" t="s">
        <v>695</v>
      </c>
    </row>
    <row r="191" spans="2:15">
      <c r="B191" t="s">
        <v>851</v>
      </c>
      <c r="C191" t="s">
        <v>4212</v>
      </c>
      <c r="D191" t="s">
        <v>671</v>
      </c>
      <c r="E191" t="s">
        <v>656</v>
      </c>
      <c r="F191" t="s">
        <v>672</v>
      </c>
      <c r="G191" t="s">
        <v>707</v>
      </c>
      <c r="H191" t="s">
        <v>655</v>
      </c>
      <c r="I191" t="s">
        <v>655</v>
      </c>
      <c r="J191" t="s">
        <v>707</v>
      </c>
      <c r="K191" t="s">
        <v>682</v>
      </c>
      <c r="M191" t="s">
        <v>1192</v>
      </c>
      <c r="N191" t="s">
        <v>658</v>
      </c>
      <c r="O191" t="s">
        <v>695</v>
      </c>
    </row>
    <row r="192" spans="2:15">
      <c r="B192" t="s">
        <v>852</v>
      </c>
      <c r="C192" t="s">
        <v>4212</v>
      </c>
      <c r="D192" t="s">
        <v>671</v>
      </c>
      <c r="E192" t="s">
        <v>656</v>
      </c>
      <c r="F192" t="s">
        <v>672</v>
      </c>
      <c r="G192" t="s">
        <v>708</v>
      </c>
      <c r="H192" t="s">
        <v>655</v>
      </c>
      <c r="I192" t="s">
        <v>655</v>
      </c>
      <c r="J192" t="s">
        <v>708</v>
      </c>
      <c r="K192" t="s">
        <v>682</v>
      </c>
      <c r="M192" t="s">
        <v>1208</v>
      </c>
      <c r="N192" t="s">
        <v>658</v>
      </c>
      <c r="O192" t="s">
        <v>695</v>
      </c>
    </row>
    <row r="193" spans="2:15">
      <c r="B193" t="s">
        <v>853</v>
      </c>
      <c r="C193" t="s">
        <v>4212</v>
      </c>
      <c r="D193" t="s">
        <v>671</v>
      </c>
      <c r="E193" t="s">
        <v>656</v>
      </c>
      <c r="F193" t="s">
        <v>672</v>
      </c>
      <c r="G193" t="s">
        <v>709</v>
      </c>
      <c r="H193" t="s">
        <v>655</v>
      </c>
      <c r="I193" t="s">
        <v>655</v>
      </c>
      <c r="J193" t="s">
        <v>709</v>
      </c>
      <c r="K193" t="s">
        <v>682</v>
      </c>
      <c r="M193" t="s">
        <v>1210</v>
      </c>
      <c r="N193" t="s">
        <v>658</v>
      </c>
      <c r="O193" t="s">
        <v>695</v>
      </c>
    </row>
    <row r="194" spans="2:15">
      <c r="B194" t="s">
        <v>854</v>
      </c>
      <c r="C194" t="s">
        <v>4212</v>
      </c>
      <c r="D194" t="s">
        <v>671</v>
      </c>
      <c r="E194" t="s">
        <v>656</v>
      </c>
      <c r="F194" t="s">
        <v>672</v>
      </c>
      <c r="G194" t="s">
        <v>710</v>
      </c>
      <c r="H194" t="s">
        <v>655</v>
      </c>
      <c r="I194" t="s">
        <v>655</v>
      </c>
      <c r="J194" t="s">
        <v>710</v>
      </c>
      <c r="K194" t="s">
        <v>682</v>
      </c>
      <c r="M194" t="s">
        <v>1193</v>
      </c>
      <c r="N194" t="s">
        <v>658</v>
      </c>
      <c r="O194" t="s">
        <v>695</v>
      </c>
    </row>
    <row r="195" spans="2:15">
      <c r="B195" t="s">
        <v>855</v>
      </c>
      <c r="C195" t="s">
        <v>4212</v>
      </c>
      <c r="D195" t="s">
        <v>671</v>
      </c>
      <c r="E195" t="s">
        <v>656</v>
      </c>
      <c r="F195" t="s">
        <v>672</v>
      </c>
      <c r="G195" t="s">
        <v>711</v>
      </c>
      <c r="H195" t="s">
        <v>655</v>
      </c>
      <c r="I195" t="s">
        <v>655</v>
      </c>
      <c r="J195" t="s">
        <v>711</v>
      </c>
      <c r="K195" t="s">
        <v>682</v>
      </c>
      <c r="M195" t="s">
        <v>1213</v>
      </c>
      <c r="N195" t="s">
        <v>658</v>
      </c>
      <c r="O195" t="s">
        <v>695</v>
      </c>
    </row>
    <row r="196" spans="2:15">
      <c r="B196" t="s">
        <v>856</v>
      </c>
      <c r="C196" t="s">
        <v>4212</v>
      </c>
      <c r="D196" t="s">
        <v>671</v>
      </c>
      <c r="E196" t="s">
        <v>656</v>
      </c>
      <c r="F196" t="s">
        <v>672</v>
      </c>
      <c r="G196" t="s">
        <v>712</v>
      </c>
      <c r="H196" t="s">
        <v>655</v>
      </c>
      <c r="I196" t="s">
        <v>655</v>
      </c>
      <c r="J196" t="s">
        <v>712</v>
      </c>
      <c r="K196" t="s">
        <v>682</v>
      </c>
      <c r="M196" t="s">
        <v>1189</v>
      </c>
      <c r="N196" t="s">
        <v>658</v>
      </c>
      <c r="O196" t="s">
        <v>695</v>
      </c>
    </row>
    <row r="197" spans="2:15">
      <c r="B197" t="s">
        <v>857</v>
      </c>
      <c r="C197" t="s">
        <v>4212</v>
      </c>
      <c r="D197" t="s">
        <v>671</v>
      </c>
      <c r="E197" t="s">
        <v>656</v>
      </c>
      <c r="F197" t="s">
        <v>672</v>
      </c>
      <c r="G197" t="s">
        <v>713</v>
      </c>
      <c r="H197" t="s">
        <v>655</v>
      </c>
      <c r="I197" t="s">
        <v>655</v>
      </c>
      <c r="J197" t="s">
        <v>713</v>
      </c>
      <c r="K197" t="s">
        <v>682</v>
      </c>
      <c r="M197" t="s">
        <v>1216</v>
      </c>
      <c r="N197" t="s">
        <v>658</v>
      </c>
      <c r="O197" t="s">
        <v>695</v>
      </c>
    </row>
    <row r="198" spans="2:15">
      <c r="B198" t="s">
        <v>858</v>
      </c>
      <c r="C198" t="s">
        <v>4212</v>
      </c>
      <c r="D198" t="s">
        <v>671</v>
      </c>
      <c r="E198" t="s">
        <v>667</v>
      </c>
      <c r="F198" t="s">
        <v>672</v>
      </c>
      <c r="G198" t="s">
        <v>706</v>
      </c>
      <c r="H198" t="s">
        <v>655</v>
      </c>
      <c r="I198" t="s">
        <v>655</v>
      </c>
      <c r="J198" t="s">
        <v>706</v>
      </c>
      <c r="K198" t="s">
        <v>682</v>
      </c>
      <c r="M198" t="s">
        <v>1190</v>
      </c>
      <c r="N198" t="s">
        <v>658</v>
      </c>
      <c r="O198" t="s">
        <v>695</v>
      </c>
    </row>
    <row r="199" spans="2:15">
      <c r="B199" t="s">
        <v>859</v>
      </c>
      <c r="C199" t="s">
        <v>4212</v>
      </c>
      <c r="D199" t="s">
        <v>671</v>
      </c>
      <c r="E199" t="s">
        <v>667</v>
      </c>
      <c r="F199" t="s">
        <v>672</v>
      </c>
      <c r="G199" t="s">
        <v>707</v>
      </c>
      <c r="H199" t="s">
        <v>655</v>
      </c>
      <c r="I199" t="s">
        <v>655</v>
      </c>
      <c r="J199" t="s">
        <v>707</v>
      </c>
      <c r="K199" t="s">
        <v>682</v>
      </c>
      <c r="M199" t="s">
        <v>1192</v>
      </c>
      <c r="N199" t="s">
        <v>658</v>
      </c>
      <c r="O199" t="s">
        <v>695</v>
      </c>
    </row>
    <row r="200" spans="2:15">
      <c r="B200" s="23" t="s">
        <v>4215</v>
      </c>
      <c r="C200" t="s">
        <v>4212</v>
      </c>
      <c r="D200" t="s">
        <v>671</v>
      </c>
      <c r="E200" t="s">
        <v>667</v>
      </c>
      <c r="F200" t="s">
        <v>672</v>
      </c>
      <c r="G200" t="s">
        <v>708</v>
      </c>
      <c r="H200" t="s">
        <v>655</v>
      </c>
      <c r="I200" t="s">
        <v>655</v>
      </c>
      <c r="J200" t="s">
        <v>708</v>
      </c>
      <c r="K200" t="s">
        <v>682</v>
      </c>
      <c r="M200" t="s">
        <v>1208</v>
      </c>
      <c r="N200" t="s">
        <v>658</v>
      </c>
      <c r="O200" t="s">
        <v>695</v>
      </c>
    </row>
    <row r="201" spans="2:15">
      <c r="B201" t="s">
        <v>860</v>
      </c>
      <c r="C201" t="s">
        <v>4212</v>
      </c>
      <c r="D201" t="s">
        <v>671</v>
      </c>
      <c r="E201" t="s">
        <v>667</v>
      </c>
      <c r="F201" t="s">
        <v>672</v>
      </c>
      <c r="G201" t="s">
        <v>709</v>
      </c>
      <c r="H201" t="s">
        <v>655</v>
      </c>
      <c r="I201" t="s">
        <v>655</v>
      </c>
      <c r="J201" t="s">
        <v>709</v>
      </c>
      <c r="K201" t="s">
        <v>682</v>
      </c>
      <c r="M201" t="s">
        <v>1210</v>
      </c>
      <c r="N201" t="s">
        <v>658</v>
      </c>
      <c r="O201" t="s">
        <v>695</v>
      </c>
    </row>
    <row r="202" spans="2:15">
      <c r="B202" t="s">
        <v>861</v>
      </c>
      <c r="C202" t="s">
        <v>4212</v>
      </c>
      <c r="D202" t="s">
        <v>671</v>
      </c>
      <c r="E202" t="s">
        <v>667</v>
      </c>
      <c r="F202" t="s">
        <v>672</v>
      </c>
      <c r="G202" t="s">
        <v>710</v>
      </c>
      <c r="H202" t="s">
        <v>655</v>
      </c>
      <c r="I202" t="s">
        <v>655</v>
      </c>
      <c r="J202" t="s">
        <v>710</v>
      </c>
      <c r="K202" t="s">
        <v>682</v>
      </c>
      <c r="M202" t="s">
        <v>1193</v>
      </c>
      <c r="N202" t="s">
        <v>658</v>
      </c>
      <c r="O202" t="s">
        <v>695</v>
      </c>
    </row>
    <row r="203" spans="2:15">
      <c r="B203" t="s">
        <v>862</v>
      </c>
      <c r="C203" t="s">
        <v>4212</v>
      </c>
      <c r="D203" t="s">
        <v>671</v>
      </c>
      <c r="E203" t="s">
        <v>667</v>
      </c>
      <c r="F203" t="s">
        <v>672</v>
      </c>
      <c r="G203" t="s">
        <v>711</v>
      </c>
      <c r="H203" t="s">
        <v>655</v>
      </c>
      <c r="I203" t="s">
        <v>655</v>
      </c>
      <c r="J203" t="s">
        <v>711</v>
      </c>
      <c r="K203" t="s">
        <v>682</v>
      </c>
      <c r="M203" t="s">
        <v>1213</v>
      </c>
      <c r="N203" t="s">
        <v>658</v>
      </c>
      <c r="O203" t="s">
        <v>695</v>
      </c>
    </row>
    <row r="204" spans="2:15">
      <c r="B204" t="s">
        <v>863</v>
      </c>
      <c r="C204" t="s">
        <v>4212</v>
      </c>
      <c r="D204" t="s">
        <v>671</v>
      </c>
      <c r="E204" t="s">
        <v>667</v>
      </c>
      <c r="F204" t="s">
        <v>672</v>
      </c>
      <c r="G204" t="s">
        <v>712</v>
      </c>
      <c r="H204" t="s">
        <v>655</v>
      </c>
      <c r="I204" t="s">
        <v>655</v>
      </c>
      <c r="J204" t="s">
        <v>712</v>
      </c>
      <c r="K204" t="s">
        <v>682</v>
      </c>
      <c r="M204" t="s">
        <v>1189</v>
      </c>
      <c r="N204" t="s">
        <v>658</v>
      </c>
      <c r="O204" t="s">
        <v>695</v>
      </c>
    </row>
    <row r="205" spans="2:15">
      <c r="B205" s="23" t="s">
        <v>4216</v>
      </c>
      <c r="C205" t="s">
        <v>4212</v>
      </c>
      <c r="D205" t="s">
        <v>671</v>
      </c>
      <c r="E205" t="s">
        <v>667</v>
      </c>
      <c r="F205" t="s">
        <v>672</v>
      </c>
      <c r="G205" t="s">
        <v>713</v>
      </c>
      <c r="H205" t="s">
        <v>655</v>
      </c>
      <c r="I205" t="s">
        <v>655</v>
      </c>
      <c r="J205" t="s">
        <v>713</v>
      </c>
      <c r="K205" t="s">
        <v>682</v>
      </c>
      <c r="M205" t="s">
        <v>1216</v>
      </c>
      <c r="N205" t="s">
        <v>658</v>
      </c>
      <c r="O205" t="s">
        <v>695</v>
      </c>
    </row>
    <row r="206" spans="2:15">
      <c r="B206" s="23" t="s">
        <v>4217</v>
      </c>
      <c r="C206" t="s">
        <v>4212</v>
      </c>
      <c r="D206" t="s">
        <v>671</v>
      </c>
      <c r="E206" t="s">
        <v>660</v>
      </c>
      <c r="F206" t="s">
        <v>672</v>
      </c>
      <c r="G206" t="s">
        <v>706</v>
      </c>
      <c r="H206" t="s">
        <v>655</v>
      </c>
      <c r="I206" t="s">
        <v>655</v>
      </c>
      <c r="J206" t="s">
        <v>706</v>
      </c>
      <c r="K206" t="s">
        <v>682</v>
      </c>
      <c r="M206" t="s">
        <v>1190</v>
      </c>
      <c r="N206" t="s">
        <v>658</v>
      </c>
      <c r="O206" t="s">
        <v>695</v>
      </c>
    </row>
    <row r="207" spans="2:15">
      <c r="B207" t="s">
        <v>864</v>
      </c>
      <c r="C207" t="s">
        <v>4212</v>
      </c>
      <c r="D207" t="s">
        <v>671</v>
      </c>
      <c r="E207" t="s">
        <v>660</v>
      </c>
      <c r="F207" t="s">
        <v>672</v>
      </c>
      <c r="G207" t="s">
        <v>707</v>
      </c>
      <c r="H207" t="s">
        <v>655</v>
      </c>
      <c r="I207" t="s">
        <v>655</v>
      </c>
      <c r="J207" t="s">
        <v>707</v>
      </c>
      <c r="K207" t="s">
        <v>682</v>
      </c>
      <c r="M207" t="s">
        <v>1192</v>
      </c>
      <c r="N207" t="s">
        <v>658</v>
      </c>
      <c r="O207" t="s">
        <v>695</v>
      </c>
    </row>
    <row r="208" spans="2:15">
      <c r="B208" s="23" t="s">
        <v>4218</v>
      </c>
      <c r="C208" t="s">
        <v>4212</v>
      </c>
      <c r="D208" t="s">
        <v>671</v>
      </c>
      <c r="E208" t="s">
        <v>660</v>
      </c>
      <c r="F208" t="s">
        <v>672</v>
      </c>
      <c r="G208" t="s">
        <v>708</v>
      </c>
      <c r="H208" t="s">
        <v>655</v>
      </c>
      <c r="I208" t="s">
        <v>655</v>
      </c>
      <c r="J208" t="s">
        <v>708</v>
      </c>
      <c r="K208" t="s">
        <v>682</v>
      </c>
      <c r="M208" t="s">
        <v>1208</v>
      </c>
      <c r="N208" t="s">
        <v>658</v>
      </c>
      <c r="O208" t="s">
        <v>695</v>
      </c>
    </row>
    <row r="209" spans="2:15">
      <c r="B209" t="s">
        <v>865</v>
      </c>
      <c r="C209" t="s">
        <v>4212</v>
      </c>
      <c r="D209" t="s">
        <v>671</v>
      </c>
      <c r="E209" t="s">
        <v>660</v>
      </c>
      <c r="F209" t="s">
        <v>672</v>
      </c>
      <c r="G209" t="s">
        <v>709</v>
      </c>
      <c r="H209" t="s">
        <v>655</v>
      </c>
      <c r="I209" t="s">
        <v>655</v>
      </c>
      <c r="J209" t="s">
        <v>709</v>
      </c>
      <c r="K209" t="s">
        <v>682</v>
      </c>
      <c r="M209" t="s">
        <v>1210</v>
      </c>
      <c r="N209" t="s">
        <v>658</v>
      </c>
      <c r="O209" t="s">
        <v>695</v>
      </c>
    </row>
    <row r="210" spans="2:15">
      <c r="B210" t="s">
        <v>866</v>
      </c>
      <c r="C210" t="s">
        <v>4212</v>
      </c>
      <c r="D210" t="s">
        <v>671</v>
      </c>
      <c r="E210" t="s">
        <v>660</v>
      </c>
      <c r="F210" t="s">
        <v>672</v>
      </c>
      <c r="G210" t="s">
        <v>710</v>
      </c>
      <c r="H210" t="s">
        <v>655</v>
      </c>
      <c r="I210" t="s">
        <v>655</v>
      </c>
      <c r="J210" t="s">
        <v>710</v>
      </c>
      <c r="K210" t="s">
        <v>682</v>
      </c>
      <c r="M210" t="s">
        <v>1193</v>
      </c>
      <c r="N210" t="s">
        <v>658</v>
      </c>
      <c r="O210" t="s">
        <v>695</v>
      </c>
    </row>
    <row r="211" spans="2:15">
      <c r="B211" s="23" t="s">
        <v>4219</v>
      </c>
      <c r="C211" t="s">
        <v>4212</v>
      </c>
      <c r="D211" t="s">
        <v>671</v>
      </c>
      <c r="E211" t="s">
        <v>660</v>
      </c>
      <c r="F211" t="s">
        <v>672</v>
      </c>
      <c r="G211" t="s">
        <v>711</v>
      </c>
      <c r="H211" t="s">
        <v>655</v>
      </c>
      <c r="I211" t="s">
        <v>655</v>
      </c>
      <c r="J211" t="s">
        <v>711</v>
      </c>
      <c r="K211" t="s">
        <v>682</v>
      </c>
      <c r="M211" t="s">
        <v>1213</v>
      </c>
      <c r="N211" t="s">
        <v>658</v>
      </c>
      <c r="O211" t="s">
        <v>695</v>
      </c>
    </row>
    <row r="212" spans="2:15">
      <c r="B212" t="s">
        <v>867</v>
      </c>
      <c r="C212" t="s">
        <v>4212</v>
      </c>
      <c r="D212" t="s">
        <v>671</v>
      </c>
      <c r="E212" t="s">
        <v>660</v>
      </c>
      <c r="F212" t="s">
        <v>672</v>
      </c>
      <c r="G212" t="s">
        <v>712</v>
      </c>
      <c r="H212" t="s">
        <v>655</v>
      </c>
      <c r="I212" t="s">
        <v>655</v>
      </c>
      <c r="J212" t="s">
        <v>712</v>
      </c>
      <c r="K212" t="s">
        <v>682</v>
      </c>
      <c r="M212" t="s">
        <v>1189</v>
      </c>
      <c r="N212" t="s">
        <v>658</v>
      </c>
      <c r="O212" t="s">
        <v>695</v>
      </c>
    </row>
    <row r="213" spans="2:15">
      <c r="B213" s="23" t="s">
        <v>4220</v>
      </c>
      <c r="C213" t="s">
        <v>4212</v>
      </c>
      <c r="D213" t="s">
        <v>671</v>
      </c>
      <c r="E213" t="s">
        <v>660</v>
      </c>
      <c r="F213" t="s">
        <v>672</v>
      </c>
      <c r="G213" t="s">
        <v>713</v>
      </c>
      <c r="H213" t="s">
        <v>655</v>
      </c>
      <c r="I213" t="s">
        <v>655</v>
      </c>
      <c r="J213" t="s">
        <v>713</v>
      </c>
      <c r="K213" t="s">
        <v>682</v>
      </c>
      <c r="M213" t="s">
        <v>1216</v>
      </c>
      <c r="N213" t="s">
        <v>658</v>
      </c>
      <c r="O213" t="s">
        <v>695</v>
      </c>
    </row>
    <row r="214" spans="2:15">
      <c r="B214" s="23" t="s">
        <v>4221</v>
      </c>
      <c r="C214" t="s">
        <v>4212</v>
      </c>
      <c r="D214" t="s">
        <v>671</v>
      </c>
      <c r="E214" t="s">
        <v>659</v>
      </c>
      <c r="F214" t="s">
        <v>671</v>
      </c>
      <c r="G214" t="s">
        <v>706</v>
      </c>
      <c r="H214" t="s">
        <v>655</v>
      </c>
      <c r="I214" t="s">
        <v>655</v>
      </c>
      <c r="J214" t="s">
        <v>706</v>
      </c>
      <c r="K214" t="s">
        <v>682</v>
      </c>
      <c r="M214" t="s">
        <v>1190</v>
      </c>
      <c r="N214" t="s">
        <v>658</v>
      </c>
      <c r="O214" t="s">
        <v>695</v>
      </c>
    </row>
    <row r="215" spans="2:15">
      <c r="B215" s="23" t="s">
        <v>4222</v>
      </c>
      <c r="C215" t="s">
        <v>4212</v>
      </c>
      <c r="D215" t="s">
        <v>671</v>
      </c>
      <c r="E215" t="s">
        <v>659</v>
      </c>
      <c r="F215" t="s">
        <v>671</v>
      </c>
      <c r="G215" t="s">
        <v>707</v>
      </c>
      <c r="H215" t="s">
        <v>655</v>
      </c>
      <c r="I215" t="s">
        <v>655</v>
      </c>
      <c r="J215" t="s">
        <v>707</v>
      </c>
      <c r="K215" t="s">
        <v>682</v>
      </c>
      <c r="M215" t="s">
        <v>1192</v>
      </c>
      <c r="N215" t="s">
        <v>658</v>
      </c>
      <c r="O215" t="s">
        <v>695</v>
      </c>
    </row>
    <row r="216" spans="2:15">
      <c r="B216" s="23" t="s">
        <v>4223</v>
      </c>
      <c r="C216" t="s">
        <v>4212</v>
      </c>
      <c r="D216" t="s">
        <v>671</v>
      </c>
      <c r="E216" t="s">
        <v>659</v>
      </c>
      <c r="F216" t="s">
        <v>671</v>
      </c>
      <c r="G216" t="s">
        <v>708</v>
      </c>
      <c r="H216" t="s">
        <v>655</v>
      </c>
      <c r="I216" t="s">
        <v>655</v>
      </c>
      <c r="J216" t="s">
        <v>708</v>
      </c>
      <c r="K216" t="s">
        <v>682</v>
      </c>
      <c r="M216" t="s">
        <v>1208</v>
      </c>
      <c r="N216" t="s">
        <v>658</v>
      </c>
      <c r="O216" t="s">
        <v>695</v>
      </c>
    </row>
    <row r="217" spans="2:15">
      <c r="B217" s="23" t="s">
        <v>4224</v>
      </c>
      <c r="C217" t="s">
        <v>4212</v>
      </c>
      <c r="D217" t="s">
        <v>671</v>
      </c>
      <c r="E217" t="s">
        <v>659</v>
      </c>
      <c r="F217" t="s">
        <v>671</v>
      </c>
      <c r="G217" t="s">
        <v>709</v>
      </c>
      <c r="H217" t="s">
        <v>655</v>
      </c>
      <c r="I217" t="s">
        <v>655</v>
      </c>
      <c r="J217" t="s">
        <v>709</v>
      </c>
      <c r="K217" t="s">
        <v>682</v>
      </c>
      <c r="M217" t="s">
        <v>1210</v>
      </c>
      <c r="N217" t="s">
        <v>658</v>
      </c>
      <c r="O217" t="s">
        <v>695</v>
      </c>
    </row>
    <row r="218" spans="2:15">
      <c r="B218" s="23" t="s">
        <v>4225</v>
      </c>
      <c r="C218" t="s">
        <v>4212</v>
      </c>
      <c r="D218" t="s">
        <v>671</v>
      </c>
      <c r="E218" t="s">
        <v>659</v>
      </c>
      <c r="F218" t="s">
        <v>671</v>
      </c>
      <c r="G218" t="s">
        <v>710</v>
      </c>
      <c r="H218" t="s">
        <v>655</v>
      </c>
      <c r="I218" t="s">
        <v>655</v>
      </c>
      <c r="J218" t="s">
        <v>710</v>
      </c>
      <c r="K218" t="s">
        <v>682</v>
      </c>
      <c r="M218" t="s">
        <v>1193</v>
      </c>
      <c r="N218" t="s">
        <v>658</v>
      </c>
      <c r="O218" t="s">
        <v>695</v>
      </c>
    </row>
    <row r="219" spans="2:15">
      <c r="B219" s="23" t="s">
        <v>4226</v>
      </c>
      <c r="C219" t="s">
        <v>4212</v>
      </c>
      <c r="D219" t="s">
        <v>671</v>
      </c>
      <c r="E219" t="s">
        <v>659</v>
      </c>
      <c r="F219" t="s">
        <v>671</v>
      </c>
      <c r="G219" t="s">
        <v>711</v>
      </c>
      <c r="H219" t="s">
        <v>655</v>
      </c>
      <c r="I219" t="s">
        <v>655</v>
      </c>
      <c r="J219" t="s">
        <v>711</v>
      </c>
      <c r="K219" t="s">
        <v>682</v>
      </c>
      <c r="M219" t="s">
        <v>1213</v>
      </c>
      <c r="N219" t="s">
        <v>658</v>
      </c>
      <c r="O219" t="s">
        <v>695</v>
      </c>
    </row>
    <row r="220" spans="2:15">
      <c r="B220" t="s">
        <v>868</v>
      </c>
      <c r="C220" t="s">
        <v>4212</v>
      </c>
      <c r="D220" t="s">
        <v>671</v>
      </c>
      <c r="E220" t="s">
        <v>659</v>
      </c>
      <c r="F220" t="s">
        <v>671</v>
      </c>
      <c r="G220" t="s">
        <v>712</v>
      </c>
      <c r="H220" t="s">
        <v>655</v>
      </c>
      <c r="I220" t="s">
        <v>655</v>
      </c>
      <c r="J220" t="s">
        <v>712</v>
      </c>
      <c r="K220" t="s">
        <v>682</v>
      </c>
      <c r="M220" t="s">
        <v>1189</v>
      </c>
      <c r="N220" t="s">
        <v>658</v>
      </c>
      <c r="O220" t="s">
        <v>695</v>
      </c>
    </row>
    <row r="221" spans="2:15">
      <c r="B221" s="23" t="s">
        <v>4227</v>
      </c>
      <c r="C221" t="s">
        <v>4212</v>
      </c>
      <c r="D221" t="s">
        <v>671</v>
      </c>
      <c r="E221" t="s">
        <v>659</v>
      </c>
      <c r="F221" t="s">
        <v>671</v>
      </c>
      <c r="G221" t="s">
        <v>713</v>
      </c>
      <c r="H221" t="s">
        <v>655</v>
      </c>
      <c r="I221" t="s">
        <v>655</v>
      </c>
      <c r="J221" t="s">
        <v>713</v>
      </c>
      <c r="K221" t="s">
        <v>682</v>
      </c>
      <c r="M221" t="s">
        <v>1216</v>
      </c>
      <c r="N221" t="s">
        <v>658</v>
      </c>
      <c r="O221" t="s">
        <v>695</v>
      </c>
    </row>
    <row r="222" spans="2:15">
      <c r="B222" t="s">
        <v>869</v>
      </c>
      <c r="C222" t="s">
        <v>4212</v>
      </c>
      <c r="D222" t="s">
        <v>671</v>
      </c>
      <c r="E222" t="s">
        <v>659</v>
      </c>
      <c r="F222" t="s">
        <v>672</v>
      </c>
      <c r="G222" t="s">
        <v>706</v>
      </c>
      <c r="H222" t="s">
        <v>655</v>
      </c>
      <c r="I222" t="s">
        <v>655</v>
      </c>
      <c r="J222" t="s">
        <v>706</v>
      </c>
      <c r="K222" t="s">
        <v>682</v>
      </c>
      <c r="M222" t="s">
        <v>1190</v>
      </c>
      <c r="N222" t="s">
        <v>658</v>
      </c>
      <c r="O222" t="s">
        <v>695</v>
      </c>
    </row>
    <row r="223" spans="2:15">
      <c r="B223" t="s">
        <v>870</v>
      </c>
      <c r="C223" t="s">
        <v>4212</v>
      </c>
      <c r="D223" t="s">
        <v>671</v>
      </c>
      <c r="E223" t="s">
        <v>659</v>
      </c>
      <c r="F223" t="s">
        <v>672</v>
      </c>
      <c r="G223" t="s">
        <v>707</v>
      </c>
      <c r="H223" t="s">
        <v>655</v>
      </c>
      <c r="I223" t="s">
        <v>655</v>
      </c>
      <c r="J223" t="s">
        <v>707</v>
      </c>
      <c r="K223" t="s">
        <v>682</v>
      </c>
      <c r="M223" t="s">
        <v>1192</v>
      </c>
      <c r="N223" t="s">
        <v>658</v>
      </c>
      <c r="O223" t="s">
        <v>695</v>
      </c>
    </row>
    <row r="224" spans="2:15">
      <c r="B224" t="s">
        <v>871</v>
      </c>
      <c r="C224" t="s">
        <v>4212</v>
      </c>
      <c r="D224" t="s">
        <v>671</v>
      </c>
      <c r="E224" t="s">
        <v>659</v>
      </c>
      <c r="F224" t="s">
        <v>672</v>
      </c>
      <c r="G224" t="s">
        <v>708</v>
      </c>
      <c r="H224" t="s">
        <v>655</v>
      </c>
      <c r="I224" t="s">
        <v>655</v>
      </c>
      <c r="J224" t="s">
        <v>708</v>
      </c>
      <c r="K224" t="s">
        <v>682</v>
      </c>
      <c r="M224" t="s">
        <v>1208</v>
      </c>
      <c r="N224" t="s">
        <v>658</v>
      </c>
      <c r="O224" t="s">
        <v>695</v>
      </c>
    </row>
    <row r="225" spans="2:15">
      <c r="B225" t="s">
        <v>872</v>
      </c>
      <c r="C225" t="s">
        <v>4212</v>
      </c>
      <c r="D225" t="s">
        <v>671</v>
      </c>
      <c r="E225" t="s">
        <v>659</v>
      </c>
      <c r="F225" t="s">
        <v>672</v>
      </c>
      <c r="G225" t="s">
        <v>709</v>
      </c>
      <c r="H225" t="s">
        <v>655</v>
      </c>
      <c r="I225" t="s">
        <v>655</v>
      </c>
      <c r="J225" t="s">
        <v>709</v>
      </c>
      <c r="K225" t="s">
        <v>682</v>
      </c>
      <c r="M225" t="s">
        <v>1210</v>
      </c>
      <c r="N225" t="s">
        <v>658</v>
      </c>
      <c r="O225" t="s">
        <v>695</v>
      </c>
    </row>
    <row r="226" spans="2:15">
      <c r="B226" t="s">
        <v>873</v>
      </c>
      <c r="C226" t="s">
        <v>4212</v>
      </c>
      <c r="D226" t="s">
        <v>671</v>
      </c>
      <c r="E226" t="s">
        <v>659</v>
      </c>
      <c r="F226" t="s">
        <v>672</v>
      </c>
      <c r="G226" t="s">
        <v>710</v>
      </c>
      <c r="H226" t="s">
        <v>655</v>
      </c>
      <c r="I226" t="s">
        <v>655</v>
      </c>
      <c r="J226" t="s">
        <v>710</v>
      </c>
      <c r="K226" t="s">
        <v>682</v>
      </c>
      <c r="M226" t="s">
        <v>1193</v>
      </c>
      <c r="N226" t="s">
        <v>658</v>
      </c>
      <c r="O226" t="s">
        <v>695</v>
      </c>
    </row>
    <row r="227" spans="2:15">
      <c r="B227" t="s">
        <v>874</v>
      </c>
      <c r="C227" t="s">
        <v>4212</v>
      </c>
      <c r="D227" t="s">
        <v>671</v>
      </c>
      <c r="E227" t="s">
        <v>659</v>
      </c>
      <c r="F227" t="s">
        <v>672</v>
      </c>
      <c r="G227" t="s">
        <v>711</v>
      </c>
      <c r="H227" t="s">
        <v>655</v>
      </c>
      <c r="I227" t="s">
        <v>655</v>
      </c>
      <c r="J227" t="s">
        <v>711</v>
      </c>
      <c r="K227" t="s">
        <v>682</v>
      </c>
      <c r="M227" t="s">
        <v>1213</v>
      </c>
      <c r="N227" t="s">
        <v>658</v>
      </c>
      <c r="O227" t="s">
        <v>695</v>
      </c>
    </row>
    <row r="228" spans="2:15">
      <c r="B228" t="s">
        <v>875</v>
      </c>
      <c r="C228" t="s">
        <v>4212</v>
      </c>
      <c r="D228" t="s">
        <v>671</v>
      </c>
      <c r="E228" t="s">
        <v>659</v>
      </c>
      <c r="F228" t="s">
        <v>672</v>
      </c>
      <c r="G228" t="s">
        <v>712</v>
      </c>
      <c r="H228" t="s">
        <v>655</v>
      </c>
      <c r="I228" t="s">
        <v>655</v>
      </c>
      <c r="J228" t="s">
        <v>712</v>
      </c>
      <c r="K228" t="s">
        <v>682</v>
      </c>
      <c r="M228" t="s">
        <v>1189</v>
      </c>
      <c r="N228" t="s">
        <v>658</v>
      </c>
      <c r="O228" t="s">
        <v>695</v>
      </c>
    </row>
    <row r="229" spans="2:15">
      <c r="B229" t="s">
        <v>876</v>
      </c>
      <c r="C229" t="s">
        <v>4212</v>
      </c>
      <c r="D229" t="s">
        <v>671</v>
      </c>
      <c r="E229" t="s">
        <v>659</v>
      </c>
      <c r="F229" t="s">
        <v>672</v>
      </c>
      <c r="G229" t="s">
        <v>713</v>
      </c>
      <c r="H229" t="s">
        <v>655</v>
      </c>
      <c r="I229" t="s">
        <v>655</v>
      </c>
      <c r="J229" t="s">
        <v>713</v>
      </c>
      <c r="K229" t="s">
        <v>682</v>
      </c>
      <c r="M229" t="s">
        <v>1216</v>
      </c>
      <c r="N229" t="s">
        <v>658</v>
      </c>
      <c r="O229" t="s">
        <v>695</v>
      </c>
    </row>
    <row r="230" spans="2:15">
      <c r="B230" s="23" t="s">
        <v>4228</v>
      </c>
      <c r="C230" t="s">
        <v>4229</v>
      </c>
      <c r="D230" t="s">
        <v>665</v>
      </c>
      <c r="E230" t="s">
        <v>656</v>
      </c>
      <c r="F230" t="s">
        <v>666</v>
      </c>
      <c r="G230" t="s">
        <v>706</v>
      </c>
      <c r="H230" t="s">
        <v>655</v>
      </c>
      <c r="I230" t="s">
        <v>655</v>
      </c>
      <c r="J230" t="s">
        <v>706</v>
      </c>
      <c r="K230" t="s">
        <v>682</v>
      </c>
      <c r="M230" t="s">
        <v>1190</v>
      </c>
      <c r="N230" t="s">
        <v>658</v>
      </c>
      <c r="O230" t="s">
        <v>695</v>
      </c>
    </row>
    <row r="231" spans="2:15">
      <c r="B231" t="s">
        <v>880</v>
      </c>
      <c r="C231" t="s">
        <v>4229</v>
      </c>
      <c r="D231" t="s">
        <v>665</v>
      </c>
      <c r="E231" t="s">
        <v>656</v>
      </c>
      <c r="F231" t="s">
        <v>666</v>
      </c>
      <c r="G231" t="s">
        <v>707</v>
      </c>
      <c r="H231" t="s">
        <v>655</v>
      </c>
      <c r="I231" t="s">
        <v>655</v>
      </c>
      <c r="J231" t="s">
        <v>707</v>
      </c>
      <c r="K231" t="s">
        <v>682</v>
      </c>
      <c r="M231" t="s">
        <v>1192</v>
      </c>
      <c r="N231" t="s">
        <v>658</v>
      </c>
      <c r="O231" t="s">
        <v>695</v>
      </c>
    </row>
    <row r="232" spans="2:15">
      <c r="B232" t="s">
        <v>881</v>
      </c>
      <c r="C232" t="s">
        <v>4229</v>
      </c>
      <c r="D232" t="s">
        <v>665</v>
      </c>
      <c r="E232" t="s">
        <v>656</v>
      </c>
      <c r="F232" t="s">
        <v>666</v>
      </c>
      <c r="G232" t="s">
        <v>708</v>
      </c>
      <c r="H232" t="s">
        <v>655</v>
      </c>
      <c r="I232" t="s">
        <v>655</v>
      </c>
      <c r="J232" t="s">
        <v>712</v>
      </c>
      <c r="K232" t="s">
        <v>682</v>
      </c>
      <c r="M232" t="s">
        <v>1189</v>
      </c>
      <c r="N232" t="s">
        <v>658</v>
      </c>
      <c r="O232" t="s">
        <v>695</v>
      </c>
    </row>
    <row r="233" spans="2:15">
      <c r="B233" t="s">
        <v>882</v>
      </c>
      <c r="C233" t="s">
        <v>4229</v>
      </c>
      <c r="D233" t="s">
        <v>665</v>
      </c>
      <c r="E233" t="s">
        <v>656</v>
      </c>
      <c r="F233" t="s">
        <v>666</v>
      </c>
      <c r="G233" t="s">
        <v>709</v>
      </c>
      <c r="H233" t="s">
        <v>655</v>
      </c>
      <c r="I233" t="s">
        <v>655</v>
      </c>
      <c r="J233" t="s">
        <v>709</v>
      </c>
      <c r="K233" t="s">
        <v>682</v>
      </c>
      <c r="M233" t="s">
        <v>1210</v>
      </c>
      <c r="N233" t="s">
        <v>658</v>
      </c>
      <c r="O233" t="s">
        <v>695</v>
      </c>
    </row>
    <row r="234" spans="2:15">
      <c r="B234" t="s">
        <v>883</v>
      </c>
      <c r="C234" t="s">
        <v>4229</v>
      </c>
      <c r="D234" t="s">
        <v>665</v>
      </c>
      <c r="E234" t="s">
        <v>656</v>
      </c>
      <c r="F234" t="s">
        <v>666</v>
      </c>
      <c r="G234" t="s">
        <v>710</v>
      </c>
      <c r="H234" t="s">
        <v>655</v>
      </c>
      <c r="I234" t="s">
        <v>655</v>
      </c>
      <c r="J234" t="s">
        <v>713</v>
      </c>
      <c r="K234" t="s">
        <v>682</v>
      </c>
      <c r="M234" t="s">
        <v>1216</v>
      </c>
      <c r="N234" t="s">
        <v>658</v>
      </c>
      <c r="O234" t="s">
        <v>695</v>
      </c>
    </row>
    <row r="235" spans="2:15">
      <c r="B235" t="s">
        <v>884</v>
      </c>
      <c r="C235" t="s">
        <v>4229</v>
      </c>
      <c r="D235" t="s">
        <v>665</v>
      </c>
      <c r="E235" t="s">
        <v>656</v>
      </c>
      <c r="F235" t="s">
        <v>666</v>
      </c>
      <c r="G235" t="s">
        <v>711</v>
      </c>
      <c r="H235" t="s">
        <v>655</v>
      </c>
      <c r="I235" t="s">
        <v>655</v>
      </c>
      <c r="J235" t="s">
        <v>710</v>
      </c>
      <c r="K235" t="s">
        <v>682</v>
      </c>
      <c r="M235" t="s">
        <v>1193</v>
      </c>
      <c r="N235" t="s">
        <v>658</v>
      </c>
      <c r="O235" t="s">
        <v>695</v>
      </c>
    </row>
    <row r="236" spans="2:15">
      <c r="B236" t="s">
        <v>885</v>
      </c>
      <c r="C236" t="s">
        <v>4229</v>
      </c>
      <c r="D236" t="s">
        <v>665</v>
      </c>
      <c r="E236" t="s">
        <v>656</v>
      </c>
      <c r="F236" t="s">
        <v>666</v>
      </c>
      <c r="G236" t="s">
        <v>712</v>
      </c>
      <c r="H236" t="s">
        <v>655</v>
      </c>
      <c r="I236" t="s">
        <v>655</v>
      </c>
      <c r="J236" t="s">
        <v>711</v>
      </c>
      <c r="K236" t="s">
        <v>682</v>
      </c>
      <c r="M236" t="s">
        <v>1213</v>
      </c>
      <c r="N236" t="s">
        <v>658</v>
      </c>
      <c r="O236" t="s">
        <v>695</v>
      </c>
    </row>
    <row r="237" spans="2:15">
      <c r="B237" t="s">
        <v>886</v>
      </c>
      <c r="C237" t="s">
        <v>4229</v>
      </c>
      <c r="D237" t="s">
        <v>665</v>
      </c>
      <c r="E237" t="s">
        <v>656</v>
      </c>
      <c r="F237" t="s">
        <v>666</v>
      </c>
      <c r="G237" t="s">
        <v>713</v>
      </c>
      <c r="H237" t="s">
        <v>655</v>
      </c>
      <c r="I237" t="s">
        <v>655</v>
      </c>
      <c r="J237" t="s">
        <v>708</v>
      </c>
      <c r="K237" t="s">
        <v>682</v>
      </c>
      <c r="M237" t="s">
        <v>1208</v>
      </c>
      <c r="N237" t="s">
        <v>658</v>
      </c>
      <c r="O237" t="s">
        <v>695</v>
      </c>
    </row>
    <row r="238" spans="2:15">
      <c r="B238" s="23" t="s">
        <v>4230</v>
      </c>
      <c r="C238" t="s">
        <v>4229</v>
      </c>
      <c r="D238" t="s">
        <v>665</v>
      </c>
      <c r="E238" t="s">
        <v>660</v>
      </c>
      <c r="F238" t="s">
        <v>666</v>
      </c>
      <c r="G238" t="s">
        <v>706</v>
      </c>
      <c r="H238" t="s">
        <v>655</v>
      </c>
      <c r="I238" t="s">
        <v>655</v>
      </c>
      <c r="J238" t="s">
        <v>706</v>
      </c>
      <c r="K238" t="s">
        <v>682</v>
      </c>
      <c r="M238" t="s">
        <v>1190</v>
      </c>
      <c r="N238" t="s">
        <v>658</v>
      </c>
      <c r="O238" t="s">
        <v>695</v>
      </c>
    </row>
    <row r="239" spans="2:15">
      <c r="B239" s="23" t="s">
        <v>4231</v>
      </c>
      <c r="C239" t="s">
        <v>4229</v>
      </c>
      <c r="D239" t="s">
        <v>665</v>
      </c>
      <c r="E239" t="s">
        <v>660</v>
      </c>
      <c r="F239" t="s">
        <v>666</v>
      </c>
      <c r="G239" t="s">
        <v>707</v>
      </c>
      <c r="H239" t="s">
        <v>655</v>
      </c>
      <c r="I239" t="s">
        <v>655</v>
      </c>
      <c r="J239" t="s">
        <v>707</v>
      </c>
      <c r="K239" t="s">
        <v>682</v>
      </c>
      <c r="M239" t="s">
        <v>1192</v>
      </c>
      <c r="N239" t="s">
        <v>658</v>
      </c>
      <c r="O239" t="s">
        <v>695</v>
      </c>
    </row>
    <row r="240" spans="2:15">
      <c r="B240" s="23" t="s">
        <v>4232</v>
      </c>
      <c r="C240" t="s">
        <v>4229</v>
      </c>
      <c r="D240" t="s">
        <v>665</v>
      </c>
      <c r="E240" t="s">
        <v>660</v>
      </c>
      <c r="F240" t="s">
        <v>666</v>
      </c>
      <c r="G240" t="s">
        <v>712</v>
      </c>
      <c r="H240" t="s">
        <v>655</v>
      </c>
      <c r="I240" t="s">
        <v>655</v>
      </c>
      <c r="J240" t="s">
        <v>712</v>
      </c>
      <c r="K240" t="s">
        <v>682</v>
      </c>
      <c r="M240" t="s">
        <v>1189</v>
      </c>
      <c r="N240" t="s">
        <v>658</v>
      </c>
      <c r="O240" t="s">
        <v>695</v>
      </c>
    </row>
    <row r="241" spans="2:15">
      <c r="B241" s="23" t="s">
        <v>4233</v>
      </c>
      <c r="C241" t="s">
        <v>4229</v>
      </c>
      <c r="D241" t="s">
        <v>665</v>
      </c>
      <c r="E241" t="s">
        <v>660</v>
      </c>
      <c r="F241" t="s">
        <v>666</v>
      </c>
      <c r="G241" t="s">
        <v>709</v>
      </c>
      <c r="H241" t="s">
        <v>655</v>
      </c>
      <c r="I241" t="s">
        <v>655</v>
      </c>
      <c r="J241" t="s">
        <v>709</v>
      </c>
      <c r="K241" t="s">
        <v>682</v>
      </c>
      <c r="M241" t="s">
        <v>1210</v>
      </c>
      <c r="N241" t="s">
        <v>658</v>
      </c>
      <c r="O241" t="s">
        <v>695</v>
      </c>
    </row>
    <row r="242" spans="2:15">
      <c r="B242" s="23" t="s">
        <v>4234</v>
      </c>
      <c r="C242" t="s">
        <v>4229</v>
      </c>
      <c r="D242" t="s">
        <v>665</v>
      </c>
      <c r="E242" t="s">
        <v>660</v>
      </c>
      <c r="F242" t="s">
        <v>666</v>
      </c>
      <c r="G242" t="s">
        <v>713</v>
      </c>
      <c r="H242" t="s">
        <v>655</v>
      </c>
      <c r="I242" t="s">
        <v>655</v>
      </c>
      <c r="J242" t="s">
        <v>713</v>
      </c>
      <c r="K242" t="s">
        <v>682</v>
      </c>
      <c r="M242" t="s">
        <v>1216</v>
      </c>
      <c r="N242" t="s">
        <v>658</v>
      </c>
      <c r="O242" t="s">
        <v>695</v>
      </c>
    </row>
    <row r="243" spans="2:15">
      <c r="B243" s="23" t="s">
        <v>4235</v>
      </c>
      <c r="C243" t="s">
        <v>4229</v>
      </c>
      <c r="D243" t="s">
        <v>665</v>
      </c>
      <c r="E243" t="s">
        <v>660</v>
      </c>
      <c r="F243" t="s">
        <v>666</v>
      </c>
      <c r="G243" t="s">
        <v>710</v>
      </c>
      <c r="H243" t="s">
        <v>655</v>
      </c>
      <c r="I243" t="s">
        <v>655</v>
      </c>
      <c r="J243" t="s">
        <v>710</v>
      </c>
      <c r="K243" t="s">
        <v>682</v>
      </c>
      <c r="M243" t="s">
        <v>1193</v>
      </c>
      <c r="N243" t="s">
        <v>658</v>
      </c>
      <c r="O243" t="s">
        <v>695</v>
      </c>
    </row>
    <row r="244" spans="2:15">
      <c r="B244" s="23" t="s">
        <v>4236</v>
      </c>
      <c r="C244" t="s">
        <v>4229</v>
      </c>
      <c r="D244" t="s">
        <v>665</v>
      </c>
      <c r="E244" t="s">
        <v>660</v>
      </c>
      <c r="F244" t="s">
        <v>666</v>
      </c>
      <c r="G244" t="s">
        <v>711</v>
      </c>
      <c r="H244" t="s">
        <v>655</v>
      </c>
      <c r="I244" t="s">
        <v>655</v>
      </c>
      <c r="J244" t="s">
        <v>711</v>
      </c>
      <c r="K244" t="s">
        <v>682</v>
      </c>
      <c r="M244" t="s">
        <v>1213</v>
      </c>
      <c r="N244" t="s">
        <v>658</v>
      </c>
      <c r="O244" t="s">
        <v>695</v>
      </c>
    </row>
    <row r="245" spans="2:15">
      <c r="B245" s="23" t="s">
        <v>4237</v>
      </c>
      <c r="C245" t="s">
        <v>4229</v>
      </c>
      <c r="D245" t="s">
        <v>665</v>
      </c>
      <c r="E245" t="s">
        <v>660</v>
      </c>
      <c r="F245" t="s">
        <v>666</v>
      </c>
      <c r="G245" t="s">
        <v>708</v>
      </c>
      <c r="H245" t="s">
        <v>655</v>
      </c>
      <c r="I245" t="s">
        <v>655</v>
      </c>
      <c r="J245" t="s">
        <v>708</v>
      </c>
      <c r="K245" t="s">
        <v>682</v>
      </c>
      <c r="M245" t="s">
        <v>1208</v>
      </c>
      <c r="N245" t="s">
        <v>658</v>
      </c>
      <c r="O245" t="s">
        <v>695</v>
      </c>
    </row>
    <row r="246" spans="2:15">
      <c r="B246" s="23" t="s">
        <v>4238</v>
      </c>
      <c r="C246" t="s">
        <v>4229</v>
      </c>
      <c r="D246" t="s">
        <v>665</v>
      </c>
      <c r="E246" t="s">
        <v>659</v>
      </c>
      <c r="F246" t="s">
        <v>666</v>
      </c>
      <c r="G246" t="s">
        <v>706</v>
      </c>
      <c r="H246" t="s">
        <v>655</v>
      </c>
      <c r="I246" t="s">
        <v>655</v>
      </c>
      <c r="J246" t="s">
        <v>706</v>
      </c>
      <c r="K246" t="s">
        <v>682</v>
      </c>
      <c r="M246" t="s">
        <v>1190</v>
      </c>
      <c r="N246" t="s">
        <v>658</v>
      </c>
      <c r="O246" t="s">
        <v>695</v>
      </c>
    </row>
    <row r="247" spans="2:15">
      <c r="B247" t="s">
        <v>887</v>
      </c>
      <c r="C247" t="s">
        <v>4229</v>
      </c>
      <c r="D247" t="s">
        <v>665</v>
      </c>
      <c r="E247" t="s">
        <v>667</v>
      </c>
      <c r="F247" t="s">
        <v>666</v>
      </c>
      <c r="G247" t="s">
        <v>709</v>
      </c>
      <c r="H247" t="s">
        <v>655</v>
      </c>
      <c r="I247" t="s">
        <v>655</v>
      </c>
      <c r="J247" t="s">
        <v>707</v>
      </c>
      <c r="K247" t="s">
        <v>682</v>
      </c>
      <c r="M247" t="s">
        <v>1192</v>
      </c>
      <c r="N247" t="s">
        <v>658</v>
      </c>
      <c r="O247" t="s">
        <v>695</v>
      </c>
    </row>
    <row r="248" spans="2:15">
      <c r="B248" t="s">
        <v>888</v>
      </c>
      <c r="C248" t="s">
        <v>4229</v>
      </c>
      <c r="D248" t="s">
        <v>665</v>
      </c>
      <c r="E248" t="s">
        <v>659</v>
      </c>
      <c r="F248" t="s">
        <v>666</v>
      </c>
      <c r="G248" t="s">
        <v>707</v>
      </c>
      <c r="H248" t="s">
        <v>655</v>
      </c>
      <c r="I248" t="s">
        <v>655</v>
      </c>
      <c r="J248" t="s">
        <v>712</v>
      </c>
      <c r="K248" t="s">
        <v>682</v>
      </c>
      <c r="M248" t="s">
        <v>1189</v>
      </c>
      <c r="N248" t="s">
        <v>658</v>
      </c>
      <c r="O248" t="s">
        <v>695</v>
      </c>
    </row>
    <row r="249" spans="2:15">
      <c r="B249" t="s">
        <v>889</v>
      </c>
      <c r="C249" t="s">
        <v>4229</v>
      </c>
      <c r="D249" t="s">
        <v>665</v>
      </c>
      <c r="E249" t="s">
        <v>659</v>
      </c>
      <c r="F249" t="s">
        <v>666</v>
      </c>
      <c r="G249" t="s">
        <v>709</v>
      </c>
      <c r="H249" t="s">
        <v>655</v>
      </c>
      <c r="I249" t="s">
        <v>655</v>
      </c>
      <c r="J249" t="s">
        <v>709</v>
      </c>
      <c r="K249" t="s">
        <v>682</v>
      </c>
      <c r="M249" t="s">
        <v>1210</v>
      </c>
      <c r="N249" t="s">
        <v>658</v>
      </c>
      <c r="O249" t="s">
        <v>695</v>
      </c>
    </row>
    <row r="250" spans="2:15">
      <c r="B250" s="23" t="s">
        <v>4239</v>
      </c>
      <c r="C250" t="s">
        <v>4229</v>
      </c>
      <c r="D250" t="s">
        <v>665</v>
      </c>
      <c r="E250" t="s">
        <v>659</v>
      </c>
      <c r="F250" t="s">
        <v>666</v>
      </c>
      <c r="G250" t="s">
        <v>713</v>
      </c>
      <c r="H250" t="s">
        <v>655</v>
      </c>
      <c r="I250" t="s">
        <v>655</v>
      </c>
      <c r="J250" t="s">
        <v>713</v>
      </c>
      <c r="K250" t="s">
        <v>682</v>
      </c>
      <c r="M250" t="s">
        <v>1216</v>
      </c>
      <c r="N250" t="s">
        <v>658</v>
      </c>
      <c r="O250" t="s">
        <v>695</v>
      </c>
    </row>
    <row r="251" spans="2:15">
      <c r="B251" s="23" t="s">
        <v>4240</v>
      </c>
      <c r="C251" t="s">
        <v>4229</v>
      </c>
      <c r="D251" t="s">
        <v>665</v>
      </c>
      <c r="E251" t="s">
        <v>659</v>
      </c>
      <c r="F251" t="s">
        <v>666</v>
      </c>
      <c r="G251" t="s">
        <v>710</v>
      </c>
      <c r="H251" t="s">
        <v>655</v>
      </c>
      <c r="I251" t="s">
        <v>655</v>
      </c>
      <c r="J251" t="s">
        <v>710</v>
      </c>
      <c r="K251" t="s">
        <v>682</v>
      </c>
      <c r="M251" t="s">
        <v>1193</v>
      </c>
      <c r="N251" t="s">
        <v>658</v>
      </c>
      <c r="O251" t="s">
        <v>695</v>
      </c>
    </row>
    <row r="252" spans="2:15">
      <c r="B252" t="s">
        <v>890</v>
      </c>
      <c r="C252" t="s">
        <v>4229</v>
      </c>
      <c r="D252" t="s">
        <v>665</v>
      </c>
      <c r="E252" t="s">
        <v>659</v>
      </c>
      <c r="F252" t="s">
        <v>666</v>
      </c>
      <c r="G252" t="s">
        <v>711</v>
      </c>
      <c r="H252" t="s">
        <v>655</v>
      </c>
      <c r="I252" t="s">
        <v>655</v>
      </c>
      <c r="J252" t="s">
        <v>711</v>
      </c>
      <c r="K252" t="s">
        <v>682</v>
      </c>
      <c r="M252" t="s">
        <v>1213</v>
      </c>
      <c r="N252" t="s">
        <v>658</v>
      </c>
      <c r="O252" t="s">
        <v>695</v>
      </c>
    </row>
    <row r="253" spans="2:15">
      <c r="B253" s="23" t="s">
        <v>4241</v>
      </c>
      <c r="C253" t="s">
        <v>4229</v>
      </c>
      <c r="D253" t="s">
        <v>665</v>
      </c>
      <c r="E253" t="s">
        <v>659</v>
      </c>
      <c r="F253" t="s">
        <v>666</v>
      </c>
      <c r="G253" t="s">
        <v>708</v>
      </c>
      <c r="H253" t="s">
        <v>655</v>
      </c>
      <c r="I253" t="s">
        <v>655</v>
      </c>
      <c r="J253" t="s">
        <v>708</v>
      </c>
      <c r="K253" t="s">
        <v>682</v>
      </c>
      <c r="M253" t="s">
        <v>1208</v>
      </c>
      <c r="N253" t="s">
        <v>658</v>
      </c>
      <c r="O253" t="s">
        <v>695</v>
      </c>
    </row>
    <row r="254" spans="2:15">
      <c r="B254" s="23" t="s">
        <v>4242</v>
      </c>
      <c r="C254" t="s">
        <v>4229</v>
      </c>
      <c r="D254" t="s">
        <v>665</v>
      </c>
      <c r="E254" t="s">
        <v>667</v>
      </c>
      <c r="F254" t="s">
        <v>666</v>
      </c>
      <c r="G254" t="s">
        <v>706</v>
      </c>
      <c r="H254" t="s">
        <v>655</v>
      </c>
      <c r="I254" t="s">
        <v>655</v>
      </c>
      <c r="J254" t="s">
        <v>706</v>
      </c>
      <c r="K254" t="s">
        <v>682</v>
      </c>
      <c r="M254" t="s">
        <v>1190</v>
      </c>
      <c r="N254" t="s">
        <v>658</v>
      </c>
      <c r="O254" t="s">
        <v>695</v>
      </c>
    </row>
    <row r="255" spans="2:15">
      <c r="B255" s="23" t="s">
        <v>4243</v>
      </c>
      <c r="C255" t="s">
        <v>4229</v>
      </c>
      <c r="D255" t="s">
        <v>665</v>
      </c>
      <c r="E255" t="s">
        <v>667</v>
      </c>
      <c r="F255" t="s">
        <v>666</v>
      </c>
      <c r="G255" t="s">
        <v>707</v>
      </c>
      <c r="H255" t="s">
        <v>655</v>
      </c>
      <c r="I255" t="s">
        <v>655</v>
      </c>
      <c r="J255" t="s">
        <v>707</v>
      </c>
      <c r="K255" t="s">
        <v>682</v>
      </c>
      <c r="M255" t="s">
        <v>1192</v>
      </c>
      <c r="N255" t="s">
        <v>658</v>
      </c>
      <c r="O255" t="s">
        <v>695</v>
      </c>
    </row>
    <row r="256" spans="2:15">
      <c r="B256" s="23" t="s">
        <v>4244</v>
      </c>
      <c r="C256" t="s">
        <v>4229</v>
      </c>
      <c r="D256" t="s">
        <v>665</v>
      </c>
      <c r="E256" t="s">
        <v>667</v>
      </c>
      <c r="F256" t="s">
        <v>666</v>
      </c>
      <c r="G256" t="s">
        <v>712</v>
      </c>
      <c r="H256" t="s">
        <v>655</v>
      </c>
      <c r="I256" t="s">
        <v>655</v>
      </c>
      <c r="J256" t="s">
        <v>712</v>
      </c>
      <c r="K256" t="s">
        <v>682</v>
      </c>
      <c r="M256" t="s">
        <v>1189</v>
      </c>
      <c r="N256" t="s">
        <v>658</v>
      </c>
      <c r="O256" t="s">
        <v>695</v>
      </c>
    </row>
    <row r="257" spans="1:15" s="210" customFormat="1" ht="14.4">
      <c r="A257" s="754"/>
      <c r="B257" s="210" t="s">
        <v>891</v>
      </c>
      <c r="C257" s="210" t="s">
        <v>4229</v>
      </c>
      <c r="D257" s="210" t="s">
        <v>665</v>
      </c>
      <c r="E257" s="210" t="s">
        <v>659</v>
      </c>
      <c r="F257" s="210" t="s">
        <v>666</v>
      </c>
      <c r="G257" s="210" t="s">
        <v>712</v>
      </c>
      <c r="H257" s="210" t="s">
        <v>655</v>
      </c>
      <c r="I257" s="210" t="s">
        <v>655</v>
      </c>
      <c r="J257" s="210" t="s">
        <v>709</v>
      </c>
      <c r="K257" s="210" t="s">
        <v>682</v>
      </c>
      <c r="M257" s="210" t="s">
        <v>1210</v>
      </c>
      <c r="N257" s="210" t="s">
        <v>658</v>
      </c>
      <c r="O257" s="210" t="s">
        <v>695</v>
      </c>
    </row>
    <row r="258" spans="1:15">
      <c r="B258" s="23" t="s">
        <v>4245</v>
      </c>
      <c r="C258" t="s">
        <v>4229</v>
      </c>
      <c r="D258" t="s">
        <v>665</v>
      </c>
      <c r="E258" t="s">
        <v>667</v>
      </c>
      <c r="F258" t="s">
        <v>666</v>
      </c>
      <c r="G258" t="s">
        <v>713</v>
      </c>
      <c r="H258" t="s">
        <v>655</v>
      </c>
      <c r="I258" t="s">
        <v>655</v>
      </c>
      <c r="J258" t="s">
        <v>713</v>
      </c>
      <c r="K258" t="s">
        <v>682</v>
      </c>
      <c r="M258" t="s">
        <v>1216</v>
      </c>
      <c r="N258" t="s">
        <v>658</v>
      </c>
      <c r="O258" t="s">
        <v>695</v>
      </c>
    </row>
    <row r="259" spans="1:15">
      <c r="B259" s="23" t="s">
        <v>4246</v>
      </c>
      <c r="C259" t="s">
        <v>4229</v>
      </c>
      <c r="D259" t="s">
        <v>665</v>
      </c>
      <c r="E259" t="s">
        <v>667</v>
      </c>
      <c r="F259" t="s">
        <v>666</v>
      </c>
      <c r="G259" t="s">
        <v>710</v>
      </c>
      <c r="H259" t="s">
        <v>655</v>
      </c>
      <c r="I259" t="s">
        <v>655</v>
      </c>
      <c r="J259" t="s">
        <v>710</v>
      </c>
      <c r="K259" t="s">
        <v>682</v>
      </c>
      <c r="M259" t="s">
        <v>1193</v>
      </c>
      <c r="N259" t="s">
        <v>658</v>
      </c>
      <c r="O259" t="s">
        <v>695</v>
      </c>
    </row>
    <row r="260" spans="1:15">
      <c r="B260" s="23" t="s">
        <v>4247</v>
      </c>
      <c r="C260" t="s">
        <v>4229</v>
      </c>
      <c r="D260" t="s">
        <v>665</v>
      </c>
      <c r="E260" t="s">
        <v>667</v>
      </c>
      <c r="F260" t="s">
        <v>666</v>
      </c>
      <c r="G260" t="s">
        <v>711</v>
      </c>
      <c r="H260" t="s">
        <v>655</v>
      </c>
      <c r="I260" t="s">
        <v>655</v>
      </c>
      <c r="J260" t="s">
        <v>711</v>
      </c>
      <c r="K260" t="s">
        <v>682</v>
      </c>
      <c r="M260" t="s">
        <v>1213</v>
      </c>
      <c r="N260" t="s">
        <v>658</v>
      </c>
      <c r="O260" t="s">
        <v>695</v>
      </c>
    </row>
    <row r="261" spans="1:15">
      <c r="B261" s="23" t="s">
        <v>4248</v>
      </c>
      <c r="C261" t="s">
        <v>4229</v>
      </c>
      <c r="D261" t="s">
        <v>665</v>
      </c>
      <c r="E261" t="s">
        <v>667</v>
      </c>
      <c r="F261" t="s">
        <v>666</v>
      </c>
      <c r="G261" t="s">
        <v>708</v>
      </c>
      <c r="H261" t="s">
        <v>655</v>
      </c>
      <c r="I261" t="s">
        <v>655</v>
      </c>
      <c r="J261" t="s">
        <v>708</v>
      </c>
      <c r="K261" t="s">
        <v>682</v>
      </c>
      <c r="M261" t="s">
        <v>1208</v>
      </c>
      <c r="N261" t="s">
        <v>658</v>
      </c>
      <c r="O261" t="s">
        <v>695</v>
      </c>
    </row>
    <row r="262" spans="1:15">
      <c r="B262" s="62" t="s">
        <v>1031</v>
      </c>
      <c r="C262" t="s">
        <v>4249</v>
      </c>
      <c r="D262" t="s">
        <v>665</v>
      </c>
      <c r="E262" t="s">
        <v>656</v>
      </c>
      <c r="F262" t="s">
        <v>666</v>
      </c>
      <c r="G262" t="s">
        <v>706</v>
      </c>
      <c r="H262" t="s">
        <v>655</v>
      </c>
      <c r="I262" t="s">
        <v>655</v>
      </c>
      <c r="J262" t="s">
        <v>706</v>
      </c>
      <c r="K262" t="s">
        <v>682</v>
      </c>
      <c r="M262" t="s">
        <v>1190</v>
      </c>
      <c r="N262" t="s">
        <v>658</v>
      </c>
      <c r="O262" t="s">
        <v>686</v>
      </c>
    </row>
    <row r="263" spans="1:15">
      <c r="B263" s="62" t="s">
        <v>1034</v>
      </c>
      <c r="C263" t="s">
        <v>4249</v>
      </c>
      <c r="D263" t="s">
        <v>665</v>
      </c>
      <c r="E263" t="s">
        <v>656</v>
      </c>
      <c r="F263" t="s">
        <v>666</v>
      </c>
      <c r="G263" t="s">
        <v>707</v>
      </c>
      <c r="H263" t="s">
        <v>655</v>
      </c>
      <c r="I263" t="s">
        <v>655</v>
      </c>
      <c r="J263" t="s">
        <v>707</v>
      </c>
      <c r="K263" t="s">
        <v>682</v>
      </c>
      <c r="M263" t="s">
        <v>1192</v>
      </c>
      <c r="N263" t="s">
        <v>658</v>
      </c>
      <c r="O263" t="s">
        <v>686</v>
      </c>
    </row>
    <row r="264" spans="1:15">
      <c r="B264" s="62" t="s">
        <v>1038</v>
      </c>
      <c r="C264" t="s">
        <v>4249</v>
      </c>
      <c r="D264" t="s">
        <v>665</v>
      </c>
      <c r="E264" t="s">
        <v>656</v>
      </c>
      <c r="F264" t="s">
        <v>666</v>
      </c>
      <c r="G264" t="s">
        <v>708</v>
      </c>
      <c r="H264" t="s">
        <v>655</v>
      </c>
      <c r="I264" t="s">
        <v>655</v>
      </c>
      <c r="J264" t="s">
        <v>708</v>
      </c>
      <c r="K264" t="s">
        <v>682</v>
      </c>
      <c r="M264" t="s">
        <v>1208</v>
      </c>
      <c r="N264" t="s">
        <v>658</v>
      </c>
      <c r="O264" t="s">
        <v>686</v>
      </c>
    </row>
    <row r="265" spans="1:15">
      <c r="B265" s="62" t="s">
        <v>1041</v>
      </c>
      <c r="C265" t="s">
        <v>4249</v>
      </c>
      <c r="D265" t="s">
        <v>665</v>
      </c>
      <c r="E265" t="s">
        <v>656</v>
      </c>
      <c r="F265" t="s">
        <v>666</v>
      </c>
      <c r="G265" t="s">
        <v>709</v>
      </c>
      <c r="H265" t="s">
        <v>655</v>
      </c>
      <c r="I265" t="s">
        <v>655</v>
      </c>
      <c r="J265" t="s">
        <v>709</v>
      </c>
      <c r="K265" t="s">
        <v>682</v>
      </c>
      <c r="M265" t="s">
        <v>1210</v>
      </c>
      <c r="N265" t="s">
        <v>658</v>
      </c>
      <c r="O265" t="s">
        <v>686</v>
      </c>
    </row>
    <row r="266" spans="1:15">
      <c r="B266" s="62" t="s">
        <v>1045</v>
      </c>
      <c r="C266" t="s">
        <v>4249</v>
      </c>
      <c r="D266" t="s">
        <v>665</v>
      </c>
      <c r="E266" t="s">
        <v>656</v>
      </c>
      <c r="F266" t="s">
        <v>666</v>
      </c>
      <c r="G266" t="s">
        <v>710</v>
      </c>
      <c r="H266" t="s">
        <v>655</v>
      </c>
      <c r="I266" t="s">
        <v>655</v>
      </c>
      <c r="J266" t="s">
        <v>710</v>
      </c>
      <c r="K266" t="s">
        <v>682</v>
      </c>
      <c r="M266" t="s">
        <v>1193</v>
      </c>
      <c r="N266" t="s">
        <v>658</v>
      </c>
      <c r="O266" t="s">
        <v>686</v>
      </c>
    </row>
    <row r="267" spans="1:15">
      <c r="B267" s="62" t="s">
        <v>1048</v>
      </c>
      <c r="C267" t="s">
        <v>4249</v>
      </c>
      <c r="D267" t="s">
        <v>665</v>
      </c>
      <c r="E267" t="s">
        <v>656</v>
      </c>
      <c r="F267" t="s">
        <v>666</v>
      </c>
      <c r="G267" t="s">
        <v>711</v>
      </c>
      <c r="H267" t="s">
        <v>655</v>
      </c>
      <c r="I267" t="s">
        <v>655</v>
      </c>
      <c r="J267" t="s">
        <v>711</v>
      </c>
      <c r="K267" t="s">
        <v>682</v>
      </c>
      <c r="M267" t="s">
        <v>1213</v>
      </c>
      <c r="N267" t="s">
        <v>658</v>
      </c>
      <c r="O267" t="s">
        <v>686</v>
      </c>
    </row>
    <row r="268" spans="1:15">
      <c r="B268" s="62" t="s">
        <v>1051</v>
      </c>
      <c r="C268" t="s">
        <v>4249</v>
      </c>
      <c r="D268" t="s">
        <v>665</v>
      </c>
      <c r="E268" t="s">
        <v>656</v>
      </c>
      <c r="F268" t="s">
        <v>666</v>
      </c>
      <c r="G268" t="s">
        <v>712</v>
      </c>
      <c r="H268" t="s">
        <v>655</v>
      </c>
      <c r="I268" t="s">
        <v>655</v>
      </c>
      <c r="J268" t="s">
        <v>712</v>
      </c>
      <c r="K268" t="s">
        <v>682</v>
      </c>
      <c r="M268" t="s">
        <v>1189</v>
      </c>
      <c r="N268" t="s">
        <v>658</v>
      </c>
      <c r="O268" t="s">
        <v>686</v>
      </c>
    </row>
    <row r="269" spans="1:15">
      <c r="B269" s="62" t="s">
        <v>1054</v>
      </c>
      <c r="C269" t="s">
        <v>4249</v>
      </c>
      <c r="D269" t="s">
        <v>665</v>
      </c>
      <c r="E269" t="s">
        <v>656</v>
      </c>
      <c r="F269" t="s">
        <v>666</v>
      </c>
      <c r="G269" t="s">
        <v>713</v>
      </c>
      <c r="H269" t="s">
        <v>655</v>
      </c>
      <c r="I269" t="s">
        <v>655</v>
      </c>
      <c r="J269" t="s">
        <v>713</v>
      </c>
      <c r="K269" t="s">
        <v>682</v>
      </c>
      <c r="M269" t="s">
        <v>1216</v>
      </c>
      <c r="N269" t="s">
        <v>658</v>
      </c>
      <c r="O269" t="s">
        <v>686</v>
      </c>
    </row>
    <row r="270" spans="1:15">
      <c r="B270" s="62" t="s">
        <v>1032</v>
      </c>
      <c r="C270" t="s">
        <v>4249</v>
      </c>
      <c r="D270" t="s">
        <v>665</v>
      </c>
      <c r="E270" t="s">
        <v>660</v>
      </c>
      <c r="F270" t="s">
        <v>666</v>
      </c>
      <c r="G270" t="s">
        <v>706</v>
      </c>
      <c r="H270" t="s">
        <v>655</v>
      </c>
      <c r="I270" t="s">
        <v>655</v>
      </c>
      <c r="J270" t="s">
        <v>706</v>
      </c>
      <c r="K270" t="s">
        <v>682</v>
      </c>
      <c r="M270" t="s">
        <v>1190</v>
      </c>
      <c r="N270" t="s">
        <v>658</v>
      </c>
      <c r="O270" t="s">
        <v>686</v>
      </c>
    </row>
    <row r="271" spans="1:15">
      <c r="B271" s="62" t="s">
        <v>1036</v>
      </c>
      <c r="C271" t="s">
        <v>4249</v>
      </c>
      <c r="D271" t="s">
        <v>665</v>
      </c>
      <c r="E271" t="s">
        <v>660</v>
      </c>
      <c r="F271" t="s">
        <v>666</v>
      </c>
      <c r="G271" t="s">
        <v>707</v>
      </c>
      <c r="H271" t="s">
        <v>655</v>
      </c>
      <c r="I271" t="s">
        <v>655</v>
      </c>
      <c r="J271" t="s">
        <v>707</v>
      </c>
      <c r="K271" t="s">
        <v>682</v>
      </c>
      <c r="M271" t="s">
        <v>1192</v>
      </c>
      <c r="N271" t="s">
        <v>658</v>
      </c>
      <c r="O271" t="s">
        <v>686</v>
      </c>
    </row>
    <row r="272" spans="1:15">
      <c r="B272" s="62" t="s">
        <v>1039</v>
      </c>
      <c r="C272" t="s">
        <v>4249</v>
      </c>
      <c r="D272" t="s">
        <v>665</v>
      </c>
      <c r="E272" t="s">
        <v>660</v>
      </c>
      <c r="F272" t="s">
        <v>666</v>
      </c>
      <c r="G272" t="s">
        <v>708</v>
      </c>
      <c r="H272" t="s">
        <v>655</v>
      </c>
      <c r="I272" t="s">
        <v>655</v>
      </c>
      <c r="J272" t="s">
        <v>708</v>
      </c>
      <c r="K272" t="s">
        <v>682</v>
      </c>
      <c r="M272" t="s">
        <v>1208</v>
      </c>
      <c r="N272" t="s">
        <v>658</v>
      </c>
      <c r="O272" t="s">
        <v>686</v>
      </c>
    </row>
    <row r="273" spans="2:15">
      <c r="B273" s="62" t="s">
        <v>1043</v>
      </c>
      <c r="C273" t="s">
        <v>4249</v>
      </c>
      <c r="D273" t="s">
        <v>665</v>
      </c>
      <c r="E273" t="s">
        <v>660</v>
      </c>
      <c r="F273" t="s">
        <v>666</v>
      </c>
      <c r="G273" t="s">
        <v>709</v>
      </c>
      <c r="H273" t="s">
        <v>655</v>
      </c>
      <c r="I273" t="s">
        <v>655</v>
      </c>
      <c r="J273" t="s">
        <v>709</v>
      </c>
      <c r="K273" t="s">
        <v>682</v>
      </c>
      <c r="M273" t="s">
        <v>1210</v>
      </c>
      <c r="N273" t="s">
        <v>658</v>
      </c>
      <c r="O273" t="s">
        <v>686</v>
      </c>
    </row>
    <row r="274" spans="2:15">
      <c r="B274" s="62" t="s">
        <v>1046</v>
      </c>
      <c r="C274" t="s">
        <v>4249</v>
      </c>
      <c r="D274" t="s">
        <v>665</v>
      </c>
      <c r="E274" t="s">
        <v>660</v>
      </c>
      <c r="F274" t="s">
        <v>666</v>
      </c>
      <c r="G274" t="s">
        <v>710</v>
      </c>
      <c r="H274" t="s">
        <v>655</v>
      </c>
      <c r="I274" t="s">
        <v>655</v>
      </c>
      <c r="J274" t="s">
        <v>710</v>
      </c>
      <c r="K274" t="s">
        <v>682</v>
      </c>
      <c r="M274" t="s">
        <v>1193</v>
      </c>
      <c r="N274" t="s">
        <v>658</v>
      </c>
      <c r="O274" t="s">
        <v>686</v>
      </c>
    </row>
    <row r="275" spans="2:15">
      <c r="B275" s="62" t="s">
        <v>1049</v>
      </c>
      <c r="C275" t="s">
        <v>4249</v>
      </c>
      <c r="D275" t="s">
        <v>665</v>
      </c>
      <c r="E275" t="s">
        <v>660</v>
      </c>
      <c r="F275" t="s">
        <v>666</v>
      </c>
      <c r="G275" t="s">
        <v>711</v>
      </c>
      <c r="H275" t="s">
        <v>655</v>
      </c>
      <c r="I275" t="s">
        <v>655</v>
      </c>
      <c r="J275" t="s">
        <v>711</v>
      </c>
      <c r="K275" t="s">
        <v>682</v>
      </c>
      <c r="M275" t="s">
        <v>1213</v>
      </c>
      <c r="N275" t="s">
        <v>658</v>
      </c>
      <c r="O275" t="s">
        <v>686</v>
      </c>
    </row>
    <row r="276" spans="2:15">
      <c r="B276" s="62" t="s">
        <v>1052</v>
      </c>
      <c r="C276" t="s">
        <v>4249</v>
      </c>
      <c r="D276" t="s">
        <v>665</v>
      </c>
      <c r="E276" t="s">
        <v>660</v>
      </c>
      <c r="F276" t="s">
        <v>666</v>
      </c>
      <c r="G276" t="s">
        <v>712</v>
      </c>
      <c r="H276" t="s">
        <v>655</v>
      </c>
      <c r="I276" t="s">
        <v>655</v>
      </c>
      <c r="J276" t="s">
        <v>712</v>
      </c>
      <c r="K276" t="s">
        <v>682</v>
      </c>
      <c r="M276" t="s">
        <v>1189</v>
      </c>
      <c r="N276" t="s">
        <v>658</v>
      </c>
      <c r="O276" t="s">
        <v>686</v>
      </c>
    </row>
    <row r="277" spans="2:15">
      <c r="B277" s="62" t="s">
        <v>1055</v>
      </c>
      <c r="C277" t="s">
        <v>4249</v>
      </c>
      <c r="D277" t="s">
        <v>665</v>
      </c>
      <c r="E277" t="s">
        <v>660</v>
      </c>
      <c r="F277" t="s">
        <v>666</v>
      </c>
      <c r="G277" t="s">
        <v>713</v>
      </c>
      <c r="H277" t="s">
        <v>655</v>
      </c>
      <c r="I277" t="s">
        <v>655</v>
      </c>
      <c r="J277" t="s">
        <v>713</v>
      </c>
      <c r="K277" t="s">
        <v>682</v>
      </c>
      <c r="M277" t="s">
        <v>1216</v>
      </c>
      <c r="N277" t="s">
        <v>658</v>
      </c>
      <c r="O277" t="s">
        <v>686</v>
      </c>
    </row>
    <row r="278" spans="2:15">
      <c r="B278" s="79" t="s">
        <v>1033</v>
      </c>
      <c r="C278" t="s">
        <v>4249</v>
      </c>
      <c r="D278" t="s">
        <v>665</v>
      </c>
      <c r="E278" t="s">
        <v>659</v>
      </c>
      <c r="F278" t="s">
        <v>666</v>
      </c>
      <c r="G278" t="s">
        <v>706</v>
      </c>
      <c r="H278" t="s">
        <v>655</v>
      </c>
      <c r="I278" t="s">
        <v>655</v>
      </c>
      <c r="J278" t="s">
        <v>706</v>
      </c>
      <c r="K278" t="s">
        <v>682</v>
      </c>
      <c r="M278" t="s">
        <v>1190</v>
      </c>
      <c r="N278" t="s">
        <v>658</v>
      </c>
      <c r="O278" t="s">
        <v>686</v>
      </c>
    </row>
    <row r="279" spans="2:15">
      <c r="B279" s="62" t="s">
        <v>1037</v>
      </c>
      <c r="C279" t="s">
        <v>4249</v>
      </c>
      <c r="D279" t="s">
        <v>665</v>
      </c>
      <c r="E279" t="s">
        <v>659</v>
      </c>
      <c r="F279" t="s">
        <v>666</v>
      </c>
      <c r="G279" t="s">
        <v>707</v>
      </c>
      <c r="H279" t="s">
        <v>655</v>
      </c>
      <c r="I279" t="s">
        <v>655</v>
      </c>
      <c r="J279" t="s">
        <v>707</v>
      </c>
      <c r="K279" t="s">
        <v>682</v>
      </c>
      <c r="M279" t="s">
        <v>1192</v>
      </c>
      <c r="N279" t="s">
        <v>658</v>
      </c>
      <c r="O279" t="s">
        <v>686</v>
      </c>
    </row>
    <row r="280" spans="2:15">
      <c r="B280" s="79" t="s">
        <v>1040</v>
      </c>
      <c r="C280" t="s">
        <v>4249</v>
      </c>
      <c r="D280" t="s">
        <v>665</v>
      </c>
      <c r="E280" t="s">
        <v>659</v>
      </c>
      <c r="F280" t="s">
        <v>666</v>
      </c>
      <c r="G280" t="s">
        <v>708</v>
      </c>
      <c r="H280" t="s">
        <v>655</v>
      </c>
      <c r="I280" t="s">
        <v>655</v>
      </c>
      <c r="J280" t="s">
        <v>708</v>
      </c>
      <c r="K280" t="s">
        <v>682</v>
      </c>
      <c r="M280" t="s">
        <v>1208</v>
      </c>
      <c r="N280" t="s">
        <v>658</v>
      </c>
      <c r="O280" t="s">
        <v>686</v>
      </c>
    </row>
    <row r="281" spans="2:15">
      <c r="B281" s="62" t="s">
        <v>1044</v>
      </c>
      <c r="C281" t="s">
        <v>4249</v>
      </c>
      <c r="D281" t="s">
        <v>665</v>
      </c>
      <c r="E281" t="s">
        <v>659</v>
      </c>
      <c r="F281" t="s">
        <v>666</v>
      </c>
      <c r="G281" t="s">
        <v>709</v>
      </c>
      <c r="H281" t="s">
        <v>655</v>
      </c>
      <c r="I281" t="s">
        <v>655</v>
      </c>
      <c r="J281" t="s">
        <v>709</v>
      </c>
      <c r="K281" t="s">
        <v>682</v>
      </c>
      <c r="M281" t="s">
        <v>1210</v>
      </c>
      <c r="N281" t="s">
        <v>658</v>
      </c>
      <c r="O281" t="s">
        <v>686</v>
      </c>
    </row>
    <row r="282" spans="2:15">
      <c r="B282" s="62" t="s">
        <v>1047</v>
      </c>
      <c r="C282" t="s">
        <v>4249</v>
      </c>
      <c r="D282" t="s">
        <v>665</v>
      </c>
      <c r="E282" t="s">
        <v>659</v>
      </c>
      <c r="F282" t="s">
        <v>666</v>
      </c>
      <c r="G282" t="s">
        <v>710</v>
      </c>
      <c r="H282" t="s">
        <v>655</v>
      </c>
      <c r="I282" t="s">
        <v>655</v>
      </c>
      <c r="J282" t="s">
        <v>710</v>
      </c>
      <c r="K282" t="s">
        <v>682</v>
      </c>
      <c r="M282" t="s">
        <v>1193</v>
      </c>
      <c r="N282" t="s">
        <v>658</v>
      </c>
      <c r="O282" t="s">
        <v>686</v>
      </c>
    </row>
    <row r="283" spans="2:15">
      <c r="B283" s="79" t="s">
        <v>1050</v>
      </c>
      <c r="C283" t="s">
        <v>4249</v>
      </c>
      <c r="D283" t="s">
        <v>665</v>
      </c>
      <c r="E283" t="s">
        <v>659</v>
      </c>
      <c r="F283" t="s">
        <v>666</v>
      </c>
      <c r="G283" t="s">
        <v>711</v>
      </c>
      <c r="H283" t="s">
        <v>655</v>
      </c>
      <c r="I283" t="s">
        <v>655</v>
      </c>
      <c r="J283" t="s">
        <v>711</v>
      </c>
      <c r="K283" t="s">
        <v>682</v>
      </c>
      <c r="M283" t="s">
        <v>1213</v>
      </c>
      <c r="N283" t="s">
        <v>658</v>
      </c>
      <c r="O283" t="s">
        <v>686</v>
      </c>
    </row>
    <row r="284" spans="2:15">
      <c r="B284" s="62" t="s">
        <v>1053</v>
      </c>
      <c r="C284" t="s">
        <v>4249</v>
      </c>
      <c r="D284" t="s">
        <v>665</v>
      </c>
      <c r="E284" t="s">
        <v>659</v>
      </c>
      <c r="F284" t="s">
        <v>666</v>
      </c>
      <c r="G284" t="s">
        <v>712</v>
      </c>
      <c r="H284" t="s">
        <v>655</v>
      </c>
      <c r="I284" t="s">
        <v>655</v>
      </c>
      <c r="J284" t="s">
        <v>712</v>
      </c>
      <c r="K284" t="s">
        <v>682</v>
      </c>
      <c r="M284" t="s">
        <v>1189</v>
      </c>
      <c r="N284" t="s">
        <v>658</v>
      </c>
      <c r="O284" t="s">
        <v>686</v>
      </c>
    </row>
    <row r="285" spans="2:15">
      <c r="B285" s="62" t="s">
        <v>1056</v>
      </c>
      <c r="C285" t="s">
        <v>4249</v>
      </c>
      <c r="D285" t="s">
        <v>665</v>
      </c>
      <c r="E285" t="s">
        <v>659</v>
      </c>
      <c r="F285" t="s">
        <v>666</v>
      </c>
      <c r="G285" t="s">
        <v>713</v>
      </c>
      <c r="H285" t="s">
        <v>655</v>
      </c>
      <c r="I285" t="s">
        <v>655</v>
      </c>
      <c r="J285" t="s">
        <v>713</v>
      </c>
      <c r="K285" t="s">
        <v>682</v>
      </c>
      <c r="M285" t="s">
        <v>1216</v>
      </c>
      <c r="N285" t="s">
        <v>658</v>
      </c>
      <c r="O285" t="s">
        <v>686</v>
      </c>
    </row>
    <row r="286" spans="2:15">
      <c r="B286" s="62" t="s">
        <v>1035</v>
      </c>
      <c r="C286" t="s">
        <v>4249</v>
      </c>
      <c r="D286" t="s">
        <v>665</v>
      </c>
      <c r="E286" t="s">
        <v>667</v>
      </c>
      <c r="F286" t="s">
        <v>666</v>
      </c>
      <c r="G286" t="s">
        <v>707</v>
      </c>
      <c r="H286" t="s">
        <v>655</v>
      </c>
      <c r="I286" t="s">
        <v>655</v>
      </c>
      <c r="J286" t="s">
        <v>707</v>
      </c>
      <c r="K286" t="s">
        <v>682</v>
      </c>
      <c r="M286" t="s">
        <v>1192</v>
      </c>
      <c r="N286" t="s">
        <v>658</v>
      </c>
      <c r="O286" t="s">
        <v>686</v>
      </c>
    </row>
    <row r="287" spans="2:15">
      <c r="B287" s="62" t="s">
        <v>1042</v>
      </c>
      <c r="C287" t="s">
        <v>4249</v>
      </c>
      <c r="D287" t="s">
        <v>665</v>
      </c>
      <c r="E287" t="s">
        <v>667</v>
      </c>
      <c r="F287" t="s">
        <v>666</v>
      </c>
      <c r="G287" t="s">
        <v>709</v>
      </c>
      <c r="H287" t="s">
        <v>655</v>
      </c>
      <c r="I287" t="s">
        <v>655</v>
      </c>
      <c r="J287" t="s">
        <v>709</v>
      </c>
      <c r="K287" t="s">
        <v>682</v>
      </c>
      <c r="M287" t="s">
        <v>1210</v>
      </c>
      <c r="N287" t="s">
        <v>658</v>
      </c>
      <c r="O287" t="s">
        <v>686</v>
      </c>
    </row>
    <row r="288" spans="2:15">
      <c r="B288" s="62" t="s">
        <v>4250</v>
      </c>
      <c r="C288" t="s">
        <v>4249</v>
      </c>
      <c r="D288" t="s">
        <v>671</v>
      </c>
      <c r="E288" t="s">
        <v>659</v>
      </c>
      <c r="F288" t="s">
        <v>671</v>
      </c>
      <c r="G288" t="s">
        <v>706</v>
      </c>
      <c r="H288" t="s">
        <v>655</v>
      </c>
      <c r="I288" t="s">
        <v>655</v>
      </c>
      <c r="J288" t="s">
        <v>706</v>
      </c>
      <c r="K288" t="s">
        <v>682</v>
      </c>
      <c r="M288" t="s">
        <v>1190</v>
      </c>
      <c r="N288" t="s">
        <v>658</v>
      </c>
      <c r="O288" t="s">
        <v>686</v>
      </c>
    </row>
    <row r="289" spans="2:15">
      <c r="B289" s="62" t="s">
        <v>4251</v>
      </c>
      <c r="C289" t="s">
        <v>4249</v>
      </c>
      <c r="D289" t="s">
        <v>671</v>
      </c>
      <c r="E289" t="s">
        <v>659</v>
      </c>
      <c r="F289" t="s">
        <v>671</v>
      </c>
      <c r="G289" t="s">
        <v>707</v>
      </c>
      <c r="H289" t="s">
        <v>655</v>
      </c>
      <c r="I289" t="s">
        <v>655</v>
      </c>
      <c r="J289" t="s">
        <v>707</v>
      </c>
      <c r="K289" t="s">
        <v>682</v>
      </c>
      <c r="M289" t="s">
        <v>1192</v>
      </c>
      <c r="N289" t="s">
        <v>658</v>
      </c>
      <c r="O289" t="s">
        <v>686</v>
      </c>
    </row>
    <row r="290" spans="2:15">
      <c r="B290" s="62" t="s">
        <v>4252</v>
      </c>
      <c r="C290" t="s">
        <v>4249</v>
      </c>
      <c r="D290" t="s">
        <v>671</v>
      </c>
      <c r="E290" t="s">
        <v>659</v>
      </c>
      <c r="F290" t="s">
        <v>671</v>
      </c>
      <c r="G290" t="s">
        <v>708</v>
      </c>
      <c r="H290" t="s">
        <v>655</v>
      </c>
      <c r="I290" t="s">
        <v>655</v>
      </c>
      <c r="J290" t="s">
        <v>708</v>
      </c>
      <c r="K290" t="s">
        <v>682</v>
      </c>
      <c r="M290" t="s">
        <v>1208</v>
      </c>
      <c r="N290" t="s">
        <v>658</v>
      </c>
      <c r="O290" t="s">
        <v>686</v>
      </c>
    </row>
    <row r="291" spans="2:15">
      <c r="B291" s="62" t="s">
        <v>4253</v>
      </c>
      <c r="C291" t="s">
        <v>4249</v>
      </c>
      <c r="D291" t="s">
        <v>671</v>
      </c>
      <c r="E291" t="s">
        <v>659</v>
      </c>
      <c r="F291" t="s">
        <v>671</v>
      </c>
      <c r="G291" t="s">
        <v>709</v>
      </c>
      <c r="H291" t="s">
        <v>655</v>
      </c>
      <c r="I291" t="s">
        <v>655</v>
      </c>
      <c r="J291" t="s">
        <v>709</v>
      </c>
      <c r="K291" t="s">
        <v>682</v>
      </c>
      <c r="M291" t="s">
        <v>1210</v>
      </c>
      <c r="N291" t="s">
        <v>658</v>
      </c>
      <c r="O291" t="s">
        <v>686</v>
      </c>
    </row>
    <row r="292" spans="2:15">
      <c r="B292" s="62" t="s">
        <v>4254</v>
      </c>
      <c r="C292" t="s">
        <v>4249</v>
      </c>
      <c r="D292" t="s">
        <v>671</v>
      </c>
      <c r="E292" t="s">
        <v>659</v>
      </c>
      <c r="F292" t="s">
        <v>671</v>
      </c>
      <c r="G292" t="s">
        <v>710</v>
      </c>
      <c r="H292" t="s">
        <v>655</v>
      </c>
      <c r="I292" t="s">
        <v>655</v>
      </c>
      <c r="J292" t="s">
        <v>710</v>
      </c>
      <c r="K292" t="s">
        <v>682</v>
      </c>
      <c r="M292" t="s">
        <v>1193</v>
      </c>
      <c r="N292" t="s">
        <v>658</v>
      </c>
      <c r="O292" t="s">
        <v>686</v>
      </c>
    </row>
    <row r="293" spans="2:15">
      <c r="B293" s="62" t="s">
        <v>4255</v>
      </c>
      <c r="C293" t="s">
        <v>4249</v>
      </c>
      <c r="D293" t="s">
        <v>671</v>
      </c>
      <c r="E293" t="s">
        <v>659</v>
      </c>
      <c r="F293" t="s">
        <v>671</v>
      </c>
      <c r="G293" t="s">
        <v>711</v>
      </c>
      <c r="H293" t="s">
        <v>655</v>
      </c>
      <c r="I293" t="s">
        <v>655</v>
      </c>
      <c r="J293" t="s">
        <v>711</v>
      </c>
      <c r="K293" t="s">
        <v>682</v>
      </c>
      <c r="M293" t="s">
        <v>1213</v>
      </c>
      <c r="N293" t="s">
        <v>658</v>
      </c>
      <c r="O293" t="s">
        <v>686</v>
      </c>
    </row>
    <row r="294" spans="2:15">
      <c r="B294" s="62" t="s">
        <v>4256</v>
      </c>
      <c r="C294" t="s">
        <v>4249</v>
      </c>
      <c r="D294" t="s">
        <v>671</v>
      </c>
      <c r="E294" t="s">
        <v>659</v>
      </c>
      <c r="F294" t="s">
        <v>671</v>
      </c>
      <c r="G294" t="s">
        <v>712</v>
      </c>
      <c r="H294" t="s">
        <v>655</v>
      </c>
      <c r="I294" t="s">
        <v>655</v>
      </c>
      <c r="J294" t="s">
        <v>712</v>
      </c>
      <c r="K294" t="s">
        <v>682</v>
      </c>
      <c r="M294" t="s">
        <v>1189</v>
      </c>
      <c r="N294" t="s">
        <v>658</v>
      </c>
      <c r="O294" t="s">
        <v>686</v>
      </c>
    </row>
    <row r="295" spans="2:15">
      <c r="B295" s="62" t="s">
        <v>4257</v>
      </c>
      <c r="C295" t="s">
        <v>4249</v>
      </c>
      <c r="D295" t="s">
        <v>671</v>
      </c>
      <c r="E295" t="s">
        <v>659</v>
      </c>
      <c r="F295" t="s">
        <v>671</v>
      </c>
      <c r="G295" t="s">
        <v>713</v>
      </c>
      <c r="H295" t="s">
        <v>655</v>
      </c>
      <c r="I295" t="s">
        <v>655</v>
      </c>
      <c r="J295" t="s">
        <v>713</v>
      </c>
      <c r="K295" t="s">
        <v>682</v>
      </c>
      <c r="M295" t="s">
        <v>1216</v>
      </c>
      <c r="N295" t="s">
        <v>658</v>
      </c>
      <c r="O295" t="s">
        <v>686</v>
      </c>
    </row>
    <row r="296" spans="2:15">
      <c r="B296" t="str">
        <f>'Grounds Fuels'!$A3</f>
        <v>FST Grounds maintenance fuel Diesel ACT</v>
      </c>
      <c r="C296" t="s">
        <v>1235</v>
      </c>
      <c r="D296" t="s">
        <v>665</v>
      </c>
      <c r="E296" t="s">
        <v>656</v>
      </c>
      <c r="F296" t="s">
        <v>666</v>
      </c>
      <c r="G296" t="s">
        <v>706</v>
      </c>
      <c r="H296" t="s">
        <v>655</v>
      </c>
      <c r="I296" t="s">
        <v>655</v>
      </c>
      <c r="J296" t="s">
        <v>706</v>
      </c>
      <c r="K296" t="s">
        <v>682</v>
      </c>
      <c r="M296" t="s">
        <v>1192</v>
      </c>
      <c r="N296" t="s">
        <v>658</v>
      </c>
      <c r="O296" t="s">
        <v>686</v>
      </c>
    </row>
    <row r="297" spans="2:15">
      <c r="B297" t="str">
        <f>'Grounds Fuels'!$A4</f>
        <v>FST Grounds maintenance fuel Diesel NSW</v>
      </c>
      <c r="C297" t="s">
        <v>1235</v>
      </c>
      <c r="D297" t="s">
        <v>665</v>
      </c>
      <c r="E297" t="s">
        <v>656</v>
      </c>
      <c r="F297" t="s">
        <v>666</v>
      </c>
      <c r="G297" t="s">
        <v>707</v>
      </c>
      <c r="H297" t="s">
        <v>655</v>
      </c>
      <c r="I297" t="s">
        <v>655</v>
      </c>
      <c r="J297" t="s">
        <v>707</v>
      </c>
      <c r="K297" t="s">
        <v>682</v>
      </c>
      <c r="M297" t="s">
        <v>1210</v>
      </c>
      <c r="N297" t="s">
        <v>658</v>
      </c>
      <c r="O297" t="s">
        <v>686</v>
      </c>
    </row>
    <row r="298" spans="2:15">
      <c r="B298" t="str">
        <f>'Grounds Fuels'!$A5</f>
        <v>FST Grounds maintenance fuel Diesel NT</v>
      </c>
      <c r="C298" t="s">
        <v>1235</v>
      </c>
      <c r="D298" t="s">
        <v>665</v>
      </c>
      <c r="E298" t="s">
        <v>656</v>
      </c>
      <c r="F298" t="s">
        <v>666</v>
      </c>
      <c r="G298" t="s">
        <v>708</v>
      </c>
      <c r="H298" t="s">
        <v>655</v>
      </c>
      <c r="I298" t="s">
        <v>655</v>
      </c>
      <c r="J298" t="s">
        <v>708</v>
      </c>
      <c r="K298" t="s">
        <v>682</v>
      </c>
      <c r="M298" t="s">
        <v>1208</v>
      </c>
      <c r="N298" t="s">
        <v>658</v>
      </c>
      <c r="O298" t="s">
        <v>686</v>
      </c>
    </row>
    <row r="299" spans="2:15">
      <c r="B299" t="str">
        <f>'Grounds Fuels'!$A6</f>
        <v>FST Grounds maintenance fuel Diesel QLD</v>
      </c>
      <c r="C299" t="s">
        <v>1235</v>
      </c>
      <c r="D299" t="s">
        <v>665</v>
      </c>
      <c r="E299" t="s">
        <v>656</v>
      </c>
      <c r="F299" t="s">
        <v>666</v>
      </c>
      <c r="G299" t="s">
        <v>709</v>
      </c>
      <c r="H299" t="s">
        <v>655</v>
      </c>
      <c r="I299" t="s">
        <v>655</v>
      </c>
      <c r="J299" t="s">
        <v>709</v>
      </c>
      <c r="K299" t="s">
        <v>682</v>
      </c>
      <c r="M299" t="s">
        <v>1210</v>
      </c>
      <c r="N299" t="s">
        <v>658</v>
      </c>
      <c r="O299" t="s">
        <v>686</v>
      </c>
    </row>
    <row r="300" spans="2:15">
      <c r="B300" t="str">
        <f>'Grounds Fuels'!$A7</f>
        <v>FST Grounds maintenance fuel Diesel SA</v>
      </c>
      <c r="C300" t="s">
        <v>1235</v>
      </c>
      <c r="D300" t="s">
        <v>665</v>
      </c>
      <c r="E300" t="s">
        <v>656</v>
      </c>
      <c r="F300" t="s">
        <v>666</v>
      </c>
      <c r="G300" t="s">
        <v>710</v>
      </c>
      <c r="H300" t="s">
        <v>655</v>
      </c>
      <c r="I300" t="s">
        <v>655</v>
      </c>
      <c r="J300" t="s">
        <v>710</v>
      </c>
      <c r="K300" t="s">
        <v>682</v>
      </c>
      <c r="M300" t="s">
        <v>1193</v>
      </c>
      <c r="N300" t="s">
        <v>658</v>
      </c>
      <c r="O300" t="s">
        <v>686</v>
      </c>
    </row>
    <row r="301" spans="2:15">
      <c r="B301" s="23" t="s">
        <v>4258</v>
      </c>
      <c r="C301" t="s">
        <v>1235</v>
      </c>
      <c r="D301" t="s">
        <v>665</v>
      </c>
      <c r="E301" t="s">
        <v>656</v>
      </c>
      <c r="F301" t="s">
        <v>666</v>
      </c>
      <c r="G301" t="s">
        <v>711</v>
      </c>
      <c r="H301" t="s">
        <v>655</v>
      </c>
      <c r="I301" t="s">
        <v>655</v>
      </c>
      <c r="J301" t="s">
        <v>711</v>
      </c>
      <c r="K301" t="s">
        <v>682</v>
      </c>
      <c r="M301" t="s">
        <v>1213</v>
      </c>
      <c r="N301" t="s">
        <v>658</v>
      </c>
      <c r="O301" t="s">
        <v>686</v>
      </c>
    </row>
    <row r="302" spans="2:15">
      <c r="B302" t="str">
        <f>'Grounds Fuels'!$A$8</f>
        <v>FST Grounds maintenance fuel Diesel VIC</v>
      </c>
      <c r="C302" t="s">
        <v>1235</v>
      </c>
      <c r="D302" t="s">
        <v>665</v>
      </c>
      <c r="E302" t="s">
        <v>656</v>
      </c>
      <c r="F302" t="s">
        <v>666</v>
      </c>
      <c r="G302" t="s">
        <v>712</v>
      </c>
      <c r="H302" t="s">
        <v>655</v>
      </c>
      <c r="I302" t="s">
        <v>655</v>
      </c>
      <c r="J302" t="s">
        <v>712</v>
      </c>
      <c r="K302" t="s">
        <v>682</v>
      </c>
      <c r="M302" t="s">
        <v>1189</v>
      </c>
      <c r="N302" t="s">
        <v>658</v>
      </c>
      <c r="O302" t="s">
        <v>686</v>
      </c>
    </row>
    <row r="303" spans="2:15">
      <c r="B303" t="str">
        <f>'Grounds Fuels'!$A$9</f>
        <v>FST Grounds maintenance fuel Diesel WA</v>
      </c>
      <c r="C303" t="s">
        <v>1235</v>
      </c>
      <c r="D303" t="s">
        <v>665</v>
      </c>
      <c r="E303" t="s">
        <v>656</v>
      </c>
      <c r="F303" t="s">
        <v>666</v>
      </c>
      <c r="G303" t="s">
        <v>713</v>
      </c>
      <c r="H303" t="s">
        <v>655</v>
      </c>
      <c r="I303" t="s">
        <v>655</v>
      </c>
      <c r="J303" t="s">
        <v>713</v>
      </c>
      <c r="K303" t="s">
        <v>682</v>
      </c>
      <c r="M303" t="s">
        <v>1216</v>
      </c>
      <c r="N303" t="s">
        <v>658</v>
      </c>
      <c r="O303" t="s">
        <v>686</v>
      </c>
    </row>
    <row r="304" spans="2:15">
      <c r="B304" s="23" t="s">
        <v>4259</v>
      </c>
      <c r="C304" t="s">
        <v>1235</v>
      </c>
      <c r="D304" t="s">
        <v>665</v>
      </c>
      <c r="E304" t="s">
        <v>667</v>
      </c>
      <c r="F304" t="s">
        <v>666</v>
      </c>
      <c r="G304" t="s">
        <v>706</v>
      </c>
      <c r="H304" t="s">
        <v>655</v>
      </c>
      <c r="I304" t="s">
        <v>655</v>
      </c>
      <c r="J304" t="s">
        <v>706</v>
      </c>
      <c r="K304" t="s">
        <v>682</v>
      </c>
      <c r="M304" t="s">
        <v>1190</v>
      </c>
      <c r="N304" t="s">
        <v>658</v>
      </c>
      <c r="O304" t="s">
        <v>686</v>
      </c>
    </row>
    <row r="305" spans="2:15">
      <c r="B305" s="23" t="s">
        <v>4260</v>
      </c>
      <c r="C305" t="s">
        <v>1235</v>
      </c>
      <c r="D305" t="s">
        <v>665</v>
      </c>
      <c r="E305" t="s">
        <v>667</v>
      </c>
      <c r="F305" t="s">
        <v>666</v>
      </c>
      <c r="G305" t="s">
        <v>707</v>
      </c>
      <c r="H305" t="s">
        <v>655</v>
      </c>
      <c r="I305" t="s">
        <v>655</v>
      </c>
      <c r="J305" t="s">
        <v>707</v>
      </c>
      <c r="K305" t="s">
        <v>682</v>
      </c>
      <c r="M305" t="s">
        <v>1192</v>
      </c>
      <c r="N305" t="s">
        <v>658</v>
      </c>
      <c r="O305" t="s">
        <v>686</v>
      </c>
    </row>
    <row r="306" spans="2:15">
      <c r="B306" s="23" t="s">
        <v>4261</v>
      </c>
      <c r="C306" t="s">
        <v>1235</v>
      </c>
      <c r="D306" t="s">
        <v>665</v>
      </c>
      <c r="E306" t="s">
        <v>667</v>
      </c>
      <c r="F306" t="s">
        <v>666</v>
      </c>
      <c r="G306" t="s">
        <v>708</v>
      </c>
      <c r="H306" t="s">
        <v>655</v>
      </c>
      <c r="I306" t="s">
        <v>655</v>
      </c>
      <c r="J306" t="s">
        <v>708</v>
      </c>
      <c r="K306" t="s">
        <v>682</v>
      </c>
      <c r="M306" t="s">
        <v>1208</v>
      </c>
      <c r="N306" t="s">
        <v>658</v>
      </c>
      <c r="O306" t="s">
        <v>686</v>
      </c>
    </row>
    <row r="307" spans="2:15">
      <c r="B307" s="23" t="s">
        <v>4262</v>
      </c>
      <c r="C307" t="s">
        <v>1235</v>
      </c>
      <c r="D307" t="s">
        <v>665</v>
      </c>
      <c r="E307" t="s">
        <v>667</v>
      </c>
      <c r="F307" t="s">
        <v>666</v>
      </c>
      <c r="G307" t="s">
        <v>709</v>
      </c>
      <c r="H307" t="s">
        <v>655</v>
      </c>
      <c r="I307" t="s">
        <v>655</v>
      </c>
      <c r="J307" t="s">
        <v>709</v>
      </c>
      <c r="K307" t="s">
        <v>682</v>
      </c>
      <c r="M307" t="s">
        <v>1210</v>
      </c>
      <c r="N307" t="s">
        <v>658</v>
      </c>
      <c r="O307" t="s">
        <v>686</v>
      </c>
    </row>
    <row r="308" spans="2:15">
      <c r="B308" s="23" t="s">
        <v>4263</v>
      </c>
      <c r="C308" t="s">
        <v>1235</v>
      </c>
      <c r="D308" t="s">
        <v>665</v>
      </c>
      <c r="E308" t="s">
        <v>667</v>
      </c>
      <c r="F308" t="s">
        <v>666</v>
      </c>
      <c r="G308" t="s">
        <v>710</v>
      </c>
      <c r="H308" t="s">
        <v>655</v>
      </c>
      <c r="I308" t="s">
        <v>655</v>
      </c>
      <c r="J308" t="s">
        <v>710</v>
      </c>
      <c r="K308" t="s">
        <v>682</v>
      </c>
      <c r="M308" t="s">
        <v>1193</v>
      </c>
      <c r="N308" t="s">
        <v>658</v>
      </c>
      <c r="O308" t="s">
        <v>686</v>
      </c>
    </row>
    <row r="309" spans="2:15">
      <c r="B309" s="23" t="s">
        <v>4264</v>
      </c>
      <c r="C309" t="s">
        <v>1235</v>
      </c>
      <c r="D309" t="s">
        <v>665</v>
      </c>
      <c r="E309" t="s">
        <v>667</v>
      </c>
      <c r="F309" t="s">
        <v>666</v>
      </c>
      <c r="G309" t="s">
        <v>711</v>
      </c>
      <c r="H309" t="s">
        <v>655</v>
      </c>
      <c r="I309" t="s">
        <v>655</v>
      </c>
      <c r="J309" t="s">
        <v>711</v>
      </c>
      <c r="K309" t="s">
        <v>682</v>
      </c>
      <c r="M309" t="s">
        <v>1213</v>
      </c>
      <c r="N309" t="s">
        <v>658</v>
      </c>
      <c r="O309" t="s">
        <v>686</v>
      </c>
    </row>
    <row r="310" spans="2:15">
      <c r="B310" s="23" t="s">
        <v>4265</v>
      </c>
      <c r="C310" t="s">
        <v>1235</v>
      </c>
      <c r="D310" t="s">
        <v>665</v>
      </c>
      <c r="E310" t="s">
        <v>667</v>
      </c>
      <c r="F310" t="s">
        <v>666</v>
      </c>
      <c r="G310" t="s">
        <v>712</v>
      </c>
      <c r="H310" t="s">
        <v>655</v>
      </c>
      <c r="I310" t="s">
        <v>655</v>
      </c>
      <c r="J310" t="s">
        <v>712</v>
      </c>
      <c r="K310" t="s">
        <v>682</v>
      </c>
      <c r="M310" t="s">
        <v>1189</v>
      </c>
      <c r="N310" t="s">
        <v>658</v>
      </c>
      <c r="O310" t="s">
        <v>686</v>
      </c>
    </row>
    <row r="311" spans="2:15">
      <c r="B311" s="23" t="s">
        <v>4266</v>
      </c>
      <c r="C311" t="s">
        <v>1235</v>
      </c>
      <c r="D311" t="s">
        <v>665</v>
      </c>
      <c r="E311" t="s">
        <v>667</v>
      </c>
      <c r="F311" t="s">
        <v>666</v>
      </c>
      <c r="G311" t="s">
        <v>713</v>
      </c>
      <c r="H311" t="s">
        <v>655</v>
      </c>
      <c r="I311" t="s">
        <v>655</v>
      </c>
      <c r="J311" t="s">
        <v>713</v>
      </c>
      <c r="K311" t="s">
        <v>682</v>
      </c>
      <c r="M311" t="s">
        <v>1216</v>
      </c>
      <c r="N311" t="s">
        <v>658</v>
      </c>
      <c r="O311" t="s">
        <v>686</v>
      </c>
    </row>
    <row r="312" spans="2:15">
      <c r="B312" s="23" t="s">
        <v>4267</v>
      </c>
      <c r="C312" t="s">
        <v>1235</v>
      </c>
      <c r="D312" t="s">
        <v>665</v>
      </c>
      <c r="E312" t="s">
        <v>660</v>
      </c>
      <c r="F312" t="s">
        <v>666</v>
      </c>
      <c r="G312" t="s">
        <v>706</v>
      </c>
      <c r="H312" t="s">
        <v>655</v>
      </c>
      <c r="I312" t="s">
        <v>655</v>
      </c>
      <c r="J312" t="s">
        <v>706</v>
      </c>
      <c r="K312" t="s">
        <v>682</v>
      </c>
      <c r="M312" t="s">
        <v>1190</v>
      </c>
      <c r="N312" t="s">
        <v>658</v>
      </c>
      <c r="O312" t="s">
        <v>686</v>
      </c>
    </row>
    <row r="313" spans="2:15">
      <c r="B313" s="23" t="s">
        <v>4268</v>
      </c>
      <c r="C313" t="s">
        <v>1235</v>
      </c>
      <c r="D313" t="s">
        <v>665</v>
      </c>
      <c r="E313" t="s">
        <v>660</v>
      </c>
      <c r="F313" t="s">
        <v>666</v>
      </c>
      <c r="G313" t="s">
        <v>707</v>
      </c>
      <c r="H313" t="s">
        <v>655</v>
      </c>
      <c r="I313" t="s">
        <v>655</v>
      </c>
      <c r="J313" t="s">
        <v>707</v>
      </c>
      <c r="K313" t="s">
        <v>682</v>
      </c>
      <c r="M313" t="s">
        <v>1192</v>
      </c>
      <c r="N313" t="s">
        <v>658</v>
      </c>
      <c r="O313" t="s">
        <v>686</v>
      </c>
    </row>
    <row r="314" spans="2:15">
      <c r="B314" s="23" t="s">
        <v>4269</v>
      </c>
      <c r="C314" t="s">
        <v>1235</v>
      </c>
      <c r="D314" t="s">
        <v>665</v>
      </c>
      <c r="E314" t="s">
        <v>660</v>
      </c>
      <c r="F314" t="s">
        <v>666</v>
      </c>
      <c r="G314" t="s">
        <v>708</v>
      </c>
      <c r="H314" t="s">
        <v>655</v>
      </c>
      <c r="I314" t="s">
        <v>655</v>
      </c>
      <c r="J314" t="s">
        <v>708</v>
      </c>
      <c r="K314" t="s">
        <v>682</v>
      </c>
      <c r="M314" t="s">
        <v>1208</v>
      </c>
      <c r="N314" t="s">
        <v>658</v>
      </c>
      <c r="O314" t="s">
        <v>686</v>
      </c>
    </row>
    <row r="315" spans="2:15">
      <c r="B315" s="23" t="s">
        <v>4270</v>
      </c>
      <c r="C315" t="s">
        <v>1235</v>
      </c>
      <c r="D315" t="s">
        <v>665</v>
      </c>
      <c r="E315" t="s">
        <v>660</v>
      </c>
      <c r="F315" t="s">
        <v>666</v>
      </c>
      <c r="G315" t="s">
        <v>709</v>
      </c>
      <c r="H315" t="s">
        <v>655</v>
      </c>
      <c r="I315" t="s">
        <v>655</v>
      </c>
      <c r="J315" t="s">
        <v>709</v>
      </c>
      <c r="K315" t="s">
        <v>682</v>
      </c>
      <c r="M315" t="s">
        <v>1210</v>
      </c>
      <c r="N315" t="s">
        <v>658</v>
      </c>
      <c r="O315" t="s">
        <v>686</v>
      </c>
    </row>
    <row r="316" spans="2:15">
      <c r="B316" s="23" t="s">
        <v>4271</v>
      </c>
      <c r="C316" t="s">
        <v>1235</v>
      </c>
      <c r="D316" t="s">
        <v>665</v>
      </c>
      <c r="E316" t="s">
        <v>660</v>
      </c>
      <c r="F316" t="s">
        <v>666</v>
      </c>
      <c r="G316" t="s">
        <v>710</v>
      </c>
      <c r="H316" t="s">
        <v>655</v>
      </c>
      <c r="I316" t="s">
        <v>655</v>
      </c>
      <c r="J316" t="s">
        <v>710</v>
      </c>
      <c r="K316" t="s">
        <v>682</v>
      </c>
      <c r="M316" t="s">
        <v>1193</v>
      </c>
      <c r="N316" t="s">
        <v>658</v>
      </c>
      <c r="O316" t="s">
        <v>686</v>
      </c>
    </row>
    <row r="317" spans="2:15">
      <c r="B317" s="23" t="s">
        <v>4272</v>
      </c>
      <c r="C317" t="s">
        <v>1235</v>
      </c>
      <c r="D317" t="s">
        <v>665</v>
      </c>
      <c r="E317" t="s">
        <v>660</v>
      </c>
      <c r="F317" t="s">
        <v>666</v>
      </c>
      <c r="G317" t="s">
        <v>711</v>
      </c>
      <c r="H317" t="s">
        <v>655</v>
      </c>
      <c r="I317" t="s">
        <v>655</v>
      </c>
      <c r="J317" t="s">
        <v>711</v>
      </c>
      <c r="K317" t="s">
        <v>682</v>
      </c>
      <c r="M317" t="s">
        <v>1213</v>
      </c>
      <c r="N317" t="s">
        <v>658</v>
      </c>
      <c r="O317" t="s">
        <v>686</v>
      </c>
    </row>
    <row r="318" spans="2:15">
      <c r="B318" s="23" t="s">
        <v>4273</v>
      </c>
      <c r="C318" t="s">
        <v>1235</v>
      </c>
      <c r="D318" t="s">
        <v>665</v>
      </c>
      <c r="E318" t="s">
        <v>660</v>
      </c>
      <c r="F318" t="s">
        <v>666</v>
      </c>
      <c r="G318" t="s">
        <v>712</v>
      </c>
      <c r="H318" t="s">
        <v>655</v>
      </c>
      <c r="I318" t="s">
        <v>655</v>
      </c>
      <c r="J318" t="s">
        <v>712</v>
      </c>
      <c r="K318" t="s">
        <v>682</v>
      </c>
      <c r="M318" t="s">
        <v>1189</v>
      </c>
      <c r="N318" t="s">
        <v>658</v>
      </c>
      <c r="O318" t="s">
        <v>686</v>
      </c>
    </row>
    <row r="319" spans="2:15">
      <c r="B319" s="23" t="s">
        <v>4274</v>
      </c>
      <c r="C319" t="s">
        <v>1235</v>
      </c>
      <c r="D319" t="s">
        <v>665</v>
      </c>
      <c r="E319" t="s">
        <v>660</v>
      </c>
      <c r="F319" t="s">
        <v>666</v>
      </c>
      <c r="G319" t="s">
        <v>713</v>
      </c>
      <c r="H319" t="s">
        <v>655</v>
      </c>
      <c r="I319" t="s">
        <v>655</v>
      </c>
      <c r="J319" t="s">
        <v>713</v>
      </c>
      <c r="K319" t="s">
        <v>682</v>
      </c>
      <c r="M319" t="s">
        <v>1216</v>
      </c>
      <c r="N319" t="s">
        <v>658</v>
      </c>
      <c r="O319" t="s">
        <v>686</v>
      </c>
    </row>
    <row r="320" spans="2:15">
      <c r="B320" t="str">
        <f>'Grounds Fuels'!$A10</f>
        <v>FST Grounds maintenance fuel Petrol ACT</v>
      </c>
      <c r="C320" t="s">
        <v>1235</v>
      </c>
      <c r="D320" t="s">
        <v>665</v>
      </c>
      <c r="E320" t="s">
        <v>659</v>
      </c>
      <c r="F320" t="s">
        <v>666</v>
      </c>
      <c r="G320" t="s">
        <v>706</v>
      </c>
      <c r="H320" t="s">
        <v>655</v>
      </c>
      <c r="I320" t="s">
        <v>655</v>
      </c>
      <c r="J320" t="s">
        <v>706</v>
      </c>
      <c r="K320" t="s">
        <v>682</v>
      </c>
      <c r="M320" t="s">
        <v>1190</v>
      </c>
      <c r="N320" t="s">
        <v>658</v>
      </c>
      <c r="O320" t="s">
        <v>686</v>
      </c>
    </row>
    <row r="321" spans="2:15">
      <c r="B321" t="str">
        <f>'Grounds Fuels'!$A11</f>
        <v>FST Grounds maintenance fuel Petrol NSW</v>
      </c>
      <c r="C321" t="s">
        <v>1235</v>
      </c>
      <c r="D321" t="s">
        <v>665</v>
      </c>
      <c r="E321" t="s">
        <v>659</v>
      </c>
      <c r="F321" t="s">
        <v>666</v>
      </c>
      <c r="G321" t="s">
        <v>707</v>
      </c>
      <c r="H321" t="s">
        <v>655</v>
      </c>
      <c r="I321" t="s">
        <v>655</v>
      </c>
      <c r="J321" t="s">
        <v>707</v>
      </c>
      <c r="K321" t="s">
        <v>682</v>
      </c>
      <c r="M321" t="s">
        <v>1192</v>
      </c>
      <c r="N321" t="s">
        <v>658</v>
      </c>
      <c r="O321" t="s">
        <v>686</v>
      </c>
    </row>
    <row r="322" spans="2:15">
      <c r="B322" t="str">
        <f>'Grounds Fuels'!$A12</f>
        <v>FST Grounds maintenance fuel Petrol NT</v>
      </c>
      <c r="C322" t="s">
        <v>1235</v>
      </c>
      <c r="D322" t="s">
        <v>665</v>
      </c>
      <c r="E322" t="s">
        <v>659</v>
      </c>
      <c r="F322" t="s">
        <v>666</v>
      </c>
      <c r="G322" t="s">
        <v>708</v>
      </c>
      <c r="H322" t="s">
        <v>655</v>
      </c>
      <c r="I322" t="s">
        <v>655</v>
      </c>
      <c r="J322" t="s">
        <v>708</v>
      </c>
      <c r="K322" t="s">
        <v>682</v>
      </c>
      <c r="M322" t="s">
        <v>1208</v>
      </c>
      <c r="N322" t="s">
        <v>658</v>
      </c>
      <c r="O322" t="s">
        <v>686</v>
      </c>
    </row>
    <row r="323" spans="2:15">
      <c r="B323" t="str">
        <f>'Grounds Fuels'!$A13</f>
        <v>FST Grounds maintenance fuel Petrol QLD</v>
      </c>
      <c r="C323" t="s">
        <v>1235</v>
      </c>
      <c r="D323" t="s">
        <v>665</v>
      </c>
      <c r="E323" t="s">
        <v>659</v>
      </c>
      <c r="F323" t="s">
        <v>666</v>
      </c>
      <c r="G323" t="s">
        <v>709</v>
      </c>
      <c r="H323" t="s">
        <v>655</v>
      </c>
      <c r="I323" t="s">
        <v>655</v>
      </c>
      <c r="J323" t="s">
        <v>709</v>
      </c>
      <c r="K323" t="s">
        <v>682</v>
      </c>
      <c r="M323" t="s">
        <v>1210</v>
      </c>
      <c r="N323" t="s">
        <v>658</v>
      </c>
      <c r="O323" t="s">
        <v>686</v>
      </c>
    </row>
    <row r="324" spans="2:15">
      <c r="B324" t="str">
        <f>'Grounds Fuels'!$A14</f>
        <v>FST Grounds maintenance fuel Petrol SA</v>
      </c>
      <c r="C324" t="s">
        <v>1235</v>
      </c>
      <c r="D324" t="s">
        <v>665</v>
      </c>
      <c r="E324" t="s">
        <v>659</v>
      </c>
      <c r="F324" t="s">
        <v>666</v>
      </c>
      <c r="G324" t="s">
        <v>710</v>
      </c>
      <c r="H324" t="s">
        <v>655</v>
      </c>
      <c r="I324" t="s">
        <v>655</v>
      </c>
      <c r="J324" t="s">
        <v>710</v>
      </c>
      <c r="K324" t="s">
        <v>682</v>
      </c>
      <c r="M324" t="s">
        <v>1193</v>
      </c>
      <c r="N324" t="s">
        <v>658</v>
      </c>
      <c r="O324" t="s">
        <v>686</v>
      </c>
    </row>
    <row r="325" spans="2:15">
      <c r="B325" t="str">
        <f>'Grounds Fuels'!$A15</f>
        <v>FST Grounds maintenance fuel Petrol TAS</v>
      </c>
      <c r="C325" t="s">
        <v>1235</v>
      </c>
      <c r="D325" t="s">
        <v>665</v>
      </c>
      <c r="E325" t="s">
        <v>659</v>
      </c>
      <c r="F325" t="s">
        <v>666</v>
      </c>
      <c r="G325" t="s">
        <v>711</v>
      </c>
      <c r="H325" t="s">
        <v>655</v>
      </c>
      <c r="I325" t="s">
        <v>655</v>
      </c>
      <c r="J325" t="s">
        <v>711</v>
      </c>
      <c r="K325" t="s">
        <v>682</v>
      </c>
      <c r="M325" t="s">
        <v>1213</v>
      </c>
      <c r="N325" t="s">
        <v>658</v>
      </c>
      <c r="O325" t="s">
        <v>686</v>
      </c>
    </row>
    <row r="326" spans="2:15">
      <c r="B326" t="str">
        <f>'Grounds Fuels'!$A16</f>
        <v>FST Grounds maintenance fuel Petrol VIC</v>
      </c>
      <c r="C326" t="s">
        <v>1235</v>
      </c>
      <c r="D326" t="s">
        <v>665</v>
      </c>
      <c r="E326" t="s">
        <v>659</v>
      </c>
      <c r="F326" t="s">
        <v>666</v>
      </c>
      <c r="G326" t="s">
        <v>712</v>
      </c>
      <c r="H326" t="s">
        <v>655</v>
      </c>
      <c r="I326" t="s">
        <v>655</v>
      </c>
      <c r="J326" t="s">
        <v>712</v>
      </c>
      <c r="K326" t="s">
        <v>682</v>
      </c>
      <c r="M326" t="s">
        <v>1189</v>
      </c>
      <c r="N326" t="s">
        <v>658</v>
      </c>
      <c r="O326" t="s">
        <v>686</v>
      </c>
    </row>
    <row r="327" spans="2:15">
      <c r="B327" t="str">
        <f>'Grounds Fuels'!$A17</f>
        <v>FST Grounds maintenance fuel Petrol WA</v>
      </c>
      <c r="C327" t="s">
        <v>1235</v>
      </c>
      <c r="D327" t="s">
        <v>665</v>
      </c>
      <c r="E327" t="s">
        <v>659</v>
      </c>
      <c r="F327" t="s">
        <v>666</v>
      </c>
      <c r="G327" t="s">
        <v>713</v>
      </c>
      <c r="H327" t="s">
        <v>655</v>
      </c>
      <c r="I327" t="s">
        <v>655</v>
      </c>
      <c r="J327" t="s">
        <v>713</v>
      </c>
      <c r="K327" t="s">
        <v>682</v>
      </c>
      <c r="M327" t="s">
        <v>1216</v>
      </c>
      <c r="N327" t="s">
        <v>658</v>
      </c>
      <c r="O327" t="s">
        <v>686</v>
      </c>
    </row>
    <row r="328" spans="2:15">
      <c r="B328" t="s">
        <v>1063</v>
      </c>
      <c r="C328" t="s">
        <v>1235</v>
      </c>
      <c r="D328" t="s">
        <v>665</v>
      </c>
      <c r="E328" t="s">
        <v>659</v>
      </c>
      <c r="F328" t="s">
        <v>666</v>
      </c>
      <c r="G328" t="s">
        <v>708</v>
      </c>
      <c r="H328" t="s">
        <v>655</v>
      </c>
      <c r="I328" t="s">
        <v>655</v>
      </c>
      <c r="J328" t="s">
        <v>708</v>
      </c>
      <c r="K328" t="s">
        <v>682</v>
      </c>
      <c r="M328" t="s">
        <v>1208</v>
      </c>
      <c r="N328" t="s">
        <v>658</v>
      </c>
      <c r="O328" t="s">
        <v>686</v>
      </c>
    </row>
    <row r="329" spans="2:15">
      <c r="B329" t="s">
        <v>1064</v>
      </c>
      <c r="C329" t="s">
        <v>1235</v>
      </c>
      <c r="D329" t="s">
        <v>665</v>
      </c>
      <c r="E329" t="s">
        <v>659</v>
      </c>
      <c r="F329" t="s">
        <v>666</v>
      </c>
      <c r="G329" t="s">
        <v>709</v>
      </c>
      <c r="H329" t="s">
        <v>655</v>
      </c>
      <c r="I329" t="s">
        <v>655</v>
      </c>
      <c r="J329" t="s">
        <v>709</v>
      </c>
      <c r="K329" t="s">
        <v>682</v>
      </c>
      <c r="M329" t="s">
        <v>1210</v>
      </c>
      <c r="N329" t="s">
        <v>658</v>
      </c>
      <c r="O329" t="s">
        <v>686</v>
      </c>
    </row>
    <row r="330" spans="2:15">
      <c r="B330" t="s">
        <v>1065</v>
      </c>
      <c r="C330" t="s">
        <v>1235</v>
      </c>
      <c r="D330" t="s">
        <v>665</v>
      </c>
      <c r="E330" t="s">
        <v>659</v>
      </c>
      <c r="F330" t="s">
        <v>666</v>
      </c>
      <c r="G330" t="s">
        <v>713</v>
      </c>
      <c r="H330" t="s">
        <v>655</v>
      </c>
      <c r="I330" t="s">
        <v>655</v>
      </c>
      <c r="J330" t="s">
        <v>713</v>
      </c>
      <c r="K330" t="s">
        <v>682</v>
      </c>
      <c r="M330" t="s">
        <v>1216</v>
      </c>
      <c r="N330" t="s">
        <v>658</v>
      </c>
      <c r="O330" t="s">
        <v>686</v>
      </c>
    </row>
    <row r="331" spans="2:15">
      <c r="B331" t="s">
        <v>956</v>
      </c>
      <c r="C331" t="s">
        <v>4275</v>
      </c>
      <c r="D331" t="s">
        <v>665</v>
      </c>
      <c r="E331" t="s">
        <v>656</v>
      </c>
      <c r="F331" t="s">
        <v>666</v>
      </c>
      <c r="G331" t="s">
        <v>707</v>
      </c>
      <c r="H331" t="s">
        <v>655</v>
      </c>
      <c r="I331" t="s">
        <v>655</v>
      </c>
      <c r="J331" t="s">
        <v>707</v>
      </c>
      <c r="K331" t="s">
        <v>682</v>
      </c>
      <c r="M331" t="s">
        <v>1192</v>
      </c>
      <c r="N331" t="s">
        <v>658</v>
      </c>
      <c r="O331" t="s">
        <v>686</v>
      </c>
    </row>
    <row r="332" spans="2:15">
      <c r="B332" t="s">
        <v>957</v>
      </c>
      <c r="C332" t="s">
        <v>4275</v>
      </c>
      <c r="D332" t="s">
        <v>665</v>
      </c>
      <c r="E332" t="s">
        <v>656</v>
      </c>
      <c r="F332" t="s">
        <v>666</v>
      </c>
      <c r="G332" t="s">
        <v>708</v>
      </c>
      <c r="H332" t="s">
        <v>655</v>
      </c>
      <c r="I332" t="s">
        <v>655</v>
      </c>
      <c r="J332" t="s">
        <v>709</v>
      </c>
      <c r="K332" t="s">
        <v>682</v>
      </c>
      <c r="M332" t="s">
        <v>1210</v>
      </c>
      <c r="N332" t="s">
        <v>658</v>
      </c>
      <c r="O332" t="s">
        <v>686</v>
      </c>
    </row>
    <row r="333" spans="2:15">
      <c r="B333" t="s">
        <v>958</v>
      </c>
      <c r="C333" t="s">
        <v>4275</v>
      </c>
      <c r="D333" t="s">
        <v>665</v>
      </c>
      <c r="E333" t="s">
        <v>656</v>
      </c>
      <c r="F333" t="s">
        <v>666</v>
      </c>
      <c r="G333" t="s">
        <v>709</v>
      </c>
      <c r="H333" t="s">
        <v>655</v>
      </c>
      <c r="I333" t="s">
        <v>655</v>
      </c>
      <c r="J333" t="s">
        <v>710</v>
      </c>
      <c r="K333" t="s">
        <v>682</v>
      </c>
      <c r="M333" t="s">
        <v>1193</v>
      </c>
      <c r="N333" t="s">
        <v>658</v>
      </c>
      <c r="O333" t="s">
        <v>686</v>
      </c>
    </row>
    <row r="334" spans="2:15">
      <c r="B334" t="s">
        <v>959</v>
      </c>
      <c r="C334" t="s">
        <v>4275</v>
      </c>
      <c r="D334" t="s">
        <v>665</v>
      </c>
      <c r="E334" t="s">
        <v>656</v>
      </c>
      <c r="F334" t="s">
        <v>666</v>
      </c>
      <c r="G334" t="s">
        <v>710</v>
      </c>
      <c r="H334" t="s">
        <v>655</v>
      </c>
      <c r="I334" t="s">
        <v>655</v>
      </c>
      <c r="J334" t="s">
        <v>711</v>
      </c>
      <c r="K334" t="s">
        <v>682</v>
      </c>
      <c r="M334" t="s">
        <v>1213</v>
      </c>
      <c r="N334" t="s">
        <v>658</v>
      </c>
      <c r="O334" t="s">
        <v>686</v>
      </c>
    </row>
    <row r="335" spans="2:15">
      <c r="B335" t="s">
        <v>960</v>
      </c>
      <c r="C335" t="s">
        <v>4275</v>
      </c>
      <c r="D335" t="s">
        <v>665</v>
      </c>
      <c r="E335" t="s">
        <v>656</v>
      </c>
      <c r="F335" t="s">
        <v>666</v>
      </c>
      <c r="G335" t="s">
        <v>711</v>
      </c>
      <c r="H335" t="s">
        <v>655</v>
      </c>
      <c r="I335" t="s">
        <v>655</v>
      </c>
      <c r="J335" t="s">
        <v>712</v>
      </c>
      <c r="K335" t="s">
        <v>682</v>
      </c>
      <c r="M335" t="s">
        <v>1189</v>
      </c>
      <c r="N335" t="s">
        <v>658</v>
      </c>
      <c r="O335" t="s">
        <v>686</v>
      </c>
    </row>
    <row r="336" spans="2:15">
      <c r="B336" t="s">
        <v>961</v>
      </c>
      <c r="C336" t="s">
        <v>4275</v>
      </c>
      <c r="D336" t="s">
        <v>665</v>
      </c>
      <c r="E336" t="s">
        <v>656</v>
      </c>
      <c r="F336" t="s">
        <v>666</v>
      </c>
      <c r="G336" t="s">
        <v>712</v>
      </c>
      <c r="H336" t="s">
        <v>655</v>
      </c>
      <c r="I336" t="s">
        <v>655</v>
      </c>
      <c r="J336" t="s">
        <v>713</v>
      </c>
      <c r="K336" t="s">
        <v>682</v>
      </c>
      <c r="M336" t="s">
        <v>1216</v>
      </c>
      <c r="N336" t="s">
        <v>658</v>
      </c>
      <c r="O336" t="s">
        <v>686</v>
      </c>
    </row>
    <row r="337" spans="2:15">
      <c r="B337" t="s">
        <v>962</v>
      </c>
      <c r="C337" t="s">
        <v>4275</v>
      </c>
      <c r="D337" t="s">
        <v>665</v>
      </c>
      <c r="E337" t="s">
        <v>656</v>
      </c>
      <c r="F337" t="s">
        <v>666</v>
      </c>
      <c r="G337" t="s">
        <v>713</v>
      </c>
      <c r="H337" t="s">
        <v>655</v>
      </c>
      <c r="I337" t="s">
        <v>655</v>
      </c>
      <c r="J337" t="s">
        <v>708</v>
      </c>
      <c r="K337" t="s">
        <v>682</v>
      </c>
      <c r="M337" t="s">
        <v>1208</v>
      </c>
      <c r="N337" t="s">
        <v>658</v>
      </c>
      <c r="O337" t="s">
        <v>686</v>
      </c>
    </row>
    <row r="338" spans="2:15">
      <c r="B338" t="str">
        <f>Solar!$B3</f>
        <v>Solar Generation ACT</v>
      </c>
      <c r="C338" t="s">
        <v>4276</v>
      </c>
      <c r="D338" t="s">
        <v>661</v>
      </c>
      <c r="E338" t="s">
        <v>664</v>
      </c>
      <c r="F338" t="s">
        <v>662</v>
      </c>
      <c r="G338" t="s">
        <v>706</v>
      </c>
      <c r="H338" t="s">
        <v>655</v>
      </c>
      <c r="I338" t="s">
        <v>655</v>
      </c>
      <c r="J338" t="s">
        <v>706</v>
      </c>
      <c r="K338" t="s">
        <v>682</v>
      </c>
      <c r="M338" t="s">
        <v>1190</v>
      </c>
      <c r="N338" t="s">
        <v>663</v>
      </c>
      <c r="O338" t="s">
        <v>686</v>
      </c>
    </row>
    <row r="339" spans="2:15">
      <c r="B339" t="str">
        <f>Solar!$B4</f>
        <v>Solar Generation NSW</v>
      </c>
      <c r="C339" t="s">
        <v>4276</v>
      </c>
      <c r="D339" t="s">
        <v>661</v>
      </c>
      <c r="E339" t="s">
        <v>664</v>
      </c>
      <c r="F339" t="s">
        <v>662</v>
      </c>
      <c r="G339" t="s">
        <v>707</v>
      </c>
      <c r="H339" t="s">
        <v>655</v>
      </c>
      <c r="I339" t="s">
        <v>655</v>
      </c>
      <c r="J339" t="s">
        <v>707</v>
      </c>
      <c r="K339" t="s">
        <v>682</v>
      </c>
      <c r="M339" t="s">
        <v>1192</v>
      </c>
      <c r="N339" t="s">
        <v>663</v>
      </c>
      <c r="O339" t="s">
        <v>686</v>
      </c>
    </row>
    <row r="340" spans="2:15">
      <c r="B340" t="str">
        <f>Solar!$B5</f>
        <v>Solar Generation NT</v>
      </c>
      <c r="C340" t="s">
        <v>4276</v>
      </c>
      <c r="D340" t="s">
        <v>661</v>
      </c>
      <c r="E340" t="s">
        <v>664</v>
      </c>
      <c r="F340" t="s">
        <v>662</v>
      </c>
      <c r="G340" t="s">
        <v>708</v>
      </c>
      <c r="H340" t="s">
        <v>655</v>
      </c>
      <c r="I340" t="s">
        <v>655</v>
      </c>
      <c r="J340" t="s">
        <v>708</v>
      </c>
      <c r="K340" t="s">
        <v>682</v>
      </c>
      <c r="M340" t="s">
        <v>1208</v>
      </c>
      <c r="N340" t="s">
        <v>663</v>
      </c>
      <c r="O340" t="s">
        <v>686</v>
      </c>
    </row>
    <row r="341" spans="2:15">
      <c r="B341" t="str">
        <f>Solar!$B6</f>
        <v>Solar Generation QLD</v>
      </c>
      <c r="C341" t="s">
        <v>4276</v>
      </c>
      <c r="D341" t="s">
        <v>661</v>
      </c>
      <c r="E341" t="s">
        <v>664</v>
      </c>
      <c r="F341" t="s">
        <v>662</v>
      </c>
      <c r="G341" t="s">
        <v>709</v>
      </c>
      <c r="H341" t="s">
        <v>655</v>
      </c>
      <c r="I341" t="s">
        <v>655</v>
      </c>
      <c r="J341" t="s">
        <v>709</v>
      </c>
      <c r="K341" t="s">
        <v>682</v>
      </c>
      <c r="M341" t="s">
        <v>1210</v>
      </c>
      <c r="N341" t="s">
        <v>663</v>
      </c>
      <c r="O341" t="s">
        <v>686</v>
      </c>
    </row>
    <row r="342" spans="2:15">
      <c r="B342" t="str">
        <f>Solar!$B7</f>
        <v>Solar Generation SA</v>
      </c>
      <c r="C342" t="s">
        <v>4276</v>
      </c>
      <c r="D342" t="s">
        <v>661</v>
      </c>
      <c r="E342" t="s">
        <v>664</v>
      </c>
      <c r="F342" t="s">
        <v>662</v>
      </c>
      <c r="G342" t="s">
        <v>710</v>
      </c>
      <c r="H342" t="s">
        <v>655</v>
      </c>
      <c r="I342" t="s">
        <v>655</v>
      </c>
      <c r="J342" t="s">
        <v>710</v>
      </c>
      <c r="K342" t="s">
        <v>682</v>
      </c>
      <c r="M342" t="s">
        <v>1193</v>
      </c>
      <c r="N342" t="s">
        <v>663</v>
      </c>
      <c r="O342" t="s">
        <v>686</v>
      </c>
    </row>
    <row r="343" spans="2:15">
      <c r="B343" t="str">
        <f>Solar!$B8</f>
        <v>Solar Generation TAS</v>
      </c>
      <c r="C343" t="s">
        <v>4276</v>
      </c>
      <c r="D343" t="s">
        <v>661</v>
      </c>
      <c r="E343" t="s">
        <v>664</v>
      </c>
      <c r="F343" t="s">
        <v>662</v>
      </c>
      <c r="G343" t="s">
        <v>711</v>
      </c>
      <c r="H343" t="s">
        <v>655</v>
      </c>
      <c r="I343" t="s">
        <v>655</v>
      </c>
      <c r="J343" t="s">
        <v>711</v>
      </c>
      <c r="K343" t="s">
        <v>682</v>
      </c>
      <c r="M343" t="s">
        <v>1213</v>
      </c>
      <c r="N343" t="s">
        <v>663</v>
      </c>
      <c r="O343" t="s">
        <v>686</v>
      </c>
    </row>
    <row r="344" spans="2:15">
      <c r="B344" t="str">
        <f>Solar!$B9</f>
        <v>Solar Generation VIC</v>
      </c>
      <c r="C344" t="s">
        <v>4276</v>
      </c>
      <c r="D344" t="s">
        <v>661</v>
      </c>
      <c r="E344" t="s">
        <v>664</v>
      </c>
      <c r="F344" t="s">
        <v>662</v>
      </c>
      <c r="G344" t="s">
        <v>712</v>
      </c>
      <c r="H344" t="s">
        <v>655</v>
      </c>
      <c r="I344" t="s">
        <v>655</v>
      </c>
      <c r="J344" t="s">
        <v>712</v>
      </c>
      <c r="K344" t="s">
        <v>682</v>
      </c>
      <c r="M344" t="s">
        <v>1189</v>
      </c>
      <c r="N344" t="s">
        <v>663</v>
      </c>
      <c r="O344" t="s">
        <v>686</v>
      </c>
    </row>
    <row r="345" spans="2:15">
      <c r="B345" t="str">
        <f>Solar!$B10</f>
        <v>Solar Generation WA</v>
      </c>
      <c r="C345" t="s">
        <v>4276</v>
      </c>
      <c r="D345" t="s">
        <v>661</v>
      </c>
      <c r="E345" t="s">
        <v>664</v>
      </c>
      <c r="F345" t="s">
        <v>662</v>
      </c>
      <c r="G345" t="s">
        <v>713</v>
      </c>
      <c r="H345" t="s">
        <v>655</v>
      </c>
      <c r="I345" t="s">
        <v>655</v>
      </c>
      <c r="J345" t="s">
        <v>713</v>
      </c>
      <c r="K345" t="s">
        <v>682</v>
      </c>
      <c r="M345" t="s">
        <v>1216</v>
      </c>
      <c r="N345" t="s">
        <v>663</v>
      </c>
      <c r="O345" t="s">
        <v>686</v>
      </c>
    </row>
    <row r="346" spans="2:15">
      <c r="B346" t="str">
        <f>'Percentage Estimates 21'!$A4</f>
        <v>Estimates Electricity ACT</v>
      </c>
      <c r="C346" t="s">
        <v>4277</v>
      </c>
      <c r="D346" t="s">
        <v>661</v>
      </c>
      <c r="E346" t="s">
        <v>155</v>
      </c>
      <c r="F346" t="s">
        <v>662</v>
      </c>
      <c r="G346" t="s">
        <v>679</v>
      </c>
      <c r="H346" t="s">
        <v>655</v>
      </c>
      <c r="I346" t="s">
        <v>679</v>
      </c>
      <c r="J346" t="s">
        <v>679</v>
      </c>
      <c r="K346" t="s">
        <v>679</v>
      </c>
      <c r="M346" t="s">
        <v>1190</v>
      </c>
      <c r="N346" t="s">
        <v>663</v>
      </c>
      <c r="O346" t="s">
        <v>104</v>
      </c>
    </row>
    <row r="347" spans="2:15">
      <c r="B347" t="str">
        <f>'Percentage Estimates 21'!$A5</f>
        <v>Estimates Electricity NSW</v>
      </c>
      <c r="C347" t="s">
        <v>4277</v>
      </c>
      <c r="D347" t="s">
        <v>661</v>
      </c>
      <c r="E347" t="s">
        <v>155</v>
      </c>
      <c r="F347" t="s">
        <v>662</v>
      </c>
      <c r="G347" t="s">
        <v>679</v>
      </c>
      <c r="H347" t="s">
        <v>655</v>
      </c>
      <c r="I347" t="s">
        <v>679</v>
      </c>
      <c r="J347" t="s">
        <v>679</v>
      </c>
      <c r="K347" t="s">
        <v>679</v>
      </c>
      <c r="M347" t="s">
        <v>1192</v>
      </c>
      <c r="N347" t="s">
        <v>663</v>
      </c>
      <c r="O347" t="s">
        <v>104</v>
      </c>
    </row>
    <row r="348" spans="2:15">
      <c r="B348" t="str">
        <f>'Percentage Estimates 21'!$A6</f>
        <v>Estimates Electricity QLD</v>
      </c>
      <c r="C348" t="s">
        <v>4277</v>
      </c>
      <c r="D348" t="s">
        <v>661</v>
      </c>
      <c r="E348" t="s">
        <v>155</v>
      </c>
      <c r="F348" t="s">
        <v>662</v>
      </c>
      <c r="G348" t="s">
        <v>679</v>
      </c>
      <c r="H348" t="s">
        <v>655</v>
      </c>
      <c r="I348" t="s">
        <v>679</v>
      </c>
      <c r="J348" t="s">
        <v>679</v>
      </c>
      <c r="K348" t="s">
        <v>679</v>
      </c>
      <c r="M348" t="s">
        <v>1210</v>
      </c>
      <c r="N348" t="s">
        <v>663</v>
      </c>
      <c r="O348" t="s">
        <v>104</v>
      </c>
    </row>
    <row r="349" spans="2:15">
      <c r="B349" t="str">
        <f>'Percentage Estimates 21'!$A7</f>
        <v>Estimates Electricity SA</v>
      </c>
      <c r="C349" t="s">
        <v>4277</v>
      </c>
      <c r="D349" t="s">
        <v>661</v>
      </c>
      <c r="E349" t="s">
        <v>155</v>
      </c>
      <c r="F349" t="s">
        <v>662</v>
      </c>
      <c r="G349" t="s">
        <v>679</v>
      </c>
      <c r="H349" t="s">
        <v>655</v>
      </c>
      <c r="I349" t="s">
        <v>679</v>
      </c>
      <c r="J349" t="s">
        <v>679</v>
      </c>
      <c r="K349" t="s">
        <v>679</v>
      </c>
      <c r="M349" t="s">
        <v>1193</v>
      </c>
      <c r="N349" t="s">
        <v>663</v>
      </c>
      <c r="O349" t="s">
        <v>104</v>
      </c>
    </row>
    <row r="350" spans="2:15">
      <c r="B350" t="str">
        <f>'Percentage Estimates 21'!$A8</f>
        <v>Estimates Electricity VIC</v>
      </c>
      <c r="C350" t="s">
        <v>4277</v>
      </c>
      <c r="D350" t="s">
        <v>661</v>
      </c>
      <c r="E350" t="s">
        <v>155</v>
      </c>
      <c r="F350" t="s">
        <v>662</v>
      </c>
      <c r="G350" t="s">
        <v>679</v>
      </c>
      <c r="H350" t="s">
        <v>655</v>
      </c>
      <c r="I350" t="s">
        <v>679</v>
      </c>
      <c r="J350" t="s">
        <v>679</v>
      </c>
      <c r="K350" t="s">
        <v>679</v>
      </c>
      <c r="M350" t="s">
        <v>1189</v>
      </c>
      <c r="N350" t="s">
        <v>663</v>
      </c>
      <c r="O350" t="s">
        <v>104</v>
      </c>
    </row>
    <row r="351" spans="2:15">
      <c r="B351" t="str">
        <f>'Percentage Estimates 21'!$A9</f>
        <v>Estimates Electricity WA</v>
      </c>
      <c r="C351" t="s">
        <v>4277</v>
      </c>
      <c r="D351" t="s">
        <v>661</v>
      </c>
      <c r="E351" t="s">
        <v>155</v>
      </c>
      <c r="F351" t="s">
        <v>662</v>
      </c>
      <c r="G351" t="s">
        <v>679</v>
      </c>
      <c r="H351" t="s">
        <v>655</v>
      </c>
      <c r="I351" t="s">
        <v>679</v>
      </c>
      <c r="J351" t="s">
        <v>679</v>
      </c>
      <c r="K351" t="s">
        <v>679</v>
      </c>
      <c r="M351" t="s">
        <v>1216</v>
      </c>
      <c r="N351" t="s">
        <v>663</v>
      </c>
      <c r="O351" t="s">
        <v>104</v>
      </c>
    </row>
    <row r="352" spans="2:15">
      <c r="B352" t="str">
        <f>'Percentage Estimates 21'!$A$10</f>
        <v>Estimates Non-transport Gas VIC</v>
      </c>
      <c r="C352" t="s">
        <v>4278</v>
      </c>
      <c r="D352" t="s">
        <v>665</v>
      </c>
      <c r="E352" t="s">
        <v>668</v>
      </c>
      <c r="F352" t="s">
        <v>666</v>
      </c>
      <c r="G352" t="s">
        <v>679</v>
      </c>
      <c r="H352" t="s">
        <v>655</v>
      </c>
      <c r="I352" t="s">
        <v>679</v>
      </c>
      <c r="J352" t="s">
        <v>679</v>
      </c>
      <c r="K352" t="s">
        <v>679</v>
      </c>
      <c r="M352" t="s">
        <v>1189</v>
      </c>
      <c r="N352" t="s">
        <v>669</v>
      </c>
      <c r="O352" t="s">
        <v>104</v>
      </c>
    </row>
    <row r="353" spans="1:15">
      <c r="B353" t="str">
        <f>'Percentage Estimates 21'!$A$11</f>
        <v>Estimates Non-transport Diesel NSW</v>
      </c>
      <c r="C353" t="s">
        <v>4279</v>
      </c>
      <c r="D353" t="s">
        <v>155</v>
      </c>
      <c r="E353" t="s">
        <v>656</v>
      </c>
      <c r="F353" t="s">
        <v>657</v>
      </c>
      <c r="G353" t="s">
        <v>679</v>
      </c>
      <c r="H353" t="s">
        <v>655</v>
      </c>
      <c r="I353" t="s">
        <v>679</v>
      </c>
      <c r="J353" t="s">
        <v>679</v>
      </c>
      <c r="K353" t="s">
        <v>679</v>
      </c>
      <c r="M353" t="s">
        <v>1192</v>
      </c>
      <c r="N353" t="s">
        <v>787</v>
      </c>
      <c r="O353" t="s">
        <v>104</v>
      </c>
    </row>
    <row r="354" spans="1:15">
      <c r="B354" t="s">
        <v>786</v>
      </c>
      <c r="C354" t="s">
        <v>4280</v>
      </c>
      <c r="D354" t="s">
        <v>671</v>
      </c>
      <c r="E354" t="s">
        <v>656</v>
      </c>
      <c r="F354" t="s">
        <v>672</v>
      </c>
      <c r="G354" t="s">
        <v>679</v>
      </c>
      <c r="H354" t="s">
        <v>655</v>
      </c>
      <c r="I354" t="s">
        <v>679</v>
      </c>
      <c r="J354" t="s">
        <v>679</v>
      </c>
      <c r="K354" t="s">
        <v>679</v>
      </c>
      <c r="M354" t="s">
        <v>1190</v>
      </c>
      <c r="N354" t="s">
        <v>787</v>
      </c>
      <c r="O354" t="s">
        <v>104</v>
      </c>
    </row>
    <row r="355" spans="1:15">
      <c r="B355" t="s">
        <v>788</v>
      </c>
      <c r="C355" t="s">
        <v>4280</v>
      </c>
      <c r="D355" t="s">
        <v>671</v>
      </c>
      <c r="E355" t="s">
        <v>656</v>
      </c>
      <c r="F355" t="s">
        <v>672</v>
      </c>
      <c r="G355" t="s">
        <v>679</v>
      </c>
      <c r="H355" t="s">
        <v>655</v>
      </c>
      <c r="I355" t="s">
        <v>679</v>
      </c>
      <c r="J355" t="s">
        <v>679</v>
      </c>
      <c r="K355" t="s">
        <v>679</v>
      </c>
      <c r="M355" t="s">
        <v>1192</v>
      </c>
      <c r="N355" t="s">
        <v>787</v>
      </c>
      <c r="O355" t="s">
        <v>104</v>
      </c>
    </row>
    <row r="356" spans="1:15">
      <c r="B356" t="s">
        <v>789</v>
      </c>
      <c r="C356" t="s">
        <v>4280</v>
      </c>
      <c r="D356" t="s">
        <v>671</v>
      </c>
      <c r="E356" t="s">
        <v>656</v>
      </c>
      <c r="F356" t="s">
        <v>672</v>
      </c>
      <c r="G356" t="s">
        <v>679</v>
      </c>
      <c r="H356" t="s">
        <v>655</v>
      </c>
      <c r="I356" t="s">
        <v>679</v>
      </c>
      <c r="J356" t="s">
        <v>679</v>
      </c>
      <c r="K356" t="s">
        <v>679</v>
      </c>
      <c r="M356" t="s">
        <v>1210</v>
      </c>
      <c r="N356" t="s">
        <v>787</v>
      </c>
      <c r="O356" t="s">
        <v>104</v>
      </c>
    </row>
    <row r="357" spans="1:15">
      <c r="B357" t="s">
        <v>790</v>
      </c>
      <c r="C357" t="s">
        <v>4280</v>
      </c>
      <c r="D357" t="s">
        <v>671</v>
      </c>
      <c r="E357" t="s">
        <v>656</v>
      </c>
      <c r="F357" t="s">
        <v>672</v>
      </c>
      <c r="G357" t="s">
        <v>679</v>
      </c>
      <c r="H357" t="s">
        <v>655</v>
      </c>
      <c r="I357" t="s">
        <v>679</v>
      </c>
      <c r="J357" t="s">
        <v>679</v>
      </c>
      <c r="K357" t="s">
        <v>679</v>
      </c>
      <c r="M357" t="s">
        <v>1189</v>
      </c>
      <c r="N357" t="s">
        <v>787</v>
      </c>
      <c r="O357" t="s">
        <v>104</v>
      </c>
    </row>
    <row r="358" spans="1:15">
      <c r="B358" t="s">
        <v>791</v>
      </c>
      <c r="C358" t="s">
        <v>4280</v>
      </c>
      <c r="D358" t="s">
        <v>671</v>
      </c>
      <c r="E358" t="s">
        <v>656</v>
      </c>
      <c r="F358" t="s">
        <v>672</v>
      </c>
      <c r="G358" t="s">
        <v>679</v>
      </c>
      <c r="H358" t="s">
        <v>655</v>
      </c>
      <c r="I358" t="s">
        <v>679</v>
      </c>
      <c r="J358" t="s">
        <v>679</v>
      </c>
      <c r="K358" t="s">
        <v>679</v>
      </c>
      <c r="M358" t="s">
        <v>1216</v>
      </c>
      <c r="N358" t="s">
        <v>787</v>
      </c>
      <c r="O358" t="s">
        <v>104</v>
      </c>
    </row>
    <row r="359" spans="1:15">
      <c r="B359" t="s">
        <v>4281</v>
      </c>
      <c r="C359" t="s">
        <v>4280</v>
      </c>
      <c r="D359" t="s">
        <v>671</v>
      </c>
      <c r="E359" t="s">
        <v>667</v>
      </c>
      <c r="F359" t="s">
        <v>672</v>
      </c>
      <c r="G359" t="s">
        <v>679</v>
      </c>
      <c r="H359" t="s">
        <v>655</v>
      </c>
      <c r="I359" t="s">
        <v>679</v>
      </c>
      <c r="J359" t="s">
        <v>679</v>
      </c>
      <c r="K359" t="s">
        <v>679</v>
      </c>
      <c r="M359" t="s">
        <v>1192</v>
      </c>
      <c r="N359" t="s">
        <v>787</v>
      </c>
      <c r="O359" t="s">
        <v>104</v>
      </c>
    </row>
    <row r="360" spans="1:15">
      <c r="B360" t="s">
        <v>792</v>
      </c>
      <c r="C360" t="s">
        <v>4280</v>
      </c>
      <c r="D360" t="s">
        <v>671</v>
      </c>
      <c r="E360" t="s">
        <v>659</v>
      </c>
      <c r="F360" t="s">
        <v>672</v>
      </c>
      <c r="G360" t="s">
        <v>679</v>
      </c>
      <c r="H360" t="s">
        <v>655</v>
      </c>
      <c r="I360" t="s">
        <v>679</v>
      </c>
      <c r="J360" t="s">
        <v>679</v>
      </c>
      <c r="K360" t="s">
        <v>679</v>
      </c>
      <c r="M360" t="s">
        <v>1192</v>
      </c>
      <c r="N360" t="s">
        <v>787</v>
      </c>
      <c r="O360" t="s">
        <v>104</v>
      </c>
    </row>
    <row r="361" spans="1:15">
      <c r="B361" t="s">
        <v>793</v>
      </c>
      <c r="C361" t="s">
        <v>4280</v>
      </c>
      <c r="D361" t="s">
        <v>671</v>
      </c>
      <c r="E361" t="s">
        <v>659</v>
      </c>
      <c r="F361" t="s">
        <v>672</v>
      </c>
      <c r="G361" t="s">
        <v>679</v>
      </c>
      <c r="H361" t="s">
        <v>655</v>
      </c>
      <c r="I361" t="s">
        <v>679</v>
      </c>
      <c r="J361" t="s">
        <v>679</v>
      </c>
      <c r="K361" t="s">
        <v>679</v>
      </c>
      <c r="M361" t="s">
        <v>1210</v>
      </c>
      <c r="N361" t="s">
        <v>787</v>
      </c>
      <c r="O361" t="s">
        <v>104</v>
      </c>
    </row>
    <row r="362" spans="1:15">
      <c r="B362" t="s">
        <v>794</v>
      </c>
      <c r="C362" t="s">
        <v>4280</v>
      </c>
      <c r="D362" t="s">
        <v>671</v>
      </c>
      <c r="E362" t="s">
        <v>659</v>
      </c>
      <c r="F362" t="s">
        <v>672</v>
      </c>
      <c r="G362" t="s">
        <v>679</v>
      </c>
      <c r="H362" t="s">
        <v>655</v>
      </c>
      <c r="I362" t="s">
        <v>679</v>
      </c>
      <c r="J362" t="s">
        <v>679</v>
      </c>
      <c r="K362" t="s">
        <v>679</v>
      </c>
      <c r="M362" t="s">
        <v>1189</v>
      </c>
      <c r="N362" t="s">
        <v>787</v>
      </c>
      <c r="O362" t="s">
        <v>104</v>
      </c>
    </row>
    <row r="363" spans="1:15">
      <c r="B363" t="s">
        <v>795</v>
      </c>
      <c r="C363" t="s">
        <v>4280</v>
      </c>
      <c r="D363" t="s">
        <v>671</v>
      </c>
      <c r="E363" t="s">
        <v>659</v>
      </c>
      <c r="F363" t="s">
        <v>672</v>
      </c>
      <c r="G363" t="s">
        <v>679</v>
      </c>
      <c r="H363" t="s">
        <v>655</v>
      </c>
      <c r="I363" t="s">
        <v>679</v>
      </c>
      <c r="J363" t="s">
        <v>679</v>
      </c>
      <c r="K363" t="s">
        <v>679</v>
      </c>
      <c r="M363" t="s">
        <v>1216</v>
      </c>
      <c r="N363" t="s">
        <v>787</v>
      </c>
      <c r="O363" t="s">
        <v>104</v>
      </c>
    </row>
    <row r="364" spans="1:15">
      <c r="A364" t="s">
        <v>4282</v>
      </c>
      <c r="B364" s="33" t="s">
        <v>1066</v>
      </c>
      <c r="C364" s="23" t="s">
        <v>743</v>
      </c>
      <c r="D364" t="s">
        <v>661</v>
      </c>
      <c r="E364" t="s">
        <v>155</v>
      </c>
      <c r="F364" t="s">
        <v>662</v>
      </c>
      <c r="G364" s="23" t="s">
        <v>712</v>
      </c>
      <c r="H364" s="23" t="s">
        <v>655</v>
      </c>
      <c r="I364" s="23" t="s">
        <v>655</v>
      </c>
      <c r="J364" s="23" t="s">
        <v>712</v>
      </c>
      <c r="K364" s="23" t="s">
        <v>682</v>
      </c>
      <c r="L364" s="23"/>
      <c r="M364" s="23" t="s">
        <v>1189</v>
      </c>
      <c r="N364" s="23" t="s">
        <v>663</v>
      </c>
      <c r="O364" s="23" t="s">
        <v>686</v>
      </c>
    </row>
    <row r="365" spans="1:15">
      <c r="A365" t="s">
        <v>4283</v>
      </c>
      <c r="B365" s="33" t="s">
        <v>1067</v>
      </c>
      <c r="C365" t="s">
        <v>4249</v>
      </c>
      <c r="D365" t="s">
        <v>665</v>
      </c>
      <c r="E365" t="s">
        <v>667</v>
      </c>
      <c r="F365" t="s">
        <v>666</v>
      </c>
      <c r="G365" t="s">
        <v>712</v>
      </c>
      <c r="H365" t="s">
        <v>655</v>
      </c>
      <c r="I365" t="s">
        <v>655</v>
      </c>
      <c r="J365" t="s">
        <v>712</v>
      </c>
      <c r="K365" t="s">
        <v>682</v>
      </c>
      <c r="M365" t="s">
        <v>1189</v>
      </c>
      <c r="N365" t="s">
        <v>658</v>
      </c>
      <c r="O365" t="s">
        <v>686</v>
      </c>
    </row>
    <row r="366" spans="1:15">
      <c r="A366" t="s">
        <v>4284</v>
      </c>
      <c r="B366" s="33" t="s">
        <v>1068</v>
      </c>
      <c r="C366" t="s">
        <v>1235</v>
      </c>
      <c r="D366" t="s">
        <v>665</v>
      </c>
      <c r="E366" t="s">
        <v>659</v>
      </c>
      <c r="F366" t="s">
        <v>666</v>
      </c>
      <c r="G366" t="s">
        <v>709</v>
      </c>
      <c r="H366" t="s">
        <v>655</v>
      </c>
      <c r="I366" t="s">
        <v>655</v>
      </c>
      <c r="J366" t="s">
        <v>709</v>
      </c>
      <c r="K366" t="s">
        <v>682</v>
      </c>
      <c r="M366" t="s">
        <v>1210</v>
      </c>
      <c r="N366" t="s">
        <v>658</v>
      </c>
      <c r="O366" t="s">
        <v>686</v>
      </c>
    </row>
    <row r="367" spans="1:15">
      <c r="A367" t="s">
        <v>4285</v>
      </c>
      <c r="B367" s="33" t="s">
        <v>1069</v>
      </c>
      <c r="C367" t="s">
        <v>1235</v>
      </c>
      <c r="D367" t="s">
        <v>665</v>
      </c>
      <c r="E367" t="s">
        <v>659</v>
      </c>
      <c r="F367" t="s">
        <v>666</v>
      </c>
      <c r="G367" t="s">
        <v>713</v>
      </c>
      <c r="H367" t="s">
        <v>655</v>
      </c>
      <c r="I367" t="s">
        <v>655</v>
      </c>
      <c r="J367" t="s">
        <v>713</v>
      </c>
      <c r="K367" t="s">
        <v>682</v>
      </c>
      <c r="M367" t="s">
        <v>1216</v>
      </c>
      <c r="N367" t="s">
        <v>658</v>
      </c>
      <c r="O367" t="s">
        <v>686</v>
      </c>
    </row>
    <row r="368" spans="1:15">
      <c r="A368" t="s">
        <v>4286</v>
      </c>
      <c r="B368" s="33" t="s">
        <v>752</v>
      </c>
      <c r="C368" t="s">
        <v>571</v>
      </c>
      <c r="D368" t="s">
        <v>661</v>
      </c>
      <c r="E368" t="s">
        <v>155</v>
      </c>
      <c r="F368" t="s">
        <v>662</v>
      </c>
      <c r="G368" t="s">
        <v>571</v>
      </c>
      <c r="H368" t="s">
        <v>571</v>
      </c>
      <c r="I368" t="s">
        <v>571</v>
      </c>
      <c r="J368" t="s">
        <v>38</v>
      </c>
      <c r="K368" t="s">
        <v>571</v>
      </c>
      <c r="N368" t="s">
        <v>663</v>
      </c>
      <c r="O368" t="s">
        <v>686</v>
      </c>
    </row>
    <row r="369" spans="1:15">
      <c r="A369" t="s">
        <v>4287</v>
      </c>
      <c r="B369" s="33" t="s">
        <v>753</v>
      </c>
      <c r="C369" t="s">
        <v>571</v>
      </c>
      <c r="D369" t="s">
        <v>661</v>
      </c>
      <c r="E369" t="s">
        <v>155</v>
      </c>
      <c r="F369" t="s">
        <v>662</v>
      </c>
      <c r="G369" t="s">
        <v>571</v>
      </c>
      <c r="H369" t="s">
        <v>571</v>
      </c>
      <c r="I369" t="s">
        <v>571</v>
      </c>
      <c r="J369" t="s">
        <v>39</v>
      </c>
      <c r="K369" t="s">
        <v>571</v>
      </c>
      <c r="N369" t="s">
        <v>663</v>
      </c>
      <c r="O369" t="s">
        <v>686</v>
      </c>
    </row>
    <row r="370" spans="1:15">
      <c r="A370" t="s">
        <v>4288</v>
      </c>
      <c r="B370" s="33" t="s">
        <v>754</v>
      </c>
      <c r="C370" t="s">
        <v>571</v>
      </c>
      <c r="D370" t="s">
        <v>661</v>
      </c>
      <c r="E370" t="s">
        <v>155</v>
      </c>
      <c r="F370" t="s">
        <v>662</v>
      </c>
      <c r="G370" t="s">
        <v>571</v>
      </c>
      <c r="H370" t="s">
        <v>571</v>
      </c>
      <c r="I370" t="s">
        <v>571</v>
      </c>
      <c r="J370" t="s">
        <v>40</v>
      </c>
      <c r="K370" t="s">
        <v>571</v>
      </c>
      <c r="N370" t="s">
        <v>663</v>
      </c>
      <c r="O370" t="s">
        <v>686</v>
      </c>
    </row>
    <row r="371" spans="1:15">
      <c r="A371" t="s">
        <v>4289</v>
      </c>
      <c r="B371" s="33" t="s">
        <v>755</v>
      </c>
      <c r="C371" t="s">
        <v>571</v>
      </c>
      <c r="D371" t="s">
        <v>661</v>
      </c>
      <c r="E371" t="s">
        <v>155</v>
      </c>
      <c r="F371" t="s">
        <v>662</v>
      </c>
      <c r="G371" t="s">
        <v>571</v>
      </c>
      <c r="H371" t="s">
        <v>571</v>
      </c>
      <c r="I371" t="s">
        <v>571</v>
      </c>
      <c r="J371" t="s">
        <v>41</v>
      </c>
      <c r="K371" t="s">
        <v>571</v>
      </c>
      <c r="N371" t="s">
        <v>663</v>
      </c>
      <c r="O371" t="s">
        <v>686</v>
      </c>
    </row>
    <row r="372" spans="1:15">
      <c r="B372" s="33" t="s">
        <v>756</v>
      </c>
      <c r="C372" t="s">
        <v>571</v>
      </c>
      <c r="D372" t="s">
        <v>661</v>
      </c>
      <c r="E372" t="s">
        <v>155</v>
      </c>
      <c r="F372" t="s">
        <v>662</v>
      </c>
      <c r="G372" t="s">
        <v>571</v>
      </c>
      <c r="H372" t="s">
        <v>571</v>
      </c>
      <c r="I372" t="s">
        <v>571</v>
      </c>
      <c r="J372" t="s">
        <v>687</v>
      </c>
      <c r="K372" t="s">
        <v>571</v>
      </c>
      <c r="N372" t="s">
        <v>663</v>
      </c>
      <c r="O372" t="s">
        <v>686</v>
      </c>
    </row>
    <row r="373" spans="1:15">
      <c r="A373" t="s">
        <v>4290</v>
      </c>
      <c r="B373" s="33" t="s">
        <v>757</v>
      </c>
      <c r="C373" t="s">
        <v>571</v>
      </c>
      <c r="D373" t="s">
        <v>665</v>
      </c>
      <c r="E373" t="s">
        <v>668</v>
      </c>
      <c r="F373" t="s">
        <v>666</v>
      </c>
      <c r="G373" t="s">
        <v>571</v>
      </c>
      <c r="H373" t="s">
        <v>571</v>
      </c>
      <c r="I373" t="s">
        <v>571</v>
      </c>
      <c r="J373" t="s">
        <v>38</v>
      </c>
      <c r="K373" t="s">
        <v>571</v>
      </c>
      <c r="N373" t="s">
        <v>670</v>
      </c>
      <c r="O373" t="s">
        <v>686</v>
      </c>
    </row>
    <row r="374" spans="1:15">
      <c r="A374" t="s">
        <v>4291</v>
      </c>
      <c r="B374" s="33" t="s">
        <v>758</v>
      </c>
      <c r="C374" t="s">
        <v>571</v>
      </c>
      <c r="D374" t="s">
        <v>665</v>
      </c>
      <c r="E374" t="s">
        <v>668</v>
      </c>
      <c r="F374" t="s">
        <v>666</v>
      </c>
      <c r="G374" t="s">
        <v>571</v>
      </c>
      <c r="H374" t="s">
        <v>571</v>
      </c>
      <c r="I374" t="s">
        <v>571</v>
      </c>
      <c r="J374" t="s">
        <v>39</v>
      </c>
      <c r="K374" t="s">
        <v>571</v>
      </c>
      <c r="N374" t="s">
        <v>670</v>
      </c>
      <c r="O374" t="s">
        <v>686</v>
      </c>
    </row>
    <row r="375" spans="1:15">
      <c r="A375" t="s">
        <v>4292</v>
      </c>
      <c r="B375" s="33" t="s">
        <v>759</v>
      </c>
      <c r="C375" t="s">
        <v>571</v>
      </c>
      <c r="D375" t="s">
        <v>665</v>
      </c>
      <c r="E375" t="s">
        <v>668</v>
      </c>
      <c r="F375" t="s">
        <v>666</v>
      </c>
      <c r="G375" t="s">
        <v>571</v>
      </c>
      <c r="H375" t="s">
        <v>571</v>
      </c>
      <c r="I375" t="s">
        <v>571</v>
      </c>
      <c r="J375" t="s">
        <v>40</v>
      </c>
      <c r="K375" t="s">
        <v>571</v>
      </c>
      <c r="N375" t="s">
        <v>670</v>
      </c>
      <c r="O375" t="s">
        <v>686</v>
      </c>
    </row>
    <row r="376" spans="1:15">
      <c r="A376" t="s">
        <v>4293</v>
      </c>
      <c r="B376" s="33" t="s">
        <v>760</v>
      </c>
      <c r="C376" t="s">
        <v>571</v>
      </c>
      <c r="D376" t="s">
        <v>665</v>
      </c>
      <c r="E376" t="s">
        <v>668</v>
      </c>
      <c r="F376" t="s">
        <v>666</v>
      </c>
      <c r="G376" t="s">
        <v>571</v>
      </c>
      <c r="H376" t="s">
        <v>571</v>
      </c>
      <c r="I376" t="s">
        <v>571</v>
      </c>
      <c r="J376" t="s">
        <v>41</v>
      </c>
      <c r="K376" t="s">
        <v>571</v>
      </c>
      <c r="N376" t="s">
        <v>670</v>
      </c>
      <c r="O376" t="s">
        <v>686</v>
      </c>
    </row>
    <row r="377" spans="1:15">
      <c r="B377" s="33" t="s">
        <v>761</v>
      </c>
      <c r="C377" t="s">
        <v>571</v>
      </c>
      <c r="D377" t="s">
        <v>665</v>
      </c>
      <c r="E377" t="s">
        <v>668</v>
      </c>
      <c r="F377" t="s">
        <v>666</v>
      </c>
      <c r="G377" t="s">
        <v>571</v>
      </c>
      <c r="H377" t="s">
        <v>571</v>
      </c>
      <c r="I377" t="s">
        <v>571</v>
      </c>
      <c r="J377" t="s">
        <v>687</v>
      </c>
      <c r="K377" t="s">
        <v>571</v>
      </c>
      <c r="N377" t="s">
        <v>670</v>
      </c>
      <c r="O377" t="s">
        <v>686</v>
      </c>
    </row>
    <row r="378" spans="1:15">
      <c r="A378" t="s">
        <v>4294</v>
      </c>
      <c r="B378" s="33" t="s">
        <v>762</v>
      </c>
      <c r="C378" t="s">
        <v>571</v>
      </c>
      <c r="D378" t="s">
        <v>665</v>
      </c>
      <c r="E378" t="s">
        <v>656</v>
      </c>
      <c r="F378" t="s">
        <v>666</v>
      </c>
      <c r="G378" t="s">
        <v>571</v>
      </c>
      <c r="H378" t="s">
        <v>571</v>
      </c>
      <c r="I378" t="s">
        <v>571</v>
      </c>
      <c r="J378" t="s">
        <v>38</v>
      </c>
      <c r="K378" t="s">
        <v>571</v>
      </c>
      <c r="N378" t="s">
        <v>673</v>
      </c>
      <c r="O378" t="s">
        <v>686</v>
      </c>
    </row>
    <row r="379" spans="1:15">
      <c r="A379" t="s">
        <v>4295</v>
      </c>
      <c r="B379" s="33" t="s">
        <v>763</v>
      </c>
      <c r="C379" t="s">
        <v>571</v>
      </c>
      <c r="D379" t="s">
        <v>665</v>
      </c>
      <c r="E379" t="s">
        <v>656</v>
      </c>
      <c r="F379" t="s">
        <v>666</v>
      </c>
      <c r="G379" t="s">
        <v>571</v>
      </c>
      <c r="H379" t="s">
        <v>571</v>
      </c>
      <c r="I379" t="s">
        <v>571</v>
      </c>
      <c r="J379" t="s">
        <v>39</v>
      </c>
      <c r="K379" t="s">
        <v>571</v>
      </c>
      <c r="N379" t="s">
        <v>673</v>
      </c>
      <c r="O379" t="s">
        <v>686</v>
      </c>
    </row>
    <row r="380" spans="1:15">
      <c r="A380" t="s">
        <v>4296</v>
      </c>
      <c r="B380" s="33" t="s">
        <v>764</v>
      </c>
      <c r="C380" t="s">
        <v>571</v>
      </c>
      <c r="D380" t="s">
        <v>665</v>
      </c>
      <c r="E380" t="s">
        <v>656</v>
      </c>
      <c r="F380" t="s">
        <v>666</v>
      </c>
      <c r="G380" t="s">
        <v>571</v>
      </c>
      <c r="H380" t="s">
        <v>571</v>
      </c>
      <c r="I380" t="s">
        <v>571</v>
      </c>
      <c r="J380" t="s">
        <v>40</v>
      </c>
      <c r="K380" t="s">
        <v>571</v>
      </c>
      <c r="N380" t="s">
        <v>673</v>
      </c>
      <c r="O380" t="s">
        <v>686</v>
      </c>
    </row>
    <row r="381" spans="1:15">
      <c r="A381" t="s">
        <v>4297</v>
      </c>
      <c r="B381" s="33" t="s">
        <v>765</v>
      </c>
      <c r="C381" t="s">
        <v>571</v>
      </c>
      <c r="D381" t="s">
        <v>665</v>
      </c>
      <c r="E381" t="s">
        <v>656</v>
      </c>
      <c r="F381" t="s">
        <v>666</v>
      </c>
      <c r="G381" t="s">
        <v>571</v>
      </c>
      <c r="H381" t="s">
        <v>571</v>
      </c>
      <c r="I381" t="s">
        <v>571</v>
      </c>
      <c r="J381" t="s">
        <v>41</v>
      </c>
      <c r="K381" t="s">
        <v>571</v>
      </c>
      <c r="N381" t="s">
        <v>673</v>
      </c>
      <c r="O381" t="s">
        <v>686</v>
      </c>
    </row>
    <row r="382" spans="1:15">
      <c r="B382" s="33" t="s">
        <v>766</v>
      </c>
      <c r="C382" t="s">
        <v>571</v>
      </c>
      <c r="D382" t="s">
        <v>665</v>
      </c>
      <c r="E382" t="s">
        <v>656</v>
      </c>
      <c r="F382" t="s">
        <v>666</v>
      </c>
      <c r="G382" t="s">
        <v>571</v>
      </c>
      <c r="H382" t="s">
        <v>571</v>
      </c>
      <c r="I382" t="s">
        <v>571</v>
      </c>
      <c r="J382" t="s">
        <v>687</v>
      </c>
      <c r="K382" t="s">
        <v>571</v>
      </c>
      <c r="N382" t="s">
        <v>673</v>
      </c>
      <c r="O382" t="s">
        <v>686</v>
      </c>
    </row>
    <row r="383" spans="1:15">
      <c r="B383" s="63" t="s">
        <v>1185</v>
      </c>
      <c r="C383" t="s">
        <v>4298</v>
      </c>
      <c r="D383" t="s">
        <v>661</v>
      </c>
      <c r="E383" t="s">
        <v>155</v>
      </c>
      <c r="F383" t="s">
        <v>662</v>
      </c>
      <c r="G383" t="s">
        <v>715</v>
      </c>
      <c r="H383" t="s">
        <v>655</v>
      </c>
      <c r="I383" t="s">
        <v>655</v>
      </c>
      <c r="J383" t="s">
        <v>715</v>
      </c>
      <c r="K383" t="s">
        <v>681</v>
      </c>
      <c r="M383" t="s">
        <v>1192</v>
      </c>
      <c r="N383" t="s">
        <v>663</v>
      </c>
      <c r="O383" t="s">
        <v>104</v>
      </c>
    </row>
    <row r="384" spans="1:15">
      <c r="B384" s="63" t="s">
        <v>4299</v>
      </c>
      <c r="C384" t="s">
        <v>4298</v>
      </c>
      <c r="D384" t="s">
        <v>661</v>
      </c>
      <c r="E384" t="s">
        <v>155</v>
      </c>
      <c r="F384" t="s">
        <v>662</v>
      </c>
      <c r="G384" t="s">
        <v>720</v>
      </c>
      <c r="H384" t="s">
        <v>655</v>
      </c>
      <c r="I384" t="s">
        <v>655</v>
      </c>
      <c r="J384" t="s">
        <v>720</v>
      </c>
      <c r="K384" t="s">
        <v>681</v>
      </c>
      <c r="M384" t="s">
        <v>1189</v>
      </c>
      <c r="N384" t="s">
        <v>663</v>
      </c>
      <c r="O384" t="s">
        <v>104</v>
      </c>
    </row>
    <row r="385" spans="2:10">
      <c r="B385" s="63" t="s">
        <v>4300</v>
      </c>
      <c r="C385" t="s">
        <v>1091</v>
      </c>
      <c r="D385" t="s">
        <v>4301</v>
      </c>
      <c r="E385" t="s">
        <v>4301</v>
      </c>
      <c r="J385" t="s">
        <v>4302</v>
      </c>
    </row>
    <row r="386" spans="2:10">
      <c r="B386" s="63" t="s">
        <v>4303</v>
      </c>
      <c r="C386" t="s">
        <v>1091</v>
      </c>
      <c r="D386" t="s">
        <v>4301</v>
      </c>
      <c r="E386" t="s">
        <v>4301</v>
      </c>
      <c r="J386" t="s">
        <v>4302</v>
      </c>
    </row>
    <row r="387" spans="2:10">
      <c r="B387" s="63" t="s">
        <v>4304</v>
      </c>
      <c r="C387" t="s">
        <v>1091</v>
      </c>
      <c r="D387" t="s">
        <v>4301</v>
      </c>
      <c r="E387" t="s">
        <v>4301</v>
      </c>
      <c r="J387" t="s">
        <v>4302</v>
      </c>
    </row>
    <row r="388" spans="2:10">
      <c r="B388" s="63" t="s">
        <v>4305</v>
      </c>
      <c r="C388" t="s">
        <v>1091</v>
      </c>
      <c r="D388" t="s">
        <v>4301</v>
      </c>
      <c r="E388" t="s">
        <v>4301</v>
      </c>
      <c r="J388" t="s">
        <v>4302</v>
      </c>
    </row>
    <row r="389" spans="2:10">
      <c r="B389" s="62" t="s">
        <v>4306</v>
      </c>
      <c r="C389" t="s">
        <v>1091</v>
      </c>
      <c r="D389" t="s">
        <v>4307</v>
      </c>
      <c r="E389" t="s">
        <v>4308</v>
      </c>
      <c r="J389" t="s">
        <v>4302</v>
      </c>
    </row>
    <row r="390" spans="2:10">
      <c r="B390" s="62" t="s">
        <v>4309</v>
      </c>
      <c r="C390" t="s">
        <v>1091</v>
      </c>
      <c r="D390" t="s">
        <v>4310</v>
      </c>
      <c r="E390" t="s">
        <v>4308</v>
      </c>
      <c r="J390" t="s">
        <v>4302</v>
      </c>
    </row>
    <row r="391" spans="2:10">
      <c r="B391" s="62" t="s">
        <v>4311</v>
      </c>
      <c r="C391" t="s">
        <v>1091</v>
      </c>
      <c r="D391" t="s">
        <v>4312</v>
      </c>
      <c r="E391" t="s">
        <v>4308</v>
      </c>
      <c r="J391" t="s">
        <v>4302</v>
      </c>
    </row>
    <row r="392" spans="2:10">
      <c r="B392" s="62" t="s">
        <v>4313</v>
      </c>
      <c r="C392" t="s">
        <v>1091</v>
      </c>
      <c r="D392" t="s">
        <v>4307</v>
      </c>
      <c r="E392" t="s">
        <v>4308</v>
      </c>
      <c r="J392" t="s">
        <v>4302</v>
      </c>
    </row>
    <row r="393" spans="2:10">
      <c r="B393" s="62" t="s">
        <v>4314</v>
      </c>
      <c r="C393" t="s">
        <v>1091</v>
      </c>
      <c r="D393" t="s">
        <v>4307</v>
      </c>
      <c r="E393" t="s">
        <v>4308</v>
      </c>
      <c r="J393" t="s">
        <v>4302</v>
      </c>
    </row>
    <row r="394" spans="2:10">
      <c r="B394" s="62" t="s">
        <v>4315</v>
      </c>
      <c r="C394" t="s">
        <v>1091</v>
      </c>
      <c r="D394" t="s">
        <v>4312</v>
      </c>
      <c r="E394" t="s">
        <v>4308</v>
      </c>
      <c r="J394" t="s">
        <v>4302</v>
      </c>
    </row>
    <row r="395" spans="2:10">
      <c r="B395" s="62" t="s">
        <v>4316</v>
      </c>
      <c r="C395" t="s">
        <v>1091</v>
      </c>
      <c r="D395" t="s">
        <v>4310</v>
      </c>
      <c r="E395" t="s">
        <v>4308</v>
      </c>
      <c r="J395" t="s">
        <v>4302</v>
      </c>
    </row>
    <row r="396" spans="2:10">
      <c r="B396" s="62" t="s">
        <v>4317</v>
      </c>
      <c r="C396" t="s">
        <v>1091</v>
      </c>
      <c r="D396" t="s">
        <v>4312</v>
      </c>
      <c r="E396" t="s">
        <v>4308</v>
      </c>
      <c r="J396" t="s">
        <v>4302</v>
      </c>
    </row>
    <row r="397" spans="2:10">
      <c r="B397" s="62" t="s">
        <v>4318</v>
      </c>
      <c r="C397" t="s">
        <v>1091</v>
      </c>
      <c r="D397" t="s">
        <v>4310</v>
      </c>
      <c r="E397" t="s">
        <v>4308</v>
      </c>
      <c r="J397" t="s">
        <v>4302</v>
      </c>
    </row>
    <row r="398" spans="2:10">
      <c r="B398" s="62" t="s">
        <v>4319</v>
      </c>
      <c r="C398" t="s">
        <v>1091</v>
      </c>
      <c r="D398" t="s">
        <v>4310</v>
      </c>
      <c r="E398" t="s">
        <v>4308</v>
      </c>
      <c r="J398" t="s">
        <v>4302</v>
      </c>
    </row>
    <row r="399" spans="2:10">
      <c r="B399" s="62" t="s">
        <v>4320</v>
      </c>
      <c r="C399" t="s">
        <v>1091</v>
      </c>
      <c r="D399" t="s">
        <v>4312</v>
      </c>
      <c r="E399" t="s">
        <v>4308</v>
      </c>
      <c r="J399" t="s">
        <v>4302</v>
      </c>
    </row>
    <row r="400" spans="2:10">
      <c r="B400" s="62" t="s">
        <v>4321</v>
      </c>
      <c r="C400" t="s">
        <v>1091</v>
      </c>
      <c r="D400" t="s">
        <v>4312</v>
      </c>
      <c r="E400" t="s">
        <v>4308</v>
      </c>
      <c r="J400" t="s">
        <v>4302</v>
      </c>
    </row>
    <row r="401" spans="2:10">
      <c r="B401" s="62" t="s">
        <v>4322</v>
      </c>
      <c r="C401" t="s">
        <v>1091</v>
      </c>
      <c r="D401" t="s">
        <v>4312</v>
      </c>
      <c r="E401" t="s">
        <v>4308</v>
      </c>
      <c r="J401" t="s">
        <v>4302</v>
      </c>
    </row>
    <row r="402" spans="2:10">
      <c r="B402" s="62" t="s">
        <v>4323</v>
      </c>
      <c r="C402" t="s">
        <v>1091</v>
      </c>
      <c r="D402" t="s">
        <v>4307</v>
      </c>
      <c r="E402" t="s">
        <v>4308</v>
      </c>
      <c r="J402" t="s">
        <v>4302</v>
      </c>
    </row>
    <row r="403" spans="2:10">
      <c r="B403" s="62" t="s">
        <v>4324</v>
      </c>
      <c r="C403" t="s">
        <v>1091</v>
      </c>
      <c r="D403" t="s">
        <v>4325</v>
      </c>
      <c r="E403" t="s">
        <v>4308</v>
      </c>
      <c r="J403" t="s">
        <v>4302</v>
      </c>
    </row>
    <row r="404" spans="2:10">
      <c r="B404" s="62" t="s">
        <v>4326</v>
      </c>
      <c r="C404" t="s">
        <v>1091</v>
      </c>
      <c r="D404" t="s">
        <v>4312</v>
      </c>
      <c r="E404" t="s">
        <v>4308</v>
      </c>
      <c r="J404" t="s">
        <v>4302</v>
      </c>
    </row>
    <row r="405" spans="2:10">
      <c r="B405" s="62" t="s">
        <v>4327</v>
      </c>
      <c r="C405" t="s">
        <v>1091</v>
      </c>
      <c r="D405" t="s">
        <v>4307</v>
      </c>
      <c r="E405" t="s">
        <v>4308</v>
      </c>
      <c r="J405" t="s">
        <v>4302</v>
      </c>
    </row>
    <row r="406" spans="2:10">
      <c r="B406" s="62" t="s">
        <v>4328</v>
      </c>
      <c r="C406" t="s">
        <v>1091</v>
      </c>
      <c r="D406" t="s">
        <v>4307</v>
      </c>
      <c r="E406" t="s">
        <v>4308</v>
      </c>
      <c r="J406" t="s">
        <v>4302</v>
      </c>
    </row>
    <row r="407" spans="2:10">
      <c r="B407" s="62" t="s">
        <v>4329</v>
      </c>
      <c r="C407" t="s">
        <v>1091</v>
      </c>
      <c r="D407" t="s">
        <v>4325</v>
      </c>
      <c r="E407" t="s">
        <v>4308</v>
      </c>
      <c r="J407" t="s">
        <v>4302</v>
      </c>
    </row>
    <row r="408" spans="2:10">
      <c r="B408" s="62" t="s">
        <v>4330</v>
      </c>
      <c r="C408" t="s">
        <v>1091</v>
      </c>
      <c r="D408" t="s">
        <v>4307</v>
      </c>
      <c r="E408" t="s">
        <v>4308</v>
      </c>
      <c r="J408" t="s">
        <v>4302</v>
      </c>
    </row>
    <row r="409" spans="2:10">
      <c r="B409" s="62" t="s">
        <v>4331</v>
      </c>
      <c r="C409" t="s">
        <v>1091</v>
      </c>
      <c r="D409" t="s">
        <v>4307</v>
      </c>
      <c r="E409" t="s">
        <v>4308</v>
      </c>
      <c r="J409" t="s">
        <v>4302</v>
      </c>
    </row>
    <row r="410" spans="2:10">
      <c r="B410" s="62" t="s">
        <v>4332</v>
      </c>
      <c r="C410" t="s">
        <v>1091</v>
      </c>
      <c r="D410" t="s">
        <v>4312</v>
      </c>
      <c r="E410" t="s">
        <v>4308</v>
      </c>
      <c r="J410" t="s">
        <v>4302</v>
      </c>
    </row>
    <row r="411" spans="2:10">
      <c r="B411" s="62" t="s">
        <v>4333</v>
      </c>
      <c r="C411" t="s">
        <v>1091</v>
      </c>
      <c r="D411" t="s">
        <v>4312</v>
      </c>
      <c r="E411" t="s">
        <v>4308</v>
      </c>
      <c r="J411" t="s">
        <v>4302</v>
      </c>
    </row>
    <row r="412" spans="2:10">
      <c r="B412" s="62" t="s">
        <v>4334</v>
      </c>
      <c r="C412" t="s">
        <v>1091</v>
      </c>
      <c r="D412" t="s">
        <v>4312</v>
      </c>
      <c r="E412" t="s">
        <v>4308</v>
      </c>
      <c r="J412" t="s">
        <v>4302</v>
      </c>
    </row>
    <row r="413" spans="2:10">
      <c r="B413" s="62" t="s">
        <v>4335</v>
      </c>
      <c r="C413" t="s">
        <v>1091</v>
      </c>
      <c r="D413" t="s">
        <v>4312</v>
      </c>
      <c r="E413" t="s">
        <v>4308</v>
      </c>
      <c r="J413" t="s">
        <v>4302</v>
      </c>
    </row>
    <row r="414" spans="2:10">
      <c r="B414" s="62" t="s">
        <v>4336</v>
      </c>
      <c r="C414" t="s">
        <v>1091</v>
      </c>
      <c r="D414" t="s">
        <v>4307</v>
      </c>
      <c r="E414" t="s">
        <v>4308</v>
      </c>
      <c r="J414" t="s">
        <v>4302</v>
      </c>
    </row>
    <row r="415" spans="2:10">
      <c r="B415" s="62" t="s">
        <v>4337</v>
      </c>
      <c r="C415" t="s">
        <v>1091</v>
      </c>
      <c r="D415" t="s">
        <v>4312</v>
      </c>
      <c r="E415" t="s">
        <v>4308</v>
      </c>
      <c r="J415" t="s">
        <v>4302</v>
      </c>
    </row>
    <row r="416" spans="2:10">
      <c r="B416" s="62" t="s">
        <v>4338</v>
      </c>
      <c r="C416" t="s">
        <v>1091</v>
      </c>
      <c r="D416" t="s">
        <v>4307</v>
      </c>
      <c r="E416" t="s">
        <v>4308</v>
      </c>
      <c r="J416" t="s">
        <v>4302</v>
      </c>
    </row>
    <row r="417" spans="2:10">
      <c r="B417" s="62" t="s">
        <v>4339</v>
      </c>
      <c r="C417" t="s">
        <v>1091</v>
      </c>
      <c r="D417" t="s">
        <v>4312</v>
      </c>
      <c r="E417" t="s">
        <v>4308</v>
      </c>
      <c r="J417" t="s">
        <v>4302</v>
      </c>
    </row>
    <row r="418" spans="2:10">
      <c r="B418" s="62" t="s">
        <v>4340</v>
      </c>
      <c r="C418" t="s">
        <v>1091</v>
      </c>
      <c r="D418" t="s">
        <v>4307</v>
      </c>
      <c r="E418" t="s">
        <v>4308</v>
      </c>
      <c r="J418" t="s">
        <v>4302</v>
      </c>
    </row>
    <row r="419" spans="2:10">
      <c r="B419" s="62" t="s">
        <v>4341</v>
      </c>
      <c r="C419" t="s">
        <v>1091</v>
      </c>
      <c r="D419" t="s">
        <v>4310</v>
      </c>
      <c r="E419" t="s">
        <v>4308</v>
      </c>
      <c r="J419" t="s">
        <v>4302</v>
      </c>
    </row>
    <row r="420" spans="2:10">
      <c r="B420" s="62" t="s">
        <v>4342</v>
      </c>
      <c r="C420" t="s">
        <v>1091</v>
      </c>
      <c r="D420" t="s">
        <v>4343</v>
      </c>
      <c r="E420" t="s">
        <v>4344</v>
      </c>
      <c r="J420" t="s">
        <v>4302</v>
      </c>
    </row>
    <row r="421" spans="2:10">
      <c r="B421" s="62" t="s">
        <v>4345</v>
      </c>
      <c r="C421" t="s">
        <v>1091</v>
      </c>
      <c r="D421" t="s">
        <v>4343</v>
      </c>
      <c r="E421" t="s">
        <v>4344</v>
      </c>
      <c r="J421" t="s">
        <v>4302</v>
      </c>
    </row>
    <row r="422" spans="2:10">
      <c r="B422" s="62" t="s">
        <v>4346</v>
      </c>
      <c r="C422" t="s">
        <v>1091</v>
      </c>
      <c r="D422" t="s">
        <v>4310</v>
      </c>
      <c r="E422" t="s">
        <v>4344</v>
      </c>
      <c r="J422" t="s">
        <v>4302</v>
      </c>
    </row>
    <row r="423" spans="2:10">
      <c r="B423" s="62" t="s">
        <v>4347</v>
      </c>
      <c r="C423" t="s">
        <v>1091</v>
      </c>
      <c r="D423" t="s">
        <v>4348</v>
      </c>
      <c r="E423" t="s">
        <v>4344</v>
      </c>
      <c r="J423" t="s">
        <v>4302</v>
      </c>
    </row>
    <row r="424" spans="2:10">
      <c r="B424" s="62" t="s">
        <v>4349</v>
      </c>
      <c r="C424" t="s">
        <v>1091</v>
      </c>
      <c r="D424" t="s">
        <v>4348</v>
      </c>
      <c r="E424" t="s">
        <v>4344</v>
      </c>
      <c r="J424" t="s">
        <v>4302</v>
      </c>
    </row>
    <row r="425" spans="2:10">
      <c r="B425" s="62" t="s">
        <v>4350</v>
      </c>
      <c r="C425" t="s">
        <v>1091</v>
      </c>
      <c r="D425" t="s">
        <v>4351</v>
      </c>
      <c r="E425" t="s">
        <v>4344</v>
      </c>
      <c r="J425" t="s">
        <v>4302</v>
      </c>
    </row>
    <row r="426" spans="2:10">
      <c r="B426" s="62" t="s">
        <v>4352</v>
      </c>
      <c r="C426" t="s">
        <v>1091</v>
      </c>
      <c r="D426" t="s">
        <v>4351</v>
      </c>
      <c r="E426" t="s">
        <v>4344</v>
      </c>
      <c r="J426" t="s">
        <v>4302</v>
      </c>
    </row>
    <row r="427" spans="2:10">
      <c r="B427" s="62" t="s">
        <v>4353</v>
      </c>
      <c r="C427" t="s">
        <v>1091</v>
      </c>
      <c r="D427" t="s">
        <v>4310</v>
      </c>
      <c r="E427" t="s">
        <v>4344</v>
      </c>
      <c r="J427" t="s">
        <v>4302</v>
      </c>
    </row>
    <row r="428" spans="2:10">
      <c r="B428" s="62" t="s">
        <v>4354</v>
      </c>
      <c r="C428" t="s">
        <v>1091</v>
      </c>
      <c r="D428" t="s">
        <v>4310</v>
      </c>
      <c r="E428" t="s">
        <v>4344</v>
      </c>
      <c r="J428" t="s">
        <v>4302</v>
      </c>
    </row>
    <row r="429" spans="2:10">
      <c r="B429" s="62" t="s">
        <v>4355</v>
      </c>
      <c r="C429" t="s">
        <v>1091</v>
      </c>
      <c r="D429" t="s">
        <v>4343</v>
      </c>
      <c r="E429" t="s">
        <v>4344</v>
      </c>
      <c r="J429" t="s">
        <v>4302</v>
      </c>
    </row>
    <row r="430" spans="2:10">
      <c r="B430" s="62" t="s">
        <v>4356</v>
      </c>
      <c r="C430" t="s">
        <v>1091</v>
      </c>
      <c r="D430" t="s">
        <v>4343</v>
      </c>
      <c r="E430" t="s">
        <v>4344</v>
      </c>
      <c r="J430" t="s">
        <v>4302</v>
      </c>
    </row>
    <row r="431" spans="2:10">
      <c r="B431" s="62" t="s">
        <v>4357</v>
      </c>
      <c r="C431" t="s">
        <v>1091</v>
      </c>
      <c r="D431" t="s">
        <v>4343</v>
      </c>
      <c r="E431" t="s">
        <v>4344</v>
      </c>
      <c r="J431" t="s">
        <v>4302</v>
      </c>
    </row>
    <row r="432" spans="2:10">
      <c r="B432" s="62" t="s">
        <v>4358</v>
      </c>
      <c r="C432" t="s">
        <v>1091</v>
      </c>
      <c r="D432" t="s">
        <v>4343</v>
      </c>
      <c r="E432" t="s">
        <v>4344</v>
      </c>
      <c r="J432" t="s">
        <v>4302</v>
      </c>
    </row>
    <row r="433" spans="2:10">
      <c r="B433" s="62" t="s">
        <v>4359</v>
      </c>
      <c r="C433" t="s">
        <v>1091</v>
      </c>
      <c r="D433" t="s">
        <v>4343</v>
      </c>
      <c r="E433" t="s">
        <v>4344</v>
      </c>
      <c r="J433" t="s">
        <v>4302</v>
      </c>
    </row>
    <row r="434" spans="2:10">
      <c r="B434" s="62" t="s">
        <v>4360</v>
      </c>
      <c r="C434" t="s">
        <v>1091</v>
      </c>
      <c r="D434" t="s">
        <v>4343</v>
      </c>
      <c r="E434" t="s">
        <v>4344</v>
      </c>
      <c r="J434" t="s">
        <v>4302</v>
      </c>
    </row>
    <row r="435" spans="2:10">
      <c r="B435" s="62" t="s">
        <v>4361</v>
      </c>
      <c r="C435" t="s">
        <v>1091</v>
      </c>
      <c r="D435" t="s">
        <v>4343</v>
      </c>
      <c r="E435" t="s">
        <v>4344</v>
      </c>
      <c r="J435" t="s">
        <v>4302</v>
      </c>
    </row>
    <row r="436" spans="2:10">
      <c r="B436" s="62" t="s">
        <v>4362</v>
      </c>
      <c r="C436" t="s">
        <v>1091</v>
      </c>
      <c r="D436" t="s">
        <v>4343</v>
      </c>
      <c r="E436" t="s">
        <v>4344</v>
      </c>
      <c r="J436" t="s">
        <v>4302</v>
      </c>
    </row>
    <row r="437" spans="2:10">
      <c r="B437" s="62" t="s">
        <v>4363</v>
      </c>
      <c r="C437" t="s">
        <v>1091</v>
      </c>
      <c r="D437" t="s">
        <v>4343</v>
      </c>
      <c r="E437" t="s">
        <v>4344</v>
      </c>
      <c r="J437" t="s">
        <v>4302</v>
      </c>
    </row>
    <row r="438" spans="2:10">
      <c r="B438" s="62" t="s">
        <v>4364</v>
      </c>
      <c r="C438" t="s">
        <v>1091</v>
      </c>
      <c r="D438" t="s">
        <v>4343</v>
      </c>
      <c r="E438" t="s">
        <v>4344</v>
      </c>
      <c r="J438" t="s">
        <v>4302</v>
      </c>
    </row>
    <row r="439" spans="2:10">
      <c r="B439" s="62" t="s">
        <v>4365</v>
      </c>
      <c r="C439" t="s">
        <v>1091</v>
      </c>
      <c r="D439" t="s">
        <v>4343</v>
      </c>
      <c r="E439" t="s">
        <v>4344</v>
      </c>
      <c r="J439" t="s">
        <v>4302</v>
      </c>
    </row>
    <row r="440" spans="2:10">
      <c r="B440" s="62" t="s">
        <v>4366</v>
      </c>
      <c r="C440" t="s">
        <v>1091</v>
      </c>
      <c r="D440" t="s">
        <v>4343</v>
      </c>
      <c r="E440" t="s">
        <v>4344</v>
      </c>
      <c r="J440" t="s">
        <v>4302</v>
      </c>
    </row>
    <row r="441" spans="2:10">
      <c r="B441" s="62" t="s">
        <v>4367</v>
      </c>
      <c r="C441" t="s">
        <v>1091</v>
      </c>
      <c r="D441" t="s">
        <v>1322</v>
      </c>
      <c r="E441" t="s">
        <v>4344</v>
      </c>
      <c r="J441" t="s">
        <v>4302</v>
      </c>
    </row>
    <row r="442" spans="2:10">
      <c r="B442" s="62" t="s">
        <v>4368</v>
      </c>
      <c r="C442" t="s">
        <v>1091</v>
      </c>
      <c r="D442" t="s">
        <v>4310</v>
      </c>
      <c r="E442" t="s">
        <v>4344</v>
      </c>
      <c r="J442" t="s">
        <v>4302</v>
      </c>
    </row>
    <row r="443" spans="2:10">
      <c r="B443" s="62" t="s">
        <v>4369</v>
      </c>
      <c r="C443" t="s">
        <v>1091</v>
      </c>
      <c r="D443" t="s">
        <v>4343</v>
      </c>
      <c r="E443" t="s">
        <v>4344</v>
      </c>
      <c r="J443" t="s">
        <v>4302</v>
      </c>
    </row>
    <row r="444" spans="2:10">
      <c r="B444" s="62" t="s">
        <v>4370</v>
      </c>
      <c r="C444" t="s">
        <v>1091</v>
      </c>
      <c r="D444" t="s">
        <v>4310</v>
      </c>
      <c r="E444" t="s">
        <v>4344</v>
      </c>
      <c r="J444" t="s">
        <v>4302</v>
      </c>
    </row>
    <row r="445" spans="2:10">
      <c r="B445" s="62" t="s">
        <v>4371</v>
      </c>
      <c r="C445" t="s">
        <v>1091</v>
      </c>
      <c r="D445" t="s">
        <v>4310</v>
      </c>
      <c r="E445" t="s">
        <v>4344</v>
      </c>
      <c r="J445" t="s">
        <v>4302</v>
      </c>
    </row>
    <row r="446" spans="2:10">
      <c r="B446" s="62" t="s">
        <v>4372</v>
      </c>
      <c r="C446" t="s">
        <v>1091</v>
      </c>
      <c r="D446" t="s">
        <v>4343</v>
      </c>
      <c r="E446" t="s">
        <v>4344</v>
      </c>
      <c r="J446" t="s">
        <v>4302</v>
      </c>
    </row>
    <row r="447" spans="2:10">
      <c r="B447" s="62" t="s">
        <v>4373</v>
      </c>
      <c r="C447" t="s">
        <v>1091</v>
      </c>
      <c r="D447" t="s">
        <v>1322</v>
      </c>
      <c r="E447" t="s">
        <v>4344</v>
      </c>
      <c r="J447" t="s">
        <v>4302</v>
      </c>
    </row>
    <row r="448" spans="2:10">
      <c r="B448" s="62" t="s">
        <v>4374</v>
      </c>
      <c r="C448" t="s">
        <v>1091</v>
      </c>
      <c r="D448" t="s">
        <v>4348</v>
      </c>
      <c r="E448" t="s">
        <v>4344</v>
      </c>
      <c r="J448" t="s">
        <v>4302</v>
      </c>
    </row>
    <row r="449" spans="2:15">
      <c r="B449" s="62" t="s">
        <v>4375</v>
      </c>
      <c r="C449" t="s">
        <v>1091</v>
      </c>
      <c r="D449" t="s">
        <v>4343</v>
      </c>
      <c r="E449" t="s">
        <v>4344</v>
      </c>
      <c r="J449" t="s">
        <v>4302</v>
      </c>
    </row>
    <row r="450" spans="2:15">
      <c r="B450" s="62" t="s">
        <v>4376</v>
      </c>
      <c r="C450" t="s">
        <v>1091</v>
      </c>
      <c r="D450" t="s">
        <v>4343</v>
      </c>
      <c r="E450" t="s">
        <v>4344</v>
      </c>
      <c r="J450" t="s">
        <v>4302</v>
      </c>
    </row>
    <row r="451" spans="2:15">
      <c r="B451" s="62" t="s">
        <v>4377</v>
      </c>
      <c r="C451" t="s">
        <v>1091</v>
      </c>
      <c r="D451" t="s">
        <v>4343</v>
      </c>
      <c r="E451" t="s">
        <v>4344</v>
      </c>
      <c r="J451" t="s">
        <v>4302</v>
      </c>
    </row>
    <row r="452" spans="2:15">
      <c r="B452" s="62" t="s">
        <v>4378</v>
      </c>
      <c r="C452" t="s">
        <v>1091</v>
      </c>
      <c r="D452" t="s">
        <v>1322</v>
      </c>
      <c r="E452" t="s">
        <v>4344</v>
      </c>
      <c r="J452" t="s">
        <v>4302</v>
      </c>
    </row>
    <row r="453" spans="2:15">
      <c r="B453" s="62" t="s">
        <v>4379</v>
      </c>
      <c r="C453" t="s">
        <v>1091</v>
      </c>
      <c r="D453" t="s">
        <v>1322</v>
      </c>
      <c r="E453" t="s">
        <v>4344</v>
      </c>
      <c r="J453" t="s">
        <v>4302</v>
      </c>
    </row>
    <row r="454" spans="2:15">
      <c r="B454" s="62" t="s">
        <v>4380</v>
      </c>
      <c r="C454" t="s">
        <v>1091</v>
      </c>
      <c r="D454" t="s">
        <v>4343</v>
      </c>
      <c r="E454" t="s">
        <v>4344</v>
      </c>
      <c r="J454" t="s">
        <v>4302</v>
      </c>
    </row>
    <row r="455" spans="2:15">
      <c r="B455" s="62" t="s">
        <v>4381</v>
      </c>
      <c r="C455" t="s">
        <v>1091</v>
      </c>
      <c r="D455" t="s">
        <v>4343</v>
      </c>
      <c r="E455" t="s">
        <v>4344</v>
      </c>
      <c r="J455" t="s">
        <v>4302</v>
      </c>
    </row>
    <row r="456" spans="2:15">
      <c r="B456" s="62" t="s">
        <v>4382</v>
      </c>
      <c r="C456" t="s">
        <v>1091</v>
      </c>
      <c r="D456" t="s">
        <v>4348</v>
      </c>
      <c r="E456" t="s">
        <v>4344</v>
      </c>
      <c r="J456" t="s">
        <v>4302</v>
      </c>
    </row>
    <row r="457" spans="2:15">
      <c r="B457" s="62" t="s">
        <v>4383</v>
      </c>
      <c r="C457" t="s">
        <v>1091</v>
      </c>
      <c r="D457" t="s">
        <v>4310</v>
      </c>
      <c r="E457" t="s">
        <v>4344</v>
      </c>
      <c r="J457" t="s">
        <v>4302</v>
      </c>
    </row>
    <row r="458" spans="2:15">
      <c r="B458" s="62" t="s">
        <v>4384</v>
      </c>
      <c r="C458" t="s">
        <v>1091</v>
      </c>
      <c r="D458" t="s">
        <v>4343</v>
      </c>
      <c r="E458" t="s">
        <v>4344</v>
      </c>
      <c r="J458" t="s">
        <v>4302</v>
      </c>
    </row>
    <row r="459" spans="2:15">
      <c r="B459" s="62" t="s">
        <v>4385</v>
      </c>
      <c r="C459" t="s">
        <v>1091</v>
      </c>
      <c r="D459" t="s">
        <v>1322</v>
      </c>
      <c r="E459" t="s">
        <v>4344</v>
      </c>
      <c r="J459" t="s">
        <v>4302</v>
      </c>
    </row>
    <row r="460" spans="2:15">
      <c r="B460" t="s">
        <v>767</v>
      </c>
      <c r="C460" t="s">
        <v>4386</v>
      </c>
      <c r="D460" t="s">
        <v>661</v>
      </c>
      <c r="E460" t="s">
        <v>155</v>
      </c>
      <c r="F460" t="s">
        <v>662</v>
      </c>
      <c r="G460" t="s">
        <v>706</v>
      </c>
      <c r="H460" t="s">
        <v>655</v>
      </c>
      <c r="I460" t="s">
        <v>655</v>
      </c>
      <c r="J460" t="s">
        <v>706</v>
      </c>
      <c r="K460" t="s">
        <v>682</v>
      </c>
      <c r="M460" t="s">
        <v>1190</v>
      </c>
      <c r="N460" t="s">
        <v>663</v>
      </c>
      <c r="O460" s="1" t="s">
        <v>104</v>
      </c>
    </row>
    <row r="461" spans="2:15">
      <c r="B461" t="s">
        <v>768</v>
      </c>
      <c r="C461" t="s">
        <v>4386</v>
      </c>
      <c r="D461" t="s">
        <v>661</v>
      </c>
      <c r="E461" t="s">
        <v>155</v>
      </c>
      <c r="F461" t="s">
        <v>662</v>
      </c>
      <c r="G461" t="s">
        <v>707</v>
      </c>
      <c r="H461" t="s">
        <v>655</v>
      </c>
      <c r="I461" t="s">
        <v>655</v>
      </c>
      <c r="J461" t="s">
        <v>707</v>
      </c>
      <c r="K461" t="s">
        <v>682</v>
      </c>
      <c r="M461" t="s">
        <v>1192</v>
      </c>
      <c r="N461" t="s">
        <v>663</v>
      </c>
      <c r="O461" s="1" t="s">
        <v>104</v>
      </c>
    </row>
    <row r="462" spans="2:15">
      <c r="B462" t="s">
        <v>769</v>
      </c>
      <c r="C462" t="s">
        <v>4386</v>
      </c>
      <c r="D462" t="s">
        <v>661</v>
      </c>
      <c r="E462" t="s">
        <v>155</v>
      </c>
      <c r="F462" t="s">
        <v>662</v>
      </c>
      <c r="G462" t="s">
        <v>708</v>
      </c>
      <c r="H462" t="s">
        <v>655</v>
      </c>
      <c r="I462" t="s">
        <v>655</v>
      </c>
      <c r="J462" t="s">
        <v>708</v>
      </c>
      <c r="K462" t="s">
        <v>682</v>
      </c>
      <c r="M462" t="s">
        <v>1208</v>
      </c>
      <c r="N462" t="s">
        <v>663</v>
      </c>
      <c r="O462" s="1" t="s">
        <v>104</v>
      </c>
    </row>
    <row r="463" spans="2:15">
      <c r="B463" t="s">
        <v>770</v>
      </c>
      <c r="C463" t="s">
        <v>4386</v>
      </c>
      <c r="D463" t="s">
        <v>661</v>
      </c>
      <c r="E463" t="s">
        <v>155</v>
      </c>
      <c r="F463" t="s">
        <v>662</v>
      </c>
      <c r="G463" t="s">
        <v>709</v>
      </c>
      <c r="H463" t="s">
        <v>655</v>
      </c>
      <c r="I463" t="s">
        <v>655</v>
      </c>
      <c r="J463" t="s">
        <v>709</v>
      </c>
      <c r="K463" t="s">
        <v>682</v>
      </c>
      <c r="M463" t="s">
        <v>1210</v>
      </c>
      <c r="N463" t="s">
        <v>663</v>
      </c>
      <c r="O463" s="1" t="s">
        <v>104</v>
      </c>
    </row>
    <row r="464" spans="2:15">
      <c r="B464" t="s">
        <v>771</v>
      </c>
      <c r="C464" t="s">
        <v>4386</v>
      </c>
      <c r="D464" t="s">
        <v>661</v>
      </c>
      <c r="E464" t="s">
        <v>155</v>
      </c>
      <c r="F464" t="s">
        <v>662</v>
      </c>
      <c r="G464" t="s">
        <v>710</v>
      </c>
      <c r="H464" t="s">
        <v>655</v>
      </c>
      <c r="I464" t="s">
        <v>655</v>
      </c>
      <c r="J464" t="s">
        <v>710</v>
      </c>
      <c r="K464" t="s">
        <v>682</v>
      </c>
      <c r="M464" t="s">
        <v>1193</v>
      </c>
      <c r="N464" t="s">
        <v>663</v>
      </c>
      <c r="O464" s="1" t="s">
        <v>104</v>
      </c>
    </row>
    <row r="465" spans="2:15">
      <c r="B465" t="s">
        <v>772</v>
      </c>
      <c r="C465" t="s">
        <v>4386</v>
      </c>
      <c r="D465" t="s">
        <v>661</v>
      </c>
      <c r="E465" t="s">
        <v>155</v>
      </c>
      <c r="F465" t="s">
        <v>662</v>
      </c>
      <c r="G465" t="s">
        <v>711</v>
      </c>
      <c r="H465" t="s">
        <v>655</v>
      </c>
      <c r="I465" t="s">
        <v>655</v>
      </c>
      <c r="J465" t="s">
        <v>711</v>
      </c>
      <c r="K465" t="s">
        <v>682</v>
      </c>
      <c r="M465" t="s">
        <v>1213</v>
      </c>
      <c r="N465" t="s">
        <v>663</v>
      </c>
      <c r="O465" s="1" t="s">
        <v>104</v>
      </c>
    </row>
    <row r="466" spans="2:15">
      <c r="B466" t="s">
        <v>773</v>
      </c>
      <c r="C466" t="s">
        <v>4386</v>
      </c>
      <c r="D466" t="s">
        <v>661</v>
      </c>
      <c r="E466" t="s">
        <v>155</v>
      </c>
      <c r="F466" t="s">
        <v>662</v>
      </c>
      <c r="G466" t="s">
        <v>712</v>
      </c>
      <c r="H466" t="s">
        <v>655</v>
      </c>
      <c r="I466" t="s">
        <v>655</v>
      </c>
      <c r="J466" t="s">
        <v>712</v>
      </c>
      <c r="K466" t="s">
        <v>682</v>
      </c>
      <c r="M466" t="s">
        <v>1189</v>
      </c>
      <c r="N466" t="s">
        <v>663</v>
      </c>
      <c r="O466" s="1" t="s">
        <v>104</v>
      </c>
    </row>
    <row r="467" spans="2:15">
      <c r="B467" t="s">
        <v>774</v>
      </c>
      <c r="C467" t="s">
        <v>4386</v>
      </c>
      <c r="D467" t="s">
        <v>661</v>
      </c>
      <c r="E467" t="s">
        <v>155</v>
      </c>
      <c r="F467" t="s">
        <v>662</v>
      </c>
      <c r="G467" t="s">
        <v>713</v>
      </c>
      <c r="H467" t="s">
        <v>655</v>
      </c>
      <c r="I467" t="s">
        <v>655</v>
      </c>
      <c r="J467" t="s">
        <v>713</v>
      </c>
      <c r="K467" t="s">
        <v>682</v>
      </c>
      <c r="M467" t="s">
        <v>1216</v>
      </c>
      <c r="N467" t="s">
        <v>663</v>
      </c>
      <c r="O467" s="1" t="s">
        <v>104</v>
      </c>
    </row>
  </sheetData>
  <autoFilter ref="A1" xr:uid="{15283B1D-B8ED-4290-82AD-9E6FACB58B07}"/>
  <phoneticPr fontId="353" type="noConversion"/>
  <pageMargins left="0.7" right="0.7" top="0.75" bottom="0.75" header="0.3" footer="0.3"/>
  <pageSetup paperSize="9" orientation="portrait" r:id="rId1"/>
  <tableParts count="1">
    <tablePart r:id="rId2"/>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0D376-08EE-483B-85D8-16DD6B4C0C68}">
  <sheetPr codeName="Sheet41">
    <tabColor theme="7" tint="0.59999389629810485"/>
  </sheetPr>
  <dimension ref="A1:AF398"/>
  <sheetViews>
    <sheetView zoomScale="70" zoomScaleNormal="70" workbookViewId="0">
      <pane ySplit="4" topLeftCell="A5" activePane="bottomLeft" state="frozen"/>
      <selection activeCell="B7" sqref="B7"/>
      <selection pane="bottomLeft" activeCell="B7" sqref="B7"/>
    </sheetView>
  </sheetViews>
  <sheetFormatPr defaultColWidth="9" defaultRowHeight="13.8"/>
  <cols>
    <col min="1" max="1" width="50" customWidth="1"/>
    <col min="2" max="2" width="16" customWidth="1"/>
    <col min="3" max="3" width="24.59765625" bestFit="1" customWidth="1"/>
    <col min="4" max="4" width="6.59765625" bestFit="1" customWidth="1"/>
    <col min="5" max="5" width="12.09765625" customWidth="1"/>
    <col min="6" max="6" width="22.59765625" customWidth="1"/>
    <col min="7" max="7" width="6.8984375" customWidth="1"/>
    <col min="8" max="8" width="20.09765625" customWidth="1"/>
    <col min="9" max="9" width="8.59765625" customWidth="1"/>
    <col min="10" max="10" width="22.09765625" customWidth="1"/>
    <col min="11" max="11" width="23.5" customWidth="1"/>
    <col min="12" max="12" width="22.09765625" customWidth="1"/>
    <col min="13" max="13" width="12.09765625" customWidth="1"/>
    <col min="14" max="14" width="39.3984375" customWidth="1"/>
    <col min="15" max="15" width="39.3984375" bestFit="1" customWidth="1"/>
    <col min="16" max="16" width="55.59765625" bestFit="1" customWidth="1"/>
    <col min="17" max="18" width="16" customWidth="1"/>
    <col min="19" max="19" width="18.59765625" style="56" customWidth="1"/>
    <col min="20" max="20" width="14.5" customWidth="1"/>
    <col min="21" max="21" width="14.09765625" customWidth="1"/>
    <col min="22" max="23" width="11.09765625" customWidth="1"/>
    <col min="24" max="24" width="18.59765625" style="56" customWidth="1"/>
    <col min="25" max="25" width="17" bestFit="1" customWidth="1"/>
    <col min="26" max="26" width="17.8984375" bestFit="1" customWidth="1"/>
    <col min="27" max="27" width="7.59765625" bestFit="1" customWidth="1"/>
    <col min="28" max="30" width="19.3984375" bestFit="1" customWidth="1"/>
    <col min="31" max="31" width="11.09765625" bestFit="1" customWidth="1"/>
    <col min="32" max="32" width="26.3984375" bestFit="1" customWidth="1"/>
    <col min="33" max="33" width="36.5" bestFit="1" customWidth="1"/>
    <col min="34" max="34" width="51.5" bestFit="1" customWidth="1"/>
  </cols>
  <sheetData>
    <row r="1" spans="1:32">
      <c r="S1" s="2045">
        <v>2020</v>
      </c>
      <c r="T1" s="2045"/>
      <c r="U1" s="2045"/>
      <c r="V1" s="55"/>
      <c r="W1" s="55"/>
    </row>
    <row r="2" spans="1:32" ht="27.6">
      <c r="S2" s="57" t="s">
        <v>4387</v>
      </c>
      <c r="T2" s="58" t="s">
        <v>1472</v>
      </c>
      <c r="U2" s="2046" t="s">
        <v>1473</v>
      </c>
      <c r="V2" s="2046"/>
      <c r="W2" s="2046"/>
      <c r="X2" s="59" t="s">
        <v>4388</v>
      </c>
      <c r="AB2" s="57" t="s">
        <v>4387</v>
      </c>
      <c r="AC2" s="58" t="s">
        <v>1472</v>
      </c>
      <c r="AD2" s="2046" t="s">
        <v>1473</v>
      </c>
      <c r="AE2" s="2046"/>
      <c r="AF2" s="2046"/>
    </row>
    <row r="3" spans="1:32">
      <c r="T3" s="9"/>
      <c r="U3" s="60" t="s">
        <v>4389</v>
      </c>
      <c r="V3" s="60" t="s">
        <v>4390</v>
      </c>
      <c r="W3" s="60" t="s">
        <v>4391</v>
      </c>
      <c r="X3" s="61"/>
      <c r="Y3" s="9"/>
      <c r="Z3" s="60"/>
      <c r="AC3" s="9"/>
      <c r="AD3" s="60" t="s">
        <v>4389</v>
      </c>
      <c r="AE3" s="60" t="s">
        <v>4390</v>
      </c>
      <c r="AF3" s="60" t="s">
        <v>4391</v>
      </c>
    </row>
    <row r="4" spans="1:32">
      <c r="A4" t="s">
        <v>750</v>
      </c>
      <c r="B4" t="s">
        <v>4392</v>
      </c>
      <c r="C4" t="s">
        <v>4393</v>
      </c>
      <c r="D4" t="s">
        <v>1187</v>
      </c>
      <c r="E4" t="s">
        <v>4394</v>
      </c>
      <c r="F4" t="s">
        <v>4395</v>
      </c>
      <c r="G4" t="s">
        <v>4396</v>
      </c>
      <c r="H4" t="s">
        <v>4397</v>
      </c>
      <c r="I4" t="s">
        <v>1136</v>
      </c>
      <c r="J4" t="s">
        <v>4387</v>
      </c>
      <c r="K4" t="s">
        <v>1472</v>
      </c>
      <c r="L4" t="s">
        <v>1473</v>
      </c>
      <c r="M4" t="s">
        <v>4398</v>
      </c>
      <c r="N4" t="s">
        <v>4399</v>
      </c>
      <c r="O4" t="s">
        <v>4400</v>
      </c>
      <c r="P4" s="1" t="s">
        <v>4401</v>
      </c>
    </row>
    <row r="5" spans="1:32" ht="27.6" hidden="1">
      <c r="A5" t="s">
        <v>1018</v>
      </c>
      <c r="B5" t="s">
        <v>155</v>
      </c>
      <c r="C5" t="s">
        <v>4402</v>
      </c>
      <c r="D5" t="s">
        <v>1190</v>
      </c>
      <c r="E5" t="s">
        <v>663</v>
      </c>
      <c r="H5">
        <v>3.5999999999999999E-3</v>
      </c>
      <c r="I5" t="s">
        <v>1137</v>
      </c>
      <c r="J5">
        <v>0</v>
      </c>
      <c r="K5" s="647">
        <v>0.81</v>
      </c>
      <c r="L5" s="647">
        <v>0.09</v>
      </c>
      <c r="M5" t="s">
        <v>4403</v>
      </c>
      <c r="O5" t="s">
        <v>4404</v>
      </c>
      <c r="P5" s="1" t="s">
        <v>4405</v>
      </c>
      <c r="T5">
        <v>0.79</v>
      </c>
      <c r="U5">
        <v>0.09</v>
      </c>
      <c r="X5" s="56" t="s">
        <v>4406</v>
      </c>
      <c r="AC5" s="3">
        <f>(T5-GHGFY207[[#This Row],[Scope 2 Emission factor]])/GHGFY207[[#This Row],[Scope 2 Emission factor]]</f>
        <v>-2.4691358024691377E-2</v>
      </c>
      <c r="AD5" s="3">
        <f>(U5-GHGFY207[[#This Row],[Scope 3 Emission factor]])/GHGFY207[[#This Row],[Scope 3 Emission factor]]</f>
        <v>0</v>
      </c>
    </row>
    <row r="6" spans="1:32" ht="27.6" hidden="1">
      <c r="A6" t="s">
        <v>1019</v>
      </c>
      <c r="B6" t="s">
        <v>155</v>
      </c>
      <c r="C6" t="s">
        <v>4402</v>
      </c>
      <c r="D6" t="s">
        <v>1192</v>
      </c>
      <c r="E6" t="s">
        <v>663</v>
      </c>
      <c r="H6">
        <v>3.5999999999999999E-3</v>
      </c>
      <c r="I6" t="s">
        <v>1137</v>
      </c>
      <c r="J6">
        <v>0</v>
      </c>
      <c r="K6" s="647">
        <v>0.81</v>
      </c>
      <c r="L6" s="647">
        <v>0.09</v>
      </c>
      <c r="M6" t="s">
        <v>4403</v>
      </c>
      <c r="O6" t="s">
        <v>4404</v>
      </c>
      <c r="P6" s="1" t="s">
        <v>4405</v>
      </c>
      <c r="T6">
        <v>0.81</v>
      </c>
      <c r="U6">
        <v>0.09</v>
      </c>
      <c r="X6" s="56" t="s">
        <v>4405</v>
      </c>
      <c r="AC6" s="3">
        <f>(T6-GHGFY207[[#This Row],[Scope 2 Emission factor]])/GHGFY207[[#This Row],[Scope 2 Emission factor]]</f>
        <v>0</v>
      </c>
      <c r="AD6" s="3">
        <f>(U6-GHGFY207[[#This Row],[Scope 3 Emission factor]])/GHGFY207[[#This Row],[Scope 3 Emission factor]]</f>
        <v>0</v>
      </c>
    </row>
    <row r="7" spans="1:32" ht="27.6" hidden="1">
      <c r="A7" t="s">
        <v>1070</v>
      </c>
      <c r="B7" t="s">
        <v>155</v>
      </c>
      <c r="C7" t="s">
        <v>4402</v>
      </c>
      <c r="D7" t="s">
        <v>1208</v>
      </c>
      <c r="E7" t="s">
        <v>663</v>
      </c>
      <c r="H7">
        <v>3.5999999999999999E-3</v>
      </c>
      <c r="I7" t="s">
        <v>1137</v>
      </c>
      <c r="J7">
        <v>0</v>
      </c>
      <c r="K7" s="647">
        <v>0.62</v>
      </c>
      <c r="L7" s="647">
        <v>7.0000000000000007E-2</v>
      </c>
      <c r="M7" t="s">
        <v>4403</v>
      </c>
      <c r="O7" t="s">
        <v>4404</v>
      </c>
      <c r="P7" s="1" t="s">
        <v>4406</v>
      </c>
      <c r="T7">
        <v>0.63</v>
      </c>
      <c r="U7">
        <v>0.08</v>
      </c>
      <c r="X7" s="56" t="s">
        <v>4406</v>
      </c>
      <c r="AC7" s="3">
        <f>(T7-GHGFY207[[#This Row],[Scope 2 Emission factor]])/GHGFY207[[#This Row],[Scope 2 Emission factor]]</f>
        <v>1.612903225806453E-2</v>
      </c>
      <c r="AD7" s="3">
        <f>(U7-GHGFY207[[#This Row],[Scope 3 Emission factor]])/GHGFY207[[#This Row],[Scope 3 Emission factor]]</f>
        <v>0.14285714285714277</v>
      </c>
    </row>
    <row r="8" spans="1:32" ht="27.6" hidden="1">
      <c r="A8" t="s">
        <v>1020</v>
      </c>
      <c r="B8" t="s">
        <v>155</v>
      </c>
      <c r="C8" t="s">
        <v>4402</v>
      </c>
      <c r="D8" t="s">
        <v>1210</v>
      </c>
      <c r="E8" t="s">
        <v>663</v>
      </c>
      <c r="H8">
        <v>3.5999999999999999E-3</v>
      </c>
      <c r="I8" t="s">
        <v>1137</v>
      </c>
      <c r="J8">
        <v>0</v>
      </c>
      <c r="K8" s="647">
        <v>0.81</v>
      </c>
      <c r="L8" s="647">
        <v>0.12</v>
      </c>
      <c r="M8" t="s">
        <v>4403</v>
      </c>
      <c r="O8" t="s">
        <v>4404</v>
      </c>
      <c r="P8" s="1" t="s">
        <v>4407</v>
      </c>
      <c r="T8">
        <v>0.81</v>
      </c>
      <c r="U8">
        <v>0.12</v>
      </c>
      <c r="X8" s="56" t="s">
        <v>4407</v>
      </c>
      <c r="AC8" s="3">
        <f>(T8-GHGFY207[[#This Row],[Scope 2 Emission factor]])/GHGFY207[[#This Row],[Scope 2 Emission factor]]</f>
        <v>0</v>
      </c>
      <c r="AD8" s="3">
        <f>(U8-GHGFY207[[#This Row],[Scope 3 Emission factor]])/GHGFY207[[#This Row],[Scope 3 Emission factor]]</f>
        <v>0</v>
      </c>
      <c r="AE8" s="3"/>
    </row>
    <row r="9" spans="1:32" ht="27.6" hidden="1">
      <c r="A9" t="s">
        <v>1021</v>
      </c>
      <c r="B9" t="s">
        <v>155</v>
      </c>
      <c r="C9" t="s">
        <v>4402</v>
      </c>
      <c r="D9" t="s">
        <v>1193</v>
      </c>
      <c r="E9" t="s">
        <v>663</v>
      </c>
      <c r="H9">
        <v>3.5999999999999999E-3</v>
      </c>
      <c r="I9" t="s">
        <v>1137</v>
      </c>
      <c r="J9">
        <v>0</v>
      </c>
      <c r="K9" s="647">
        <v>0.43</v>
      </c>
      <c r="L9" s="647">
        <v>0.09</v>
      </c>
      <c r="M9" t="s">
        <v>4403</v>
      </c>
      <c r="O9" t="s">
        <v>4404</v>
      </c>
      <c r="P9" s="1" t="s">
        <v>4408</v>
      </c>
      <c r="T9">
        <v>0.44</v>
      </c>
      <c r="U9">
        <v>0.1</v>
      </c>
      <c r="X9" s="56" t="s">
        <v>4408</v>
      </c>
      <c r="AC9" s="3">
        <f>(T9-GHGFY207[[#This Row],[Scope 2 Emission factor]])/GHGFY207[[#This Row],[Scope 2 Emission factor]]</f>
        <v>2.3255813953488393E-2</v>
      </c>
      <c r="AD9" s="3">
        <f>(U9-GHGFY207[[#This Row],[Scope 3 Emission factor]])/GHGFY207[[#This Row],[Scope 3 Emission factor]]</f>
        <v>0.11111111111111122</v>
      </c>
    </row>
    <row r="10" spans="1:32" ht="27.6" hidden="1">
      <c r="A10" t="s">
        <v>1022</v>
      </c>
      <c r="B10" t="s">
        <v>155</v>
      </c>
      <c r="C10" t="s">
        <v>4402</v>
      </c>
      <c r="D10" t="s">
        <v>1213</v>
      </c>
      <c r="E10" t="s">
        <v>663</v>
      </c>
      <c r="H10">
        <v>3.5999999999999999E-3</v>
      </c>
      <c r="I10" t="s">
        <v>1137</v>
      </c>
      <c r="J10">
        <v>0</v>
      </c>
      <c r="K10" s="647">
        <v>0.17</v>
      </c>
      <c r="L10" s="647">
        <v>0.02</v>
      </c>
      <c r="M10" t="s">
        <v>4403</v>
      </c>
      <c r="O10" t="s">
        <v>4404</v>
      </c>
      <c r="P10" s="1" t="s">
        <v>4406</v>
      </c>
      <c r="T10">
        <v>0.15</v>
      </c>
      <c r="U10">
        <v>0.02</v>
      </c>
      <c r="X10" s="56" t="s">
        <v>4406</v>
      </c>
      <c r="AC10" s="3">
        <f>(T10-GHGFY207[[#This Row],[Scope 2 Emission factor]])/GHGFY207[[#This Row],[Scope 2 Emission factor]]</f>
        <v>-0.11764705882352951</v>
      </c>
      <c r="AD10" s="3">
        <f>(U10-GHGFY207[[#This Row],[Scope 3 Emission factor]])/GHGFY207[[#This Row],[Scope 3 Emission factor]]</f>
        <v>0</v>
      </c>
    </row>
    <row r="11" spans="1:32" ht="27.6" hidden="1">
      <c r="A11" t="s">
        <v>1023</v>
      </c>
      <c r="B11" t="s">
        <v>155</v>
      </c>
      <c r="C11" t="s">
        <v>4402</v>
      </c>
      <c r="D11" t="s">
        <v>1189</v>
      </c>
      <c r="E11" t="s">
        <v>663</v>
      </c>
      <c r="H11">
        <v>3.5999999999999999E-3</v>
      </c>
      <c r="I11" t="s">
        <v>1137</v>
      </c>
      <c r="J11">
        <v>0</v>
      </c>
      <c r="K11" s="647">
        <v>0.98</v>
      </c>
      <c r="L11" s="647">
        <v>0.11</v>
      </c>
      <c r="M11" t="s">
        <v>4403</v>
      </c>
      <c r="O11" t="s">
        <v>4404</v>
      </c>
      <c r="P11" s="1" t="s">
        <v>4407</v>
      </c>
      <c r="T11">
        <v>1.02</v>
      </c>
      <c r="U11">
        <v>0.1</v>
      </c>
      <c r="X11" s="56" t="s">
        <v>4407</v>
      </c>
      <c r="AC11" s="3">
        <f>(T11-GHGFY207[[#This Row],[Scope 2 Emission factor]])/GHGFY207[[#This Row],[Scope 2 Emission factor]]</f>
        <v>4.0816326530612283E-2</v>
      </c>
      <c r="AD11" s="3">
        <f>(U11-GHGFY207[[#This Row],[Scope 3 Emission factor]])/GHGFY207[[#This Row],[Scope 3 Emission factor]]</f>
        <v>-9.090909090909087E-2</v>
      </c>
    </row>
    <row r="12" spans="1:32" ht="27.6" hidden="1">
      <c r="A12" t="s">
        <v>1024</v>
      </c>
      <c r="B12" t="s">
        <v>155</v>
      </c>
      <c r="C12" t="s">
        <v>4402</v>
      </c>
      <c r="D12" t="s">
        <v>1216</v>
      </c>
      <c r="E12" t="s">
        <v>663</v>
      </c>
      <c r="H12">
        <v>3.5999999999999999E-3</v>
      </c>
      <c r="I12" t="s">
        <v>1137</v>
      </c>
      <c r="J12">
        <v>0</v>
      </c>
      <c r="K12" s="647">
        <v>0.68</v>
      </c>
      <c r="L12" s="647">
        <v>0.02</v>
      </c>
      <c r="M12" t="s">
        <v>4403</v>
      </c>
      <c r="O12" t="s">
        <v>4404</v>
      </c>
      <c r="P12" s="1" t="s">
        <v>4408</v>
      </c>
      <c r="T12">
        <v>0.69</v>
      </c>
      <c r="U12">
        <v>0.04</v>
      </c>
      <c r="X12" s="56" t="s">
        <v>4408</v>
      </c>
      <c r="AC12" s="3">
        <f>(T12-GHGFY207[[#This Row],[Scope 2 Emission factor]])/GHGFY207[[#This Row],[Scope 2 Emission factor]]</f>
        <v>1.4705882352941025E-2</v>
      </c>
      <c r="AD12" s="3">
        <f>(U12-GHGFY207[[#This Row],[Scope 3 Emission factor]])/GHGFY207[[#This Row],[Scope 3 Emission factor]]</f>
        <v>1</v>
      </c>
    </row>
    <row r="13" spans="1:32" ht="27.6" hidden="1">
      <c r="A13" t="s">
        <v>1002</v>
      </c>
      <c r="B13" t="s">
        <v>155</v>
      </c>
      <c r="C13" t="s">
        <v>4402</v>
      </c>
      <c r="D13" t="s">
        <v>1190</v>
      </c>
      <c r="E13" t="s">
        <v>663</v>
      </c>
      <c r="H13">
        <v>3.5999999999999999E-3</v>
      </c>
      <c r="I13" t="s">
        <v>1137</v>
      </c>
      <c r="J13">
        <v>0</v>
      </c>
      <c r="K13" s="647">
        <v>0.81</v>
      </c>
      <c r="L13" s="647">
        <v>0.09</v>
      </c>
      <c r="M13" t="s">
        <v>4403</v>
      </c>
      <c r="O13" t="s">
        <v>4404</v>
      </c>
      <c r="P13" s="1" t="s">
        <v>4405</v>
      </c>
      <c r="T13">
        <v>0.79</v>
      </c>
      <c r="U13">
        <v>0.09</v>
      </c>
      <c r="X13" s="56" t="s">
        <v>4406</v>
      </c>
      <c r="AC13" s="3">
        <f>(T13-GHGFY207[[#This Row],[Scope 2 Emission factor]])/GHGFY207[[#This Row],[Scope 2 Emission factor]]</f>
        <v>-2.4691358024691377E-2</v>
      </c>
      <c r="AD13" s="3">
        <f>(U13-GHGFY207[[#This Row],[Scope 3 Emission factor]])/GHGFY207[[#This Row],[Scope 3 Emission factor]]</f>
        <v>0</v>
      </c>
    </row>
    <row r="14" spans="1:32" ht="27.6" hidden="1">
      <c r="A14" t="s">
        <v>1003</v>
      </c>
      <c r="B14" t="s">
        <v>155</v>
      </c>
      <c r="C14" t="s">
        <v>4402</v>
      </c>
      <c r="D14" t="s">
        <v>1192</v>
      </c>
      <c r="E14" t="s">
        <v>663</v>
      </c>
      <c r="H14">
        <v>3.5999999999999999E-3</v>
      </c>
      <c r="I14" t="s">
        <v>1137</v>
      </c>
      <c r="J14">
        <v>0</v>
      </c>
      <c r="K14" s="647">
        <v>0.81</v>
      </c>
      <c r="L14" s="647">
        <v>0.09</v>
      </c>
      <c r="M14" t="s">
        <v>4403</v>
      </c>
      <c r="O14" t="s">
        <v>4404</v>
      </c>
      <c r="P14" s="1" t="s">
        <v>4405</v>
      </c>
      <c r="T14">
        <v>0.81</v>
      </c>
      <c r="U14">
        <v>0.09</v>
      </c>
      <c r="X14" s="56" t="s">
        <v>4405</v>
      </c>
      <c r="AC14" s="3">
        <f>(T14-GHGFY207[[#This Row],[Scope 2 Emission factor]])/GHGFY207[[#This Row],[Scope 2 Emission factor]]</f>
        <v>0</v>
      </c>
      <c r="AD14" s="3">
        <f>(U14-GHGFY207[[#This Row],[Scope 3 Emission factor]])/GHGFY207[[#This Row],[Scope 3 Emission factor]]</f>
        <v>0</v>
      </c>
    </row>
    <row r="15" spans="1:32" ht="27.6" hidden="1">
      <c r="A15" t="s">
        <v>1004</v>
      </c>
      <c r="B15" t="s">
        <v>155</v>
      </c>
      <c r="C15" t="s">
        <v>4402</v>
      </c>
      <c r="D15" t="s">
        <v>1208</v>
      </c>
      <c r="E15" t="s">
        <v>663</v>
      </c>
      <c r="H15">
        <v>3.5999999999999999E-3</v>
      </c>
      <c r="I15" t="s">
        <v>1137</v>
      </c>
      <c r="J15">
        <v>0</v>
      </c>
      <c r="K15" s="647">
        <v>0.62</v>
      </c>
      <c r="L15" s="647">
        <v>7.0000000000000007E-2</v>
      </c>
      <c r="M15" t="s">
        <v>4403</v>
      </c>
      <c r="O15" t="s">
        <v>4404</v>
      </c>
      <c r="P15" s="1" t="s">
        <v>4406</v>
      </c>
      <c r="T15">
        <v>0.63</v>
      </c>
      <c r="U15">
        <v>0.08</v>
      </c>
      <c r="X15" s="56" t="s">
        <v>4406</v>
      </c>
      <c r="AC15" s="3">
        <f>(T15-GHGFY207[[#This Row],[Scope 2 Emission factor]])/GHGFY207[[#This Row],[Scope 2 Emission factor]]</f>
        <v>1.612903225806453E-2</v>
      </c>
      <c r="AD15" s="3">
        <f>(U15-GHGFY207[[#This Row],[Scope 3 Emission factor]])/GHGFY207[[#This Row],[Scope 3 Emission factor]]</f>
        <v>0.14285714285714277</v>
      </c>
    </row>
    <row r="16" spans="1:32" ht="27.6" hidden="1">
      <c r="A16" t="s">
        <v>1005</v>
      </c>
      <c r="B16" t="s">
        <v>155</v>
      </c>
      <c r="C16" t="s">
        <v>4402</v>
      </c>
      <c r="D16" t="s">
        <v>1210</v>
      </c>
      <c r="E16" t="s">
        <v>663</v>
      </c>
      <c r="H16">
        <v>3.5999999999999999E-3</v>
      </c>
      <c r="I16" t="s">
        <v>1137</v>
      </c>
      <c r="J16">
        <v>0</v>
      </c>
      <c r="K16" s="647">
        <v>0.81</v>
      </c>
      <c r="L16" s="647">
        <v>0.12</v>
      </c>
      <c r="M16" t="s">
        <v>4403</v>
      </c>
      <c r="O16" t="s">
        <v>4404</v>
      </c>
      <c r="P16" s="1" t="s">
        <v>4407</v>
      </c>
      <c r="T16">
        <v>0.81</v>
      </c>
      <c r="U16">
        <v>0.12</v>
      </c>
      <c r="X16" s="56" t="s">
        <v>4407</v>
      </c>
      <c r="AC16" s="3">
        <f>(T16-GHGFY207[[#This Row],[Scope 2 Emission factor]])/GHGFY207[[#This Row],[Scope 2 Emission factor]]</f>
        <v>0</v>
      </c>
      <c r="AD16" s="3">
        <f>(U16-GHGFY207[[#This Row],[Scope 3 Emission factor]])/GHGFY207[[#This Row],[Scope 3 Emission factor]]</f>
        <v>0</v>
      </c>
    </row>
    <row r="17" spans="1:30" ht="27.6" hidden="1">
      <c r="A17" t="s">
        <v>1006</v>
      </c>
      <c r="B17" t="s">
        <v>155</v>
      </c>
      <c r="C17" t="s">
        <v>4402</v>
      </c>
      <c r="D17" t="s">
        <v>1193</v>
      </c>
      <c r="E17" t="s">
        <v>663</v>
      </c>
      <c r="H17">
        <v>3.5999999999999999E-3</v>
      </c>
      <c r="I17" t="s">
        <v>1137</v>
      </c>
      <c r="J17">
        <v>0</v>
      </c>
      <c r="K17" s="647">
        <v>0.43</v>
      </c>
      <c r="L17" s="647">
        <v>0.09</v>
      </c>
      <c r="M17" t="s">
        <v>4403</v>
      </c>
      <c r="O17" t="s">
        <v>4404</v>
      </c>
      <c r="P17" s="1" t="s">
        <v>4408</v>
      </c>
      <c r="T17">
        <v>0.44</v>
      </c>
      <c r="U17">
        <v>0.1</v>
      </c>
      <c r="X17" s="56" t="s">
        <v>4408</v>
      </c>
      <c r="AC17" s="3">
        <f>(T17-GHGFY207[[#This Row],[Scope 2 Emission factor]])/GHGFY207[[#This Row],[Scope 2 Emission factor]]</f>
        <v>2.3255813953488393E-2</v>
      </c>
      <c r="AD17" s="3">
        <f>(U17-GHGFY207[[#This Row],[Scope 3 Emission factor]])/GHGFY207[[#This Row],[Scope 3 Emission factor]]</f>
        <v>0.11111111111111122</v>
      </c>
    </row>
    <row r="18" spans="1:30" ht="27.6" hidden="1">
      <c r="A18" t="s">
        <v>1007</v>
      </c>
      <c r="B18" t="s">
        <v>155</v>
      </c>
      <c r="C18" t="s">
        <v>4402</v>
      </c>
      <c r="D18" t="s">
        <v>1213</v>
      </c>
      <c r="E18" t="s">
        <v>663</v>
      </c>
      <c r="H18">
        <v>3.5999999999999999E-3</v>
      </c>
      <c r="I18" t="s">
        <v>1137</v>
      </c>
      <c r="J18">
        <v>0</v>
      </c>
      <c r="K18" s="647">
        <v>0.17</v>
      </c>
      <c r="L18" s="647">
        <v>0.02</v>
      </c>
      <c r="M18" t="s">
        <v>4403</v>
      </c>
      <c r="O18" t="s">
        <v>4404</v>
      </c>
      <c r="P18" s="1" t="s">
        <v>4406</v>
      </c>
      <c r="T18">
        <v>0.15</v>
      </c>
      <c r="U18">
        <v>0.02</v>
      </c>
      <c r="X18" s="56" t="s">
        <v>4406</v>
      </c>
      <c r="AC18" s="3">
        <f>(T18-GHGFY207[[#This Row],[Scope 2 Emission factor]])/GHGFY207[[#This Row],[Scope 2 Emission factor]]</f>
        <v>-0.11764705882352951</v>
      </c>
      <c r="AD18" s="3">
        <f>(U18-GHGFY207[[#This Row],[Scope 3 Emission factor]])/GHGFY207[[#This Row],[Scope 3 Emission factor]]</f>
        <v>0</v>
      </c>
    </row>
    <row r="19" spans="1:30" ht="27.6" hidden="1">
      <c r="A19" t="s">
        <v>1008</v>
      </c>
      <c r="B19" t="s">
        <v>155</v>
      </c>
      <c r="C19" t="s">
        <v>4402</v>
      </c>
      <c r="D19" t="s">
        <v>1189</v>
      </c>
      <c r="E19" t="s">
        <v>663</v>
      </c>
      <c r="H19">
        <v>3.5999999999999999E-3</v>
      </c>
      <c r="I19" t="s">
        <v>1137</v>
      </c>
      <c r="J19">
        <v>0</v>
      </c>
      <c r="K19" s="647">
        <v>0.98</v>
      </c>
      <c r="L19" s="647">
        <v>0.11</v>
      </c>
      <c r="M19" t="s">
        <v>4403</v>
      </c>
      <c r="O19" t="s">
        <v>4404</v>
      </c>
      <c r="P19" s="1" t="s">
        <v>4407</v>
      </c>
      <c r="T19">
        <v>1.02</v>
      </c>
      <c r="U19">
        <v>0.1</v>
      </c>
      <c r="X19" s="56" t="s">
        <v>4407</v>
      </c>
      <c r="AC19" s="3">
        <f>(T19-GHGFY207[[#This Row],[Scope 2 Emission factor]])/GHGFY207[[#This Row],[Scope 2 Emission factor]]</f>
        <v>4.0816326530612283E-2</v>
      </c>
      <c r="AD19" s="3">
        <f>(U19-GHGFY207[[#This Row],[Scope 3 Emission factor]])/GHGFY207[[#This Row],[Scope 3 Emission factor]]</f>
        <v>-9.090909090909087E-2</v>
      </c>
    </row>
    <row r="20" spans="1:30" ht="27.6" hidden="1">
      <c r="A20" t="s">
        <v>1009</v>
      </c>
      <c r="B20" t="s">
        <v>155</v>
      </c>
      <c r="C20" t="s">
        <v>4402</v>
      </c>
      <c r="D20" t="s">
        <v>1216</v>
      </c>
      <c r="E20" t="s">
        <v>663</v>
      </c>
      <c r="H20">
        <v>3.5999999999999999E-3</v>
      </c>
      <c r="I20" t="s">
        <v>1137</v>
      </c>
      <c r="J20">
        <v>0</v>
      </c>
      <c r="K20" s="647">
        <v>0.68</v>
      </c>
      <c r="L20" s="647">
        <v>0.02</v>
      </c>
      <c r="M20" t="s">
        <v>4403</v>
      </c>
      <c r="O20" t="s">
        <v>4404</v>
      </c>
      <c r="P20" s="1" t="s">
        <v>4408</v>
      </c>
      <c r="T20">
        <v>0.69</v>
      </c>
      <c r="U20">
        <v>0.04</v>
      </c>
      <c r="X20" s="56" t="s">
        <v>4408</v>
      </c>
      <c r="AC20" s="3">
        <f>(T20-GHGFY207[[#This Row],[Scope 2 Emission factor]])/GHGFY207[[#This Row],[Scope 2 Emission factor]]</f>
        <v>1.4705882352941025E-2</v>
      </c>
      <c r="AD20" s="3">
        <f>(U20-GHGFY207[[#This Row],[Scope 3 Emission factor]])/GHGFY207[[#This Row],[Scope 3 Emission factor]]</f>
        <v>1</v>
      </c>
    </row>
    <row r="21" spans="1:30" ht="27.6" hidden="1">
      <c r="A21" t="s">
        <v>1010</v>
      </c>
      <c r="B21" t="s">
        <v>155</v>
      </c>
      <c r="C21" t="s">
        <v>4402</v>
      </c>
      <c r="D21" t="s">
        <v>1190</v>
      </c>
      <c r="E21" t="s">
        <v>663</v>
      </c>
      <c r="H21">
        <v>3.5999999999999999E-3</v>
      </c>
      <c r="I21" t="s">
        <v>1137</v>
      </c>
      <c r="J21">
        <v>0</v>
      </c>
      <c r="K21" s="647">
        <v>0.81</v>
      </c>
      <c r="L21" s="647">
        <v>0.09</v>
      </c>
      <c r="M21" t="s">
        <v>4403</v>
      </c>
      <c r="O21" t="s">
        <v>4404</v>
      </c>
      <c r="P21" s="1" t="s">
        <v>4405</v>
      </c>
      <c r="T21">
        <v>0.79</v>
      </c>
      <c r="U21">
        <v>0.09</v>
      </c>
      <c r="X21" s="56" t="s">
        <v>4406</v>
      </c>
      <c r="AC21" s="3">
        <f>(T21-GHGFY207[[#This Row],[Scope 2 Emission factor]])/GHGFY207[[#This Row],[Scope 2 Emission factor]]</f>
        <v>-2.4691358024691377E-2</v>
      </c>
      <c r="AD21" s="3">
        <f>(U21-GHGFY207[[#This Row],[Scope 3 Emission factor]])/GHGFY207[[#This Row],[Scope 3 Emission factor]]</f>
        <v>0</v>
      </c>
    </row>
    <row r="22" spans="1:30" ht="27.6" hidden="1">
      <c r="A22" t="s">
        <v>1011</v>
      </c>
      <c r="B22" t="s">
        <v>155</v>
      </c>
      <c r="C22" t="s">
        <v>4402</v>
      </c>
      <c r="D22" t="s">
        <v>1192</v>
      </c>
      <c r="E22" t="s">
        <v>663</v>
      </c>
      <c r="H22">
        <v>3.5999999999999999E-3</v>
      </c>
      <c r="I22" t="s">
        <v>1137</v>
      </c>
      <c r="J22">
        <v>0</v>
      </c>
      <c r="K22" s="647">
        <v>0.81</v>
      </c>
      <c r="L22" s="647">
        <v>0.09</v>
      </c>
      <c r="M22" t="s">
        <v>4403</v>
      </c>
      <c r="O22" t="s">
        <v>4404</v>
      </c>
      <c r="P22" s="1" t="s">
        <v>4405</v>
      </c>
      <c r="T22">
        <v>0.81</v>
      </c>
      <c r="U22">
        <v>0.09</v>
      </c>
      <c r="X22" s="56" t="s">
        <v>4405</v>
      </c>
      <c r="AC22" s="3">
        <f>(T22-GHGFY207[[#This Row],[Scope 2 Emission factor]])/GHGFY207[[#This Row],[Scope 2 Emission factor]]</f>
        <v>0</v>
      </c>
      <c r="AD22" s="3">
        <f>(U22-GHGFY207[[#This Row],[Scope 3 Emission factor]])/GHGFY207[[#This Row],[Scope 3 Emission factor]]</f>
        <v>0</v>
      </c>
    </row>
    <row r="23" spans="1:30" ht="27.6" hidden="1">
      <c r="A23" t="s">
        <v>1012</v>
      </c>
      <c r="B23" t="s">
        <v>155</v>
      </c>
      <c r="C23" t="s">
        <v>4402</v>
      </c>
      <c r="D23" t="s">
        <v>1208</v>
      </c>
      <c r="E23" t="s">
        <v>663</v>
      </c>
      <c r="H23">
        <v>3.5999999999999999E-3</v>
      </c>
      <c r="I23" t="s">
        <v>1137</v>
      </c>
      <c r="J23">
        <v>0</v>
      </c>
      <c r="K23" s="647">
        <v>0.62</v>
      </c>
      <c r="L23" s="647">
        <v>7.0000000000000007E-2</v>
      </c>
      <c r="M23" t="s">
        <v>4403</v>
      </c>
      <c r="O23" t="s">
        <v>4404</v>
      </c>
      <c r="P23" s="1" t="s">
        <v>4406</v>
      </c>
      <c r="T23">
        <v>0.63</v>
      </c>
      <c r="U23">
        <v>0.08</v>
      </c>
      <c r="X23" s="56" t="s">
        <v>4406</v>
      </c>
      <c r="AC23" s="3">
        <f>(T23-GHGFY207[[#This Row],[Scope 2 Emission factor]])/GHGFY207[[#This Row],[Scope 2 Emission factor]]</f>
        <v>1.612903225806453E-2</v>
      </c>
      <c r="AD23" s="3">
        <f>(U23-GHGFY207[[#This Row],[Scope 3 Emission factor]])/GHGFY207[[#This Row],[Scope 3 Emission factor]]</f>
        <v>0.14285714285714277</v>
      </c>
    </row>
    <row r="24" spans="1:30" ht="27.6" hidden="1">
      <c r="A24" t="s">
        <v>1013</v>
      </c>
      <c r="B24" t="s">
        <v>155</v>
      </c>
      <c r="C24" t="s">
        <v>4402</v>
      </c>
      <c r="D24" t="s">
        <v>1210</v>
      </c>
      <c r="E24" t="s">
        <v>663</v>
      </c>
      <c r="H24">
        <v>3.5999999999999999E-3</v>
      </c>
      <c r="I24" t="s">
        <v>1137</v>
      </c>
      <c r="J24">
        <v>0</v>
      </c>
      <c r="K24" s="647">
        <v>0.81</v>
      </c>
      <c r="L24" s="647">
        <v>0.12</v>
      </c>
      <c r="M24" t="s">
        <v>4403</v>
      </c>
      <c r="O24" t="s">
        <v>4404</v>
      </c>
      <c r="P24" s="1" t="s">
        <v>4407</v>
      </c>
      <c r="T24">
        <v>0.81</v>
      </c>
      <c r="U24">
        <v>0.12</v>
      </c>
      <c r="X24" s="56" t="s">
        <v>4407</v>
      </c>
      <c r="AC24" s="3">
        <f>(T24-GHGFY207[[#This Row],[Scope 2 Emission factor]])/GHGFY207[[#This Row],[Scope 2 Emission factor]]</f>
        <v>0</v>
      </c>
      <c r="AD24" s="3">
        <f>(U24-GHGFY207[[#This Row],[Scope 3 Emission factor]])/GHGFY207[[#This Row],[Scope 3 Emission factor]]</f>
        <v>0</v>
      </c>
    </row>
    <row r="25" spans="1:30" ht="27.6" hidden="1">
      <c r="A25" t="s">
        <v>1014</v>
      </c>
      <c r="B25" t="s">
        <v>155</v>
      </c>
      <c r="C25" t="s">
        <v>4402</v>
      </c>
      <c r="D25" t="s">
        <v>1193</v>
      </c>
      <c r="E25" t="s">
        <v>663</v>
      </c>
      <c r="H25">
        <v>3.5999999999999999E-3</v>
      </c>
      <c r="I25" t="s">
        <v>1137</v>
      </c>
      <c r="J25">
        <v>0</v>
      </c>
      <c r="K25" s="647">
        <v>0.43</v>
      </c>
      <c r="L25" s="647">
        <v>0.09</v>
      </c>
      <c r="M25" t="s">
        <v>4403</v>
      </c>
      <c r="O25" t="s">
        <v>4404</v>
      </c>
      <c r="P25" s="1" t="s">
        <v>4408</v>
      </c>
      <c r="T25">
        <v>0.44</v>
      </c>
      <c r="U25">
        <v>0.1</v>
      </c>
      <c r="X25" s="56" t="s">
        <v>4408</v>
      </c>
      <c r="AC25" s="3">
        <f>(T25-GHGFY207[[#This Row],[Scope 2 Emission factor]])/GHGFY207[[#This Row],[Scope 2 Emission factor]]</f>
        <v>2.3255813953488393E-2</v>
      </c>
      <c r="AD25" s="3">
        <f>(U25-GHGFY207[[#This Row],[Scope 3 Emission factor]])/GHGFY207[[#This Row],[Scope 3 Emission factor]]</f>
        <v>0.11111111111111122</v>
      </c>
    </row>
    <row r="26" spans="1:30" ht="27.6" hidden="1">
      <c r="A26" t="s">
        <v>1015</v>
      </c>
      <c r="B26" t="s">
        <v>155</v>
      </c>
      <c r="C26" t="s">
        <v>4402</v>
      </c>
      <c r="D26" t="s">
        <v>1213</v>
      </c>
      <c r="E26" t="s">
        <v>663</v>
      </c>
      <c r="H26">
        <v>3.5999999999999999E-3</v>
      </c>
      <c r="I26" t="s">
        <v>1137</v>
      </c>
      <c r="J26">
        <v>0</v>
      </c>
      <c r="K26" s="647">
        <v>0.17</v>
      </c>
      <c r="L26" s="647">
        <v>0.02</v>
      </c>
      <c r="M26" t="s">
        <v>4403</v>
      </c>
      <c r="O26" t="s">
        <v>4404</v>
      </c>
      <c r="P26" s="1" t="s">
        <v>4406</v>
      </c>
      <c r="T26">
        <v>0.15</v>
      </c>
      <c r="U26">
        <v>0.02</v>
      </c>
      <c r="X26" s="56" t="s">
        <v>4406</v>
      </c>
      <c r="AC26" s="3">
        <f>(T26-GHGFY207[[#This Row],[Scope 2 Emission factor]])/GHGFY207[[#This Row],[Scope 2 Emission factor]]</f>
        <v>-0.11764705882352951</v>
      </c>
      <c r="AD26" s="3">
        <f>(U26-GHGFY207[[#This Row],[Scope 3 Emission factor]])/GHGFY207[[#This Row],[Scope 3 Emission factor]]</f>
        <v>0</v>
      </c>
    </row>
    <row r="27" spans="1:30" ht="27.6" hidden="1">
      <c r="A27" t="s">
        <v>1016</v>
      </c>
      <c r="B27" t="s">
        <v>155</v>
      </c>
      <c r="C27" t="s">
        <v>4402</v>
      </c>
      <c r="D27" t="s">
        <v>1189</v>
      </c>
      <c r="E27" t="s">
        <v>663</v>
      </c>
      <c r="H27">
        <v>3.5999999999999999E-3</v>
      </c>
      <c r="I27" t="s">
        <v>1137</v>
      </c>
      <c r="J27">
        <v>0</v>
      </c>
      <c r="K27" s="647">
        <v>0.98</v>
      </c>
      <c r="L27" s="647">
        <v>0.11</v>
      </c>
      <c r="M27" t="s">
        <v>4403</v>
      </c>
      <c r="O27" t="s">
        <v>4404</v>
      </c>
      <c r="P27" s="1" t="s">
        <v>4407</v>
      </c>
      <c r="T27">
        <v>1.02</v>
      </c>
      <c r="U27">
        <v>0.1</v>
      </c>
      <c r="X27" s="56" t="s">
        <v>4407</v>
      </c>
      <c r="AC27" s="3">
        <f>(T27-GHGFY207[[#This Row],[Scope 2 Emission factor]])/GHGFY207[[#This Row],[Scope 2 Emission factor]]</f>
        <v>4.0816326530612283E-2</v>
      </c>
      <c r="AD27" s="3">
        <f>(U27-GHGFY207[[#This Row],[Scope 3 Emission factor]])/GHGFY207[[#This Row],[Scope 3 Emission factor]]</f>
        <v>-9.090909090909087E-2</v>
      </c>
    </row>
    <row r="28" spans="1:30" ht="27.6" hidden="1">
      <c r="A28" t="s">
        <v>1017</v>
      </c>
      <c r="B28" t="s">
        <v>155</v>
      </c>
      <c r="C28" t="s">
        <v>4402</v>
      </c>
      <c r="D28" t="s">
        <v>1216</v>
      </c>
      <c r="E28" t="s">
        <v>663</v>
      </c>
      <c r="H28">
        <v>3.5999999999999999E-3</v>
      </c>
      <c r="I28" t="s">
        <v>1137</v>
      </c>
      <c r="J28">
        <v>0</v>
      </c>
      <c r="K28" s="647">
        <v>0.68</v>
      </c>
      <c r="L28" s="647">
        <v>0.02</v>
      </c>
      <c r="M28" t="s">
        <v>4403</v>
      </c>
      <c r="O28" t="s">
        <v>4404</v>
      </c>
      <c r="P28" s="1" t="s">
        <v>4408</v>
      </c>
      <c r="T28">
        <v>0.69</v>
      </c>
      <c r="U28">
        <v>0.04</v>
      </c>
      <c r="X28" s="56" t="s">
        <v>4408</v>
      </c>
      <c r="AC28" s="3">
        <f>(T28-GHGFY207[[#This Row],[Scope 2 Emission factor]])/GHGFY207[[#This Row],[Scope 2 Emission factor]]</f>
        <v>1.4705882352941025E-2</v>
      </c>
      <c r="AD28" s="3">
        <f>(U28-GHGFY207[[#This Row],[Scope 3 Emission factor]])/GHGFY207[[#This Row],[Scope 3 Emission factor]]</f>
        <v>1</v>
      </c>
    </row>
    <row r="29" spans="1:30" ht="27.6" hidden="1">
      <c r="A29" t="s">
        <v>994</v>
      </c>
      <c r="B29" t="s">
        <v>155</v>
      </c>
      <c r="C29" t="s">
        <v>4402</v>
      </c>
      <c r="D29" t="s">
        <v>1190</v>
      </c>
      <c r="E29" t="s">
        <v>663</v>
      </c>
      <c r="H29">
        <v>3.5999999999999999E-3</v>
      </c>
      <c r="I29" t="s">
        <v>1137</v>
      </c>
      <c r="J29">
        <v>0</v>
      </c>
      <c r="K29" s="647">
        <v>0.81</v>
      </c>
      <c r="L29" s="647">
        <v>0.09</v>
      </c>
      <c r="M29" t="s">
        <v>4403</v>
      </c>
      <c r="O29" t="s">
        <v>4404</v>
      </c>
      <c r="P29" s="1" t="s">
        <v>4405</v>
      </c>
      <c r="T29">
        <v>0.79</v>
      </c>
      <c r="U29">
        <v>0.09</v>
      </c>
      <c r="X29" s="56" t="s">
        <v>4406</v>
      </c>
      <c r="AC29" s="3">
        <f>(T29-GHGFY207[[#This Row],[Scope 2 Emission factor]])/GHGFY207[[#This Row],[Scope 2 Emission factor]]</f>
        <v>-2.4691358024691377E-2</v>
      </c>
      <c r="AD29" s="3">
        <f>(U29-GHGFY207[[#This Row],[Scope 3 Emission factor]])/GHGFY207[[#This Row],[Scope 3 Emission factor]]</f>
        <v>0</v>
      </c>
    </row>
    <row r="30" spans="1:30" ht="27.6" hidden="1">
      <c r="A30" t="s">
        <v>995</v>
      </c>
      <c r="B30" t="s">
        <v>155</v>
      </c>
      <c r="C30" t="s">
        <v>4402</v>
      </c>
      <c r="D30" t="s">
        <v>1192</v>
      </c>
      <c r="E30" t="s">
        <v>663</v>
      </c>
      <c r="H30">
        <v>3.5999999999999999E-3</v>
      </c>
      <c r="I30" t="s">
        <v>1137</v>
      </c>
      <c r="J30">
        <v>0</v>
      </c>
      <c r="K30" s="647">
        <v>0.81</v>
      </c>
      <c r="L30" s="647">
        <v>0.09</v>
      </c>
      <c r="M30" t="s">
        <v>4403</v>
      </c>
      <c r="O30" t="s">
        <v>4404</v>
      </c>
      <c r="P30" s="1" t="s">
        <v>4405</v>
      </c>
      <c r="T30">
        <v>0.81</v>
      </c>
      <c r="U30">
        <v>0.09</v>
      </c>
      <c r="X30" s="56" t="s">
        <v>4405</v>
      </c>
      <c r="AC30" s="3">
        <f>(T30-GHGFY207[[#This Row],[Scope 2 Emission factor]])/GHGFY207[[#This Row],[Scope 2 Emission factor]]</f>
        <v>0</v>
      </c>
      <c r="AD30" s="3">
        <f>(U30-GHGFY207[[#This Row],[Scope 3 Emission factor]])/GHGFY207[[#This Row],[Scope 3 Emission factor]]</f>
        <v>0</v>
      </c>
    </row>
    <row r="31" spans="1:30" ht="27.6" hidden="1">
      <c r="A31" t="s">
        <v>996</v>
      </c>
      <c r="B31" t="s">
        <v>155</v>
      </c>
      <c r="C31" t="s">
        <v>4402</v>
      </c>
      <c r="D31" t="s">
        <v>1208</v>
      </c>
      <c r="E31" t="s">
        <v>663</v>
      </c>
      <c r="H31">
        <v>3.5999999999999999E-3</v>
      </c>
      <c r="I31" t="s">
        <v>1137</v>
      </c>
      <c r="J31">
        <v>0</v>
      </c>
      <c r="K31" s="647">
        <v>0.62</v>
      </c>
      <c r="L31" s="647">
        <v>7.0000000000000007E-2</v>
      </c>
      <c r="M31" t="s">
        <v>4403</v>
      </c>
      <c r="O31" t="s">
        <v>4404</v>
      </c>
      <c r="P31" s="1" t="s">
        <v>4406</v>
      </c>
      <c r="T31">
        <v>0.63</v>
      </c>
      <c r="U31">
        <v>0.08</v>
      </c>
      <c r="X31" s="56" t="s">
        <v>4406</v>
      </c>
      <c r="AC31" s="3">
        <f>(T31-GHGFY207[[#This Row],[Scope 2 Emission factor]])/GHGFY207[[#This Row],[Scope 2 Emission factor]]</f>
        <v>1.612903225806453E-2</v>
      </c>
      <c r="AD31" s="3">
        <f>(U31-GHGFY207[[#This Row],[Scope 3 Emission factor]])/GHGFY207[[#This Row],[Scope 3 Emission factor]]</f>
        <v>0.14285714285714277</v>
      </c>
    </row>
    <row r="32" spans="1:30" ht="27.6" hidden="1">
      <c r="A32" t="s">
        <v>997</v>
      </c>
      <c r="B32" t="s">
        <v>155</v>
      </c>
      <c r="C32" t="s">
        <v>4402</v>
      </c>
      <c r="D32" t="s">
        <v>1210</v>
      </c>
      <c r="E32" t="s">
        <v>663</v>
      </c>
      <c r="H32">
        <v>3.5999999999999999E-3</v>
      </c>
      <c r="I32" t="s">
        <v>1137</v>
      </c>
      <c r="J32">
        <v>0</v>
      </c>
      <c r="K32" s="647">
        <v>0.81</v>
      </c>
      <c r="L32" s="647">
        <v>0.12</v>
      </c>
      <c r="M32" t="s">
        <v>4403</v>
      </c>
      <c r="O32" t="s">
        <v>4404</v>
      </c>
      <c r="P32" s="1" t="s">
        <v>4407</v>
      </c>
      <c r="T32">
        <v>0.81</v>
      </c>
      <c r="U32">
        <v>0.12</v>
      </c>
      <c r="X32" s="56" t="s">
        <v>4407</v>
      </c>
      <c r="AC32" s="3">
        <f>(T32-GHGFY207[[#This Row],[Scope 2 Emission factor]])/GHGFY207[[#This Row],[Scope 2 Emission factor]]</f>
        <v>0</v>
      </c>
      <c r="AD32" s="3">
        <f>(U32-GHGFY207[[#This Row],[Scope 3 Emission factor]])/GHGFY207[[#This Row],[Scope 3 Emission factor]]</f>
        <v>0</v>
      </c>
    </row>
    <row r="33" spans="1:30" ht="27.6" hidden="1">
      <c r="A33" t="s">
        <v>998</v>
      </c>
      <c r="B33" t="s">
        <v>155</v>
      </c>
      <c r="C33" t="s">
        <v>4402</v>
      </c>
      <c r="D33" t="s">
        <v>1193</v>
      </c>
      <c r="E33" t="s">
        <v>663</v>
      </c>
      <c r="H33">
        <v>3.5999999999999999E-3</v>
      </c>
      <c r="I33" t="s">
        <v>1137</v>
      </c>
      <c r="J33">
        <v>0</v>
      </c>
      <c r="K33" s="647">
        <v>0.43</v>
      </c>
      <c r="L33" s="647">
        <v>0.09</v>
      </c>
      <c r="M33" t="s">
        <v>4403</v>
      </c>
      <c r="O33" t="s">
        <v>4404</v>
      </c>
      <c r="P33" s="1" t="s">
        <v>4408</v>
      </c>
      <c r="T33">
        <v>0.44</v>
      </c>
      <c r="U33">
        <v>0.1</v>
      </c>
      <c r="X33" s="56" t="s">
        <v>4408</v>
      </c>
      <c r="AC33" s="3">
        <f>(T33-GHGFY207[[#This Row],[Scope 2 Emission factor]])/GHGFY207[[#This Row],[Scope 2 Emission factor]]</f>
        <v>2.3255813953488393E-2</v>
      </c>
      <c r="AD33" s="3">
        <f>(U33-GHGFY207[[#This Row],[Scope 3 Emission factor]])/GHGFY207[[#This Row],[Scope 3 Emission factor]]</f>
        <v>0.11111111111111122</v>
      </c>
    </row>
    <row r="34" spans="1:30" ht="27.6" hidden="1">
      <c r="A34" t="s">
        <v>999</v>
      </c>
      <c r="B34" t="s">
        <v>155</v>
      </c>
      <c r="C34" t="s">
        <v>4402</v>
      </c>
      <c r="D34" t="s">
        <v>1213</v>
      </c>
      <c r="E34" t="s">
        <v>663</v>
      </c>
      <c r="H34">
        <v>3.5999999999999999E-3</v>
      </c>
      <c r="I34" t="s">
        <v>1137</v>
      </c>
      <c r="J34">
        <v>0</v>
      </c>
      <c r="K34" s="647">
        <v>0.17</v>
      </c>
      <c r="L34" s="647">
        <v>0.02</v>
      </c>
      <c r="M34" t="s">
        <v>4403</v>
      </c>
      <c r="O34" t="s">
        <v>4404</v>
      </c>
      <c r="P34" s="1" t="s">
        <v>4406</v>
      </c>
      <c r="T34">
        <v>0.15</v>
      </c>
      <c r="U34">
        <v>0.02</v>
      </c>
      <c r="X34" s="56" t="s">
        <v>4406</v>
      </c>
      <c r="AC34" s="3">
        <f>(T34-GHGFY207[[#This Row],[Scope 2 Emission factor]])/GHGFY207[[#This Row],[Scope 2 Emission factor]]</f>
        <v>-0.11764705882352951</v>
      </c>
      <c r="AD34" s="3">
        <f>(U34-GHGFY207[[#This Row],[Scope 3 Emission factor]])/GHGFY207[[#This Row],[Scope 3 Emission factor]]</f>
        <v>0</v>
      </c>
    </row>
    <row r="35" spans="1:30" ht="27.6" hidden="1">
      <c r="A35" t="s">
        <v>1000</v>
      </c>
      <c r="B35" t="s">
        <v>155</v>
      </c>
      <c r="C35" t="s">
        <v>4402</v>
      </c>
      <c r="D35" t="s">
        <v>1189</v>
      </c>
      <c r="E35" t="s">
        <v>663</v>
      </c>
      <c r="H35">
        <v>3.5999999999999999E-3</v>
      </c>
      <c r="I35" t="s">
        <v>1137</v>
      </c>
      <c r="J35">
        <v>0</v>
      </c>
      <c r="K35" s="647">
        <v>0.98</v>
      </c>
      <c r="L35" s="647">
        <v>0.11</v>
      </c>
      <c r="M35" t="s">
        <v>4403</v>
      </c>
      <c r="O35" t="s">
        <v>4404</v>
      </c>
      <c r="P35" s="1" t="s">
        <v>4407</v>
      </c>
      <c r="T35">
        <v>1.02</v>
      </c>
      <c r="U35">
        <v>0.1</v>
      </c>
      <c r="X35" s="56" t="s">
        <v>4407</v>
      </c>
      <c r="AC35" s="3">
        <f>(T35-GHGFY207[[#This Row],[Scope 2 Emission factor]])/GHGFY207[[#This Row],[Scope 2 Emission factor]]</f>
        <v>4.0816326530612283E-2</v>
      </c>
      <c r="AD35" s="3">
        <f>(U35-GHGFY207[[#This Row],[Scope 3 Emission factor]])/GHGFY207[[#This Row],[Scope 3 Emission factor]]</f>
        <v>-9.090909090909087E-2</v>
      </c>
    </row>
    <row r="36" spans="1:30" ht="27.6" hidden="1">
      <c r="A36" t="s">
        <v>1001</v>
      </c>
      <c r="B36" t="s">
        <v>155</v>
      </c>
      <c r="C36" t="s">
        <v>4402</v>
      </c>
      <c r="D36" t="s">
        <v>1216</v>
      </c>
      <c r="E36" t="s">
        <v>663</v>
      </c>
      <c r="H36">
        <v>3.5999999999999999E-3</v>
      </c>
      <c r="I36" t="s">
        <v>1137</v>
      </c>
      <c r="J36">
        <v>0</v>
      </c>
      <c r="K36" s="647">
        <v>0.68</v>
      </c>
      <c r="L36" s="647">
        <v>0.02</v>
      </c>
      <c r="M36" t="s">
        <v>4403</v>
      </c>
      <c r="O36" t="s">
        <v>4404</v>
      </c>
      <c r="P36" s="1" t="s">
        <v>4408</v>
      </c>
      <c r="T36">
        <v>0.69</v>
      </c>
      <c r="U36">
        <v>0.04</v>
      </c>
      <c r="X36" s="56" t="s">
        <v>4408</v>
      </c>
      <c r="AC36" s="3">
        <f>(T36-GHGFY207[[#This Row],[Scope 2 Emission factor]])/GHGFY207[[#This Row],[Scope 2 Emission factor]]</f>
        <v>1.4705882352941025E-2</v>
      </c>
      <c r="AD36" s="3">
        <f>(U36-GHGFY207[[#This Row],[Scope 3 Emission factor]])/GHGFY207[[#This Row],[Scope 3 Emission factor]]</f>
        <v>1</v>
      </c>
    </row>
    <row r="37" spans="1:30" ht="27.6" hidden="1">
      <c r="A37" t="s">
        <v>986</v>
      </c>
      <c r="B37" t="s">
        <v>155</v>
      </c>
      <c r="C37" t="s">
        <v>4402</v>
      </c>
      <c r="D37" t="s">
        <v>1190</v>
      </c>
      <c r="E37" t="s">
        <v>663</v>
      </c>
      <c r="H37">
        <v>3.5999999999999999E-3</v>
      </c>
      <c r="I37" t="s">
        <v>1137</v>
      </c>
      <c r="J37">
        <v>0</v>
      </c>
      <c r="K37" s="647">
        <v>0.81</v>
      </c>
      <c r="L37" s="647">
        <v>0.09</v>
      </c>
      <c r="M37" t="s">
        <v>4403</v>
      </c>
      <c r="O37" t="s">
        <v>4404</v>
      </c>
      <c r="P37" s="1" t="s">
        <v>4405</v>
      </c>
      <c r="T37">
        <v>0.79</v>
      </c>
      <c r="U37">
        <v>0.09</v>
      </c>
      <c r="X37" s="56" t="s">
        <v>4406</v>
      </c>
      <c r="AC37" s="3">
        <f>(T37-GHGFY207[[#This Row],[Scope 2 Emission factor]])/GHGFY207[[#This Row],[Scope 2 Emission factor]]</f>
        <v>-2.4691358024691377E-2</v>
      </c>
      <c r="AD37" s="3">
        <f>(U37-GHGFY207[[#This Row],[Scope 3 Emission factor]])/GHGFY207[[#This Row],[Scope 3 Emission factor]]</f>
        <v>0</v>
      </c>
    </row>
    <row r="38" spans="1:30" ht="27.6" hidden="1">
      <c r="A38" t="s">
        <v>987</v>
      </c>
      <c r="B38" t="s">
        <v>155</v>
      </c>
      <c r="C38" t="s">
        <v>4402</v>
      </c>
      <c r="D38" t="s">
        <v>1192</v>
      </c>
      <c r="E38" t="s">
        <v>663</v>
      </c>
      <c r="H38">
        <v>3.5999999999999999E-3</v>
      </c>
      <c r="I38" t="s">
        <v>1137</v>
      </c>
      <c r="J38">
        <v>0</v>
      </c>
      <c r="K38" s="647">
        <v>0.81</v>
      </c>
      <c r="L38" s="647">
        <v>0.09</v>
      </c>
      <c r="M38" t="s">
        <v>4403</v>
      </c>
      <c r="O38" t="s">
        <v>4404</v>
      </c>
      <c r="P38" s="1" t="s">
        <v>4405</v>
      </c>
      <c r="T38">
        <v>0.81</v>
      </c>
      <c r="U38">
        <v>0.09</v>
      </c>
      <c r="X38" s="56" t="s">
        <v>4405</v>
      </c>
      <c r="AC38" s="3">
        <f>(T38-GHGFY207[[#This Row],[Scope 2 Emission factor]])/GHGFY207[[#This Row],[Scope 2 Emission factor]]</f>
        <v>0</v>
      </c>
      <c r="AD38" s="3">
        <f>(U38-GHGFY207[[#This Row],[Scope 3 Emission factor]])/GHGFY207[[#This Row],[Scope 3 Emission factor]]</f>
        <v>0</v>
      </c>
    </row>
    <row r="39" spans="1:30" ht="27.6" hidden="1">
      <c r="A39" t="s">
        <v>988</v>
      </c>
      <c r="B39" t="s">
        <v>155</v>
      </c>
      <c r="C39" t="s">
        <v>4402</v>
      </c>
      <c r="D39" t="s">
        <v>1208</v>
      </c>
      <c r="E39" t="s">
        <v>663</v>
      </c>
      <c r="H39">
        <v>3.5999999999999999E-3</v>
      </c>
      <c r="I39" t="s">
        <v>1137</v>
      </c>
      <c r="J39">
        <v>0</v>
      </c>
      <c r="K39" s="647">
        <v>0.62</v>
      </c>
      <c r="L39" s="647">
        <v>7.0000000000000007E-2</v>
      </c>
      <c r="M39" t="s">
        <v>4403</v>
      </c>
      <c r="O39" t="s">
        <v>4404</v>
      </c>
      <c r="P39" s="1" t="s">
        <v>4406</v>
      </c>
      <c r="T39">
        <v>0.63</v>
      </c>
      <c r="U39">
        <v>0.08</v>
      </c>
      <c r="X39" s="56" t="s">
        <v>4406</v>
      </c>
      <c r="AC39" s="3">
        <f>(T39-GHGFY207[[#This Row],[Scope 2 Emission factor]])/GHGFY207[[#This Row],[Scope 2 Emission factor]]</f>
        <v>1.612903225806453E-2</v>
      </c>
      <c r="AD39" s="3">
        <f>(U39-GHGFY207[[#This Row],[Scope 3 Emission factor]])/GHGFY207[[#This Row],[Scope 3 Emission factor]]</f>
        <v>0.14285714285714277</v>
      </c>
    </row>
    <row r="40" spans="1:30" ht="27.6" hidden="1">
      <c r="A40" t="s">
        <v>989</v>
      </c>
      <c r="B40" t="s">
        <v>155</v>
      </c>
      <c r="C40" t="s">
        <v>4402</v>
      </c>
      <c r="D40" t="s">
        <v>1210</v>
      </c>
      <c r="E40" t="s">
        <v>663</v>
      </c>
      <c r="H40">
        <v>3.5999999999999999E-3</v>
      </c>
      <c r="I40" t="s">
        <v>1137</v>
      </c>
      <c r="J40">
        <v>0</v>
      </c>
      <c r="K40" s="647">
        <v>0.81</v>
      </c>
      <c r="L40" s="647">
        <v>0.12</v>
      </c>
      <c r="M40" t="s">
        <v>4403</v>
      </c>
      <c r="O40" t="s">
        <v>4404</v>
      </c>
      <c r="P40" s="1" t="s">
        <v>4407</v>
      </c>
      <c r="T40">
        <v>0.81</v>
      </c>
      <c r="U40">
        <v>0.12</v>
      </c>
      <c r="X40" s="56" t="s">
        <v>4407</v>
      </c>
      <c r="AC40" s="3">
        <f>(T40-GHGFY207[[#This Row],[Scope 2 Emission factor]])/GHGFY207[[#This Row],[Scope 2 Emission factor]]</f>
        <v>0</v>
      </c>
      <c r="AD40" s="3">
        <f>(U40-GHGFY207[[#This Row],[Scope 3 Emission factor]])/GHGFY207[[#This Row],[Scope 3 Emission factor]]</f>
        <v>0</v>
      </c>
    </row>
    <row r="41" spans="1:30" ht="27.6" hidden="1">
      <c r="A41" t="s">
        <v>990</v>
      </c>
      <c r="B41" t="s">
        <v>155</v>
      </c>
      <c r="C41" t="s">
        <v>4402</v>
      </c>
      <c r="D41" t="s">
        <v>1193</v>
      </c>
      <c r="E41" t="s">
        <v>663</v>
      </c>
      <c r="H41">
        <v>3.5999999999999999E-3</v>
      </c>
      <c r="I41" t="s">
        <v>1137</v>
      </c>
      <c r="J41">
        <v>0</v>
      </c>
      <c r="K41" s="647">
        <v>0.43</v>
      </c>
      <c r="L41" s="647">
        <v>0.09</v>
      </c>
      <c r="M41" t="s">
        <v>4403</v>
      </c>
      <c r="O41" t="s">
        <v>4404</v>
      </c>
      <c r="P41" s="1" t="s">
        <v>4408</v>
      </c>
      <c r="T41">
        <v>0.44</v>
      </c>
      <c r="U41">
        <v>0.1</v>
      </c>
      <c r="X41" s="56" t="s">
        <v>4408</v>
      </c>
      <c r="AC41" s="3">
        <f>(T41-GHGFY207[[#This Row],[Scope 2 Emission factor]])/GHGFY207[[#This Row],[Scope 2 Emission factor]]</f>
        <v>2.3255813953488393E-2</v>
      </c>
      <c r="AD41" s="3">
        <f>(U41-GHGFY207[[#This Row],[Scope 3 Emission factor]])/GHGFY207[[#This Row],[Scope 3 Emission factor]]</f>
        <v>0.11111111111111122</v>
      </c>
    </row>
    <row r="42" spans="1:30" ht="27.6" hidden="1">
      <c r="A42" t="s">
        <v>991</v>
      </c>
      <c r="B42" t="s">
        <v>155</v>
      </c>
      <c r="C42" t="s">
        <v>4402</v>
      </c>
      <c r="D42" t="s">
        <v>1213</v>
      </c>
      <c r="E42" t="s">
        <v>663</v>
      </c>
      <c r="H42">
        <v>3.5999999999999999E-3</v>
      </c>
      <c r="I42" t="s">
        <v>1137</v>
      </c>
      <c r="J42">
        <v>0</v>
      </c>
      <c r="K42" s="647">
        <v>0.17</v>
      </c>
      <c r="L42" s="647">
        <v>0.02</v>
      </c>
      <c r="M42" t="s">
        <v>4403</v>
      </c>
      <c r="O42" t="s">
        <v>4404</v>
      </c>
      <c r="P42" s="1" t="s">
        <v>4406</v>
      </c>
      <c r="T42">
        <v>0.15</v>
      </c>
      <c r="U42">
        <v>0.02</v>
      </c>
      <c r="X42" s="56" t="s">
        <v>4406</v>
      </c>
      <c r="AC42" s="3">
        <f>(T42-GHGFY207[[#This Row],[Scope 2 Emission factor]])/GHGFY207[[#This Row],[Scope 2 Emission factor]]</f>
        <v>-0.11764705882352951</v>
      </c>
      <c r="AD42" s="3">
        <f>(U42-GHGFY207[[#This Row],[Scope 3 Emission factor]])/GHGFY207[[#This Row],[Scope 3 Emission factor]]</f>
        <v>0</v>
      </c>
    </row>
    <row r="43" spans="1:30" ht="27.6" hidden="1">
      <c r="A43" t="s">
        <v>992</v>
      </c>
      <c r="B43" t="s">
        <v>155</v>
      </c>
      <c r="C43" t="s">
        <v>4402</v>
      </c>
      <c r="D43" t="s">
        <v>1189</v>
      </c>
      <c r="E43" t="s">
        <v>663</v>
      </c>
      <c r="H43">
        <v>3.5999999999999999E-3</v>
      </c>
      <c r="I43" t="s">
        <v>1137</v>
      </c>
      <c r="J43">
        <v>0</v>
      </c>
      <c r="K43" s="647">
        <v>0.98</v>
      </c>
      <c r="L43" s="647">
        <v>0.11</v>
      </c>
      <c r="M43" t="s">
        <v>4403</v>
      </c>
      <c r="O43" t="s">
        <v>4404</v>
      </c>
      <c r="P43" s="1" t="s">
        <v>4407</v>
      </c>
      <c r="T43">
        <v>1.02</v>
      </c>
      <c r="U43">
        <v>0.1</v>
      </c>
      <c r="X43" s="56" t="s">
        <v>4407</v>
      </c>
      <c r="AC43" s="3">
        <f>(T43-GHGFY207[[#This Row],[Scope 2 Emission factor]])/GHGFY207[[#This Row],[Scope 2 Emission factor]]</f>
        <v>4.0816326530612283E-2</v>
      </c>
      <c r="AD43" s="3">
        <f>(U43-GHGFY207[[#This Row],[Scope 3 Emission factor]])/GHGFY207[[#This Row],[Scope 3 Emission factor]]</f>
        <v>-9.090909090909087E-2</v>
      </c>
    </row>
    <row r="44" spans="1:30" ht="27.6" hidden="1">
      <c r="A44" t="s">
        <v>993</v>
      </c>
      <c r="B44" t="s">
        <v>155</v>
      </c>
      <c r="C44" t="s">
        <v>4402</v>
      </c>
      <c r="D44" t="s">
        <v>1216</v>
      </c>
      <c r="E44" t="s">
        <v>663</v>
      </c>
      <c r="H44">
        <v>3.5999999999999999E-3</v>
      </c>
      <c r="I44" t="s">
        <v>1137</v>
      </c>
      <c r="J44">
        <v>0</v>
      </c>
      <c r="K44" s="647">
        <v>0.68</v>
      </c>
      <c r="L44" s="647">
        <v>0.02</v>
      </c>
      <c r="M44" t="s">
        <v>4403</v>
      </c>
      <c r="O44" t="s">
        <v>4404</v>
      </c>
      <c r="P44" s="1" t="s">
        <v>4408</v>
      </c>
      <c r="T44">
        <v>0.69</v>
      </c>
      <c r="U44">
        <v>0.04</v>
      </c>
      <c r="X44" s="56" t="s">
        <v>4408</v>
      </c>
      <c r="AC44" s="3">
        <f>(T44-GHGFY207[[#This Row],[Scope 2 Emission factor]])/GHGFY207[[#This Row],[Scope 2 Emission factor]]</f>
        <v>1.4705882352941025E-2</v>
      </c>
      <c r="AD44" s="3">
        <f>(U44-GHGFY207[[#This Row],[Scope 3 Emission factor]])/GHGFY207[[#This Row],[Scope 3 Emission factor]]</f>
        <v>1</v>
      </c>
    </row>
    <row r="45" spans="1:30" ht="27.6" hidden="1">
      <c r="A45" t="s">
        <v>705</v>
      </c>
      <c r="B45" t="s">
        <v>155</v>
      </c>
      <c r="C45" t="s">
        <v>4402</v>
      </c>
      <c r="D45" t="s">
        <v>1192</v>
      </c>
      <c r="E45" t="s">
        <v>663</v>
      </c>
      <c r="H45">
        <v>3.5999999999999999E-3</v>
      </c>
      <c r="I45" t="s">
        <v>1137</v>
      </c>
      <c r="J45">
        <v>0</v>
      </c>
      <c r="K45" s="647">
        <v>0.81</v>
      </c>
      <c r="L45" s="647">
        <v>0.09</v>
      </c>
      <c r="M45" t="s">
        <v>4403</v>
      </c>
      <c r="O45" t="s">
        <v>4405</v>
      </c>
      <c r="P45" s="1" t="s">
        <v>4405</v>
      </c>
      <c r="T45">
        <v>0.81</v>
      </c>
      <c r="U45">
        <v>0.09</v>
      </c>
      <c r="X45" s="56" t="s">
        <v>4405</v>
      </c>
      <c r="AC45" s="3">
        <f>(T45-GHGFY207[[#This Row],[Scope 2 Emission factor]])/GHGFY207[[#This Row],[Scope 2 Emission factor]]</f>
        <v>0</v>
      </c>
      <c r="AD45" s="3">
        <f>(U45-GHGFY207[[#This Row],[Scope 3 Emission factor]])/GHGFY207[[#This Row],[Scope 3 Emission factor]]</f>
        <v>0</v>
      </c>
    </row>
    <row r="46" spans="1:30" ht="27.6" hidden="1">
      <c r="A46" t="s">
        <v>820</v>
      </c>
      <c r="B46" t="s">
        <v>4277</v>
      </c>
      <c r="C46" t="s">
        <v>4402</v>
      </c>
      <c r="D46" t="s">
        <v>1190</v>
      </c>
      <c r="E46" t="s">
        <v>663</v>
      </c>
      <c r="H46">
        <v>3.5999999999999999E-3</v>
      </c>
      <c r="I46" t="s">
        <v>1137</v>
      </c>
      <c r="J46">
        <v>0</v>
      </c>
      <c r="K46" s="647">
        <v>0.81</v>
      </c>
      <c r="L46" s="647">
        <v>0.09</v>
      </c>
      <c r="M46" t="s">
        <v>4403</v>
      </c>
      <c r="O46" t="s">
        <v>4405</v>
      </c>
      <c r="P46" t="s">
        <v>4405</v>
      </c>
      <c r="R46" t="s">
        <v>1109</v>
      </c>
      <c r="T46">
        <v>0.79</v>
      </c>
      <c r="U46">
        <v>0.09</v>
      </c>
      <c r="X46" s="56" t="s">
        <v>4406</v>
      </c>
      <c r="AC46" s="3">
        <f>(T46-GHGFY207[[#This Row],[Scope 2 Emission factor]])/GHGFY207[[#This Row],[Scope 2 Emission factor]]</f>
        <v>-2.4691358024691377E-2</v>
      </c>
      <c r="AD46" s="3">
        <f>(U46-GHGFY207[[#This Row],[Scope 3 Emission factor]])/GHGFY207[[#This Row],[Scope 3 Emission factor]]</f>
        <v>0</v>
      </c>
    </row>
    <row r="47" spans="1:30" ht="27.6" hidden="1">
      <c r="A47" t="s">
        <v>821</v>
      </c>
      <c r="B47" t="s">
        <v>4277</v>
      </c>
      <c r="C47" t="s">
        <v>4402</v>
      </c>
      <c r="D47" t="s">
        <v>1192</v>
      </c>
      <c r="E47" t="s">
        <v>663</v>
      </c>
      <c r="H47">
        <v>3.5999999999999999E-3</v>
      </c>
      <c r="I47" t="s">
        <v>1137</v>
      </c>
      <c r="J47">
        <v>0</v>
      </c>
      <c r="K47" s="647">
        <v>0.81</v>
      </c>
      <c r="L47" s="647">
        <v>0.09</v>
      </c>
      <c r="M47" t="s">
        <v>4403</v>
      </c>
      <c r="O47" t="s">
        <v>4405</v>
      </c>
      <c r="P47" t="s">
        <v>4405</v>
      </c>
      <c r="T47">
        <v>0.81</v>
      </c>
      <c r="U47">
        <v>0.09</v>
      </c>
      <c r="X47" s="56" t="s">
        <v>4405</v>
      </c>
      <c r="AC47" s="3">
        <f>(T47-GHGFY207[[#This Row],[Scope 2 Emission factor]])/GHGFY207[[#This Row],[Scope 2 Emission factor]]</f>
        <v>0</v>
      </c>
      <c r="AD47" s="3">
        <f>(U47-GHGFY207[[#This Row],[Scope 3 Emission factor]])/GHGFY207[[#This Row],[Scope 3 Emission factor]]</f>
        <v>0</v>
      </c>
    </row>
    <row r="48" spans="1:30" ht="27.6" hidden="1">
      <c r="A48" t="s">
        <v>822</v>
      </c>
      <c r="B48" t="s">
        <v>4277</v>
      </c>
      <c r="C48" t="s">
        <v>4402</v>
      </c>
      <c r="D48" t="s">
        <v>1210</v>
      </c>
      <c r="E48" t="s">
        <v>663</v>
      </c>
      <c r="H48">
        <v>3.5999999999999999E-3</v>
      </c>
      <c r="I48" t="s">
        <v>1137</v>
      </c>
      <c r="J48">
        <v>0</v>
      </c>
      <c r="K48" s="647">
        <v>0.81</v>
      </c>
      <c r="L48" s="647">
        <v>0.12</v>
      </c>
      <c r="M48" t="s">
        <v>4403</v>
      </c>
      <c r="O48" t="s">
        <v>4407</v>
      </c>
      <c r="P48" t="s">
        <v>4407</v>
      </c>
      <c r="T48">
        <v>0.81</v>
      </c>
      <c r="U48">
        <v>0.12</v>
      </c>
      <c r="X48" s="56" t="s">
        <v>4407</v>
      </c>
      <c r="AC48" s="3">
        <f>(T48-GHGFY207[[#This Row],[Scope 2 Emission factor]])/GHGFY207[[#This Row],[Scope 2 Emission factor]]</f>
        <v>0</v>
      </c>
      <c r="AD48" s="3">
        <f>(U48-GHGFY207[[#This Row],[Scope 3 Emission factor]])/GHGFY207[[#This Row],[Scope 3 Emission factor]]</f>
        <v>0</v>
      </c>
    </row>
    <row r="49" spans="1:30" ht="27.6" hidden="1">
      <c r="A49" t="s">
        <v>823</v>
      </c>
      <c r="B49" t="s">
        <v>4277</v>
      </c>
      <c r="C49" t="s">
        <v>4402</v>
      </c>
      <c r="D49" t="s">
        <v>1193</v>
      </c>
      <c r="E49" t="s">
        <v>663</v>
      </c>
      <c r="H49">
        <v>3.5999999999999999E-3</v>
      </c>
      <c r="I49" t="s">
        <v>1137</v>
      </c>
      <c r="J49">
        <v>0</v>
      </c>
      <c r="K49" s="647">
        <v>0.43</v>
      </c>
      <c r="L49" s="647">
        <v>0.09</v>
      </c>
      <c r="M49" t="s">
        <v>4403</v>
      </c>
      <c r="O49" t="s">
        <v>4408</v>
      </c>
      <c r="P49" t="s">
        <v>4408</v>
      </c>
      <c r="T49">
        <v>0.44</v>
      </c>
      <c r="U49">
        <v>0.1</v>
      </c>
      <c r="X49" s="56" t="s">
        <v>4408</v>
      </c>
      <c r="AC49" s="3">
        <f>(T49-GHGFY207[[#This Row],[Scope 2 Emission factor]])/GHGFY207[[#This Row],[Scope 2 Emission factor]]</f>
        <v>2.3255813953488393E-2</v>
      </c>
      <c r="AD49" s="3">
        <f>(U49-GHGFY207[[#This Row],[Scope 3 Emission factor]])/GHGFY207[[#This Row],[Scope 3 Emission factor]]</f>
        <v>0.11111111111111122</v>
      </c>
    </row>
    <row r="50" spans="1:30" ht="27.6" hidden="1">
      <c r="A50" t="s">
        <v>824</v>
      </c>
      <c r="B50" t="s">
        <v>4277</v>
      </c>
      <c r="C50" t="s">
        <v>4402</v>
      </c>
      <c r="D50" t="s">
        <v>1189</v>
      </c>
      <c r="E50" t="s">
        <v>663</v>
      </c>
      <c r="H50">
        <v>3.5999999999999999E-3</v>
      </c>
      <c r="I50" t="s">
        <v>1137</v>
      </c>
      <c r="J50">
        <v>0</v>
      </c>
      <c r="K50" s="647">
        <v>0.98</v>
      </c>
      <c r="L50" s="647">
        <v>0.11</v>
      </c>
      <c r="M50" t="s">
        <v>4403</v>
      </c>
      <c r="O50" t="s">
        <v>4407</v>
      </c>
      <c r="P50" t="s">
        <v>4407</v>
      </c>
      <c r="T50">
        <v>1.02</v>
      </c>
      <c r="U50">
        <v>0.1</v>
      </c>
      <c r="X50" s="56" t="s">
        <v>4407</v>
      </c>
      <c r="AC50" s="3">
        <f>(T50-GHGFY207[[#This Row],[Scope 2 Emission factor]])/GHGFY207[[#This Row],[Scope 2 Emission factor]]</f>
        <v>4.0816326530612283E-2</v>
      </c>
      <c r="AD50" s="3">
        <f>(U50-GHGFY207[[#This Row],[Scope 3 Emission factor]])/GHGFY207[[#This Row],[Scope 3 Emission factor]]</f>
        <v>-9.090909090909087E-2</v>
      </c>
    </row>
    <row r="51" spans="1:30" ht="27.6" hidden="1">
      <c r="A51" t="s">
        <v>825</v>
      </c>
      <c r="B51" t="s">
        <v>4277</v>
      </c>
      <c r="C51" t="s">
        <v>4402</v>
      </c>
      <c r="D51" t="s">
        <v>1216</v>
      </c>
      <c r="E51" t="s">
        <v>663</v>
      </c>
      <c r="H51">
        <v>3.5999999999999999E-3</v>
      </c>
      <c r="I51" t="s">
        <v>1137</v>
      </c>
      <c r="J51">
        <v>0</v>
      </c>
      <c r="K51" s="647">
        <v>0.68</v>
      </c>
      <c r="L51" s="647">
        <v>0.02</v>
      </c>
      <c r="M51" t="s">
        <v>4403</v>
      </c>
      <c r="O51" t="s">
        <v>4408</v>
      </c>
      <c r="P51" t="s">
        <v>4408</v>
      </c>
      <c r="T51" s="9">
        <v>0.69</v>
      </c>
      <c r="U51" s="9">
        <v>0.04</v>
      </c>
      <c r="X51" s="56" t="s">
        <v>4408</v>
      </c>
      <c r="AC51" s="3">
        <f>(T51-GHGFY207[[#This Row],[Scope 2 Emission factor]])/GHGFY207[[#This Row],[Scope 2 Emission factor]]</f>
        <v>1.4705882352941025E-2</v>
      </c>
      <c r="AD51" s="3">
        <f>(U51-GHGFY207[[#This Row],[Scope 3 Emission factor]])/GHGFY207[[#This Row],[Scope 3 Emission factor]]</f>
        <v>1</v>
      </c>
    </row>
    <row r="52" spans="1:30" ht="27.6" hidden="1">
      <c r="A52" t="s">
        <v>812</v>
      </c>
      <c r="B52" t="s">
        <v>155</v>
      </c>
      <c r="C52" t="s">
        <v>4402</v>
      </c>
      <c r="D52" t="s">
        <v>1190</v>
      </c>
      <c r="E52" t="s">
        <v>663</v>
      </c>
      <c r="H52">
        <v>3.5999999999999999E-3</v>
      </c>
      <c r="I52" t="s">
        <v>1137</v>
      </c>
      <c r="J52">
        <v>0</v>
      </c>
      <c r="K52" s="647">
        <v>0.81</v>
      </c>
      <c r="L52" s="647">
        <v>0.09</v>
      </c>
      <c r="M52" t="s">
        <v>4403</v>
      </c>
      <c r="O52" t="s">
        <v>4404</v>
      </c>
      <c r="P52" s="1" t="s">
        <v>4405</v>
      </c>
      <c r="T52">
        <v>0.79</v>
      </c>
      <c r="U52">
        <v>0.09</v>
      </c>
      <c r="X52" s="56" t="s">
        <v>4406</v>
      </c>
      <c r="AC52" s="3">
        <f>(T52-GHGFY207[[#This Row],[Scope 2 Emission factor]])/GHGFY207[[#This Row],[Scope 2 Emission factor]]</f>
        <v>-2.4691358024691377E-2</v>
      </c>
      <c r="AD52" s="3">
        <f>(U52-GHGFY207[[#This Row],[Scope 3 Emission factor]])/GHGFY207[[#This Row],[Scope 3 Emission factor]]</f>
        <v>0</v>
      </c>
    </row>
    <row r="53" spans="1:30" ht="27.6" hidden="1">
      <c r="A53" t="s">
        <v>813</v>
      </c>
      <c r="B53" t="s">
        <v>155</v>
      </c>
      <c r="C53" t="s">
        <v>4402</v>
      </c>
      <c r="D53" t="s">
        <v>1192</v>
      </c>
      <c r="E53" t="s">
        <v>663</v>
      </c>
      <c r="H53">
        <v>3.5999999999999999E-3</v>
      </c>
      <c r="I53" t="s">
        <v>1137</v>
      </c>
      <c r="J53">
        <v>0</v>
      </c>
      <c r="K53" s="647">
        <v>0.81</v>
      </c>
      <c r="L53" s="647">
        <v>0.09</v>
      </c>
      <c r="M53" t="s">
        <v>4403</v>
      </c>
      <c r="O53" t="s">
        <v>4404</v>
      </c>
      <c r="P53" s="1" t="s">
        <v>4405</v>
      </c>
      <c r="T53">
        <v>0.81</v>
      </c>
      <c r="U53">
        <v>0.09</v>
      </c>
      <c r="X53" s="56" t="s">
        <v>4405</v>
      </c>
      <c r="AC53" s="3">
        <f>(T53-GHGFY207[[#This Row],[Scope 2 Emission factor]])/GHGFY207[[#This Row],[Scope 2 Emission factor]]</f>
        <v>0</v>
      </c>
      <c r="AD53" s="3">
        <f>(U53-GHGFY207[[#This Row],[Scope 3 Emission factor]])/GHGFY207[[#This Row],[Scope 3 Emission factor]]</f>
        <v>0</v>
      </c>
    </row>
    <row r="54" spans="1:30" ht="27.6" hidden="1">
      <c r="A54" t="s">
        <v>814</v>
      </c>
      <c r="B54" t="s">
        <v>155</v>
      </c>
      <c r="C54" t="s">
        <v>4402</v>
      </c>
      <c r="D54" t="s">
        <v>1208</v>
      </c>
      <c r="E54" t="s">
        <v>663</v>
      </c>
      <c r="H54">
        <v>3.5999999999999999E-3</v>
      </c>
      <c r="I54" t="s">
        <v>1137</v>
      </c>
      <c r="J54">
        <v>0</v>
      </c>
      <c r="K54" s="647">
        <v>0.62</v>
      </c>
      <c r="L54" s="647">
        <v>7.0000000000000007E-2</v>
      </c>
      <c r="M54" t="s">
        <v>4403</v>
      </c>
      <c r="O54" t="s">
        <v>4404</v>
      </c>
      <c r="P54" s="1" t="s">
        <v>4406</v>
      </c>
      <c r="T54">
        <v>0.63</v>
      </c>
      <c r="U54">
        <v>0.08</v>
      </c>
      <c r="X54" s="56" t="s">
        <v>4406</v>
      </c>
      <c r="AC54" s="3">
        <f>(T54-GHGFY207[[#This Row],[Scope 2 Emission factor]])/GHGFY207[[#This Row],[Scope 2 Emission factor]]</f>
        <v>1.612903225806453E-2</v>
      </c>
      <c r="AD54" s="3">
        <f>(U54-GHGFY207[[#This Row],[Scope 3 Emission factor]])/GHGFY207[[#This Row],[Scope 3 Emission factor]]</f>
        <v>0.14285714285714277</v>
      </c>
    </row>
    <row r="55" spans="1:30" ht="27.6" hidden="1">
      <c r="A55" t="s">
        <v>815</v>
      </c>
      <c r="B55" t="s">
        <v>155</v>
      </c>
      <c r="C55" t="s">
        <v>4402</v>
      </c>
      <c r="D55" t="s">
        <v>1210</v>
      </c>
      <c r="E55" t="s">
        <v>663</v>
      </c>
      <c r="H55">
        <v>3.5999999999999999E-3</v>
      </c>
      <c r="I55" t="s">
        <v>1137</v>
      </c>
      <c r="J55">
        <v>0</v>
      </c>
      <c r="K55" s="647">
        <v>0.81</v>
      </c>
      <c r="L55" s="647">
        <v>0.12</v>
      </c>
      <c r="M55" t="s">
        <v>4403</v>
      </c>
      <c r="O55" t="s">
        <v>4404</v>
      </c>
      <c r="P55" s="1" t="s">
        <v>4407</v>
      </c>
      <c r="T55">
        <v>0.81</v>
      </c>
      <c r="U55">
        <v>0.12</v>
      </c>
      <c r="X55" s="56" t="s">
        <v>4407</v>
      </c>
      <c r="AC55" s="3">
        <f>(T55-GHGFY207[[#This Row],[Scope 2 Emission factor]])/GHGFY207[[#This Row],[Scope 2 Emission factor]]</f>
        <v>0</v>
      </c>
      <c r="AD55" s="3">
        <f>(U55-GHGFY207[[#This Row],[Scope 3 Emission factor]])/GHGFY207[[#This Row],[Scope 3 Emission factor]]</f>
        <v>0</v>
      </c>
    </row>
    <row r="56" spans="1:30" ht="27.6" hidden="1">
      <c r="A56" t="s">
        <v>816</v>
      </c>
      <c r="B56" t="s">
        <v>155</v>
      </c>
      <c r="C56" t="s">
        <v>4402</v>
      </c>
      <c r="D56" t="s">
        <v>1193</v>
      </c>
      <c r="E56" t="s">
        <v>663</v>
      </c>
      <c r="H56">
        <v>3.5999999999999999E-3</v>
      </c>
      <c r="I56" t="s">
        <v>1137</v>
      </c>
      <c r="J56">
        <v>0</v>
      </c>
      <c r="K56" s="647">
        <v>0.43</v>
      </c>
      <c r="L56" s="647">
        <v>0.09</v>
      </c>
      <c r="M56" t="s">
        <v>4403</v>
      </c>
      <c r="O56" t="s">
        <v>4404</v>
      </c>
      <c r="P56" s="1" t="s">
        <v>4408</v>
      </c>
      <c r="T56">
        <v>0.44</v>
      </c>
      <c r="U56">
        <v>0.1</v>
      </c>
      <c r="X56" s="56" t="s">
        <v>4408</v>
      </c>
      <c r="AC56" s="3">
        <f>(T56-GHGFY207[[#This Row],[Scope 2 Emission factor]])/GHGFY207[[#This Row],[Scope 2 Emission factor]]</f>
        <v>2.3255813953488393E-2</v>
      </c>
      <c r="AD56" s="3">
        <f>(U56-GHGFY207[[#This Row],[Scope 3 Emission factor]])/GHGFY207[[#This Row],[Scope 3 Emission factor]]</f>
        <v>0.11111111111111122</v>
      </c>
    </row>
    <row r="57" spans="1:30" ht="27.6" hidden="1">
      <c r="A57" t="s">
        <v>817</v>
      </c>
      <c r="B57" t="s">
        <v>155</v>
      </c>
      <c r="C57" t="s">
        <v>4402</v>
      </c>
      <c r="D57" t="s">
        <v>1213</v>
      </c>
      <c r="E57" t="s">
        <v>663</v>
      </c>
      <c r="H57">
        <v>3.5999999999999999E-3</v>
      </c>
      <c r="I57" t="s">
        <v>1137</v>
      </c>
      <c r="J57">
        <v>0</v>
      </c>
      <c r="K57" s="647">
        <v>0.17</v>
      </c>
      <c r="L57" s="647">
        <v>0.02</v>
      </c>
      <c r="M57" t="s">
        <v>4403</v>
      </c>
      <c r="O57" t="s">
        <v>4404</v>
      </c>
      <c r="P57" s="1" t="s">
        <v>4406</v>
      </c>
      <c r="T57">
        <v>0.15</v>
      </c>
      <c r="U57">
        <v>0.02</v>
      </c>
      <c r="X57" s="56" t="s">
        <v>4406</v>
      </c>
      <c r="AC57" s="3">
        <f>(T57-GHGFY207[[#This Row],[Scope 2 Emission factor]])/GHGFY207[[#This Row],[Scope 2 Emission factor]]</f>
        <v>-0.11764705882352951</v>
      </c>
      <c r="AD57" s="3">
        <f>(U57-GHGFY207[[#This Row],[Scope 3 Emission factor]])/GHGFY207[[#This Row],[Scope 3 Emission factor]]</f>
        <v>0</v>
      </c>
    </row>
    <row r="58" spans="1:30" ht="27.6" hidden="1">
      <c r="A58" t="s">
        <v>818</v>
      </c>
      <c r="B58" t="s">
        <v>155</v>
      </c>
      <c r="C58" t="s">
        <v>4402</v>
      </c>
      <c r="D58" t="s">
        <v>1189</v>
      </c>
      <c r="E58" t="s">
        <v>663</v>
      </c>
      <c r="H58">
        <v>3.5999999999999999E-3</v>
      </c>
      <c r="I58" t="s">
        <v>1137</v>
      </c>
      <c r="J58">
        <v>0</v>
      </c>
      <c r="K58" s="647">
        <v>0.98</v>
      </c>
      <c r="L58" s="647">
        <v>0.11</v>
      </c>
      <c r="M58" t="s">
        <v>4403</v>
      </c>
      <c r="O58" t="s">
        <v>4404</v>
      </c>
      <c r="P58" s="1" t="s">
        <v>4407</v>
      </c>
      <c r="T58">
        <v>1.02</v>
      </c>
      <c r="U58">
        <v>0.1</v>
      </c>
      <c r="X58" s="56" t="s">
        <v>4407</v>
      </c>
      <c r="AC58" s="3">
        <f>(T58-GHGFY207[[#This Row],[Scope 2 Emission factor]])/GHGFY207[[#This Row],[Scope 2 Emission factor]]</f>
        <v>4.0816326530612283E-2</v>
      </c>
      <c r="AD58" s="3">
        <f>(U58-GHGFY207[[#This Row],[Scope 3 Emission factor]])/GHGFY207[[#This Row],[Scope 3 Emission factor]]</f>
        <v>-9.090909090909087E-2</v>
      </c>
    </row>
    <row r="59" spans="1:30" ht="27.6" hidden="1">
      <c r="A59" t="s">
        <v>819</v>
      </c>
      <c r="B59" t="s">
        <v>155</v>
      </c>
      <c r="C59" t="s">
        <v>4402</v>
      </c>
      <c r="D59" t="s">
        <v>1216</v>
      </c>
      <c r="E59" t="s">
        <v>663</v>
      </c>
      <c r="H59">
        <v>3.5999999999999999E-3</v>
      </c>
      <c r="I59" t="s">
        <v>1137</v>
      </c>
      <c r="J59">
        <v>0</v>
      </c>
      <c r="K59" s="647">
        <v>0.68</v>
      </c>
      <c r="L59" s="647">
        <v>0.02</v>
      </c>
      <c r="M59" t="s">
        <v>4403</v>
      </c>
      <c r="O59" t="s">
        <v>4404</v>
      </c>
      <c r="P59" s="1" t="s">
        <v>4408</v>
      </c>
      <c r="T59">
        <v>0.69</v>
      </c>
      <c r="U59">
        <v>0.04</v>
      </c>
      <c r="X59" s="56" t="s">
        <v>4408</v>
      </c>
      <c r="AC59" s="3">
        <f>(T59-GHGFY207[[#This Row],[Scope 2 Emission factor]])/GHGFY207[[#This Row],[Scope 2 Emission factor]]</f>
        <v>1.4705882352941025E-2</v>
      </c>
      <c r="AD59" s="3">
        <f>(U59-GHGFY207[[#This Row],[Scope 3 Emission factor]])/GHGFY207[[#This Row],[Scope 3 Emission factor]]</f>
        <v>1</v>
      </c>
    </row>
    <row r="60" spans="1:30" ht="27.6" hidden="1">
      <c r="A60" t="s">
        <v>796</v>
      </c>
      <c r="B60" t="s">
        <v>155</v>
      </c>
      <c r="C60" t="s">
        <v>4402</v>
      </c>
      <c r="D60" t="s">
        <v>1190</v>
      </c>
      <c r="E60" t="s">
        <v>663</v>
      </c>
      <c r="H60">
        <v>3.5999999999999999E-3</v>
      </c>
      <c r="I60" t="s">
        <v>1137</v>
      </c>
      <c r="J60">
        <v>0</v>
      </c>
      <c r="K60" s="647">
        <v>0.81</v>
      </c>
      <c r="L60" s="647">
        <v>0.09</v>
      </c>
      <c r="M60" t="s">
        <v>4403</v>
      </c>
      <c r="O60" t="s">
        <v>4404</v>
      </c>
      <c r="P60" s="1" t="s">
        <v>4405</v>
      </c>
      <c r="T60">
        <v>0.79</v>
      </c>
      <c r="U60">
        <v>0.09</v>
      </c>
      <c r="X60" s="56" t="s">
        <v>4406</v>
      </c>
      <c r="AC60" s="3">
        <f>(T60-GHGFY207[[#This Row],[Scope 2 Emission factor]])/GHGFY207[[#This Row],[Scope 2 Emission factor]]</f>
        <v>-2.4691358024691377E-2</v>
      </c>
      <c r="AD60" s="3">
        <f>(U60-GHGFY207[[#This Row],[Scope 3 Emission factor]])/GHGFY207[[#This Row],[Scope 3 Emission factor]]</f>
        <v>0</v>
      </c>
    </row>
    <row r="61" spans="1:30" ht="27.6" hidden="1">
      <c r="A61" t="s">
        <v>797</v>
      </c>
      <c r="B61" t="s">
        <v>155</v>
      </c>
      <c r="C61" t="s">
        <v>4402</v>
      </c>
      <c r="D61" t="s">
        <v>1192</v>
      </c>
      <c r="E61" t="s">
        <v>663</v>
      </c>
      <c r="H61">
        <v>3.5999999999999999E-3</v>
      </c>
      <c r="I61" t="s">
        <v>1137</v>
      </c>
      <c r="J61">
        <v>0</v>
      </c>
      <c r="K61" s="647">
        <v>0.81</v>
      </c>
      <c r="L61" s="647">
        <v>0.09</v>
      </c>
      <c r="M61" t="s">
        <v>4403</v>
      </c>
      <c r="O61" t="s">
        <v>4404</v>
      </c>
      <c r="P61" s="1" t="s">
        <v>4405</v>
      </c>
      <c r="T61">
        <v>0.81</v>
      </c>
      <c r="U61">
        <v>0.09</v>
      </c>
      <c r="X61" s="56" t="s">
        <v>4405</v>
      </c>
      <c r="AC61" s="3">
        <f>(T61-GHGFY207[[#This Row],[Scope 2 Emission factor]])/GHGFY207[[#This Row],[Scope 2 Emission factor]]</f>
        <v>0</v>
      </c>
      <c r="AD61" s="3">
        <f>(U61-GHGFY207[[#This Row],[Scope 3 Emission factor]])/GHGFY207[[#This Row],[Scope 3 Emission factor]]</f>
        <v>0</v>
      </c>
    </row>
    <row r="62" spans="1:30" ht="27.6" hidden="1">
      <c r="A62" t="s">
        <v>798</v>
      </c>
      <c r="B62" t="s">
        <v>155</v>
      </c>
      <c r="C62" t="s">
        <v>4402</v>
      </c>
      <c r="D62" t="s">
        <v>1208</v>
      </c>
      <c r="E62" t="s">
        <v>663</v>
      </c>
      <c r="H62">
        <v>3.5999999999999999E-3</v>
      </c>
      <c r="I62" t="s">
        <v>1137</v>
      </c>
      <c r="J62">
        <v>0</v>
      </c>
      <c r="K62" s="647">
        <v>0.62</v>
      </c>
      <c r="L62" s="647">
        <v>7.0000000000000007E-2</v>
      </c>
      <c r="M62" t="s">
        <v>4403</v>
      </c>
      <c r="O62" t="s">
        <v>4404</v>
      </c>
      <c r="P62" s="1" t="s">
        <v>4406</v>
      </c>
      <c r="T62">
        <v>0.63</v>
      </c>
      <c r="U62">
        <v>0.08</v>
      </c>
      <c r="X62" s="56" t="s">
        <v>4406</v>
      </c>
      <c r="AC62" s="3">
        <f>(T62-GHGFY207[[#This Row],[Scope 2 Emission factor]])/GHGFY207[[#This Row],[Scope 2 Emission factor]]</f>
        <v>1.612903225806453E-2</v>
      </c>
      <c r="AD62" s="3">
        <f>(U62-GHGFY207[[#This Row],[Scope 3 Emission factor]])/GHGFY207[[#This Row],[Scope 3 Emission factor]]</f>
        <v>0.14285714285714277</v>
      </c>
    </row>
    <row r="63" spans="1:30" ht="27.6" hidden="1">
      <c r="A63" t="s">
        <v>799</v>
      </c>
      <c r="B63" t="s">
        <v>155</v>
      </c>
      <c r="C63" t="s">
        <v>4402</v>
      </c>
      <c r="D63" t="s">
        <v>1210</v>
      </c>
      <c r="E63" t="s">
        <v>663</v>
      </c>
      <c r="H63">
        <v>3.5999999999999999E-3</v>
      </c>
      <c r="I63" t="s">
        <v>1137</v>
      </c>
      <c r="J63">
        <v>0</v>
      </c>
      <c r="K63" s="647">
        <v>0.81</v>
      </c>
      <c r="L63" s="647">
        <v>0.12</v>
      </c>
      <c r="M63" t="s">
        <v>4403</v>
      </c>
      <c r="O63" t="s">
        <v>4404</v>
      </c>
      <c r="P63" s="1" t="s">
        <v>4407</v>
      </c>
      <c r="T63">
        <v>0.81</v>
      </c>
      <c r="U63">
        <v>0.12</v>
      </c>
      <c r="X63" s="56" t="s">
        <v>4407</v>
      </c>
      <c r="AC63" s="3">
        <f>(T63-GHGFY207[[#This Row],[Scope 2 Emission factor]])/GHGFY207[[#This Row],[Scope 2 Emission factor]]</f>
        <v>0</v>
      </c>
      <c r="AD63" s="3">
        <f>(U63-GHGFY207[[#This Row],[Scope 3 Emission factor]])/GHGFY207[[#This Row],[Scope 3 Emission factor]]</f>
        <v>0</v>
      </c>
    </row>
    <row r="64" spans="1:30" ht="27.6" hidden="1">
      <c r="A64" t="s">
        <v>800</v>
      </c>
      <c r="B64" t="s">
        <v>155</v>
      </c>
      <c r="C64" t="s">
        <v>4402</v>
      </c>
      <c r="D64" t="s">
        <v>1193</v>
      </c>
      <c r="E64" t="s">
        <v>663</v>
      </c>
      <c r="H64">
        <v>3.5999999999999999E-3</v>
      </c>
      <c r="I64" t="s">
        <v>1137</v>
      </c>
      <c r="J64">
        <v>0</v>
      </c>
      <c r="K64" s="647">
        <v>0.43</v>
      </c>
      <c r="L64" s="647">
        <v>0.09</v>
      </c>
      <c r="M64" t="s">
        <v>4403</v>
      </c>
      <c r="O64" t="s">
        <v>4404</v>
      </c>
      <c r="P64" s="1" t="s">
        <v>4408</v>
      </c>
      <c r="T64">
        <v>0.44</v>
      </c>
      <c r="U64">
        <v>0.1</v>
      </c>
      <c r="X64" s="56" t="s">
        <v>4408</v>
      </c>
      <c r="AC64" s="3">
        <f>(T64-GHGFY207[[#This Row],[Scope 2 Emission factor]])/GHGFY207[[#This Row],[Scope 2 Emission factor]]</f>
        <v>2.3255813953488393E-2</v>
      </c>
      <c r="AD64" s="3">
        <f>(U64-GHGFY207[[#This Row],[Scope 3 Emission factor]])/GHGFY207[[#This Row],[Scope 3 Emission factor]]</f>
        <v>0.11111111111111122</v>
      </c>
    </row>
    <row r="65" spans="1:30" ht="27.6" hidden="1">
      <c r="A65" t="s">
        <v>801</v>
      </c>
      <c r="B65" t="s">
        <v>155</v>
      </c>
      <c r="C65" t="s">
        <v>4402</v>
      </c>
      <c r="D65" t="s">
        <v>1213</v>
      </c>
      <c r="E65" t="s">
        <v>663</v>
      </c>
      <c r="H65">
        <v>3.5999999999999999E-3</v>
      </c>
      <c r="I65" t="s">
        <v>1137</v>
      </c>
      <c r="J65">
        <v>0</v>
      </c>
      <c r="K65" s="647">
        <v>0.17</v>
      </c>
      <c r="L65" s="647">
        <v>0.02</v>
      </c>
      <c r="M65" t="s">
        <v>4403</v>
      </c>
      <c r="O65" t="s">
        <v>4404</v>
      </c>
      <c r="P65" s="1" t="s">
        <v>4406</v>
      </c>
      <c r="T65">
        <v>0.15</v>
      </c>
      <c r="U65">
        <v>0.02</v>
      </c>
      <c r="X65" s="56" t="s">
        <v>4406</v>
      </c>
      <c r="AC65" s="3">
        <f>(T65-GHGFY207[[#This Row],[Scope 2 Emission factor]])/GHGFY207[[#This Row],[Scope 2 Emission factor]]</f>
        <v>-0.11764705882352951</v>
      </c>
      <c r="AD65" s="3">
        <f>(U65-GHGFY207[[#This Row],[Scope 3 Emission factor]])/GHGFY207[[#This Row],[Scope 3 Emission factor]]</f>
        <v>0</v>
      </c>
    </row>
    <row r="66" spans="1:30" ht="27.6" hidden="1">
      <c r="A66" t="s">
        <v>802</v>
      </c>
      <c r="B66" t="s">
        <v>155</v>
      </c>
      <c r="C66" t="s">
        <v>4402</v>
      </c>
      <c r="D66" t="s">
        <v>1189</v>
      </c>
      <c r="E66" t="s">
        <v>663</v>
      </c>
      <c r="H66">
        <v>3.5999999999999999E-3</v>
      </c>
      <c r="I66" t="s">
        <v>1137</v>
      </c>
      <c r="J66">
        <v>0</v>
      </c>
      <c r="K66" s="647">
        <v>0.98</v>
      </c>
      <c r="L66" s="647">
        <v>0.11</v>
      </c>
      <c r="M66" t="s">
        <v>4403</v>
      </c>
      <c r="O66" t="s">
        <v>4404</v>
      </c>
      <c r="P66" s="1" t="s">
        <v>4407</v>
      </c>
      <c r="T66">
        <v>1.02</v>
      </c>
      <c r="U66">
        <v>0.1</v>
      </c>
      <c r="X66" s="56" t="s">
        <v>4407</v>
      </c>
      <c r="AC66" s="3">
        <f>(T66-GHGFY207[[#This Row],[Scope 2 Emission factor]])/GHGFY207[[#This Row],[Scope 2 Emission factor]]</f>
        <v>4.0816326530612283E-2</v>
      </c>
      <c r="AD66" s="3">
        <f>(U66-GHGFY207[[#This Row],[Scope 3 Emission factor]])/GHGFY207[[#This Row],[Scope 3 Emission factor]]</f>
        <v>-9.090909090909087E-2</v>
      </c>
    </row>
    <row r="67" spans="1:30" ht="27.6" hidden="1">
      <c r="A67" t="s">
        <v>803</v>
      </c>
      <c r="B67" t="s">
        <v>155</v>
      </c>
      <c r="C67" t="s">
        <v>4402</v>
      </c>
      <c r="D67" t="s">
        <v>1216</v>
      </c>
      <c r="E67" t="s">
        <v>663</v>
      </c>
      <c r="H67">
        <v>3.5999999999999999E-3</v>
      </c>
      <c r="I67" t="s">
        <v>1137</v>
      </c>
      <c r="J67">
        <v>0</v>
      </c>
      <c r="K67" s="647">
        <v>0.68</v>
      </c>
      <c r="L67" s="647">
        <v>0.02</v>
      </c>
      <c r="M67" t="s">
        <v>4403</v>
      </c>
      <c r="O67" t="s">
        <v>4404</v>
      </c>
      <c r="P67" s="1" t="s">
        <v>4408</v>
      </c>
      <c r="T67">
        <v>0.69</v>
      </c>
      <c r="U67">
        <v>0.04</v>
      </c>
      <c r="X67" s="56" t="s">
        <v>4408</v>
      </c>
      <c r="AC67" s="3">
        <f>(T67-GHGFY207[[#This Row],[Scope 2 Emission factor]])/GHGFY207[[#This Row],[Scope 2 Emission factor]]</f>
        <v>1.4705882352941025E-2</v>
      </c>
      <c r="AD67" s="3">
        <f>(U67-GHGFY207[[#This Row],[Scope 3 Emission factor]])/GHGFY207[[#This Row],[Scope 3 Emission factor]]</f>
        <v>1</v>
      </c>
    </row>
    <row r="68" spans="1:30" ht="27.6">
      <c r="A68" t="s">
        <v>804</v>
      </c>
      <c r="B68" t="s">
        <v>155</v>
      </c>
      <c r="C68" t="s">
        <v>4402</v>
      </c>
      <c r="D68" t="s">
        <v>1190</v>
      </c>
      <c r="E68" t="s">
        <v>663</v>
      </c>
      <c r="H68">
        <v>3.5999999999999999E-3</v>
      </c>
      <c r="I68" t="s">
        <v>1137</v>
      </c>
      <c r="J68">
        <v>0</v>
      </c>
      <c r="K68" s="647">
        <v>0.81</v>
      </c>
      <c r="L68" s="647">
        <v>0.09</v>
      </c>
      <c r="M68" t="s">
        <v>4403</v>
      </c>
      <c r="O68" t="s">
        <v>4404</v>
      </c>
      <c r="P68" s="1" t="s">
        <v>4405</v>
      </c>
      <c r="T68">
        <v>0.79</v>
      </c>
      <c r="U68">
        <v>0.09</v>
      </c>
      <c r="X68" s="56" t="s">
        <v>4406</v>
      </c>
      <c r="AC68" s="3">
        <f>(T68-GHGFY207[[#This Row],[Scope 2 Emission factor]])/GHGFY207[[#This Row],[Scope 2 Emission factor]]</f>
        <v>-2.4691358024691377E-2</v>
      </c>
      <c r="AD68" s="3">
        <f>(U68-GHGFY207[[#This Row],[Scope 3 Emission factor]])/GHGFY207[[#This Row],[Scope 3 Emission factor]]</f>
        <v>0</v>
      </c>
    </row>
    <row r="69" spans="1:30" ht="27.6">
      <c r="A69" t="s">
        <v>805</v>
      </c>
      <c r="B69" t="s">
        <v>155</v>
      </c>
      <c r="C69" t="s">
        <v>4402</v>
      </c>
      <c r="D69" t="s">
        <v>1192</v>
      </c>
      <c r="E69" t="s">
        <v>663</v>
      </c>
      <c r="H69">
        <v>3.5999999999999999E-3</v>
      </c>
      <c r="I69" t="s">
        <v>1137</v>
      </c>
      <c r="J69">
        <v>0</v>
      </c>
      <c r="K69" s="647">
        <v>0.81</v>
      </c>
      <c r="L69" s="647">
        <v>0.09</v>
      </c>
      <c r="M69" t="s">
        <v>4403</v>
      </c>
      <c r="O69" t="s">
        <v>4404</v>
      </c>
      <c r="P69" s="1" t="s">
        <v>4405</v>
      </c>
      <c r="T69">
        <v>0.81</v>
      </c>
      <c r="U69">
        <v>0.09</v>
      </c>
      <c r="X69" s="56" t="s">
        <v>4405</v>
      </c>
      <c r="AC69" s="3">
        <f>(T69-GHGFY207[[#This Row],[Scope 2 Emission factor]])/GHGFY207[[#This Row],[Scope 2 Emission factor]]</f>
        <v>0</v>
      </c>
      <c r="AD69" s="3">
        <f>(U69-GHGFY207[[#This Row],[Scope 3 Emission factor]])/GHGFY207[[#This Row],[Scope 3 Emission factor]]</f>
        <v>0</v>
      </c>
    </row>
    <row r="70" spans="1:30" ht="27.6">
      <c r="A70" t="s">
        <v>806</v>
      </c>
      <c r="B70" t="s">
        <v>155</v>
      </c>
      <c r="C70" t="s">
        <v>4402</v>
      </c>
      <c r="D70" t="s">
        <v>1208</v>
      </c>
      <c r="E70" t="s">
        <v>663</v>
      </c>
      <c r="H70">
        <v>3.5999999999999999E-3</v>
      </c>
      <c r="I70" t="s">
        <v>1137</v>
      </c>
      <c r="J70">
        <v>0</v>
      </c>
      <c r="K70" s="647">
        <v>0.62</v>
      </c>
      <c r="L70" s="647">
        <v>7.0000000000000007E-2</v>
      </c>
      <c r="M70" t="s">
        <v>4403</v>
      </c>
      <c r="O70" t="s">
        <v>4404</v>
      </c>
      <c r="P70" s="1" t="s">
        <v>4406</v>
      </c>
      <c r="T70">
        <v>0.63</v>
      </c>
      <c r="U70">
        <v>0.08</v>
      </c>
      <c r="X70" s="56" t="s">
        <v>4406</v>
      </c>
      <c r="AC70" s="3">
        <f>(T70-GHGFY207[[#This Row],[Scope 2 Emission factor]])/GHGFY207[[#This Row],[Scope 2 Emission factor]]</f>
        <v>1.612903225806453E-2</v>
      </c>
      <c r="AD70" s="3">
        <f>(U70-GHGFY207[[#This Row],[Scope 3 Emission factor]])/GHGFY207[[#This Row],[Scope 3 Emission factor]]</f>
        <v>0.14285714285714277</v>
      </c>
    </row>
    <row r="71" spans="1:30" ht="27.6">
      <c r="A71" t="s">
        <v>807</v>
      </c>
      <c r="B71" t="s">
        <v>155</v>
      </c>
      <c r="C71" t="s">
        <v>4402</v>
      </c>
      <c r="D71" t="s">
        <v>1210</v>
      </c>
      <c r="E71" t="s">
        <v>663</v>
      </c>
      <c r="H71">
        <v>3.5999999999999999E-3</v>
      </c>
      <c r="I71" t="s">
        <v>1137</v>
      </c>
      <c r="J71">
        <v>0</v>
      </c>
      <c r="K71" s="647">
        <v>0.81</v>
      </c>
      <c r="L71" s="647">
        <v>0.12</v>
      </c>
      <c r="M71" t="s">
        <v>4403</v>
      </c>
      <c r="O71" t="s">
        <v>4404</v>
      </c>
      <c r="P71" s="1" t="s">
        <v>4407</v>
      </c>
      <c r="T71">
        <v>0.81</v>
      </c>
      <c r="U71">
        <v>0.12</v>
      </c>
      <c r="X71" s="56" t="s">
        <v>4407</v>
      </c>
      <c r="AC71" s="3">
        <f>(T71-GHGFY207[[#This Row],[Scope 2 Emission factor]])/GHGFY207[[#This Row],[Scope 2 Emission factor]]</f>
        <v>0</v>
      </c>
      <c r="AD71" s="3">
        <f>(U71-GHGFY207[[#This Row],[Scope 3 Emission factor]])/GHGFY207[[#This Row],[Scope 3 Emission factor]]</f>
        <v>0</v>
      </c>
    </row>
    <row r="72" spans="1:30" ht="27.6">
      <c r="A72" t="s">
        <v>808</v>
      </c>
      <c r="B72" t="s">
        <v>155</v>
      </c>
      <c r="C72" t="s">
        <v>4402</v>
      </c>
      <c r="D72" t="s">
        <v>1193</v>
      </c>
      <c r="E72" t="s">
        <v>663</v>
      </c>
      <c r="H72">
        <v>3.5999999999999999E-3</v>
      </c>
      <c r="I72" t="s">
        <v>1137</v>
      </c>
      <c r="J72">
        <v>0</v>
      </c>
      <c r="K72" s="647">
        <v>0.43</v>
      </c>
      <c r="L72" s="647">
        <v>0.09</v>
      </c>
      <c r="M72" t="s">
        <v>4403</v>
      </c>
      <c r="O72" t="s">
        <v>4404</v>
      </c>
      <c r="P72" s="1" t="s">
        <v>4408</v>
      </c>
      <c r="T72">
        <v>0.44</v>
      </c>
      <c r="U72">
        <v>0.1</v>
      </c>
      <c r="X72" s="56" t="s">
        <v>4408</v>
      </c>
      <c r="AC72" s="3">
        <f>(T72-GHGFY207[[#This Row],[Scope 2 Emission factor]])/GHGFY207[[#This Row],[Scope 2 Emission factor]]</f>
        <v>2.3255813953488393E-2</v>
      </c>
      <c r="AD72" s="3">
        <f>(U72-GHGFY207[[#This Row],[Scope 3 Emission factor]])/GHGFY207[[#This Row],[Scope 3 Emission factor]]</f>
        <v>0.11111111111111122</v>
      </c>
    </row>
    <row r="73" spans="1:30" ht="27.6">
      <c r="A73" t="s">
        <v>809</v>
      </c>
      <c r="B73" t="s">
        <v>155</v>
      </c>
      <c r="C73" t="s">
        <v>4402</v>
      </c>
      <c r="D73" t="s">
        <v>1213</v>
      </c>
      <c r="E73" t="s">
        <v>663</v>
      </c>
      <c r="H73">
        <v>3.5999999999999999E-3</v>
      </c>
      <c r="I73" t="s">
        <v>1137</v>
      </c>
      <c r="J73">
        <v>0</v>
      </c>
      <c r="K73" s="647">
        <v>0.17</v>
      </c>
      <c r="L73" s="647">
        <v>0.02</v>
      </c>
      <c r="M73" t="s">
        <v>4403</v>
      </c>
      <c r="O73" t="s">
        <v>4404</v>
      </c>
      <c r="P73" s="1" t="s">
        <v>4406</v>
      </c>
      <c r="T73">
        <v>0.15</v>
      </c>
      <c r="U73">
        <v>0.02</v>
      </c>
      <c r="X73" s="56" t="s">
        <v>4406</v>
      </c>
      <c r="AC73" s="3">
        <f>(T73-GHGFY207[[#This Row],[Scope 2 Emission factor]])/GHGFY207[[#This Row],[Scope 2 Emission factor]]</f>
        <v>-0.11764705882352951</v>
      </c>
      <c r="AD73" s="3">
        <f>(U73-GHGFY207[[#This Row],[Scope 3 Emission factor]])/GHGFY207[[#This Row],[Scope 3 Emission factor]]</f>
        <v>0</v>
      </c>
    </row>
    <row r="74" spans="1:30" ht="27.6">
      <c r="A74" t="s">
        <v>810</v>
      </c>
      <c r="B74" t="s">
        <v>155</v>
      </c>
      <c r="C74" t="s">
        <v>4402</v>
      </c>
      <c r="D74" t="s">
        <v>1189</v>
      </c>
      <c r="E74" t="s">
        <v>663</v>
      </c>
      <c r="H74">
        <v>3.5999999999999999E-3</v>
      </c>
      <c r="I74" t="s">
        <v>1137</v>
      </c>
      <c r="J74">
        <v>0</v>
      </c>
      <c r="K74" s="647">
        <v>0.98</v>
      </c>
      <c r="L74" s="647">
        <v>0.11</v>
      </c>
      <c r="M74" t="s">
        <v>4403</v>
      </c>
      <c r="O74" t="s">
        <v>4404</v>
      </c>
      <c r="P74" s="1" t="s">
        <v>4407</v>
      </c>
      <c r="T74">
        <v>1.02</v>
      </c>
      <c r="U74">
        <v>0.1</v>
      </c>
      <c r="X74" s="56" t="s">
        <v>4407</v>
      </c>
      <c r="AC74" s="3">
        <f>(T74-GHGFY207[[#This Row],[Scope 2 Emission factor]])/GHGFY207[[#This Row],[Scope 2 Emission factor]]</f>
        <v>4.0816326530612283E-2</v>
      </c>
      <c r="AD74" s="3">
        <f>(U74-GHGFY207[[#This Row],[Scope 3 Emission factor]])/GHGFY207[[#This Row],[Scope 3 Emission factor]]</f>
        <v>-9.090909090909087E-2</v>
      </c>
    </row>
    <row r="75" spans="1:30" ht="27.6">
      <c r="A75" t="s">
        <v>811</v>
      </c>
      <c r="B75" t="s">
        <v>155</v>
      </c>
      <c r="C75" t="s">
        <v>4402</v>
      </c>
      <c r="D75" t="s">
        <v>1216</v>
      </c>
      <c r="E75" t="s">
        <v>663</v>
      </c>
      <c r="H75">
        <v>3.5999999999999999E-3</v>
      </c>
      <c r="I75" t="s">
        <v>1137</v>
      </c>
      <c r="J75">
        <v>0</v>
      </c>
      <c r="K75" s="647">
        <v>0.68</v>
      </c>
      <c r="L75" s="647">
        <v>0.02</v>
      </c>
      <c r="M75" t="s">
        <v>4403</v>
      </c>
      <c r="O75" t="s">
        <v>4404</v>
      </c>
      <c r="P75" s="1" t="s">
        <v>4408</v>
      </c>
      <c r="T75" s="9">
        <v>0.69</v>
      </c>
      <c r="U75" s="9">
        <v>0.04</v>
      </c>
      <c r="X75" s="56" t="s">
        <v>4408</v>
      </c>
      <c r="AC75" s="3">
        <f>(T75-GHGFY207[[#This Row],[Scope 2 Emission factor]])/GHGFY207[[#This Row],[Scope 2 Emission factor]]</f>
        <v>1.4705882352941025E-2</v>
      </c>
      <c r="AD75" s="3">
        <f>(U75-GHGFY207[[#This Row],[Scope 3 Emission factor]])/GHGFY207[[#This Row],[Scope 3 Emission factor]]</f>
        <v>1</v>
      </c>
    </row>
    <row r="76" spans="1:30" ht="29.1" hidden="1" customHeight="1">
      <c r="A76" t="s">
        <v>4190</v>
      </c>
      <c r="B76" t="s">
        <v>1296</v>
      </c>
      <c r="C76" t="s">
        <v>4409</v>
      </c>
      <c r="D76" t="s">
        <v>1190</v>
      </c>
      <c r="E76" t="s">
        <v>670</v>
      </c>
      <c r="F76">
        <v>1E-3</v>
      </c>
      <c r="G76" t="s">
        <v>4410</v>
      </c>
      <c r="J76" s="647">
        <v>51.53</v>
      </c>
      <c r="L76">
        <v>12.8</v>
      </c>
      <c r="M76" t="s">
        <v>4411</v>
      </c>
      <c r="N76" t="s">
        <v>4404</v>
      </c>
      <c r="P76" s="1"/>
      <c r="S76" s="64">
        <f>SUM(U76:W76)</f>
        <v>51.53</v>
      </c>
      <c r="U76" s="5">
        <v>51.4</v>
      </c>
      <c r="V76" s="5">
        <v>0.1</v>
      </c>
      <c r="W76" s="5">
        <v>0.03</v>
      </c>
      <c r="X76" s="56" t="str">
        <f>GHGFY207[[#This Row],[Data Source (scope 1)]]</f>
        <v>National Greenhouse and Energy Reporting (Measurement) Determination 2008 (compiled 1 July 2020). Indirect Factor - NGA workbook (where applicable), published Sept 2020.</v>
      </c>
      <c r="AB76" s="3">
        <f>(S76-GHGFY207[[#This Row],[Scope 1 Emission factor]])/GHGFY207[[#This Row],[Scope 1 Emission factor]]</f>
        <v>0</v>
      </c>
      <c r="AC76" s="3" t="e">
        <f>(T76-GHGFY207[[#This Row],[Scope 2 Emission factor]])/GHGFY207[[#This Row],[Scope 2 Emission factor]]</f>
        <v>#DIV/0!</v>
      </c>
      <c r="AD76" s="3">
        <f>(U76-GHGFY207[[#This Row],[Scope 3 Emission factor]])/GHGFY207[[#This Row],[Scope 3 Emission factor]]</f>
        <v>3.0156249999999996</v>
      </c>
    </row>
    <row r="77" spans="1:30" ht="29.1" hidden="1" customHeight="1">
      <c r="A77" t="s">
        <v>1025</v>
      </c>
      <c r="B77" t="s">
        <v>1296</v>
      </c>
      <c r="C77" t="s">
        <v>4409</v>
      </c>
      <c r="D77" t="s">
        <v>1192</v>
      </c>
      <c r="E77" t="s">
        <v>670</v>
      </c>
      <c r="F77">
        <v>1E-3</v>
      </c>
      <c r="G77" t="s">
        <v>4410</v>
      </c>
      <c r="J77" s="647">
        <v>51.53</v>
      </c>
      <c r="L77">
        <v>12.8</v>
      </c>
      <c r="M77" t="s">
        <v>4411</v>
      </c>
      <c r="N77" t="s">
        <v>4404</v>
      </c>
      <c r="P77" s="1"/>
      <c r="S77" s="64">
        <f t="shared" ref="S77:S140" si="0">SUM(U77:W77)</f>
        <v>51.53</v>
      </c>
      <c r="U77" s="5">
        <v>51.4</v>
      </c>
      <c r="V77" s="5">
        <v>0.1</v>
      </c>
      <c r="W77" s="5">
        <v>0.03</v>
      </c>
      <c r="X77" s="56" t="str">
        <f>GHGFY207[[#This Row],[Data Source (scope 1)]]</f>
        <v>National Greenhouse and Energy Reporting (Measurement) Determination 2008 (compiled 1 July 2020). Indirect Factor - NGA workbook (where applicable), published Sept 2020.</v>
      </c>
      <c r="AB77" s="3">
        <f>(S77-GHGFY207[[#This Row],[Scope 1 Emission factor]])/GHGFY207[[#This Row],[Scope 1 Emission factor]]</f>
        <v>0</v>
      </c>
      <c r="AC77" s="3" t="e">
        <f>(T77-GHGFY207[[#This Row],[Scope 2 Emission factor]])/GHGFY207[[#This Row],[Scope 2 Emission factor]]</f>
        <v>#DIV/0!</v>
      </c>
      <c r="AD77" s="3">
        <f>(U77-GHGFY207[[#This Row],[Scope 3 Emission factor]])/GHGFY207[[#This Row],[Scope 3 Emission factor]]</f>
        <v>3.0156249999999996</v>
      </c>
    </row>
    <row r="78" spans="1:30" ht="29.1" hidden="1" customHeight="1">
      <c r="A78" t="s">
        <v>4191</v>
      </c>
      <c r="B78" t="s">
        <v>1296</v>
      </c>
      <c r="C78" t="s">
        <v>4409</v>
      </c>
      <c r="D78" t="s">
        <v>1210</v>
      </c>
      <c r="E78" t="s">
        <v>670</v>
      </c>
      <c r="F78">
        <v>1E-3</v>
      </c>
      <c r="G78" t="s">
        <v>4410</v>
      </c>
      <c r="J78" s="647">
        <v>51.53</v>
      </c>
      <c r="L78">
        <v>8.6999999999999993</v>
      </c>
      <c r="M78" t="s">
        <v>4411</v>
      </c>
      <c r="N78" t="s">
        <v>4404</v>
      </c>
      <c r="P78" s="1"/>
      <c r="S78" s="64">
        <f t="shared" si="0"/>
        <v>51.53</v>
      </c>
      <c r="U78" s="5">
        <v>51.4</v>
      </c>
      <c r="V78" s="5">
        <v>0.1</v>
      </c>
      <c r="W78" s="5">
        <v>0.03</v>
      </c>
      <c r="X78" s="56" t="str">
        <f>GHGFY207[[#This Row],[Data Source (scope 1)]]</f>
        <v>National Greenhouse and Energy Reporting (Measurement) Determination 2008 (compiled 1 July 2020). Indirect Factor - NGA workbook (where applicable), published Sept 2020.</v>
      </c>
      <c r="AB78" s="3">
        <f>(S78-GHGFY207[[#This Row],[Scope 1 Emission factor]])/GHGFY207[[#This Row],[Scope 1 Emission factor]]</f>
        <v>0</v>
      </c>
      <c r="AC78" s="3" t="e">
        <f>(T78-GHGFY207[[#This Row],[Scope 2 Emission factor]])/GHGFY207[[#This Row],[Scope 2 Emission factor]]</f>
        <v>#DIV/0!</v>
      </c>
      <c r="AD78" s="3">
        <f>(U78-GHGFY207[[#This Row],[Scope 3 Emission factor]])/GHGFY207[[#This Row],[Scope 3 Emission factor]]</f>
        <v>4.9080459770114953</v>
      </c>
    </row>
    <row r="79" spans="1:30" ht="29.1" hidden="1" customHeight="1">
      <c r="A79" t="s">
        <v>1027</v>
      </c>
      <c r="B79" t="s">
        <v>1296</v>
      </c>
      <c r="C79" t="s">
        <v>4409</v>
      </c>
      <c r="D79" t="s">
        <v>1193</v>
      </c>
      <c r="E79" t="s">
        <v>670</v>
      </c>
      <c r="F79">
        <v>1E-3</v>
      </c>
      <c r="G79" t="s">
        <v>4410</v>
      </c>
      <c r="J79" s="647">
        <v>51.53</v>
      </c>
      <c r="L79">
        <v>10.4</v>
      </c>
      <c r="M79" t="s">
        <v>4411</v>
      </c>
      <c r="N79" t="s">
        <v>4404</v>
      </c>
      <c r="P79" s="1"/>
      <c r="S79" s="64">
        <f t="shared" si="0"/>
        <v>51.53</v>
      </c>
      <c r="U79" s="5">
        <v>51.4</v>
      </c>
      <c r="V79" s="5">
        <v>0.1</v>
      </c>
      <c r="W79" s="5">
        <v>0.03</v>
      </c>
      <c r="X79" s="56" t="str">
        <f>GHGFY207[[#This Row],[Data Source (scope 1)]]</f>
        <v>National Greenhouse and Energy Reporting (Measurement) Determination 2008 (compiled 1 July 2020). Indirect Factor - NGA workbook (where applicable), published Sept 2020.</v>
      </c>
      <c r="AB79" s="3">
        <f>(S79-GHGFY207[[#This Row],[Scope 1 Emission factor]])/GHGFY207[[#This Row],[Scope 1 Emission factor]]</f>
        <v>0</v>
      </c>
      <c r="AC79" s="3" t="e">
        <f>(T79-GHGFY207[[#This Row],[Scope 2 Emission factor]])/GHGFY207[[#This Row],[Scope 2 Emission factor]]</f>
        <v>#DIV/0!</v>
      </c>
      <c r="AD79" s="3">
        <f>(U79-GHGFY207[[#This Row],[Scope 3 Emission factor]])/GHGFY207[[#This Row],[Scope 3 Emission factor]]</f>
        <v>3.9423076923076921</v>
      </c>
    </row>
    <row r="80" spans="1:30" ht="29.1" hidden="1" customHeight="1">
      <c r="A80" t="s">
        <v>4192</v>
      </c>
      <c r="B80" t="s">
        <v>1296</v>
      </c>
      <c r="C80" t="s">
        <v>4409</v>
      </c>
      <c r="D80" t="s">
        <v>1213</v>
      </c>
      <c r="E80" t="s">
        <v>670</v>
      </c>
      <c r="F80">
        <v>1E-3</v>
      </c>
      <c r="G80" t="s">
        <v>4410</v>
      </c>
      <c r="J80" s="647">
        <v>51.53</v>
      </c>
      <c r="L80">
        <v>0</v>
      </c>
      <c r="M80" t="s">
        <v>4411</v>
      </c>
      <c r="N80" t="s">
        <v>4404</v>
      </c>
      <c r="P80" s="1"/>
      <c r="S80" s="64">
        <f t="shared" si="0"/>
        <v>51.53</v>
      </c>
      <c r="U80" s="5">
        <v>51.4</v>
      </c>
      <c r="V80" s="5">
        <v>0.1</v>
      </c>
      <c r="W80" s="5">
        <v>0.03</v>
      </c>
      <c r="X80" s="56" t="str">
        <f>GHGFY207[[#This Row],[Data Source (scope 1)]]</f>
        <v>National Greenhouse and Energy Reporting (Measurement) Determination 2008 (compiled 1 July 2020). Indirect Factor - NGA workbook (where applicable), published Sept 2020.</v>
      </c>
      <c r="AB80" s="3">
        <f>(S80-GHGFY207[[#This Row],[Scope 1 Emission factor]])/GHGFY207[[#This Row],[Scope 1 Emission factor]]</f>
        <v>0</v>
      </c>
      <c r="AC80" s="3" t="e">
        <f>(T80-GHGFY207[[#This Row],[Scope 2 Emission factor]])/GHGFY207[[#This Row],[Scope 2 Emission factor]]</f>
        <v>#DIV/0!</v>
      </c>
      <c r="AD80" s="3" t="e">
        <f>(U80-GHGFY207[[#This Row],[Scope 3 Emission factor]])/GHGFY207[[#This Row],[Scope 3 Emission factor]]</f>
        <v>#DIV/0!</v>
      </c>
    </row>
    <row r="81" spans="1:30" ht="29.1" hidden="1" customHeight="1">
      <c r="A81" t="s">
        <v>1029</v>
      </c>
      <c r="B81" t="s">
        <v>1296</v>
      </c>
      <c r="C81" t="s">
        <v>4409</v>
      </c>
      <c r="D81" t="s">
        <v>1189</v>
      </c>
      <c r="E81" t="s">
        <v>670</v>
      </c>
      <c r="F81">
        <v>1E-3</v>
      </c>
      <c r="G81" t="s">
        <v>4410</v>
      </c>
      <c r="J81" s="647">
        <v>51.53</v>
      </c>
      <c r="L81">
        <v>3.9</v>
      </c>
      <c r="M81" t="s">
        <v>4411</v>
      </c>
      <c r="N81" t="s">
        <v>4404</v>
      </c>
      <c r="P81" s="1"/>
      <c r="S81" s="64">
        <f t="shared" si="0"/>
        <v>51.53</v>
      </c>
      <c r="U81" s="5">
        <v>51.4</v>
      </c>
      <c r="V81" s="5">
        <v>0.1</v>
      </c>
      <c r="W81" s="5">
        <v>0.03</v>
      </c>
      <c r="X81" s="56" t="str">
        <f>GHGFY207[[#This Row],[Data Source (scope 1)]]</f>
        <v>National Greenhouse and Energy Reporting (Measurement) Determination 2008 (compiled 1 July 2020). Indirect Factor - NGA workbook (where applicable), published Sept 2020.</v>
      </c>
      <c r="AB81" s="3">
        <f>(S81-GHGFY207[[#This Row],[Scope 1 Emission factor]])/GHGFY207[[#This Row],[Scope 1 Emission factor]]</f>
        <v>0</v>
      </c>
      <c r="AC81" s="3" t="e">
        <f>(T81-GHGFY207[[#This Row],[Scope 2 Emission factor]])/GHGFY207[[#This Row],[Scope 2 Emission factor]]</f>
        <v>#DIV/0!</v>
      </c>
      <c r="AD81" s="3">
        <f>(U81-GHGFY207[[#This Row],[Scope 3 Emission factor]])/GHGFY207[[#This Row],[Scope 3 Emission factor]]</f>
        <v>12.179487179487181</v>
      </c>
    </row>
    <row r="82" spans="1:30" ht="29.1" hidden="1" customHeight="1">
      <c r="A82" t="s">
        <v>4193</v>
      </c>
      <c r="B82" t="s">
        <v>1296</v>
      </c>
      <c r="C82" t="s">
        <v>4409</v>
      </c>
      <c r="D82" t="s">
        <v>1216</v>
      </c>
      <c r="E82" t="s">
        <v>670</v>
      </c>
      <c r="F82">
        <v>1E-3</v>
      </c>
      <c r="G82" t="s">
        <v>4410</v>
      </c>
      <c r="J82" s="647">
        <v>51.53</v>
      </c>
      <c r="L82">
        <v>4</v>
      </c>
      <c r="M82" t="s">
        <v>4411</v>
      </c>
      <c r="N82" t="s">
        <v>4404</v>
      </c>
      <c r="P82" s="1"/>
      <c r="S82" s="64">
        <f t="shared" si="0"/>
        <v>51.53</v>
      </c>
      <c r="U82" s="5">
        <v>51.4</v>
      </c>
      <c r="V82" s="5">
        <v>0.1</v>
      </c>
      <c r="W82" s="5">
        <v>0.03</v>
      </c>
      <c r="X82" s="56" t="str">
        <f>GHGFY207[[#This Row],[Data Source (scope 1)]]</f>
        <v>National Greenhouse and Energy Reporting (Measurement) Determination 2008 (compiled 1 July 2020). Indirect Factor - NGA workbook (where applicable), published Sept 2020.</v>
      </c>
      <c r="AB82" s="3">
        <f>(S82-GHGFY207[[#This Row],[Scope 1 Emission factor]])/GHGFY207[[#This Row],[Scope 1 Emission factor]]</f>
        <v>0</v>
      </c>
      <c r="AC82" s="3" t="e">
        <f>(T82-GHGFY207[[#This Row],[Scope 2 Emission factor]])/GHGFY207[[#This Row],[Scope 2 Emission factor]]</f>
        <v>#DIV/0!</v>
      </c>
      <c r="AD82" s="3">
        <f>(U82-GHGFY207[[#This Row],[Scope 3 Emission factor]])/GHGFY207[[#This Row],[Scope 3 Emission factor]]</f>
        <v>11.85</v>
      </c>
    </row>
    <row r="83" spans="1:30" ht="29.1" hidden="1" customHeight="1">
      <c r="A83" t="s">
        <v>4194</v>
      </c>
      <c r="B83" t="s">
        <v>1296</v>
      </c>
      <c r="C83" t="s">
        <v>4409</v>
      </c>
      <c r="D83" t="s">
        <v>1190</v>
      </c>
      <c r="E83" t="s">
        <v>670</v>
      </c>
      <c r="F83">
        <v>1E-3</v>
      </c>
      <c r="G83" t="s">
        <v>4410</v>
      </c>
      <c r="J83" s="647">
        <v>51.53</v>
      </c>
      <c r="L83">
        <v>12.8</v>
      </c>
      <c r="M83" t="s">
        <v>4411</v>
      </c>
      <c r="N83" t="s">
        <v>4404</v>
      </c>
      <c r="P83" s="1"/>
      <c r="S83" s="64">
        <f t="shared" si="0"/>
        <v>51.53</v>
      </c>
      <c r="U83" s="5">
        <v>51.4</v>
      </c>
      <c r="V83" s="5">
        <v>0.1</v>
      </c>
      <c r="W83" s="5">
        <v>0.03</v>
      </c>
      <c r="X83" s="56" t="str">
        <f>GHGFY207[[#This Row],[Data Source (scope 1)]]</f>
        <v>National Greenhouse and Energy Reporting (Measurement) Determination 2008 (compiled 1 July 2020). Indirect Factor - NGA workbook (where applicable), published Sept 2020.</v>
      </c>
      <c r="AB83" s="3">
        <f>(S83-GHGFY207[[#This Row],[Scope 1 Emission factor]])/GHGFY207[[#This Row],[Scope 1 Emission factor]]</f>
        <v>0</v>
      </c>
      <c r="AC83" s="3" t="e">
        <f>(T83-GHGFY207[[#This Row],[Scope 2 Emission factor]])/GHGFY207[[#This Row],[Scope 2 Emission factor]]</f>
        <v>#DIV/0!</v>
      </c>
      <c r="AD83" s="3">
        <f>(U83-GHGFY207[[#This Row],[Scope 3 Emission factor]])/GHGFY207[[#This Row],[Scope 3 Emission factor]]</f>
        <v>3.0156249999999996</v>
      </c>
    </row>
    <row r="84" spans="1:30" ht="29.1" hidden="1" customHeight="1">
      <c r="A84" t="s">
        <v>1026</v>
      </c>
      <c r="B84" t="s">
        <v>1296</v>
      </c>
      <c r="C84" t="s">
        <v>4409</v>
      </c>
      <c r="D84" t="s">
        <v>1192</v>
      </c>
      <c r="E84" t="s">
        <v>670</v>
      </c>
      <c r="F84">
        <v>1E-3</v>
      </c>
      <c r="G84" t="s">
        <v>4410</v>
      </c>
      <c r="J84" s="647">
        <v>51.53</v>
      </c>
      <c r="L84">
        <v>12.8</v>
      </c>
      <c r="M84" t="s">
        <v>4411</v>
      </c>
      <c r="N84" t="s">
        <v>4404</v>
      </c>
      <c r="P84" s="1"/>
      <c r="S84" s="64">
        <f t="shared" si="0"/>
        <v>51.53</v>
      </c>
      <c r="U84" s="5">
        <v>51.4</v>
      </c>
      <c r="V84" s="5">
        <v>0.1</v>
      </c>
      <c r="W84" s="5">
        <v>0.03</v>
      </c>
      <c r="X84" s="56" t="str">
        <f>GHGFY207[[#This Row],[Data Source (scope 1)]]</f>
        <v>National Greenhouse and Energy Reporting (Measurement) Determination 2008 (compiled 1 July 2020). Indirect Factor - NGA workbook (where applicable), published Sept 2020.</v>
      </c>
      <c r="AB84" s="3">
        <f>(S84-GHGFY207[[#This Row],[Scope 1 Emission factor]])/GHGFY207[[#This Row],[Scope 1 Emission factor]]</f>
        <v>0</v>
      </c>
      <c r="AC84" s="3" t="e">
        <f>(T84-GHGFY207[[#This Row],[Scope 2 Emission factor]])/GHGFY207[[#This Row],[Scope 2 Emission factor]]</f>
        <v>#DIV/0!</v>
      </c>
      <c r="AD84" s="3">
        <f>(U84-GHGFY207[[#This Row],[Scope 3 Emission factor]])/GHGFY207[[#This Row],[Scope 3 Emission factor]]</f>
        <v>3.0156249999999996</v>
      </c>
    </row>
    <row r="85" spans="1:30" ht="29.1" hidden="1" customHeight="1">
      <c r="A85" t="s">
        <v>4195</v>
      </c>
      <c r="B85" t="s">
        <v>1296</v>
      </c>
      <c r="C85" t="s">
        <v>4409</v>
      </c>
      <c r="D85" t="s">
        <v>1210</v>
      </c>
      <c r="E85" t="s">
        <v>670</v>
      </c>
      <c r="F85">
        <v>1E-3</v>
      </c>
      <c r="G85" t="s">
        <v>4410</v>
      </c>
      <c r="J85" s="647">
        <v>51.53</v>
      </c>
      <c r="L85">
        <v>8.6999999999999993</v>
      </c>
      <c r="M85" t="s">
        <v>4411</v>
      </c>
      <c r="N85" t="s">
        <v>4404</v>
      </c>
      <c r="P85" s="1"/>
      <c r="S85" s="64">
        <f t="shared" si="0"/>
        <v>51.53</v>
      </c>
      <c r="U85" s="5">
        <v>51.4</v>
      </c>
      <c r="V85" s="5">
        <v>0.1</v>
      </c>
      <c r="W85" s="5">
        <v>0.03</v>
      </c>
      <c r="X85" s="56" t="str">
        <f>GHGFY207[[#This Row],[Data Source (scope 1)]]</f>
        <v>National Greenhouse and Energy Reporting (Measurement) Determination 2008 (compiled 1 July 2020). Indirect Factor - NGA workbook (where applicable), published Sept 2020.</v>
      </c>
      <c r="AB85" s="3">
        <f>(S85-GHGFY207[[#This Row],[Scope 1 Emission factor]])/GHGFY207[[#This Row],[Scope 1 Emission factor]]</f>
        <v>0</v>
      </c>
      <c r="AC85" s="3" t="e">
        <f>(T85-GHGFY207[[#This Row],[Scope 2 Emission factor]])/GHGFY207[[#This Row],[Scope 2 Emission factor]]</f>
        <v>#DIV/0!</v>
      </c>
      <c r="AD85" s="3">
        <f>(U85-GHGFY207[[#This Row],[Scope 3 Emission factor]])/GHGFY207[[#This Row],[Scope 3 Emission factor]]</f>
        <v>4.9080459770114953</v>
      </c>
    </row>
    <row r="86" spans="1:30" ht="29.1" hidden="1" customHeight="1">
      <c r="A86" t="s">
        <v>1028</v>
      </c>
      <c r="B86" t="s">
        <v>1296</v>
      </c>
      <c r="C86" t="s">
        <v>4409</v>
      </c>
      <c r="D86" t="s">
        <v>1193</v>
      </c>
      <c r="E86" t="s">
        <v>670</v>
      </c>
      <c r="F86">
        <v>1E-3</v>
      </c>
      <c r="G86" t="s">
        <v>4410</v>
      </c>
      <c r="J86" s="647">
        <v>51.53</v>
      </c>
      <c r="L86">
        <v>10.4</v>
      </c>
      <c r="M86" t="s">
        <v>4411</v>
      </c>
      <c r="N86" t="s">
        <v>4404</v>
      </c>
      <c r="P86" s="1"/>
      <c r="S86" s="64">
        <f t="shared" si="0"/>
        <v>51.53</v>
      </c>
      <c r="U86" s="5">
        <v>51.4</v>
      </c>
      <c r="V86" s="5">
        <v>0.1</v>
      </c>
      <c r="W86" s="5">
        <v>0.03</v>
      </c>
      <c r="X86" s="56" t="str">
        <f>GHGFY207[[#This Row],[Data Source (scope 1)]]</f>
        <v>National Greenhouse and Energy Reporting (Measurement) Determination 2008 (compiled 1 July 2020). Indirect Factor - NGA workbook (where applicable), published Sept 2020.</v>
      </c>
      <c r="AB86" s="3">
        <f>(S86-GHGFY207[[#This Row],[Scope 1 Emission factor]])/GHGFY207[[#This Row],[Scope 1 Emission factor]]</f>
        <v>0</v>
      </c>
      <c r="AC86" s="3" t="e">
        <f>(T86-GHGFY207[[#This Row],[Scope 2 Emission factor]])/GHGFY207[[#This Row],[Scope 2 Emission factor]]</f>
        <v>#DIV/0!</v>
      </c>
      <c r="AD86" s="3">
        <f>(U86-GHGFY207[[#This Row],[Scope 3 Emission factor]])/GHGFY207[[#This Row],[Scope 3 Emission factor]]</f>
        <v>3.9423076923076921</v>
      </c>
    </row>
    <row r="87" spans="1:30" ht="29.1" hidden="1" customHeight="1">
      <c r="A87" t="s">
        <v>4196</v>
      </c>
      <c r="B87" t="s">
        <v>1296</v>
      </c>
      <c r="C87" t="s">
        <v>4409</v>
      </c>
      <c r="D87" t="s">
        <v>1213</v>
      </c>
      <c r="E87" t="s">
        <v>670</v>
      </c>
      <c r="F87">
        <v>1E-3</v>
      </c>
      <c r="G87" t="s">
        <v>4410</v>
      </c>
      <c r="J87" s="647">
        <v>51.53</v>
      </c>
      <c r="L87">
        <v>0</v>
      </c>
      <c r="M87" t="s">
        <v>4411</v>
      </c>
      <c r="N87" t="s">
        <v>4404</v>
      </c>
      <c r="P87" s="1"/>
      <c r="S87" s="64">
        <f t="shared" si="0"/>
        <v>51.53</v>
      </c>
      <c r="U87" s="5">
        <v>51.4</v>
      </c>
      <c r="V87" s="5">
        <v>0.1</v>
      </c>
      <c r="W87" s="5">
        <v>0.03</v>
      </c>
      <c r="X87" s="56" t="str">
        <f>GHGFY207[[#This Row],[Data Source (scope 1)]]</f>
        <v>National Greenhouse and Energy Reporting (Measurement) Determination 2008 (compiled 1 July 2020). Indirect Factor - NGA workbook (where applicable), published Sept 2020.</v>
      </c>
      <c r="AB87" s="3">
        <f>(S87-GHGFY207[[#This Row],[Scope 1 Emission factor]])/GHGFY207[[#This Row],[Scope 1 Emission factor]]</f>
        <v>0</v>
      </c>
      <c r="AC87" s="3" t="e">
        <f>(T87-GHGFY207[[#This Row],[Scope 2 Emission factor]])/GHGFY207[[#This Row],[Scope 2 Emission factor]]</f>
        <v>#DIV/0!</v>
      </c>
      <c r="AD87" s="3" t="e">
        <f>(U87-GHGFY207[[#This Row],[Scope 3 Emission factor]])/GHGFY207[[#This Row],[Scope 3 Emission factor]]</f>
        <v>#DIV/0!</v>
      </c>
    </row>
    <row r="88" spans="1:30" ht="29.1" hidden="1" customHeight="1">
      <c r="A88" t="s">
        <v>1030</v>
      </c>
      <c r="B88" t="s">
        <v>1296</v>
      </c>
      <c r="C88" t="s">
        <v>4409</v>
      </c>
      <c r="D88" t="s">
        <v>1189</v>
      </c>
      <c r="E88" t="s">
        <v>670</v>
      </c>
      <c r="F88">
        <v>1E-3</v>
      </c>
      <c r="G88" t="s">
        <v>4410</v>
      </c>
      <c r="J88" s="647">
        <v>51.53</v>
      </c>
      <c r="L88">
        <v>3.9</v>
      </c>
      <c r="M88" t="s">
        <v>4411</v>
      </c>
      <c r="N88" t="s">
        <v>4404</v>
      </c>
      <c r="P88" s="1"/>
      <c r="S88" s="64">
        <f t="shared" si="0"/>
        <v>51.53</v>
      </c>
      <c r="U88" s="5">
        <v>51.4</v>
      </c>
      <c r="V88" s="5">
        <v>0.1</v>
      </c>
      <c r="W88" s="5">
        <v>0.03</v>
      </c>
      <c r="X88" s="56" t="str">
        <f>GHGFY207[[#This Row],[Data Source (scope 1)]]</f>
        <v>National Greenhouse and Energy Reporting (Measurement) Determination 2008 (compiled 1 July 2020). Indirect Factor - NGA workbook (where applicable), published Sept 2020.</v>
      </c>
      <c r="AB88" s="3">
        <f>(S88-GHGFY207[[#This Row],[Scope 1 Emission factor]])/GHGFY207[[#This Row],[Scope 1 Emission factor]]</f>
        <v>0</v>
      </c>
      <c r="AC88" s="3" t="e">
        <f>(T88-GHGFY207[[#This Row],[Scope 2 Emission factor]])/GHGFY207[[#This Row],[Scope 2 Emission factor]]</f>
        <v>#DIV/0!</v>
      </c>
      <c r="AD88" s="3">
        <f>(U88-GHGFY207[[#This Row],[Scope 3 Emission factor]])/GHGFY207[[#This Row],[Scope 3 Emission factor]]</f>
        <v>12.179487179487181</v>
      </c>
    </row>
    <row r="89" spans="1:30" ht="29.1" hidden="1" customHeight="1">
      <c r="A89" t="s">
        <v>4197</v>
      </c>
      <c r="B89" t="s">
        <v>1296</v>
      </c>
      <c r="C89" t="s">
        <v>4409</v>
      </c>
      <c r="D89" t="s">
        <v>1216</v>
      </c>
      <c r="E89" t="s">
        <v>670</v>
      </c>
      <c r="F89">
        <v>1E-3</v>
      </c>
      <c r="G89" t="s">
        <v>4410</v>
      </c>
      <c r="J89" s="647">
        <v>51.53</v>
      </c>
      <c r="L89">
        <v>4</v>
      </c>
      <c r="M89" t="s">
        <v>4411</v>
      </c>
      <c r="N89" t="s">
        <v>4404</v>
      </c>
      <c r="P89" s="1"/>
      <c r="S89" s="64">
        <f t="shared" si="0"/>
        <v>51.53</v>
      </c>
      <c r="U89" s="5">
        <v>51.4</v>
      </c>
      <c r="V89" s="5">
        <v>0.1</v>
      </c>
      <c r="W89" s="5">
        <v>0.03</v>
      </c>
      <c r="X89" s="56" t="str">
        <f>GHGFY207[[#This Row],[Data Source (scope 1)]]</f>
        <v>National Greenhouse and Energy Reporting (Measurement) Determination 2008 (compiled 1 July 2020). Indirect Factor - NGA workbook (where applicable), published Sept 2020.</v>
      </c>
      <c r="AB89" s="3">
        <f>(S89-GHGFY207[[#This Row],[Scope 1 Emission factor]])/GHGFY207[[#This Row],[Scope 1 Emission factor]]</f>
        <v>0</v>
      </c>
      <c r="AC89" s="3" t="e">
        <f>(T89-GHGFY207[[#This Row],[Scope 2 Emission factor]])/GHGFY207[[#This Row],[Scope 2 Emission factor]]</f>
        <v>#DIV/0!</v>
      </c>
      <c r="AD89" s="3">
        <f>(U89-GHGFY207[[#This Row],[Scope 3 Emission factor]])/GHGFY207[[#This Row],[Scope 3 Emission factor]]</f>
        <v>11.85</v>
      </c>
    </row>
    <row r="90" spans="1:30" ht="29.1" hidden="1" customHeight="1">
      <c r="A90" t="s">
        <v>1057</v>
      </c>
      <c r="B90" t="s">
        <v>1296</v>
      </c>
      <c r="C90" t="s">
        <v>4409</v>
      </c>
      <c r="D90" t="s">
        <v>1189</v>
      </c>
      <c r="E90" t="s">
        <v>670</v>
      </c>
      <c r="F90">
        <v>1E-3</v>
      </c>
      <c r="G90" t="s">
        <v>4410</v>
      </c>
      <c r="J90" s="647">
        <v>51.53</v>
      </c>
      <c r="L90">
        <v>3.9</v>
      </c>
      <c r="M90" t="s">
        <v>4411</v>
      </c>
      <c r="N90" t="s">
        <v>4404</v>
      </c>
      <c r="P90" s="1"/>
      <c r="S90" s="64">
        <f t="shared" si="0"/>
        <v>51.53</v>
      </c>
      <c r="U90" s="5">
        <v>51.4</v>
      </c>
      <c r="V90" s="5">
        <v>0.1</v>
      </c>
      <c r="W90" s="5">
        <v>0.03</v>
      </c>
      <c r="X90" s="56" t="str">
        <f>GHGFY207[[#This Row],[Data Source (scope 1)]]</f>
        <v>National Greenhouse and Energy Reporting (Measurement) Determination 2008 (compiled 1 July 2020). Indirect Factor - NGA workbook (where applicable), published Sept 2020.</v>
      </c>
      <c r="AB90" s="3">
        <f>(S90-GHGFY207[[#This Row],[Scope 1 Emission factor]])/GHGFY207[[#This Row],[Scope 1 Emission factor]]</f>
        <v>0</v>
      </c>
      <c r="AC90" s="3" t="e">
        <f>(T90-GHGFY207[[#This Row],[Scope 2 Emission factor]])/GHGFY207[[#This Row],[Scope 2 Emission factor]]</f>
        <v>#DIV/0!</v>
      </c>
      <c r="AD90" s="3">
        <f>(U90-GHGFY207[[#This Row],[Scope 3 Emission factor]])/GHGFY207[[#This Row],[Scope 3 Emission factor]]</f>
        <v>12.179487179487181</v>
      </c>
    </row>
    <row r="91" spans="1:30" ht="29.1" hidden="1" customHeight="1">
      <c r="A91" t="s">
        <v>1060</v>
      </c>
      <c r="B91" t="s">
        <v>1296</v>
      </c>
      <c r="C91" t="s">
        <v>4409</v>
      </c>
      <c r="D91" t="s">
        <v>1189</v>
      </c>
      <c r="E91" t="s">
        <v>670</v>
      </c>
      <c r="F91">
        <v>1E-3</v>
      </c>
      <c r="G91" t="s">
        <v>4410</v>
      </c>
      <c r="J91" s="647">
        <v>51.53</v>
      </c>
      <c r="L91">
        <v>3.9</v>
      </c>
      <c r="M91" t="s">
        <v>4411</v>
      </c>
      <c r="N91" t="s">
        <v>4404</v>
      </c>
      <c r="P91" s="1"/>
      <c r="S91" s="64">
        <f t="shared" si="0"/>
        <v>51.53</v>
      </c>
      <c r="U91" s="5">
        <v>51.4</v>
      </c>
      <c r="V91" s="5">
        <v>0.1</v>
      </c>
      <c r="W91" s="5">
        <v>0.03</v>
      </c>
      <c r="X91" s="56" t="str">
        <f>GHGFY207[[#This Row],[Data Source (scope 1)]]</f>
        <v>National Greenhouse and Energy Reporting (Measurement) Determination 2008 (compiled 1 July 2020). Indirect Factor - NGA workbook (where applicable), published Sept 2020.</v>
      </c>
      <c r="AB91" s="3">
        <f>(S91-GHGFY207[[#This Row],[Scope 1 Emission factor]])/GHGFY207[[#This Row],[Scope 1 Emission factor]]</f>
        <v>0</v>
      </c>
      <c r="AC91" s="3" t="e">
        <f>(T91-GHGFY207[[#This Row],[Scope 2 Emission factor]])/GHGFY207[[#This Row],[Scope 2 Emission factor]]</f>
        <v>#DIV/0!</v>
      </c>
      <c r="AD91" s="3">
        <f>(U91-GHGFY207[[#This Row],[Scope 3 Emission factor]])/GHGFY207[[#This Row],[Scope 3 Emission factor]]</f>
        <v>12.179487179487181</v>
      </c>
    </row>
    <row r="92" spans="1:30" ht="29.1" hidden="1" customHeight="1">
      <c r="A92" t="s">
        <v>4198</v>
      </c>
      <c r="B92" t="s">
        <v>1296</v>
      </c>
      <c r="C92" t="s">
        <v>4409</v>
      </c>
      <c r="D92" t="s">
        <v>1190</v>
      </c>
      <c r="E92" t="s">
        <v>670</v>
      </c>
      <c r="F92">
        <v>1E-3</v>
      </c>
      <c r="G92" t="s">
        <v>4410</v>
      </c>
      <c r="J92" s="647">
        <v>51.53</v>
      </c>
      <c r="L92">
        <v>12.8</v>
      </c>
      <c r="M92" t="s">
        <v>4411</v>
      </c>
      <c r="N92" t="s">
        <v>4404</v>
      </c>
      <c r="P92" s="1"/>
      <c r="S92" s="64">
        <f t="shared" si="0"/>
        <v>51.53</v>
      </c>
      <c r="U92" s="5">
        <v>51.4</v>
      </c>
      <c r="V92" s="5">
        <v>0.1</v>
      </c>
      <c r="W92" s="5">
        <v>0.03</v>
      </c>
      <c r="X92" s="56" t="str">
        <f>GHGFY207[[#This Row],[Data Source (scope 1)]]</f>
        <v>National Greenhouse and Energy Reporting (Measurement) Determination 2008 (compiled 1 July 2020). Indirect Factor - NGA workbook (where applicable), published Sept 2020.</v>
      </c>
      <c r="AB92" s="3">
        <f>(S92-GHGFY207[[#This Row],[Scope 1 Emission factor]])/GHGFY207[[#This Row],[Scope 1 Emission factor]]</f>
        <v>0</v>
      </c>
      <c r="AC92" s="3" t="e">
        <f>(T92-GHGFY207[[#This Row],[Scope 2 Emission factor]])/GHGFY207[[#This Row],[Scope 2 Emission factor]]</f>
        <v>#DIV/0!</v>
      </c>
      <c r="AD92" s="3">
        <f>(U92-GHGFY207[[#This Row],[Scope 3 Emission factor]])/GHGFY207[[#This Row],[Scope 3 Emission factor]]</f>
        <v>3.0156249999999996</v>
      </c>
    </row>
    <row r="93" spans="1:30" ht="29.1" hidden="1" customHeight="1">
      <c r="A93" t="s">
        <v>1191</v>
      </c>
      <c r="B93" t="s">
        <v>1296</v>
      </c>
      <c r="C93" t="s">
        <v>4409</v>
      </c>
      <c r="D93" t="s">
        <v>1192</v>
      </c>
      <c r="E93" t="s">
        <v>670</v>
      </c>
      <c r="F93">
        <v>1E-3</v>
      </c>
      <c r="G93" t="s">
        <v>4410</v>
      </c>
      <c r="J93" s="647">
        <v>51.53</v>
      </c>
      <c r="L93">
        <v>12.8</v>
      </c>
      <c r="M93" t="s">
        <v>4411</v>
      </c>
      <c r="N93" t="s">
        <v>4404</v>
      </c>
      <c r="P93" s="1"/>
      <c r="S93" s="64">
        <f t="shared" si="0"/>
        <v>51.53</v>
      </c>
      <c r="U93" s="5">
        <v>51.4</v>
      </c>
      <c r="V93" s="5">
        <v>0.1</v>
      </c>
      <c r="W93" s="5">
        <v>0.03</v>
      </c>
      <c r="X93" s="56" t="str">
        <f>GHGFY207[[#This Row],[Data Source (scope 1)]]</f>
        <v>National Greenhouse and Energy Reporting (Measurement) Determination 2008 (compiled 1 July 2020). Indirect Factor - NGA workbook (where applicable), published Sept 2020.</v>
      </c>
      <c r="AB93" s="3">
        <f>(S93-GHGFY207[[#This Row],[Scope 1 Emission factor]])/GHGFY207[[#This Row],[Scope 1 Emission factor]]</f>
        <v>0</v>
      </c>
      <c r="AC93" s="3" t="e">
        <f>(T93-GHGFY207[[#This Row],[Scope 2 Emission factor]])/GHGFY207[[#This Row],[Scope 2 Emission factor]]</f>
        <v>#DIV/0!</v>
      </c>
      <c r="AD93" s="3">
        <f>(U93-GHGFY207[[#This Row],[Scope 3 Emission factor]])/GHGFY207[[#This Row],[Scope 3 Emission factor]]</f>
        <v>3.0156249999999996</v>
      </c>
    </row>
    <row r="94" spans="1:30" ht="29.1" hidden="1" customHeight="1">
      <c r="A94" t="s">
        <v>4199</v>
      </c>
      <c r="B94" t="s">
        <v>1296</v>
      </c>
      <c r="C94" t="s">
        <v>4409</v>
      </c>
      <c r="D94" t="s">
        <v>1210</v>
      </c>
      <c r="E94" t="s">
        <v>670</v>
      </c>
      <c r="F94">
        <v>1E-3</v>
      </c>
      <c r="G94" t="s">
        <v>4410</v>
      </c>
      <c r="J94" s="647">
        <v>51.53</v>
      </c>
      <c r="L94">
        <v>8.6999999999999993</v>
      </c>
      <c r="M94" t="s">
        <v>4411</v>
      </c>
      <c r="N94" t="s">
        <v>4404</v>
      </c>
      <c r="P94" s="1"/>
      <c r="S94" s="64">
        <f t="shared" si="0"/>
        <v>51.53</v>
      </c>
      <c r="U94" s="5">
        <v>51.4</v>
      </c>
      <c r="V94" s="5">
        <v>0.1</v>
      </c>
      <c r="W94" s="5">
        <v>0.03</v>
      </c>
      <c r="X94" s="56" t="str">
        <f>GHGFY207[[#This Row],[Data Source (scope 1)]]</f>
        <v>National Greenhouse and Energy Reporting (Measurement) Determination 2008 (compiled 1 July 2020). Indirect Factor - NGA workbook (where applicable), published Sept 2020.</v>
      </c>
      <c r="AB94" s="3">
        <f>(S94-GHGFY207[[#This Row],[Scope 1 Emission factor]])/GHGFY207[[#This Row],[Scope 1 Emission factor]]</f>
        <v>0</v>
      </c>
      <c r="AC94" s="3" t="e">
        <f>(T94-GHGFY207[[#This Row],[Scope 2 Emission factor]])/GHGFY207[[#This Row],[Scope 2 Emission factor]]</f>
        <v>#DIV/0!</v>
      </c>
      <c r="AD94" s="3">
        <f>(U94-GHGFY207[[#This Row],[Scope 3 Emission factor]])/GHGFY207[[#This Row],[Scope 3 Emission factor]]</f>
        <v>4.9080459770114953</v>
      </c>
    </row>
    <row r="95" spans="1:30" ht="29.1" hidden="1" customHeight="1">
      <c r="A95" t="s">
        <v>4200</v>
      </c>
      <c r="B95" t="s">
        <v>1296</v>
      </c>
      <c r="C95" t="s">
        <v>4409</v>
      </c>
      <c r="D95" t="s">
        <v>1193</v>
      </c>
      <c r="E95" t="s">
        <v>670</v>
      </c>
      <c r="F95">
        <v>1E-3</v>
      </c>
      <c r="G95" t="s">
        <v>4410</v>
      </c>
      <c r="J95" s="647">
        <v>51.53</v>
      </c>
      <c r="L95">
        <v>10.4</v>
      </c>
      <c r="M95" t="s">
        <v>4411</v>
      </c>
      <c r="N95" t="s">
        <v>4404</v>
      </c>
      <c r="P95" s="1"/>
      <c r="S95" s="64">
        <f t="shared" si="0"/>
        <v>51.53</v>
      </c>
      <c r="U95" s="5">
        <v>51.4</v>
      </c>
      <c r="V95" s="5">
        <v>0.1</v>
      </c>
      <c r="W95" s="5">
        <v>0.03</v>
      </c>
      <c r="X95" s="56" t="str">
        <f>GHGFY207[[#This Row],[Data Source (scope 1)]]</f>
        <v>National Greenhouse and Energy Reporting (Measurement) Determination 2008 (compiled 1 July 2020). Indirect Factor - NGA workbook (where applicable), published Sept 2020.</v>
      </c>
      <c r="AB95" s="3">
        <f>(S95-GHGFY207[[#This Row],[Scope 1 Emission factor]])/GHGFY207[[#This Row],[Scope 1 Emission factor]]</f>
        <v>0</v>
      </c>
      <c r="AC95" s="3" t="e">
        <f>(T95-GHGFY207[[#This Row],[Scope 2 Emission factor]])/GHGFY207[[#This Row],[Scope 2 Emission factor]]</f>
        <v>#DIV/0!</v>
      </c>
      <c r="AD95" s="3">
        <f>(U95-GHGFY207[[#This Row],[Scope 3 Emission factor]])/GHGFY207[[#This Row],[Scope 3 Emission factor]]</f>
        <v>3.9423076923076921</v>
      </c>
    </row>
    <row r="96" spans="1:30" ht="29.1" hidden="1" customHeight="1">
      <c r="A96" t="s">
        <v>4201</v>
      </c>
      <c r="B96" t="s">
        <v>1296</v>
      </c>
      <c r="C96" t="s">
        <v>4409</v>
      </c>
      <c r="D96" t="s">
        <v>1213</v>
      </c>
      <c r="E96" t="s">
        <v>670</v>
      </c>
      <c r="F96">
        <v>1E-3</v>
      </c>
      <c r="G96" t="s">
        <v>4410</v>
      </c>
      <c r="J96" s="647">
        <v>51.53</v>
      </c>
      <c r="L96">
        <v>0</v>
      </c>
      <c r="M96" t="s">
        <v>4411</v>
      </c>
      <c r="N96" t="s">
        <v>4404</v>
      </c>
      <c r="P96" s="1"/>
      <c r="S96" s="64">
        <f t="shared" si="0"/>
        <v>51.53</v>
      </c>
      <c r="U96" s="5">
        <v>51.4</v>
      </c>
      <c r="V96" s="5">
        <v>0.1</v>
      </c>
      <c r="W96" s="5">
        <v>0.03</v>
      </c>
      <c r="X96" s="56" t="str">
        <f>GHGFY207[[#This Row],[Data Source (scope 1)]]</f>
        <v>National Greenhouse and Energy Reporting (Measurement) Determination 2008 (compiled 1 July 2020). Indirect Factor - NGA workbook (where applicable), published Sept 2020.</v>
      </c>
      <c r="AB96" s="3">
        <f>(S96-GHGFY207[[#This Row],[Scope 1 Emission factor]])/GHGFY207[[#This Row],[Scope 1 Emission factor]]</f>
        <v>0</v>
      </c>
      <c r="AC96" s="3" t="e">
        <f>(T96-GHGFY207[[#This Row],[Scope 2 Emission factor]])/GHGFY207[[#This Row],[Scope 2 Emission factor]]</f>
        <v>#DIV/0!</v>
      </c>
      <c r="AD96" s="3" t="e">
        <f>(U96-GHGFY207[[#This Row],[Scope 3 Emission factor]])/GHGFY207[[#This Row],[Scope 3 Emission factor]]</f>
        <v>#DIV/0!</v>
      </c>
    </row>
    <row r="97" spans="1:30" ht="29.1" hidden="1" customHeight="1">
      <c r="A97" t="s">
        <v>1059</v>
      </c>
      <c r="B97" t="s">
        <v>1296</v>
      </c>
      <c r="C97" t="s">
        <v>4409</v>
      </c>
      <c r="D97" t="s">
        <v>1189</v>
      </c>
      <c r="E97" t="s">
        <v>670</v>
      </c>
      <c r="F97">
        <v>1E-3</v>
      </c>
      <c r="G97" t="s">
        <v>4410</v>
      </c>
      <c r="J97" s="647">
        <v>51.53</v>
      </c>
      <c r="L97">
        <v>3.9</v>
      </c>
      <c r="M97" t="s">
        <v>4411</v>
      </c>
      <c r="N97" t="s">
        <v>4404</v>
      </c>
      <c r="P97" s="1"/>
      <c r="S97" s="64">
        <f t="shared" si="0"/>
        <v>51.53</v>
      </c>
      <c r="U97" s="5">
        <v>51.4</v>
      </c>
      <c r="V97" s="5">
        <v>0.1</v>
      </c>
      <c r="W97" s="5">
        <v>0.03</v>
      </c>
      <c r="X97" s="56" t="str">
        <f>GHGFY207[[#This Row],[Data Source (scope 1)]]</f>
        <v>National Greenhouse and Energy Reporting (Measurement) Determination 2008 (compiled 1 July 2020). Indirect Factor - NGA workbook (where applicable), published Sept 2020.</v>
      </c>
      <c r="AB97" s="3">
        <f>(S97-GHGFY207[[#This Row],[Scope 1 Emission factor]])/GHGFY207[[#This Row],[Scope 1 Emission factor]]</f>
        <v>0</v>
      </c>
      <c r="AC97" s="3" t="e">
        <f>(T97-GHGFY207[[#This Row],[Scope 2 Emission factor]])/GHGFY207[[#This Row],[Scope 2 Emission factor]]</f>
        <v>#DIV/0!</v>
      </c>
      <c r="AD97" s="3">
        <f>(U97-GHGFY207[[#This Row],[Scope 3 Emission factor]])/GHGFY207[[#This Row],[Scope 3 Emission factor]]</f>
        <v>12.179487179487181</v>
      </c>
    </row>
    <row r="98" spans="1:30" ht="29.1" hidden="1" customHeight="1">
      <c r="A98" t="s">
        <v>4202</v>
      </c>
      <c r="B98" t="s">
        <v>1296</v>
      </c>
      <c r="C98" t="s">
        <v>4409</v>
      </c>
      <c r="D98" t="s">
        <v>1216</v>
      </c>
      <c r="E98" t="s">
        <v>670</v>
      </c>
      <c r="F98">
        <v>1E-3</v>
      </c>
      <c r="G98" t="s">
        <v>4410</v>
      </c>
      <c r="J98" s="647">
        <v>51.53</v>
      </c>
      <c r="L98">
        <v>4</v>
      </c>
      <c r="M98" t="s">
        <v>4411</v>
      </c>
      <c r="N98" t="s">
        <v>4404</v>
      </c>
      <c r="P98" s="1"/>
      <c r="S98" s="64">
        <f t="shared" si="0"/>
        <v>51.53</v>
      </c>
      <c r="U98" s="5">
        <v>51.4</v>
      </c>
      <c r="V98" s="5">
        <v>0.1</v>
      </c>
      <c r="W98" s="5">
        <v>0.03</v>
      </c>
      <c r="X98" s="56" t="str">
        <f>GHGFY207[[#This Row],[Data Source (scope 1)]]</f>
        <v>National Greenhouse and Energy Reporting (Measurement) Determination 2008 (compiled 1 July 2020). Indirect Factor - NGA workbook (where applicable), published Sept 2020.</v>
      </c>
      <c r="AB98" s="3">
        <f>(S98-GHGFY207[[#This Row],[Scope 1 Emission factor]])/GHGFY207[[#This Row],[Scope 1 Emission factor]]</f>
        <v>0</v>
      </c>
      <c r="AC98" s="3" t="e">
        <f>(T98-GHGFY207[[#This Row],[Scope 2 Emission factor]])/GHGFY207[[#This Row],[Scope 2 Emission factor]]</f>
        <v>#DIV/0!</v>
      </c>
      <c r="AD98" s="3">
        <f>(U98-GHGFY207[[#This Row],[Scope 3 Emission factor]])/GHGFY207[[#This Row],[Scope 3 Emission factor]]</f>
        <v>11.85</v>
      </c>
    </row>
    <row r="99" spans="1:30" ht="29.1" hidden="1" customHeight="1">
      <c r="A99" t="s">
        <v>4203</v>
      </c>
      <c r="B99" t="s">
        <v>1296</v>
      </c>
      <c r="C99" t="s">
        <v>4409</v>
      </c>
      <c r="D99" t="s">
        <v>1190</v>
      </c>
      <c r="E99" t="s">
        <v>670</v>
      </c>
      <c r="F99">
        <v>1E-3</v>
      </c>
      <c r="G99" t="s">
        <v>4410</v>
      </c>
      <c r="J99" s="647">
        <v>51.53</v>
      </c>
      <c r="L99">
        <v>12.8</v>
      </c>
      <c r="M99" t="s">
        <v>4411</v>
      </c>
      <c r="N99" t="s">
        <v>4404</v>
      </c>
      <c r="P99" s="1"/>
      <c r="S99" s="64">
        <f t="shared" si="0"/>
        <v>51.53</v>
      </c>
      <c r="U99" s="5">
        <v>51.4</v>
      </c>
      <c r="V99" s="5">
        <v>0.1</v>
      </c>
      <c r="W99" s="5">
        <v>0.03</v>
      </c>
      <c r="X99" s="56" t="str">
        <f>GHGFY207[[#This Row],[Data Source (scope 1)]]</f>
        <v>National Greenhouse and Energy Reporting (Measurement) Determination 2008 (compiled 1 July 2020). Indirect Factor - NGA workbook (where applicable), published Sept 2020.</v>
      </c>
      <c r="AB99" s="3">
        <f>(S99-GHGFY207[[#This Row],[Scope 1 Emission factor]])/GHGFY207[[#This Row],[Scope 1 Emission factor]]</f>
        <v>0</v>
      </c>
      <c r="AC99" s="3" t="e">
        <f>(T99-GHGFY207[[#This Row],[Scope 2 Emission factor]])/GHGFY207[[#This Row],[Scope 2 Emission factor]]</f>
        <v>#DIV/0!</v>
      </c>
      <c r="AD99" s="3">
        <f>(U99-GHGFY207[[#This Row],[Scope 3 Emission factor]])/GHGFY207[[#This Row],[Scope 3 Emission factor]]</f>
        <v>3.0156249999999996</v>
      </c>
    </row>
    <row r="100" spans="1:30" ht="29.1" hidden="1" customHeight="1">
      <c r="A100" t="s">
        <v>1194</v>
      </c>
      <c r="B100" t="s">
        <v>1296</v>
      </c>
      <c r="C100" t="s">
        <v>4409</v>
      </c>
      <c r="D100" t="s">
        <v>1192</v>
      </c>
      <c r="E100" t="s">
        <v>670</v>
      </c>
      <c r="F100">
        <v>1E-3</v>
      </c>
      <c r="G100" t="s">
        <v>4410</v>
      </c>
      <c r="J100" s="647">
        <v>51.53</v>
      </c>
      <c r="L100">
        <v>12.8</v>
      </c>
      <c r="M100" t="s">
        <v>4411</v>
      </c>
      <c r="N100" t="s">
        <v>4404</v>
      </c>
      <c r="P100" s="1"/>
      <c r="S100" s="64">
        <f t="shared" si="0"/>
        <v>51.53</v>
      </c>
      <c r="U100" s="5">
        <v>51.4</v>
      </c>
      <c r="V100" s="5">
        <v>0.1</v>
      </c>
      <c r="W100" s="5">
        <v>0.03</v>
      </c>
      <c r="X100" s="56" t="str">
        <f>GHGFY207[[#This Row],[Data Source (scope 1)]]</f>
        <v>National Greenhouse and Energy Reporting (Measurement) Determination 2008 (compiled 1 July 2020). Indirect Factor - NGA workbook (where applicable), published Sept 2020.</v>
      </c>
      <c r="AB100" s="3">
        <f>(S100-GHGFY207[[#This Row],[Scope 1 Emission factor]])/GHGFY207[[#This Row],[Scope 1 Emission factor]]</f>
        <v>0</v>
      </c>
      <c r="AC100" s="3" t="e">
        <f>(T100-GHGFY207[[#This Row],[Scope 2 Emission factor]])/GHGFY207[[#This Row],[Scope 2 Emission factor]]</f>
        <v>#DIV/0!</v>
      </c>
      <c r="AD100" s="3">
        <f>(U100-GHGFY207[[#This Row],[Scope 3 Emission factor]])/GHGFY207[[#This Row],[Scope 3 Emission factor]]</f>
        <v>3.0156249999999996</v>
      </c>
    </row>
    <row r="101" spans="1:30" ht="29.1" hidden="1" customHeight="1">
      <c r="A101" t="s">
        <v>4204</v>
      </c>
      <c r="B101" t="s">
        <v>1296</v>
      </c>
      <c r="C101" t="s">
        <v>4409</v>
      </c>
      <c r="D101" t="s">
        <v>1210</v>
      </c>
      <c r="E101" t="s">
        <v>670</v>
      </c>
      <c r="F101">
        <v>1E-3</v>
      </c>
      <c r="G101" t="s">
        <v>4410</v>
      </c>
      <c r="J101" s="647">
        <v>51.53</v>
      </c>
      <c r="L101">
        <v>8.6999999999999993</v>
      </c>
      <c r="M101" t="s">
        <v>4411</v>
      </c>
      <c r="N101" t="s">
        <v>4404</v>
      </c>
      <c r="P101" s="1"/>
      <c r="S101" s="64">
        <f t="shared" si="0"/>
        <v>51.53</v>
      </c>
      <c r="U101" s="5">
        <v>51.4</v>
      </c>
      <c r="V101" s="5">
        <v>0.1</v>
      </c>
      <c r="W101" s="5">
        <v>0.03</v>
      </c>
      <c r="X101" s="56" t="str">
        <f>GHGFY207[[#This Row],[Data Source (scope 1)]]</f>
        <v>National Greenhouse and Energy Reporting (Measurement) Determination 2008 (compiled 1 July 2020). Indirect Factor - NGA workbook (where applicable), published Sept 2020.</v>
      </c>
      <c r="AB101" s="3">
        <f>(S101-GHGFY207[[#This Row],[Scope 1 Emission factor]])/GHGFY207[[#This Row],[Scope 1 Emission factor]]</f>
        <v>0</v>
      </c>
      <c r="AC101" s="3" t="e">
        <f>(T101-GHGFY207[[#This Row],[Scope 2 Emission factor]])/GHGFY207[[#This Row],[Scope 2 Emission factor]]</f>
        <v>#DIV/0!</v>
      </c>
      <c r="AD101" s="3">
        <f>(U101-GHGFY207[[#This Row],[Scope 3 Emission factor]])/GHGFY207[[#This Row],[Scope 3 Emission factor]]</f>
        <v>4.9080459770114953</v>
      </c>
    </row>
    <row r="102" spans="1:30" ht="29.1" hidden="1" customHeight="1">
      <c r="A102" t="s">
        <v>4205</v>
      </c>
      <c r="B102" t="s">
        <v>1296</v>
      </c>
      <c r="C102" t="s">
        <v>4409</v>
      </c>
      <c r="D102" t="s">
        <v>1193</v>
      </c>
      <c r="E102" t="s">
        <v>670</v>
      </c>
      <c r="F102">
        <v>1E-3</v>
      </c>
      <c r="G102" t="s">
        <v>4410</v>
      </c>
      <c r="J102" s="647">
        <v>51.53</v>
      </c>
      <c r="L102">
        <v>10.4</v>
      </c>
      <c r="M102" t="s">
        <v>4411</v>
      </c>
      <c r="N102" t="s">
        <v>4404</v>
      </c>
      <c r="P102" s="1"/>
      <c r="S102" s="64">
        <f t="shared" si="0"/>
        <v>51.53</v>
      </c>
      <c r="U102" s="5">
        <v>51.4</v>
      </c>
      <c r="V102" s="5">
        <v>0.1</v>
      </c>
      <c r="W102" s="5">
        <v>0.03</v>
      </c>
      <c r="X102" s="56" t="str">
        <f>GHGFY207[[#This Row],[Data Source (scope 1)]]</f>
        <v>National Greenhouse and Energy Reporting (Measurement) Determination 2008 (compiled 1 July 2020). Indirect Factor - NGA workbook (where applicable), published Sept 2020.</v>
      </c>
      <c r="AB102" s="3">
        <f>(S102-GHGFY207[[#This Row],[Scope 1 Emission factor]])/GHGFY207[[#This Row],[Scope 1 Emission factor]]</f>
        <v>0</v>
      </c>
      <c r="AC102" s="3" t="e">
        <f>(T102-GHGFY207[[#This Row],[Scope 2 Emission factor]])/GHGFY207[[#This Row],[Scope 2 Emission factor]]</f>
        <v>#DIV/0!</v>
      </c>
      <c r="AD102" s="3">
        <f>(U102-GHGFY207[[#This Row],[Scope 3 Emission factor]])/GHGFY207[[#This Row],[Scope 3 Emission factor]]</f>
        <v>3.9423076923076921</v>
      </c>
    </row>
    <row r="103" spans="1:30" ht="29.1" hidden="1" customHeight="1">
      <c r="A103" t="s">
        <v>4206</v>
      </c>
      <c r="B103" t="s">
        <v>1296</v>
      </c>
      <c r="C103" t="s">
        <v>4409</v>
      </c>
      <c r="D103" t="s">
        <v>1213</v>
      </c>
      <c r="E103" t="s">
        <v>670</v>
      </c>
      <c r="F103">
        <v>1E-3</v>
      </c>
      <c r="G103" t="s">
        <v>4410</v>
      </c>
      <c r="J103" s="647">
        <v>51.53</v>
      </c>
      <c r="L103">
        <v>0</v>
      </c>
      <c r="M103" t="s">
        <v>4411</v>
      </c>
      <c r="N103" t="s">
        <v>4404</v>
      </c>
      <c r="P103" s="1"/>
      <c r="S103" s="64">
        <f t="shared" si="0"/>
        <v>51.53</v>
      </c>
      <c r="U103" s="5">
        <v>51.4</v>
      </c>
      <c r="V103" s="5">
        <v>0.1</v>
      </c>
      <c r="W103" s="5">
        <v>0.03</v>
      </c>
      <c r="X103" s="56" t="str">
        <f>GHGFY207[[#This Row],[Data Source (scope 1)]]</f>
        <v>National Greenhouse and Energy Reporting (Measurement) Determination 2008 (compiled 1 July 2020). Indirect Factor - NGA workbook (where applicable), published Sept 2020.</v>
      </c>
      <c r="AB103" s="3">
        <f>(S103-GHGFY207[[#This Row],[Scope 1 Emission factor]])/GHGFY207[[#This Row],[Scope 1 Emission factor]]</f>
        <v>0</v>
      </c>
      <c r="AC103" s="3" t="e">
        <f>(T103-GHGFY207[[#This Row],[Scope 2 Emission factor]])/GHGFY207[[#This Row],[Scope 2 Emission factor]]</f>
        <v>#DIV/0!</v>
      </c>
      <c r="AD103" s="3" t="e">
        <f>(U103-GHGFY207[[#This Row],[Scope 3 Emission factor]])/GHGFY207[[#This Row],[Scope 3 Emission factor]]</f>
        <v>#DIV/0!</v>
      </c>
    </row>
    <row r="104" spans="1:30" ht="29.1" hidden="1" customHeight="1">
      <c r="A104" t="s">
        <v>1062</v>
      </c>
      <c r="B104" t="s">
        <v>1296</v>
      </c>
      <c r="C104" t="s">
        <v>4409</v>
      </c>
      <c r="D104" t="s">
        <v>1189</v>
      </c>
      <c r="E104" t="s">
        <v>670</v>
      </c>
      <c r="F104">
        <v>1E-3</v>
      </c>
      <c r="G104" t="s">
        <v>4410</v>
      </c>
      <c r="J104" s="647">
        <v>51.53</v>
      </c>
      <c r="L104">
        <v>3.9</v>
      </c>
      <c r="M104" t="s">
        <v>4411</v>
      </c>
      <c r="N104" t="s">
        <v>4404</v>
      </c>
      <c r="S104" s="64">
        <f t="shared" si="0"/>
        <v>51.53</v>
      </c>
      <c r="U104" s="5">
        <v>51.4</v>
      </c>
      <c r="V104" s="5">
        <v>0.1</v>
      </c>
      <c r="W104" s="5">
        <v>0.03</v>
      </c>
      <c r="X104" s="56" t="str">
        <f>GHGFY207[[#This Row],[Data Source (scope 1)]]</f>
        <v>National Greenhouse and Energy Reporting (Measurement) Determination 2008 (compiled 1 July 2020). Indirect Factor - NGA workbook (where applicable), published Sept 2020.</v>
      </c>
      <c r="AB104" s="3">
        <f>(S104-GHGFY207[[#This Row],[Scope 1 Emission factor]])/GHGFY207[[#This Row],[Scope 1 Emission factor]]</f>
        <v>0</v>
      </c>
      <c r="AC104" s="3" t="e">
        <f>(T104-GHGFY207[[#This Row],[Scope 2 Emission factor]])/GHGFY207[[#This Row],[Scope 2 Emission factor]]</f>
        <v>#DIV/0!</v>
      </c>
      <c r="AD104" s="3">
        <f>(U104-GHGFY207[[#This Row],[Scope 3 Emission factor]])/GHGFY207[[#This Row],[Scope 3 Emission factor]]</f>
        <v>12.179487179487181</v>
      </c>
    </row>
    <row r="105" spans="1:30" ht="29.1" hidden="1" customHeight="1">
      <c r="A105" t="s">
        <v>4207</v>
      </c>
      <c r="B105" t="s">
        <v>1296</v>
      </c>
      <c r="C105" t="s">
        <v>4409</v>
      </c>
      <c r="D105" t="s">
        <v>1216</v>
      </c>
      <c r="E105" t="s">
        <v>670</v>
      </c>
      <c r="F105">
        <v>1E-3</v>
      </c>
      <c r="G105" t="s">
        <v>4410</v>
      </c>
      <c r="J105" s="647">
        <v>51.53</v>
      </c>
      <c r="L105">
        <v>4</v>
      </c>
      <c r="M105" t="s">
        <v>4411</v>
      </c>
      <c r="N105" t="s">
        <v>4404</v>
      </c>
      <c r="S105" s="64">
        <f t="shared" si="0"/>
        <v>51.53</v>
      </c>
      <c r="U105" s="5">
        <v>51.4</v>
      </c>
      <c r="V105" s="5">
        <v>0.1</v>
      </c>
      <c r="W105" s="5">
        <v>0.03</v>
      </c>
      <c r="X105" s="56" t="str">
        <f>GHGFY207[[#This Row],[Data Source (scope 1)]]</f>
        <v>National Greenhouse and Energy Reporting (Measurement) Determination 2008 (compiled 1 July 2020). Indirect Factor - NGA workbook (where applicable), published Sept 2020.</v>
      </c>
      <c r="AB105" s="3">
        <f>(S105-GHGFY207[[#This Row],[Scope 1 Emission factor]])/GHGFY207[[#This Row],[Scope 1 Emission factor]]</f>
        <v>0</v>
      </c>
      <c r="AC105" s="3" t="e">
        <f>(T105-GHGFY207[[#This Row],[Scope 2 Emission factor]])/GHGFY207[[#This Row],[Scope 2 Emission factor]]</f>
        <v>#DIV/0!</v>
      </c>
      <c r="AD105" s="3">
        <f>(U105-GHGFY207[[#This Row],[Scope 3 Emission factor]])/GHGFY207[[#This Row],[Scope 3 Emission factor]]</f>
        <v>11.85</v>
      </c>
    </row>
    <row r="106" spans="1:30" ht="29.1" hidden="1" customHeight="1">
      <c r="A106" t="s">
        <v>1058</v>
      </c>
      <c r="B106" t="s">
        <v>1296</v>
      </c>
      <c r="C106" t="s">
        <v>4409</v>
      </c>
      <c r="D106" t="s">
        <v>1190</v>
      </c>
      <c r="E106" t="s">
        <v>670</v>
      </c>
      <c r="F106">
        <v>1E-3</v>
      </c>
      <c r="G106" t="s">
        <v>4410</v>
      </c>
      <c r="J106" s="647">
        <v>51.53</v>
      </c>
      <c r="L106">
        <v>12.8</v>
      </c>
      <c r="M106" t="s">
        <v>4411</v>
      </c>
      <c r="N106" t="s">
        <v>4404</v>
      </c>
      <c r="S106" s="64">
        <f t="shared" si="0"/>
        <v>51.53</v>
      </c>
      <c r="U106" s="5">
        <v>51.4</v>
      </c>
      <c r="V106" s="5">
        <v>0.1</v>
      </c>
      <c r="W106" s="5">
        <v>0.03</v>
      </c>
      <c r="X106" s="56" t="str">
        <f>GHGFY207[[#This Row],[Data Source (scope 1)]]</f>
        <v>National Greenhouse and Energy Reporting (Measurement) Determination 2008 (compiled 1 July 2020). Indirect Factor - NGA workbook (where applicable), published Sept 2020.</v>
      </c>
      <c r="AB106" s="3">
        <f>(S106-GHGFY207[[#This Row],[Scope 1 Emission factor]])/GHGFY207[[#This Row],[Scope 1 Emission factor]]</f>
        <v>0</v>
      </c>
      <c r="AC106" s="3" t="e">
        <f>(T106-GHGFY207[[#This Row],[Scope 2 Emission factor]])/GHGFY207[[#This Row],[Scope 2 Emission factor]]</f>
        <v>#DIV/0!</v>
      </c>
      <c r="AD106" s="3">
        <f>(U106-GHGFY207[[#This Row],[Scope 3 Emission factor]])/GHGFY207[[#This Row],[Scope 3 Emission factor]]</f>
        <v>3.0156249999999996</v>
      </c>
    </row>
    <row r="107" spans="1:30" ht="29.1" hidden="1" customHeight="1">
      <c r="A107" t="s">
        <v>1061</v>
      </c>
      <c r="B107" t="s">
        <v>1296</v>
      </c>
      <c r="C107" t="s">
        <v>4409</v>
      </c>
      <c r="D107" t="s">
        <v>1190</v>
      </c>
      <c r="E107" t="s">
        <v>670</v>
      </c>
      <c r="F107">
        <v>1E-3</v>
      </c>
      <c r="G107" t="s">
        <v>4410</v>
      </c>
      <c r="J107" s="647">
        <v>51.53</v>
      </c>
      <c r="L107">
        <v>12.8</v>
      </c>
      <c r="M107" t="s">
        <v>4411</v>
      </c>
      <c r="N107" t="s">
        <v>4404</v>
      </c>
      <c r="S107" s="64">
        <f t="shared" si="0"/>
        <v>51.53</v>
      </c>
      <c r="U107" s="5">
        <v>51.4</v>
      </c>
      <c r="V107" s="5">
        <v>0.1</v>
      </c>
      <c r="W107" s="5">
        <v>0.03</v>
      </c>
      <c r="X107" s="56" t="str">
        <f>GHGFY207[[#This Row],[Data Source (scope 1)]]</f>
        <v>National Greenhouse and Energy Reporting (Measurement) Determination 2008 (compiled 1 July 2020). Indirect Factor - NGA workbook (where applicable), published Sept 2020.</v>
      </c>
      <c r="AB107" s="3">
        <f>(S107-GHGFY207[[#This Row],[Scope 1 Emission factor]])/GHGFY207[[#This Row],[Scope 1 Emission factor]]</f>
        <v>0</v>
      </c>
      <c r="AC107" s="3" t="e">
        <f>(T107-GHGFY207[[#This Row],[Scope 2 Emission factor]])/GHGFY207[[#This Row],[Scope 2 Emission factor]]</f>
        <v>#DIV/0!</v>
      </c>
      <c r="AD107" s="3">
        <f>(U107-GHGFY207[[#This Row],[Scope 3 Emission factor]])/GHGFY207[[#This Row],[Scope 3 Emission factor]]</f>
        <v>3.0156249999999996</v>
      </c>
    </row>
    <row r="108" spans="1:30" ht="29.1" hidden="1" customHeight="1">
      <c r="A108" t="s">
        <v>892</v>
      </c>
      <c r="B108" t="s">
        <v>1227</v>
      </c>
      <c r="C108" t="s">
        <v>4412</v>
      </c>
      <c r="D108" t="s">
        <v>1190</v>
      </c>
      <c r="E108" t="s">
        <v>673</v>
      </c>
      <c r="F108">
        <v>1E-3</v>
      </c>
      <c r="G108" t="s">
        <v>4413</v>
      </c>
      <c r="H108">
        <v>38.6</v>
      </c>
      <c r="I108" t="s">
        <v>1140</v>
      </c>
      <c r="J108" s="647">
        <v>70.2</v>
      </c>
      <c r="L108">
        <v>3.6</v>
      </c>
      <c r="M108" t="s">
        <v>4414</v>
      </c>
      <c r="N108" t="s">
        <v>4415</v>
      </c>
      <c r="P108" t="s">
        <v>4416</v>
      </c>
      <c r="R108" t="s">
        <v>4417</v>
      </c>
      <c r="S108" s="64">
        <f t="shared" si="0"/>
        <v>70.2</v>
      </c>
      <c r="U108" s="5">
        <v>69.900000000000006</v>
      </c>
      <c r="V108" s="5">
        <v>0.1</v>
      </c>
      <c r="W108" s="5">
        <v>0.2</v>
      </c>
      <c r="X108" s="56" t="str">
        <f>GHGFY207[[#This Row],[Data Source (scope 1)]]</f>
        <v>NGER (Measurement) Determination 2008 2019versions pg 318 - Part 3 Fuel combustion - 40</v>
      </c>
      <c r="Y108" s="65" t="s">
        <v>4416</v>
      </c>
      <c r="AB108" s="3">
        <f>(S108-GHGFY207[[#This Row],[Scope 1 Emission factor]])/GHGFY207[[#This Row],[Scope 1 Emission factor]]</f>
        <v>0</v>
      </c>
      <c r="AC108" s="3" t="e">
        <f>(T108-GHGFY207[[#This Row],[Scope 2 Emission factor]])/GHGFY207[[#This Row],[Scope 2 Emission factor]]</f>
        <v>#DIV/0!</v>
      </c>
      <c r="AD108" s="3">
        <f>(U108-GHGFY207[[#This Row],[Scope 3 Emission factor]])/GHGFY207[[#This Row],[Scope 3 Emission factor]]</f>
        <v>18.416666666666668</v>
      </c>
    </row>
    <row r="109" spans="1:30" ht="29.1" hidden="1" customHeight="1">
      <c r="A109" t="s">
        <v>893</v>
      </c>
      <c r="B109" t="s">
        <v>1227</v>
      </c>
      <c r="C109" t="s">
        <v>4412</v>
      </c>
      <c r="D109" t="s">
        <v>1192</v>
      </c>
      <c r="E109" t="s">
        <v>673</v>
      </c>
      <c r="F109">
        <v>1E-3</v>
      </c>
      <c r="G109" t="s">
        <v>4413</v>
      </c>
      <c r="H109">
        <v>38.6</v>
      </c>
      <c r="I109" t="s">
        <v>1140</v>
      </c>
      <c r="J109" s="647">
        <v>70.2</v>
      </c>
      <c r="L109">
        <v>3.6</v>
      </c>
      <c r="M109" t="s">
        <v>4414</v>
      </c>
      <c r="N109" t="s">
        <v>4415</v>
      </c>
      <c r="P109" t="s">
        <v>4416</v>
      </c>
      <c r="S109" s="64">
        <f t="shared" si="0"/>
        <v>70.2</v>
      </c>
      <c r="U109" s="5">
        <v>69.900000000000006</v>
      </c>
      <c r="V109" s="5">
        <v>0.1</v>
      </c>
      <c r="W109" s="5">
        <v>0.2</v>
      </c>
      <c r="X109" s="56" t="str">
        <f>GHGFY207[[#This Row],[Data Source (scope 1)]]</f>
        <v>NGER (Measurement) Determination 2008 2019versions pg 318 - Part 3 Fuel combustion - 40</v>
      </c>
      <c r="Y109" s="65" t="s">
        <v>4416</v>
      </c>
      <c r="AB109" s="3">
        <f>(S109-GHGFY207[[#This Row],[Scope 1 Emission factor]])/GHGFY207[[#This Row],[Scope 1 Emission factor]]</f>
        <v>0</v>
      </c>
      <c r="AC109" s="3" t="e">
        <f>(T109-GHGFY207[[#This Row],[Scope 2 Emission factor]])/GHGFY207[[#This Row],[Scope 2 Emission factor]]</f>
        <v>#DIV/0!</v>
      </c>
      <c r="AD109" s="3">
        <f>(U109-GHGFY207[[#This Row],[Scope 3 Emission factor]])/GHGFY207[[#This Row],[Scope 3 Emission factor]]</f>
        <v>18.416666666666668</v>
      </c>
    </row>
    <row r="110" spans="1:30" ht="29.1" hidden="1" customHeight="1">
      <c r="A110" t="s">
        <v>898</v>
      </c>
      <c r="B110" t="s">
        <v>1227</v>
      </c>
      <c r="C110" t="s">
        <v>4412</v>
      </c>
      <c r="D110" t="s">
        <v>1189</v>
      </c>
      <c r="E110" t="s">
        <v>673</v>
      </c>
      <c r="F110">
        <v>1E-3</v>
      </c>
      <c r="G110" t="s">
        <v>4413</v>
      </c>
      <c r="H110">
        <v>38.6</v>
      </c>
      <c r="I110" t="s">
        <v>1140</v>
      </c>
      <c r="J110" s="647">
        <v>70.2</v>
      </c>
      <c r="L110">
        <v>3.6</v>
      </c>
      <c r="M110" t="s">
        <v>4414</v>
      </c>
      <c r="N110" t="s">
        <v>4415</v>
      </c>
      <c r="P110" t="s">
        <v>4416</v>
      </c>
      <c r="S110" s="64">
        <f t="shared" si="0"/>
        <v>70.2</v>
      </c>
      <c r="U110" s="5">
        <v>69.900000000000006</v>
      </c>
      <c r="V110" s="5">
        <v>0.1</v>
      </c>
      <c r="W110" s="5">
        <v>0.2</v>
      </c>
      <c r="X110" s="56" t="str">
        <f>GHGFY207[[#This Row],[Data Source (scope 1)]]</f>
        <v>NGER (Measurement) Determination 2008 2019versions pg 318 - Part 3 Fuel combustion - 40</v>
      </c>
      <c r="Y110" s="65" t="s">
        <v>4416</v>
      </c>
      <c r="AB110" s="3">
        <f>(S110-GHGFY207[[#This Row],[Scope 1 Emission factor]])/GHGFY207[[#This Row],[Scope 1 Emission factor]]</f>
        <v>0</v>
      </c>
      <c r="AC110" s="3" t="e">
        <f>(T110-GHGFY207[[#This Row],[Scope 2 Emission factor]])/GHGFY207[[#This Row],[Scope 2 Emission factor]]</f>
        <v>#DIV/0!</v>
      </c>
      <c r="AD110" s="3">
        <f>(U110-GHGFY207[[#This Row],[Scope 3 Emission factor]])/GHGFY207[[#This Row],[Scope 3 Emission factor]]</f>
        <v>18.416666666666668</v>
      </c>
    </row>
    <row r="111" spans="1:30" ht="29.1" hidden="1" customHeight="1">
      <c r="A111" t="s">
        <v>895</v>
      </c>
      <c r="B111" t="s">
        <v>1227</v>
      </c>
      <c r="C111" t="s">
        <v>4412</v>
      </c>
      <c r="D111" t="s">
        <v>1210</v>
      </c>
      <c r="E111" t="s">
        <v>673</v>
      </c>
      <c r="F111">
        <v>1E-3</v>
      </c>
      <c r="G111" t="s">
        <v>4413</v>
      </c>
      <c r="H111">
        <v>38.6</v>
      </c>
      <c r="I111" t="s">
        <v>1140</v>
      </c>
      <c r="J111" s="647">
        <v>70.2</v>
      </c>
      <c r="L111">
        <v>3.6</v>
      </c>
      <c r="M111" t="s">
        <v>4414</v>
      </c>
      <c r="N111" t="s">
        <v>4415</v>
      </c>
      <c r="P111" t="s">
        <v>4416</v>
      </c>
      <c r="S111" s="64">
        <f t="shared" si="0"/>
        <v>70.2</v>
      </c>
      <c r="U111" s="5">
        <v>69.900000000000006</v>
      </c>
      <c r="V111" s="5">
        <v>0.1</v>
      </c>
      <c r="W111" s="5">
        <v>0.2</v>
      </c>
      <c r="X111" s="56" t="str">
        <f>GHGFY207[[#This Row],[Data Source (scope 1)]]</f>
        <v>NGER (Measurement) Determination 2008 2019versions pg 318 - Part 3 Fuel combustion - 40</v>
      </c>
      <c r="Y111" s="65" t="s">
        <v>4416</v>
      </c>
      <c r="AB111" s="3">
        <f>(S111-GHGFY207[[#This Row],[Scope 1 Emission factor]])/GHGFY207[[#This Row],[Scope 1 Emission factor]]</f>
        <v>0</v>
      </c>
      <c r="AC111" s="3" t="e">
        <f>(T111-GHGFY207[[#This Row],[Scope 2 Emission factor]])/GHGFY207[[#This Row],[Scope 2 Emission factor]]</f>
        <v>#DIV/0!</v>
      </c>
      <c r="AD111" s="3">
        <f>(U111-GHGFY207[[#This Row],[Scope 3 Emission factor]])/GHGFY207[[#This Row],[Scope 3 Emission factor]]</f>
        <v>18.416666666666668</v>
      </c>
    </row>
    <row r="112" spans="1:30" ht="29.1" hidden="1" customHeight="1">
      <c r="A112" t="s">
        <v>899</v>
      </c>
      <c r="B112" t="s">
        <v>1227</v>
      </c>
      <c r="C112" t="s">
        <v>4412</v>
      </c>
      <c r="D112" t="s">
        <v>1216</v>
      </c>
      <c r="E112" t="s">
        <v>673</v>
      </c>
      <c r="F112">
        <v>1E-3</v>
      </c>
      <c r="G112" t="s">
        <v>4413</v>
      </c>
      <c r="H112">
        <v>38.6</v>
      </c>
      <c r="I112" t="s">
        <v>1140</v>
      </c>
      <c r="J112" s="647">
        <v>70.2</v>
      </c>
      <c r="L112">
        <v>3.6</v>
      </c>
      <c r="M112" t="s">
        <v>4414</v>
      </c>
      <c r="N112" t="s">
        <v>4415</v>
      </c>
      <c r="P112" t="s">
        <v>4416</v>
      </c>
      <c r="S112" s="64">
        <f t="shared" si="0"/>
        <v>70.2</v>
      </c>
      <c r="U112" s="5">
        <v>69.900000000000006</v>
      </c>
      <c r="V112" s="5">
        <v>0.1</v>
      </c>
      <c r="W112" s="5">
        <v>0.2</v>
      </c>
      <c r="X112" s="56" t="str">
        <f>GHGFY207[[#This Row],[Data Source (scope 1)]]</f>
        <v>NGER (Measurement) Determination 2008 2019versions pg 318 - Part 3 Fuel combustion - 40</v>
      </c>
      <c r="Y112" s="65" t="s">
        <v>4416</v>
      </c>
      <c r="AB112" s="3">
        <f>(S112-GHGFY207[[#This Row],[Scope 1 Emission factor]])/GHGFY207[[#This Row],[Scope 1 Emission factor]]</f>
        <v>0</v>
      </c>
      <c r="AC112" s="3" t="e">
        <f>(T112-GHGFY207[[#This Row],[Scope 2 Emission factor]])/GHGFY207[[#This Row],[Scope 2 Emission factor]]</f>
        <v>#DIV/0!</v>
      </c>
      <c r="AD112" s="3">
        <f>(U112-GHGFY207[[#This Row],[Scope 3 Emission factor]])/GHGFY207[[#This Row],[Scope 3 Emission factor]]</f>
        <v>18.416666666666668</v>
      </c>
    </row>
    <row r="113" spans="1:30" ht="29.1" hidden="1" customHeight="1">
      <c r="A113" t="s">
        <v>896</v>
      </c>
      <c r="B113" t="s">
        <v>1227</v>
      </c>
      <c r="C113" t="s">
        <v>4412</v>
      </c>
      <c r="D113" t="s">
        <v>1193</v>
      </c>
      <c r="E113" t="s">
        <v>673</v>
      </c>
      <c r="F113">
        <v>1E-3</v>
      </c>
      <c r="G113" t="s">
        <v>4413</v>
      </c>
      <c r="H113">
        <v>38.6</v>
      </c>
      <c r="I113" t="s">
        <v>1140</v>
      </c>
      <c r="J113" s="647">
        <v>70.2</v>
      </c>
      <c r="L113">
        <v>3.6</v>
      </c>
      <c r="M113" t="s">
        <v>4414</v>
      </c>
      <c r="N113" t="s">
        <v>4415</v>
      </c>
      <c r="P113" t="s">
        <v>4416</v>
      </c>
      <c r="S113" s="64">
        <f t="shared" si="0"/>
        <v>70.2</v>
      </c>
      <c r="U113" s="5">
        <v>69.900000000000006</v>
      </c>
      <c r="V113" s="5">
        <v>0.1</v>
      </c>
      <c r="W113" s="5">
        <v>0.2</v>
      </c>
      <c r="X113" s="56" t="str">
        <f>GHGFY207[[#This Row],[Data Source (scope 1)]]</f>
        <v>NGER (Measurement) Determination 2008 2019versions pg 318 - Part 3 Fuel combustion - 40</v>
      </c>
      <c r="Y113" s="65" t="s">
        <v>4416</v>
      </c>
      <c r="AB113" s="3">
        <f>(S113-GHGFY207[[#This Row],[Scope 1 Emission factor]])/GHGFY207[[#This Row],[Scope 1 Emission factor]]</f>
        <v>0</v>
      </c>
      <c r="AC113" s="3" t="e">
        <f>(T113-GHGFY207[[#This Row],[Scope 2 Emission factor]])/GHGFY207[[#This Row],[Scope 2 Emission factor]]</f>
        <v>#DIV/0!</v>
      </c>
      <c r="AD113" s="3">
        <f>(U113-GHGFY207[[#This Row],[Scope 3 Emission factor]])/GHGFY207[[#This Row],[Scope 3 Emission factor]]</f>
        <v>18.416666666666668</v>
      </c>
    </row>
    <row r="114" spans="1:30" ht="29.1" hidden="1" customHeight="1">
      <c r="A114" t="s">
        <v>897</v>
      </c>
      <c r="B114" t="s">
        <v>1227</v>
      </c>
      <c r="C114" t="s">
        <v>4412</v>
      </c>
      <c r="D114" t="s">
        <v>1213</v>
      </c>
      <c r="E114" t="s">
        <v>673</v>
      </c>
      <c r="F114">
        <v>1E-3</v>
      </c>
      <c r="G114" t="s">
        <v>4413</v>
      </c>
      <c r="H114">
        <v>38.6</v>
      </c>
      <c r="I114" t="s">
        <v>1140</v>
      </c>
      <c r="J114" s="647">
        <v>70.2</v>
      </c>
      <c r="L114">
        <v>3.6</v>
      </c>
      <c r="M114" t="s">
        <v>4414</v>
      </c>
      <c r="N114" t="s">
        <v>4415</v>
      </c>
      <c r="P114" t="s">
        <v>4416</v>
      </c>
      <c r="S114" s="64">
        <f t="shared" si="0"/>
        <v>70.2</v>
      </c>
      <c r="U114" s="5">
        <v>69.900000000000006</v>
      </c>
      <c r="V114" s="5">
        <v>0.1</v>
      </c>
      <c r="W114" s="5">
        <v>0.2</v>
      </c>
      <c r="X114" s="56" t="str">
        <f>GHGFY207[[#This Row],[Data Source (scope 1)]]</f>
        <v>NGER (Measurement) Determination 2008 2019versions pg 318 - Part 3 Fuel combustion - 40</v>
      </c>
      <c r="Y114" s="65" t="s">
        <v>4416</v>
      </c>
      <c r="AB114" s="3">
        <f>(S114-GHGFY207[[#This Row],[Scope 1 Emission factor]])/GHGFY207[[#This Row],[Scope 1 Emission factor]]</f>
        <v>0</v>
      </c>
      <c r="AC114" s="3" t="e">
        <f>(T114-GHGFY207[[#This Row],[Scope 2 Emission factor]])/GHGFY207[[#This Row],[Scope 2 Emission factor]]</f>
        <v>#DIV/0!</v>
      </c>
      <c r="AD114" s="3">
        <f>(U114-GHGFY207[[#This Row],[Scope 3 Emission factor]])/GHGFY207[[#This Row],[Scope 3 Emission factor]]</f>
        <v>18.416666666666668</v>
      </c>
    </row>
    <row r="115" spans="1:30" ht="29.1" hidden="1" customHeight="1">
      <c r="A115" t="s">
        <v>894</v>
      </c>
      <c r="B115" t="s">
        <v>1227</v>
      </c>
      <c r="C115" t="s">
        <v>4412</v>
      </c>
      <c r="D115" t="s">
        <v>1208</v>
      </c>
      <c r="E115" t="s">
        <v>673</v>
      </c>
      <c r="F115">
        <v>1E-3</v>
      </c>
      <c r="G115" t="s">
        <v>4413</v>
      </c>
      <c r="H115">
        <v>38.6</v>
      </c>
      <c r="I115" t="s">
        <v>1140</v>
      </c>
      <c r="J115" s="647">
        <v>70.2</v>
      </c>
      <c r="L115">
        <v>3.6</v>
      </c>
      <c r="M115" t="s">
        <v>4414</v>
      </c>
      <c r="N115" t="s">
        <v>4415</v>
      </c>
      <c r="P115" t="s">
        <v>4416</v>
      </c>
      <c r="S115" s="64">
        <f t="shared" si="0"/>
        <v>70.2</v>
      </c>
      <c r="U115" s="5">
        <v>69.900000000000006</v>
      </c>
      <c r="V115" s="5">
        <v>0.1</v>
      </c>
      <c r="W115" s="5">
        <v>0.2</v>
      </c>
      <c r="X115" s="56" t="str">
        <f>GHGFY207[[#This Row],[Data Source (scope 1)]]</f>
        <v>NGER (Measurement) Determination 2008 2019versions pg 318 - Part 3 Fuel combustion - 40</v>
      </c>
      <c r="Y115" s="65" t="s">
        <v>4416</v>
      </c>
      <c r="AB115" s="3">
        <f>(S115-GHGFY207[[#This Row],[Scope 1 Emission factor]])/GHGFY207[[#This Row],[Scope 1 Emission factor]]</f>
        <v>0</v>
      </c>
      <c r="AC115" s="3" t="e">
        <f>(T115-GHGFY207[[#This Row],[Scope 2 Emission factor]])/GHGFY207[[#This Row],[Scope 2 Emission factor]]</f>
        <v>#DIV/0!</v>
      </c>
      <c r="AD115" s="3">
        <f>(U115-GHGFY207[[#This Row],[Scope 3 Emission factor]])/GHGFY207[[#This Row],[Scope 3 Emission factor]]</f>
        <v>18.416666666666668</v>
      </c>
    </row>
    <row r="116" spans="1:30" ht="29.1" hidden="1" customHeight="1">
      <c r="A116" t="s">
        <v>900</v>
      </c>
      <c r="B116" t="s">
        <v>1227</v>
      </c>
      <c r="C116" t="s">
        <v>4412</v>
      </c>
      <c r="D116" t="s">
        <v>1190</v>
      </c>
      <c r="E116" t="s">
        <v>673</v>
      </c>
      <c r="F116">
        <v>1E-3</v>
      </c>
      <c r="G116" t="s">
        <v>4413</v>
      </c>
      <c r="H116">
        <v>25.7</v>
      </c>
      <c r="I116" t="s">
        <v>1140</v>
      </c>
      <c r="J116" s="647">
        <v>60.600000000000009</v>
      </c>
      <c r="L116">
        <v>3.6</v>
      </c>
      <c r="M116" t="s">
        <v>4414</v>
      </c>
      <c r="N116" t="s">
        <v>4418</v>
      </c>
      <c r="P116" t="s">
        <v>4416</v>
      </c>
      <c r="S116" s="64">
        <f t="shared" si="0"/>
        <v>60.600000000000009</v>
      </c>
      <c r="U116" s="5">
        <v>60.2</v>
      </c>
      <c r="V116" s="5">
        <v>0.2</v>
      </c>
      <c r="W116" s="5">
        <v>0.2</v>
      </c>
      <c r="X116" s="56" t="str">
        <f>GHGFY207[[#This Row],[Data Source (scope 1)]]</f>
        <v>NGER (Measurement) Determination 2008 2019versions pg 318 - Part 3 Fuel combustion - 44</v>
      </c>
      <c r="Y116" s="65" t="s">
        <v>4416</v>
      </c>
      <c r="AB116" s="3">
        <f>(S116-GHGFY207[[#This Row],[Scope 1 Emission factor]])/GHGFY207[[#This Row],[Scope 1 Emission factor]]</f>
        <v>0</v>
      </c>
      <c r="AC116" s="3" t="e">
        <f>(T116-GHGFY207[[#This Row],[Scope 2 Emission factor]])/GHGFY207[[#This Row],[Scope 2 Emission factor]]</f>
        <v>#DIV/0!</v>
      </c>
      <c r="AD116" s="3">
        <f>(U116-GHGFY207[[#This Row],[Scope 3 Emission factor]])/GHGFY207[[#This Row],[Scope 3 Emission factor]]</f>
        <v>15.722222222222221</v>
      </c>
    </row>
    <row r="117" spans="1:30" ht="29.1" hidden="1" customHeight="1">
      <c r="A117" t="s">
        <v>901</v>
      </c>
      <c r="B117" t="s">
        <v>1227</v>
      </c>
      <c r="C117" t="s">
        <v>4412</v>
      </c>
      <c r="D117" t="s">
        <v>1192</v>
      </c>
      <c r="E117" t="s">
        <v>673</v>
      </c>
      <c r="F117">
        <v>1E-3</v>
      </c>
      <c r="G117" t="s">
        <v>4413</v>
      </c>
      <c r="H117">
        <v>25.7</v>
      </c>
      <c r="I117" t="s">
        <v>1140</v>
      </c>
      <c r="J117" s="647">
        <v>60.600000000000009</v>
      </c>
      <c r="L117">
        <v>3.6</v>
      </c>
      <c r="M117" t="s">
        <v>4414</v>
      </c>
      <c r="N117" t="s">
        <v>4418</v>
      </c>
      <c r="P117" t="s">
        <v>4416</v>
      </c>
      <c r="S117" s="64">
        <f t="shared" si="0"/>
        <v>60.600000000000009</v>
      </c>
      <c r="U117" s="5">
        <v>60.2</v>
      </c>
      <c r="V117" s="5">
        <v>0.2</v>
      </c>
      <c r="W117" s="5">
        <v>0.2</v>
      </c>
      <c r="X117" s="56" t="str">
        <f>GHGFY207[[#This Row],[Data Source (scope 1)]]</f>
        <v>NGER (Measurement) Determination 2008 2019versions pg 318 - Part 3 Fuel combustion - 44</v>
      </c>
      <c r="Y117" s="65" t="s">
        <v>4416</v>
      </c>
      <c r="AB117" s="3">
        <f>(S117-GHGFY207[[#This Row],[Scope 1 Emission factor]])/GHGFY207[[#This Row],[Scope 1 Emission factor]]</f>
        <v>0</v>
      </c>
      <c r="AC117" s="3" t="e">
        <f>(T117-GHGFY207[[#This Row],[Scope 2 Emission factor]])/GHGFY207[[#This Row],[Scope 2 Emission factor]]</f>
        <v>#DIV/0!</v>
      </c>
      <c r="AD117" s="3">
        <f>(U117-GHGFY207[[#This Row],[Scope 3 Emission factor]])/GHGFY207[[#This Row],[Scope 3 Emission factor]]</f>
        <v>15.722222222222221</v>
      </c>
    </row>
    <row r="118" spans="1:30" ht="29.1" hidden="1" customHeight="1">
      <c r="A118" t="s">
        <v>902</v>
      </c>
      <c r="B118" t="s">
        <v>1227</v>
      </c>
      <c r="C118" t="s">
        <v>4412</v>
      </c>
      <c r="D118" t="s">
        <v>1189</v>
      </c>
      <c r="E118" t="s">
        <v>673</v>
      </c>
      <c r="F118">
        <v>1E-3</v>
      </c>
      <c r="G118" t="s">
        <v>4413</v>
      </c>
      <c r="H118">
        <v>25.7</v>
      </c>
      <c r="I118" t="s">
        <v>1140</v>
      </c>
      <c r="J118" s="647">
        <v>60.600000000000009</v>
      </c>
      <c r="L118">
        <v>3.6</v>
      </c>
      <c r="M118" t="s">
        <v>4414</v>
      </c>
      <c r="N118" t="s">
        <v>4418</v>
      </c>
      <c r="P118" t="s">
        <v>4416</v>
      </c>
      <c r="S118" s="64">
        <f t="shared" si="0"/>
        <v>60.600000000000009</v>
      </c>
      <c r="U118" s="5">
        <v>60.2</v>
      </c>
      <c r="V118" s="5">
        <v>0.2</v>
      </c>
      <c r="W118" s="5">
        <v>0.2</v>
      </c>
      <c r="X118" s="56" t="str">
        <f>GHGFY207[[#This Row],[Data Source (scope 1)]]</f>
        <v>NGER (Measurement) Determination 2008 2019versions pg 318 - Part 3 Fuel combustion - 44</v>
      </c>
      <c r="Y118" s="65" t="s">
        <v>4416</v>
      </c>
      <c r="AB118" s="3">
        <f>(S118-GHGFY207[[#This Row],[Scope 1 Emission factor]])/GHGFY207[[#This Row],[Scope 1 Emission factor]]</f>
        <v>0</v>
      </c>
      <c r="AC118" s="3" t="e">
        <f>(T118-GHGFY207[[#This Row],[Scope 2 Emission factor]])/GHGFY207[[#This Row],[Scope 2 Emission factor]]</f>
        <v>#DIV/0!</v>
      </c>
      <c r="AD118" s="3">
        <f>(U118-GHGFY207[[#This Row],[Scope 3 Emission factor]])/GHGFY207[[#This Row],[Scope 3 Emission factor]]</f>
        <v>15.722222222222221</v>
      </c>
    </row>
    <row r="119" spans="1:30" ht="29.1" hidden="1" customHeight="1">
      <c r="A119" t="s">
        <v>903</v>
      </c>
      <c r="B119" t="s">
        <v>1227</v>
      </c>
      <c r="C119" t="s">
        <v>4412</v>
      </c>
      <c r="D119" t="s">
        <v>1210</v>
      </c>
      <c r="E119" t="s">
        <v>673</v>
      </c>
      <c r="F119">
        <v>1E-3</v>
      </c>
      <c r="G119" t="s">
        <v>4413</v>
      </c>
      <c r="H119">
        <v>25.7</v>
      </c>
      <c r="I119" t="s">
        <v>1140</v>
      </c>
      <c r="J119" s="647">
        <v>60.600000000000009</v>
      </c>
      <c r="L119">
        <v>3.6</v>
      </c>
      <c r="M119" t="s">
        <v>4414</v>
      </c>
      <c r="N119" t="s">
        <v>4418</v>
      </c>
      <c r="P119" t="s">
        <v>4416</v>
      </c>
      <c r="S119" s="64">
        <f t="shared" si="0"/>
        <v>60.600000000000009</v>
      </c>
      <c r="U119" s="5">
        <v>60.2</v>
      </c>
      <c r="V119" s="5">
        <v>0.2</v>
      </c>
      <c r="W119" s="5">
        <v>0.2</v>
      </c>
      <c r="X119" s="56" t="str">
        <f>GHGFY207[[#This Row],[Data Source (scope 1)]]</f>
        <v>NGER (Measurement) Determination 2008 2019versions pg 318 - Part 3 Fuel combustion - 44</v>
      </c>
      <c r="Y119" s="65" t="s">
        <v>4416</v>
      </c>
      <c r="AB119" s="3">
        <f>(S119-GHGFY207[[#This Row],[Scope 1 Emission factor]])/GHGFY207[[#This Row],[Scope 1 Emission factor]]</f>
        <v>0</v>
      </c>
      <c r="AC119" s="3" t="e">
        <f>(T119-GHGFY207[[#This Row],[Scope 2 Emission factor]])/GHGFY207[[#This Row],[Scope 2 Emission factor]]</f>
        <v>#DIV/0!</v>
      </c>
      <c r="AD119" s="3">
        <f>(U119-GHGFY207[[#This Row],[Scope 3 Emission factor]])/GHGFY207[[#This Row],[Scope 3 Emission factor]]</f>
        <v>15.722222222222221</v>
      </c>
    </row>
    <row r="120" spans="1:30" ht="29.1" hidden="1" customHeight="1">
      <c r="A120" t="s">
        <v>904</v>
      </c>
      <c r="B120" t="s">
        <v>1227</v>
      </c>
      <c r="C120" t="s">
        <v>4412</v>
      </c>
      <c r="D120" t="s">
        <v>1216</v>
      </c>
      <c r="E120" t="s">
        <v>673</v>
      </c>
      <c r="F120">
        <v>1E-3</v>
      </c>
      <c r="G120" t="s">
        <v>4413</v>
      </c>
      <c r="H120">
        <v>25.7</v>
      </c>
      <c r="I120" t="s">
        <v>1140</v>
      </c>
      <c r="J120" s="647">
        <v>60.600000000000009</v>
      </c>
      <c r="L120">
        <v>3.6</v>
      </c>
      <c r="M120" t="s">
        <v>4414</v>
      </c>
      <c r="N120" t="s">
        <v>4418</v>
      </c>
      <c r="P120" t="s">
        <v>4416</v>
      </c>
      <c r="S120" s="64">
        <f t="shared" si="0"/>
        <v>60.600000000000009</v>
      </c>
      <c r="U120" s="5">
        <v>60.2</v>
      </c>
      <c r="V120" s="5">
        <v>0.2</v>
      </c>
      <c r="W120" s="5">
        <v>0.2</v>
      </c>
      <c r="X120" s="56" t="str">
        <f>GHGFY207[[#This Row],[Data Source (scope 1)]]</f>
        <v>NGER (Measurement) Determination 2008 2019versions pg 318 - Part 3 Fuel combustion - 44</v>
      </c>
      <c r="Y120" s="65" t="s">
        <v>4416</v>
      </c>
      <c r="AB120" s="3">
        <f>(S120-GHGFY207[[#This Row],[Scope 1 Emission factor]])/GHGFY207[[#This Row],[Scope 1 Emission factor]]</f>
        <v>0</v>
      </c>
      <c r="AC120" s="3" t="e">
        <f>(T120-GHGFY207[[#This Row],[Scope 2 Emission factor]])/GHGFY207[[#This Row],[Scope 2 Emission factor]]</f>
        <v>#DIV/0!</v>
      </c>
      <c r="AD120" s="3">
        <f>(U120-GHGFY207[[#This Row],[Scope 3 Emission factor]])/GHGFY207[[#This Row],[Scope 3 Emission factor]]</f>
        <v>15.722222222222221</v>
      </c>
    </row>
    <row r="121" spans="1:30" ht="29.1" hidden="1" customHeight="1">
      <c r="A121" t="s">
        <v>905</v>
      </c>
      <c r="B121" t="s">
        <v>1227</v>
      </c>
      <c r="C121" t="s">
        <v>4412</v>
      </c>
      <c r="D121" t="s">
        <v>1193</v>
      </c>
      <c r="E121" t="s">
        <v>673</v>
      </c>
      <c r="F121">
        <v>1E-3</v>
      </c>
      <c r="G121" t="s">
        <v>4413</v>
      </c>
      <c r="H121">
        <v>25.7</v>
      </c>
      <c r="I121" t="s">
        <v>1140</v>
      </c>
      <c r="J121" s="647">
        <v>60.600000000000009</v>
      </c>
      <c r="L121">
        <v>3.6</v>
      </c>
      <c r="M121" t="s">
        <v>4414</v>
      </c>
      <c r="N121" t="s">
        <v>4418</v>
      </c>
      <c r="P121" t="s">
        <v>4416</v>
      </c>
      <c r="S121" s="64">
        <f t="shared" si="0"/>
        <v>60.600000000000009</v>
      </c>
      <c r="U121" s="5">
        <v>60.2</v>
      </c>
      <c r="V121" s="5">
        <v>0.2</v>
      </c>
      <c r="W121" s="5">
        <v>0.2</v>
      </c>
      <c r="X121" s="56" t="str">
        <f>GHGFY207[[#This Row],[Data Source (scope 1)]]</f>
        <v>NGER (Measurement) Determination 2008 2019versions pg 318 - Part 3 Fuel combustion - 44</v>
      </c>
      <c r="Y121" s="65" t="s">
        <v>4416</v>
      </c>
      <c r="AB121" s="3">
        <f>(S121-GHGFY207[[#This Row],[Scope 1 Emission factor]])/GHGFY207[[#This Row],[Scope 1 Emission factor]]</f>
        <v>0</v>
      </c>
      <c r="AC121" s="3" t="e">
        <f>(T121-GHGFY207[[#This Row],[Scope 2 Emission factor]])/GHGFY207[[#This Row],[Scope 2 Emission factor]]</f>
        <v>#DIV/0!</v>
      </c>
      <c r="AD121" s="3">
        <f>(U121-GHGFY207[[#This Row],[Scope 3 Emission factor]])/GHGFY207[[#This Row],[Scope 3 Emission factor]]</f>
        <v>15.722222222222221</v>
      </c>
    </row>
    <row r="122" spans="1:30" ht="29.1" hidden="1" customHeight="1">
      <c r="A122" t="s">
        <v>906</v>
      </c>
      <c r="B122" t="s">
        <v>1227</v>
      </c>
      <c r="C122" t="s">
        <v>4412</v>
      </c>
      <c r="D122" t="s">
        <v>1213</v>
      </c>
      <c r="E122" t="s">
        <v>673</v>
      </c>
      <c r="F122">
        <v>1E-3</v>
      </c>
      <c r="G122" t="s">
        <v>4413</v>
      </c>
      <c r="H122">
        <v>25.7</v>
      </c>
      <c r="I122" t="s">
        <v>1140</v>
      </c>
      <c r="J122" s="647">
        <v>60.600000000000009</v>
      </c>
      <c r="L122">
        <v>3.6</v>
      </c>
      <c r="M122" t="s">
        <v>4414</v>
      </c>
      <c r="N122" t="s">
        <v>4418</v>
      </c>
      <c r="P122" t="s">
        <v>4416</v>
      </c>
      <c r="S122" s="64">
        <f t="shared" si="0"/>
        <v>60.600000000000009</v>
      </c>
      <c r="U122" s="5">
        <v>60.2</v>
      </c>
      <c r="V122" s="5">
        <v>0.2</v>
      </c>
      <c r="W122" s="5">
        <v>0.2</v>
      </c>
      <c r="X122" s="56" t="str">
        <f>GHGFY207[[#This Row],[Data Source (scope 1)]]</f>
        <v>NGER (Measurement) Determination 2008 2019versions pg 318 - Part 3 Fuel combustion - 44</v>
      </c>
      <c r="Y122" s="65" t="s">
        <v>4416</v>
      </c>
      <c r="AB122" s="3">
        <f>(S122-GHGFY207[[#This Row],[Scope 1 Emission factor]])/GHGFY207[[#This Row],[Scope 1 Emission factor]]</f>
        <v>0</v>
      </c>
      <c r="AC122" s="3" t="e">
        <f>(T122-GHGFY207[[#This Row],[Scope 2 Emission factor]])/GHGFY207[[#This Row],[Scope 2 Emission factor]]</f>
        <v>#DIV/0!</v>
      </c>
      <c r="AD122" s="3">
        <f>(U122-GHGFY207[[#This Row],[Scope 3 Emission factor]])/GHGFY207[[#This Row],[Scope 3 Emission factor]]</f>
        <v>15.722222222222221</v>
      </c>
    </row>
    <row r="123" spans="1:30" ht="29.1" hidden="1" customHeight="1">
      <c r="A123" t="s">
        <v>907</v>
      </c>
      <c r="B123" t="s">
        <v>1227</v>
      </c>
      <c r="C123" t="s">
        <v>4412</v>
      </c>
      <c r="D123" t="s">
        <v>1208</v>
      </c>
      <c r="E123" t="s">
        <v>673</v>
      </c>
      <c r="F123">
        <v>1E-3</v>
      </c>
      <c r="G123" t="s">
        <v>4413</v>
      </c>
      <c r="H123">
        <v>25.7</v>
      </c>
      <c r="I123" t="s">
        <v>1140</v>
      </c>
      <c r="J123" s="647">
        <v>60.600000000000009</v>
      </c>
      <c r="L123">
        <v>3.6</v>
      </c>
      <c r="M123" t="s">
        <v>4414</v>
      </c>
      <c r="N123" t="s">
        <v>4418</v>
      </c>
      <c r="P123" t="s">
        <v>4416</v>
      </c>
      <c r="S123" s="64">
        <f t="shared" si="0"/>
        <v>60.600000000000009</v>
      </c>
      <c r="U123" s="5">
        <v>60.2</v>
      </c>
      <c r="V123" s="5">
        <v>0.2</v>
      </c>
      <c r="W123" s="5">
        <v>0.2</v>
      </c>
      <c r="X123" s="56" t="str">
        <f>GHGFY207[[#This Row],[Data Source (scope 1)]]</f>
        <v>NGER (Measurement) Determination 2008 2019versions pg 318 - Part 3 Fuel combustion - 44</v>
      </c>
      <c r="Y123" s="65" t="s">
        <v>4416</v>
      </c>
      <c r="AB123" s="3">
        <f>(S123-GHGFY207[[#This Row],[Scope 1 Emission factor]])/GHGFY207[[#This Row],[Scope 1 Emission factor]]</f>
        <v>0</v>
      </c>
      <c r="AC123" s="3" t="e">
        <f>(T123-GHGFY207[[#This Row],[Scope 2 Emission factor]])/GHGFY207[[#This Row],[Scope 2 Emission factor]]</f>
        <v>#DIV/0!</v>
      </c>
      <c r="AD123" s="3">
        <f>(U123-GHGFY207[[#This Row],[Scope 3 Emission factor]])/GHGFY207[[#This Row],[Scope 3 Emission factor]]</f>
        <v>15.722222222222221</v>
      </c>
    </row>
    <row r="124" spans="1:30" ht="29.1" hidden="1" customHeight="1">
      <c r="A124" t="s">
        <v>908</v>
      </c>
      <c r="B124" t="s">
        <v>1227</v>
      </c>
      <c r="C124" t="s">
        <v>4412</v>
      </c>
      <c r="D124" t="s">
        <v>1190</v>
      </c>
      <c r="E124" t="s">
        <v>673</v>
      </c>
      <c r="F124">
        <v>1E-3</v>
      </c>
      <c r="G124" t="s">
        <v>4413</v>
      </c>
      <c r="H124">
        <v>34.200000000000003</v>
      </c>
      <c r="I124" t="s">
        <v>1140</v>
      </c>
      <c r="J124" s="647">
        <v>67.800000000000011</v>
      </c>
      <c r="L124">
        <v>3.6</v>
      </c>
      <c r="M124" t="s">
        <v>4414</v>
      </c>
      <c r="N124" t="s">
        <v>4419</v>
      </c>
      <c r="P124" t="s">
        <v>4416</v>
      </c>
      <c r="S124" s="64">
        <f t="shared" si="0"/>
        <v>67.800000000000011</v>
      </c>
      <c r="U124" s="5">
        <v>67.400000000000006</v>
      </c>
      <c r="V124" s="5">
        <v>0.2</v>
      </c>
      <c r="W124" s="5">
        <v>0.2</v>
      </c>
      <c r="X124" s="56" t="str">
        <f>GHGFY207[[#This Row],[Data Source (scope 1)]]</f>
        <v>NGER (Measurement) Determination 2008 2019versions pg 318 - Part 3 Fuel combustion - 35</v>
      </c>
      <c r="Y124" s="65" t="s">
        <v>4416</v>
      </c>
      <c r="AB124" s="3">
        <f>(S124-GHGFY207[[#This Row],[Scope 1 Emission factor]])/GHGFY207[[#This Row],[Scope 1 Emission factor]]</f>
        <v>0</v>
      </c>
      <c r="AC124" s="3" t="e">
        <f>(T124-GHGFY207[[#This Row],[Scope 2 Emission factor]])/GHGFY207[[#This Row],[Scope 2 Emission factor]]</f>
        <v>#DIV/0!</v>
      </c>
      <c r="AD124" s="3">
        <f>(U124-GHGFY207[[#This Row],[Scope 3 Emission factor]])/GHGFY207[[#This Row],[Scope 3 Emission factor]]</f>
        <v>17.722222222222221</v>
      </c>
    </row>
    <row r="125" spans="1:30" ht="29.1" hidden="1" customHeight="1">
      <c r="A125" t="s">
        <v>909</v>
      </c>
      <c r="B125" t="s">
        <v>1227</v>
      </c>
      <c r="C125" t="s">
        <v>4412</v>
      </c>
      <c r="D125" t="s">
        <v>1192</v>
      </c>
      <c r="E125" t="s">
        <v>673</v>
      </c>
      <c r="F125">
        <v>1E-3</v>
      </c>
      <c r="G125" t="s">
        <v>4413</v>
      </c>
      <c r="H125">
        <v>34.200000000000003</v>
      </c>
      <c r="I125" t="s">
        <v>1140</v>
      </c>
      <c r="J125" s="647">
        <v>67.800000000000011</v>
      </c>
      <c r="L125">
        <v>3.6</v>
      </c>
      <c r="M125" t="s">
        <v>4414</v>
      </c>
      <c r="N125" t="s">
        <v>4419</v>
      </c>
      <c r="P125" t="s">
        <v>4416</v>
      </c>
      <c r="S125" s="64">
        <f t="shared" si="0"/>
        <v>67.800000000000011</v>
      </c>
      <c r="U125" s="5">
        <v>67.400000000000006</v>
      </c>
      <c r="V125" s="5">
        <v>0.2</v>
      </c>
      <c r="W125" s="5">
        <v>0.2</v>
      </c>
      <c r="X125" s="56" t="str">
        <f>GHGFY207[[#This Row],[Data Source (scope 1)]]</f>
        <v>NGER (Measurement) Determination 2008 2019versions pg 318 - Part 3 Fuel combustion - 35</v>
      </c>
      <c r="Y125" s="65" t="s">
        <v>4416</v>
      </c>
      <c r="AB125" s="3">
        <f>(S125-GHGFY207[[#This Row],[Scope 1 Emission factor]])/GHGFY207[[#This Row],[Scope 1 Emission factor]]</f>
        <v>0</v>
      </c>
      <c r="AC125" s="3" t="e">
        <f>(T125-GHGFY207[[#This Row],[Scope 2 Emission factor]])/GHGFY207[[#This Row],[Scope 2 Emission factor]]</f>
        <v>#DIV/0!</v>
      </c>
      <c r="AD125" s="3">
        <f>(U125-GHGFY207[[#This Row],[Scope 3 Emission factor]])/GHGFY207[[#This Row],[Scope 3 Emission factor]]</f>
        <v>17.722222222222221</v>
      </c>
    </row>
    <row r="126" spans="1:30" ht="29.1" hidden="1" customHeight="1">
      <c r="A126" t="s">
        <v>914</v>
      </c>
      <c r="B126" t="s">
        <v>1227</v>
      </c>
      <c r="C126" t="s">
        <v>4412</v>
      </c>
      <c r="D126" t="s">
        <v>1189</v>
      </c>
      <c r="E126" t="s">
        <v>673</v>
      </c>
      <c r="F126">
        <v>1E-3</v>
      </c>
      <c r="G126" t="s">
        <v>4413</v>
      </c>
      <c r="H126">
        <v>34.200000000000003</v>
      </c>
      <c r="I126" t="s">
        <v>1140</v>
      </c>
      <c r="J126" s="647">
        <v>67.800000000000011</v>
      </c>
      <c r="L126">
        <v>3.6</v>
      </c>
      <c r="M126" t="s">
        <v>4414</v>
      </c>
      <c r="N126" t="s">
        <v>4419</v>
      </c>
      <c r="P126" t="s">
        <v>4416</v>
      </c>
      <c r="S126" s="64">
        <f t="shared" si="0"/>
        <v>67.800000000000011</v>
      </c>
      <c r="U126" s="5">
        <v>67.400000000000006</v>
      </c>
      <c r="V126" s="5">
        <v>0.2</v>
      </c>
      <c r="W126" s="5">
        <v>0.2</v>
      </c>
      <c r="X126" s="56" t="str">
        <f>GHGFY207[[#This Row],[Data Source (scope 1)]]</f>
        <v>NGER (Measurement) Determination 2008 2019versions pg 318 - Part 3 Fuel combustion - 35</v>
      </c>
      <c r="Y126" s="65" t="s">
        <v>4416</v>
      </c>
      <c r="AB126" s="3">
        <f>(S126-GHGFY207[[#This Row],[Scope 1 Emission factor]])/GHGFY207[[#This Row],[Scope 1 Emission factor]]</f>
        <v>0</v>
      </c>
      <c r="AC126" s="3" t="e">
        <f>(T126-GHGFY207[[#This Row],[Scope 2 Emission factor]])/GHGFY207[[#This Row],[Scope 2 Emission factor]]</f>
        <v>#DIV/0!</v>
      </c>
      <c r="AD126" s="3">
        <f>(U126-GHGFY207[[#This Row],[Scope 3 Emission factor]])/GHGFY207[[#This Row],[Scope 3 Emission factor]]</f>
        <v>17.722222222222221</v>
      </c>
    </row>
    <row r="127" spans="1:30" ht="29.1" hidden="1" customHeight="1">
      <c r="A127" t="s">
        <v>911</v>
      </c>
      <c r="B127" t="s">
        <v>1227</v>
      </c>
      <c r="C127" t="s">
        <v>4412</v>
      </c>
      <c r="D127" t="s">
        <v>1210</v>
      </c>
      <c r="E127" t="s">
        <v>673</v>
      </c>
      <c r="F127">
        <v>1E-3</v>
      </c>
      <c r="G127" t="s">
        <v>4413</v>
      </c>
      <c r="H127">
        <v>34.200000000000003</v>
      </c>
      <c r="I127" t="s">
        <v>1140</v>
      </c>
      <c r="J127" s="647">
        <v>67.800000000000011</v>
      </c>
      <c r="L127">
        <v>3.6</v>
      </c>
      <c r="M127" t="s">
        <v>4414</v>
      </c>
      <c r="N127" t="s">
        <v>4419</v>
      </c>
      <c r="P127" t="s">
        <v>4416</v>
      </c>
      <c r="S127" s="64">
        <f t="shared" si="0"/>
        <v>67.800000000000011</v>
      </c>
      <c r="U127" s="5">
        <v>67.400000000000006</v>
      </c>
      <c r="V127" s="5">
        <v>0.2</v>
      </c>
      <c r="W127" s="5">
        <v>0.2</v>
      </c>
      <c r="X127" s="56" t="str">
        <f>GHGFY207[[#This Row],[Data Source (scope 1)]]</f>
        <v>NGER (Measurement) Determination 2008 2019versions pg 318 - Part 3 Fuel combustion - 35</v>
      </c>
      <c r="Y127" s="65" t="s">
        <v>4416</v>
      </c>
      <c r="AB127" s="3">
        <f>(S127-GHGFY207[[#This Row],[Scope 1 Emission factor]])/GHGFY207[[#This Row],[Scope 1 Emission factor]]</f>
        <v>0</v>
      </c>
      <c r="AC127" s="3" t="e">
        <f>(T127-GHGFY207[[#This Row],[Scope 2 Emission factor]])/GHGFY207[[#This Row],[Scope 2 Emission factor]]</f>
        <v>#DIV/0!</v>
      </c>
      <c r="AD127" s="3">
        <f>(U127-GHGFY207[[#This Row],[Scope 3 Emission factor]])/GHGFY207[[#This Row],[Scope 3 Emission factor]]</f>
        <v>17.722222222222221</v>
      </c>
    </row>
    <row r="128" spans="1:30" ht="29.1" hidden="1" customHeight="1">
      <c r="A128" t="s">
        <v>915</v>
      </c>
      <c r="B128" t="s">
        <v>1227</v>
      </c>
      <c r="C128" t="s">
        <v>4412</v>
      </c>
      <c r="D128" t="s">
        <v>1216</v>
      </c>
      <c r="E128" t="s">
        <v>673</v>
      </c>
      <c r="F128">
        <v>1E-3</v>
      </c>
      <c r="G128" t="s">
        <v>4413</v>
      </c>
      <c r="H128">
        <v>34.200000000000003</v>
      </c>
      <c r="I128" t="s">
        <v>1140</v>
      </c>
      <c r="J128" s="647">
        <v>67.800000000000011</v>
      </c>
      <c r="L128">
        <v>3.6</v>
      </c>
      <c r="M128" t="s">
        <v>4414</v>
      </c>
      <c r="N128" t="s">
        <v>4419</v>
      </c>
      <c r="P128" t="s">
        <v>4416</v>
      </c>
      <c r="S128" s="64">
        <f t="shared" si="0"/>
        <v>67.800000000000011</v>
      </c>
      <c r="U128" s="5">
        <v>67.400000000000006</v>
      </c>
      <c r="V128" s="5">
        <v>0.2</v>
      </c>
      <c r="W128" s="5">
        <v>0.2</v>
      </c>
      <c r="X128" s="56" t="str">
        <f>GHGFY207[[#This Row],[Data Source (scope 1)]]</f>
        <v>NGER (Measurement) Determination 2008 2019versions pg 318 - Part 3 Fuel combustion - 35</v>
      </c>
      <c r="Y128" s="65" t="s">
        <v>4416</v>
      </c>
      <c r="AB128" s="3">
        <f>(S128-GHGFY207[[#This Row],[Scope 1 Emission factor]])/GHGFY207[[#This Row],[Scope 1 Emission factor]]</f>
        <v>0</v>
      </c>
      <c r="AC128" s="3" t="e">
        <f>(T128-GHGFY207[[#This Row],[Scope 2 Emission factor]])/GHGFY207[[#This Row],[Scope 2 Emission factor]]</f>
        <v>#DIV/0!</v>
      </c>
      <c r="AD128" s="3">
        <f>(U128-GHGFY207[[#This Row],[Scope 3 Emission factor]])/GHGFY207[[#This Row],[Scope 3 Emission factor]]</f>
        <v>17.722222222222221</v>
      </c>
    </row>
    <row r="129" spans="1:30" ht="29.1" hidden="1" customHeight="1">
      <c r="A129" t="s">
        <v>912</v>
      </c>
      <c r="B129" t="s">
        <v>1227</v>
      </c>
      <c r="C129" t="s">
        <v>4412</v>
      </c>
      <c r="D129" t="s">
        <v>1193</v>
      </c>
      <c r="E129" t="s">
        <v>673</v>
      </c>
      <c r="F129">
        <v>1E-3</v>
      </c>
      <c r="G129" t="s">
        <v>4413</v>
      </c>
      <c r="H129">
        <v>34.200000000000003</v>
      </c>
      <c r="I129" t="s">
        <v>1140</v>
      </c>
      <c r="J129" s="647">
        <v>67.800000000000011</v>
      </c>
      <c r="L129">
        <v>3.6</v>
      </c>
      <c r="M129" t="s">
        <v>4414</v>
      </c>
      <c r="N129" t="s">
        <v>4419</v>
      </c>
      <c r="P129" t="s">
        <v>4416</v>
      </c>
      <c r="S129" s="64">
        <f t="shared" si="0"/>
        <v>67.800000000000011</v>
      </c>
      <c r="U129" s="5">
        <v>67.400000000000006</v>
      </c>
      <c r="V129" s="5">
        <v>0.2</v>
      </c>
      <c r="W129" s="5">
        <v>0.2</v>
      </c>
      <c r="X129" s="56" t="str">
        <f>GHGFY207[[#This Row],[Data Source (scope 1)]]</f>
        <v>NGER (Measurement) Determination 2008 2019versions pg 318 - Part 3 Fuel combustion - 35</v>
      </c>
      <c r="Y129" s="65" t="s">
        <v>4416</v>
      </c>
      <c r="AB129" s="3">
        <f>(S129-GHGFY207[[#This Row],[Scope 1 Emission factor]])/GHGFY207[[#This Row],[Scope 1 Emission factor]]</f>
        <v>0</v>
      </c>
      <c r="AC129" s="3" t="e">
        <f>(T129-GHGFY207[[#This Row],[Scope 2 Emission factor]])/GHGFY207[[#This Row],[Scope 2 Emission factor]]</f>
        <v>#DIV/0!</v>
      </c>
      <c r="AD129" s="3">
        <f>(U129-GHGFY207[[#This Row],[Scope 3 Emission factor]])/GHGFY207[[#This Row],[Scope 3 Emission factor]]</f>
        <v>17.722222222222221</v>
      </c>
    </row>
    <row r="130" spans="1:30" ht="29.1" hidden="1" customHeight="1">
      <c r="A130" t="s">
        <v>913</v>
      </c>
      <c r="B130" t="s">
        <v>1227</v>
      </c>
      <c r="C130" t="s">
        <v>4412</v>
      </c>
      <c r="D130" t="s">
        <v>1213</v>
      </c>
      <c r="E130" t="s">
        <v>673</v>
      </c>
      <c r="F130">
        <v>1E-3</v>
      </c>
      <c r="G130" t="s">
        <v>4413</v>
      </c>
      <c r="H130">
        <v>34.200000000000003</v>
      </c>
      <c r="I130" t="s">
        <v>1140</v>
      </c>
      <c r="J130" s="647">
        <v>67.800000000000011</v>
      </c>
      <c r="L130">
        <v>3.6</v>
      </c>
      <c r="M130" t="s">
        <v>4414</v>
      </c>
      <c r="N130" t="s">
        <v>4419</v>
      </c>
      <c r="P130" t="s">
        <v>4416</v>
      </c>
      <c r="S130" s="64">
        <f t="shared" si="0"/>
        <v>67.800000000000011</v>
      </c>
      <c r="U130" s="5">
        <v>67.400000000000006</v>
      </c>
      <c r="V130" s="5">
        <v>0.2</v>
      </c>
      <c r="W130" s="5">
        <v>0.2</v>
      </c>
      <c r="X130" s="56" t="str">
        <f>GHGFY207[[#This Row],[Data Source (scope 1)]]</f>
        <v>NGER (Measurement) Determination 2008 2019versions pg 318 - Part 3 Fuel combustion - 35</v>
      </c>
      <c r="Y130" s="65" t="s">
        <v>4416</v>
      </c>
      <c r="AB130" s="3">
        <f>(S130-GHGFY207[[#This Row],[Scope 1 Emission factor]])/GHGFY207[[#This Row],[Scope 1 Emission factor]]</f>
        <v>0</v>
      </c>
      <c r="AC130" s="3" t="e">
        <f>(T130-GHGFY207[[#This Row],[Scope 2 Emission factor]])/GHGFY207[[#This Row],[Scope 2 Emission factor]]</f>
        <v>#DIV/0!</v>
      </c>
      <c r="AD130" s="3">
        <f>(U130-GHGFY207[[#This Row],[Scope 3 Emission factor]])/GHGFY207[[#This Row],[Scope 3 Emission factor]]</f>
        <v>17.722222222222221</v>
      </c>
    </row>
    <row r="131" spans="1:30" ht="29.1" hidden="1" customHeight="1">
      <c r="A131" t="s">
        <v>910</v>
      </c>
      <c r="B131" t="s">
        <v>1227</v>
      </c>
      <c r="C131" t="s">
        <v>4412</v>
      </c>
      <c r="D131" t="s">
        <v>1208</v>
      </c>
      <c r="E131" t="s">
        <v>673</v>
      </c>
      <c r="F131">
        <v>1E-3</v>
      </c>
      <c r="G131" t="s">
        <v>4413</v>
      </c>
      <c r="H131">
        <v>34.200000000000003</v>
      </c>
      <c r="I131" t="s">
        <v>1140</v>
      </c>
      <c r="J131" s="647">
        <v>67.800000000000011</v>
      </c>
      <c r="L131">
        <v>3.6</v>
      </c>
      <c r="M131" t="s">
        <v>4414</v>
      </c>
      <c r="N131" t="s">
        <v>4419</v>
      </c>
      <c r="P131" t="s">
        <v>4416</v>
      </c>
      <c r="S131" s="64">
        <f t="shared" si="0"/>
        <v>67.800000000000011</v>
      </c>
      <c r="U131" s="5">
        <v>67.400000000000006</v>
      </c>
      <c r="V131" s="5">
        <v>0.2</v>
      </c>
      <c r="W131" s="5">
        <v>0.2</v>
      </c>
      <c r="X131" s="56" t="str">
        <f>GHGFY207[[#This Row],[Data Source (scope 1)]]</f>
        <v>NGER (Measurement) Determination 2008 2019versions pg 318 - Part 3 Fuel combustion - 35</v>
      </c>
      <c r="Y131" s="65" t="s">
        <v>4416</v>
      </c>
      <c r="AB131" s="3">
        <f>(S131-GHGFY207[[#This Row],[Scope 1 Emission factor]])/GHGFY207[[#This Row],[Scope 1 Emission factor]]</f>
        <v>0</v>
      </c>
      <c r="AC131" s="3" t="e">
        <f>(T131-GHGFY207[[#This Row],[Scope 2 Emission factor]])/GHGFY207[[#This Row],[Scope 2 Emission factor]]</f>
        <v>#DIV/0!</v>
      </c>
      <c r="AD131" s="3">
        <f>(U131-GHGFY207[[#This Row],[Scope 3 Emission factor]])/GHGFY207[[#This Row],[Scope 3 Emission factor]]</f>
        <v>17.722222222222221</v>
      </c>
    </row>
    <row r="132" spans="1:30" ht="29.1" hidden="1" customHeight="1">
      <c r="A132" t="s">
        <v>916</v>
      </c>
      <c r="B132" t="s">
        <v>1227</v>
      </c>
      <c r="C132" t="s">
        <v>4412</v>
      </c>
      <c r="D132" t="s">
        <v>1190</v>
      </c>
      <c r="E132" t="s">
        <v>673</v>
      </c>
      <c r="F132">
        <v>1E-3</v>
      </c>
      <c r="G132" t="s">
        <v>4413</v>
      </c>
      <c r="H132">
        <v>38.6</v>
      </c>
      <c r="I132" t="s">
        <v>1140</v>
      </c>
      <c r="J132" s="647">
        <v>70.2</v>
      </c>
      <c r="L132">
        <v>3.6</v>
      </c>
      <c r="M132" t="s">
        <v>4414</v>
      </c>
      <c r="N132" t="s">
        <v>4415</v>
      </c>
      <c r="P132" t="s">
        <v>4416</v>
      </c>
      <c r="S132" s="64">
        <f t="shared" si="0"/>
        <v>70.2</v>
      </c>
      <c r="U132" s="5">
        <v>69.900000000000006</v>
      </c>
      <c r="V132" s="5">
        <v>0.1</v>
      </c>
      <c r="W132" s="5">
        <v>0.2</v>
      </c>
      <c r="X132" s="56" t="str">
        <f>GHGFY207[[#This Row],[Data Source (scope 1)]]</f>
        <v>NGER (Measurement) Determination 2008 2019versions pg 318 - Part 3 Fuel combustion - 40</v>
      </c>
      <c r="Y132" s="65" t="s">
        <v>4416</v>
      </c>
      <c r="AB132" s="3">
        <f>(S132-GHGFY207[[#This Row],[Scope 1 Emission factor]])/GHGFY207[[#This Row],[Scope 1 Emission factor]]</f>
        <v>0</v>
      </c>
      <c r="AC132" s="3" t="e">
        <f>(T132-GHGFY207[[#This Row],[Scope 2 Emission factor]])/GHGFY207[[#This Row],[Scope 2 Emission factor]]</f>
        <v>#DIV/0!</v>
      </c>
      <c r="AD132" s="3">
        <f>(U132-GHGFY207[[#This Row],[Scope 3 Emission factor]])/GHGFY207[[#This Row],[Scope 3 Emission factor]]</f>
        <v>18.416666666666668</v>
      </c>
    </row>
    <row r="133" spans="1:30" ht="29.1" hidden="1" customHeight="1">
      <c r="A133" t="s">
        <v>917</v>
      </c>
      <c r="B133" t="s">
        <v>1227</v>
      </c>
      <c r="C133" t="s">
        <v>4412</v>
      </c>
      <c r="D133" t="s">
        <v>1192</v>
      </c>
      <c r="E133" t="s">
        <v>673</v>
      </c>
      <c r="F133">
        <v>1E-3</v>
      </c>
      <c r="G133" t="s">
        <v>4413</v>
      </c>
      <c r="H133">
        <v>38.6</v>
      </c>
      <c r="I133" t="s">
        <v>1140</v>
      </c>
      <c r="J133" s="647">
        <v>70.2</v>
      </c>
      <c r="L133">
        <v>3.6</v>
      </c>
      <c r="M133" t="s">
        <v>4414</v>
      </c>
      <c r="N133" t="s">
        <v>4415</v>
      </c>
      <c r="P133" t="s">
        <v>4416</v>
      </c>
      <c r="S133" s="64">
        <f t="shared" si="0"/>
        <v>70.2</v>
      </c>
      <c r="U133" s="5">
        <v>69.900000000000006</v>
      </c>
      <c r="V133" s="5">
        <v>0.1</v>
      </c>
      <c r="W133" s="5">
        <v>0.2</v>
      </c>
      <c r="X133" s="56" t="str">
        <f>GHGFY207[[#This Row],[Data Source (scope 1)]]</f>
        <v>NGER (Measurement) Determination 2008 2019versions pg 318 - Part 3 Fuel combustion - 40</v>
      </c>
      <c r="Y133" s="65" t="s">
        <v>4416</v>
      </c>
      <c r="AB133" s="3">
        <f>(S133-GHGFY207[[#This Row],[Scope 1 Emission factor]])/GHGFY207[[#This Row],[Scope 1 Emission factor]]</f>
        <v>0</v>
      </c>
      <c r="AC133" s="3" t="e">
        <f>(T133-GHGFY207[[#This Row],[Scope 2 Emission factor]])/GHGFY207[[#This Row],[Scope 2 Emission factor]]</f>
        <v>#DIV/0!</v>
      </c>
      <c r="AD133" s="3">
        <f>(U133-GHGFY207[[#This Row],[Scope 3 Emission factor]])/GHGFY207[[#This Row],[Scope 3 Emission factor]]</f>
        <v>18.416666666666668</v>
      </c>
    </row>
    <row r="134" spans="1:30" ht="29.1" hidden="1" customHeight="1">
      <c r="A134" t="s">
        <v>922</v>
      </c>
      <c r="B134" t="s">
        <v>1227</v>
      </c>
      <c r="C134" t="s">
        <v>4412</v>
      </c>
      <c r="D134" t="s">
        <v>1189</v>
      </c>
      <c r="E134" t="s">
        <v>673</v>
      </c>
      <c r="F134">
        <v>1E-3</v>
      </c>
      <c r="G134" t="s">
        <v>4413</v>
      </c>
      <c r="H134">
        <v>38.6</v>
      </c>
      <c r="I134" t="s">
        <v>1140</v>
      </c>
      <c r="J134" s="647">
        <v>70.2</v>
      </c>
      <c r="L134">
        <v>3.6</v>
      </c>
      <c r="M134" t="s">
        <v>4414</v>
      </c>
      <c r="N134" t="s">
        <v>4415</v>
      </c>
      <c r="P134" t="s">
        <v>4416</v>
      </c>
      <c r="S134" s="64">
        <f t="shared" si="0"/>
        <v>70.2</v>
      </c>
      <c r="U134" s="5">
        <v>69.900000000000006</v>
      </c>
      <c r="V134" s="5">
        <v>0.1</v>
      </c>
      <c r="W134" s="5">
        <v>0.2</v>
      </c>
      <c r="X134" s="56" t="str">
        <f>GHGFY207[[#This Row],[Data Source (scope 1)]]</f>
        <v>NGER (Measurement) Determination 2008 2019versions pg 318 - Part 3 Fuel combustion - 40</v>
      </c>
      <c r="Y134" s="65" t="s">
        <v>4416</v>
      </c>
      <c r="AB134" s="3">
        <f>(S134-GHGFY207[[#This Row],[Scope 1 Emission factor]])/GHGFY207[[#This Row],[Scope 1 Emission factor]]</f>
        <v>0</v>
      </c>
      <c r="AC134" s="3" t="e">
        <f>(T134-GHGFY207[[#This Row],[Scope 2 Emission factor]])/GHGFY207[[#This Row],[Scope 2 Emission factor]]</f>
        <v>#DIV/0!</v>
      </c>
      <c r="AD134" s="3">
        <f>(U134-GHGFY207[[#This Row],[Scope 3 Emission factor]])/GHGFY207[[#This Row],[Scope 3 Emission factor]]</f>
        <v>18.416666666666668</v>
      </c>
    </row>
    <row r="135" spans="1:30" ht="29.1" hidden="1" customHeight="1">
      <c r="A135" t="s">
        <v>919</v>
      </c>
      <c r="B135" t="s">
        <v>1227</v>
      </c>
      <c r="C135" t="s">
        <v>4412</v>
      </c>
      <c r="D135" t="s">
        <v>1210</v>
      </c>
      <c r="E135" t="s">
        <v>673</v>
      </c>
      <c r="F135">
        <v>1E-3</v>
      </c>
      <c r="G135" t="s">
        <v>4413</v>
      </c>
      <c r="H135">
        <v>38.6</v>
      </c>
      <c r="I135" t="s">
        <v>1140</v>
      </c>
      <c r="J135" s="647">
        <v>70.2</v>
      </c>
      <c r="L135">
        <v>3.6</v>
      </c>
      <c r="M135" t="s">
        <v>4414</v>
      </c>
      <c r="N135" t="s">
        <v>4415</v>
      </c>
      <c r="P135" t="s">
        <v>4416</v>
      </c>
      <c r="S135" s="64">
        <f t="shared" si="0"/>
        <v>70.2</v>
      </c>
      <c r="U135" s="5">
        <v>69.900000000000006</v>
      </c>
      <c r="V135" s="5">
        <v>0.1</v>
      </c>
      <c r="W135" s="5">
        <v>0.2</v>
      </c>
      <c r="X135" s="56" t="str">
        <f>GHGFY207[[#This Row],[Data Source (scope 1)]]</f>
        <v>NGER (Measurement) Determination 2008 2019versions pg 318 - Part 3 Fuel combustion - 40</v>
      </c>
      <c r="Y135" s="65" t="s">
        <v>4416</v>
      </c>
      <c r="AB135" s="3">
        <f>(S135-GHGFY207[[#This Row],[Scope 1 Emission factor]])/GHGFY207[[#This Row],[Scope 1 Emission factor]]</f>
        <v>0</v>
      </c>
      <c r="AC135" s="3" t="e">
        <f>(T135-GHGFY207[[#This Row],[Scope 2 Emission factor]])/GHGFY207[[#This Row],[Scope 2 Emission factor]]</f>
        <v>#DIV/0!</v>
      </c>
      <c r="AD135" s="3">
        <f>(U135-GHGFY207[[#This Row],[Scope 3 Emission factor]])/GHGFY207[[#This Row],[Scope 3 Emission factor]]</f>
        <v>18.416666666666668</v>
      </c>
    </row>
    <row r="136" spans="1:30" ht="29.1" hidden="1" customHeight="1">
      <c r="A136" t="s">
        <v>923</v>
      </c>
      <c r="B136" t="s">
        <v>1227</v>
      </c>
      <c r="C136" t="s">
        <v>4412</v>
      </c>
      <c r="D136" t="s">
        <v>1216</v>
      </c>
      <c r="E136" t="s">
        <v>673</v>
      </c>
      <c r="F136">
        <v>1E-3</v>
      </c>
      <c r="G136" t="s">
        <v>4413</v>
      </c>
      <c r="H136">
        <v>38.6</v>
      </c>
      <c r="I136" t="s">
        <v>1140</v>
      </c>
      <c r="J136" s="647">
        <v>70.2</v>
      </c>
      <c r="L136">
        <v>3.6</v>
      </c>
      <c r="M136" t="s">
        <v>4414</v>
      </c>
      <c r="N136" t="s">
        <v>4415</v>
      </c>
      <c r="P136" t="s">
        <v>4416</v>
      </c>
      <c r="S136" s="64">
        <f t="shared" si="0"/>
        <v>70.2</v>
      </c>
      <c r="U136" s="5">
        <v>69.900000000000006</v>
      </c>
      <c r="V136" s="5">
        <v>0.1</v>
      </c>
      <c r="W136" s="5">
        <v>0.2</v>
      </c>
      <c r="X136" s="56" t="str">
        <f>GHGFY207[[#This Row],[Data Source (scope 1)]]</f>
        <v>NGER (Measurement) Determination 2008 2019versions pg 318 - Part 3 Fuel combustion - 40</v>
      </c>
      <c r="Y136" s="65" t="s">
        <v>4416</v>
      </c>
      <c r="AB136" s="3">
        <f>(S136-GHGFY207[[#This Row],[Scope 1 Emission factor]])/GHGFY207[[#This Row],[Scope 1 Emission factor]]</f>
        <v>0</v>
      </c>
      <c r="AC136" s="3" t="e">
        <f>(T136-GHGFY207[[#This Row],[Scope 2 Emission factor]])/GHGFY207[[#This Row],[Scope 2 Emission factor]]</f>
        <v>#DIV/0!</v>
      </c>
      <c r="AD136" s="3">
        <f>(U136-GHGFY207[[#This Row],[Scope 3 Emission factor]])/GHGFY207[[#This Row],[Scope 3 Emission factor]]</f>
        <v>18.416666666666668</v>
      </c>
    </row>
    <row r="137" spans="1:30" ht="29.1" hidden="1" customHeight="1">
      <c r="A137" t="s">
        <v>920</v>
      </c>
      <c r="B137" t="s">
        <v>1227</v>
      </c>
      <c r="C137" t="s">
        <v>4412</v>
      </c>
      <c r="D137" t="s">
        <v>1193</v>
      </c>
      <c r="E137" t="s">
        <v>673</v>
      </c>
      <c r="F137">
        <v>1E-3</v>
      </c>
      <c r="G137" t="s">
        <v>4413</v>
      </c>
      <c r="H137">
        <v>38.6</v>
      </c>
      <c r="I137" t="s">
        <v>1140</v>
      </c>
      <c r="J137" s="647">
        <v>70.2</v>
      </c>
      <c r="L137">
        <v>3.6</v>
      </c>
      <c r="M137" t="s">
        <v>4414</v>
      </c>
      <c r="N137" t="s">
        <v>4415</v>
      </c>
      <c r="P137" t="s">
        <v>4416</v>
      </c>
      <c r="S137" s="64">
        <f t="shared" si="0"/>
        <v>70.2</v>
      </c>
      <c r="U137" s="5">
        <v>69.900000000000006</v>
      </c>
      <c r="V137" s="5">
        <v>0.1</v>
      </c>
      <c r="W137" s="5">
        <v>0.2</v>
      </c>
      <c r="X137" s="56" t="str">
        <f>GHGFY207[[#This Row],[Data Source (scope 1)]]</f>
        <v>NGER (Measurement) Determination 2008 2019versions pg 318 - Part 3 Fuel combustion - 40</v>
      </c>
      <c r="Y137" s="65" t="s">
        <v>4416</v>
      </c>
      <c r="AB137" s="3">
        <f>(S137-GHGFY207[[#This Row],[Scope 1 Emission factor]])/GHGFY207[[#This Row],[Scope 1 Emission factor]]</f>
        <v>0</v>
      </c>
      <c r="AC137" s="3" t="e">
        <f>(T137-GHGFY207[[#This Row],[Scope 2 Emission factor]])/GHGFY207[[#This Row],[Scope 2 Emission factor]]</f>
        <v>#DIV/0!</v>
      </c>
      <c r="AD137" s="3">
        <f>(U137-GHGFY207[[#This Row],[Scope 3 Emission factor]])/GHGFY207[[#This Row],[Scope 3 Emission factor]]</f>
        <v>18.416666666666668</v>
      </c>
    </row>
    <row r="138" spans="1:30" ht="29.1" hidden="1" customHeight="1">
      <c r="A138" t="s">
        <v>921</v>
      </c>
      <c r="B138" t="s">
        <v>1227</v>
      </c>
      <c r="C138" t="s">
        <v>4412</v>
      </c>
      <c r="D138" t="s">
        <v>1213</v>
      </c>
      <c r="E138" t="s">
        <v>673</v>
      </c>
      <c r="F138">
        <v>1E-3</v>
      </c>
      <c r="G138" t="s">
        <v>4413</v>
      </c>
      <c r="H138">
        <v>38.6</v>
      </c>
      <c r="I138" t="s">
        <v>1140</v>
      </c>
      <c r="J138" s="647">
        <v>70.2</v>
      </c>
      <c r="L138">
        <v>3.6</v>
      </c>
      <c r="M138" t="s">
        <v>4414</v>
      </c>
      <c r="N138" t="s">
        <v>4415</v>
      </c>
      <c r="P138" t="s">
        <v>4416</v>
      </c>
      <c r="S138" s="64">
        <f t="shared" si="0"/>
        <v>70.2</v>
      </c>
      <c r="U138" s="5">
        <v>69.900000000000006</v>
      </c>
      <c r="V138" s="5">
        <v>0.1</v>
      </c>
      <c r="W138" s="5">
        <v>0.2</v>
      </c>
      <c r="X138" s="56" t="str">
        <f>GHGFY207[[#This Row],[Data Source (scope 1)]]</f>
        <v>NGER (Measurement) Determination 2008 2019versions pg 318 - Part 3 Fuel combustion - 40</v>
      </c>
      <c r="Y138" s="65" t="s">
        <v>4416</v>
      </c>
      <c r="AB138" s="3">
        <f>(S138-GHGFY207[[#This Row],[Scope 1 Emission factor]])/GHGFY207[[#This Row],[Scope 1 Emission factor]]</f>
        <v>0</v>
      </c>
      <c r="AC138" s="3" t="e">
        <f>(T138-GHGFY207[[#This Row],[Scope 2 Emission factor]])/GHGFY207[[#This Row],[Scope 2 Emission factor]]</f>
        <v>#DIV/0!</v>
      </c>
      <c r="AD138" s="3">
        <f>(U138-GHGFY207[[#This Row],[Scope 3 Emission factor]])/GHGFY207[[#This Row],[Scope 3 Emission factor]]</f>
        <v>18.416666666666668</v>
      </c>
    </row>
    <row r="139" spans="1:30" ht="29.1" hidden="1" customHeight="1">
      <c r="A139" t="s">
        <v>918</v>
      </c>
      <c r="B139" t="s">
        <v>1227</v>
      </c>
      <c r="C139" t="s">
        <v>4412</v>
      </c>
      <c r="D139" t="s">
        <v>1208</v>
      </c>
      <c r="E139" t="s">
        <v>673</v>
      </c>
      <c r="F139">
        <v>1E-3</v>
      </c>
      <c r="G139" t="s">
        <v>4413</v>
      </c>
      <c r="H139">
        <v>38.6</v>
      </c>
      <c r="I139" t="s">
        <v>1140</v>
      </c>
      <c r="J139" s="647">
        <v>70.2</v>
      </c>
      <c r="L139">
        <v>3.6</v>
      </c>
      <c r="M139" t="s">
        <v>4414</v>
      </c>
      <c r="N139" t="s">
        <v>4415</v>
      </c>
      <c r="P139" t="s">
        <v>4416</v>
      </c>
      <c r="S139" s="64">
        <f t="shared" si="0"/>
        <v>70.2</v>
      </c>
      <c r="U139" s="5">
        <v>69.900000000000006</v>
      </c>
      <c r="V139" s="5">
        <v>0.1</v>
      </c>
      <c r="W139" s="5">
        <v>0.2</v>
      </c>
      <c r="X139" s="56" t="str">
        <f>GHGFY207[[#This Row],[Data Source (scope 1)]]</f>
        <v>NGER (Measurement) Determination 2008 2019versions pg 318 - Part 3 Fuel combustion - 40</v>
      </c>
      <c r="Y139" s="65" t="s">
        <v>4416</v>
      </c>
      <c r="AB139" s="3">
        <f>(S139-GHGFY207[[#This Row],[Scope 1 Emission factor]])/GHGFY207[[#This Row],[Scope 1 Emission factor]]</f>
        <v>0</v>
      </c>
      <c r="AC139" s="3" t="e">
        <f>(T139-GHGFY207[[#This Row],[Scope 2 Emission factor]])/GHGFY207[[#This Row],[Scope 2 Emission factor]]</f>
        <v>#DIV/0!</v>
      </c>
      <c r="AD139" s="3">
        <f>(U139-GHGFY207[[#This Row],[Scope 3 Emission factor]])/GHGFY207[[#This Row],[Scope 3 Emission factor]]</f>
        <v>18.416666666666668</v>
      </c>
    </row>
    <row r="140" spans="1:30" ht="29.1" hidden="1" customHeight="1">
      <c r="A140" t="s">
        <v>924</v>
      </c>
      <c r="B140" t="s">
        <v>1227</v>
      </c>
      <c r="C140" t="s">
        <v>4412</v>
      </c>
      <c r="D140" t="s">
        <v>1190</v>
      </c>
      <c r="E140" t="s">
        <v>673</v>
      </c>
      <c r="F140">
        <v>1E-3</v>
      </c>
      <c r="G140" t="s">
        <v>4413</v>
      </c>
      <c r="H140">
        <v>25.7</v>
      </c>
      <c r="I140" t="s">
        <v>1140</v>
      </c>
      <c r="J140" s="647">
        <v>60.600000000000009</v>
      </c>
      <c r="L140">
        <v>3.6</v>
      </c>
      <c r="M140" t="s">
        <v>4414</v>
      </c>
      <c r="N140" t="s">
        <v>4418</v>
      </c>
      <c r="P140" t="s">
        <v>4416</v>
      </c>
      <c r="S140" s="64">
        <f t="shared" si="0"/>
        <v>60.600000000000009</v>
      </c>
      <c r="U140">
        <v>60.2</v>
      </c>
      <c r="V140">
        <v>0.2</v>
      </c>
      <c r="W140">
        <v>0.2</v>
      </c>
      <c r="X140" s="56" t="str">
        <f>GHGFY207[[#This Row],[Data Source (scope 1)]]</f>
        <v>NGER (Measurement) Determination 2008 2019versions pg 318 - Part 3 Fuel combustion - 44</v>
      </c>
      <c r="Y140" s="65" t="s">
        <v>4416</v>
      </c>
      <c r="AB140" s="3">
        <f>(S140-GHGFY207[[#This Row],[Scope 1 Emission factor]])/GHGFY207[[#This Row],[Scope 1 Emission factor]]</f>
        <v>0</v>
      </c>
      <c r="AC140" s="3" t="e">
        <f>(T140-GHGFY207[[#This Row],[Scope 2 Emission factor]])/GHGFY207[[#This Row],[Scope 2 Emission factor]]</f>
        <v>#DIV/0!</v>
      </c>
      <c r="AD140" s="3">
        <f>(U140-GHGFY207[[#This Row],[Scope 3 Emission factor]])/GHGFY207[[#This Row],[Scope 3 Emission factor]]</f>
        <v>15.722222222222221</v>
      </c>
    </row>
    <row r="141" spans="1:30" ht="29.1" hidden="1" customHeight="1">
      <c r="A141" t="s">
        <v>925</v>
      </c>
      <c r="B141" t="s">
        <v>1227</v>
      </c>
      <c r="C141" t="s">
        <v>4412</v>
      </c>
      <c r="D141" t="s">
        <v>1192</v>
      </c>
      <c r="E141" t="s">
        <v>673</v>
      </c>
      <c r="F141">
        <v>1E-3</v>
      </c>
      <c r="G141" t="s">
        <v>4413</v>
      </c>
      <c r="H141">
        <v>25.7</v>
      </c>
      <c r="I141" t="s">
        <v>1140</v>
      </c>
      <c r="J141" s="647">
        <v>60.600000000000009</v>
      </c>
      <c r="L141">
        <v>3.6</v>
      </c>
      <c r="M141" t="s">
        <v>4414</v>
      </c>
      <c r="N141" t="s">
        <v>4418</v>
      </c>
      <c r="P141" t="s">
        <v>4416</v>
      </c>
      <c r="S141" s="64">
        <f t="shared" ref="S141:S155" si="1">SUM(U141:W141)</f>
        <v>60.600000000000009</v>
      </c>
      <c r="U141">
        <v>60.2</v>
      </c>
      <c r="V141">
        <v>0.2</v>
      </c>
      <c r="W141">
        <v>0.2</v>
      </c>
      <c r="X141" s="56" t="str">
        <f>GHGFY207[[#This Row],[Data Source (scope 1)]]</f>
        <v>NGER (Measurement) Determination 2008 2019versions pg 318 - Part 3 Fuel combustion - 44</v>
      </c>
      <c r="Y141" s="65" t="s">
        <v>4416</v>
      </c>
      <c r="AB141" s="3">
        <f>(S141-GHGFY207[[#This Row],[Scope 1 Emission factor]])/GHGFY207[[#This Row],[Scope 1 Emission factor]]</f>
        <v>0</v>
      </c>
      <c r="AC141" s="3" t="e">
        <f>(T141-GHGFY207[[#This Row],[Scope 2 Emission factor]])/GHGFY207[[#This Row],[Scope 2 Emission factor]]</f>
        <v>#DIV/0!</v>
      </c>
      <c r="AD141" s="3">
        <f>(U141-GHGFY207[[#This Row],[Scope 3 Emission factor]])/GHGFY207[[#This Row],[Scope 3 Emission factor]]</f>
        <v>15.722222222222221</v>
      </c>
    </row>
    <row r="142" spans="1:30" ht="29.1" hidden="1" customHeight="1">
      <c r="A142" t="s">
        <v>926</v>
      </c>
      <c r="B142" t="s">
        <v>1227</v>
      </c>
      <c r="C142" t="s">
        <v>4412</v>
      </c>
      <c r="D142" t="s">
        <v>1189</v>
      </c>
      <c r="E142" t="s">
        <v>673</v>
      </c>
      <c r="F142">
        <v>1E-3</v>
      </c>
      <c r="G142" t="s">
        <v>4413</v>
      </c>
      <c r="H142">
        <v>25.7</v>
      </c>
      <c r="I142" t="s">
        <v>1140</v>
      </c>
      <c r="J142" s="647">
        <v>60.600000000000009</v>
      </c>
      <c r="L142">
        <v>3.6</v>
      </c>
      <c r="M142" t="s">
        <v>4414</v>
      </c>
      <c r="N142" t="s">
        <v>4418</v>
      </c>
      <c r="P142" t="s">
        <v>4416</v>
      </c>
      <c r="S142" s="64">
        <f t="shared" si="1"/>
        <v>60.600000000000009</v>
      </c>
      <c r="U142">
        <v>60.2</v>
      </c>
      <c r="V142">
        <v>0.2</v>
      </c>
      <c r="W142">
        <v>0.2</v>
      </c>
      <c r="X142" s="56" t="str">
        <f>GHGFY207[[#This Row],[Data Source (scope 1)]]</f>
        <v>NGER (Measurement) Determination 2008 2019versions pg 318 - Part 3 Fuel combustion - 44</v>
      </c>
      <c r="Y142" s="65" t="s">
        <v>4416</v>
      </c>
      <c r="AB142" s="3">
        <f>(S142-GHGFY207[[#This Row],[Scope 1 Emission factor]])/GHGFY207[[#This Row],[Scope 1 Emission factor]]</f>
        <v>0</v>
      </c>
      <c r="AC142" s="3" t="e">
        <f>(T142-GHGFY207[[#This Row],[Scope 2 Emission factor]])/GHGFY207[[#This Row],[Scope 2 Emission factor]]</f>
        <v>#DIV/0!</v>
      </c>
      <c r="AD142" s="3">
        <f>(U142-GHGFY207[[#This Row],[Scope 3 Emission factor]])/GHGFY207[[#This Row],[Scope 3 Emission factor]]</f>
        <v>15.722222222222221</v>
      </c>
    </row>
    <row r="143" spans="1:30" ht="29.1" hidden="1" customHeight="1">
      <c r="A143" t="s">
        <v>927</v>
      </c>
      <c r="B143" t="s">
        <v>1227</v>
      </c>
      <c r="C143" t="s">
        <v>4412</v>
      </c>
      <c r="D143" t="s">
        <v>1210</v>
      </c>
      <c r="E143" t="s">
        <v>673</v>
      </c>
      <c r="F143">
        <v>1E-3</v>
      </c>
      <c r="G143" t="s">
        <v>4413</v>
      </c>
      <c r="H143">
        <v>25.7</v>
      </c>
      <c r="I143" t="s">
        <v>1140</v>
      </c>
      <c r="J143" s="647">
        <v>60.600000000000009</v>
      </c>
      <c r="L143">
        <v>3.6</v>
      </c>
      <c r="M143" t="s">
        <v>4414</v>
      </c>
      <c r="N143" t="s">
        <v>4418</v>
      </c>
      <c r="P143" t="s">
        <v>4416</v>
      </c>
      <c r="S143" s="64">
        <f t="shared" si="1"/>
        <v>60.600000000000009</v>
      </c>
      <c r="U143">
        <v>60.2</v>
      </c>
      <c r="V143">
        <v>0.2</v>
      </c>
      <c r="W143">
        <v>0.2</v>
      </c>
      <c r="X143" s="56" t="str">
        <f>GHGFY207[[#This Row],[Data Source (scope 1)]]</f>
        <v>NGER (Measurement) Determination 2008 2019versions pg 318 - Part 3 Fuel combustion - 44</v>
      </c>
      <c r="Y143" s="65" t="s">
        <v>4416</v>
      </c>
      <c r="AB143" s="3">
        <f>(S143-GHGFY207[[#This Row],[Scope 1 Emission factor]])/GHGFY207[[#This Row],[Scope 1 Emission factor]]</f>
        <v>0</v>
      </c>
      <c r="AC143" s="3" t="e">
        <f>(T143-GHGFY207[[#This Row],[Scope 2 Emission factor]])/GHGFY207[[#This Row],[Scope 2 Emission factor]]</f>
        <v>#DIV/0!</v>
      </c>
      <c r="AD143" s="3">
        <f>(U143-GHGFY207[[#This Row],[Scope 3 Emission factor]])/GHGFY207[[#This Row],[Scope 3 Emission factor]]</f>
        <v>15.722222222222221</v>
      </c>
    </row>
    <row r="144" spans="1:30" ht="29.1" hidden="1" customHeight="1">
      <c r="A144" t="s">
        <v>928</v>
      </c>
      <c r="B144" t="s">
        <v>1227</v>
      </c>
      <c r="C144" t="s">
        <v>4412</v>
      </c>
      <c r="D144" t="s">
        <v>1216</v>
      </c>
      <c r="E144" t="s">
        <v>673</v>
      </c>
      <c r="F144">
        <v>1E-3</v>
      </c>
      <c r="G144" t="s">
        <v>4413</v>
      </c>
      <c r="H144">
        <v>25.7</v>
      </c>
      <c r="I144" t="s">
        <v>1140</v>
      </c>
      <c r="J144" s="647">
        <v>60.600000000000009</v>
      </c>
      <c r="L144">
        <v>3.6</v>
      </c>
      <c r="M144" t="s">
        <v>4414</v>
      </c>
      <c r="N144" t="s">
        <v>4418</v>
      </c>
      <c r="P144" t="s">
        <v>4416</v>
      </c>
      <c r="S144" s="64">
        <f t="shared" si="1"/>
        <v>60.600000000000009</v>
      </c>
      <c r="U144">
        <v>60.2</v>
      </c>
      <c r="V144">
        <v>0.2</v>
      </c>
      <c r="W144">
        <v>0.2</v>
      </c>
      <c r="X144" s="56" t="str">
        <f>GHGFY207[[#This Row],[Data Source (scope 1)]]</f>
        <v>NGER (Measurement) Determination 2008 2019versions pg 318 - Part 3 Fuel combustion - 44</v>
      </c>
      <c r="Y144" s="65" t="s">
        <v>4416</v>
      </c>
      <c r="AB144" s="3">
        <f>(S144-GHGFY207[[#This Row],[Scope 1 Emission factor]])/GHGFY207[[#This Row],[Scope 1 Emission factor]]</f>
        <v>0</v>
      </c>
      <c r="AC144" s="3" t="e">
        <f>(T144-GHGFY207[[#This Row],[Scope 2 Emission factor]])/GHGFY207[[#This Row],[Scope 2 Emission factor]]</f>
        <v>#DIV/0!</v>
      </c>
      <c r="AD144" s="3">
        <f>(U144-GHGFY207[[#This Row],[Scope 3 Emission factor]])/GHGFY207[[#This Row],[Scope 3 Emission factor]]</f>
        <v>15.722222222222221</v>
      </c>
    </row>
    <row r="145" spans="1:30" ht="29.1" hidden="1" customHeight="1">
      <c r="A145" t="s">
        <v>929</v>
      </c>
      <c r="B145" t="s">
        <v>1227</v>
      </c>
      <c r="C145" t="s">
        <v>4412</v>
      </c>
      <c r="D145" t="s">
        <v>1193</v>
      </c>
      <c r="E145" t="s">
        <v>673</v>
      </c>
      <c r="F145">
        <v>1E-3</v>
      </c>
      <c r="G145" t="s">
        <v>4413</v>
      </c>
      <c r="H145">
        <v>25.7</v>
      </c>
      <c r="I145" t="s">
        <v>1140</v>
      </c>
      <c r="J145" s="647">
        <v>60.600000000000009</v>
      </c>
      <c r="L145">
        <v>3.6</v>
      </c>
      <c r="M145" t="s">
        <v>4414</v>
      </c>
      <c r="N145" t="s">
        <v>4418</v>
      </c>
      <c r="P145" t="s">
        <v>4416</v>
      </c>
      <c r="S145" s="64">
        <f t="shared" si="1"/>
        <v>60.600000000000009</v>
      </c>
      <c r="U145">
        <v>60.2</v>
      </c>
      <c r="V145">
        <v>0.2</v>
      </c>
      <c r="W145">
        <v>0.2</v>
      </c>
      <c r="X145" s="56" t="str">
        <f>GHGFY207[[#This Row],[Data Source (scope 1)]]</f>
        <v>NGER (Measurement) Determination 2008 2019versions pg 318 - Part 3 Fuel combustion - 44</v>
      </c>
      <c r="Y145" s="65" t="s">
        <v>4416</v>
      </c>
      <c r="AB145" s="3">
        <f>(S145-GHGFY207[[#This Row],[Scope 1 Emission factor]])/GHGFY207[[#This Row],[Scope 1 Emission factor]]</f>
        <v>0</v>
      </c>
      <c r="AC145" s="3" t="e">
        <f>(T145-GHGFY207[[#This Row],[Scope 2 Emission factor]])/GHGFY207[[#This Row],[Scope 2 Emission factor]]</f>
        <v>#DIV/0!</v>
      </c>
      <c r="AD145" s="3">
        <f>(U145-GHGFY207[[#This Row],[Scope 3 Emission factor]])/GHGFY207[[#This Row],[Scope 3 Emission factor]]</f>
        <v>15.722222222222221</v>
      </c>
    </row>
    <row r="146" spans="1:30" ht="29.1" hidden="1" customHeight="1">
      <c r="A146" t="s">
        <v>930</v>
      </c>
      <c r="B146" t="s">
        <v>1227</v>
      </c>
      <c r="C146" t="s">
        <v>4412</v>
      </c>
      <c r="D146" t="s">
        <v>1213</v>
      </c>
      <c r="E146" t="s">
        <v>673</v>
      </c>
      <c r="F146">
        <v>1E-3</v>
      </c>
      <c r="G146" t="s">
        <v>4413</v>
      </c>
      <c r="H146">
        <v>25.7</v>
      </c>
      <c r="I146" t="s">
        <v>1140</v>
      </c>
      <c r="J146" s="647">
        <v>60.600000000000009</v>
      </c>
      <c r="L146">
        <v>3.6</v>
      </c>
      <c r="M146" t="s">
        <v>4414</v>
      </c>
      <c r="N146" t="s">
        <v>4418</v>
      </c>
      <c r="P146" t="s">
        <v>4416</v>
      </c>
      <c r="S146" s="64">
        <f t="shared" si="1"/>
        <v>60.600000000000009</v>
      </c>
      <c r="U146">
        <v>60.2</v>
      </c>
      <c r="V146">
        <v>0.2</v>
      </c>
      <c r="W146">
        <v>0.2</v>
      </c>
      <c r="X146" s="56" t="str">
        <f>GHGFY207[[#This Row],[Data Source (scope 1)]]</f>
        <v>NGER (Measurement) Determination 2008 2019versions pg 318 - Part 3 Fuel combustion - 44</v>
      </c>
      <c r="Y146" s="65" t="s">
        <v>4416</v>
      </c>
      <c r="AB146" s="3">
        <f>(S146-GHGFY207[[#This Row],[Scope 1 Emission factor]])/GHGFY207[[#This Row],[Scope 1 Emission factor]]</f>
        <v>0</v>
      </c>
      <c r="AC146" s="3" t="e">
        <f>(T146-GHGFY207[[#This Row],[Scope 2 Emission factor]])/GHGFY207[[#This Row],[Scope 2 Emission factor]]</f>
        <v>#DIV/0!</v>
      </c>
      <c r="AD146" s="3">
        <f>(U146-GHGFY207[[#This Row],[Scope 3 Emission factor]])/GHGFY207[[#This Row],[Scope 3 Emission factor]]</f>
        <v>15.722222222222221</v>
      </c>
    </row>
    <row r="147" spans="1:30" ht="29.1" hidden="1" customHeight="1">
      <c r="A147" t="s">
        <v>931</v>
      </c>
      <c r="B147" t="s">
        <v>1227</v>
      </c>
      <c r="C147" t="s">
        <v>4412</v>
      </c>
      <c r="D147" t="s">
        <v>1208</v>
      </c>
      <c r="E147" t="s">
        <v>673</v>
      </c>
      <c r="F147">
        <v>1E-3</v>
      </c>
      <c r="G147" t="s">
        <v>4413</v>
      </c>
      <c r="H147">
        <v>25.7</v>
      </c>
      <c r="I147" t="s">
        <v>1140</v>
      </c>
      <c r="J147" s="647">
        <v>60.600000000000009</v>
      </c>
      <c r="L147">
        <v>3.6</v>
      </c>
      <c r="M147" t="s">
        <v>4414</v>
      </c>
      <c r="N147" t="s">
        <v>4418</v>
      </c>
      <c r="P147" t="s">
        <v>4416</v>
      </c>
      <c r="S147" s="64">
        <f t="shared" si="1"/>
        <v>60.600000000000009</v>
      </c>
      <c r="U147">
        <v>60.2</v>
      </c>
      <c r="V147">
        <v>0.2</v>
      </c>
      <c r="W147">
        <v>0.2</v>
      </c>
      <c r="X147" s="56" t="str">
        <f>GHGFY207[[#This Row],[Data Source (scope 1)]]</f>
        <v>NGER (Measurement) Determination 2008 2019versions pg 318 - Part 3 Fuel combustion - 44</v>
      </c>
      <c r="Y147" s="65" t="s">
        <v>4416</v>
      </c>
      <c r="AB147" s="3">
        <f>(S147-GHGFY207[[#This Row],[Scope 1 Emission factor]])/GHGFY207[[#This Row],[Scope 1 Emission factor]]</f>
        <v>0</v>
      </c>
      <c r="AC147" s="3" t="e">
        <f>(T147-GHGFY207[[#This Row],[Scope 2 Emission factor]])/GHGFY207[[#This Row],[Scope 2 Emission factor]]</f>
        <v>#DIV/0!</v>
      </c>
      <c r="AD147" s="3">
        <f>(U147-GHGFY207[[#This Row],[Scope 3 Emission factor]])/GHGFY207[[#This Row],[Scope 3 Emission factor]]</f>
        <v>15.722222222222221</v>
      </c>
    </row>
    <row r="148" spans="1:30" ht="29.1" hidden="1" customHeight="1">
      <c r="A148" t="s">
        <v>932</v>
      </c>
      <c r="B148" t="s">
        <v>1227</v>
      </c>
      <c r="C148" t="s">
        <v>4412</v>
      </c>
      <c r="D148" t="s">
        <v>1190</v>
      </c>
      <c r="E148" t="s">
        <v>673</v>
      </c>
      <c r="F148">
        <v>1E-3</v>
      </c>
      <c r="G148" t="s">
        <v>4413</v>
      </c>
      <c r="H148">
        <v>34.200000000000003</v>
      </c>
      <c r="I148" t="s">
        <v>1140</v>
      </c>
      <c r="J148" s="647">
        <v>67.800000000000011</v>
      </c>
      <c r="L148">
        <v>3.6</v>
      </c>
      <c r="M148" t="s">
        <v>4414</v>
      </c>
      <c r="N148" t="s">
        <v>4419</v>
      </c>
      <c r="P148" t="s">
        <v>4416</v>
      </c>
      <c r="S148" s="64">
        <f t="shared" si="1"/>
        <v>67.800000000000011</v>
      </c>
      <c r="U148">
        <v>67.400000000000006</v>
      </c>
      <c r="V148">
        <v>0.2</v>
      </c>
      <c r="W148">
        <v>0.2</v>
      </c>
      <c r="X148" s="56" t="str">
        <f>GHGFY207[[#This Row],[Data Source (scope 1)]]</f>
        <v>NGER (Measurement) Determination 2008 2019versions pg 318 - Part 3 Fuel combustion - 35</v>
      </c>
      <c r="Y148" s="65" t="s">
        <v>4416</v>
      </c>
      <c r="AB148" s="3">
        <f>(S148-GHGFY207[[#This Row],[Scope 1 Emission factor]])/GHGFY207[[#This Row],[Scope 1 Emission factor]]</f>
        <v>0</v>
      </c>
      <c r="AC148" s="3" t="e">
        <f>(T148-GHGFY207[[#This Row],[Scope 2 Emission factor]])/GHGFY207[[#This Row],[Scope 2 Emission factor]]</f>
        <v>#DIV/0!</v>
      </c>
      <c r="AD148" s="3">
        <f>(U148-GHGFY207[[#This Row],[Scope 3 Emission factor]])/GHGFY207[[#This Row],[Scope 3 Emission factor]]</f>
        <v>17.722222222222221</v>
      </c>
    </row>
    <row r="149" spans="1:30" ht="29.1" hidden="1" customHeight="1">
      <c r="A149" t="s">
        <v>933</v>
      </c>
      <c r="B149" t="s">
        <v>1227</v>
      </c>
      <c r="C149" t="s">
        <v>4412</v>
      </c>
      <c r="D149" t="s">
        <v>1192</v>
      </c>
      <c r="E149" t="s">
        <v>673</v>
      </c>
      <c r="F149">
        <v>1E-3</v>
      </c>
      <c r="G149" t="s">
        <v>4413</v>
      </c>
      <c r="H149">
        <v>34.200000000000003</v>
      </c>
      <c r="I149" t="s">
        <v>1140</v>
      </c>
      <c r="J149" s="647">
        <v>67.800000000000011</v>
      </c>
      <c r="L149">
        <v>3.6</v>
      </c>
      <c r="M149" t="s">
        <v>4414</v>
      </c>
      <c r="N149" t="s">
        <v>4419</v>
      </c>
      <c r="P149" t="s">
        <v>4416</v>
      </c>
      <c r="S149" s="64">
        <f t="shared" si="1"/>
        <v>67.800000000000011</v>
      </c>
      <c r="U149">
        <v>67.400000000000006</v>
      </c>
      <c r="V149">
        <v>0.2</v>
      </c>
      <c r="W149">
        <v>0.2</v>
      </c>
      <c r="X149" s="56" t="str">
        <f>GHGFY207[[#This Row],[Data Source (scope 1)]]</f>
        <v>NGER (Measurement) Determination 2008 2019versions pg 318 - Part 3 Fuel combustion - 35</v>
      </c>
      <c r="Y149" s="65" t="s">
        <v>4416</v>
      </c>
      <c r="AB149" s="3">
        <f>(S149-GHGFY207[[#This Row],[Scope 1 Emission factor]])/GHGFY207[[#This Row],[Scope 1 Emission factor]]</f>
        <v>0</v>
      </c>
      <c r="AC149" s="3" t="e">
        <f>(T149-GHGFY207[[#This Row],[Scope 2 Emission factor]])/GHGFY207[[#This Row],[Scope 2 Emission factor]]</f>
        <v>#DIV/0!</v>
      </c>
      <c r="AD149" s="3">
        <f>(U149-GHGFY207[[#This Row],[Scope 3 Emission factor]])/GHGFY207[[#This Row],[Scope 3 Emission factor]]</f>
        <v>17.722222222222221</v>
      </c>
    </row>
    <row r="150" spans="1:30" ht="29.1" hidden="1" customHeight="1">
      <c r="A150" t="s">
        <v>938</v>
      </c>
      <c r="B150" t="s">
        <v>1227</v>
      </c>
      <c r="C150" t="s">
        <v>4412</v>
      </c>
      <c r="D150" t="s">
        <v>1189</v>
      </c>
      <c r="E150" t="s">
        <v>673</v>
      </c>
      <c r="F150">
        <v>1E-3</v>
      </c>
      <c r="G150" t="s">
        <v>4413</v>
      </c>
      <c r="H150">
        <v>34.200000000000003</v>
      </c>
      <c r="I150" t="s">
        <v>1140</v>
      </c>
      <c r="J150" s="647">
        <v>67.800000000000011</v>
      </c>
      <c r="L150">
        <v>3.6</v>
      </c>
      <c r="M150" t="s">
        <v>4414</v>
      </c>
      <c r="N150" t="s">
        <v>4419</v>
      </c>
      <c r="P150" t="s">
        <v>4416</v>
      </c>
      <c r="S150" s="64">
        <f t="shared" si="1"/>
        <v>67.800000000000011</v>
      </c>
      <c r="U150">
        <v>67.400000000000006</v>
      </c>
      <c r="V150">
        <v>0.2</v>
      </c>
      <c r="W150">
        <v>0.2</v>
      </c>
      <c r="X150" s="56" t="str">
        <f>GHGFY207[[#This Row],[Data Source (scope 1)]]</f>
        <v>NGER (Measurement) Determination 2008 2019versions pg 318 - Part 3 Fuel combustion - 35</v>
      </c>
      <c r="Y150" s="65" t="s">
        <v>4416</v>
      </c>
      <c r="AB150" s="3">
        <f>(S150-GHGFY207[[#This Row],[Scope 1 Emission factor]])/GHGFY207[[#This Row],[Scope 1 Emission factor]]</f>
        <v>0</v>
      </c>
      <c r="AC150" s="3" t="e">
        <f>(T150-GHGFY207[[#This Row],[Scope 2 Emission factor]])/GHGFY207[[#This Row],[Scope 2 Emission factor]]</f>
        <v>#DIV/0!</v>
      </c>
      <c r="AD150" s="3">
        <f>(U150-GHGFY207[[#This Row],[Scope 3 Emission factor]])/GHGFY207[[#This Row],[Scope 3 Emission factor]]</f>
        <v>17.722222222222221</v>
      </c>
    </row>
    <row r="151" spans="1:30" ht="29.1" hidden="1" customHeight="1">
      <c r="A151" t="s">
        <v>935</v>
      </c>
      <c r="B151" t="s">
        <v>1227</v>
      </c>
      <c r="C151" t="s">
        <v>4412</v>
      </c>
      <c r="D151" t="s">
        <v>1210</v>
      </c>
      <c r="E151" t="s">
        <v>673</v>
      </c>
      <c r="F151">
        <v>1E-3</v>
      </c>
      <c r="G151" t="s">
        <v>4413</v>
      </c>
      <c r="H151">
        <v>34.200000000000003</v>
      </c>
      <c r="I151" t="s">
        <v>1140</v>
      </c>
      <c r="J151" s="647">
        <v>67.800000000000011</v>
      </c>
      <c r="L151">
        <v>3.6</v>
      </c>
      <c r="M151" t="s">
        <v>4414</v>
      </c>
      <c r="N151" t="s">
        <v>4419</v>
      </c>
      <c r="P151" t="s">
        <v>4416</v>
      </c>
      <c r="S151" s="64">
        <f t="shared" si="1"/>
        <v>67.800000000000011</v>
      </c>
      <c r="U151">
        <v>67.400000000000006</v>
      </c>
      <c r="V151">
        <v>0.2</v>
      </c>
      <c r="W151">
        <v>0.2</v>
      </c>
      <c r="X151" s="56" t="str">
        <f>GHGFY207[[#This Row],[Data Source (scope 1)]]</f>
        <v>NGER (Measurement) Determination 2008 2019versions pg 318 - Part 3 Fuel combustion - 35</v>
      </c>
      <c r="Y151" s="65" t="s">
        <v>4416</v>
      </c>
      <c r="AB151" s="3">
        <f>(S151-GHGFY207[[#This Row],[Scope 1 Emission factor]])/GHGFY207[[#This Row],[Scope 1 Emission factor]]</f>
        <v>0</v>
      </c>
      <c r="AC151" s="3" t="e">
        <f>(T151-GHGFY207[[#This Row],[Scope 2 Emission factor]])/GHGFY207[[#This Row],[Scope 2 Emission factor]]</f>
        <v>#DIV/0!</v>
      </c>
      <c r="AD151" s="3">
        <f>(U151-GHGFY207[[#This Row],[Scope 3 Emission factor]])/GHGFY207[[#This Row],[Scope 3 Emission factor]]</f>
        <v>17.722222222222221</v>
      </c>
    </row>
    <row r="152" spans="1:30" ht="29.1" hidden="1" customHeight="1">
      <c r="A152" t="s">
        <v>939</v>
      </c>
      <c r="B152" t="s">
        <v>1227</v>
      </c>
      <c r="C152" t="s">
        <v>4412</v>
      </c>
      <c r="D152" t="s">
        <v>1216</v>
      </c>
      <c r="E152" t="s">
        <v>673</v>
      </c>
      <c r="F152">
        <v>1E-3</v>
      </c>
      <c r="G152" t="s">
        <v>4413</v>
      </c>
      <c r="H152">
        <v>34.200000000000003</v>
      </c>
      <c r="I152" t="s">
        <v>1140</v>
      </c>
      <c r="J152" s="647">
        <v>67.800000000000011</v>
      </c>
      <c r="L152">
        <v>3.6</v>
      </c>
      <c r="M152" t="s">
        <v>4414</v>
      </c>
      <c r="N152" t="s">
        <v>4419</v>
      </c>
      <c r="P152" t="s">
        <v>4416</v>
      </c>
      <c r="S152" s="64">
        <f t="shared" si="1"/>
        <v>67.800000000000011</v>
      </c>
      <c r="U152">
        <v>67.400000000000006</v>
      </c>
      <c r="V152">
        <v>0.2</v>
      </c>
      <c r="W152">
        <v>0.2</v>
      </c>
      <c r="X152" s="56" t="str">
        <f>GHGFY207[[#This Row],[Data Source (scope 1)]]</f>
        <v>NGER (Measurement) Determination 2008 2019versions pg 318 - Part 3 Fuel combustion - 35</v>
      </c>
      <c r="Y152" s="65" t="s">
        <v>4416</v>
      </c>
      <c r="AB152" s="3">
        <f>(S152-GHGFY207[[#This Row],[Scope 1 Emission factor]])/GHGFY207[[#This Row],[Scope 1 Emission factor]]</f>
        <v>0</v>
      </c>
      <c r="AC152" s="3" t="e">
        <f>(T152-GHGFY207[[#This Row],[Scope 2 Emission factor]])/GHGFY207[[#This Row],[Scope 2 Emission factor]]</f>
        <v>#DIV/0!</v>
      </c>
      <c r="AD152" s="3">
        <f>(U152-GHGFY207[[#This Row],[Scope 3 Emission factor]])/GHGFY207[[#This Row],[Scope 3 Emission factor]]</f>
        <v>17.722222222222221</v>
      </c>
    </row>
    <row r="153" spans="1:30" ht="29.1" hidden="1" customHeight="1">
      <c r="A153" t="s">
        <v>936</v>
      </c>
      <c r="B153" t="s">
        <v>1227</v>
      </c>
      <c r="C153" t="s">
        <v>4412</v>
      </c>
      <c r="D153" t="s">
        <v>1193</v>
      </c>
      <c r="E153" t="s">
        <v>673</v>
      </c>
      <c r="F153">
        <v>1E-3</v>
      </c>
      <c r="G153" t="s">
        <v>4413</v>
      </c>
      <c r="H153">
        <v>34.200000000000003</v>
      </c>
      <c r="I153" t="s">
        <v>1140</v>
      </c>
      <c r="J153" s="647">
        <v>67.800000000000011</v>
      </c>
      <c r="L153">
        <v>3.6</v>
      </c>
      <c r="M153" t="s">
        <v>4414</v>
      </c>
      <c r="N153" t="s">
        <v>4419</v>
      </c>
      <c r="P153" t="s">
        <v>4416</v>
      </c>
      <c r="S153" s="64">
        <f t="shared" si="1"/>
        <v>67.800000000000011</v>
      </c>
      <c r="U153">
        <v>67.400000000000006</v>
      </c>
      <c r="V153">
        <v>0.2</v>
      </c>
      <c r="W153">
        <v>0.2</v>
      </c>
      <c r="X153" s="56" t="str">
        <f>GHGFY207[[#This Row],[Data Source (scope 1)]]</f>
        <v>NGER (Measurement) Determination 2008 2019versions pg 318 - Part 3 Fuel combustion - 35</v>
      </c>
      <c r="Y153" s="65" t="s">
        <v>4416</v>
      </c>
      <c r="AB153" s="3">
        <f>(S153-GHGFY207[[#This Row],[Scope 1 Emission factor]])/GHGFY207[[#This Row],[Scope 1 Emission factor]]</f>
        <v>0</v>
      </c>
      <c r="AC153" s="3" t="e">
        <f>(T153-GHGFY207[[#This Row],[Scope 2 Emission factor]])/GHGFY207[[#This Row],[Scope 2 Emission factor]]</f>
        <v>#DIV/0!</v>
      </c>
      <c r="AD153" s="3">
        <f>(U153-GHGFY207[[#This Row],[Scope 3 Emission factor]])/GHGFY207[[#This Row],[Scope 3 Emission factor]]</f>
        <v>17.722222222222221</v>
      </c>
    </row>
    <row r="154" spans="1:30" ht="29.1" hidden="1" customHeight="1">
      <c r="A154" t="s">
        <v>937</v>
      </c>
      <c r="B154" t="s">
        <v>1227</v>
      </c>
      <c r="C154" t="s">
        <v>4412</v>
      </c>
      <c r="D154" t="s">
        <v>1213</v>
      </c>
      <c r="E154" t="s">
        <v>673</v>
      </c>
      <c r="F154">
        <v>1E-3</v>
      </c>
      <c r="G154" t="s">
        <v>4413</v>
      </c>
      <c r="H154">
        <v>34.200000000000003</v>
      </c>
      <c r="I154" t="s">
        <v>1140</v>
      </c>
      <c r="J154" s="647">
        <v>67.800000000000011</v>
      </c>
      <c r="L154">
        <v>3.6</v>
      </c>
      <c r="M154" t="s">
        <v>4414</v>
      </c>
      <c r="N154" t="s">
        <v>4419</v>
      </c>
      <c r="P154" t="s">
        <v>4416</v>
      </c>
      <c r="S154" s="64">
        <f t="shared" si="1"/>
        <v>67.800000000000011</v>
      </c>
      <c r="U154">
        <v>67.400000000000006</v>
      </c>
      <c r="V154">
        <v>0.2</v>
      </c>
      <c r="W154">
        <v>0.2</v>
      </c>
      <c r="X154" s="56" t="str">
        <f>GHGFY207[[#This Row],[Data Source (scope 1)]]</f>
        <v>NGER (Measurement) Determination 2008 2019versions pg 318 - Part 3 Fuel combustion - 35</v>
      </c>
      <c r="Y154" s="65" t="s">
        <v>4416</v>
      </c>
      <c r="AB154" s="3">
        <f>(S154-GHGFY207[[#This Row],[Scope 1 Emission factor]])/GHGFY207[[#This Row],[Scope 1 Emission factor]]</f>
        <v>0</v>
      </c>
      <c r="AC154" s="3" t="e">
        <f>(T154-GHGFY207[[#This Row],[Scope 2 Emission factor]])/GHGFY207[[#This Row],[Scope 2 Emission factor]]</f>
        <v>#DIV/0!</v>
      </c>
      <c r="AD154" s="3">
        <f>(U154-GHGFY207[[#This Row],[Scope 3 Emission factor]])/GHGFY207[[#This Row],[Scope 3 Emission factor]]</f>
        <v>17.722222222222221</v>
      </c>
    </row>
    <row r="155" spans="1:30" ht="29.1" hidden="1" customHeight="1">
      <c r="A155" t="s">
        <v>934</v>
      </c>
      <c r="B155" t="s">
        <v>1227</v>
      </c>
      <c r="C155" t="s">
        <v>4412</v>
      </c>
      <c r="D155" t="s">
        <v>1208</v>
      </c>
      <c r="E155" t="s">
        <v>673</v>
      </c>
      <c r="F155">
        <v>1E-3</v>
      </c>
      <c r="G155" t="s">
        <v>4413</v>
      </c>
      <c r="H155">
        <v>34.200000000000003</v>
      </c>
      <c r="I155" t="s">
        <v>1140</v>
      </c>
      <c r="J155" s="647">
        <v>67.800000000000011</v>
      </c>
      <c r="L155">
        <v>3.6</v>
      </c>
      <c r="M155" t="s">
        <v>4414</v>
      </c>
      <c r="N155" t="s">
        <v>4419</v>
      </c>
      <c r="P155" t="s">
        <v>4416</v>
      </c>
      <c r="S155" s="64">
        <f t="shared" si="1"/>
        <v>67.800000000000011</v>
      </c>
      <c r="U155">
        <v>67.400000000000006</v>
      </c>
      <c r="V155">
        <v>0.2</v>
      </c>
      <c r="W155">
        <v>0.2</v>
      </c>
      <c r="X155" s="56" t="str">
        <f>GHGFY207[[#This Row],[Data Source (scope 1)]]</f>
        <v>NGER (Measurement) Determination 2008 2019versions pg 318 - Part 3 Fuel combustion - 35</v>
      </c>
      <c r="Y155" s="65" t="s">
        <v>4416</v>
      </c>
      <c r="AB155" s="3">
        <f>(S155-GHGFY207[[#This Row],[Scope 1 Emission factor]])/GHGFY207[[#This Row],[Scope 1 Emission factor]]</f>
        <v>0</v>
      </c>
      <c r="AC155" s="3" t="e">
        <f>(T155-GHGFY207[[#This Row],[Scope 2 Emission factor]])/GHGFY207[[#This Row],[Scope 2 Emission factor]]</f>
        <v>#DIV/0!</v>
      </c>
      <c r="AD155" s="3">
        <f>(U155-GHGFY207[[#This Row],[Scope 3 Emission factor]])/GHGFY207[[#This Row],[Scope 3 Emission factor]]</f>
        <v>17.722222222222221</v>
      </c>
    </row>
    <row r="156" spans="1:30" ht="29.1" hidden="1" customHeight="1">
      <c r="A156" t="s">
        <v>877</v>
      </c>
      <c r="B156" t="s">
        <v>1227</v>
      </c>
      <c r="C156" t="s">
        <v>4412</v>
      </c>
      <c r="D156" t="s">
        <v>1192</v>
      </c>
      <c r="E156" t="s">
        <v>673</v>
      </c>
      <c r="F156">
        <v>1E-3</v>
      </c>
      <c r="G156" t="s">
        <v>4413</v>
      </c>
      <c r="H156">
        <v>38.6</v>
      </c>
      <c r="I156" t="s">
        <v>1140</v>
      </c>
      <c r="J156" s="647">
        <v>70.2</v>
      </c>
      <c r="L156">
        <v>3.6</v>
      </c>
      <c r="M156" t="s">
        <v>4414</v>
      </c>
      <c r="N156" t="s">
        <v>4415</v>
      </c>
      <c r="P156" t="s">
        <v>4416</v>
      </c>
      <c r="S156" s="64">
        <f>SUM(U156:W156)</f>
        <v>70.2</v>
      </c>
      <c r="U156" s="5">
        <v>69.900000000000006</v>
      </c>
      <c r="V156" s="5">
        <v>0.1</v>
      </c>
      <c r="W156" s="5">
        <v>0.2</v>
      </c>
      <c r="X156" s="56" t="str">
        <f>GHGFY207[[#This Row],[Data Source (scope 1)]]</f>
        <v>NGER (Measurement) Determination 2008 2019versions pg 318 - Part 3 Fuel combustion - 40</v>
      </c>
      <c r="Y156" s="65" t="s">
        <v>4416</v>
      </c>
      <c r="AB156" s="3">
        <f>(S156-GHGFY207[[#This Row],[Scope 1 Emission factor]])/GHGFY207[[#This Row],[Scope 1 Emission factor]]</f>
        <v>0</v>
      </c>
      <c r="AC156" s="3" t="e">
        <f>(T156-GHGFY207[[#This Row],[Scope 2 Emission factor]])/GHGFY207[[#This Row],[Scope 2 Emission factor]]</f>
        <v>#DIV/0!</v>
      </c>
      <c r="AD156" s="3">
        <f>(U156-GHGFY207[[#This Row],[Scope 3 Emission factor]])/GHGFY207[[#This Row],[Scope 3 Emission factor]]</f>
        <v>18.416666666666668</v>
      </c>
    </row>
    <row r="157" spans="1:30" ht="29.1" hidden="1" customHeight="1">
      <c r="A157" t="s">
        <v>878</v>
      </c>
      <c r="B157" t="s">
        <v>1227</v>
      </c>
      <c r="C157" t="s">
        <v>4412</v>
      </c>
      <c r="D157" t="s">
        <v>1189</v>
      </c>
      <c r="E157" t="s">
        <v>673</v>
      </c>
      <c r="F157">
        <v>1E-3</v>
      </c>
      <c r="G157" t="s">
        <v>4413</v>
      </c>
      <c r="H157">
        <v>38.6</v>
      </c>
      <c r="I157" t="s">
        <v>1140</v>
      </c>
      <c r="J157" s="647">
        <v>70.2</v>
      </c>
      <c r="L157">
        <v>3.6</v>
      </c>
      <c r="M157" t="s">
        <v>4414</v>
      </c>
      <c r="N157" t="s">
        <v>4415</v>
      </c>
      <c r="P157" t="s">
        <v>4416</v>
      </c>
      <c r="S157" s="64">
        <f t="shared" ref="S157:S158" si="2">SUM(U157:W157)</f>
        <v>70.2</v>
      </c>
      <c r="U157" s="5">
        <v>69.900000000000006</v>
      </c>
      <c r="V157" s="5">
        <v>0.1</v>
      </c>
      <c r="W157" s="5">
        <v>0.2</v>
      </c>
      <c r="X157" s="56" t="str">
        <f>GHGFY207[[#This Row],[Data Source (scope 1)]]</f>
        <v>NGER (Measurement) Determination 2008 2019versions pg 318 - Part 3 Fuel combustion - 40</v>
      </c>
      <c r="Y157" s="65" t="s">
        <v>4416</v>
      </c>
      <c r="AB157" s="3">
        <f>(S157-GHGFY207[[#This Row],[Scope 1 Emission factor]])/GHGFY207[[#This Row],[Scope 1 Emission factor]]</f>
        <v>0</v>
      </c>
      <c r="AC157" s="3" t="e">
        <f>(T157-GHGFY207[[#This Row],[Scope 2 Emission factor]])/GHGFY207[[#This Row],[Scope 2 Emission factor]]</f>
        <v>#DIV/0!</v>
      </c>
      <c r="AD157" s="3">
        <f>(U157-GHGFY207[[#This Row],[Scope 3 Emission factor]])/GHGFY207[[#This Row],[Scope 3 Emission factor]]</f>
        <v>18.416666666666668</v>
      </c>
    </row>
    <row r="158" spans="1:30" ht="29.1" hidden="1" customHeight="1">
      <c r="A158" t="s">
        <v>879</v>
      </c>
      <c r="B158" t="s">
        <v>1227</v>
      </c>
      <c r="C158" t="s">
        <v>4412</v>
      </c>
      <c r="D158" t="s">
        <v>1192</v>
      </c>
      <c r="E158" t="s">
        <v>673</v>
      </c>
      <c r="F158">
        <v>1E-3</v>
      </c>
      <c r="G158" t="s">
        <v>4413</v>
      </c>
      <c r="H158">
        <v>38.6</v>
      </c>
      <c r="I158" t="s">
        <v>1140</v>
      </c>
      <c r="J158" s="647">
        <v>70.2</v>
      </c>
      <c r="L158">
        <v>3.6</v>
      </c>
      <c r="M158" t="s">
        <v>4414</v>
      </c>
      <c r="N158" t="s">
        <v>4415</v>
      </c>
      <c r="P158" t="s">
        <v>4416</v>
      </c>
      <c r="S158" s="64">
        <f t="shared" si="2"/>
        <v>70.2</v>
      </c>
      <c r="U158" s="5">
        <v>69.900000000000006</v>
      </c>
      <c r="V158" s="5">
        <v>0.1</v>
      </c>
      <c r="W158" s="5">
        <v>0.2</v>
      </c>
      <c r="X158" s="56" t="str">
        <f>GHGFY207[[#This Row],[Data Source (scope 1)]]</f>
        <v>NGER (Measurement) Determination 2008 2019versions pg 318 - Part 3 Fuel combustion - 40</v>
      </c>
      <c r="Y158" s="65" t="s">
        <v>4416</v>
      </c>
      <c r="AB158" s="3">
        <f>(S158-GHGFY207[[#This Row],[Scope 1 Emission factor]])/GHGFY207[[#This Row],[Scope 1 Emission factor]]</f>
        <v>0</v>
      </c>
      <c r="AC158" s="3" t="e">
        <f>(T158-GHGFY207[[#This Row],[Scope 2 Emission factor]])/GHGFY207[[#This Row],[Scope 2 Emission factor]]</f>
        <v>#DIV/0!</v>
      </c>
      <c r="AD158" s="3">
        <f>(U158-GHGFY207[[#This Row],[Scope 3 Emission factor]])/GHGFY207[[#This Row],[Scope 3 Emission factor]]</f>
        <v>18.416666666666668</v>
      </c>
    </row>
    <row r="159" spans="1:30" ht="29.1" hidden="1" customHeight="1">
      <c r="A159" t="s">
        <v>940</v>
      </c>
      <c r="B159" t="s">
        <v>1227</v>
      </c>
      <c r="C159" t="s">
        <v>4412</v>
      </c>
      <c r="D159" t="s">
        <v>1190</v>
      </c>
      <c r="E159" t="s">
        <v>673</v>
      </c>
      <c r="F159">
        <v>1E-3</v>
      </c>
      <c r="G159" t="s">
        <v>4413</v>
      </c>
      <c r="H159">
        <v>38.6</v>
      </c>
      <c r="I159" t="s">
        <v>1140</v>
      </c>
      <c r="J159" s="647">
        <v>70.2</v>
      </c>
      <c r="L159">
        <v>3.6</v>
      </c>
      <c r="M159" t="s">
        <v>4414</v>
      </c>
      <c r="N159" t="s">
        <v>4415</v>
      </c>
      <c r="P159" t="s">
        <v>4416</v>
      </c>
      <c r="S159" s="64">
        <f>SUM(U159:W159)</f>
        <v>70.2</v>
      </c>
      <c r="U159" s="5">
        <v>69.900000000000006</v>
      </c>
      <c r="V159" s="5">
        <v>0.1</v>
      </c>
      <c r="W159" s="5">
        <v>0.2</v>
      </c>
      <c r="X159" s="56" t="str">
        <f>GHGFY207[[#This Row],[Data Source (scope 1)]]</f>
        <v>NGER (Measurement) Determination 2008 2019versions pg 318 - Part 3 Fuel combustion - 40</v>
      </c>
      <c r="Y159" s="65" t="s">
        <v>4416</v>
      </c>
      <c r="AB159" s="3">
        <f>(S159-GHGFY207[[#This Row],[Scope 1 Emission factor]])/GHGFY207[[#This Row],[Scope 1 Emission factor]]</f>
        <v>0</v>
      </c>
      <c r="AC159" s="3" t="e">
        <f>(T159-GHGFY207[[#This Row],[Scope 2 Emission factor]])/GHGFY207[[#This Row],[Scope 2 Emission factor]]</f>
        <v>#DIV/0!</v>
      </c>
      <c r="AD159" s="3">
        <f>(U159-GHGFY207[[#This Row],[Scope 3 Emission factor]])/GHGFY207[[#This Row],[Scope 3 Emission factor]]</f>
        <v>18.416666666666668</v>
      </c>
    </row>
    <row r="160" spans="1:30" ht="29.1" hidden="1" customHeight="1">
      <c r="A160" t="s">
        <v>941</v>
      </c>
      <c r="B160" t="s">
        <v>1227</v>
      </c>
      <c r="C160" t="s">
        <v>4412</v>
      </c>
      <c r="D160" t="s">
        <v>1192</v>
      </c>
      <c r="E160" t="s">
        <v>673</v>
      </c>
      <c r="F160">
        <v>1E-3</v>
      </c>
      <c r="G160" t="s">
        <v>4413</v>
      </c>
      <c r="H160">
        <v>38.6</v>
      </c>
      <c r="I160" t="s">
        <v>1140</v>
      </c>
      <c r="J160" s="647">
        <v>70.2</v>
      </c>
      <c r="L160">
        <v>3.6</v>
      </c>
      <c r="M160" t="s">
        <v>4414</v>
      </c>
      <c r="N160" t="s">
        <v>4415</v>
      </c>
      <c r="P160" t="s">
        <v>4416</v>
      </c>
      <c r="S160" s="64">
        <f t="shared" ref="S160:S174" si="3">SUM(U160:W160)</f>
        <v>70.2</v>
      </c>
      <c r="U160" s="5">
        <v>69.900000000000006</v>
      </c>
      <c r="V160" s="5">
        <v>0.1</v>
      </c>
      <c r="W160" s="5">
        <v>0.2</v>
      </c>
      <c r="X160" s="56" t="str">
        <f>GHGFY207[[#This Row],[Data Source (scope 1)]]</f>
        <v>NGER (Measurement) Determination 2008 2019versions pg 318 - Part 3 Fuel combustion - 40</v>
      </c>
      <c r="Y160" s="65" t="s">
        <v>4416</v>
      </c>
      <c r="AB160" s="3">
        <f>(S160-GHGFY207[[#This Row],[Scope 1 Emission factor]])/GHGFY207[[#This Row],[Scope 1 Emission factor]]</f>
        <v>0</v>
      </c>
      <c r="AC160" s="3" t="e">
        <f>(T160-GHGFY207[[#This Row],[Scope 2 Emission factor]])/GHGFY207[[#This Row],[Scope 2 Emission factor]]</f>
        <v>#DIV/0!</v>
      </c>
      <c r="AD160" s="3">
        <f>(U160-GHGFY207[[#This Row],[Scope 3 Emission factor]])/GHGFY207[[#This Row],[Scope 3 Emission factor]]</f>
        <v>18.416666666666668</v>
      </c>
    </row>
    <row r="161" spans="1:30" ht="29.1" hidden="1" customHeight="1">
      <c r="A161" t="s">
        <v>946</v>
      </c>
      <c r="B161" t="s">
        <v>1227</v>
      </c>
      <c r="C161" t="s">
        <v>4412</v>
      </c>
      <c r="D161" t="s">
        <v>1189</v>
      </c>
      <c r="E161" t="s">
        <v>673</v>
      </c>
      <c r="F161">
        <v>1E-3</v>
      </c>
      <c r="G161" t="s">
        <v>4413</v>
      </c>
      <c r="H161">
        <v>38.6</v>
      </c>
      <c r="I161" t="s">
        <v>1140</v>
      </c>
      <c r="J161" s="647">
        <v>70.2</v>
      </c>
      <c r="L161">
        <v>3.6</v>
      </c>
      <c r="M161" t="s">
        <v>4414</v>
      </c>
      <c r="N161" t="s">
        <v>4415</v>
      </c>
      <c r="P161" t="s">
        <v>4416</v>
      </c>
      <c r="S161" s="64">
        <f t="shared" si="3"/>
        <v>70.2</v>
      </c>
      <c r="U161" s="5">
        <v>69.900000000000006</v>
      </c>
      <c r="V161" s="5">
        <v>0.1</v>
      </c>
      <c r="W161" s="5">
        <v>0.2</v>
      </c>
      <c r="X161" s="56" t="str">
        <f>GHGFY207[[#This Row],[Data Source (scope 1)]]</f>
        <v>NGER (Measurement) Determination 2008 2019versions pg 318 - Part 3 Fuel combustion - 40</v>
      </c>
      <c r="Y161" s="65" t="s">
        <v>4416</v>
      </c>
      <c r="AB161" s="3">
        <f>(S161-GHGFY207[[#This Row],[Scope 1 Emission factor]])/GHGFY207[[#This Row],[Scope 1 Emission factor]]</f>
        <v>0</v>
      </c>
      <c r="AC161" s="3" t="e">
        <f>(T161-GHGFY207[[#This Row],[Scope 2 Emission factor]])/GHGFY207[[#This Row],[Scope 2 Emission factor]]</f>
        <v>#DIV/0!</v>
      </c>
      <c r="AD161" s="3">
        <f>(U161-GHGFY207[[#This Row],[Scope 3 Emission factor]])/GHGFY207[[#This Row],[Scope 3 Emission factor]]</f>
        <v>18.416666666666668</v>
      </c>
    </row>
    <row r="162" spans="1:30" ht="29.1" hidden="1" customHeight="1">
      <c r="A162" t="s">
        <v>943</v>
      </c>
      <c r="B162" t="s">
        <v>1227</v>
      </c>
      <c r="C162" t="s">
        <v>4412</v>
      </c>
      <c r="D162" t="s">
        <v>1210</v>
      </c>
      <c r="E162" t="s">
        <v>673</v>
      </c>
      <c r="F162">
        <v>1E-3</v>
      </c>
      <c r="G162" t="s">
        <v>4413</v>
      </c>
      <c r="H162">
        <v>38.6</v>
      </c>
      <c r="I162" t="s">
        <v>1140</v>
      </c>
      <c r="J162" s="647">
        <v>70.2</v>
      </c>
      <c r="L162">
        <v>3.6</v>
      </c>
      <c r="M162" t="s">
        <v>4414</v>
      </c>
      <c r="N162" t="s">
        <v>4415</v>
      </c>
      <c r="P162" t="s">
        <v>4416</v>
      </c>
      <c r="S162" s="64">
        <f t="shared" si="3"/>
        <v>70.2</v>
      </c>
      <c r="U162" s="5">
        <v>69.900000000000006</v>
      </c>
      <c r="V162" s="5">
        <v>0.1</v>
      </c>
      <c r="W162" s="5">
        <v>0.2</v>
      </c>
      <c r="X162" s="56" t="str">
        <f>GHGFY207[[#This Row],[Data Source (scope 1)]]</f>
        <v>NGER (Measurement) Determination 2008 2019versions pg 318 - Part 3 Fuel combustion - 40</v>
      </c>
      <c r="Y162" s="65" t="s">
        <v>4416</v>
      </c>
      <c r="AB162" s="3">
        <f>(S162-GHGFY207[[#This Row],[Scope 1 Emission factor]])/GHGFY207[[#This Row],[Scope 1 Emission factor]]</f>
        <v>0</v>
      </c>
      <c r="AC162" s="3" t="e">
        <f>(T162-GHGFY207[[#This Row],[Scope 2 Emission factor]])/GHGFY207[[#This Row],[Scope 2 Emission factor]]</f>
        <v>#DIV/0!</v>
      </c>
      <c r="AD162" s="3">
        <f>(U162-GHGFY207[[#This Row],[Scope 3 Emission factor]])/GHGFY207[[#This Row],[Scope 3 Emission factor]]</f>
        <v>18.416666666666668</v>
      </c>
    </row>
    <row r="163" spans="1:30" ht="29.1" hidden="1" customHeight="1">
      <c r="A163" t="s">
        <v>947</v>
      </c>
      <c r="B163" t="s">
        <v>1227</v>
      </c>
      <c r="C163" t="s">
        <v>4412</v>
      </c>
      <c r="D163" t="s">
        <v>1216</v>
      </c>
      <c r="E163" t="s">
        <v>673</v>
      </c>
      <c r="F163">
        <v>1E-3</v>
      </c>
      <c r="G163" t="s">
        <v>4413</v>
      </c>
      <c r="H163">
        <v>38.6</v>
      </c>
      <c r="I163" t="s">
        <v>1140</v>
      </c>
      <c r="J163" s="647">
        <v>70.2</v>
      </c>
      <c r="L163">
        <v>3.6</v>
      </c>
      <c r="M163" t="s">
        <v>4414</v>
      </c>
      <c r="N163" t="s">
        <v>4415</v>
      </c>
      <c r="P163" t="s">
        <v>4416</v>
      </c>
      <c r="S163" s="64">
        <f t="shared" si="3"/>
        <v>70.2</v>
      </c>
      <c r="U163" s="5">
        <v>69.900000000000006</v>
      </c>
      <c r="V163" s="5">
        <v>0.1</v>
      </c>
      <c r="W163" s="5">
        <v>0.2</v>
      </c>
      <c r="X163" s="56" t="str">
        <f>GHGFY207[[#This Row],[Data Source (scope 1)]]</f>
        <v>NGER (Measurement) Determination 2008 2019versions pg 318 - Part 3 Fuel combustion - 40</v>
      </c>
      <c r="Y163" s="65" t="s">
        <v>4416</v>
      </c>
      <c r="AB163" s="3">
        <f>(S163-GHGFY207[[#This Row],[Scope 1 Emission factor]])/GHGFY207[[#This Row],[Scope 1 Emission factor]]</f>
        <v>0</v>
      </c>
      <c r="AC163" s="3" t="e">
        <f>(T163-GHGFY207[[#This Row],[Scope 2 Emission factor]])/GHGFY207[[#This Row],[Scope 2 Emission factor]]</f>
        <v>#DIV/0!</v>
      </c>
      <c r="AD163" s="3">
        <f>(U163-GHGFY207[[#This Row],[Scope 3 Emission factor]])/GHGFY207[[#This Row],[Scope 3 Emission factor]]</f>
        <v>18.416666666666668</v>
      </c>
    </row>
    <row r="164" spans="1:30" ht="29.1" hidden="1" customHeight="1">
      <c r="A164" t="s">
        <v>944</v>
      </c>
      <c r="B164" t="s">
        <v>1227</v>
      </c>
      <c r="C164" t="s">
        <v>4412</v>
      </c>
      <c r="D164" t="s">
        <v>1193</v>
      </c>
      <c r="E164" t="s">
        <v>673</v>
      </c>
      <c r="F164">
        <v>1E-3</v>
      </c>
      <c r="G164" t="s">
        <v>4413</v>
      </c>
      <c r="H164">
        <v>38.6</v>
      </c>
      <c r="I164" t="s">
        <v>1140</v>
      </c>
      <c r="J164" s="647">
        <v>70.2</v>
      </c>
      <c r="L164">
        <v>3.6</v>
      </c>
      <c r="M164" t="s">
        <v>4414</v>
      </c>
      <c r="N164" t="s">
        <v>4415</v>
      </c>
      <c r="P164" t="s">
        <v>4416</v>
      </c>
      <c r="S164" s="64">
        <f t="shared" si="3"/>
        <v>70.2</v>
      </c>
      <c r="U164" s="5">
        <v>69.900000000000006</v>
      </c>
      <c r="V164" s="5">
        <v>0.1</v>
      </c>
      <c r="W164" s="5">
        <v>0.2</v>
      </c>
      <c r="X164" s="56" t="str">
        <f>GHGFY207[[#This Row],[Data Source (scope 1)]]</f>
        <v>NGER (Measurement) Determination 2008 2019versions pg 318 - Part 3 Fuel combustion - 40</v>
      </c>
      <c r="Y164" s="65" t="s">
        <v>4416</v>
      </c>
      <c r="AB164" s="3">
        <f>(S164-GHGFY207[[#This Row],[Scope 1 Emission factor]])/GHGFY207[[#This Row],[Scope 1 Emission factor]]</f>
        <v>0</v>
      </c>
      <c r="AC164" s="3" t="e">
        <f>(T164-GHGFY207[[#This Row],[Scope 2 Emission factor]])/GHGFY207[[#This Row],[Scope 2 Emission factor]]</f>
        <v>#DIV/0!</v>
      </c>
      <c r="AD164" s="3">
        <f>(U164-GHGFY207[[#This Row],[Scope 3 Emission factor]])/GHGFY207[[#This Row],[Scope 3 Emission factor]]</f>
        <v>18.416666666666668</v>
      </c>
    </row>
    <row r="165" spans="1:30" ht="29.1" hidden="1" customHeight="1">
      <c r="A165" t="s">
        <v>945</v>
      </c>
      <c r="B165" t="s">
        <v>1227</v>
      </c>
      <c r="C165" t="s">
        <v>4412</v>
      </c>
      <c r="D165" t="s">
        <v>1213</v>
      </c>
      <c r="E165" t="s">
        <v>673</v>
      </c>
      <c r="F165">
        <v>1E-3</v>
      </c>
      <c r="G165" t="s">
        <v>4413</v>
      </c>
      <c r="H165">
        <v>38.6</v>
      </c>
      <c r="I165" t="s">
        <v>1140</v>
      </c>
      <c r="J165" s="647">
        <v>70.2</v>
      </c>
      <c r="L165">
        <v>3.6</v>
      </c>
      <c r="M165" t="s">
        <v>4414</v>
      </c>
      <c r="N165" t="s">
        <v>4415</v>
      </c>
      <c r="P165" t="s">
        <v>4416</v>
      </c>
      <c r="S165" s="64">
        <f t="shared" si="3"/>
        <v>70.2</v>
      </c>
      <c r="U165" s="5">
        <v>69.900000000000006</v>
      </c>
      <c r="V165" s="5">
        <v>0.1</v>
      </c>
      <c r="W165" s="5">
        <v>0.2</v>
      </c>
      <c r="X165" s="56" t="str">
        <f>GHGFY207[[#This Row],[Data Source (scope 1)]]</f>
        <v>NGER (Measurement) Determination 2008 2019versions pg 318 - Part 3 Fuel combustion - 40</v>
      </c>
      <c r="Y165" s="65" t="s">
        <v>4416</v>
      </c>
      <c r="AB165" s="3">
        <f>(S165-GHGFY207[[#This Row],[Scope 1 Emission factor]])/GHGFY207[[#This Row],[Scope 1 Emission factor]]</f>
        <v>0</v>
      </c>
      <c r="AC165" s="3" t="e">
        <f>(T165-GHGFY207[[#This Row],[Scope 2 Emission factor]])/GHGFY207[[#This Row],[Scope 2 Emission factor]]</f>
        <v>#DIV/0!</v>
      </c>
      <c r="AD165" s="3">
        <f>(U165-GHGFY207[[#This Row],[Scope 3 Emission factor]])/GHGFY207[[#This Row],[Scope 3 Emission factor]]</f>
        <v>18.416666666666668</v>
      </c>
    </row>
    <row r="166" spans="1:30" ht="29.1" hidden="1" customHeight="1">
      <c r="A166" t="s">
        <v>942</v>
      </c>
      <c r="B166" t="s">
        <v>1227</v>
      </c>
      <c r="C166" t="s">
        <v>4412</v>
      </c>
      <c r="D166" t="s">
        <v>1208</v>
      </c>
      <c r="E166" t="s">
        <v>673</v>
      </c>
      <c r="F166">
        <v>1E-3</v>
      </c>
      <c r="G166" t="s">
        <v>4413</v>
      </c>
      <c r="H166">
        <v>38.6</v>
      </c>
      <c r="I166" t="s">
        <v>1140</v>
      </c>
      <c r="J166" s="647">
        <v>70.2</v>
      </c>
      <c r="L166">
        <v>3.6</v>
      </c>
      <c r="M166" t="s">
        <v>4414</v>
      </c>
      <c r="N166" t="s">
        <v>4415</v>
      </c>
      <c r="P166" t="s">
        <v>4416</v>
      </c>
      <c r="S166" s="64">
        <f t="shared" si="3"/>
        <v>70.2</v>
      </c>
      <c r="U166" s="5">
        <v>69.900000000000006</v>
      </c>
      <c r="V166" s="5">
        <v>0.1</v>
      </c>
      <c r="W166" s="5">
        <v>0.2</v>
      </c>
      <c r="X166" s="56" t="str">
        <f>GHGFY207[[#This Row],[Data Source (scope 1)]]</f>
        <v>NGER (Measurement) Determination 2008 2019versions pg 318 - Part 3 Fuel combustion - 40</v>
      </c>
      <c r="Y166" s="65" t="s">
        <v>4416</v>
      </c>
      <c r="AB166" s="3">
        <f>(S166-GHGFY207[[#This Row],[Scope 1 Emission factor]])/GHGFY207[[#This Row],[Scope 1 Emission factor]]</f>
        <v>0</v>
      </c>
      <c r="AC166" s="3" t="e">
        <f>(T166-GHGFY207[[#This Row],[Scope 2 Emission factor]])/GHGFY207[[#This Row],[Scope 2 Emission factor]]</f>
        <v>#DIV/0!</v>
      </c>
      <c r="AD166" s="3">
        <f>(U166-GHGFY207[[#This Row],[Scope 3 Emission factor]])/GHGFY207[[#This Row],[Scope 3 Emission factor]]</f>
        <v>18.416666666666668</v>
      </c>
    </row>
    <row r="167" spans="1:30" ht="29.1" hidden="1" customHeight="1">
      <c r="A167" t="s">
        <v>948</v>
      </c>
      <c r="B167" t="s">
        <v>1227</v>
      </c>
      <c r="C167" t="s">
        <v>4412</v>
      </c>
      <c r="D167" t="s">
        <v>1190</v>
      </c>
      <c r="E167" t="s">
        <v>673</v>
      </c>
      <c r="F167">
        <v>1E-3</v>
      </c>
      <c r="G167" t="s">
        <v>4413</v>
      </c>
      <c r="H167">
        <v>25.7</v>
      </c>
      <c r="I167" t="s">
        <v>1140</v>
      </c>
      <c r="J167" s="647">
        <v>60.600000000000009</v>
      </c>
      <c r="L167">
        <v>3.6</v>
      </c>
      <c r="M167" t="s">
        <v>4414</v>
      </c>
      <c r="N167" t="s">
        <v>4418</v>
      </c>
      <c r="P167" t="s">
        <v>4416</v>
      </c>
      <c r="S167" s="64">
        <f t="shared" si="3"/>
        <v>60.600000000000009</v>
      </c>
      <c r="U167">
        <v>60.2</v>
      </c>
      <c r="V167">
        <v>0.2</v>
      </c>
      <c r="W167">
        <v>0.2</v>
      </c>
      <c r="X167" s="56" t="str">
        <f>GHGFY207[[#This Row],[Data Source (scope 1)]]</f>
        <v>NGER (Measurement) Determination 2008 2019versions pg 318 - Part 3 Fuel combustion - 44</v>
      </c>
      <c r="Y167" s="65" t="s">
        <v>4416</v>
      </c>
      <c r="AB167" s="3">
        <f>(S167-GHGFY207[[#This Row],[Scope 1 Emission factor]])/GHGFY207[[#This Row],[Scope 1 Emission factor]]</f>
        <v>0</v>
      </c>
      <c r="AC167" s="3" t="e">
        <f>(T167-GHGFY207[[#This Row],[Scope 2 Emission factor]])/GHGFY207[[#This Row],[Scope 2 Emission factor]]</f>
        <v>#DIV/0!</v>
      </c>
      <c r="AD167" s="3">
        <f>(U167-GHGFY207[[#This Row],[Scope 3 Emission factor]])/GHGFY207[[#This Row],[Scope 3 Emission factor]]</f>
        <v>15.722222222222221</v>
      </c>
    </row>
    <row r="168" spans="1:30" ht="29.1" hidden="1" customHeight="1">
      <c r="A168" t="s">
        <v>949</v>
      </c>
      <c r="B168" t="s">
        <v>1227</v>
      </c>
      <c r="C168" t="s">
        <v>4412</v>
      </c>
      <c r="D168" t="s">
        <v>1192</v>
      </c>
      <c r="E168" t="s">
        <v>673</v>
      </c>
      <c r="F168">
        <v>1E-3</v>
      </c>
      <c r="G168" t="s">
        <v>4413</v>
      </c>
      <c r="H168">
        <v>25.7</v>
      </c>
      <c r="I168" t="s">
        <v>1140</v>
      </c>
      <c r="J168" s="647">
        <v>60.600000000000009</v>
      </c>
      <c r="L168">
        <v>3.6</v>
      </c>
      <c r="M168" t="s">
        <v>4414</v>
      </c>
      <c r="N168" t="s">
        <v>4418</v>
      </c>
      <c r="P168" t="s">
        <v>4416</v>
      </c>
      <c r="S168" s="64">
        <f t="shared" si="3"/>
        <v>60.600000000000009</v>
      </c>
      <c r="U168">
        <v>60.2</v>
      </c>
      <c r="V168">
        <v>0.2</v>
      </c>
      <c r="W168">
        <v>0.2</v>
      </c>
      <c r="X168" s="56" t="str">
        <f>GHGFY207[[#This Row],[Data Source (scope 1)]]</f>
        <v>NGER (Measurement) Determination 2008 2019versions pg 318 - Part 3 Fuel combustion - 44</v>
      </c>
      <c r="Y168" s="65" t="s">
        <v>4416</v>
      </c>
      <c r="AB168" s="3">
        <f>(S168-GHGFY207[[#This Row],[Scope 1 Emission factor]])/GHGFY207[[#This Row],[Scope 1 Emission factor]]</f>
        <v>0</v>
      </c>
      <c r="AC168" s="3" t="e">
        <f>(T168-GHGFY207[[#This Row],[Scope 2 Emission factor]])/GHGFY207[[#This Row],[Scope 2 Emission factor]]</f>
        <v>#DIV/0!</v>
      </c>
      <c r="AD168" s="3">
        <f>(U168-GHGFY207[[#This Row],[Scope 3 Emission factor]])/GHGFY207[[#This Row],[Scope 3 Emission factor]]</f>
        <v>15.722222222222221</v>
      </c>
    </row>
    <row r="169" spans="1:30" ht="29.1" hidden="1" customHeight="1">
      <c r="A169" t="s">
        <v>954</v>
      </c>
      <c r="B169" t="s">
        <v>1227</v>
      </c>
      <c r="C169" t="s">
        <v>4412</v>
      </c>
      <c r="D169" t="s">
        <v>1189</v>
      </c>
      <c r="E169" t="s">
        <v>673</v>
      </c>
      <c r="F169">
        <v>1E-3</v>
      </c>
      <c r="G169" t="s">
        <v>4413</v>
      </c>
      <c r="H169">
        <v>25.7</v>
      </c>
      <c r="I169" t="s">
        <v>1140</v>
      </c>
      <c r="J169" s="647">
        <v>60.600000000000009</v>
      </c>
      <c r="L169">
        <v>3.6</v>
      </c>
      <c r="M169" t="s">
        <v>4414</v>
      </c>
      <c r="N169" t="s">
        <v>4418</v>
      </c>
      <c r="P169" t="s">
        <v>4416</v>
      </c>
      <c r="S169" s="64">
        <f t="shared" si="3"/>
        <v>60.600000000000009</v>
      </c>
      <c r="U169">
        <v>60.2</v>
      </c>
      <c r="V169">
        <v>0.2</v>
      </c>
      <c r="W169">
        <v>0.2</v>
      </c>
      <c r="X169" s="56" t="str">
        <f>GHGFY207[[#This Row],[Data Source (scope 1)]]</f>
        <v>NGER (Measurement) Determination 2008 2019versions pg 318 - Part 3 Fuel combustion - 44</v>
      </c>
      <c r="Y169" s="65" t="s">
        <v>4416</v>
      </c>
      <c r="AB169" s="3">
        <f>(S169-GHGFY207[[#This Row],[Scope 1 Emission factor]])/GHGFY207[[#This Row],[Scope 1 Emission factor]]</f>
        <v>0</v>
      </c>
      <c r="AC169" s="3" t="e">
        <f>(T169-GHGFY207[[#This Row],[Scope 2 Emission factor]])/GHGFY207[[#This Row],[Scope 2 Emission factor]]</f>
        <v>#DIV/0!</v>
      </c>
      <c r="AD169" s="3">
        <f>(U169-GHGFY207[[#This Row],[Scope 3 Emission factor]])/GHGFY207[[#This Row],[Scope 3 Emission factor]]</f>
        <v>15.722222222222221</v>
      </c>
    </row>
    <row r="170" spans="1:30" ht="29.1" hidden="1" customHeight="1">
      <c r="A170" t="s">
        <v>951</v>
      </c>
      <c r="B170" t="s">
        <v>1227</v>
      </c>
      <c r="C170" t="s">
        <v>4412</v>
      </c>
      <c r="D170" t="s">
        <v>1210</v>
      </c>
      <c r="E170" t="s">
        <v>673</v>
      </c>
      <c r="F170">
        <v>1E-3</v>
      </c>
      <c r="G170" t="s">
        <v>4413</v>
      </c>
      <c r="H170">
        <v>25.7</v>
      </c>
      <c r="I170" t="s">
        <v>1140</v>
      </c>
      <c r="J170" s="647">
        <v>60.600000000000009</v>
      </c>
      <c r="L170">
        <v>3.6</v>
      </c>
      <c r="M170" t="s">
        <v>4414</v>
      </c>
      <c r="N170" t="s">
        <v>4418</v>
      </c>
      <c r="P170" t="s">
        <v>4416</v>
      </c>
      <c r="S170" s="64">
        <f t="shared" si="3"/>
        <v>60.600000000000009</v>
      </c>
      <c r="U170">
        <v>60.2</v>
      </c>
      <c r="V170">
        <v>0.2</v>
      </c>
      <c r="W170">
        <v>0.2</v>
      </c>
      <c r="X170" s="56" t="str">
        <f>GHGFY207[[#This Row],[Data Source (scope 1)]]</f>
        <v>NGER (Measurement) Determination 2008 2019versions pg 318 - Part 3 Fuel combustion - 44</v>
      </c>
      <c r="Y170" s="65" t="s">
        <v>4416</v>
      </c>
      <c r="AB170" s="3">
        <f>(S170-GHGFY207[[#This Row],[Scope 1 Emission factor]])/GHGFY207[[#This Row],[Scope 1 Emission factor]]</f>
        <v>0</v>
      </c>
      <c r="AC170" s="3" t="e">
        <f>(T170-GHGFY207[[#This Row],[Scope 2 Emission factor]])/GHGFY207[[#This Row],[Scope 2 Emission factor]]</f>
        <v>#DIV/0!</v>
      </c>
      <c r="AD170" s="3">
        <f>(U170-GHGFY207[[#This Row],[Scope 3 Emission factor]])/GHGFY207[[#This Row],[Scope 3 Emission factor]]</f>
        <v>15.722222222222221</v>
      </c>
    </row>
    <row r="171" spans="1:30" ht="29.1" hidden="1" customHeight="1">
      <c r="A171" t="s">
        <v>955</v>
      </c>
      <c r="B171" t="s">
        <v>1227</v>
      </c>
      <c r="C171" t="s">
        <v>4412</v>
      </c>
      <c r="D171" t="s">
        <v>1216</v>
      </c>
      <c r="E171" t="s">
        <v>673</v>
      </c>
      <c r="F171">
        <v>1E-3</v>
      </c>
      <c r="G171" t="s">
        <v>4413</v>
      </c>
      <c r="H171">
        <v>25.7</v>
      </c>
      <c r="I171" t="s">
        <v>1140</v>
      </c>
      <c r="J171" s="647">
        <v>60.600000000000009</v>
      </c>
      <c r="L171">
        <v>3.6</v>
      </c>
      <c r="M171" t="s">
        <v>4414</v>
      </c>
      <c r="N171" t="s">
        <v>4418</v>
      </c>
      <c r="P171" t="s">
        <v>4416</v>
      </c>
      <c r="S171" s="64">
        <f t="shared" si="3"/>
        <v>60.600000000000009</v>
      </c>
      <c r="U171">
        <v>60.2</v>
      </c>
      <c r="V171">
        <v>0.2</v>
      </c>
      <c r="W171">
        <v>0.2</v>
      </c>
      <c r="X171" s="56" t="str">
        <f>GHGFY207[[#This Row],[Data Source (scope 1)]]</f>
        <v>NGER (Measurement) Determination 2008 2019versions pg 318 - Part 3 Fuel combustion - 44</v>
      </c>
      <c r="Y171" s="65" t="s">
        <v>4416</v>
      </c>
      <c r="AB171" s="3">
        <f>(S171-GHGFY207[[#This Row],[Scope 1 Emission factor]])/GHGFY207[[#This Row],[Scope 1 Emission factor]]</f>
        <v>0</v>
      </c>
      <c r="AC171" s="3" t="e">
        <f>(T171-GHGFY207[[#This Row],[Scope 2 Emission factor]])/GHGFY207[[#This Row],[Scope 2 Emission factor]]</f>
        <v>#DIV/0!</v>
      </c>
      <c r="AD171" s="3">
        <f>(U171-GHGFY207[[#This Row],[Scope 3 Emission factor]])/GHGFY207[[#This Row],[Scope 3 Emission factor]]</f>
        <v>15.722222222222221</v>
      </c>
    </row>
    <row r="172" spans="1:30" ht="29.1" hidden="1" customHeight="1">
      <c r="A172" t="s">
        <v>952</v>
      </c>
      <c r="B172" t="s">
        <v>1227</v>
      </c>
      <c r="C172" t="s">
        <v>4412</v>
      </c>
      <c r="D172" t="s">
        <v>1193</v>
      </c>
      <c r="E172" t="s">
        <v>673</v>
      </c>
      <c r="F172">
        <v>1E-3</v>
      </c>
      <c r="G172" t="s">
        <v>4413</v>
      </c>
      <c r="H172">
        <v>25.7</v>
      </c>
      <c r="I172" t="s">
        <v>1140</v>
      </c>
      <c r="J172" s="647">
        <v>60.600000000000009</v>
      </c>
      <c r="L172">
        <v>3.6</v>
      </c>
      <c r="M172" t="s">
        <v>4414</v>
      </c>
      <c r="N172" t="s">
        <v>4418</v>
      </c>
      <c r="P172" t="s">
        <v>4416</v>
      </c>
      <c r="S172" s="64">
        <f t="shared" si="3"/>
        <v>60.600000000000009</v>
      </c>
      <c r="U172">
        <v>60.2</v>
      </c>
      <c r="V172">
        <v>0.2</v>
      </c>
      <c r="W172">
        <v>0.2</v>
      </c>
      <c r="X172" s="56" t="str">
        <f>GHGFY207[[#This Row],[Data Source (scope 1)]]</f>
        <v>NGER (Measurement) Determination 2008 2019versions pg 318 - Part 3 Fuel combustion - 44</v>
      </c>
      <c r="Y172" s="65" t="s">
        <v>4416</v>
      </c>
      <c r="AB172" s="3">
        <f>(S172-GHGFY207[[#This Row],[Scope 1 Emission factor]])/GHGFY207[[#This Row],[Scope 1 Emission factor]]</f>
        <v>0</v>
      </c>
      <c r="AC172" s="3" t="e">
        <f>(T172-GHGFY207[[#This Row],[Scope 2 Emission factor]])/GHGFY207[[#This Row],[Scope 2 Emission factor]]</f>
        <v>#DIV/0!</v>
      </c>
      <c r="AD172" s="3">
        <f>(U172-GHGFY207[[#This Row],[Scope 3 Emission factor]])/GHGFY207[[#This Row],[Scope 3 Emission factor]]</f>
        <v>15.722222222222221</v>
      </c>
    </row>
    <row r="173" spans="1:30" ht="29.1" hidden="1" customHeight="1">
      <c r="A173" t="s">
        <v>953</v>
      </c>
      <c r="B173" t="s">
        <v>1227</v>
      </c>
      <c r="C173" t="s">
        <v>4412</v>
      </c>
      <c r="D173" t="s">
        <v>1213</v>
      </c>
      <c r="E173" t="s">
        <v>673</v>
      </c>
      <c r="F173">
        <v>1E-3</v>
      </c>
      <c r="G173" t="s">
        <v>4413</v>
      </c>
      <c r="H173">
        <v>25.7</v>
      </c>
      <c r="I173" t="s">
        <v>1140</v>
      </c>
      <c r="J173" s="647">
        <v>60.600000000000009</v>
      </c>
      <c r="L173">
        <v>3.6</v>
      </c>
      <c r="M173" t="s">
        <v>4414</v>
      </c>
      <c r="N173" t="s">
        <v>4418</v>
      </c>
      <c r="P173" t="s">
        <v>4416</v>
      </c>
      <c r="S173" s="64">
        <f t="shared" si="3"/>
        <v>60.600000000000009</v>
      </c>
      <c r="U173">
        <v>60.2</v>
      </c>
      <c r="V173">
        <v>0.2</v>
      </c>
      <c r="W173">
        <v>0.2</v>
      </c>
      <c r="X173" s="56" t="str">
        <f>GHGFY207[[#This Row],[Data Source (scope 1)]]</f>
        <v>NGER (Measurement) Determination 2008 2019versions pg 318 - Part 3 Fuel combustion - 44</v>
      </c>
      <c r="Y173" s="65" t="s">
        <v>4416</v>
      </c>
      <c r="AB173" s="3">
        <f>(S173-GHGFY207[[#This Row],[Scope 1 Emission factor]])/GHGFY207[[#This Row],[Scope 1 Emission factor]]</f>
        <v>0</v>
      </c>
      <c r="AC173" s="3" t="e">
        <f>(T173-GHGFY207[[#This Row],[Scope 2 Emission factor]])/GHGFY207[[#This Row],[Scope 2 Emission factor]]</f>
        <v>#DIV/0!</v>
      </c>
      <c r="AD173" s="3">
        <f>(U173-GHGFY207[[#This Row],[Scope 3 Emission factor]])/GHGFY207[[#This Row],[Scope 3 Emission factor]]</f>
        <v>15.722222222222221</v>
      </c>
    </row>
    <row r="174" spans="1:30" ht="29.1" hidden="1" customHeight="1">
      <c r="A174" t="s">
        <v>950</v>
      </c>
      <c r="B174" t="s">
        <v>1227</v>
      </c>
      <c r="C174" t="s">
        <v>4412</v>
      </c>
      <c r="D174" t="s">
        <v>1208</v>
      </c>
      <c r="E174" t="s">
        <v>673</v>
      </c>
      <c r="F174">
        <v>1E-3</v>
      </c>
      <c r="G174" t="s">
        <v>4413</v>
      </c>
      <c r="H174">
        <v>25.7</v>
      </c>
      <c r="I174" t="s">
        <v>1140</v>
      </c>
      <c r="J174" s="647">
        <v>60.600000000000009</v>
      </c>
      <c r="L174">
        <v>3.6</v>
      </c>
      <c r="M174" t="s">
        <v>4414</v>
      </c>
      <c r="N174" t="s">
        <v>4418</v>
      </c>
      <c r="P174" t="s">
        <v>4416</v>
      </c>
      <c r="S174" s="64">
        <f t="shared" si="3"/>
        <v>60.600000000000009</v>
      </c>
      <c r="U174">
        <v>60.2</v>
      </c>
      <c r="V174">
        <v>0.2</v>
      </c>
      <c r="W174">
        <v>0.2</v>
      </c>
      <c r="X174" s="56" t="str">
        <f>GHGFY207[[#This Row],[Data Source (scope 1)]]</f>
        <v>NGER (Measurement) Determination 2008 2019versions pg 318 - Part 3 Fuel combustion - 44</v>
      </c>
      <c r="Y174" s="65" t="s">
        <v>4416</v>
      </c>
      <c r="AB174" s="3">
        <f>(S174-GHGFY207[[#This Row],[Scope 1 Emission factor]])/GHGFY207[[#This Row],[Scope 1 Emission factor]]</f>
        <v>0</v>
      </c>
      <c r="AC174" s="3" t="e">
        <f>(T174-GHGFY207[[#This Row],[Scope 2 Emission factor]])/GHGFY207[[#This Row],[Scope 2 Emission factor]]</f>
        <v>#DIV/0!</v>
      </c>
      <c r="AD174" s="3">
        <f>(U174-GHGFY207[[#This Row],[Scope 3 Emission factor]])/GHGFY207[[#This Row],[Scope 3 Emission factor]]</f>
        <v>15.722222222222221</v>
      </c>
    </row>
    <row r="175" spans="1:30" ht="29.1" hidden="1" customHeight="1">
      <c r="A175" t="s">
        <v>828</v>
      </c>
      <c r="B175" t="s">
        <v>4212</v>
      </c>
      <c r="C175" t="s">
        <v>4420</v>
      </c>
      <c r="D175" t="s">
        <v>1190</v>
      </c>
      <c r="E175" t="s">
        <v>673</v>
      </c>
      <c r="F175">
        <v>1E-3</v>
      </c>
      <c r="G175" t="s">
        <v>4413</v>
      </c>
      <c r="H175">
        <v>38.6</v>
      </c>
      <c r="I175" t="s">
        <v>1140</v>
      </c>
      <c r="J175" s="648">
        <v>70.41</v>
      </c>
      <c r="L175">
        <v>3.6</v>
      </c>
      <c r="M175" t="s">
        <v>4414</v>
      </c>
      <c r="N175" t="s">
        <v>4421</v>
      </c>
      <c r="P175" t="s">
        <v>4416</v>
      </c>
      <c r="R175" t="s">
        <v>4422</v>
      </c>
      <c r="S175" s="56">
        <f>SUM(U175:W175)</f>
        <v>70.410000000000011</v>
      </c>
      <c r="U175">
        <v>69.900000000000006</v>
      </c>
      <c r="V175">
        <v>0.01</v>
      </c>
      <c r="W175">
        <v>0.5</v>
      </c>
      <c r="X175" s="56" t="str">
        <f>GHGFY207[[#This Row],[Data Source (scope 1)]]</f>
        <v>NGER (Measurement) Determination 2008 2019versions pg 321 - Part 4 Fuel combustion - 65</v>
      </c>
      <c r="Y175" s="65" t="s">
        <v>4416</v>
      </c>
      <c r="AB175" s="3">
        <f>(S175-GHGFY207[[#This Row],[Scope 1 Emission factor]])/GHGFY207[[#This Row],[Scope 1 Emission factor]]</f>
        <v>2.0183006270703031E-16</v>
      </c>
      <c r="AC175" s="3" t="e">
        <f>(T175-GHGFY207[[#This Row],[Scope 2 Emission factor]])/GHGFY207[[#This Row],[Scope 2 Emission factor]]</f>
        <v>#DIV/0!</v>
      </c>
      <c r="AD175" s="3">
        <f>(U175-GHGFY207[[#This Row],[Scope 3 Emission factor]])/GHGFY207[[#This Row],[Scope 3 Emission factor]]</f>
        <v>18.416666666666668</v>
      </c>
    </row>
    <row r="176" spans="1:30" ht="29.1" hidden="1" customHeight="1">
      <c r="A176" t="s">
        <v>829</v>
      </c>
      <c r="B176" t="s">
        <v>4212</v>
      </c>
      <c r="C176" t="s">
        <v>4420</v>
      </c>
      <c r="D176" t="s">
        <v>1192</v>
      </c>
      <c r="E176" t="s">
        <v>673</v>
      </c>
      <c r="F176">
        <v>1E-3</v>
      </c>
      <c r="G176" t="s">
        <v>4413</v>
      </c>
      <c r="H176">
        <v>38.6</v>
      </c>
      <c r="I176" t="s">
        <v>1140</v>
      </c>
      <c r="J176" s="648">
        <v>70.41</v>
      </c>
      <c r="L176">
        <v>3.6</v>
      </c>
      <c r="M176" t="s">
        <v>4414</v>
      </c>
      <c r="N176" t="s">
        <v>4421</v>
      </c>
      <c r="P176" t="s">
        <v>4416</v>
      </c>
      <c r="S176" s="56">
        <f t="shared" ref="S176:S238" si="4">SUM(U176:W176)</f>
        <v>70.410000000000011</v>
      </c>
      <c r="U176">
        <v>69.900000000000006</v>
      </c>
      <c r="V176">
        <v>0.01</v>
      </c>
      <c r="W176">
        <v>0.5</v>
      </c>
      <c r="X176" s="56" t="str">
        <f>GHGFY207[[#This Row],[Data Source (scope 1)]]</f>
        <v>NGER (Measurement) Determination 2008 2019versions pg 321 - Part 4 Fuel combustion - 65</v>
      </c>
      <c r="Y176" s="65" t="s">
        <v>4416</v>
      </c>
      <c r="AB176" s="3">
        <f>(S176-GHGFY207[[#This Row],[Scope 1 Emission factor]])/GHGFY207[[#This Row],[Scope 1 Emission factor]]</f>
        <v>2.0183006270703031E-16</v>
      </c>
      <c r="AC176" s="3" t="e">
        <f>(T176-GHGFY207[[#This Row],[Scope 2 Emission factor]])/GHGFY207[[#This Row],[Scope 2 Emission factor]]</f>
        <v>#DIV/0!</v>
      </c>
      <c r="AD176" s="3">
        <f>(U176-GHGFY207[[#This Row],[Scope 3 Emission factor]])/GHGFY207[[#This Row],[Scope 3 Emission factor]]</f>
        <v>18.416666666666668</v>
      </c>
    </row>
    <row r="177" spans="1:30" ht="29.1" hidden="1" customHeight="1">
      <c r="A177" t="s">
        <v>834</v>
      </c>
      <c r="B177" t="s">
        <v>4212</v>
      </c>
      <c r="C177" t="s">
        <v>4420</v>
      </c>
      <c r="D177" t="s">
        <v>1189</v>
      </c>
      <c r="E177" t="s">
        <v>673</v>
      </c>
      <c r="F177">
        <v>1E-3</v>
      </c>
      <c r="G177" t="s">
        <v>4413</v>
      </c>
      <c r="H177">
        <v>38.6</v>
      </c>
      <c r="I177" t="s">
        <v>1140</v>
      </c>
      <c r="J177" s="648">
        <v>70.41</v>
      </c>
      <c r="L177">
        <v>3.6</v>
      </c>
      <c r="M177" t="s">
        <v>4414</v>
      </c>
      <c r="N177" t="s">
        <v>4421</v>
      </c>
      <c r="P177" t="s">
        <v>4416</v>
      </c>
      <c r="S177" s="56">
        <f t="shared" si="4"/>
        <v>70.410000000000011</v>
      </c>
      <c r="U177">
        <v>69.900000000000006</v>
      </c>
      <c r="V177">
        <v>0.01</v>
      </c>
      <c r="W177">
        <v>0.5</v>
      </c>
      <c r="X177" s="56" t="str">
        <f>GHGFY207[[#This Row],[Data Source (scope 1)]]</f>
        <v>NGER (Measurement) Determination 2008 2019versions pg 321 - Part 4 Fuel combustion - 65</v>
      </c>
      <c r="Y177" s="65" t="s">
        <v>4416</v>
      </c>
      <c r="AB177" s="3">
        <f>(S177-GHGFY207[[#This Row],[Scope 1 Emission factor]])/GHGFY207[[#This Row],[Scope 1 Emission factor]]</f>
        <v>2.0183006270703031E-16</v>
      </c>
      <c r="AC177" s="3" t="e">
        <f>(T177-GHGFY207[[#This Row],[Scope 2 Emission factor]])/GHGFY207[[#This Row],[Scope 2 Emission factor]]</f>
        <v>#DIV/0!</v>
      </c>
      <c r="AD177" s="3">
        <f>(U177-GHGFY207[[#This Row],[Scope 3 Emission factor]])/GHGFY207[[#This Row],[Scope 3 Emission factor]]</f>
        <v>18.416666666666668</v>
      </c>
    </row>
    <row r="178" spans="1:30" ht="29.1" hidden="1" customHeight="1">
      <c r="A178" t="s">
        <v>831</v>
      </c>
      <c r="B178" t="s">
        <v>4212</v>
      </c>
      <c r="C178" t="s">
        <v>4420</v>
      </c>
      <c r="D178" t="s">
        <v>1210</v>
      </c>
      <c r="E178" t="s">
        <v>673</v>
      </c>
      <c r="F178">
        <v>1E-3</v>
      </c>
      <c r="G178" t="s">
        <v>4413</v>
      </c>
      <c r="H178">
        <v>38.6</v>
      </c>
      <c r="I178" t="s">
        <v>1140</v>
      </c>
      <c r="J178" s="648">
        <v>70.41</v>
      </c>
      <c r="L178">
        <v>3.6</v>
      </c>
      <c r="M178" t="s">
        <v>4414</v>
      </c>
      <c r="N178" t="s">
        <v>4421</v>
      </c>
      <c r="P178" t="s">
        <v>4416</v>
      </c>
      <c r="S178" s="56">
        <f t="shared" si="4"/>
        <v>70.410000000000011</v>
      </c>
      <c r="U178">
        <v>69.900000000000006</v>
      </c>
      <c r="V178">
        <v>0.01</v>
      </c>
      <c r="W178">
        <v>0.5</v>
      </c>
      <c r="X178" s="56" t="str">
        <f>GHGFY207[[#This Row],[Data Source (scope 1)]]</f>
        <v>NGER (Measurement) Determination 2008 2019versions pg 321 - Part 4 Fuel combustion - 65</v>
      </c>
      <c r="Y178" s="65" t="s">
        <v>4416</v>
      </c>
      <c r="AB178" s="3">
        <f>(S178-GHGFY207[[#This Row],[Scope 1 Emission factor]])/GHGFY207[[#This Row],[Scope 1 Emission factor]]</f>
        <v>2.0183006270703031E-16</v>
      </c>
      <c r="AC178" s="3" t="e">
        <f>(T178-GHGFY207[[#This Row],[Scope 2 Emission factor]])/GHGFY207[[#This Row],[Scope 2 Emission factor]]</f>
        <v>#DIV/0!</v>
      </c>
      <c r="AD178" s="3">
        <f>(U178-GHGFY207[[#This Row],[Scope 3 Emission factor]])/GHGFY207[[#This Row],[Scope 3 Emission factor]]</f>
        <v>18.416666666666668</v>
      </c>
    </row>
    <row r="179" spans="1:30" ht="29.1" hidden="1" customHeight="1">
      <c r="A179" t="s">
        <v>835</v>
      </c>
      <c r="B179" t="s">
        <v>4212</v>
      </c>
      <c r="C179" t="s">
        <v>4420</v>
      </c>
      <c r="D179" t="s">
        <v>1216</v>
      </c>
      <c r="E179" t="s">
        <v>673</v>
      </c>
      <c r="F179">
        <v>1E-3</v>
      </c>
      <c r="G179" t="s">
        <v>4413</v>
      </c>
      <c r="H179">
        <v>38.6</v>
      </c>
      <c r="I179" t="s">
        <v>1140</v>
      </c>
      <c r="J179" s="648">
        <v>70.41</v>
      </c>
      <c r="L179">
        <v>3.6</v>
      </c>
      <c r="M179" t="s">
        <v>4414</v>
      </c>
      <c r="N179" t="s">
        <v>4421</v>
      </c>
      <c r="P179" t="s">
        <v>4416</v>
      </c>
      <c r="S179" s="56">
        <f t="shared" si="4"/>
        <v>70.410000000000011</v>
      </c>
      <c r="U179">
        <v>69.900000000000006</v>
      </c>
      <c r="V179">
        <v>0.01</v>
      </c>
      <c r="W179">
        <v>0.5</v>
      </c>
      <c r="X179" s="56" t="str">
        <f>GHGFY207[[#This Row],[Data Source (scope 1)]]</f>
        <v>NGER (Measurement) Determination 2008 2019versions pg 321 - Part 4 Fuel combustion - 65</v>
      </c>
      <c r="Y179" s="65" t="s">
        <v>4416</v>
      </c>
      <c r="AB179" s="3">
        <f>(S179-GHGFY207[[#This Row],[Scope 1 Emission factor]])/GHGFY207[[#This Row],[Scope 1 Emission factor]]</f>
        <v>2.0183006270703031E-16</v>
      </c>
      <c r="AC179" s="3" t="e">
        <f>(T179-GHGFY207[[#This Row],[Scope 2 Emission factor]])/GHGFY207[[#This Row],[Scope 2 Emission factor]]</f>
        <v>#DIV/0!</v>
      </c>
      <c r="AD179" s="3">
        <f>(U179-GHGFY207[[#This Row],[Scope 3 Emission factor]])/GHGFY207[[#This Row],[Scope 3 Emission factor]]</f>
        <v>18.416666666666668</v>
      </c>
    </row>
    <row r="180" spans="1:30" ht="29.1" hidden="1" customHeight="1">
      <c r="A180" t="s">
        <v>832</v>
      </c>
      <c r="B180" t="s">
        <v>4212</v>
      </c>
      <c r="C180" t="s">
        <v>4420</v>
      </c>
      <c r="D180" t="s">
        <v>1193</v>
      </c>
      <c r="E180" t="s">
        <v>673</v>
      </c>
      <c r="F180">
        <v>1E-3</v>
      </c>
      <c r="G180" t="s">
        <v>4413</v>
      </c>
      <c r="H180">
        <v>38.6</v>
      </c>
      <c r="I180" t="s">
        <v>1140</v>
      </c>
      <c r="J180" s="648">
        <v>70.41</v>
      </c>
      <c r="L180">
        <v>3.6</v>
      </c>
      <c r="M180" t="s">
        <v>4414</v>
      </c>
      <c r="N180" t="s">
        <v>4421</v>
      </c>
      <c r="P180" t="s">
        <v>4416</v>
      </c>
      <c r="S180" s="56">
        <f t="shared" si="4"/>
        <v>70.410000000000011</v>
      </c>
      <c r="U180">
        <v>69.900000000000006</v>
      </c>
      <c r="V180">
        <v>0.01</v>
      </c>
      <c r="W180">
        <v>0.5</v>
      </c>
      <c r="X180" s="56" t="str">
        <f>GHGFY207[[#This Row],[Data Source (scope 1)]]</f>
        <v>NGER (Measurement) Determination 2008 2019versions pg 321 - Part 4 Fuel combustion - 65</v>
      </c>
      <c r="Y180" s="65" t="s">
        <v>4416</v>
      </c>
      <c r="AB180" s="3">
        <f>(S180-GHGFY207[[#This Row],[Scope 1 Emission factor]])/GHGFY207[[#This Row],[Scope 1 Emission factor]]</f>
        <v>2.0183006270703031E-16</v>
      </c>
      <c r="AC180" s="3" t="e">
        <f>(T180-GHGFY207[[#This Row],[Scope 2 Emission factor]])/GHGFY207[[#This Row],[Scope 2 Emission factor]]</f>
        <v>#DIV/0!</v>
      </c>
      <c r="AD180" s="3">
        <f>(U180-GHGFY207[[#This Row],[Scope 3 Emission factor]])/GHGFY207[[#This Row],[Scope 3 Emission factor]]</f>
        <v>18.416666666666668</v>
      </c>
    </row>
    <row r="181" spans="1:30" ht="29.1" hidden="1" customHeight="1">
      <c r="A181" t="s">
        <v>833</v>
      </c>
      <c r="B181" t="s">
        <v>4212</v>
      </c>
      <c r="C181" t="s">
        <v>4420</v>
      </c>
      <c r="D181" t="s">
        <v>1213</v>
      </c>
      <c r="E181" t="s">
        <v>673</v>
      </c>
      <c r="F181">
        <v>1E-3</v>
      </c>
      <c r="G181" t="s">
        <v>4413</v>
      </c>
      <c r="H181">
        <v>38.6</v>
      </c>
      <c r="I181" t="s">
        <v>1140</v>
      </c>
      <c r="J181" s="648">
        <v>70.41</v>
      </c>
      <c r="L181">
        <v>3.6</v>
      </c>
      <c r="M181" t="s">
        <v>4414</v>
      </c>
      <c r="N181" t="s">
        <v>4421</v>
      </c>
      <c r="P181" t="s">
        <v>4416</v>
      </c>
      <c r="S181" s="56">
        <f t="shared" si="4"/>
        <v>70.410000000000011</v>
      </c>
      <c r="U181">
        <v>69.900000000000006</v>
      </c>
      <c r="V181">
        <v>0.01</v>
      </c>
      <c r="W181">
        <v>0.5</v>
      </c>
      <c r="X181" s="56" t="str">
        <f>GHGFY207[[#This Row],[Data Source (scope 1)]]</f>
        <v>NGER (Measurement) Determination 2008 2019versions pg 321 - Part 4 Fuel combustion - 65</v>
      </c>
      <c r="Y181" s="65" t="s">
        <v>4416</v>
      </c>
      <c r="AB181" s="3">
        <f>(S181-GHGFY207[[#This Row],[Scope 1 Emission factor]])/GHGFY207[[#This Row],[Scope 1 Emission factor]]</f>
        <v>2.0183006270703031E-16</v>
      </c>
      <c r="AC181" s="3" t="e">
        <f>(T181-GHGFY207[[#This Row],[Scope 2 Emission factor]])/GHGFY207[[#This Row],[Scope 2 Emission factor]]</f>
        <v>#DIV/0!</v>
      </c>
      <c r="AD181" s="3">
        <f>(U181-GHGFY207[[#This Row],[Scope 3 Emission factor]])/GHGFY207[[#This Row],[Scope 3 Emission factor]]</f>
        <v>18.416666666666668</v>
      </c>
    </row>
    <row r="182" spans="1:30" ht="29.1" hidden="1" customHeight="1">
      <c r="A182" t="s">
        <v>830</v>
      </c>
      <c r="B182" t="s">
        <v>4212</v>
      </c>
      <c r="C182" t="s">
        <v>4420</v>
      </c>
      <c r="D182" t="s">
        <v>1208</v>
      </c>
      <c r="E182" t="s">
        <v>673</v>
      </c>
      <c r="F182">
        <v>1E-3</v>
      </c>
      <c r="G182" t="s">
        <v>4413</v>
      </c>
      <c r="H182">
        <v>38.6</v>
      </c>
      <c r="I182" t="s">
        <v>1140</v>
      </c>
      <c r="J182" s="648">
        <v>70.41</v>
      </c>
      <c r="L182">
        <v>3.6</v>
      </c>
      <c r="M182" t="s">
        <v>4414</v>
      </c>
      <c r="N182" t="s">
        <v>4421</v>
      </c>
      <c r="P182" t="s">
        <v>4416</v>
      </c>
      <c r="S182" s="56">
        <f t="shared" si="4"/>
        <v>70.410000000000011</v>
      </c>
      <c r="U182">
        <v>69.900000000000006</v>
      </c>
      <c r="V182">
        <v>0.01</v>
      </c>
      <c r="W182">
        <v>0.5</v>
      </c>
      <c r="X182" s="56" t="str">
        <f>GHGFY207[[#This Row],[Data Source (scope 1)]]</f>
        <v>NGER (Measurement) Determination 2008 2019versions pg 321 - Part 4 Fuel combustion - 65</v>
      </c>
      <c r="Y182" s="65" t="s">
        <v>4416</v>
      </c>
      <c r="AB182" s="3">
        <f>(S182-GHGFY207[[#This Row],[Scope 1 Emission factor]])/GHGFY207[[#This Row],[Scope 1 Emission factor]]</f>
        <v>2.0183006270703031E-16</v>
      </c>
      <c r="AC182" s="3" t="e">
        <f>(T182-GHGFY207[[#This Row],[Scope 2 Emission factor]])/GHGFY207[[#This Row],[Scope 2 Emission factor]]</f>
        <v>#DIV/0!</v>
      </c>
      <c r="AD182" s="3">
        <f>(U182-GHGFY207[[#This Row],[Scope 3 Emission factor]])/GHGFY207[[#This Row],[Scope 3 Emission factor]]</f>
        <v>18.416666666666668</v>
      </c>
    </row>
    <row r="183" spans="1:30" ht="29.1" hidden="1" customHeight="1">
      <c r="A183" t="s">
        <v>836</v>
      </c>
      <c r="B183" t="s">
        <v>4212</v>
      </c>
      <c r="C183" t="s">
        <v>4420</v>
      </c>
      <c r="D183" t="s">
        <v>1190</v>
      </c>
      <c r="E183" t="s">
        <v>673</v>
      </c>
      <c r="F183">
        <v>1E-3</v>
      </c>
      <c r="G183" t="s">
        <v>4413</v>
      </c>
      <c r="H183">
        <v>34.200000000000003</v>
      </c>
      <c r="I183" t="s">
        <v>1140</v>
      </c>
      <c r="J183" s="647">
        <v>67.62</v>
      </c>
      <c r="L183">
        <v>3.6</v>
      </c>
      <c r="M183" t="s">
        <v>4414</v>
      </c>
      <c r="N183" t="s">
        <v>4423</v>
      </c>
      <c r="P183" t="s">
        <v>4416</v>
      </c>
      <c r="S183" s="56">
        <f t="shared" si="4"/>
        <v>67.62</v>
      </c>
      <c r="U183" s="5">
        <v>67.400000000000006</v>
      </c>
      <c r="V183" s="5">
        <v>0.02</v>
      </c>
      <c r="W183" s="5">
        <v>0.2</v>
      </c>
      <c r="X183" s="56" t="str">
        <f>GHGFY207[[#This Row],[Data Source (scope 1)]]</f>
        <v>NGER (Measurement) Determination 2008 2019versions pg 321 - Part 4 Fuel combustion - 64</v>
      </c>
      <c r="Y183" s="65" t="s">
        <v>4416</v>
      </c>
      <c r="AB183" s="3">
        <f>(S183-GHGFY207[[#This Row],[Scope 1 Emission factor]])/GHGFY207[[#This Row],[Scope 1 Emission factor]]</f>
        <v>0</v>
      </c>
      <c r="AC183" s="3" t="e">
        <f>(T183-GHGFY207[[#This Row],[Scope 2 Emission factor]])/GHGFY207[[#This Row],[Scope 2 Emission factor]]</f>
        <v>#DIV/0!</v>
      </c>
      <c r="AD183" s="3">
        <f>(U183-GHGFY207[[#This Row],[Scope 3 Emission factor]])/GHGFY207[[#This Row],[Scope 3 Emission factor]]</f>
        <v>17.722222222222221</v>
      </c>
    </row>
    <row r="184" spans="1:30" ht="29.1" hidden="1" customHeight="1">
      <c r="A184" t="s">
        <v>837</v>
      </c>
      <c r="B184" t="s">
        <v>4212</v>
      </c>
      <c r="C184" t="s">
        <v>4420</v>
      </c>
      <c r="D184" t="s">
        <v>1192</v>
      </c>
      <c r="E184" t="s">
        <v>673</v>
      </c>
      <c r="F184">
        <v>1E-3</v>
      </c>
      <c r="G184" t="s">
        <v>4413</v>
      </c>
      <c r="H184">
        <v>34.200000000000003</v>
      </c>
      <c r="I184" t="s">
        <v>1140</v>
      </c>
      <c r="J184" s="647">
        <v>67.62</v>
      </c>
      <c r="L184">
        <v>3.6</v>
      </c>
      <c r="M184" t="s">
        <v>4414</v>
      </c>
      <c r="N184" t="s">
        <v>4423</v>
      </c>
      <c r="P184" t="s">
        <v>4416</v>
      </c>
      <c r="S184" s="56">
        <f t="shared" si="4"/>
        <v>67.62</v>
      </c>
      <c r="U184" s="5">
        <v>67.400000000000006</v>
      </c>
      <c r="V184" s="5">
        <v>0.02</v>
      </c>
      <c r="W184" s="5">
        <v>0.2</v>
      </c>
      <c r="X184" s="56" t="str">
        <f>GHGFY207[[#This Row],[Data Source (scope 1)]]</f>
        <v>NGER (Measurement) Determination 2008 2019versions pg 321 - Part 4 Fuel combustion - 64</v>
      </c>
      <c r="Y184" s="65" t="s">
        <v>4416</v>
      </c>
      <c r="AB184" s="3">
        <f>(S184-GHGFY207[[#This Row],[Scope 1 Emission factor]])/GHGFY207[[#This Row],[Scope 1 Emission factor]]</f>
        <v>0</v>
      </c>
      <c r="AC184" s="3" t="e">
        <f>(T184-GHGFY207[[#This Row],[Scope 2 Emission factor]])/GHGFY207[[#This Row],[Scope 2 Emission factor]]</f>
        <v>#DIV/0!</v>
      </c>
      <c r="AD184" s="3">
        <f>(U184-GHGFY207[[#This Row],[Scope 3 Emission factor]])/GHGFY207[[#This Row],[Scope 3 Emission factor]]</f>
        <v>17.722222222222221</v>
      </c>
    </row>
    <row r="185" spans="1:30" ht="29.1" hidden="1" customHeight="1">
      <c r="A185" t="s">
        <v>842</v>
      </c>
      <c r="B185" t="s">
        <v>4212</v>
      </c>
      <c r="C185" t="s">
        <v>4420</v>
      </c>
      <c r="D185" t="s">
        <v>1189</v>
      </c>
      <c r="E185" t="s">
        <v>673</v>
      </c>
      <c r="F185">
        <v>1E-3</v>
      </c>
      <c r="G185" t="s">
        <v>4413</v>
      </c>
      <c r="H185">
        <v>34.200000000000003</v>
      </c>
      <c r="I185" t="s">
        <v>1140</v>
      </c>
      <c r="J185" s="647">
        <v>67.62</v>
      </c>
      <c r="L185">
        <v>3.6</v>
      </c>
      <c r="M185" t="s">
        <v>4414</v>
      </c>
      <c r="N185" t="s">
        <v>4423</v>
      </c>
      <c r="P185" t="s">
        <v>4416</v>
      </c>
      <c r="S185" s="56">
        <f t="shared" si="4"/>
        <v>67.62</v>
      </c>
      <c r="U185" s="5">
        <v>67.400000000000006</v>
      </c>
      <c r="V185" s="5">
        <v>0.02</v>
      </c>
      <c r="W185" s="5">
        <v>0.2</v>
      </c>
      <c r="X185" s="56" t="str">
        <f>GHGFY207[[#This Row],[Data Source (scope 1)]]</f>
        <v>NGER (Measurement) Determination 2008 2019versions pg 321 - Part 4 Fuel combustion - 64</v>
      </c>
      <c r="Y185" s="65" t="s">
        <v>4416</v>
      </c>
      <c r="AB185" s="3">
        <f>(S185-GHGFY207[[#This Row],[Scope 1 Emission factor]])/GHGFY207[[#This Row],[Scope 1 Emission factor]]</f>
        <v>0</v>
      </c>
      <c r="AC185" s="3" t="e">
        <f>(T185-GHGFY207[[#This Row],[Scope 2 Emission factor]])/GHGFY207[[#This Row],[Scope 2 Emission factor]]</f>
        <v>#DIV/0!</v>
      </c>
      <c r="AD185" s="3">
        <f>(U185-GHGFY207[[#This Row],[Scope 3 Emission factor]])/GHGFY207[[#This Row],[Scope 3 Emission factor]]</f>
        <v>17.722222222222221</v>
      </c>
    </row>
    <row r="186" spans="1:30" ht="29.1" hidden="1" customHeight="1">
      <c r="A186" t="s">
        <v>839</v>
      </c>
      <c r="B186" t="s">
        <v>4212</v>
      </c>
      <c r="C186" t="s">
        <v>4420</v>
      </c>
      <c r="D186" t="s">
        <v>1210</v>
      </c>
      <c r="E186" t="s">
        <v>673</v>
      </c>
      <c r="F186">
        <v>1E-3</v>
      </c>
      <c r="G186" t="s">
        <v>4413</v>
      </c>
      <c r="H186">
        <v>34.200000000000003</v>
      </c>
      <c r="I186" t="s">
        <v>1140</v>
      </c>
      <c r="J186" s="647">
        <v>67.62</v>
      </c>
      <c r="L186">
        <v>3.6</v>
      </c>
      <c r="M186" t="s">
        <v>4414</v>
      </c>
      <c r="N186" t="s">
        <v>4423</v>
      </c>
      <c r="P186" t="s">
        <v>4416</v>
      </c>
      <c r="S186" s="56">
        <f t="shared" si="4"/>
        <v>67.62</v>
      </c>
      <c r="U186" s="5">
        <v>67.400000000000006</v>
      </c>
      <c r="V186" s="5">
        <v>0.02</v>
      </c>
      <c r="W186" s="5">
        <v>0.2</v>
      </c>
      <c r="X186" s="56" t="str">
        <f>GHGFY207[[#This Row],[Data Source (scope 1)]]</f>
        <v>NGER (Measurement) Determination 2008 2019versions pg 321 - Part 4 Fuel combustion - 64</v>
      </c>
      <c r="Y186" s="65" t="s">
        <v>4416</v>
      </c>
      <c r="AB186" s="3">
        <f>(S186-GHGFY207[[#This Row],[Scope 1 Emission factor]])/GHGFY207[[#This Row],[Scope 1 Emission factor]]</f>
        <v>0</v>
      </c>
      <c r="AC186" s="3" t="e">
        <f>(T186-GHGFY207[[#This Row],[Scope 2 Emission factor]])/GHGFY207[[#This Row],[Scope 2 Emission factor]]</f>
        <v>#DIV/0!</v>
      </c>
      <c r="AD186" s="3">
        <f>(U186-GHGFY207[[#This Row],[Scope 3 Emission factor]])/GHGFY207[[#This Row],[Scope 3 Emission factor]]</f>
        <v>17.722222222222221</v>
      </c>
    </row>
    <row r="187" spans="1:30" ht="29.1" hidden="1" customHeight="1">
      <c r="A187" t="s">
        <v>843</v>
      </c>
      <c r="B187" t="s">
        <v>4212</v>
      </c>
      <c r="C187" t="s">
        <v>4420</v>
      </c>
      <c r="D187" t="s">
        <v>1216</v>
      </c>
      <c r="E187" t="s">
        <v>673</v>
      </c>
      <c r="F187">
        <v>1E-3</v>
      </c>
      <c r="G187" t="s">
        <v>4413</v>
      </c>
      <c r="H187">
        <v>34.200000000000003</v>
      </c>
      <c r="I187" t="s">
        <v>1140</v>
      </c>
      <c r="J187" s="647">
        <v>67.62</v>
      </c>
      <c r="L187">
        <v>3.6</v>
      </c>
      <c r="M187" t="s">
        <v>4414</v>
      </c>
      <c r="N187" t="s">
        <v>4423</v>
      </c>
      <c r="P187" t="s">
        <v>4416</v>
      </c>
      <c r="S187" s="56">
        <f t="shared" si="4"/>
        <v>67.62</v>
      </c>
      <c r="U187" s="5">
        <v>67.400000000000006</v>
      </c>
      <c r="V187" s="5">
        <v>0.02</v>
      </c>
      <c r="W187" s="5">
        <v>0.2</v>
      </c>
      <c r="X187" s="56" t="str">
        <f>GHGFY207[[#This Row],[Data Source (scope 1)]]</f>
        <v>NGER (Measurement) Determination 2008 2019versions pg 321 - Part 4 Fuel combustion - 64</v>
      </c>
      <c r="Y187" s="65" t="s">
        <v>4416</v>
      </c>
      <c r="AB187" s="3">
        <f>(S187-GHGFY207[[#This Row],[Scope 1 Emission factor]])/GHGFY207[[#This Row],[Scope 1 Emission factor]]</f>
        <v>0</v>
      </c>
      <c r="AC187" s="3" t="e">
        <f>(T187-GHGFY207[[#This Row],[Scope 2 Emission factor]])/GHGFY207[[#This Row],[Scope 2 Emission factor]]</f>
        <v>#DIV/0!</v>
      </c>
      <c r="AD187" s="3">
        <f>(U187-GHGFY207[[#This Row],[Scope 3 Emission factor]])/GHGFY207[[#This Row],[Scope 3 Emission factor]]</f>
        <v>17.722222222222221</v>
      </c>
    </row>
    <row r="188" spans="1:30" ht="29.1" hidden="1" customHeight="1">
      <c r="A188" t="s">
        <v>840</v>
      </c>
      <c r="B188" t="s">
        <v>4212</v>
      </c>
      <c r="C188" t="s">
        <v>4420</v>
      </c>
      <c r="D188" t="s">
        <v>1193</v>
      </c>
      <c r="E188" t="s">
        <v>673</v>
      </c>
      <c r="F188">
        <v>1E-3</v>
      </c>
      <c r="G188" t="s">
        <v>4413</v>
      </c>
      <c r="H188">
        <v>34.200000000000003</v>
      </c>
      <c r="I188" t="s">
        <v>1140</v>
      </c>
      <c r="J188" s="647">
        <v>67.62</v>
      </c>
      <c r="L188">
        <v>3.6</v>
      </c>
      <c r="M188" t="s">
        <v>4414</v>
      </c>
      <c r="N188" t="s">
        <v>4423</v>
      </c>
      <c r="P188" t="s">
        <v>4416</v>
      </c>
      <c r="S188" s="56">
        <f t="shared" si="4"/>
        <v>67.62</v>
      </c>
      <c r="U188" s="5">
        <v>67.400000000000006</v>
      </c>
      <c r="V188" s="5">
        <v>0.02</v>
      </c>
      <c r="W188" s="5">
        <v>0.2</v>
      </c>
      <c r="X188" s="56" t="str">
        <f>GHGFY207[[#This Row],[Data Source (scope 1)]]</f>
        <v>NGER (Measurement) Determination 2008 2019versions pg 321 - Part 4 Fuel combustion - 64</v>
      </c>
      <c r="Y188" s="65" t="s">
        <v>4416</v>
      </c>
      <c r="AB188" s="3">
        <f>(S188-GHGFY207[[#This Row],[Scope 1 Emission factor]])/GHGFY207[[#This Row],[Scope 1 Emission factor]]</f>
        <v>0</v>
      </c>
      <c r="AC188" s="3" t="e">
        <f>(T188-GHGFY207[[#This Row],[Scope 2 Emission factor]])/GHGFY207[[#This Row],[Scope 2 Emission factor]]</f>
        <v>#DIV/0!</v>
      </c>
      <c r="AD188" s="3">
        <f>(U188-GHGFY207[[#This Row],[Scope 3 Emission factor]])/GHGFY207[[#This Row],[Scope 3 Emission factor]]</f>
        <v>17.722222222222221</v>
      </c>
    </row>
    <row r="189" spans="1:30" ht="29.1" hidden="1" customHeight="1">
      <c r="A189" t="s">
        <v>841</v>
      </c>
      <c r="B189" t="s">
        <v>4212</v>
      </c>
      <c r="C189" t="s">
        <v>4420</v>
      </c>
      <c r="D189" t="s">
        <v>1213</v>
      </c>
      <c r="E189" t="s">
        <v>673</v>
      </c>
      <c r="F189">
        <v>1E-3</v>
      </c>
      <c r="G189" t="s">
        <v>4413</v>
      </c>
      <c r="H189">
        <v>34.200000000000003</v>
      </c>
      <c r="I189" t="s">
        <v>1140</v>
      </c>
      <c r="J189" s="647">
        <v>67.62</v>
      </c>
      <c r="L189">
        <v>3.6</v>
      </c>
      <c r="M189" t="s">
        <v>4414</v>
      </c>
      <c r="N189" t="s">
        <v>4423</v>
      </c>
      <c r="P189" t="s">
        <v>4416</v>
      </c>
      <c r="S189" s="56">
        <f t="shared" si="4"/>
        <v>67.62</v>
      </c>
      <c r="U189" s="5">
        <v>67.400000000000006</v>
      </c>
      <c r="V189" s="5">
        <v>0.02</v>
      </c>
      <c r="W189" s="5">
        <v>0.2</v>
      </c>
      <c r="X189" s="56" t="str">
        <f>GHGFY207[[#This Row],[Data Source (scope 1)]]</f>
        <v>NGER (Measurement) Determination 2008 2019versions pg 321 - Part 4 Fuel combustion - 64</v>
      </c>
      <c r="Y189" s="65" t="s">
        <v>4416</v>
      </c>
      <c r="AB189" s="3">
        <f>(S189-GHGFY207[[#This Row],[Scope 1 Emission factor]])/GHGFY207[[#This Row],[Scope 1 Emission factor]]</f>
        <v>0</v>
      </c>
      <c r="AC189" s="3" t="e">
        <f>(T189-GHGFY207[[#This Row],[Scope 2 Emission factor]])/GHGFY207[[#This Row],[Scope 2 Emission factor]]</f>
        <v>#DIV/0!</v>
      </c>
      <c r="AD189" s="3">
        <f>(U189-GHGFY207[[#This Row],[Scope 3 Emission factor]])/GHGFY207[[#This Row],[Scope 3 Emission factor]]</f>
        <v>17.722222222222221</v>
      </c>
    </row>
    <row r="190" spans="1:30" ht="29.1" hidden="1" customHeight="1">
      <c r="A190" t="s">
        <v>838</v>
      </c>
      <c r="B190" t="s">
        <v>4212</v>
      </c>
      <c r="C190" t="s">
        <v>4420</v>
      </c>
      <c r="D190" t="s">
        <v>1208</v>
      </c>
      <c r="E190" t="s">
        <v>673</v>
      </c>
      <c r="F190">
        <v>1E-3</v>
      </c>
      <c r="G190" t="s">
        <v>4413</v>
      </c>
      <c r="H190">
        <v>34.200000000000003</v>
      </c>
      <c r="I190" t="s">
        <v>1140</v>
      </c>
      <c r="J190" s="647">
        <v>67.62</v>
      </c>
      <c r="L190">
        <v>3.6</v>
      </c>
      <c r="M190" t="s">
        <v>4414</v>
      </c>
      <c r="N190" t="s">
        <v>4423</v>
      </c>
      <c r="P190" t="s">
        <v>4416</v>
      </c>
      <c r="S190" s="56">
        <f t="shared" si="4"/>
        <v>67.62</v>
      </c>
      <c r="U190" s="5">
        <v>67.400000000000006</v>
      </c>
      <c r="V190" s="5">
        <v>0.02</v>
      </c>
      <c r="W190" s="5">
        <v>0.2</v>
      </c>
      <c r="X190" s="56" t="str">
        <f>GHGFY207[[#This Row],[Data Source (scope 1)]]</f>
        <v>NGER (Measurement) Determination 2008 2019versions pg 321 - Part 4 Fuel combustion - 64</v>
      </c>
      <c r="Y190" s="65" t="s">
        <v>4416</v>
      </c>
      <c r="AB190" s="3">
        <f>(S190-GHGFY207[[#This Row],[Scope 1 Emission factor]])/GHGFY207[[#This Row],[Scope 1 Emission factor]]</f>
        <v>0</v>
      </c>
      <c r="AC190" s="3" t="e">
        <f>(T190-GHGFY207[[#This Row],[Scope 2 Emission factor]])/GHGFY207[[#This Row],[Scope 2 Emission factor]]</f>
        <v>#DIV/0!</v>
      </c>
      <c r="AD190" s="3">
        <f>(U190-GHGFY207[[#This Row],[Scope 3 Emission factor]])/GHGFY207[[#This Row],[Scope 3 Emission factor]]</f>
        <v>17.722222222222221</v>
      </c>
    </row>
    <row r="191" spans="1:30" ht="29.1" hidden="1" customHeight="1">
      <c r="A191" t="s">
        <v>4213</v>
      </c>
      <c r="B191" t="s">
        <v>4212</v>
      </c>
      <c r="C191" t="s">
        <v>4424</v>
      </c>
      <c r="D191" t="s">
        <v>1190</v>
      </c>
      <c r="E191" t="s">
        <v>673</v>
      </c>
      <c r="F191">
        <v>1E-3</v>
      </c>
      <c r="G191" t="s">
        <v>4413</v>
      </c>
      <c r="H191">
        <v>38.6</v>
      </c>
      <c r="I191" t="s">
        <v>1140</v>
      </c>
      <c r="J191" s="648">
        <v>70.400000000000006</v>
      </c>
      <c r="L191">
        <v>3.6</v>
      </c>
      <c r="M191" t="s">
        <v>4414</v>
      </c>
      <c r="N191" t="s">
        <v>4425</v>
      </c>
      <c r="P191" t="s">
        <v>4416</v>
      </c>
      <c r="S191" s="56">
        <f t="shared" si="4"/>
        <v>70.400000000000006</v>
      </c>
      <c r="U191" s="5">
        <v>69.900000000000006</v>
      </c>
      <c r="V191" s="5">
        <v>0.1</v>
      </c>
      <c r="W191" s="5">
        <v>0.4</v>
      </c>
      <c r="X191" s="56" t="str">
        <f>GHGFY207[[#This Row],[Data Source (scope 1)]]</f>
        <v>NGER (Measurement) Determination 2008 2019versions pg 320 - Part 4 Fuel combustion - 54</v>
      </c>
      <c r="Y191" s="65" t="s">
        <v>4416</v>
      </c>
      <c r="AB191" s="3">
        <f>(S191-GHGFY207[[#This Row],[Scope 1 Emission factor]])/GHGFY207[[#This Row],[Scope 1 Emission factor]]</f>
        <v>0</v>
      </c>
      <c r="AC191" s="3" t="e">
        <f>(T191-GHGFY207[[#This Row],[Scope 2 Emission factor]])/GHGFY207[[#This Row],[Scope 2 Emission factor]]</f>
        <v>#DIV/0!</v>
      </c>
      <c r="AD191" s="3">
        <f>(U191-GHGFY207[[#This Row],[Scope 3 Emission factor]])/GHGFY207[[#This Row],[Scope 3 Emission factor]]</f>
        <v>18.416666666666668</v>
      </c>
    </row>
    <row r="192" spans="1:30" ht="29.1" hidden="1" customHeight="1">
      <c r="A192" t="s">
        <v>844</v>
      </c>
      <c r="B192" t="s">
        <v>4212</v>
      </c>
      <c r="C192" t="s">
        <v>4424</v>
      </c>
      <c r="D192" t="s">
        <v>1192</v>
      </c>
      <c r="E192" t="s">
        <v>673</v>
      </c>
      <c r="F192">
        <v>1E-3</v>
      </c>
      <c r="G192" t="s">
        <v>4413</v>
      </c>
      <c r="H192">
        <v>38.6</v>
      </c>
      <c r="I192" t="s">
        <v>1140</v>
      </c>
      <c r="J192" s="648">
        <v>70.400000000000006</v>
      </c>
      <c r="L192">
        <v>3.6</v>
      </c>
      <c r="M192" t="s">
        <v>4414</v>
      </c>
      <c r="N192" t="s">
        <v>4425</v>
      </c>
      <c r="P192" t="s">
        <v>4416</v>
      </c>
      <c r="S192" s="56">
        <f t="shared" si="4"/>
        <v>70.400000000000006</v>
      </c>
      <c r="U192" s="5">
        <v>69.900000000000006</v>
      </c>
      <c r="V192" s="5">
        <v>0.1</v>
      </c>
      <c r="W192" s="5">
        <v>0.4</v>
      </c>
      <c r="X192" s="56" t="str">
        <f>GHGFY207[[#This Row],[Data Source (scope 1)]]</f>
        <v>NGER (Measurement) Determination 2008 2019versions pg 320 - Part 4 Fuel combustion - 54</v>
      </c>
      <c r="Y192" s="65" t="s">
        <v>4416</v>
      </c>
      <c r="AB192" s="3">
        <f>(S192-GHGFY207[[#This Row],[Scope 1 Emission factor]])/GHGFY207[[#This Row],[Scope 1 Emission factor]]</f>
        <v>0</v>
      </c>
      <c r="AC192" s="3" t="e">
        <f>(T192-GHGFY207[[#This Row],[Scope 2 Emission factor]])/GHGFY207[[#This Row],[Scope 2 Emission factor]]</f>
        <v>#DIV/0!</v>
      </c>
      <c r="AD192" s="3">
        <f>(U192-GHGFY207[[#This Row],[Scope 3 Emission factor]])/GHGFY207[[#This Row],[Scope 3 Emission factor]]</f>
        <v>18.416666666666668</v>
      </c>
    </row>
    <row r="193" spans="1:30" ht="29.1" hidden="1" customHeight="1">
      <c r="A193" t="s">
        <v>848</v>
      </c>
      <c r="B193" t="s">
        <v>4212</v>
      </c>
      <c r="C193" t="s">
        <v>4424</v>
      </c>
      <c r="D193" t="s">
        <v>1189</v>
      </c>
      <c r="E193" t="s">
        <v>673</v>
      </c>
      <c r="F193">
        <v>1E-3</v>
      </c>
      <c r="G193" t="s">
        <v>4413</v>
      </c>
      <c r="H193">
        <v>38.6</v>
      </c>
      <c r="I193" t="s">
        <v>1140</v>
      </c>
      <c r="J193" s="648">
        <v>70.400000000000006</v>
      </c>
      <c r="L193">
        <v>3.6</v>
      </c>
      <c r="M193" t="s">
        <v>4414</v>
      </c>
      <c r="N193" t="s">
        <v>4425</v>
      </c>
      <c r="P193" t="s">
        <v>4416</v>
      </c>
      <c r="S193" s="56">
        <f t="shared" si="4"/>
        <v>70.400000000000006</v>
      </c>
      <c r="U193" s="5">
        <v>69.900000000000006</v>
      </c>
      <c r="V193" s="5">
        <v>0.1</v>
      </c>
      <c r="W193" s="5">
        <v>0.4</v>
      </c>
      <c r="X193" s="56" t="str">
        <f>GHGFY207[[#This Row],[Data Source (scope 1)]]</f>
        <v>NGER (Measurement) Determination 2008 2019versions pg 320 - Part 4 Fuel combustion - 54</v>
      </c>
      <c r="Y193" s="65" t="s">
        <v>4416</v>
      </c>
      <c r="AB193" s="3">
        <f>(S193-GHGFY207[[#This Row],[Scope 1 Emission factor]])/GHGFY207[[#This Row],[Scope 1 Emission factor]]</f>
        <v>0</v>
      </c>
      <c r="AC193" s="3" t="e">
        <f>(T193-GHGFY207[[#This Row],[Scope 2 Emission factor]])/GHGFY207[[#This Row],[Scope 2 Emission factor]]</f>
        <v>#DIV/0!</v>
      </c>
      <c r="AD193" s="3">
        <f>(U193-GHGFY207[[#This Row],[Scope 3 Emission factor]])/GHGFY207[[#This Row],[Scope 3 Emission factor]]</f>
        <v>18.416666666666668</v>
      </c>
    </row>
    <row r="194" spans="1:30" ht="29.1" hidden="1" customHeight="1">
      <c r="A194" t="s">
        <v>845</v>
      </c>
      <c r="B194" t="s">
        <v>4212</v>
      </c>
      <c r="C194" t="s">
        <v>4424</v>
      </c>
      <c r="D194" t="s">
        <v>1210</v>
      </c>
      <c r="E194" t="s">
        <v>673</v>
      </c>
      <c r="F194">
        <v>1E-3</v>
      </c>
      <c r="G194" t="s">
        <v>4413</v>
      </c>
      <c r="H194">
        <v>38.6</v>
      </c>
      <c r="I194" t="s">
        <v>1140</v>
      </c>
      <c r="J194" s="648">
        <v>70.400000000000006</v>
      </c>
      <c r="L194">
        <v>3.6</v>
      </c>
      <c r="M194" t="s">
        <v>4414</v>
      </c>
      <c r="N194" t="s">
        <v>4425</v>
      </c>
      <c r="P194" t="s">
        <v>4416</v>
      </c>
      <c r="S194" s="56">
        <f t="shared" si="4"/>
        <v>70.400000000000006</v>
      </c>
      <c r="U194" s="5">
        <v>69.900000000000006</v>
      </c>
      <c r="V194" s="5">
        <v>0.1</v>
      </c>
      <c r="W194" s="5">
        <v>0.4</v>
      </c>
      <c r="X194" s="56" t="str">
        <f>GHGFY207[[#This Row],[Data Source (scope 1)]]</f>
        <v>NGER (Measurement) Determination 2008 2019versions pg 320 - Part 4 Fuel combustion - 54</v>
      </c>
      <c r="Y194" s="65" t="s">
        <v>4416</v>
      </c>
      <c r="AB194" s="3">
        <f>(S194-GHGFY207[[#This Row],[Scope 1 Emission factor]])/GHGFY207[[#This Row],[Scope 1 Emission factor]]</f>
        <v>0</v>
      </c>
      <c r="AC194" s="3" t="e">
        <f>(T194-GHGFY207[[#This Row],[Scope 2 Emission factor]])/GHGFY207[[#This Row],[Scope 2 Emission factor]]</f>
        <v>#DIV/0!</v>
      </c>
      <c r="AD194" s="3">
        <f>(U194-GHGFY207[[#This Row],[Scope 3 Emission factor]])/GHGFY207[[#This Row],[Scope 3 Emission factor]]</f>
        <v>18.416666666666668</v>
      </c>
    </row>
    <row r="195" spans="1:30" ht="29.1" hidden="1" customHeight="1">
      <c r="A195" t="s">
        <v>849</v>
      </c>
      <c r="B195" t="s">
        <v>4212</v>
      </c>
      <c r="C195" t="s">
        <v>4424</v>
      </c>
      <c r="D195" t="s">
        <v>1216</v>
      </c>
      <c r="E195" t="s">
        <v>673</v>
      </c>
      <c r="F195">
        <v>1E-3</v>
      </c>
      <c r="G195" t="s">
        <v>4413</v>
      </c>
      <c r="H195">
        <v>38.6</v>
      </c>
      <c r="I195" t="s">
        <v>1140</v>
      </c>
      <c r="J195" s="648">
        <v>70.400000000000006</v>
      </c>
      <c r="L195">
        <v>3.6</v>
      </c>
      <c r="M195" t="s">
        <v>4414</v>
      </c>
      <c r="N195" t="s">
        <v>4425</v>
      </c>
      <c r="P195" t="s">
        <v>4416</v>
      </c>
      <c r="S195" s="56">
        <f t="shared" si="4"/>
        <v>70.400000000000006</v>
      </c>
      <c r="U195" s="5">
        <v>69.900000000000006</v>
      </c>
      <c r="V195" s="5">
        <v>0.1</v>
      </c>
      <c r="W195" s="5">
        <v>0.4</v>
      </c>
      <c r="X195" s="56" t="str">
        <f>GHGFY207[[#This Row],[Data Source (scope 1)]]</f>
        <v>NGER (Measurement) Determination 2008 2019versions pg 320 - Part 4 Fuel combustion - 54</v>
      </c>
      <c r="Y195" s="65" t="s">
        <v>4416</v>
      </c>
      <c r="AB195" s="3">
        <f>(S195-GHGFY207[[#This Row],[Scope 1 Emission factor]])/GHGFY207[[#This Row],[Scope 1 Emission factor]]</f>
        <v>0</v>
      </c>
      <c r="AC195" s="3" t="e">
        <f>(T195-GHGFY207[[#This Row],[Scope 2 Emission factor]])/GHGFY207[[#This Row],[Scope 2 Emission factor]]</f>
        <v>#DIV/0!</v>
      </c>
      <c r="AD195" s="3">
        <f>(U195-GHGFY207[[#This Row],[Scope 3 Emission factor]])/GHGFY207[[#This Row],[Scope 3 Emission factor]]</f>
        <v>18.416666666666668</v>
      </c>
    </row>
    <row r="196" spans="1:30" ht="29.1" hidden="1" customHeight="1">
      <c r="A196" t="s">
        <v>846</v>
      </c>
      <c r="B196" t="s">
        <v>4212</v>
      </c>
      <c r="C196" t="s">
        <v>4424</v>
      </c>
      <c r="D196" t="s">
        <v>1193</v>
      </c>
      <c r="E196" t="s">
        <v>673</v>
      </c>
      <c r="F196">
        <v>1E-3</v>
      </c>
      <c r="G196" t="s">
        <v>4413</v>
      </c>
      <c r="H196">
        <v>38.6</v>
      </c>
      <c r="I196" t="s">
        <v>1140</v>
      </c>
      <c r="J196" s="648">
        <v>70.400000000000006</v>
      </c>
      <c r="L196">
        <v>3.6</v>
      </c>
      <c r="M196" t="s">
        <v>4414</v>
      </c>
      <c r="N196" t="s">
        <v>4425</v>
      </c>
      <c r="P196" t="s">
        <v>4416</v>
      </c>
      <c r="S196" s="56">
        <f t="shared" si="4"/>
        <v>70.400000000000006</v>
      </c>
      <c r="U196" s="5">
        <v>69.900000000000006</v>
      </c>
      <c r="V196" s="5">
        <v>0.1</v>
      </c>
      <c r="W196" s="5">
        <v>0.4</v>
      </c>
      <c r="X196" s="56" t="str">
        <f>GHGFY207[[#This Row],[Data Source (scope 1)]]</f>
        <v>NGER (Measurement) Determination 2008 2019versions pg 320 - Part 4 Fuel combustion - 54</v>
      </c>
      <c r="Y196" s="65" t="s">
        <v>4416</v>
      </c>
      <c r="AB196" s="3">
        <f>(S196-GHGFY207[[#This Row],[Scope 1 Emission factor]])/GHGFY207[[#This Row],[Scope 1 Emission factor]]</f>
        <v>0</v>
      </c>
      <c r="AC196" s="3" t="e">
        <f>(T196-GHGFY207[[#This Row],[Scope 2 Emission factor]])/GHGFY207[[#This Row],[Scope 2 Emission factor]]</f>
        <v>#DIV/0!</v>
      </c>
      <c r="AD196" s="3">
        <f>(U196-GHGFY207[[#This Row],[Scope 3 Emission factor]])/GHGFY207[[#This Row],[Scope 3 Emission factor]]</f>
        <v>18.416666666666668</v>
      </c>
    </row>
    <row r="197" spans="1:30" ht="29.1" hidden="1" customHeight="1">
      <c r="A197" t="s">
        <v>847</v>
      </c>
      <c r="B197" t="s">
        <v>4212</v>
      </c>
      <c r="C197" t="s">
        <v>4424</v>
      </c>
      <c r="D197" t="s">
        <v>1213</v>
      </c>
      <c r="E197" t="s">
        <v>673</v>
      </c>
      <c r="F197">
        <v>1E-3</v>
      </c>
      <c r="G197" t="s">
        <v>4413</v>
      </c>
      <c r="H197">
        <v>38.6</v>
      </c>
      <c r="I197" t="s">
        <v>1140</v>
      </c>
      <c r="J197" s="648">
        <v>70.400000000000006</v>
      </c>
      <c r="L197">
        <v>3.6</v>
      </c>
      <c r="M197" t="s">
        <v>4414</v>
      </c>
      <c r="N197" t="s">
        <v>4425</v>
      </c>
      <c r="P197" t="s">
        <v>4416</v>
      </c>
      <c r="S197" s="56">
        <f t="shared" si="4"/>
        <v>70.400000000000006</v>
      </c>
      <c r="U197" s="5">
        <v>69.900000000000006</v>
      </c>
      <c r="V197" s="5">
        <v>0.1</v>
      </c>
      <c r="W197" s="5">
        <v>0.4</v>
      </c>
      <c r="X197" s="56" t="str">
        <f>GHGFY207[[#This Row],[Data Source (scope 1)]]</f>
        <v>NGER (Measurement) Determination 2008 2019versions pg 320 - Part 4 Fuel combustion - 54</v>
      </c>
      <c r="Y197" s="65" t="s">
        <v>4416</v>
      </c>
      <c r="AB197" s="3">
        <f>(S197-GHGFY207[[#This Row],[Scope 1 Emission factor]])/GHGFY207[[#This Row],[Scope 1 Emission factor]]</f>
        <v>0</v>
      </c>
      <c r="AC197" s="3" t="e">
        <f>(T197-GHGFY207[[#This Row],[Scope 2 Emission factor]])/GHGFY207[[#This Row],[Scope 2 Emission factor]]</f>
        <v>#DIV/0!</v>
      </c>
      <c r="AD197" s="3">
        <f>(U197-GHGFY207[[#This Row],[Scope 3 Emission factor]])/GHGFY207[[#This Row],[Scope 3 Emission factor]]</f>
        <v>18.416666666666668</v>
      </c>
    </row>
    <row r="198" spans="1:30" ht="29.1" hidden="1" customHeight="1">
      <c r="A198" t="s">
        <v>4214</v>
      </c>
      <c r="B198" t="s">
        <v>4212</v>
      </c>
      <c r="C198" t="s">
        <v>4424</v>
      </c>
      <c r="D198" t="s">
        <v>1208</v>
      </c>
      <c r="E198" t="s">
        <v>673</v>
      </c>
      <c r="F198">
        <v>1E-3</v>
      </c>
      <c r="G198" t="s">
        <v>4413</v>
      </c>
      <c r="H198">
        <v>38.6</v>
      </c>
      <c r="I198" t="s">
        <v>1140</v>
      </c>
      <c r="J198" s="648">
        <v>70.400000000000006</v>
      </c>
      <c r="L198">
        <v>3.6</v>
      </c>
      <c r="M198" t="s">
        <v>4414</v>
      </c>
      <c r="N198" t="s">
        <v>4425</v>
      </c>
      <c r="P198" t="s">
        <v>4416</v>
      </c>
      <c r="S198" s="56">
        <f t="shared" si="4"/>
        <v>70.400000000000006</v>
      </c>
      <c r="U198" s="5">
        <v>69.900000000000006</v>
      </c>
      <c r="V198" s="5">
        <v>0.1</v>
      </c>
      <c r="W198" s="5">
        <v>0.4</v>
      </c>
      <c r="X198" s="56" t="str">
        <f>GHGFY207[[#This Row],[Data Source (scope 1)]]</f>
        <v>NGER (Measurement) Determination 2008 2019versions pg 320 - Part 4 Fuel combustion - 54</v>
      </c>
      <c r="Y198" s="65" t="s">
        <v>4416</v>
      </c>
      <c r="AB198" s="3">
        <f>(S198-GHGFY207[[#This Row],[Scope 1 Emission factor]])/GHGFY207[[#This Row],[Scope 1 Emission factor]]</f>
        <v>0</v>
      </c>
      <c r="AC198" s="3" t="e">
        <f>(T198-GHGFY207[[#This Row],[Scope 2 Emission factor]])/GHGFY207[[#This Row],[Scope 2 Emission factor]]</f>
        <v>#DIV/0!</v>
      </c>
      <c r="AD198" s="3">
        <f>(U198-GHGFY207[[#This Row],[Scope 3 Emission factor]])/GHGFY207[[#This Row],[Scope 3 Emission factor]]</f>
        <v>18.416666666666668</v>
      </c>
    </row>
    <row r="199" spans="1:30" ht="29.1" hidden="1" customHeight="1">
      <c r="A199" t="s">
        <v>4221</v>
      </c>
      <c r="B199" t="s">
        <v>4212</v>
      </c>
      <c r="C199" t="s">
        <v>4424</v>
      </c>
      <c r="D199" t="s">
        <v>1190</v>
      </c>
      <c r="E199" t="s">
        <v>673</v>
      </c>
      <c r="F199">
        <v>1E-3</v>
      </c>
      <c r="G199" t="s">
        <v>4413</v>
      </c>
      <c r="H199">
        <v>34.200000000000003</v>
      </c>
      <c r="I199" t="s">
        <v>1140</v>
      </c>
      <c r="J199" s="648">
        <v>69.599999999999994</v>
      </c>
      <c r="L199">
        <v>3.6</v>
      </c>
      <c r="M199" t="s">
        <v>4414</v>
      </c>
      <c r="N199" t="s">
        <v>4426</v>
      </c>
      <c r="P199" t="s">
        <v>4416</v>
      </c>
      <c r="S199" s="56">
        <f t="shared" si="4"/>
        <v>69.599999999999994</v>
      </c>
      <c r="U199" s="5">
        <v>67.400000000000006</v>
      </c>
      <c r="V199" s="5">
        <v>0.6</v>
      </c>
      <c r="W199" s="5">
        <v>1.6</v>
      </c>
      <c r="X199" s="56" t="str">
        <f>GHGFY207[[#This Row],[Data Source (scope 1)]]</f>
        <v>NGER (Measurement) Determination 2008 2019versions pg 320 - Part 4 Fuel combustion - 53</v>
      </c>
      <c r="Y199" s="65" t="s">
        <v>4416</v>
      </c>
      <c r="AB199" s="3">
        <f>(S199-GHGFY207[[#This Row],[Scope 1 Emission factor]])/GHGFY207[[#This Row],[Scope 1 Emission factor]]</f>
        <v>0</v>
      </c>
      <c r="AC199" s="3" t="e">
        <f>(T199-GHGFY207[[#This Row],[Scope 2 Emission factor]])/GHGFY207[[#This Row],[Scope 2 Emission factor]]</f>
        <v>#DIV/0!</v>
      </c>
      <c r="AD199" s="3">
        <f>(U199-GHGFY207[[#This Row],[Scope 3 Emission factor]])/GHGFY207[[#This Row],[Scope 3 Emission factor]]</f>
        <v>17.722222222222221</v>
      </c>
    </row>
    <row r="200" spans="1:30" ht="29.1" hidden="1" customHeight="1">
      <c r="A200" t="s">
        <v>4222</v>
      </c>
      <c r="B200" t="s">
        <v>4212</v>
      </c>
      <c r="C200" t="s">
        <v>4424</v>
      </c>
      <c r="D200" t="s">
        <v>1192</v>
      </c>
      <c r="E200" t="s">
        <v>673</v>
      </c>
      <c r="F200">
        <v>1E-3</v>
      </c>
      <c r="G200" t="s">
        <v>4413</v>
      </c>
      <c r="H200">
        <v>34.200000000000003</v>
      </c>
      <c r="I200" t="s">
        <v>1140</v>
      </c>
      <c r="J200" s="648">
        <v>69.599999999999994</v>
      </c>
      <c r="L200">
        <v>3.6</v>
      </c>
      <c r="M200" t="s">
        <v>4414</v>
      </c>
      <c r="N200" t="s">
        <v>4426</v>
      </c>
      <c r="P200" t="s">
        <v>4416</v>
      </c>
      <c r="R200">
        <f>69.9+0.1+0.4</f>
        <v>70.400000000000006</v>
      </c>
      <c r="S200" s="56">
        <f t="shared" si="4"/>
        <v>69.599999999999994</v>
      </c>
      <c r="U200" s="5">
        <v>67.400000000000006</v>
      </c>
      <c r="V200" s="5">
        <v>0.6</v>
      </c>
      <c r="W200" s="5">
        <v>1.6</v>
      </c>
      <c r="X200" s="56" t="str">
        <f>GHGFY207[[#This Row],[Data Source (scope 1)]]</f>
        <v>NGER (Measurement) Determination 2008 2019versions pg 320 - Part 4 Fuel combustion - 53</v>
      </c>
      <c r="Y200" s="65" t="s">
        <v>4427</v>
      </c>
      <c r="AB200" s="3">
        <f>(S200-GHGFY207[[#This Row],[Scope 1 Emission factor]])/GHGFY207[[#This Row],[Scope 1 Emission factor]]</f>
        <v>0</v>
      </c>
      <c r="AC200" s="3" t="e">
        <f>(T200-GHGFY207[[#This Row],[Scope 2 Emission factor]])/GHGFY207[[#This Row],[Scope 2 Emission factor]]</f>
        <v>#DIV/0!</v>
      </c>
      <c r="AD200" s="3">
        <f>(U200-GHGFY207[[#This Row],[Scope 3 Emission factor]])/GHGFY207[[#This Row],[Scope 3 Emission factor]]</f>
        <v>17.722222222222221</v>
      </c>
    </row>
    <row r="201" spans="1:30" ht="29.1" hidden="1" customHeight="1">
      <c r="A201" t="s">
        <v>868</v>
      </c>
      <c r="B201" t="s">
        <v>4212</v>
      </c>
      <c r="C201" t="s">
        <v>4424</v>
      </c>
      <c r="D201" t="s">
        <v>1189</v>
      </c>
      <c r="E201" t="s">
        <v>673</v>
      </c>
      <c r="F201">
        <v>1E-3</v>
      </c>
      <c r="G201" t="s">
        <v>4413</v>
      </c>
      <c r="H201">
        <v>34.200000000000003</v>
      </c>
      <c r="I201" t="s">
        <v>1140</v>
      </c>
      <c r="J201" s="648">
        <v>69.599999999999994</v>
      </c>
      <c r="L201">
        <v>3.6</v>
      </c>
      <c r="M201" t="s">
        <v>4414</v>
      </c>
      <c r="N201" t="s">
        <v>4426</v>
      </c>
      <c r="P201" t="s">
        <v>4416</v>
      </c>
      <c r="S201" s="56">
        <f t="shared" si="4"/>
        <v>69.599999999999994</v>
      </c>
      <c r="U201" s="5">
        <v>67.400000000000006</v>
      </c>
      <c r="V201" s="5">
        <v>0.6</v>
      </c>
      <c r="W201" s="5">
        <v>1.6</v>
      </c>
      <c r="X201" s="56" t="str">
        <f>GHGFY207[[#This Row],[Data Source (scope 1)]]</f>
        <v>NGER (Measurement) Determination 2008 2019versions pg 320 - Part 4 Fuel combustion - 53</v>
      </c>
      <c r="Y201" s="65"/>
      <c r="AB201" s="3">
        <f>(S201-GHGFY207[[#This Row],[Scope 1 Emission factor]])/GHGFY207[[#This Row],[Scope 1 Emission factor]]</f>
        <v>0</v>
      </c>
      <c r="AC201" s="3" t="e">
        <f>(T201-GHGFY207[[#This Row],[Scope 2 Emission factor]])/GHGFY207[[#This Row],[Scope 2 Emission factor]]</f>
        <v>#DIV/0!</v>
      </c>
      <c r="AD201" s="3">
        <f>(U201-GHGFY207[[#This Row],[Scope 3 Emission factor]])/GHGFY207[[#This Row],[Scope 3 Emission factor]]</f>
        <v>17.722222222222221</v>
      </c>
    </row>
    <row r="202" spans="1:30" ht="29.1" hidden="1" customHeight="1">
      <c r="A202" t="s">
        <v>4224</v>
      </c>
      <c r="B202" t="s">
        <v>4212</v>
      </c>
      <c r="C202" t="s">
        <v>4424</v>
      </c>
      <c r="D202" t="s">
        <v>1210</v>
      </c>
      <c r="E202" t="s">
        <v>673</v>
      </c>
      <c r="F202">
        <v>1E-3</v>
      </c>
      <c r="G202" t="s">
        <v>4413</v>
      </c>
      <c r="H202">
        <v>34.200000000000003</v>
      </c>
      <c r="I202" t="s">
        <v>1140</v>
      </c>
      <c r="J202" s="648">
        <v>69.599999999999994</v>
      </c>
      <c r="L202">
        <v>3.6</v>
      </c>
      <c r="M202" t="s">
        <v>4414</v>
      </c>
      <c r="N202" t="s">
        <v>4426</v>
      </c>
      <c r="P202" t="s">
        <v>4416</v>
      </c>
      <c r="S202" s="56">
        <f t="shared" si="4"/>
        <v>69.599999999999994</v>
      </c>
      <c r="U202" s="5">
        <v>67.400000000000006</v>
      </c>
      <c r="V202" s="5">
        <v>0.6</v>
      </c>
      <c r="W202" s="5">
        <v>1.6</v>
      </c>
      <c r="X202" s="56" t="str">
        <f>GHGFY207[[#This Row],[Data Source (scope 1)]]</f>
        <v>NGER (Measurement) Determination 2008 2019versions pg 320 - Part 4 Fuel combustion - 53</v>
      </c>
      <c r="Y202" s="65"/>
      <c r="AB202" s="3">
        <f>(S202-GHGFY207[[#This Row],[Scope 1 Emission factor]])/GHGFY207[[#This Row],[Scope 1 Emission factor]]</f>
        <v>0</v>
      </c>
      <c r="AC202" s="3" t="e">
        <f>(T202-GHGFY207[[#This Row],[Scope 2 Emission factor]])/GHGFY207[[#This Row],[Scope 2 Emission factor]]</f>
        <v>#DIV/0!</v>
      </c>
      <c r="AD202" s="3">
        <f>(U202-GHGFY207[[#This Row],[Scope 3 Emission factor]])/GHGFY207[[#This Row],[Scope 3 Emission factor]]</f>
        <v>17.722222222222221</v>
      </c>
    </row>
    <row r="203" spans="1:30" ht="29.1" hidden="1" customHeight="1">
      <c r="A203" t="s">
        <v>4227</v>
      </c>
      <c r="B203" t="s">
        <v>4212</v>
      </c>
      <c r="C203" t="s">
        <v>4424</v>
      </c>
      <c r="D203" t="s">
        <v>1216</v>
      </c>
      <c r="E203" t="s">
        <v>673</v>
      </c>
      <c r="F203">
        <v>1E-3</v>
      </c>
      <c r="G203" t="s">
        <v>4413</v>
      </c>
      <c r="H203">
        <v>34.200000000000003</v>
      </c>
      <c r="I203" t="s">
        <v>1140</v>
      </c>
      <c r="J203" s="648">
        <v>69.599999999999994</v>
      </c>
      <c r="L203">
        <v>3.6</v>
      </c>
      <c r="M203" t="s">
        <v>4414</v>
      </c>
      <c r="N203" t="s">
        <v>4426</v>
      </c>
      <c r="P203" t="s">
        <v>4416</v>
      </c>
      <c r="S203" s="56">
        <f t="shared" si="4"/>
        <v>69.599999999999994</v>
      </c>
      <c r="U203" s="5">
        <v>67.400000000000006</v>
      </c>
      <c r="V203" s="5">
        <v>0.6</v>
      </c>
      <c r="W203" s="5">
        <v>1.6</v>
      </c>
      <c r="X203" s="56" t="str">
        <f>GHGFY207[[#This Row],[Data Source (scope 1)]]</f>
        <v>NGER (Measurement) Determination 2008 2019versions pg 320 - Part 4 Fuel combustion - 53</v>
      </c>
      <c r="Y203" s="65"/>
      <c r="AB203" s="3">
        <f>(S203-GHGFY207[[#This Row],[Scope 1 Emission factor]])/GHGFY207[[#This Row],[Scope 1 Emission factor]]</f>
        <v>0</v>
      </c>
      <c r="AC203" s="3" t="e">
        <f>(T203-GHGFY207[[#This Row],[Scope 2 Emission factor]])/GHGFY207[[#This Row],[Scope 2 Emission factor]]</f>
        <v>#DIV/0!</v>
      </c>
      <c r="AD203" s="3">
        <f>(U203-GHGFY207[[#This Row],[Scope 3 Emission factor]])/GHGFY207[[#This Row],[Scope 3 Emission factor]]</f>
        <v>17.722222222222221</v>
      </c>
    </row>
    <row r="204" spans="1:30" ht="29.1" hidden="1" customHeight="1">
      <c r="A204" t="s">
        <v>4225</v>
      </c>
      <c r="B204" t="s">
        <v>4212</v>
      </c>
      <c r="C204" t="s">
        <v>4424</v>
      </c>
      <c r="D204" t="s">
        <v>1193</v>
      </c>
      <c r="E204" t="s">
        <v>673</v>
      </c>
      <c r="F204">
        <v>1E-3</v>
      </c>
      <c r="G204" t="s">
        <v>4413</v>
      </c>
      <c r="H204">
        <v>34.200000000000003</v>
      </c>
      <c r="I204" t="s">
        <v>1140</v>
      </c>
      <c r="J204" s="648">
        <v>69.599999999999994</v>
      </c>
      <c r="L204">
        <v>3.6</v>
      </c>
      <c r="M204" t="s">
        <v>4414</v>
      </c>
      <c r="N204" t="s">
        <v>4426</v>
      </c>
      <c r="P204" t="s">
        <v>4416</v>
      </c>
      <c r="S204" s="56">
        <f t="shared" si="4"/>
        <v>69.599999999999994</v>
      </c>
      <c r="U204" s="5">
        <v>67.400000000000006</v>
      </c>
      <c r="V204" s="5">
        <v>0.6</v>
      </c>
      <c r="W204" s="5">
        <v>1.6</v>
      </c>
      <c r="X204" s="56" t="str">
        <f>GHGFY207[[#This Row],[Data Source (scope 1)]]</f>
        <v>NGER (Measurement) Determination 2008 2019versions pg 320 - Part 4 Fuel combustion - 53</v>
      </c>
      <c r="Y204" s="65"/>
      <c r="AB204" s="3">
        <f>(S204-GHGFY207[[#This Row],[Scope 1 Emission factor]])/GHGFY207[[#This Row],[Scope 1 Emission factor]]</f>
        <v>0</v>
      </c>
      <c r="AC204" s="3" t="e">
        <f>(T204-GHGFY207[[#This Row],[Scope 2 Emission factor]])/GHGFY207[[#This Row],[Scope 2 Emission factor]]</f>
        <v>#DIV/0!</v>
      </c>
      <c r="AD204" s="3">
        <f>(U204-GHGFY207[[#This Row],[Scope 3 Emission factor]])/GHGFY207[[#This Row],[Scope 3 Emission factor]]</f>
        <v>17.722222222222221</v>
      </c>
    </row>
    <row r="205" spans="1:30" ht="29.1" hidden="1" customHeight="1">
      <c r="A205" t="s">
        <v>4226</v>
      </c>
      <c r="B205" t="s">
        <v>4212</v>
      </c>
      <c r="C205" t="s">
        <v>4424</v>
      </c>
      <c r="D205" t="s">
        <v>1213</v>
      </c>
      <c r="E205" t="s">
        <v>673</v>
      </c>
      <c r="F205">
        <v>1E-3</v>
      </c>
      <c r="G205" t="s">
        <v>4413</v>
      </c>
      <c r="H205">
        <v>34.200000000000003</v>
      </c>
      <c r="I205" t="s">
        <v>1140</v>
      </c>
      <c r="J205" s="648">
        <v>69.599999999999994</v>
      </c>
      <c r="L205">
        <v>3.6</v>
      </c>
      <c r="M205" t="s">
        <v>4414</v>
      </c>
      <c r="N205" t="s">
        <v>4426</v>
      </c>
      <c r="P205" t="s">
        <v>4416</v>
      </c>
      <c r="S205" s="56">
        <f t="shared" si="4"/>
        <v>69.599999999999994</v>
      </c>
      <c r="U205" s="5">
        <v>67.400000000000006</v>
      </c>
      <c r="V205" s="5">
        <v>0.6</v>
      </c>
      <c r="W205" s="5">
        <v>1.6</v>
      </c>
      <c r="X205" s="56" t="str">
        <f>GHGFY207[[#This Row],[Data Source (scope 1)]]</f>
        <v>NGER (Measurement) Determination 2008 2019versions pg 320 - Part 4 Fuel combustion - 53</v>
      </c>
      <c r="Y205" s="65"/>
      <c r="AB205" s="3">
        <f>(S205-GHGFY207[[#This Row],[Scope 1 Emission factor]])/GHGFY207[[#This Row],[Scope 1 Emission factor]]</f>
        <v>0</v>
      </c>
      <c r="AC205" s="3" t="e">
        <f>(T205-GHGFY207[[#This Row],[Scope 2 Emission factor]])/GHGFY207[[#This Row],[Scope 2 Emission factor]]</f>
        <v>#DIV/0!</v>
      </c>
      <c r="AD205" s="3">
        <f>(U205-GHGFY207[[#This Row],[Scope 3 Emission factor]])/GHGFY207[[#This Row],[Scope 3 Emission factor]]</f>
        <v>17.722222222222221</v>
      </c>
    </row>
    <row r="206" spans="1:30" ht="29.1" hidden="1" customHeight="1">
      <c r="A206" t="s">
        <v>4223</v>
      </c>
      <c r="B206" t="s">
        <v>4212</v>
      </c>
      <c r="C206" t="s">
        <v>4424</v>
      </c>
      <c r="D206" t="s">
        <v>1208</v>
      </c>
      <c r="E206" t="s">
        <v>673</v>
      </c>
      <c r="F206">
        <v>1E-3</v>
      </c>
      <c r="G206" t="s">
        <v>4413</v>
      </c>
      <c r="H206">
        <v>34.200000000000003</v>
      </c>
      <c r="I206" t="s">
        <v>1140</v>
      </c>
      <c r="J206" s="648">
        <v>69.599999999999994</v>
      </c>
      <c r="L206">
        <v>3.6</v>
      </c>
      <c r="M206" t="s">
        <v>4414</v>
      </c>
      <c r="N206" t="s">
        <v>4426</v>
      </c>
      <c r="P206" t="s">
        <v>4416</v>
      </c>
      <c r="S206" s="56">
        <f t="shared" si="4"/>
        <v>69.599999999999994</v>
      </c>
      <c r="U206" s="5">
        <v>67.400000000000006</v>
      </c>
      <c r="V206" s="5">
        <v>0.6</v>
      </c>
      <c r="W206" s="5">
        <v>1.6</v>
      </c>
      <c r="X206" s="56" t="str">
        <f>GHGFY207[[#This Row],[Data Source (scope 1)]]</f>
        <v>NGER (Measurement) Determination 2008 2019versions pg 320 - Part 4 Fuel combustion - 53</v>
      </c>
      <c r="Y206" s="65"/>
      <c r="AB206" s="3">
        <f>(S206-GHGFY207[[#This Row],[Scope 1 Emission factor]])/GHGFY207[[#This Row],[Scope 1 Emission factor]]</f>
        <v>0</v>
      </c>
      <c r="AC206" s="3" t="e">
        <f>(T206-GHGFY207[[#This Row],[Scope 2 Emission factor]])/GHGFY207[[#This Row],[Scope 2 Emission factor]]</f>
        <v>#DIV/0!</v>
      </c>
      <c r="AD206" s="3">
        <f>(U206-GHGFY207[[#This Row],[Scope 3 Emission factor]])/GHGFY207[[#This Row],[Scope 3 Emission factor]]</f>
        <v>17.722222222222221</v>
      </c>
    </row>
    <row r="207" spans="1:30" ht="29.1" hidden="1" customHeight="1">
      <c r="A207" t="s">
        <v>850</v>
      </c>
      <c r="B207" t="s">
        <v>4212</v>
      </c>
      <c r="C207" t="s">
        <v>4420</v>
      </c>
      <c r="D207" t="s">
        <v>1190</v>
      </c>
      <c r="E207" t="s">
        <v>673</v>
      </c>
      <c r="F207">
        <v>1E-3</v>
      </c>
      <c r="G207" t="s">
        <v>4413</v>
      </c>
      <c r="H207">
        <v>38.6</v>
      </c>
      <c r="I207" t="s">
        <v>1140</v>
      </c>
      <c r="J207" s="648">
        <v>70.410000000000011</v>
      </c>
      <c r="L207">
        <v>3.6</v>
      </c>
      <c r="M207" t="s">
        <v>4414</v>
      </c>
      <c r="N207" t="s">
        <v>4421</v>
      </c>
      <c r="P207" t="s">
        <v>4416</v>
      </c>
      <c r="S207" s="56">
        <f t="shared" si="4"/>
        <v>70.410000000000011</v>
      </c>
      <c r="U207" s="5">
        <v>69.900000000000006</v>
      </c>
      <c r="V207" s="5">
        <v>0.01</v>
      </c>
      <c r="W207" s="5">
        <v>0.5</v>
      </c>
      <c r="X207" s="56" t="str">
        <f>GHGFY207[[#This Row],[Data Source (scope 1)]]</f>
        <v>NGER (Measurement) Determination 2008 2019versions pg 321 - Part 4 Fuel combustion - 65</v>
      </c>
      <c r="Y207" s="65" t="s">
        <v>4416</v>
      </c>
      <c r="AB207" s="3">
        <f>(S207-GHGFY207[[#This Row],[Scope 1 Emission factor]])/GHGFY207[[#This Row],[Scope 1 Emission factor]]</f>
        <v>0</v>
      </c>
      <c r="AC207" s="3" t="e">
        <f>(T207-GHGFY207[[#This Row],[Scope 2 Emission factor]])/GHGFY207[[#This Row],[Scope 2 Emission factor]]</f>
        <v>#DIV/0!</v>
      </c>
      <c r="AD207" s="3">
        <f>(U207-GHGFY207[[#This Row],[Scope 3 Emission factor]])/GHGFY207[[#This Row],[Scope 3 Emission factor]]</f>
        <v>18.416666666666668</v>
      </c>
    </row>
    <row r="208" spans="1:30" ht="29.1" hidden="1" customHeight="1">
      <c r="A208" t="s">
        <v>851</v>
      </c>
      <c r="B208" t="s">
        <v>4212</v>
      </c>
      <c r="C208" t="s">
        <v>4420</v>
      </c>
      <c r="D208" t="s">
        <v>1192</v>
      </c>
      <c r="E208" t="s">
        <v>673</v>
      </c>
      <c r="F208">
        <v>1E-3</v>
      </c>
      <c r="G208" t="s">
        <v>4413</v>
      </c>
      <c r="H208">
        <v>38.6</v>
      </c>
      <c r="I208" t="s">
        <v>1140</v>
      </c>
      <c r="J208" s="648">
        <v>70.410000000000011</v>
      </c>
      <c r="L208">
        <v>3.6</v>
      </c>
      <c r="M208" t="s">
        <v>4414</v>
      </c>
      <c r="N208" t="s">
        <v>4421</v>
      </c>
      <c r="P208" t="s">
        <v>4416</v>
      </c>
      <c r="S208" s="56">
        <f t="shared" si="4"/>
        <v>70.410000000000011</v>
      </c>
      <c r="U208" s="5">
        <v>69.900000000000006</v>
      </c>
      <c r="V208" s="5">
        <v>0.01</v>
      </c>
      <c r="W208" s="5">
        <v>0.5</v>
      </c>
      <c r="X208" s="56" t="str">
        <f>GHGFY207[[#This Row],[Data Source (scope 1)]]</f>
        <v>NGER (Measurement) Determination 2008 2019versions pg 321 - Part 4 Fuel combustion - 65</v>
      </c>
      <c r="Y208" s="65" t="s">
        <v>4416</v>
      </c>
      <c r="AB208" s="3">
        <f>(S208-GHGFY207[[#This Row],[Scope 1 Emission factor]])/GHGFY207[[#This Row],[Scope 1 Emission factor]]</f>
        <v>0</v>
      </c>
      <c r="AC208" s="3" t="e">
        <f>(T208-GHGFY207[[#This Row],[Scope 2 Emission factor]])/GHGFY207[[#This Row],[Scope 2 Emission factor]]</f>
        <v>#DIV/0!</v>
      </c>
      <c r="AD208" s="3">
        <f>(U208-GHGFY207[[#This Row],[Scope 3 Emission factor]])/GHGFY207[[#This Row],[Scope 3 Emission factor]]</f>
        <v>18.416666666666668</v>
      </c>
    </row>
    <row r="209" spans="1:30" ht="29.1" hidden="1" customHeight="1">
      <c r="A209" t="s">
        <v>856</v>
      </c>
      <c r="B209" t="s">
        <v>4212</v>
      </c>
      <c r="C209" t="s">
        <v>4420</v>
      </c>
      <c r="D209" t="s">
        <v>1189</v>
      </c>
      <c r="E209" t="s">
        <v>673</v>
      </c>
      <c r="F209">
        <v>1E-3</v>
      </c>
      <c r="G209" t="s">
        <v>4413</v>
      </c>
      <c r="H209">
        <v>38.6</v>
      </c>
      <c r="I209" t="s">
        <v>1140</v>
      </c>
      <c r="J209" s="648">
        <v>70.410000000000011</v>
      </c>
      <c r="L209">
        <v>3.6</v>
      </c>
      <c r="M209" t="s">
        <v>4414</v>
      </c>
      <c r="N209" t="s">
        <v>4421</v>
      </c>
      <c r="P209" t="s">
        <v>4416</v>
      </c>
      <c r="S209" s="56">
        <f t="shared" si="4"/>
        <v>70.410000000000011</v>
      </c>
      <c r="U209" s="5">
        <v>69.900000000000006</v>
      </c>
      <c r="V209" s="5">
        <v>0.01</v>
      </c>
      <c r="W209" s="5">
        <v>0.5</v>
      </c>
      <c r="X209" s="56" t="str">
        <f>GHGFY207[[#This Row],[Data Source (scope 1)]]</f>
        <v>NGER (Measurement) Determination 2008 2019versions pg 321 - Part 4 Fuel combustion - 65</v>
      </c>
      <c r="Y209" s="65" t="s">
        <v>4416</v>
      </c>
      <c r="AB209" s="3">
        <f>(S209-GHGFY207[[#This Row],[Scope 1 Emission factor]])/GHGFY207[[#This Row],[Scope 1 Emission factor]]</f>
        <v>0</v>
      </c>
      <c r="AC209" s="3" t="e">
        <f>(T209-GHGFY207[[#This Row],[Scope 2 Emission factor]])/GHGFY207[[#This Row],[Scope 2 Emission factor]]</f>
        <v>#DIV/0!</v>
      </c>
      <c r="AD209" s="3">
        <f>(U209-GHGFY207[[#This Row],[Scope 3 Emission factor]])/GHGFY207[[#This Row],[Scope 3 Emission factor]]</f>
        <v>18.416666666666668</v>
      </c>
    </row>
    <row r="210" spans="1:30" ht="29.1" hidden="1" customHeight="1">
      <c r="A210" t="s">
        <v>853</v>
      </c>
      <c r="B210" t="s">
        <v>4212</v>
      </c>
      <c r="C210" t="s">
        <v>4420</v>
      </c>
      <c r="D210" t="s">
        <v>1210</v>
      </c>
      <c r="E210" t="s">
        <v>673</v>
      </c>
      <c r="F210">
        <v>1E-3</v>
      </c>
      <c r="G210" t="s">
        <v>4413</v>
      </c>
      <c r="H210">
        <v>38.6</v>
      </c>
      <c r="I210" t="s">
        <v>1140</v>
      </c>
      <c r="J210" s="648">
        <v>70.410000000000011</v>
      </c>
      <c r="L210">
        <v>3.6</v>
      </c>
      <c r="M210" t="s">
        <v>4414</v>
      </c>
      <c r="N210" t="s">
        <v>4421</v>
      </c>
      <c r="P210" t="s">
        <v>4416</v>
      </c>
      <c r="S210" s="56">
        <f t="shared" si="4"/>
        <v>70.410000000000011</v>
      </c>
      <c r="U210" s="5">
        <v>69.900000000000006</v>
      </c>
      <c r="V210" s="5">
        <v>0.01</v>
      </c>
      <c r="W210" s="5">
        <v>0.5</v>
      </c>
      <c r="X210" s="56" t="str">
        <f>GHGFY207[[#This Row],[Data Source (scope 1)]]</f>
        <v>NGER (Measurement) Determination 2008 2019versions pg 321 - Part 4 Fuel combustion - 65</v>
      </c>
      <c r="Y210" s="65" t="s">
        <v>4416</v>
      </c>
      <c r="AB210" s="3">
        <f>(S210-GHGFY207[[#This Row],[Scope 1 Emission factor]])/GHGFY207[[#This Row],[Scope 1 Emission factor]]</f>
        <v>0</v>
      </c>
      <c r="AC210" s="3" t="e">
        <f>(T210-GHGFY207[[#This Row],[Scope 2 Emission factor]])/GHGFY207[[#This Row],[Scope 2 Emission factor]]</f>
        <v>#DIV/0!</v>
      </c>
      <c r="AD210" s="3">
        <f>(U210-GHGFY207[[#This Row],[Scope 3 Emission factor]])/GHGFY207[[#This Row],[Scope 3 Emission factor]]</f>
        <v>18.416666666666668</v>
      </c>
    </row>
    <row r="211" spans="1:30" ht="29.1" hidden="1" customHeight="1">
      <c r="A211" t="s">
        <v>857</v>
      </c>
      <c r="B211" t="s">
        <v>4212</v>
      </c>
      <c r="C211" t="s">
        <v>4420</v>
      </c>
      <c r="D211" t="s">
        <v>1216</v>
      </c>
      <c r="E211" t="s">
        <v>673</v>
      </c>
      <c r="F211">
        <v>1E-3</v>
      </c>
      <c r="G211" t="s">
        <v>4413</v>
      </c>
      <c r="H211">
        <v>38.6</v>
      </c>
      <c r="I211" t="s">
        <v>1140</v>
      </c>
      <c r="J211" s="648">
        <v>70.410000000000011</v>
      </c>
      <c r="L211">
        <v>3.6</v>
      </c>
      <c r="M211" t="s">
        <v>4414</v>
      </c>
      <c r="N211" t="s">
        <v>4421</v>
      </c>
      <c r="P211" t="s">
        <v>4416</v>
      </c>
      <c r="S211" s="56">
        <f t="shared" si="4"/>
        <v>70.410000000000011</v>
      </c>
      <c r="U211" s="5">
        <v>69.900000000000006</v>
      </c>
      <c r="V211" s="5">
        <v>0.01</v>
      </c>
      <c r="W211" s="5">
        <v>0.5</v>
      </c>
      <c r="X211" s="56" t="str">
        <f>GHGFY207[[#This Row],[Data Source (scope 1)]]</f>
        <v>NGER (Measurement) Determination 2008 2019versions pg 321 - Part 4 Fuel combustion - 65</v>
      </c>
      <c r="Y211" s="65" t="s">
        <v>4416</v>
      </c>
      <c r="AB211" s="3">
        <f>(S211-GHGFY207[[#This Row],[Scope 1 Emission factor]])/GHGFY207[[#This Row],[Scope 1 Emission factor]]</f>
        <v>0</v>
      </c>
      <c r="AC211" s="3" t="e">
        <f>(T211-GHGFY207[[#This Row],[Scope 2 Emission factor]])/GHGFY207[[#This Row],[Scope 2 Emission factor]]</f>
        <v>#DIV/0!</v>
      </c>
      <c r="AD211" s="3">
        <f>(U211-GHGFY207[[#This Row],[Scope 3 Emission factor]])/GHGFY207[[#This Row],[Scope 3 Emission factor]]</f>
        <v>18.416666666666668</v>
      </c>
    </row>
    <row r="212" spans="1:30" ht="29.1" hidden="1" customHeight="1">
      <c r="A212" t="s">
        <v>854</v>
      </c>
      <c r="B212" t="s">
        <v>4212</v>
      </c>
      <c r="C212" t="s">
        <v>4420</v>
      </c>
      <c r="D212" t="s">
        <v>1193</v>
      </c>
      <c r="E212" t="s">
        <v>673</v>
      </c>
      <c r="F212">
        <v>1E-3</v>
      </c>
      <c r="G212" t="s">
        <v>4413</v>
      </c>
      <c r="H212">
        <v>38.6</v>
      </c>
      <c r="I212" t="s">
        <v>1140</v>
      </c>
      <c r="J212" s="648">
        <v>70.410000000000011</v>
      </c>
      <c r="L212">
        <v>3.6</v>
      </c>
      <c r="M212" t="s">
        <v>4414</v>
      </c>
      <c r="N212" t="s">
        <v>4421</v>
      </c>
      <c r="P212" t="s">
        <v>4416</v>
      </c>
      <c r="S212" s="56">
        <f t="shared" si="4"/>
        <v>70.410000000000011</v>
      </c>
      <c r="U212" s="5">
        <v>69.900000000000006</v>
      </c>
      <c r="V212" s="5">
        <v>0.01</v>
      </c>
      <c r="W212" s="5">
        <v>0.5</v>
      </c>
      <c r="X212" s="56" t="str">
        <f>GHGFY207[[#This Row],[Data Source (scope 1)]]</f>
        <v>NGER (Measurement) Determination 2008 2019versions pg 321 - Part 4 Fuel combustion - 65</v>
      </c>
      <c r="Y212" s="65" t="s">
        <v>4416</v>
      </c>
      <c r="AB212" s="3">
        <f>(S212-GHGFY207[[#This Row],[Scope 1 Emission factor]])/GHGFY207[[#This Row],[Scope 1 Emission factor]]</f>
        <v>0</v>
      </c>
      <c r="AC212" s="3" t="e">
        <f>(T212-GHGFY207[[#This Row],[Scope 2 Emission factor]])/GHGFY207[[#This Row],[Scope 2 Emission factor]]</f>
        <v>#DIV/0!</v>
      </c>
      <c r="AD212" s="3">
        <f>(U212-GHGFY207[[#This Row],[Scope 3 Emission factor]])/GHGFY207[[#This Row],[Scope 3 Emission factor]]</f>
        <v>18.416666666666668</v>
      </c>
    </row>
    <row r="213" spans="1:30" ht="29.1" hidden="1" customHeight="1">
      <c r="A213" t="s">
        <v>855</v>
      </c>
      <c r="B213" t="s">
        <v>4212</v>
      </c>
      <c r="C213" t="s">
        <v>4420</v>
      </c>
      <c r="D213" t="s">
        <v>1213</v>
      </c>
      <c r="E213" t="s">
        <v>673</v>
      </c>
      <c r="F213">
        <v>1E-3</v>
      </c>
      <c r="G213" t="s">
        <v>4413</v>
      </c>
      <c r="H213">
        <v>38.6</v>
      </c>
      <c r="I213" t="s">
        <v>1140</v>
      </c>
      <c r="J213" s="648">
        <v>70.410000000000011</v>
      </c>
      <c r="L213">
        <v>3.6</v>
      </c>
      <c r="M213" t="s">
        <v>4414</v>
      </c>
      <c r="N213" t="s">
        <v>4421</v>
      </c>
      <c r="P213" t="s">
        <v>4416</v>
      </c>
      <c r="S213" s="56">
        <f t="shared" si="4"/>
        <v>70.410000000000011</v>
      </c>
      <c r="U213" s="5">
        <v>69.900000000000006</v>
      </c>
      <c r="V213" s="5">
        <v>0.01</v>
      </c>
      <c r="W213" s="5">
        <v>0.5</v>
      </c>
      <c r="X213" s="56" t="str">
        <f>GHGFY207[[#This Row],[Data Source (scope 1)]]</f>
        <v>NGER (Measurement) Determination 2008 2019versions pg 321 - Part 4 Fuel combustion - 65</v>
      </c>
      <c r="Y213" s="65" t="s">
        <v>4416</v>
      </c>
      <c r="AB213" s="3">
        <f>(S213-GHGFY207[[#This Row],[Scope 1 Emission factor]])/GHGFY207[[#This Row],[Scope 1 Emission factor]]</f>
        <v>0</v>
      </c>
      <c r="AC213" s="3" t="e">
        <f>(T213-GHGFY207[[#This Row],[Scope 2 Emission factor]])/GHGFY207[[#This Row],[Scope 2 Emission factor]]</f>
        <v>#DIV/0!</v>
      </c>
      <c r="AD213" s="3">
        <f>(U213-GHGFY207[[#This Row],[Scope 3 Emission factor]])/GHGFY207[[#This Row],[Scope 3 Emission factor]]</f>
        <v>18.416666666666668</v>
      </c>
    </row>
    <row r="214" spans="1:30" ht="29.1" hidden="1" customHeight="1">
      <c r="A214" t="s">
        <v>852</v>
      </c>
      <c r="B214" t="s">
        <v>4212</v>
      </c>
      <c r="C214" t="s">
        <v>4420</v>
      </c>
      <c r="D214" t="s">
        <v>1208</v>
      </c>
      <c r="E214" t="s">
        <v>673</v>
      </c>
      <c r="F214">
        <v>1E-3</v>
      </c>
      <c r="G214" t="s">
        <v>4413</v>
      </c>
      <c r="H214">
        <v>38.6</v>
      </c>
      <c r="I214" t="s">
        <v>1140</v>
      </c>
      <c r="J214" s="648">
        <v>70.410000000000011</v>
      </c>
      <c r="L214">
        <v>3.6</v>
      </c>
      <c r="M214" t="s">
        <v>4414</v>
      </c>
      <c r="N214" t="s">
        <v>4421</v>
      </c>
      <c r="P214" t="s">
        <v>4416</v>
      </c>
      <c r="S214" s="56">
        <f t="shared" si="4"/>
        <v>70.410000000000011</v>
      </c>
      <c r="U214" s="5">
        <v>69.900000000000006</v>
      </c>
      <c r="V214" s="5">
        <v>0.01</v>
      </c>
      <c r="W214" s="5">
        <v>0.5</v>
      </c>
      <c r="X214" s="56" t="str">
        <f>GHGFY207[[#This Row],[Data Source (scope 1)]]</f>
        <v>NGER (Measurement) Determination 2008 2019versions pg 321 - Part 4 Fuel combustion - 65</v>
      </c>
      <c r="Y214" s="65" t="s">
        <v>4416</v>
      </c>
      <c r="AB214" s="3">
        <f>(S214-GHGFY207[[#This Row],[Scope 1 Emission factor]])/GHGFY207[[#This Row],[Scope 1 Emission factor]]</f>
        <v>0</v>
      </c>
      <c r="AC214" s="3" t="e">
        <f>(T214-GHGFY207[[#This Row],[Scope 2 Emission factor]])/GHGFY207[[#This Row],[Scope 2 Emission factor]]</f>
        <v>#DIV/0!</v>
      </c>
      <c r="AD214" s="3">
        <f>(U214-GHGFY207[[#This Row],[Scope 3 Emission factor]])/GHGFY207[[#This Row],[Scope 3 Emission factor]]</f>
        <v>18.416666666666668</v>
      </c>
    </row>
    <row r="215" spans="1:30" ht="29.1" hidden="1" customHeight="1">
      <c r="A215" t="s">
        <v>869</v>
      </c>
      <c r="B215" t="s">
        <v>4212</v>
      </c>
      <c r="C215" t="s">
        <v>4420</v>
      </c>
      <c r="D215" t="s">
        <v>1190</v>
      </c>
      <c r="E215" t="s">
        <v>673</v>
      </c>
      <c r="F215">
        <v>1E-3</v>
      </c>
      <c r="G215" t="s">
        <v>4413</v>
      </c>
      <c r="H215">
        <v>34.200000000000003</v>
      </c>
      <c r="I215" t="s">
        <v>1140</v>
      </c>
      <c r="J215" s="649">
        <v>67.62</v>
      </c>
      <c r="L215">
        <v>3.6</v>
      </c>
      <c r="M215" t="s">
        <v>4414</v>
      </c>
      <c r="N215" t="s">
        <v>4423</v>
      </c>
      <c r="P215" t="s">
        <v>4416</v>
      </c>
      <c r="S215" s="56">
        <f t="shared" si="4"/>
        <v>67.62</v>
      </c>
      <c r="U215" s="5">
        <v>67.400000000000006</v>
      </c>
      <c r="V215" s="5">
        <v>0.02</v>
      </c>
      <c r="W215" s="5">
        <v>0.2</v>
      </c>
      <c r="X215" s="56" t="str">
        <f>GHGFY207[[#This Row],[Data Source (scope 1)]]</f>
        <v>NGER (Measurement) Determination 2008 2019versions pg 321 - Part 4 Fuel combustion - 64</v>
      </c>
      <c r="Y215" s="65" t="s">
        <v>4416</v>
      </c>
      <c r="AB215" s="3">
        <f>(S215-GHGFY207[[#This Row],[Scope 1 Emission factor]])/GHGFY207[[#This Row],[Scope 1 Emission factor]]</f>
        <v>0</v>
      </c>
      <c r="AC215" s="3" t="e">
        <f>(T215-GHGFY207[[#This Row],[Scope 2 Emission factor]])/GHGFY207[[#This Row],[Scope 2 Emission factor]]</f>
        <v>#DIV/0!</v>
      </c>
      <c r="AD215" s="3">
        <f>(U215-GHGFY207[[#This Row],[Scope 3 Emission factor]])/GHGFY207[[#This Row],[Scope 3 Emission factor]]</f>
        <v>17.722222222222221</v>
      </c>
    </row>
    <row r="216" spans="1:30" ht="29.1" hidden="1" customHeight="1">
      <c r="A216" t="s">
        <v>870</v>
      </c>
      <c r="B216" t="s">
        <v>4212</v>
      </c>
      <c r="C216" t="s">
        <v>4420</v>
      </c>
      <c r="D216" t="s">
        <v>1192</v>
      </c>
      <c r="E216" t="s">
        <v>673</v>
      </c>
      <c r="F216">
        <v>1E-3</v>
      </c>
      <c r="G216" t="s">
        <v>4413</v>
      </c>
      <c r="H216">
        <v>34.200000000000003</v>
      </c>
      <c r="I216" t="s">
        <v>1140</v>
      </c>
      <c r="J216" s="647">
        <v>67.62</v>
      </c>
      <c r="L216">
        <v>3.6</v>
      </c>
      <c r="M216" t="s">
        <v>4414</v>
      </c>
      <c r="N216" t="s">
        <v>4423</v>
      </c>
      <c r="P216" t="s">
        <v>4416</v>
      </c>
      <c r="S216" s="56">
        <f t="shared" si="4"/>
        <v>67.62</v>
      </c>
      <c r="U216" s="5">
        <v>67.400000000000006</v>
      </c>
      <c r="V216" s="5">
        <v>0.02</v>
      </c>
      <c r="W216" s="5">
        <v>0.2</v>
      </c>
      <c r="X216" s="56" t="str">
        <f>GHGFY207[[#This Row],[Data Source (scope 1)]]</f>
        <v>NGER (Measurement) Determination 2008 2019versions pg 321 - Part 4 Fuel combustion - 64</v>
      </c>
      <c r="Y216" s="65" t="s">
        <v>4416</v>
      </c>
      <c r="AB216" s="3">
        <f>(S216-GHGFY207[[#This Row],[Scope 1 Emission factor]])/GHGFY207[[#This Row],[Scope 1 Emission factor]]</f>
        <v>0</v>
      </c>
      <c r="AC216" s="3" t="e">
        <f>(T216-GHGFY207[[#This Row],[Scope 2 Emission factor]])/GHGFY207[[#This Row],[Scope 2 Emission factor]]</f>
        <v>#DIV/0!</v>
      </c>
      <c r="AD216" s="3">
        <f>(U216-GHGFY207[[#This Row],[Scope 3 Emission factor]])/GHGFY207[[#This Row],[Scope 3 Emission factor]]</f>
        <v>17.722222222222221</v>
      </c>
    </row>
    <row r="217" spans="1:30" ht="29.1" hidden="1" customHeight="1">
      <c r="A217" t="s">
        <v>875</v>
      </c>
      <c r="B217" t="s">
        <v>4212</v>
      </c>
      <c r="C217" t="s">
        <v>4420</v>
      </c>
      <c r="D217" t="s">
        <v>1189</v>
      </c>
      <c r="E217" t="s">
        <v>673</v>
      </c>
      <c r="F217">
        <v>1E-3</v>
      </c>
      <c r="G217" t="s">
        <v>4413</v>
      </c>
      <c r="H217">
        <v>34.200000000000003</v>
      </c>
      <c r="I217" t="s">
        <v>1140</v>
      </c>
      <c r="J217" s="647">
        <v>67.62</v>
      </c>
      <c r="L217">
        <v>3.6</v>
      </c>
      <c r="M217" t="s">
        <v>4414</v>
      </c>
      <c r="N217" t="s">
        <v>4423</v>
      </c>
      <c r="P217" t="s">
        <v>4416</v>
      </c>
      <c r="S217" s="56">
        <f t="shared" si="4"/>
        <v>67.62</v>
      </c>
      <c r="U217" s="5">
        <v>67.400000000000006</v>
      </c>
      <c r="V217" s="5">
        <v>0.02</v>
      </c>
      <c r="W217" s="5">
        <v>0.2</v>
      </c>
      <c r="X217" s="56" t="str">
        <f>GHGFY207[[#This Row],[Data Source (scope 1)]]</f>
        <v>NGER (Measurement) Determination 2008 2019versions pg 321 - Part 4 Fuel combustion - 64</v>
      </c>
      <c r="Y217" s="65" t="s">
        <v>4416</v>
      </c>
      <c r="AB217" s="3">
        <f>(S217-GHGFY207[[#This Row],[Scope 1 Emission factor]])/GHGFY207[[#This Row],[Scope 1 Emission factor]]</f>
        <v>0</v>
      </c>
      <c r="AC217" s="3" t="e">
        <f>(T217-GHGFY207[[#This Row],[Scope 2 Emission factor]])/GHGFY207[[#This Row],[Scope 2 Emission factor]]</f>
        <v>#DIV/0!</v>
      </c>
      <c r="AD217" s="3">
        <f>(U217-GHGFY207[[#This Row],[Scope 3 Emission factor]])/GHGFY207[[#This Row],[Scope 3 Emission factor]]</f>
        <v>17.722222222222221</v>
      </c>
    </row>
    <row r="218" spans="1:30" ht="29.1" hidden="1" customHeight="1">
      <c r="A218" t="s">
        <v>872</v>
      </c>
      <c r="B218" t="s">
        <v>4212</v>
      </c>
      <c r="C218" t="s">
        <v>4420</v>
      </c>
      <c r="D218" t="s">
        <v>1210</v>
      </c>
      <c r="E218" t="s">
        <v>673</v>
      </c>
      <c r="F218">
        <v>1E-3</v>
      </c>
      <c r="G218" t="s">
        <v>4413</v>
      </c>
      <c r="H218">
        <v>34.200000000000003</v>
      </c>
      <c r="I218" t="s">
        <v>1140</v>
      </c>
      <c r="J218" s="647">
        <v>67.62</v>
      </c>
      <c r="L218">
        <v>3.6</v>
      </c>
      <c r="M218" t="s">
        <v>4414</v>
      </c>
      <c r="N218" t="s">
        <v>4423</v>
      </c>
      <c r="P218" t="s">
        <v>4416</v>
      </c>
      <c r="S218" s="56">
        <f t="shared" si="4"/>
        <v>67.62</v>
      </c>
      <c r="U218" s="5">
        <v>67.400000000000006</v>
      </c>
      <c r="V218" s="5">
        <v>0.02</v>
      </c>
      <c r="W218" s="5">
        <v>0.2</v>
      </c>
      <c r="X218" s="56" t="str">
        <f>GHGFY207[[#This Row],[Data Source (scope 1)]]</f>
        <v>NGER (Measurement) Determination 2008 2019versions pg 321 - Part 4 Fuel combustion - 64</v>
      </c>
      <c r="Y218" s="65" t="s">
        <v>4416</v>
      </c>
      <c r="AB218" s="3">
        <f>(S218-GHGFY207[[#This Row],[Scope 1 Emission factor]])/GHGFY207[[#This Row],[Scope 1 Emission factor]]</f>
        <v>0</v>
      </c>
      <c r="AC218" s="3" t="e">
        <f>(T218-GHGFY207[[#This Row],[Scope 2 Emission factor]])/GHGFY207[[#This Row],[Scope 2 Emission factor]]</f>
        <v>#DIV/0!</v>
      </c>
      <c r="AD218" s="3">
        <f>(U218-GHGFY207[[#This Row],[Scope 3 Emission factor]])/GHGFY207[[#This Row],[Scope 3 Emission factor]]</f>
        <v>17.722222222222221</v>
      </c>
    </row>
    <row r="219" spans="1:30" ht="29.1" hidden="1" customHeight="1">
      <c r="A219" t="s">
        <v>876</v>
      </c>
      <c r="B219" t="s">
        <v>4212</v>
      </c>
      <c r="C219" t="s">
        <v>4420</v>
      </c>
      <c r="D219" t="s">
        <v>1216</v>
      </c>
      <c r="E219" t="s">
        <v>673</v>
      </c>
      <c r="F219">
        <v>1E-3</v>
      </c>
      <c r="G219" t="s">
        <v>4413</v>
      </c>
      <c r="H219">
        <v>34.200000000000003</v>
      </c>
      <c r="I219" t="s">
        <v>1140</v>
      </c>
      <c r="J219" s="647">
        <v>67.62</v>
      </c>
      <c r="L219">
        <v>3.6</v>
      </c>
      <c r="M219" t="s">
        <v>4414</v>
      </c>
      <c r="N219" t="s">
        <v>4423</v>
      </c>
      <c r="P219" t="s">
        <v>4416</v>
      </c>
      <c r="S219" s="56">
        <f t="shared" si="4"/>
        <v>67.62</v>
      </c>
      <c r="U219" s="5">
        <v>67.400000000000006</v>
      </c>
      <c r="V219" s="5">
        <v>0.02</v>
      </c>
      <c r="W219" s="5">
        <v>0.2</v>
      </c>
      <c r="X219" s="56" t="str">
        <f>GHGFY207[[#This Row],[Data Source (scope 1)]]</f>
        <v>NGER (Measurement) Determination 2008 2019versions pg 321 - Part 4 Fuel combustion - 64</v>
      </c>
      <c r="Y219" s="65" t="s">
        <v>4416</v>
      </c>
      <c r="AB219" s="3">
        <f>(S219-GHGFY207[[#This Row],[Scope 1 Emission factor]])/GHGFY207[[#This Row],[Scope 1 Emission factor]]</f>
        <v>0</v>
      </c>
      <c r="AC219" s="3" t="e">
        <f>(T219-GHGFY207[[#This Row],[Scope 2 Emission factor]])/GHGFY207[[#This Row],[Scope 2 Emission factor]]</f>
        <v>#DIV/0!</v>
      </c>
      <c r="AD219" s="3">
        <f>(U219-GHGFY207[[#This Row],[Scope 3 Emission factor]])/GHGFY207[[#This Row],[Scope 3 Emission factor]]</f>
        <v>17.722222222222221</v>
      </c>
    </row>
    <row r="220" spans="1:30" ht="29.1" hidden="1" customHeight="1">
      <c r="A220" t="s">
        <v>873</v>
      </c>
      <c r="B220" t="s">
        <v>4212</v>
      </c>
      <c r="C220" t="s">
        <v>4420</v>
      </c>
      <c r="D220" t="s">
        <v>1193</v>
      </c>
      <c r="E220" t="s">
        <v>673</v>
      </c>
      <c r="F220">
        <v>1E-3</v>
      </c>
      <c r="G220" t="s">
        <v>4413</v>
      </c>
      <c r="H220">
        <v>34.200000000000003</v>
      </c>
      <c r="I220" t="s">
        <v>1140</v>
      </c>
      <c r="J220" s="647">
        <v>67.62</v>
      </c>
      <c r="L220">
        <v>3.6</v>
      </c>
      <c r="M220" t="s">
        <v>4414</v>
      </c>
      <c r="N220" t="s">
        <v>4423</v>
      </c>
      <c r="P220" t="s">
        <v>4416</v>
      </c>
      <c r="S220" s="56">
        <f t="shared" si="4"/>
        <v>67.62</v>
      </c>
      <c r="U220" s="5">
        <v>67.400000000000006</v>
      </c>
      <c r="V220" s="5">
        <v>0.02</v>
      </c>
      <c r="W220" s="5">
        <v>0.2</v>
      </c>
      <c r="X220" s="56" t="str">
        <f>GHGFY207[[#This Row],[Data Source (scope 1)]]</f>
        <v>NGER (Measurement) Determination 2008 2019versions pg 321 - Part 4 Fuel combustion - 64</v>
      </c>
      <c r="Y220" s="65" t="s">
        <v>4416</v>
      </c>
      <c r="AB220" s="3">
        <f>(S220-GHGFY207[[#This Row],[Scope 1 Emission factor]])/GHGFY207[[#This Row],[Scope 1 Emission factor]]</f>
        <v>0</v>
      </c>
      <c r="AC220" s="3" t="e">
        <f>(T220-GHGFY207[[#This Row],[Scope 2 Emission factor]])/GHGFY207[[#This Row],[Scope 2 Emission factor]]</f>
        <v>#DIV/0!</v>
      </c>
      <c r="AD220" s="3">
        <f>(U220-GHGFY207[[#This Row],[Scope 3 Emission factor]])/GHGFY207[[#This Row],[Scope 3 Emission factor]]</f>
        <v>17.722222222222221</v>
      </c>
    </row>
    <row r="221" spans="1:30" ht="29.1" hidden="1" customHeight="1">
      <c r="A221" t="s">
        <v>874</v>
      </c>
      <c r="B221" t="s">
        <v>4212</v>
      </c>
      <c r="C221" t="s">
        <v>4420</v>
      </c>
      <c r="D221" t="s">
        <v>1213</v>
      </c>
      <c r="E221" t="s">
        <v>673</v>
      </c>
      <c r="F221">
        <v>1E-3</v>
      </c>
      <c r="G221" t="s">
        <v>4413</v>
      </c>
      <c r="H221">
        <v>34.200000000000003</v>
      </c>
      <c r="I221" t="s">
        <v>1140</v>
      </c>
      <c r="J221" s="647">
        <v>67.62</v>
      </c>
      <c r="L221">
        <v>3.6</v>
      </c>
      <c r="M221" t="s">
        <v>4414</v>
      </c>
      <c r="N221" t="s">
        <v>4423</v>
      </c>
      <c r="P221" t="s">
        <v>4416</v>
      </c>
      <c r="S221" s="56">
        <f t="shared" si="4"/>
        <v>67.62</v>
      </c>
      <c r="U221" s="5">
        <v>67.400000000000006</v>
      </c>
      <c r="V221" s="5">
        <v>0.02</v>
      </c>
      <c r="W221" s="5">
        <v>0.2</v>
      </c>
      <c r="X221" s="56" t="str">
        <f>GHGFY207[[#This Row],[Data Source (scope 1)]]</f>
        <v>NGER (Measurement) Determination 2008 2019versions pg 321 - Part 4 Fuel combustion - 64</v>
      </c>
      <c r="Y221" s="65" t="s">
        <v>4416</v>
      </c>
      <c r="AB221" s="3">
        <f>(S221-GHGFY207[[#This Row],[Scope 1 Emission factor]])/GHGFY207[[#This Row],[Scope 1 Emission factor]]</f>
        <v>0</v>
      </c>
      <c r="AC221" s="3" t="e">
        <f>(T221-GHGFY207[[#This Row],[Scope 2 Emission factor]])/GHGFY207[[#This Row],[Scope 2 Emission factor]]</f>
        <v>#DIV/0!</v>
      </c>
      <c r="AD221" s="3">
        <f>(U221-GHGFY207[[#This Row],[Scope 3 Emission factor]])/GHGFY207[[#This Row],[Scope 3 Emission factor]]</f>
        <v>17.722222222222221</v>
      </c>
    </row>
    <row r="222" spans="1:30" ht="29.1" hidden="1" customHeight="1">
      <c r="A222" t="s">
        <v>871</v>
      </c>
      <c r="B222" t="s">
        <v>4212</v>
      </c>
      <c r="C222" t="s">
        <v>4420</v>
      </c>
      <c r="D222" t="s">
        <v>1208</v>
      </c>
      <c r="E222" t="s">
        <v>673</v>
      </c>
      <c r="F222">
        <v>1E-3</v>
      </c>
      <c r="G222" t="s">
        <v>4413</v>
      </c>
      <c r="H222">
        <v>34.200000000000003</v>
      </c>
      <c r="I222" t="s">
        <v>1140</v>
      </c>
      <c r="J222" s="647">
        <v>67.62</v>
      </c>
      <c r="L222">
        <v>3.6</v>
      </c>
      <c r="M222" t="s">
        <v>4414</v>
      </c>
      <c r="N222" t="s">
        <v>4423</v>
      </c>
      <c r="P222" t="s">
        <v>4416</v>
      </c>
      <c r="S222" s="56">
        <f t="shared" si="4"/>
        <v>67.62</v>
      </c>
      <c r="U222" s="5">
        <v>67.400000000000006</v>
      </c>
      <c r="V222" s="5">
        <v>0.02</v>
      </c>
      <c r="W222" s="5">
        <v>0.2</v>
      </c>
      <c r="X222" s="56" t="str">
        <f>GHGFY207[[#This Row],[Data Source (scope 1)]]</f>
        <v>NGER (Measurement) Determination 2008 2019versions pg 321 - Part 4 Fuel combustion - 64</v>
      </c>
      <c r="Y222" s="65" t="s">
        <v>4416</v>
      </c>
      <c r="AB222" s="3">
        <f>(S222-GHGFY207[[#This Row],[Scope 1 Emission factor]])/GHGFY207[[#This Row],[Scope 1 Emission factor]]</f>
        <v>0</v>
      </c>
      <c r="AC222" s="3" t="e">
        <f>(T222-GHGFY207[[#This Row],[Scope 2 Emission factor]])/GHGFY207[[#This Row],[Scope 2 Emission factor]]</f>
        <v>#DIV/0!</v>
      </c>
      <c r="AD222" s="3">
        <f>(U222-GHGFY207[[#This Row],[Scope 3 Emission factor]])/GHGFY207[[#This Row],[Scope 3 Emission factor]]</f>
        <v>17.722222222222221</v>
      </c>
    </row>
    <row r="223" spans="1:30" ht="29.1" hidden="1" customHeight="1">
      <c r="A223" t="s">
        <v>858</v>
      </c>
      <c r="B223" t="s">
        <v>4212</v>
      </c>
      <c r="C223" t="s">
        <v>4420</v>
      </c>
      <c r="D223" t="s">
        <v>1190</v>
      </c>
      <c r="E223" t="s">
        <v>673</v>
      </c>
      <c r="F223">
        <v>1E-3</v>
      </c>
      <c r="G223" t="s">
        <v>4413</v>
      </c>
      <c r="H223">
        <v>23.4</v>
      </c>
      <c r="I223" t="s">
        <v>1140</v>
      </c>
      <c r="J223" s="647">
        <v>0.4</v>
      </c>
      <c r="L223">
        <v>0</v>
      </c>
      <c r="M223" t="s">
        <v>4414</v>
      </c>
      <c r="N223" t="s">
        <v>4428</v>
      </c>
      <c r="P223" t="s">
        <v>4416</v>
      </c>
      <c r="S223" s="56">
        <f t="shared" si="4"/>
        <v>0.4</v>
      </c>
      <c r="U223">
        <v>0</v>
      </c>
      <c r="V223">
        <v>0.2</v>
      </c>
      <c r="W223">
        <v>0.2</v>
      </c>
      <c r="X223" s="56" t="str">
        <f>GHGFY207[[#This Row],[Data Source (scope 1)]]</f>
        <v>NGER (Measurement) Determination 2008 2019versions pg 321 - Part 4 Fuel combustion - 67</v>
      </c>
      <c r="Y223" s="65" t="s">
        <v>4416</v>
      </c>
      <c r="AB223" s="3">
        <f>(S223-GHGFY207[[#This Row],[Scope 1 Emission factor]])/GHGFY207[[#This Row],[Scope 1 Emission factor]]</f>
        <v>0</v>
      </c>
      <c r="AC223" s="3" t="e">
        <f>(T223-GHGFY207[[#This Row],[Scope 2 Emission factor]])/GHGFY207[[#This Row],[Scope 2 Emission factor]]</f>
        <v>#DIV/0!</v>
      </c>
      <c r="AD223" s="3" t="e">
        <f>(U223-GHGFY207[[#This Row],[Scope 3 Emission factor]])/GHGFY207[[#This Row],[Scope 3 Emission factor]]</f>
        <v>#DIV/0!</v>
      </c>
    </row>
    <row r="224" spans="1:30" ht="29.1" hidden="1" customHeight="1">
      <c r="A224" t="s">
        <v>859</v>
      </c>
      <c r="B224" t="s">
        <v>4212</v>
      </c>
      <c r="C224" t="s">
        <v>4420</v>
      </c>
      <c r="D224" t="s">
        <v>1192</v>
      </c>
      <c r="E224" t="s">
        <v>673</v>
      </c>
      <c r="F224">
        <v>1E-3</v>
      </c>
      <c r="G224" t="s">
        <v>4413</v>
      </c>
      <c r="H224">
        <v>23.4</v>
      </c>
      <c r="I224" t="s">
        <v>1140</v>
      </c>
      <c r="J224" s="647">
        <v>0.4</v>
      </c>
      <c r="L224">
        <v>0</v>
      </c>
      <c r="M224" t="s">
        <v>4414</v>
      </c>
      <c r="N224" t="s">
        <v>4428</v>
      </c>
      <c r="P224" t="s">
        <v>4416</v>
      </c>
      <c r="S224" s="56">
        <f t="shared" si="4"/>
        <v>0.4</v>
      </c>
      <c r="U224">
        <v>0</v>
      </c>
      <c r="V224">
        <v>0.2</v>
      </c>
      <c r="W224">
        <v>0.2</v>
      </c>
      <c r="X224" s="56" t="str">
        <f>GHGFY207[[#This Row],[Data Source (scope 1)]]</f>
        <v>NGER (Measurement) Determination 2008 2019versions pg 321 - Part 4 Fuel combustion - 67</v>
      </c>
      <c r="Y224" s="65" t="s">
        <v>4416</v>
      </c>
      <c r="AB224" s="3">
        <f>(S224-GHGFY207[[#This Row],[Scope 1 Emission factor]])/GHGFY207[[#This Row],[Scope 1 Emission factor]]</f>
        <v>0</v>
      </c>
      <c r="AC224" s="3" t="e">
        <f>(T224-GHGFY207[[#This Row],[Scope 2 Emission factor]])/GHGFY207[[#This Row],[Scope 2 Emission factor]]</f>
        <v>#DIV/0!</v>
      </c>
      <c r="AD224" s="3" t="e">
        <f>(U224-GHGFY207[[#This Row],[Scope 3 Emission factor]])/GHGFY207[[#This Row],[Scope 3 Emission factor]]</f>
        <v>#DIV/0!</v>
      </c>
    </row>
    <row r="225" spans="1:30" ht="29.1" hidden="1" customHeight="1">
      <c r="A225" t="s">
        <v>863</v>
      </c>
      <c r="B225" t="s">
        <v>4212</v>
      </c>
      <c r="C225" t="s">
        <v>4420</v>
      </c>
      <c r="D225" t="s">
        <v>1189</v>
      </c>
      <c r="E225" t="s">
        <v>673</v>
      </c>
      <c r="F225">
        <v>1E-3</v>
      </c>
      <c r="G225" t="s">
        <v>4413</v>
      </c>
      <c r="H225">
        <v>23.4</v>
      </c>
      <c r="I225" t="s">
        <v>1140</v>
      </c>
      <c r="J225" s="647">
        <v>0.4</v>
      </c>
      <c r="L225">
        <v>0</v>
      </c>
      <c r="M225" t="s">
        <v>4414</v>
      </c>
      <c r="N225" t="s">
        <v>4428</v>
      </c>
      <c r="P225" t="s">
        <v>4416</v>
      </c>
      <c r="S225" s="56">
        <f t="shared" si="4"/>
        <v>0.4</v>
      </c>
      <c r="U225">
        <v>0</v>
      </c>
      <c r="V225">
        <v>0.2</v>
      </c>
      <c r="W225">
        <v>0.2</v>
      </c>
      <c r="X225" s="56" t="str">
        <f>GHGFY207[[#This Row],[Data Source (scope 1)]]</f>
        <v>NGER (Measurement) Determination 2008 2019versions pg 321 - Part 4 Fuel combustion - 67</v>
      </c>
      <c r="Y225" s="65" t="s">
        <v>4416</v>
      </c>
      <c r="AB225" s="3">
        <f>(S225-GHGFY207[[#This Row],[Scope 1 Emission factor]])/GHGFY207[[#This Row],[Scope 1 Emission factor]]</f>
        <v>0</v>
      </c>
      <c r="AC225" s="3" t="e">
        <f>(T225-GHGFY207[[#This Row],[Scope 2 Emission factor]])/GHGFY207[[#This Row],[Scope 2 Emission factor]]</f>
        <v>#DIV/0!</v>
      </c>
      <c r="AD225" s="3" t="e">
        <f>(U225-GHGFY207[[#This Row],[Scope 3 Emission factor]])/GHGFY207[[#This Row],[Scope 3 Emission factor]]</f>
        <v>#DIV/0!</v>
      </c>
    </row>
    <row r="226" spans="1:30" ht="29.1" hidden="1" customHeight="1">
      <c r="A226" t="s">
        <v>860</v>
      </c>
      <c r="B226" t="s">
        <v>4212</v>
      </c>
      <c r="C226" t="s">
        <v>4420</v>
      </c>
      <c r="D226" t="s">
        <v>1210</v>
      </c>
      <c r="E226" t="s">
        <v>673</v>
      </c>
      <c r="F226">
        <v>1E-3</v>
      </c>
      <c r="G226" t="s">
        <v>4413</v>
      </c>
      <c r="H226">
        <v>23.4</v>
      </c>
      <c r="I226" t="s">
        <v>1140</v>
      </c>
      <c r="J226" s="647">
        <v>0.4</v>
      </c>
      <c r="L226">
        <v>0</v>
      </c>
      <c r="M226" t="s">
        <v>4414</v>
      </c>
      <c r="N226" t="s">
        <v>4428</v>
      </c>
      <c r="P226" t="s">
        <v>4416</v>
      </c>
      <c r="S226" s="56">
        <f t="shared" si="4"/>
        <v>0.4</v>
      </c>
      <c r="U226">
        <v>0</v>
      </c>
      <c r="V226">
        <v>0.2</v>
      </c>
      <c r="W226">
        <v>0.2</v>
      </c>
      <c r="X226" s="56" t="str">
        <f>GHGFY207[[#This Row],[Data Source (scope 1)]]</f>
        <v>NGER (Measurement) Determination 2008 2019versions pg 321 - Part 4 Fuel combustion - 67</v>
      </c>
      <c r="Y226" s="65" t="s">
        <v>4416</v>
      </c>
      <c r="AB226" s="3">
        <f>(S226-GHGFY207[[#This Row],[Scope 1 Emission factor]])/GHGFY207[[#This Row],[Scope 1 Emission factor]]</f>
        <v>0</v>
      </c>
      <c r="AC226" s="3" t="e">
        <f>(T226-GHGFY207[[#This Row],[Scope 2 Emission factor]])/GHGFY207[[#This Row],[Scope 2 Emission factor]]</f>
        <v>#DIV/0!</v>
      </c>
      <c r="AD226" s="3" t="e">
        <f>(U226-GHGFY207[[#This Row],[Scope 3 Emission factor]])/GHGFY207[[#This Row],[Scope 3 Emission factor]]</f>
        <v>#DIV/0!</v>
      </c>
    </row>
    <row r="227" spans="1:30" ht="29.1" hidden="1" customHeight="1">
      <c r="A227" t="s">
        <v>4216</v>
      </c>
      <c r="B227" t="s">
        <v>4212</v>
      </c>
      <c r="C227" t="s">
        <v>4420</v>
      </c>
      <c r="D227" t="s">
        <v>1216</v>
      </c>
      <c r="E227" t="s">
        <v>673</v>
      </c>
      <c r="F227">
        <v>1E-3</v>
      </c>
      <c r="G227" t="s">
        <v>4413</v>
      </c>
      <c r="H227">
        <v>23.4</v>
      </c>
      <c r="I227" t="s">
        <v>1140</v>
      </c>
      <c r="J227" s="647">
        <v>0.4</v>
      </c>
      <c r="L227">
        <v>0</v>
      </c>
      <c r="M227" t="s">
        <v>4414</v>
      </c>
      <c r="N227" t="s">
        <v>4428</v>
      </c>
      <c r="P227" t="s">
        <v>4416</v>
      </c>
      <c r="S227" s="56">
        <f t="shared" si="4"/>
        <v>0.4</v>
      </c>
      <c r="U227">
        <v>0</v>
      </c>
      <c r="V227">
        <v>0.2</v>
      </c>
      <c r="W227">
        <v>0.2</v>
      </c>
      <c r="X227" s="56" t="str">
        <f>GHGFY207[[#This Row],[Data Source (scope 1)]]</f>
        <v>NGER (Measurement) Determination 2008 2019versions pg 321 - Part 4 Fuel combustion - 67</v>
      </c>
      <c r="Y227" s="65" t="s">
        <v>4416</v>
      </c>
      <c r="AB227" s="3">
        <f>(S227-GHGFY207[[#This Row],[Scope 1 Emission factor]])/GHGFY207[[#This Row],[Scope 1 Emission factor]]</f>
        <v>0</v>
      </c>
      <c r="AC227" s="3" t="e">
        <f>(T227-GHGFY207[[#This Row],[Scope 2 Emission factor]])/GHGFY207[[#This Row],[Scope 2 Emission factor]]</f>
        <v>#DIV/0!</v>
      </c>
      <c r="AD227" s="3" t="e">
        <f>(U227-GHGFY207[[#This Row],[Scope 3 Emission factor]])/GHGFY207[[#This Row],[Scope 3 Emission factor]]</f>
        <v>#DIV/0!</v>
      </c>
    </row>
    <row r="228" spans="1:30" ht="29.1" hidden="1" customHeight="1">
      <c r="A228" t="s">
        <v>861</v>
      </c>
      <c r="B228" t="s">
        <v>4212</v>
      </c>
      <c r="C228" t="s">
        <v>4420</v>
      </c>
      <c r="D228" t="s">
        <v>1193</v>
      </c>
      <c r="E228" t="s">
        <v>673</v>
      </c>
      <c r="F228">
        <v>1E-3</v>
      </c>
      <c r="G228" t="s">
        <v>4413</v>
      </c>
      <c r="H228">
        <v>23.4</v>
      </c>
      <c r="I228" t="s">
        <v>1140</v>
      </c>
      <c r="J228" s="647">
        <v>0.4</v>
      </c>
      <c r="L228">
        <v>0</v>
      </c>
      <c r="M228" t="s">
        <v>4414</v>
      </c>
      <c r="N228" t="s">
        <v>4428</v>
      </c>
      <c r="P228" t="s">
        <v>4416</v>
      </c>
      <c r="S228" s="56">
        <f t="shared" si="4"/>
        <v>0.4</v>
      </c>
      <c r="U228">
        <v>0</v>
      </c>
      <c r="V228">
        <v>0.2</v>
      </c>
      <c r="W228">
        <v>0.2</v>
      </c>
      <c r="X228" s="56" t="str">
        <f>GHGFY207[[#This Row],[Data Source (scope 1)]]</f>
        <v>NGER (Measurement) Determination 2008 2019versions pg 321 - Part 4 Fuel combustion - 67</v>
      </c>
      <c r="Y228" s="65" t="s">
        <v>4416</v>
      </c>
      <c r="AB228" s="3">
        <f>(S228-GHGFY207[[#This Row],[Scope 1 Emission factor]])/GHGFY207[[#This Row],[Scope 1 Emission factor]]</f>
        <v>0</v>
      </c>
      <c r="AC228" s="3" t="e">
        <f>(T228-GHGFY207[[#This Row],[Scope 2 Emission factor]])/GHGFY207[[#This Row],[Scope 2 Emission factor]]</f>
        <v>#DIV/0!</v>
      </c>
      <c r="AD228" s="3" t="e">
        <f>(U228-GHGFY207[[#This Row],[Scope 3 Emission factor]])/GHGFY207[[#This Row],[Scope 3 Emission factor]]</f>
        <v>#DIV/0!</v>
      </c>
    </row>
    <row r="229" spans="1:30" ht="29.1" hidden="1" customHeight="1">
      <c r="A229" t="s">
        <v>862</v>
      </c>
      <c r="B229" t="s">
        <v>4212</v>
      </c>
      <c r="C229" t="s">
        <v>4420</v>
      </c>
      <c r="D229" t="s">
        <v>1213</v>
      </c>
      <c r="E229" t="s">
        <v>673</v>
      </c>
      <c r="F229">
        <v>1E-3</v>
      </c>
      <c r="G229" t="s">
        <v>4413</v>
      </c>
      <c r="H229">
        <v>23.4</v>
      </c>
      <c r="I229" t="s">
        <v>1140</v>
      </c>
      <c r="J229" s="647">
        <v>0.4</v>
      </c>
      <c r="L229">
        <v>0</v>
      </c>
      <c r="M229" t="s">
        <v>4414</v>
      </c>
      <c r="N229" t="s">
        <v>4428</v>
      </c>
      <c r="P229" t="s">
        <v>4416</v>
      </c>
      <c r="S229" s="56">
        <f t="shared" si="4"/>
        <v>0.4</v>
      </c>
      <c r="U229">
        <v>0</v>
      </c>
      <c r="V229">
        <v>0.2</v>
      </c>
      <c r="W229">
        <v>0.2</v>
      </c>
      <c r="X229" s="56" t="str">
        <f>GHGFY207[[#This Row],[Data Source (scope 1)]]</f>
        <v>NGER (Measurement) Determination 2008 2019versions pg 321 - Part 4 Fuel combustion - 67</v>
      </c>
      <c r="Y229" s="65" t="s">
        <v>4416</v>
      </c>
      <c r="AB229" s="3">
        <f>(S229-GHGFY207[[#This Row],[Scope 1 Emission factor]])/GHGFY207[[#This Row],[Scope 1 Emission factor]]</f>
        <v>0</v>
      </c>
      <c r="AC229" s="3" t="e">
        <f>(T229-GHGFY207[[#This Row],[Scope 2 Emission factor]])/GHGFY207[[#This Row],[Scope 2 Emission factor]]</f>
        <v>#DIV/0!</v>
      </c>
      <c r="AD229" s="3" t="e">
        <f>(U229-GHGFY207[[#This Row],[Scope 3 Emission factor]])/GHGFY207[[#This Row],[Scope 3 Emission factor]]</f>
        <v>#DIV/0!</v>
      </c>
    </row>
    <row r="230" spans="1:30" ht="29.1" hidden="1" customHeight="1">
      <c r="A230" t="s">
        <v>4215</v>
      </c>
      <c r="B230" t="s">
        <v>4212</v>
      </c>
      <c r="C230" t="s">
        <v>4420</v>
      </c>
      <c r="D230" t="s">
        <v>1208</v>
      </c>
      <c r="E230" t="s">
        <v>673</v>
      </c>
      <c r="F230">
        <v>1E-3</v>
      </c>
      <c r="G230" t="s">
        <v>4413</v>
      </c>
      <c r="H230">
        <v>23.4</v>
      </c>
      <c r="I230" t="s">
        <v>1140</v>
      </c>
      <c r="J230" s="647">
        <v>0.4</v>
      </c>
      <c r="L230">
        <v>0</v>
      </c>
      <c r="M230" t="s">
        <v>4414</v>
      </c>
      <c r="N230" t="s">
        <v>4428</v>
      </c>
      <c r="P230" t="s">
        <v>4416</v>
      </c>
      <c r="S230" s="56">
        <f t="shared" si="4"/>
        <v>0.4</v>
      </c>
      <c r="U230">
        <v>0</v>
      </c>
      <c r="V230">
        <v>0.2</v>
      </c>
      <c r="W230">
        <v>0.2</v>
      </c>
      <c r="X230" s="56" t="str">
        <f>GHGFY207[[#This Row],[Data Source (scope 1)]]</f>
        <v>NGER (Measurement) Determination 2008 2019versions pg 321 - Part 4 Fuel combustion - 67</v>
      </c>
      <c r="Y230" s="65" t="s">
        <v>4416</v>
      </c>
      <c r="AB230" s="3">
        <f>(S230-GHGFY207[[#This Row],[Scope 1 Emission factor]])/GHGFY207[[#This Row],[Scope 1 Emission factor]]</f>
        <v>0</v>
      </c>
      <c r="AC230" s="3" t="e">
        <f>(T230-GHGFY207[[#This Row],[Scope 2 Emission factor]])/GHGFY207[[#This Row],[Scope 2 Emission factor]]</f>
        <v>#DIV/0!</v>
      </c>
      <c r="AD230" s="3" t="e">
        <f>(U230-GHGFY207[[#This Row],[Scope 3 Emission factor]])/GHGFY207[[#This Row],[Scope 3 Emission factor]]</f>
        <v>#DIV/0!</v>
      </c>
    </row>
    <row r="231" spans="1:30" ht="29.1" hidden="1" customHeight="1">
      <c r="A231" t="s">
        <v>4217</v>
      </c>
      <c r="B231" t="s">
        <v>4212</v>
      </c>
      <c r="C231" t="s">
        <v>4420</v>
      </c>
      <c r="D231" t="s">
        <v>1190</v>
      </c>
      <c r="E231" t="s">
        <v>673</v>
      </c>
      <c r="F231">
        <v>1E-3</v>
      </c>
      <c r="G231" t="s">
        <v>4413</v>
      </c>
      <c r="H231">
        <v>26.2</v>
      </c>
      <c r="I231" t="s">
        <v>1140</v>
      </c>
      <c r="J231" s="649">
        <v>61</v>
      </c>
      <c r="L231">
        <v>3.6</v>
      </c>
      <c r="M231" t="s">
        <v>4414</v>
      </c>
      <c r="N231" t="s">
        <v>4429</v>
      </c>
      <c r="P231" t="s">
        <v>4416</v>
      </c>
      <c r="S231" s="56">
        <f t="shared" si="4"/>
        <v>61</v>
      </c>
      <c r="U231" s="5">
        <v>60.2</v>
      </c>
      <c r="V231" s="5">
        <v>0.5</v>
      </c>
      <c r="W231" s="5">
        <v>0.3</v>
      </c>
      <c r="X231" s="56" t="str">
        <f>GHGFY207[[#This Row],[Data Source (scope 1)]]</f>
        <v>NGER (Measurement) Determination 2008 2019versions pg 321 - Part 4 Fuel combustion - 66</v>
      </c>
      <c r="Y231" s="65" t="s">
        <v>4416</v>
      </c>
      <c r="AB231" s="3">
        <f>(S231-GHGFY207[[#This Row],[Scope 1 Emission factor]])/GHGFY207[[#This Row],[Scope 1 Emission factor]]</f>
        <v>0</v>
      </c>
      <c r="AC231" s="3" t="e">
        <f>(T231-GHGFY207[[#This Row],[Scope 2 Emission factor]])/GHGFY207[[#This Row],[Scope 2 Emission factor]]</f>
        <v>#DIV/0!</v>
      </c>
      <c r="AD231" s="3">
        <f>(U231-GHGFY207[[#This Row],[Scope 3 Emission factor]])/GHGFY207[[#This Row],[Scope 3 Emission factor]]</f>
        <v>15.722222222222221</v>
      </c>
    </row>
    <row r="232" spans="1:30" ht="29.1" hidden="1" customHeight="1">
      <c r="A232" t="s">
        <v>864</v>
      </c>
      <c r="B232" t="s">
        <v>4212</v>
      </c>
      <c r="C232" t="s">
        <v>4420</v>
      </c>
      <c r="D232" t="s">
        <v>1192</v>
      </c>
      <c r="E232" t="s">
        <v>673</v>
      </c>
      <c r="F232">
        <v>1E-3</v>
      </c>
      <c r="G232" t="s">
        <v>4413</v>
      </c>
      <c r="H232">
        <v>26.2</v>
      </c>
      <c r="I232" t="s">
        <v>1140</v>
      </c>
      <c r="J232" s="649">
        <v>61</v>
      </c>
      <c r="L232">
        <v>3.6</v>
      </c>
      <c r="M232" t="s">
        <v>4414</v>
      </c>
      <c r="N232" t="s">
        <v>4429</v>
      </c>
      <c r="P232" t="s">
        <v>4416</v>
      </c>
      <c r="S232" s="56">
        <f t="shared" si="4"/>
        <v>61</v>
      </c>
      <c r="U232" s="5">
        <v>60.2</v>
      </c>
      <c r="V232" s="5">
        <v>0.5</v>
      </c>
      <c r="W232" s="5">
        <v>0.3</v>
      </c>
      <c r="X232" s="56" t="str">
        <f>GHGFY207[[#This Row],[Data Source (scope 1)]]</f>
        <v>NGER (Measurement) Determination 2008 2019versions pg 321 - Part 4 Fuel combustion - 66</v>
      </c>
      <c r="Y232" s="65" t="s">
        <v>4416</v>
      </c>
      <c r="AB232" s="3">
        <f>(S232-GHGFY207[[#This Row],[Scope 1 Emission factor]])/GHGFY207[[#This Row],[Scope 1 Emission factor]]</f>
        <v>0</v>
      </c>
      <c r="AC232" s="3" t="e">
        <f>(T232-GHGFY207[[#This Row],[Scope 2 Emission factor]])/GHGFY207[[#This Row],[Scope 2 Emission factor]]</f>
        <v>#DIV/0!</v>
      </c>
      <c r="AD232" s="3">
        <f>(U232-GHGFY207[[#This Row],[Scope 3 Emission factor]])/GHGFY207[[#This Row],[Scope 3 Emission factor]]</f>
        <v>15.722222222222221</v>
      </c>
    </row>
    <row r="233" spans="1:30" ht="29.1" hidden="1" customHeight="1">
      <c r="A233" t="s">
        <v>867</v>
      </c>
      <c r="B233" t="s">
        <v>4212</v>
      </c>
      <c r="C233" t="s">
        <v>4420</v>
      </c>
      <c r="D233" t="s">
        <v>1189</v>
      </c>
      <c r="E233" t="s">
        <v>673</v>
      </c>
      <c r="F233">
        <v>1E-3</v>
      </c>
      <c r="G233" t="s">
        <v>4413</v>
      </c>
      <c r="H233">
        <v>26.2</v>
      </c>
      <c r="I233" t="s">
        <v>1140</v>
      </c>
      <c r="J233" s="649">
        <v>61</v>
      </c>
      <c r="L233">
        <v>3.6</v>
      </c>
      <c r="M233" t="s">
        <v>4414</v>
      </c>
      <c r="N233" t="s">
        <v>4429</v>
      </c>
      <c r="P233" t="s">
        <v>4416</v>
      </c>
      <c r="S233" s="56">
        <f t="shared" si="4"/>
        <v>61</v>
      </c>
      <c r="U233" s="5">
        <v>60.2</v>
      </c>
      <c r="V233" s="5">
        <v>0.5</v>
      </c>
      <c r="W233" s="5">
        <v>0.3</v>
      </c>
      <c r="X233" s="56" t="str">
        <f>GHGFY207[[#This Row],[Data Source (scope 1)]]</f>
        <v>NGER (Measurement) Determination 2008 2019versions pg 321 - Part 4 Fuel combustion - 66</v>
      </c>
      <c r="Y233" s="65" t="s">
        <v>4416</v>
      </c>
      <c r="AB233" s="3">
        <f>(S233-GHGFY207[[#This Row],[Scope 1 Emission factor]])/GHGFY207[[#This Row],[Scope 1 Emission factor]]</f>
        <v>0</v>
      </c>
      <c r="AC233" s="3" t="e">
        <f>(T233-GHGFY207[[#This Row],[Scope 2 Emission factor]])/GHGFY207[[#This Row],[Scope 2 Emission factor]]</f>
        <v>#DIV/0!</v>
      </c>
      <c r="AD233" s="3">
        <f>(U233-GHGFY207[[#This Row],[Scope 3 Emission factor]])/GHGFY207[[#This Row],[Scope 3 Emission factor]]</f>
        <v>15.722222222222221</v>
      </c>
    </row>
    <row r="234" spans="1:30" ht="29.1" hidden="1" customHeight="1">
      <c r="A234" t="s">
        <v>865</v>
      </c>
      <c r="B234" t="s">
        <v>4212</v>
      </c>
      <c r="C234" t="s">
        <v>4420</v>
      </c>
      <c r="D234" t="s">
        <v>1210</v>
      </c>
      <c r="E234" t="s">
        <v>673</v>
      </c>
      <c r="F234">
        <v>1E-3</v>
      </c>
      <c r="G234" t="s">
        <v>4413</v>
      </c>
      <c r="H234">
        <v>26.2</v>
      </c>
      <c r="I234" t="s">
        <v>1140</v>
      </c>
      <c r="J234" s="649">
        <v>61</v>
      </c>
      <c r="L234">
        <v>3.6</v>
      </c>
      <c r="M234" t="s">
        <v>4414</v>
      </c>
      <c r="N234" t="s">
        <v>4429</v>
      </c>
      <c r="P234" t="s">
        <v>4416</v>
      </c>
      <c r="S234" s="56">
        <f t="shared" si="4"/>
        <v>61</v>
      </c>
      <c r="U234" s="5">
        <v>60.2</v>
      </c>
      <c r="V234" s="5">
        <v>0.5</v>
      </c>
      <c r="W234" s="5">
        <v>0.3</v>
      </c>
      <c r="X234" s="56" t="str">
        <f>GHGFY207[[#This Row],[Data Source (scope 1)]]</f>
        <v>NGER (Measurement) Determination 2008 2019versions pg 321 - Part 4 Fuel combustion - 66</v>
      </c>
      <c r="Y234" s="65" t="s">
        <v>4416</v>
      </c>
      <c r="AB234" s="3">
        <f>(S234-GHGFY207[[#This Row],[Scope 1 Emission factor]])/GHGFY207[[#This Row],[Scope 1 Emission factor]]</f>
        <v>0</v>
      </c>
      <c r="AC234" s="3" t="e">
        <f>(T234-GHGFY207[[#This Row],[Scope 2 Emission factor]])/GHGFY207[[#This Row],[Scope 2 Emission factor]]</f>
        <v>#DIV/0!</v>
      </c>
      <c r="AD234" s="3">
        <f>(U234-GHGFY207[[#This Row],[Scope 3 Emission factor]])/GHGFY207[[#This Row],[Scope 3 Emission factor]]</f>
        <v>15.722222222222221</v>
      </c>
    </row>
    <row r="235" spans="1:30" ht="29.1" hidden="1" customHeight="1">
      <c r="A235" t="s">
        <v>4220</v>
      </c>
      <c r="B235" t="s">
        <v>4212</v>
      </c>
      <c r="C235" t="s">
        <v>4420</v>
      </c>
      <c r="D235" t="s">
        <v>1216</v>
      </c>
      <c r="E235" t="s">
        <v>673</v>
      </c>
      <c r="F235">
        <v>1E-3</v>
      </c>
      <c r="G235" t="s">
        <v>4413</v>
      </c>
      <c r="H235">
        <v>26.2</v>
      </c>
      <c r="I235" t="s">
        <v>1140</v>
      </c>
      <c r="J235" s="649">
        <v>61</v>
      </c>
      <c r="L235">
        <v>3.6</v>
      </c>
      <c r="M235" t="s">
        <v>4414</v>
      </c>
      <c r="N235" t="s">
        <v>4429</v>
      </c>
      <c r="P235" t="s">
        <v>4416</v>
      </c>
      <c r="S235" s="56">
        <f t="shared" si="4"/>
        <v>61</v>
      </c>
      <c r="U235" s="5">
        <v>60.2</v>
      </c>
      <c r="V235" s="5">
        <v>0.5</v>
      </c>
      <c r="W235" s="5">
        <v>0.3</v>
      </c>
      <c r="X235" s="56" t="str">
        <f>GHGFY207[[#This Row],[Data Source (scope 1)]]</f>
        <v>NGER (Measurement) Determination 2008 2019versions pg 321 - Part 4 Fuel combustion - 66</v>
      </c>
      <c r="Y235" s="65" t="s">
        <v>4416</v>
      </c>
      <c r="AB235" s="3">
        <f>(S235-GHGFY207[[#This Row],[Scope 1 Emission factor]])/GHGFY207[[#This Row],[Scope 1 Emission factor]]</f>
        <v>0</v>
      </c>
      <c r="AC235" s="3" t="e">
        <f>(T235-GHGFY207[[#This Row],[Scope 2 Emission factor]])/GHGFY207[[#This Row],[Scope 2 Emission factor]]</f>
        <v>#DIV/0!</v>
      </c>
      <c r="AD235" s="3">
        <f>(U235-GHGFY207[[#This Row],[Scope 3 Emission factor]])/GHGFY207[[#This Row],[Scope 3 Emission factor]]</f>
        <v>15.722222222222221</v>
      </c>
    </row>
    <row r="236" spans="1:30" ht="29.1" hidden="1" customHeight="1">
      <c r="A236" t="s">
        <v>866</v>
      </c>
      <c r="B236" t="s">
        <v>4212</v>
      </c>
      <c r="C236" t="s">
        <v>4420</v>
      </c>
      <c r="D236" t="s">
        <v>1193</v>
      </c>
      <c r="E236" t="s">
        <v>673</v>
      </c>
      <c r="F236">
        <v>1E-3</v>
      </c>
      <c r="G236" t="s">
        <v>4413</v>
      </c>
      <c r="H236">
        <v>26.2</v>
      </c>
      <c r="I236" t="s">
        <v>1140</v>
      </c>
      <c r="J236" s="649">
        <v>61</v>
      </c>
      <c r="L236">
        <v>3.6</v>
      </c>
      <c r="M236" t="s">
        <v>4414</v>
      </c>
      <c r="N236" t="s">
        <v>4429</v>
      </c>
      <c r="P236" t="s">
        <v>4416</v>
      </c>
      <c r="S236" s="56">
        <f t="shared" si="4"/>
        <v>61</v>
      </c>
      <c r="U236" s="5">
        <v>60.2</v>
      </c>
      <c r="V236" s="5">
        <v>0.5</v>
      </c>
      <c r="W236" s="5">
        <v>0.3</v>
      </c>
      <c r="X236" s="56" t="str">
        <f>GHGFY207[[#This Row],[Data Source (scope 1)]]</f>
        <v>NGER (Measurement) Determination 2008 2019versions pg 321 - Part 4 Fuel combustion - 66</v>
      </c>
      <c r="Y236" s="65" t="s">
        <v>4416</v>
      </c>
      <c r="AB236" s="3">
        <f>(S236-GHGFY207[[#This Row],[Scope 1 Emission factor]])/GHGFY207[[#This Row],[Scope 1 Emission factor]]</f>
        <v>0</v>
      </c>
      <c r="AC236" s="3" t="e">
        <f>(T236-GHGFY207[[#This Row],[Scope 2 Emission factor]])/GHGFY207[[#This Row],[Scope 2 Emission factor]]</f>
        <v>#DIV/0!</v>
      </c>
      <c r="AD236" s="3">
        <f>(U236-GHGFY207[[#This Row],[Scope 3 Emission factor]])/GHGFY207[[#This Row],[Scope 3 Emission factor]]</f>
        <v>15.722222222222221</v>
      </c>
    </row>
    <row r="237" spans="1:30" ht="29.1" hidden="1" customHeight="1">
      <c r="A237" t="s">
        <v>4219</v>
      </c>
      <c r="B237" t="s">
        <v>4212</v>
      </c>
      <c r="C237" t="s">
        <v>4420</v>
      </c>
      <c r="D237" t="s">
        <v>1213</v>
      </c>
      <c r="E237" t="s">
        <v>673</v>
      </c>
      <c r="F237">
        <v>1E-3</v>
      </c>
      <c r="G237" t="s">
        <v>4413</v>
      </c>
      <c r="H237">
        <v>26.2</v>
      </c>
      <c r="I237" t="s">
        <v>1140</v>
      </c>
      <c r="J237" s="649">
        <v>61</v>
      </c>
      <c r="L237">
        <v>3.6</v>
      </c>
      <c r="M237" t="s">
        <v>4414</v>
      </c>
      <c r="N237" t="s">
        <v>4429</v>
      </c>
      <c r="P237" t="s">
        <v>4416</v>
      </c>
      <c r="S237" s="56">
        <f t="shared" si="4"/>
        <v>61</v>
      </c>
      <c r="U237" s="5">
        <v>60.2</v>
      </c>
      <c r="V237" s="5">
        <v>0.5</v>
      </c>
      <c r="W237" s="5">
        <v>0.3</v>
      </c>
      <c r="X237" s="56" t="str">
        <f>GHGFY207[[#This Row],[Data Source (scope 1)]]</f>
        <v>NGER (Measurement) Determination 2008 2019versions pg 321 - Part 4 Fuel combustion - 66</v>
      </c>
      <c r="Y237" s="65" t="s">
        <v>4416</v>
      </c>
      <c r="AB237" s="3">
        <f>(S237-GHGFY207[[#This Row],[Scope 1 Emission factor]])/GHGFY207[[#This Row],[Scope 1 Emission factor]]</f>
        <v>0</v>
      </c>
      <c r="AC237" s="3" t="e">
        <f>(T237-GHGFY207[[#This Row],[Scope 2 Emission factor]])/GHGFY207[[#This Row],[Scope 2 Emission factor]]</f>
        <v>#DIV/0!</v>
      </c>
      <c r="AD237" s="3">
        <f>(U237-GHGFY207[[#This Row],[Scope 3 Emission factor]])/GHGFY207[[#This Row],[Scope 3 Emission factor]]</f>
        <v>15.722222222222221</v>
      </c>
    </row>
    <row r="238" spans="1:30" ht="29.1" hidden="1" customHeight="1">
      <c r="A238" t="s">
        <v>4218</v>
      </c>
      <c r="B238" t="s">
        <v>4212</v>
      </c>
      <c r="C238" t="s">
        <v>4420</v>
      </c>
      <c r="D238" t="s">
        <v>1208</v>
      </c>
      <c r="E238" t="s">
        <v>673</v>
      </c>
      <c r="F238">
        <v>1E-3</v>
      </c>
      <c r="G238" t="s">
        <v>4413</v>
      </c>
      <c r="H238">
        <v>26.2</v>
      </c>
      <c r="I238" t="s">
        <v>1140</v>
      </c>
      <c r="J238" s="649">
        <v>61</v>
      </c>
      <c r="L238">
        <v>3.6</v>
      </c>
      <c r="M238" t="s">
        <v>4414</v>
      </c>
      <c r="N238" t="s">
        <v>4429</v>
      </c>
      <c r="P238" t="s">
        <v>4416</v>
      </c>
      <c r="S238" s="56">
        <f t="shared" si="4"/>
        <v>61</v>
      </c>
      <c r="U238" s="5">
        <v>60.2</v>
      </c>
      <c r="V238" s="5">
        <v>0.5</v>
      </c>
      <c r="W238" s="5">
        <v>0.3</v>
      </c>
      <c r="X238" s="56" t="str">
        <f>GHGFY207[[#This Row],[Data Source (scope 1)]]</f>
        <v>NGER (Measurement) Determination 2008 2019versions pg 321 - Part 4 Fuel combustion - 66</v>
      </c>
      <c r="Y238" s="65" t="s">
        <v>4416</v>
      </c>
      <c r="AB238" s="3">
        <f>(S238-GHGFY207[[#This Row],[Scope 1 Emission factor]])/GHGFY207[[#This Row],[Scope 1 Emission factor]]</f>
        <v>0</v>
      </c>
      <c r="AC238" s="3" t="e">
        <f>(T238-GHGFY207[[#This Row],[Scope 2 Emission factor]])/GHGFY207[[#This Row],[Scope 2 Emission factor]]</f>
        <v>#DIV/0!</v>
      </c>
      <c r="AD238" s="3">
        <f>(U238-GHGFY207[[#This Row],[Scope 3 Emission factor]])/GHGFY207[[#This Row],[Scope 3 Emission factor]]</f>
        <v>15.722222222222221</v>
      </c>
    </row>
    <row r="239" spans="1:30" ht="29.1" hidden="1" customHeight="1">
      <c r="A239" t="s">
        <v>4228</v>
      </c>
      <c r="B239" t="s">
        <v>4229</v>
      </c>
      <c r="C239" t="s">
        <v>4412</v>
      </c>
      <c r="D239" t="s">
        <v>1190</v>
      </c>
      <c r="E239" t="s">
        <v>673</v>
      </c>
      <c r="F239">
        <v>1E-3</v>
      </c>
      <c r="G239" t="s">
        <v>4413</v>
      </c>
      <c r="H239">
        <v>38.6</v>
      </c>
      <c r="I239" t="s">
        <v>1140</v>
      </c>
      <c r="J239" s="647">
        <v>69.599999999999994</v>
      </c>
      <c r="L239">
        <v>3.6</v>
      </c>
      <c r="M239" t="s">
        <v>4414</v>
      </c>
      <c r="N239" t="s">
        <v>4415</v>
      </c>
      <c r="P239" t="s">
        <v>4416</v>
      </c>
      <c r="R239" t="s">
        <v>4430</v>
      </c>
      <c r="S239" s="64">
        <f>SUM(U239:W239)</f>
        <v>70.2</v>
      </c>
      <c r="U239" s="5">
        <v>69.900000000000006</v>
      </c>
      <c r="V239" s="5">
        <v>0.1</v>
      </c>
      <c r="W239" s="5">
        <v>0.2</v>
      </c>
      <c r="X239" s="56" t="str">
        <f>GHGFY207[[#This Row],[Data Source (scope 1)]]</f>
        <v>NGER (Measurement) Determination 2008 2019versions pg 318 - Part 3 Fuel combustion - 40</v>
      </c>
      <c r="Y239" s="65" t="s">
        <v>4416</v>
      </c>
      <c r="AB239" s="3">
        <f>(S239-GHGFY207[[#This Row],[Scope 1 Emission factor]])/GHGFY207[[#This Row],[Scope 1 Emission factor]]</f>
        <v>8.6206896551725368E-3</v>
      </c>
      <c r="AC239" s="3" t="e">
        <f>(T239-GHGFY207[[#This Row],[Scope 2 Emission factor]])/GHGFY207[[#This Row],[Scope 2 Emission factor]]</f>
        <v>#DIV/0!</v>
      </c>
      <c r="AD239" s="3">
        <f>(U239-GHGFY207[[#This Row],[Scope 3 Emission factor]])/GHGFY207[[#This Row],[Scope 3 Emission factor]]</f>
        <v>18.416666666666668</v>
      </c>
    </row>
    <row r="240" spans="1:30" ht="29.1" hidden="1" customHeight="1">
      <c r="A240" t="s">
        <v>880</v>
      </c>
      <c r="B240" t="s">
        <v>4229</v>
      </c>
      <c r="C240" t="s">
        <v>4412</v>
      </c>
      <c r="D240" t="s">
        <v>1192</v>
      </c>
      <c r="E240" t="s">
        <v>673</v>
      </c>
      <c r="F240">
        <v>1E-3</v>
      </c>
      <c r="G240" t="s">
        <v>4413</v>
      </c>
      <c r="H240">
        <v>38.6</v>
      </c>
      <c r="I240" t="s">
        <v>1140</v>
      </c>
      <c r="J240" s="647">
        <v>69.599999999999994</v>
      </c>
      <c r="L240">
        <v>3.6</v>
      </c>
      <c r="M240" t="s">
        <v>4414</v>
      </c>
      <c r="N240" t="s">
        <v>4415</v>
      </c>
      <c r="P240" t="s">
        <v>4416</v>
      </c>
      <c r="S240" s="64">
        <f t="shared" ref="S240:S296" si="5">SUM(U240:W240)</f>
        <v>70.2</v>
      </c>
      <c r="U240" s="5">
        <v>69.900000000000006</v>
      </c>
      <c r="V240" s="5">
        <v>0.1</v>
      </c>
      <c r="W240" s="5">
        <v>0.2</v>
      </c>
      <c r="X240" s="56" t="str">
        <f>GHGFY207[[#This Row],[Data Source (scope 1)]]</f>
        <v>NGER (Measurement) Determination 2008 2019versions pg 318 - Part 3 Fuel combustion - 40</v>
      </c>
      <c r="Y240" s="65" t="s">
        <v>4416</v>
      </c>
      <c r="AB240" s="3">
        <f>(S240-GHGFY207[[#This Row],[Scope 1 Emission factor]])/GHGFY207[[#This Row],[Scope 1 Emission factor]]</f>
        <v>8.6206896551725368E-3</v>
      </c>
      <c r="AC240" s="3" t="e">
        <f>(T240-GHGFY207[[#This Row],[Scope 2 Emission factor]])/GHGFY207[[#This Row],[Scope 2 Emission factor]]</f>
        <v>#DIV/0!</v>
      </c>
      <c r="AD240" s="3">
        <f>(U240-GHGFY207[[#This Row],[Scope 3 Emission factor]])/GHGFY207[[#This Row],[Scope 3 Emission factor]]</f>
        <v>18.416666666666668</v>
      </c>
    </row>
    <row r="241" spans="1:30" ht="29.1" hidden="1" customHeight="1">
      <c r="A241" t="s">
        <v>885</v>
      </c>
      <c r="B241" t="s">
        <v>4229</v>
      </c>
      <c r="C241" t="s">
        <v>4412</v>
      </c>
      <c r="D241" t="s">
        <v>1189</v>
      </c>
      <c r="E241" t="s">
        <v>673</v>
      </c>
      <c r="F241">
        <v>1E-3</v>
      </c>
      <c r="G241" t="s">
        <v>4413</v>
      </c>
      <c r="H241">
        <v>38.6</v>
      </c>
      <c r="I241" t="s">
        <v>1140</v>
      </c>
      <c r="J241" s="647">
        <v>69.599999999999994</v>
      </c>
      <c r="L241">
        <v>3.6</v>
      </c>
      <c r="M241" t="s">
        <v>4414</v>
      </c>
      <c r="N241" t="s">
        <v>4415</v>
      </c>
      <c r="P241" t="s">
        <v>4416</v>
      </c>
      <c r="S241" s="64">
        <f t="shared" si="5"/>
        <v>70.2</v>
      </c>
      <c r="U241" s="5">
        <v>69.900000000000006</v>
      </c>
      <c r="V241" s="5">
        <v>0.1</v>
      </c>
      <c r="W241" s="5">
        <v>0.2</v>
      </c>
      <c r="X241" s="56" t="str">
        <f>GHGFY207[[#This Row],[Data Source (scope 1)]]</f>
        <v>NGER (Measurement) Determination 2008 2019versions pg 318 - Part 3 Fuel combustion - 40</v>
      </c>
      <c r="Y241" s="65" t="s">
        <v>4416</v>
      </c>
      <c r="AB241" s="3">
        <f>(S241-GHGFY207[[#This Row],[Scope 1 Emission factor]])/GHGFY207[[#This Row],[Scope 1 Emission factor]]</f>
        <v>8.6206896551725368E-3</v>
      </c>
      <c r="AC241" s="3" t="e">
        <f>(T241-GHGFY207[[#This Row],[Scope 2 Emission factor]])/GHGFY207[[#This Row],[Scope 2 Emission factor]]</f>
        <v>#DIV/0!</v>
      </c>
      <c r="AD241" s="3">
        <f>(U241-GHGFY207[[#This Row],[Scope 3 Emission factor]])/GHGFY207[[#This Row],[Scope 3 Emission factor]]</f>
        <v>18.416666666666668</v>
      </c>
    </row>
    <row r="242" spans="1:30" ht="29.1" hidden="1" customHeight="1">
      <c r="A242" t="s">
        <v>882</v>
      </c>
      <c r="B242" t="s">
        <v>4229</v>
      </c>
      <c r="C242" t="s">
        <v>4412</v>
      </c>
      <c r="D242" t="s">
        <v>1210</v>
      </c>
      <c r="E242" t="s">
        <v>673</v>
      </c>
      <c r="F242">
        <v>1E-3</v>
      </c>
      <c r="G242" t="s">
        <v>4413</v>
      </c>
      <c r="H242">
        <v>38.6</v>
      </c>
      <c r="I242" t="s">
        <v>1140</v>
      </c>
      <c r="J242" s="647">
        <v>69.599999999999994</v>
      </c>
      <c r="L242">
        <v>3.6</v>
      </c>
      <c r="M242" t="s">
        <v>4414</v>
      </c>
      <c r="N242" t="s">
        <v>4415</v>
      </c>
      <c r="P242" t="s">
        <v>4416</v>
      </c>
      <c r="S242" s="64">
        <f t="shared" si="5"/>
        <v>70.2</v>
      </c>
      <c r="U242" s="5">
        <v>69.900000000000006</v>
      </c>
      <c r="V242" s="5">
        <v>0.1</v>
      </c>
      <c r="W242" s="5">
        <v>0.2</v>
      </c>
      <c r="X242" s="56" t="str">
        <f>GHGFY207[[#This Row],[Data Source (scope 1)]]</f>
        <v>NGER (Measurement) Determination 2008 2019versions pg 318 - Part 3 Fuel combustion - 40</v>
      </c>
      <c r="Y242" s="65" t="s">
        <v>4416</v>
      </c>
      <c r="AB242" s="3">
        <f>(S242-GHGFY207[[#This Row],[Scope 1 Emission factor]])/GHGFY207[[#This Row],[Scope 1 Emission factor]]</f>
        <v>8.6206896551725368E-3</v>
      </c>
      <c r="AC242" s="3" t="e">
        <f>(T242-GHGFY207[[#This Row],[Scope 2 Emission factor]])/GHGFY207[[#This Row],[Scope 2 Emission factor]]</f>
        <v>#DIV/0!</v>
      </c>
      <c r="AD242" s="3">
        <f>(U242-GHGFY207[[#This Row],[Scope 3 Emission factor]])/GHGFY207[[#This Row],[Scope 3 Emission factor]]</f>
        <v>18.416666666666668</v>
      </c>
    </row>
    <row r="243" spans="1:30" ht="29.1" hidden="1" customHeight="1">
      <c r="A243" t="s">
        <v>886</v>
      </c>
      <c r="B243" t="s">
        <v>4229</v>
      </c>
      <c r="C243" t="s">
        <v>4412</v>
      </c>
      <c r="D243" t="s">
        <v>1216</v>
      </c>
      <c r="E243" t="s">
        <v>673</v>
      </c>
      <c r="F243">
        <v>1E-3</v>
      </c>
      <c r="G243" t="s">
        <v>4413</v>
      </c>
      <c r="H243">
        <v>38.6</v>
      </c>
      <c r="I243" t="s">
        <v>1140</v>
      </c>
      <c r="J243" s="647">
        <v>69.599999999999994</v>
      </c>
      <c r="L243">
        <v>3.6</v>
      </c>
      <c r="M243" t="s">
        <v>4414</v>
      </c>
      <c r="N243" t="s">
        <v>4415</v>
      </c>
      <c r="P243" t="s">
        <v>4416</v>
      </c>
      <c r="S243" s="64">
        <f t="shared" si="5"/>
        <v>70.2</v>
      </c>
      <c r="U243" s="5">
        <v>69.900000000000006</v>
      </c>
      <c r="V243" s="5">
        <v>0.1</v>
      </c>
      <c r="W243" s="5">
        <v>0.2</v>
      </c>
      <c r="X243" s="56" t="str">
        <f>GHGFY207[[#This Row],[Data Source (scope 1)]]</f>
        <v>NGER (Measurement) Determination 2008 2019versions pg 318 - Part 3 Fuel combustion - 40</v>
      </c>
      <c r="Y243" s="65" t="s">
        <v>4416</v>
      </c>
      <c r="AB243" s="3">
        <f>(S243-GHGFY207[[#This Row],[Scope 1 Emission factor]])/GHGFY207[[#This Row],[Scope 1 Emission factor]]</f>
        <v>8.6206896551725368E-3</v>
      </c>
      <c r="AC243" s="3" t="e">
        <f>(T243-GHGFY207[[#This Row],[Scope 2 Emission factor]])/GHGFY207[[#This Row],[Scope 2 Emission factor]]</f>
        <v>#DIV/0!</v>
      </c>
      <c r="AD243" s="3">
        <f>(U243-GHGFY207[[#This Row],[Scope 3 Emission factor]])/GHGFY207[[#This Row],[Scope 3 Emission factor]]</f>
        <v>18.416666666666668</v>
      </c>
    </row>
    <row r="244" spans="1:30" ht="29.1" hidden="1" customHeight="1">
      <c r="A244" t="s">
        <v>883</v>
      </c>
      <c r="B244" t="s">
        <v>4229</v>
      </c>
      <c r="C244" t="s">
        <v>4412</v>
      </c>
      <c r="D244" t="s">
        <v>1193</v>
      </c>
      <c r="E244" t="s">
        <v>673</v>
      </c>
      <c r="F244">
        <v>1E-3</v>
      </c>
      <c r="G244" t="s">
        <v>4413</v>
      </c>
      <c r="H244">
        <v>38.6</v>
      </c>
      <c r="I244" t="s">
        <v>1140</v>
      </c>
      <c r="J244" s="647">
        <v>69.599999999999994</v>
      </c>
      <c r="L244">
        <v>3.6</v>
      </c>
      <c r="M244" t="s">
        <v>4414</v>
      </c>
      <c r="N244" t="s">
        <v>4415</v>
      </c>
      <c r="P244" t="s">
        <v>4416</v>
      </c>
      <c r="S244" s="64">
        <f t="shared" si="5"/>
        <v>70.2</v>
      </c>
      <c r="U244" s="5">
        <v>69.900000000000006</v>
      </c>
      <c r="V244" s="5">
        <v>0.1</v>
      </c>
      <c r="W244" s="5">
        <v>0.2</v>
      </c>
      <c r="X244" s="56" t="str">
        <f>GHGFY207[[#This Row],[Data Source (scope 1)]]</f>
        <v>NGER (Measurement) Determination 2008 2019versions pg 318 - Part 3 Fuel combustion - 40</v>
      </c>
      <c r="Y244" s="65" t="s">
        <v>4416</v>
      </c>
      <c r="AB244" s="3">
        <f>(S244-GHGFY207[[#This Row],[Scope 1 Emission factor]])/GHGFY207[[#This Row],[Scope 1 Emission factor]]</f>
        <v>8.6206896551725368E-3</v>
      </c>
      <c r="AC244" s="3" t="e">
        <f>(T244-GHGFY207[[#This Row],[Scope 2 Emission factor]])/GHGFY207[[#This Row],[Scope 2 Emission factor]]</f>
        <v>#DIV/0!</v>
      </c>
      <c r="AD244" s="3">
        <f>(U244-GHGFY207[[#This Row],[Scope 3 Emission factor]])/GHGFY207[[#This Row],[Scope 3 Emission factor]]</f>
        <v>18.416666666666668</v>
      </c>
    </row>
    <row r="245" spans="1:30" ht="29.1" hidden="1" customHeight="1">
      <c r="A245" t="s">
        <v>884</v>
      </c>
      <c r="B245" t="s">
        <v>4229</v>
      </c>
      <c r="C245" t="s">
        <v>4412</v>
      </c>
      <c r="D245" t="s">
        <v>1213</v>
      </c>
      <c r="E245" t="s">
        <v>673</v>
      </c>
      <c r="F245">
        <v>1E-3</v>
      </c>
      <c r="G245" t="s">
        <v>4413</v>
      </c>
      <c r="H245">
        <v>38.6</v>
      </c>
      <c r="I245" t="s">
        <v>1140</v>
      </c>
      <c r="J245" s="647">
        <v>69.599999999999994</v>
      </c>
      <c r="L245">
        <v>3.6</v>
      </c>
      <c r="M245" t="s">
        <v>4414</v>
      </c>
      <c r="N245" t="s">
        <v>4415</v>
      </c>
      <c r="P245" t="s">
        <v>4416</v>
      </c>
      <c r="S245" s="64">
        <f t="shared" si="5"/>
        <v>70.2</v>
      </c>
      <c r="U245" s="5">
        <v>69.900000000000006</v>
      </c>
      <c r="V245" s="5">
        <v>0.1</v>
      </c>
      <c r="W245" s="5">
        <v>0.2</v>
      </c>
      <c r="X245" s="56" t="str">
        <f>GHGFY207[[#This Row],[Data Source (scope 1)]]</f>
        <v>NGER (Measurement) Determination 2008 2019versions pg 318 - Part 3 Fuel combustion - 40</v>
      </c>
      <c r="Y245" s="65" t="s">
        <v>4416</v>
      </c>
      <c r="AB245" s="3">
        <f>(S245-GHGFY207[[#This Row],[Scope 1 Emission factor]])/GHGFY207[[#This Row],[Scope 1 Emission factor]]</f>
        <v>8.6206896551725368E-3</v>
      </c>
      <c r="AC245" s="3" t="e">
        <f>(T245-GHGFY207[[#This Row],[Scope 2 Emission factor]])/GHGFY207[[#This Row],[Scope 2 Emission factor]]</f>
        <v>#DIV/0!</v>
      </c>
      <c r="AD245" s="3">
        <f>(U245-GHGFY207[[#This Row],[Scope 3 Emission factor]])/GHGFY207[[#This Row],[Scope 3 Emission factor]]</f>
        <v>18.416666666666668</v>
      </c>
    </row>
    <row r="246" spans="1:30" ht="29.1" hidden="1" customHeight="1">
      <c r="A246" t="s">
        <v>881</v>
      </c>
      <c r="B246" t="s">
        <v>4229</v>
      </c>
      <c r="C246" t="s">
        <v>4412</v>
      </c>
      <c r="D246" t="s">
        <v>1208</v>
      </c>
      <c r="E246" t="s">
        <v>673</v>
      </c>
      <c r="F246">
        <v>1E-3</v>
      </c>
      <c r="G246" t="s">
        <v>4413</v>
      </c>
      <c r="H246">
        <v>38.6</v>
      </c>
      <c r="I246" t="s">
        <v>1140</v>
      </c>
      <c r="J246" s="647">
        <v>69.599999999999994</v>
      </c>
      <c r="L246">
        <v>3.6</v>
      </c>
      <c r="M246" t="s">
        <v>4414</v>
      </c>
      <c r="N246" t="s">
        <v>4415</v>
      </c>
      <c r="P246" t="s">
        <v>4416</v>
      </c>
      <c r="S246" s="64">
        <f t="shared" si="5"/>
        <v>70.2</v>
      </c>
      <c r="U246" s="5">
        <v>69.900000000000006</v>
      </c>
      <c r="V246" s="5">
        <v>0.1</v>
      </c>
      <c r="W246" s="5">
        <v>0.2</v>
      </c>
      <c r="X246" s="56" t="str">
        <f>GHGFY207[[#This Row],[Data Source (scope 1)]]</f>
        <v>NGER (Measurement) Determination 2008 2019versions pg 318 - Part 3 Fuel combustion - 40</v>
      </c>
      <c r="Y246" s="65" t="s">
        <v>4416</v>
      </c>
      <c r="AB246" s="3">
        <f>(S246-GHGFY207[[#This Row],[Scope 1 Emission factor]])/GHGFY207[[#This Row],[Scope 1 Emission factor]]</f>
        <v>8.6206896551725368E-3</v>
      </c>
      <c r="AC246" s="3" t="e">
        <f>(T246-GHGFY207[[#This Row],[Scope 2 Emission factor]])/GHGFY207[[#This Row],[Scope 2 Emission factor]]</f>
        <v>#DIV/0!</v>
      </c>
      <c r="AD246" s="3">
        <f>(U246-GHGFY207[[#This Row],[Scope 3 Emission factor]])/GHGFY207[[#This Row],[Scope 3 Emission factor]]</f>
        <v>18.416666666666668</v>
      </c>
    </row>
    <row r="247" spans="1:30" ht="29.1" hidden="1" customHeight="1">
      <c r="A247" t="s">
        <v>4230</v>
      </c>
      <c r="B247" t="s">
        <v>4229</v>
      </c>
      <c r="C247" t="s">
        <v>4412</v>
      </c>
      <c r="D247" t="s">
        <v>1190</v>
      </c>
      <c r="E247" t="s">
        <v>673</v>
      </c>
      <c r="F247">
        <v>1E-3</v>
      </c>
      <c r="G247" t="s">
        <v>4413</v>
      </c>
      <c r="H247">
        <v>25.7</v>
      </c>
      <c r="I247" t="s">
        <v>1140</v>
      </c>
      <c r="J247" s="647">
        <v>69.599999999999994</v>
      </c>
      <c r="L247">
        <v>3.6</v>
      </c>
      <c r="M247" t="s">
        <v>4414</v>
      </c>
      <c r="N247" t="s">
        <v>4418</v>
      </c>
      <c r="P247" t="s">
        <v>4416</v>
      </c>
      <c r="S247" s="64">
        <f t="shared" si="5"/>
        <v>60.600000000000009</v>
      </c>
      <c r="U247">
        <v>60.2</v>
      </c>
      <c r="V247">
        <v>0.2</v>
      </c>
      <c r="W247">
        <v>0.2</v>
      </c>
      <c r="X247" s="56" t="str">
        <f>GHGFY207[[#This Row],[Data Source (scope 1)]]</f>
        <v>NGER (Measurement) Determination 2008 2019versions pg 318 - Part 3 Fuel combustion - 44</v>
      </c>
      <c r="Y247" s="65" t="s">
        <v>4416</v>
      </c>
      <c r="AB247" s="3">
        <f>(S247-GHGFY207[[#This Row],[Scope 1 Emission factor]])/GHGFY207[[#This Row],[Scope 1 Emission factor]]</f>
        <v>-0.12931034482758602</v>
      </c>
      <c r="AC247" s="3" t="e">
        <f>(T247-GHGFY207[[#This Row],[Scope 2 Emission factor]])/GHGFY207[[#This Row],[Scope 2 Emission factor]]</f>
        <v>#DIV/0!</v>
      </c>
      <c r="AD247" s="3">
        <f>(U247-GHGFY207[[#This Row],[Scope 3 Emission factor]])/GHGFY207[[#This Row],[Scope 3 Emission factor]]</f>
        <v>15.722222222222221</v>
      </c>
    </row>
    <row r="248" spans="1:30" ht="29.1" hidden="1" customHeight="1">
      <c r="A248" t="s">
        <v>4231</v>
      </c>
      <c r="B248" t="s">
        <v>4229</v>
      </c>
      <c r="C248" t="s">
        <v>4412</v>
      </c>
      <c r="D248" t="s">
        <v>1192</v>
      </c>
      <c r="E248" t="s">
        <v>673</v>
      </c>
      <c r="F248">
        <v>1E-3</v>
      </c>
      <c r="G248" t="s">
        <v>4413</v>
      </c>
      <c r="H248">
        <v>25.7</v>
      </c>
      <c r="I248" t="s">
        <v>1140</v>
      </c>
      <c r="J248" s="647">
        <v>69.599999999999994</v>
      </c>
      <c r="L248">
        <v>3.6</v>
      </c>
      <c r="M248" t="s">
        <v>4414</v>
      </c>
      <c r="N248" t="s">
        <v>4418</v>
      </c>
      <c r="P248" t="s">
        <v>4416</v>
      </c>
      <c r="S248" s="64">
        <f t="shared" si="5"/>
        <v>60.600000000000009</v>
      </c>
      <c r="U248">
        <v>60.2</v>
      </c>
      <c r="V248">
        <v>0.2</v>
      </c>
      <c r="W248">
        <v>0.2</v>
      </c>
      <c r="X248" s="56" t="str">
        <f>GHGFY207[[#This Row],[Data Source (scope 1)]]</f>
        <v>NGER (Measurement) Determination 2008 2019versions pg 318 - Part 3 Fuel combustion - 44</v>
      </c>
      <c r="Y248" s="65" t="s">
        <v>4416</v>
      </c>
      <c r="AB248" s="3">
        <f>(S248-GHGFY207[[#This Row],[Scope 1 Emission factor]])/GHGFY207[[#This Row],[Scope 1 Emission factor]]</f>
        <v>-0.12931034482758602</v>
      </c>
      <c r="AC248" s="3" t="e">
        <f>(T248-GHGFY207[[#This Row],[Scope 2 Emission factor]])/GHGFY207[[#This Row],[Scope 2 Emission factor]]</f>
        <v>#DIV/0!</v>
      </c>
      <c r="AD248" s="3">
        <f>(U248-GHGFY207[[#This Row],[Scope 3 Emission factor]])/GHGFY207[[#This Row],[Scope 3 Emission factor]]</f>
        <v>15.722222222222221</v>
      </c>
    </row>
    <row r="249" spans="1:30" ht="29.1" hidden="1" customHeight="1">
      <c r="A249" t="s">
        <v>4232</v>
      </c>
      <c r="B249" t="s">
        <v>4229</v>
      </c>
      <c r="C249" t="s">
        <v>4412</v>
      </c>
      <c r="D249" t="s">
        <v>1189</v>
      </c>
      <c r="E249" t="s">
        <v>673</v>
      </c>
      <c r="F249">
        <v>1E-3</v>
      </c>
      <c r="G249" t="s">
        <v>4413</v>
      </c>
      <c r="H249">
        <v>25.7</v>
      </c>
      <c r="I249" t="s">
        <v>1140</v>
      </c>
      <c r="J249" s="647">
        <v>69.599999999999994</v>
      </c>
      <c r="L249">
        <v>3.6</v>
      </c>
      <c r="M249" t="s">
        <v>4414</v>
      </c>
      <c r="N249" t="s">
        <v>4418</v>
      </c>
      <c r="P249" t="s">
        <v>4416</v>
      </c>
      <c r="S249" s="64">
        <f t="shared" si="5"/>
        <v>60.600000000000009</v>
      </c>
      <c r="U249">
        <v>60.2</v>
      </c>
      <c r="V249">
        <v>0.2</v>
      </c>
      <c r="W249">
        <v>0.2</v>
      </c>
      <c r="X249" s="56" t="str">
        <f>GHGFY207[[#This Row],[Data Source (scope 1)]]</f>
        <v>NGER (Measurement) Determination 2008 2019versions pg 318 - Part 3 Fuel combustion - 44</v>
      </c>
      <c r="Y249" s="65" t="s">
        <v>4416</v>
      </c>
      <c r="AB249" s="3">
        <f>(S249-GHGFY207[[#This Row],[Scope 1 Emission factor]])/GHGFY207[[#This Row],[Scope 1 Emission factor]]</f>
        <v>-0.12931034482758602</v>
      </c>
      <c r="AC249" s="3" t="e">
        <f>(T249-GHGFY207[[#This Row],[Scope 2 Emission factor]])/GHGFY207[[#This Row],[Scope 2 Emission factor]]</f>
        <v>#DIV/0!</v>
      </c>
      <c r="AD249" s="3">
        <f>(U249-GHGFY207[[#This Row],[Scope 3 Emission factor]])/GHGFY207[[#This Row],[Scope 3 Emission factor]]</f>
        <v>15.722222222222221</v>
      </c>
    </row>
    <row r="250" spans="1:30" ht="29.1" hidden="1" customHeight="1">
      <c r="A250" t="s">
        <v>4233</v>
      </c>
      <c r="B250" t="s">
        <v>4229</v>
      </c>
      <c r="C250" t="s">
        <v>4412</v>
      </c>
      <c r="D250" t="s">
        <v>1210</v>
      </c>
      <c r="E250" t="s">
        <v>673</v>
      </c>
      <c r="F250">
        <v>1E-3</v>
      </c>
      <c r="G250" t="s">
        <v>4413</v>
      </c>
      <c r="H250">
        <v>25.7</v>
      </c>
      <c r="I250" t="s">
        <v>1140</v>
      </c>
      <c r="J250" s="647">
        <v>69.599999999999994</v>
      </c>
      <c r="L250">
        <v>3.6</v>
      </c>
      <c r="M250" t="s">
        <v>4414</v>
      </c>
      <c r="N250" t="s">
        <v>4418</v>
      </c>
      <c r="P250" t="s">
        <v>4416</v>
      </c>
      <c r="S250" s="64">
        <f t="shared" si="5"/>
        <v>60.600000000000009</v>
      </c>
      <c r="U250">
        <v>60.2</v>
      </c>
      <c r="V250">
        <v>0.2</v>
      </c>
      <c r="W250">
        <v>0.2</v>
      </c>
      <c r="X250" s="56" t="str">
        <f>GHGFY207[[#This Row],[Data Source (scope 1)]]</f>
        <v>NGER (Measurement) Determination 2008 2019versions pg 318 - Part 3 Fuel combustion - 44</v>
      </c>
      <c r="Y250" s="65" t="s">
        <v>4416</v>
      </c>
      <c r="AB250" s="3">
        <f>(S250-GHGFY207[[#This Row],[Scope 1 Emission factor]])/GHGFY207[[#This Row],[Scope 1 Emission factor]]</f>
        <v>-0.12931034482758602</v>
      </c>
      <c r="AC250" s="3" t="e">
        <f>(T250-GHGFY207[[#This Row],[Scope 2 Emission factor]])/GHGFY207[[#This Row],[Scope 2 Emission factor]]</f>
        <v>#DIV/0!</v>
      </c>
      <c r="AD250" s="3">
        <f>(U250-GHGFY207[[#This Row],[Scope 3 Emission factor]])/GHGFY207[[#This Row],[Scope 3 Emission factor]]</f>
        <v>15.722222222222221</v>
      </c>
    </row>
    <row r="251" spans="1:30" ht="29.1" hidden="1" customHeight="1">
      <c r="A251" t="s">
        <v>4234</v>
      </c>
      <c r="B251" t="s">
        <v>4229</v>
      </c>
      <c r="C251" t="s">
        <v>4412</v>
      </c>
      <c r="D251" t="s">
        <v>1216</v>
      </c>
      <c r="E251" t="s">
        <v>673</v>
      </c>
      <c r="F251">
        <v>1E-3</v>
      </c>
      <c r="G251" t="s">
        <v>4413</v>
      </c>
      <c r="H251">
        <v>25.7</v>
      </c>
      <c r="I251" t="s">
        <v>1140</v>
      </c>
      <c r="J251" s="647">
        <v>69.599999999999994</v>
      </c>
      <c r="L251">
        <v>3.6</v>
      </c>
      <c r="M251" t="s">
        <v>4414</v>
      </c>
      <c r="N251" t="s">
        <v>4418</v>
      </c>
      <c r="P251" t="s">
        <v>4416</v>
      </c>
      <c r="S251" s="64">
        <f t="shared" si="5"/>
        <v>60.600000000000009</v>
      </c>
      <c r="U251">
        <v>60.2</v>
      </c>
      <c r="V251">
        <v>0.2</v>
      </c>
      <c r="W251">
        <v>0.2</v>
      </c>
      <c r="X251" s="56" t="str">
        <f>GHGFY207[[#This Row],[Data Source (scope 1)]]</f>
        <v>NGER (Measurement) Determination 2008 2019versions pg 318 - Part 3 Fuel combustion - 44</v>
      </c>
      <c r="Y251" s="65" t="s">
        <v>4416</v>
      </c>
      <c r="AB251" s="3">
        <f>(S251-GHGFY207[[#This Row],[Scope 1 Emission factor]])/GHGFY207[[#This Row],[Scope 1 Emission factor]]</f>
        <v>-0.12931034482758602</v>
      </c>
      <c r="AC251" s="3" t="e">
        <f>(T251-GHGFY207[[#This Row],[Scope 2 Emission factor]])/GHGFY207[[#This Row],[Scope 2 Emission factor]]</f>
        <v>#DIV/0!</v>
      </c>
      <c r="AD251" s="3">
        <f>(U251-GHGFY207[[#This Row],[Scope 3 Emission factor]])/GHGFY207[[#This Row],[Scope 3 Emission factor]]</f>
        <v>15.722222222222221</v>
      </c>
    </row>
    <row r="252" spans="1:30" ht="29.1" hidden="1" customHeight="1">
      <c r="A252" t="s">
        <v>4235</v>
      </c>
      <c r="B252" t="s">
        <v>4229</v>
      </c>
      <c r="C252" t="s">
        <v>4412</v>
      </c>
      <c r="D252" t="s">
        <v>1193</v>
      </c>
      <c r="E252" t="s">
        <v>673</v>
      </c>
      <c r="F252">
        <v>1E-3</v>
      </c>
      <c r="G252" t="s">
        <v>4413</v>
      </c>
      <c r="H252">
        <v>25.7</v>
      </c>
      <c r="I252" t="s">
        <v>1140</v>
      </c>
      <c r="J252" s="647">
        <v>69.599999999999994</v>
      </c>
      <c r="L252">
        <v>3.6</v>
      </c>
      <c r="M252" t="s">
        <v>4414</v>
      </c>
      <c r="N252" t="s">
        <v>4418</v>
      </c>
      <c r="P252" t="s">
        <v>4416</v>
      </c>
      <c r="S252" s="64">
        <f t="shared" si="5"/>
        <v>60.600000000000009</v>
      </c>
      <c r="U252">
        <v>60.2</v>
      </c>
      <c r="V252">
        <v>0.2</v>
      </c>
      <c r="W252">
        <v>0.2</v>
      </c>
      <c r="X252" s="56" t="str">
        <f>GHGFY207[[#This Row],[Data Source (scope 1)]]</f>
        <v>NGER (Measurement) Determination 2008 2019versions pg 318 - Part 3 Fuel combustion - 44</v>
      </c>
      <c r="Y252" s="65" t="s">
        <v>4416</v>
      </c>
      <c r="AB252" s="3">
        <f>(S252-GHGFY207[[#This Row],[Scope 1 Emission factor]])/GHGFY207[[#This Row],[Scope 1 Emission factor]]</f>
        <v>-0.12931034482758602</v>
      </c>
      <c r="AC252" s="3" t="e">
        <f>(T252-GHGFY207[[#This Row],[Scope 2 Emission factor]])/GHGFY207[[#This Row],[Scope 2 Emission factor]]</f>
        <v>#DIV/0!</v>
      </c>
      <c r="AD252" s="3">
        <f>(U252-GHGFY207[[#This Row],[Scope 3 Emission factor]])/GHGFY207[[#This Row],[Scope 3 Emission factor]]</f>
        <v>15.722222222222221</v>
      </c>
    </row>
    <row r="253" spans="1:30" ht="29.1" hidden="1" customHeight="1">
      <c r="A253" t="s">
        <v>4236</v>
      </c>
      <c r="B253" t="s">
        <v>4229</v>
      </c>
      <c r="C253" t="s">
        <v>4412</v>
      </c>
      <c r="D253" t="s">
        <v>1213</v>
      </c>
      <c r="E253" t="s">
        <v>673</v>
      </c>
      <c r="F253">
        <v>1E-3</v>
      </c>
      <c r="G253" t="s">
        <v>4413</v>
      </c>
      <c r="H253">
        <v>25.7</v>
      </c>
      <c r="I253" t="s">
        <v>1140</v>
      </c>
      <c r="J253" s="647">
        <v>69.599999999999994</v>
      </c>
      <c r="L253">
        <v>3.6</v>
      </c>
      <c r="M253" t="s">
        <v>4414</v>
      </c>
      <c r="N253" t="s">
        <v>4418</v>
      </c>
      <c r="P253" t="s">
        <v>4416</v>
      </c>
      <c r="S253" s="64">
        <f t="shared" si="5"/>
        <v>60.600000000000009</v>
      </c>
      <c r="U253">
        <v>60.2</v>
      </c>
      <c r="V253">
        <v>0.2</v>
      </c>
      <c r="W253">
        <v>0.2</v>
      </c>
      <c r="X253" s="56" t="str">
        <f>GHGFY207[[#This Row],[Data Source (scope 1)]]</f>
        <v>NGER (Measurement) Determination 2008 2019versions pg 318 - Part 3 Fuel combustion - 44</v>
      </c>
      <c r="Y253" s="65" t="s">
        <v>4416</v>
      </c>
      <c r="AB253" s="3">
        <f>(S253-GHGFY207[[#This Row],[Scope 1 Emission factor]])/GHGFY207[[#This Row],[Scope 1 Emission factor]]</f>
        <v>-0.12931034482758602</v>
      </c>
      <c r="AC253" s="3" t="e">
        <f>(T253-GHGFY207[[#This Row],[Scope 2 Emission factor]])/GHGFY207[[#This Row],[Scope 2 Emission factor]]</f>
        <v>#DIV/0!</v>
      </c>
      <c r="AD253" s="3">
        <f>(U253-GHGFY207[[#This Row],[Scope 3 Emission factor]])/GHGFY207[[#This Row],[Scope 3 Emission factor]]</f>
        <v>15.722222222222221</v>
      </c>
    </row>
    <row r="254" spans="1:30" ht="29.1" hidden="1" customHeight="1">
      <c r="A254" t="s">
        <v>4237</v>
      </c>
      <c r="B254" t="s">
        <v>4229</v>
      </c>
      <c r="C254" t="s">
        <v>4412</v>
      </c>
      <c r="D254" t="s">
        <v>1208</v>
      </c>
      <c r="E254" t="s">
        <v>673</v>
      </c>
      <c r="F254">
        <v>1E-3</v>
      </c>
      <c r="G254" t="s">
        <v>4413</v>
      </c>
      <c r="H254">
        <v>25.7</v>
      </c>
      <c r="I254" t="s">
        <v>1140</v>
      </c>
      <c r="J254" s="647">
        <v>69.599999999999994</v>
      </c>
      <c r="L254">
        <v>3.6</v>
      </c>
      <c r="M254" t="s">
        <v>4414</v>
      </c>
      <c r="N254" t="s">
        <v>4418</v>
      </c>
      <c r="P254" t="s">
        <v>4416</v>
      </c>
      <c r="S254" s="64">
        <f t="shared" si="5"/>
        <v>60.600000000000009</v>
      </c>
      <c r="U254">
        <v>60.2</v>
      </c>
      <c r="V254">
        <v>0.2</v>
      </c>
      <c r="W254">
        <v>0.2</v>
      </c>
      <c r="X254" s="56" t="str">
        <f>GHGFY207[[#This Row],[Data Source (scope 1)]]</f>
        <v>NGER (Measurement) Determination 2008 2019versions pg 318 - Part 3 Fuel combustion - 44</v>
      </c>
      <c r="Y254" s="65" t="s">
        <v>4416</v>
      </c>
      <c r="AB254" s="3">
        <f>(S254-GHGFY207[[#This Row],[Scope 1 Emission factor]])/GHGFY207[[#This Row],[Scope 1 Emission factor]]</f>
        <v>-0.12931034482758602</v>
      </c>
      <c r="AC254" s="3" t="e">
        <f>(T254-GHGFY207[[#This Row],[Scope 2 Emission factor]])/GHGFY207[[#This Row],[Scope 2 Emission factor]]</f>
        <v>#DIV/0!</v>
      </c>
      <c r="AD254" s="3">
        <f>(U254-GHGFY207[[#This Row],[Scope 3 Emission factor]])/GHGFY207[[#This Row],[Scope 3 Emission factor]]</f>
        <v>15.722222222222221</v>
      </c>
    </row>
    <row r="255" spans="1:30" ht="29.1" hidden="1" customHeight="1">
      <c r="A255" t="s">
        <v>4238</v>
      </c>
      <c r="B255" t="s">
        <v>4229</v>
      </c>
      <c r="C255" t="s">
        <v>4412</v>
      </c>
      <c r="D255" t="s">
        <v>1190</v>
      </c>
      <c r="E255" t="s">
        <v>673</v>
      </c>
      <c r="F255">
        <v>1E-3</v>
      </c>
      <c r="G255" t="s">
        <v>4413</v>
      </c>
      <c r="H255">
        <v>34.200000000000003</v>
      </c>
      <c r="I255" t="s">
        <v>1140</v>
      </c>
      <c r="J255" s="647">
        <v>69.599999999999994</v>
      </c>
      <c r="L255">
        <v>3.6</v>
      </c>
      <c r="M255" t="s">
        <v>4414</v>
      </c>
      <c r="N255" t="s">
        <v>4419</v>
      </c>
      <c r="P255" t="s">
        <v>4416</v>
      </c>
      <c r="S255" s="64">
        <f t="shared" si="5"/>
        <v>67.800000000000011</v>
      </c>
      <c r="U255">
        <v>67.400000000000006</v>
      </c>
      <c r="V255">
        <v>0.2</v>
      </c>
      <c r="W255">
        <v>0.2</v>
      </c>
      <c r="X255" s="56" t="str">
        <f>GHGFY207[[#This Row],[Data Source (scope 1)]]</f>
        <v>NGER (Measurement) Determination 2008 2019versions pg 318 - Part 3 Fuel combustion - 35</v>
      </c>
      <c r="Y255" s="65" t="s">
        <v>4416</v>
      </c>
      <c r="AB255" s="3">
        <f>(S255-GHGFY207[[#This Row],[Scope 1 Emission factor]])/GHGFY207[[#This Row],[Scope 1 Emission factor]]</f>
        <v>-2.5862068965516998E-2</v>
      </c>
      <c r="AC255" s="3" t="e">
        <f>(T255-GHGFY207[[#This Row],[Scope 2 Emission factor]])/GHGFY207[[#This Row],[Scope 2 Emission factor]]</f>
        <v>#DIV/0!</v>
      </c>
      <c r="AD255" s="3">
        <f>(U255-GHGFY207[[#This Row],[Scope 3 Emission factor]])/GHGFY207[[#This Row],[Scope 3 Emission factor]]</f>
        <v>17.722222222222221</v>
      </c>
    </row>
    <row r="256" spans="1:30" ht="29.1" hidden="1" customHeight="1">
      <c r="A256" t="s">
        <v>888</v>
      </c>
      <c r="B256" t="s">
        <v>4229</v>
      </c>
      <c r="C256" t="s">
        <v>4412</v>
      </c>
      <c r="D256" t="s">
        <v>1192</v>
      </c>
      <c r="E256" t="s">
        <v>673</v>
      </c>
      <c r="F256">
        <v>1E-3</v>
      </c>
      <c r="G256" t="s">
        <v>4413</v>
      </c>
      <c r="H256">
        <v>34.200000000000003</v>
      </c>
      <c r="I256" t="s">
        <v>1140</v>
      </c>
      <c r="J256" s="647">
        <v>69.599999999999994</v>
      </c>
      <c r="L256">
        <v>3.6</v>
      </c>
      <c r="M256" t="s">
        <v>4414</v>
      </c>
      <c r="N256" t="s">
        <v>4419</v>
      </c>
      <c r="P256" t="s">
        <v>4416</v>
      </c>
      <c r="S256" s="64">
        <f t="shared" si="5"/>
        <v>67.800000000000011</v>
      </c>
      <c r="U256">
        <v>67.400000000000006</v>
      </c>
      <c r="V256">
        <v>0.2</v>
      </c>
      <c r="W256">
        <v>0.2</v>
      </c>
      <c r="X256" s="56" t="str">
        <f>GHGFY207[[#This Row],[Data Source (scope 1)]]</f>
        <v>NGER (Measurement) Determination 2008 2019versions pg 318 - Part 3 Fuel combustion - 35</v>
      </c>
      <c r="Y256" s="65" t="s">
        <v>4416</v>
      </c>
      <c r="AB256" s="3">
        <f>(S256-GHGFY207[[#This Row],[Scope 1 Emission factor]])/GHGFY207[[#This Row],[Scope 1 Emission factor]]</f>
        <v>-2.5862068965516998E-2</v>
      </c>
      <c r="AC256" s="3" t="e">
        <f>(T256-GHGFY207[[#This Row],[Scope 2 Emission factor]])/GHGFY207[[#This Row],[Scope 2 Emission factor]]</f>
        <v>#DIV/0!</v>
      </c>
      <c r="AD256" s="3">
        <f>(U256-GHGFY207[[#This Row],[Scope 3 Emission factor]])/GHGFY207[[#This Row],[Scope 3 Emission factor]]</f>
        <v>17.722222222222221</v>
      </c>
    </row>
    <row r="257" spans="1:30" ht="29.1" hidden="1" customHeight="1">
      <c r="A257" t="s">
        <v>891</v>
      </c>
      <c r="B257" t="s">
        <v>4229</v>
      </c>
      <c r="C257" t="s">
        <v>4412</v>
      </c>
      <c r="D257" t="s">
        <v>1189</v>
      </c>
      <c r="E257" t="s">
        <v>673</v>
      </c>
      <c r="F257">
        <v>1E-3</v>
      </c>
      <c r="G257" t="s">
        <v>4413</v>
      </c>
      <c r="H257">
        <v>34.200000000000003</v>
      </c>
      <c r="I257" t="s">
        <v>1140</v>
      </c>
      <c r="J257" s="647">
        <v>69.599999999999994</v>
      </c>
      <c r="L257">
        <v>3.6</v>
      </c>
      <c r="M257" t="s">
        <v>4414</v>
      </c>
      <c r="N257" t="s">
        <v>4419</v>
      </c>
      <c r="P257" t="s">
        <v>4416</v>
      </c>
      <c r="S257" s="64">
        <f t="shared" si="5"/>
        <v>67.800000000000011</v>
      </c>
      <c r="U257">
        <v>67.400000000000006</v>
      </c>
      <c r="V257">
        <v>0.2</v>
      </c>
      <c r="W257">
        <v>0.2</v>
      </c>
      <c r="X257" s="56" t="str">
        <f>GHGFY207[[#This Row],[Data Source (scope 1)]]</f>
        <v>NGER (Measurement) Determination 2008 2019versions pg 318 - Part 3 Fuel combustion - 35</v>
      </c>
      <c r="Y257" s="65" t="s">
        <v>4416</v>
      </c>
      <c r="AB257" s="3">
        <f>(S257-GHGFY207[[#This Row],[Scope 1 Emission factor]])/GHGFY207[[#This Row],[Scope 1 Emission factor]]</f>
        <v>-2.5862068965516998E-2</v>
      </c>
      <c r="AC257" s="3" t="e">
        <f>(T257-GHGFY207[[#This Row],[Scope 2 Emission factor]])/GHGFY207[[#This Row],[Scope 2 Emission factor]]</f>
        <v>#DIV/0!</v>
      </c>
      <c r="AD257" s="3">
        <f>(U257-GHGFY207[[#This Row],[Scope 3 Emission factor]])/GHGFY207[[#This Row],[Scope 3 Emission factor]]</f>
        <v>17.722222222222221</v>
      </c>
    </row>
    <row r="258" spans="1:30" ht="29.1" hidden="1" customHeight="1">
      <c r="A258" t="s">
        <v>889</v>
      </c>
      <c r="B258" t="s">
        <v>4229</v>
      </c>
      <c r="C258" t="s">
        <v>4412</v>
      </c>
      <c r="D258" t="s">
        <v>1210</v>
      </c>
      <c r="E258" t="s">
        <v>673</v>
      </c>
      <c r="F258">
        <v>1E-3</v>
      </c>
      <c r="G258" t="s">
        <v>4413</v>
      </c>
      <c r="H258">
        <v>34.200000000000003</v>
      </c>
      <c r="I258" t="s">
        <v>1140</v>
      </c>
      <c r="J258" s="647">
        <v>69.599999999999994</v>
      </c>
      <c r="L258">
        <v>3.6</v>
      </c>
      <c r="M258" t="s">
        <v>4414</v>
      </c>
      <c r="N258" t="s">
        <v>4419</v>
      </c>
      <c r="P258" t="s">
        <v>4416</v>
      </c>
      <c r="S258" s="64">
        <f t="shared" si="5"/>
        <v>67.800000000000011</v>
      </c>
      <c r="U258">
        <v>67.400000000000006</v>
      </c>
      <c r="V258">
        <v>0.2</v>
      </c>
      <c r="W258">
        <v>0.2</v>
      </c>
      <c r="X258" s="56" t="str">
        <f>GHGFY207[[#This Row],[Data Source (scope 1)]]</f>
        <v>NGER (Measurement) Determination 2008 2019versions pg 318 - Part 3 Fuel combustion - 35</v>
      </c>
      <c r="Y258" s="65" t="s">
        <v>4416</v>
      </c>
      <c r="AB258" s="3">
        <f>(S258-GHGFY207[[#This Row],[Scope 1 Emission factor]])/GHGFY207[[#This Row],[Scope 1 Emission factor]]</f>
        <v>-2.5862068965516998E-2</v>
      </c>
      <c r="AC258" s="3" t="e">
        <f>(T258-GHGFY207[[#This Row],[Scope 2 Emission factor]])/GHGFY207[[#This Row],[Scope 2 Emission factor]]</f>
        <v>#DIV/0!</v>
      </c>
      <c r="AD258" s="3">
        <f>(U258-GHGFY207[[#This Row],[Scope 3 Emission factor]])/GHGFY207[[#This Row],[Scope 3 Emission factor]]</f>
        <v>17.722222222222221</v>
      </c>
    </row>
    <row r="259" spans="1:30" ht="29.1" hidden="1" customHeight="1">
      <c r="A259" t="s">
        <v>4239</v>
      </c>
      <c r="B259" t="s">
        <v>4229</v>
      </c>
      <c r="C259" t="s">
        <v>4412</v>
      </c>
      <c r="D259" t="s">
        <v>1216</v>
      </c>
      <c r="E259" t="s">
        <v>673</v>
      </c>
      <c r="F259">
        <v>1E-3</v>
      </c>
      <c r="G259" t="s">
        <v>4413</v>
      </c>
      <c r="H259">
        <v>34.200000000000003</v>
      </c>
      <c r="I259" t="s">
        <v>1140</v>
      </c>
      <c r="J259" s="647">
        <v>69.599999999999994</v>
      </c>
      <c r="L259">
        <v>3.6</v>
      </c>
      <c r="M259" t="s">
        <v>4414</v>
      </c>
      <c r="N259" t="s">
        <v>4419</v>
      </c>
      <c r="P259" t="s">
        <v>4416</v>
      </c>
      <c r="S259" s="64">
        <f t="shared" si="5"/>
        <v>67.800000000000011</v>
      </c>
      <c r="U259">
        <v>67.400000000000006</v>
      </c>
      <c r="V259">
        <v>0.2</v>
      </c>
      <c r="W259">
        <v>0.2</v>
      </c>
      <c r="X259" s="56" t="str">
        <f>GHGFY207[[#This Row],[Data Source (scope 1)]]</f>
        <v>NGER (Measurement) Determination 2008 2019versions pg 318 - Part 3 Fuel combustion - 35</v>
      </c>
      <c r="Y259" s="65" t="s">
        <v>4416</v>
      </c>
      <c r="AB259" s="3">
        <f>(S259-GHGFY207[[#This Row],[Scope 1 Emission factor]])/GHGFY207[[#This Row],[Scope 1 Emission factor]]</f>
        <v>-2.5862068965516998E-2</v>
      </c>
      <c r="AC259" s="3" t="e">
        <f>(T259-GHGFY207[[#This Row],[Scope 2 Emission factor]])/GHGFY207[[#This Row],[Scope 2 Emission factor]]</f>
        <v>#DIV/0!</v>
      </c>
      <c r="AD259" s="3">
        <f>(U259-GHGFY207[[#This Row],[Scope 3 Emission factor]])/GHGFY207[[#This Row],[Scope 3 Emission factor]]</f>
        <v>17.722222222222221</v>
      </c>
    </row>
    <row r="260" spans="1:30" ht="29.1" hidden="1" customHeight="1">
      <c r="A260" t="s">
        <v>4240</v>
      </c>
      <c r="B260" t="s">
        <v>4229</v>
      </c>
      <c r="C260" t="s">
        <v>4412</v>
      </c>
      <c r="D260" t="s">
        <v>1193</v>
      </c>
      <c r="E260" t="s">
        <v>673</v>
      </c>
      <c r="F260">
        <v>1E-3</v>
      </c>
      <c r="G260" t="s">
        <v>4413</v>
      </c>
      <c r="H260">
        <v>34.200000000000003</v>
      </c>
      <c r="I260" t="s">
        <v>1140</v>
      </c>
      <c r="J260" s="647">
        <v>69.599999999999994</v>
      </c>
      <c r="L260">
        <v>3.6</v>
      </c>
      <c r="M260" t="s">
        <v>4414</v>
      </c>
      <c r="N260" t="s">
        <v>4419</v>
      </c>
      <c r="P260" t="s">
        <v>4416</v>
      </c>
      <c r="S260" s="64">
        <f t="shared" si="5"/>
        <v>67.800000000000011</v>
      </c>
      <c r="U260">
        <v>67.400000000000006</v>
      </c>
      <c r="V260">
        <v>0.2</v>
      </c>
      <c r="W260">
        <v>0.2</v>
      </c>
      <c r="X260" s="56" t="str">
        <f>GHGFY207[[#This Row],[Data Source (scope 1)]]</f>
        <v>NGER (Measurement) Determination 2008 2019versions pg 318 - Part 3 Fuel combustion - 35</v>
      </c>
      <c r="Y260" s="65" t="s">
        <v>4416</v>
      </c>
      <c r="AB260" s="3">
        <f>(S260-GHGFY207[[#This Row],[Scope 1 Emission factor]])/GHGFY207[[#This Row],[Scope 1 Emission factor]]</f>
        <v>-2.5862068965516998E-2</v>
      </c>
      <c r="AC260" s="3" t="e">
        <f>(T260-GHGFY207[[#This Row],[Scope 2 Emission factor]])/GHGFY207[[#This Row],[Scope 2 Emission factor]]</f>
        <v>#DIV/0!</v>
      </c>
      <c r="AD260" s="3">
        <f>(U260-GHGFY207[[#This Row],[Scope 3 Emission factor]])/GHGFY207[[#This Row],[Scope 3 Emission factor]]</f>
        <v>17.722222222222221</v>
      </c>
    </row>
    <row r="261" spans="1:30" ht="29.1" hidden="1" customHeight="1">
      <c r="A261" t="s">
        <v>890</v>
      </c>
      <c r="B261" t="s">
        <v>4229</v>
      </c>
      <c r="C261" t="s">
        <v>4412</v>
      </c>
      <c r="D261" t="s">
        <v>1213</v>
      </c>
      <c r="E261" t="s">
        <v>673</v>
      </c>
      <c r="F261">
        <v>1E-3</v>
      </c>
      <c r="G261" t="s">
        <v>4413</v>
      </c>
      <c r="H261">
        <v>34.200000000000003</v>
      </c>
      <c r="I261" t="s">
        <v>1140</v>
      </c>
      <c r="J261" s="647">
        <v>69.599999999999994</v>
      </c>
      <c r="L261">
        <v>3.6</v>
      </c>
      <c r="M261" t="s">
        <v>4414</v>
      </c>
      <c r="N261" t="s">
        <v>4419</v>
      </c>
      <c r="P261" t="s">
        <v>4416</v>
      </c>
      <c r="S261" s="64">
        <f t="shared" si="5"/>
        <v>67.800000000000011</v>
      </c>
      <c r="U261">
        <v>67.400000000000006</v>
      </c>
      <c r="V261">
        <v>0.2</v>
      </c>
      <c r="W261">
        <v>0.2</v>
      </c>
      <c r="X261" s="56" t="str">
        <f>GHGFY207[[#This Row],[Data Source (scope 1)]]</f>
        <v>NGER (Measurement) Determination 2008 2019versions pg 318 - Part 3 Fuel combustion - 35</v>
      </c>
      <c r="Y261" s="65" t="s">
        <v>4416</v>
      </c>
      <c r="AB261" s="3">
        <f>(S261-GHGFY207[[#This Row],[Scope 1 Emission factor]])/GHGFY207[[#This Row],[Scope 1 Emission factor]]</f>
        <v>-2.5862068965516998E-2</v>
      </c>
      <c r="AC261" s="3" t="e">
        <f>(T261-GHGFY207[[#This Row],[Scope 2 Emission factor]])/GHGFY207[[#This Row],[Scope 2 Emission factor]]</f>
        <v>#DIV/0!</v>
      </c>
      <c r="AD261" s="3">
        <f>(U261-GHGFY207[[#This Row],[Scope 3 Emission factor]])/GHGFY207[[#This Row],[Scope 3 Emission factor]]</f>
        <v>17.722222222222221</v>
      </c>
    </row>
    <row r="262" spans="1:30" ht="29.1" hidden="1" customHeight="1">
      <c r="A262" t="s">
        <v>4241</v>
      </c>
      <c r="B262" t="s">
        <v>4229</v>
      </c>
      <c r="C262" t="s">
        <v>4412</v>
      </c>
      <c r="D262" t="s">
        <v>1208</v>
      </c>
      <c r="E262" t="s">
        <v>673</v>
      </c>
      <c r="F262">
        <v>1E-3</v>
      </c>
      <c r="G262" t="s">
        <v>4413</v>
      </c>
      <c r="H262">
        <v>34.200000000000003</v>
      </c>
      <c r="I262" t="s">
        <v>1140</v>
      </c>
      <c r="J262" s="647">
        <v>69.599999999999994</v>
      </c>
      <c r="L262">
        <v>3.6</v>
      </c>
      <c r="M262" t="s">
        <v>4414</v>
      </c>
      <c r="N262" t="s">
        <v>4419</v>
      </c>
      <c r="P262" t="s">
        <v>4416</v>
      </c>
      <c r="S262" s="64">
        <f t="shared" si="5"/>
        <v>67.800000000000011</v>
      </c>
      <c r="U262">
        <v>67.400000000000006</v>
      </c>
      <c r="V262">
        <v>0.2</v>
      </c>
      <c r="W262">
        <v>0.2</v>
      </c>
      <c r="X262" s="56" t="str">
        <f>GHGFY207[[#This Row],[Data Source (scope 1)]]</f>
        <v>NGER (Measurement) Determination 2008 2019versions pg 318 - Part 3 Fuel combustion - 35</v>
      </c>
      <c r="Y262" s="65" t="s">
        <v>4416</v>
      </c>
      <c r="AB262" s="3">
        <f>(S262-GHGFY207[[#This Row],[Scope 1 Emission factor]])/GHGFY207[[#This Row],[Scope 1 Emission factor]]</f>
        <v>-2.5862068965516998E-2</v>
      </c>
      <c r="AC262" s="3" t="e">
        <f>(T262-GHGFY207[[#This Row],[Scope 2 Emission factor]])/GHGFY207[[#This Row],[Scope 2 Emission factor]]</f>
        <v>#DIV/0!</v>
      </c>
      <c r="AD262" s="3">
        <f>(U262-GHGFY207[[#This Row],[Scope 3 Emission factor]])/GHGFY207[[#This Row],[Scope 3 Emission factor]]</f>
        <v>17.722222222222221</v>
      </c>
    </row>
    <row r="263" spans="1:30" ht="29.1" hidden="1" customHeight="1">
      <c r="A263" t="s">
        <v>4242</v>
      </c>
      <c r="B263" t="s">
        <v>4229</v>
      </c>
      <c r="C263" t="s">
        <v>4412</v>
      </c>
      <c r="D263" t="s">
        <v>1190</v>
      </c>
      <c r="E263" t="s">
        <v>673</v>
      </c>
      <c r="F263">
        <v>1E-3</v>
      </c>
      <c r="G263" t="s">
        <v>4413</v>
      </c>
      <c r="H263">
        <v>23.4</v>
      </c>
      <c r="I263" t="s">
        <v>4431</v>
      </c>
      <c r="J263" s="648">
        <v>69.599999999999994</v>
      </c>
      <c r="L263">
        <v>0</v>
      </c>
      <c r="M263" t="s">
        <v>4414</v>
      </c>
      <c r="N263" t="s">
        <v>4432</v>
      </c>
      <c r="P263" t="s">
        <v>4416</v>
      </c>
      <c r="S263" s="64">
        <f t="shared" si="5"/>
        <v>0.27</v>
      </c>
      <c r="U263">
        <v>0</v>
      </c>
      <c r="V263">
        <v>7.0000000000000007E-2</v>
      </c>
      <c r="W263">
        <v>0.2</v>
      </c>
      <c r="X263" s="56" t="str">
        <f>GHGFY207[[#This Row],[Data Source (scope 1)]]</f>
        <v>NGER (Measurement) Determination 2008 2019versions pg 319 - Part 3 Fuel combustion - 51</v>
      </c>
      <c r="Y263" s="65" t="s">
        <v>4416</v>
      </c>
      <c r="AB263" s="3">
        <f>(S263-GHGFY207[[#This Row],[Scope 1 Emission factor]])/GHGFY207[[#This Row],[Scope 1 Emission factor]]</f>
        <v>-0.99612068965517242</v>
      </c>
      <c r="AC263" s="3" t="e">
        <f>(T263-GHGFY207[[#This Row],[Scope 2 Emission factor]])/GHGFY207[[#This Row],[Scope 2 Emission factor]]</f>
        <v>#DIV/0!</v>
      </c>
      <c r="AD263" s="3" t="e">
        <f>(U263-GHGFY207[[#This Row],[Scope 3 Emission factor]])/GHGFY207[[#This Row],[Scope 3 Emission factor]]</f>
        <v>#DIV/0!</v>
      </c>
    </row>
    <row r="264" spans="1:30" ht="29.1" hidden="1" customHeight="1">
      <c r="A264" t="s">
        <v>4243</v>
      </c>
      <c r="B264" t="s">
        <v>4229</v>
      </c>
      <c r="C264" t="s">
        <v>4412</v>
      </c>
      <c r="D264" t="s">
        <v>1192</v>
      </c>
      <c r="E264" t="s">
        <v>673</v>
      </c>
      <c r="F264">
        <v>1E-3</v>
      </c>
      <c r="G264" t="s">
        <v>4413</v>
      </c>
      <c r="H264">
        <v>23.4</v>
      </c>
      <c r="I264" t="s">
        <v>4431</v>
      </c>
      <c r="J264" s="648">
        <v>69.599999999999994</v>
      </c>
      <c r="L264">
        <v>0</v>
      </c>
      <c r="M264" t="s">
        <v>4414</v>
      </c>
      <c r="N264" t="s">
        <v>4432</v>
      </c>
      <c r="P264" t="s">
        <v>4416</v>
      </c>
      <c r="S264" s="64">
        <f t="shared" si="5"/>
        <v>0.27</v>
      </c>
      <c r="U264">
        <v>0</v>
      </c>
      <c r="V264">
        <v>7.0000000000000007E-2</v>
      </c>
      <c r="W264">
        <v>0.2</v>
      </c>
      <c r="X264" s="56" t="str">
        <f>GHGFY207[[#This Row],[Data Source (scope 1)]]</f>
        <v>NGER (Measurement) Determination 2008 2019versions pg 319 - Part 3 Fuel combustion - 51</v>
      </c>
      <c r="Y264" s="65" t="s">
        <v>4416</v>
      </c>
      <c r="AB264" s="3">
        <f>(S264-GHGFY207[[#This Row],[Scope 1 Emission factor]])/GHGFY207[[#This Row],[Scope 1 Emission factor]]</f>
        <v>-0.99612068965517242</v>
      </c>
      <c r="AC264" s="3" t="e">
        <f>(T264-GHGFY207[[#This Row],[Scope 2 Emission factor]])/GHGFY207[[#This Row],[Scope 2 Emission factor]]</f>
        <v>#DIV/0!</v>
      </c>
      <c r="AD264" s="3" t="e">
        <f>(U264-GHGFY207[[#This Row],[Scope 3 Emission factor]])/GHGFY207[[#This Row],[Scope 3 Emission factor]]</f>
        <v>#DIV/0!</v>
      </c>
    </row>
    <row r="265" spans="1:30" ht="29.1" hidden="1" customHeight="1">
      <c r="A265" t="s">
        <v>4244</v>
      </c>
      <c r="B265" t="s">
        <v>4229</v>
      </c>
      <c r="C265" t="s">
        <v>4412</v>
      </c>
      <c r="D265" t="s">
        <v>1189</v>
      </c>
      <c r="E265" t="s">
        <v>673</v>
      </c>
      <c r="F265">
        <v>1E-3</v>
      </c>
      <c r="G265" t="s">
        <v>4413</v>
      </c>
      <c r="H265">
        <v>23.4</v>
      </c>
      <c r="I265" t="s">
        <v>4431</v>
      </c>
      <c r="J265" s="648">
        <v>69.599999999999994</v>
      </c>
      <c r="L265">
        <v>0</v>
      </c>
      <c r="M265" t="s">
        <v>4414</v>
      </c>
      <c r="N265" t="s">
        <v>4432</v>
      </c>
      <c r="P265" t="s">
        <v>4416</v>
      </c>
      <c r="S265" s="64">
        <f t="shared" si="5"/>
        <v>0.27</v>
      </c>
      <c r="U265">
        <v>0</v>
      </c>
      <c r="V265">
        <v>7.0000000000000007E-2</v>
      </c>
      <c r="W265">
        <v>0.2</v>
      </c>
      <c r="X265" s="56" t="str">
        <f>GHGFY207[[#This Row],[Data Source (scope 1)]]</f>
        <v>NGER (Measurement) Determination 2008 2019versions pg 319 - Part 3 Fuel combustion - 51</v>
      </c>
      <c r="Y265" s="65" t="s">
        <v>4416</v>
      </c>
      <c r="AB265" s="3">
        <f>(S265-GHGFY207[[#This Row],[Scope 1 Emission factor]])/GHGFY207[[#This Row],[Scope 1 Emission factor]]</f>
        <v>-0.99612068965517242</v>
      </c>
      <c r="AC265" s="3" t="e">
        <f>(T265-GHGFY207[[#This Row],[Scope 2 Emission factor]])/GHGFY207[[#This Row],[Scope 2 Emission factor]]</f>
        <v>#DIV/0!</v>
      </c>
      <c r="AD265" s="3" t="e">
        <f>(U265-GHGFY207[[#This Row],[Scope 3 Emission factor]])/GHGFY207[[#This Row],[Scope 3 Emission factor]]</f>
        <v>#DIV/0!</v>
      </c>
    </row>
    <row r="266" spans="1:30" ht="29.1" hidden="1" customHeight="1">
      <c r="A266" t="s">
        <v>887</v>
      </c>
      <c r="B266" t="s">
        <v>4229</v>
      </c>
      <c r="C266" t="s">
        <v>4412</v>
      </c>
      <c r="D266" t="s">
        <v>1210</v>
      </c>
      <c r="E266" t="s">
        <v>673</v>
      </c>
      <c r="F266">
        <v>1E-3</v>
      </c>
      <c r="G266" t="s">
        <v>4413</v>
      </c>
      <c r="H266">
        <v>23.4</v>
      </c>
      <c r="I266" t="s">
        <v>4431</v>
      </c>
      <c r="J266" s="648">
        <v>69.599999999999994</v>
      </c>
      <c r="L266">
        <v>0</v>
      </c>
      <c r="M266" t="s">
        <v>4414</v>
      </c>
      <c r="N266" t="s">
        <v>4432</v>
      </c>
      <c r="P266" t="s">
        <v>4416</v>
      </c>
      <c r="S266" s="64">
        <f t="shared" si="5"/>
        <v>0.27</v>
      </c>
      <c r="U266">
        <v>0</v>
      </c>
      <c r="V266">
        <v>7.0000000000000007E-2</v>
      </c>
      <c r="W266">
        <v>0.2</v>
      </c>
      <c r="X266" s="56" t="str">
        <f>GHGFY207[[#This Row],[Data Source (scope 1)]]</f>
        <v>NGER (Measurement) Determination 2008 2019versions pg 319 - Part 3 Fuel combustion - 51</v>
      </c>
      <c r="Y266" s="65" t="s">
        <v>4416</v>
      </c>
      <c r="AB266" s="3">
        <f>(S266-GHGFY207[[#This Row],[Scope 1 Emission factor]])/GHGFY207[[#This Row],[Scope 1 Emission factor]]</f>
        <v>-0.99612068965517242</v>
      </c>
      <c r="AC266" s="3" t="e">
        <f>(T266-GHGFY207[[#This Row],[Scope 2 Emission factor]])/GHGFY207[[#This Row],[Scope 2 Emission factor]]</f>
        <v>#DIV/0!</v>
      </c>
      <c r="AD266" s="3" t="e">
        <f>(U266-GHGFY207[[#This Row],[Scope 3 Emission factor]])/GHGFY207[[#This Row],[Scope 3 Emission factor]]</f>
        <v>#DIV/0!</v>
      </c>
    </row>
    <row r="267" spans="1:30" ht="29.1" hidden="1" customHeight="1">
      <c r="A267" t="s">
        <v>4245</v>
      </c>
      <c r="B267" t="s">
        <v>4229</v>
      </c>
      <c r="C267" t="s">
        <v>4412</v>
      </c>
      <c r="D267" t="s">
        <v>1216</v>
      </c>
      <c r="E267" t="s">
        <v>673</v>
      </c>
      <c r="F267">
        <v>1E-3</v>
      </c>
      <c r="G267" t="s">
        <v>4413</v>
      </c>
      <c r="H267">
        <v>23.4</v>
      </c>
      <c r="I267" t="s">
        <v>4431</v>
      </c>
      <c r="J267" s="648">
        <v>69.599999999999994</v>
      </c>
      <c r="L267">
        <v>0</v>
      </c>
      <c r="M267" t="s">
        <v>4414</v>
      </c>
      <c r="N267" t="s">
        <v>4432</v>
      </c>
      <c r="P267" t="s">
        <v>4416</v>
      </c>
      <c r="S267" s="64">
        <f t="shared" si="5"/>
        <v>0.27</v>
      </c>
      <c r="U267">
        <v>0</v>
      </c>
      <c r="V267">
        <v>7.0000000000000007E-2</v>
      </c>
      <c r="W267">
        <v>0.2</v>
      </c>
      <c r="X267" s="56" t="str">
        <f>GHGFY207[[#This Row],[Data Source (scope 1)]]</f>
        <v>NGER (Measurement) Determination 2008 2019versions pg 319 - Part 3 Fuel combustion - 51</v>
      </c>
      <c r="Y267" s="65" t="s">
        <v>4416</v>
      </c>
      <c r="AB267" s="3">
        <f>(S267-GHGFY207[[#This Row],[Scope 1 Emission factor]])/GHGFY207[[#This Row],[Scope 1 Emission factor]]</f>
        <v>-0.99612068965517242</v>
      </c>
      <c r="AC267" s="3" t="e">
        <f>(T267-GHGFY207[[#This Row],[Scope 2 Emission factor]])/GHGFY207[[#This Row],[Scope 2 Emission factor]]</f>
        <v>#DIV/0!</v>
      </c>
      <c r="AD267" s="3" t="e">
        <f>(U267-GHGFY207[[#This Row],[Scope 3 Emission factor]])/GHGFY207[[#This Row],[Scope 3 Emission factor]]</f>
        <v>#DIV/0!</v>
      </c>
    </row>
    <row r="268" spans="1:30" ht="29.1" hidden="1" customHeight="1">
      <c r="A268" t="s">
        <v>4246</v>
      </c>
      <c r="B268" t="s">
        <v>4229</v>
      </c>
      <c r="C268" t="s">
        <v>4412</v>
      </c>
      <c r="D268" t="s">
        <v>1193</v>
      </c>
      <c r="E268" t="s">
        <v>673</v>
      </c>
      <c r="F268">
        <v>1E-3</v>
      </c>
      <c r="G268" t="s">
        <v>4413</v>
      </c>
      <c r="H268">
        <v>23.4</v>
      </c>
      <c r="I268" t="s">
        <v>4431</v>
      </c>
      <c r="J268" s="648">
        <v>69.599999999999994</v>
      </c>
      <c r="L268">
        <v>0</v>
      </c>
      <c r="M268" t="s">
        <v>4414</v>
      </c>
      <c r="N268" t="s">
        <v>4432</v>
      </c>
      <c r="P268" t="s">
        <v>4416</v>
      </c>
      <c r="S268" s="64">
        <f t="shared" si="5"/>
        <v>0.27</v>
      </c>
      <c r="U268">
        <v>0</v>
      </c>
      <c r="V268">
        <v>7.0000000000000007E-2</v>
      </c>
      <c r="W268">
        <v>0.2</v>
      </c>
      <c r="X268" s="56" t="str">
        <f>GHGFY207[[#This Row],[Data Source (scope 1)]]</f>
        <v>NGER (Measurement) Determination 2008 2019versions pg 319 - Part 3 Fuel combustion - 51</v>
      </c>
      <c r="Y268" s="65" t="s">
        <v>4416</v>
      </c>
      <c r="AB268" s="3">
        <f>(S268-GHGFY207[[#This Row],[Scope 1 Emission factor]])/GHGFY207[[#This Row],[Scope 1 Emission factor]]</f>
        <v>-0.99612068965517242</v>
      </c>
      <c r="AC268" s="3" t="e">
        <f>(T268-GHGFY207[[#This Row],[Scope 2 Emission factor]])/GHGFY207[[#This Row],[Scope 2 Emission factor]]</f>
        <v>#DIV/0!</v>
      </c>
      <c r="AD268" s="3" t="e">
        <f>(U268-GHGFY207[[#This Row],[Scope 3 Emission factor]])/GHGFY207[[#This Row],[Scope 3 Emission factor]]</f>
        <v>#DIV/0!</v>
      </c>
    </row>
    <row r="269" spans="1:30" ht="29.1" hidden="1" customHeight="1">
      <c r="A269" t="s">
        <v>4247</v>
      </c>
      <c r="B269" t="s">
        <v>4229</v>
      </c>
      <c r="C269" t="s">
        <v>4412</v>
      </c>
      <c r="D269" t="s">
        <v>1213</v>
      </c>
      <c r="E269" t="s">
        <v>673</v>
      </c>
      <c r="F269">
        <v>1E-3</v>
      </c>
      <c r="G269" t="s">
        <v>4413</v>
      </c>
      <c r="H269">
        <v>23.4</v>
      </c>
      <c r="I269" t="s">
        <v>4431</v>
      </c>
      <c r="J269" s="648">
        <v>69.599999999999994</v>
      </c>
      <c r="L269">
        <v>0</v>
      </c>
      <c r="M269" t="s">
        <v>4414</v>
      </c>
      <c r="N269" t="s">
        <v>4432</v>
      </c>
      <c r="P269" t="s">
        <v>4416</v>
      </c>
      <c r="S269" s="64">
        <f t="shared" si="5"/>
        <v>0.27</v>
      </c>
      <c r="U269">
        <v>0</v>
      </c>
      <c r="V269">
        <v>7.0000000000000007E-2</v>
      </c>
      <c r="W269">
        <v>0.2</v>
      </c>
      <c r="X269" s="56" t="str">
        <f>GHGFY207[[#This Row],[Data Source (scope 1)]]</f>
        <v>NGER (Measurement) Determination 2008 2019versions pg 319 - Part 3 Fuel combustion - 51</v>
      </c>
      <c r="Y269" s="65" t="s">
        <v>4416</v>
      </c>
      <c r="AB269" s="3">
        <f>(S269-GHGFY207[[#This Row],[Scope 1 Emission factor]])/GHGFY207[[#This Row],[Scope 1 Emission factor]]</f>
        <v>-0.99612068965517242</v>
      </c>
      <c r="AC269" s="3" t="e">
        <f>(T269-GHGFY207[[#This Row],[Scope 2 Emission factor]])/GHGFY207[[#This Row],[Scope 2 Emission factor]]</f>
        <v>#DIV/0!</v>
      </c>
      <c r="AD269" s="3" t="e">
        <f>(U269-GHGFY207[[#This Row],[Scope 3 Emission factor]])/GHGFY207[[#This Row],[Scope 3 Emission factor]]</f>
        <v>#DIV/0!</v>
      </c>
    </row>
    <row r="270" spans="1:30" ht="29.1" hidden="1" customHeight="1">
      <c r="A270" t="s">
        <v>4248</v>
      </c>
      <c r="B270" t="s">
        <v>4229</v>
      </c>
      <c r="C270" t="s">
        <v>4412</v>
      </c>
      <c r="D270" t="s">
        <v>1208</v>
      </c>
      <c r="E270" t="s">
        <v>673</v>
      </c>
      <c r="F270">
        <v>1E-3</v>
      </c>
      <c r="G270" t="s">
        <v>4413</v>
      </c>
      <c r="H270">
        <v>23.4</v>
      </c>
      <c r="I270" t="s">
        <v>4431</v>
      </c>
      <c r="J270" s="648">
        <v>69.599999999999994</v>
      </c>
      <c r="L270">
        <v>0</v>
      </c>
      <c r="M270" t="s">
        <v>4414</v>
      </c>
      <c r="N270" t="s">
        <v>4432</v>
      </c>
      <c r="P270" t="s">
        <v>4416</v>
      </c>
      <c r="S270" s="64">
        <f t="shared" si="5"/>
        <v>0.27</v>
      </c>
      <c r="U270">
        <v>0</v>
      </c>
      <c r="V270">
        <v>7.0000000000000007E-2</v>
      </c>
      <c r="W270">
        <v>0.2</v>
      </c>
      <c r="X270" s="56" t="str">
        <f>GHGFY207[[#This Row],[Data Source (scope 1)]]</f>
        <v>NGER (Measurement) Determination 2008 2019versions pg 319 - Part 3 Fuel combustion - 51</v>
      </c>
      <c r="Y270" s="65" t="s">
        <v>4416</v>
      </c>
      <c r="AB270" s="3">
        <f>(S270-GHGFY207[[#This Row],[Scope 1 Emission factor]])/GHGFY207[[#This Row],[Scope 1 Emission factor]]</f>
        <v>-0.99612068965517242</v>
      </c>
      <c r="AC270" s="3" t="e">
        <f>(T270-GHGFY207[[#This Row],[Scope 2 Emission factor]])/GHGFY207[[#This Row],[Scope 2 Emission factor]]</f>
        <v>#DIV/0!</v>
      </c>
      <c r="AD270" s="3" t="e">
        <f>(U270-GHGFY207[[#This Row],[Scope 3 Emission factor]])/GHGFY207[[#This Row],[Scope 3 Emission factor]]</f>
        <v>#DIV/0!</v>
      </c>
    </row>
    <row r="271" spans="1:30" ht="29.1" hidden="1" customHeight="1">
      <c r="A271" t="s">
        <v>1031</v>
      </c>
      <c r="B271" t="s">
        <v>4249</v>
      </c>
      <c r="C271" t="s">
        <v>4412</v>
      </c>
      <c r="D271" t="s">
        <v>1190</v>
      </c>
      <c r="E271" t="s">
        <v>673</v>
      </c>
      <c r="F271">
        <v>1E-3</v>
      </c>
      <c r="G271" t="s">
        <v>4413</v>
      </c>
      <c r="H271">
        <v>38.6</v>
      </c>
      <c r="I271" t="s">
        <v>1140</v>
      </c>
      <c r="J271" s="647">
        <v>69.599999999999994</v>
      </c>
      <c r="L271">
        <v>3.6</v>
      </c>
      <c r="M271" t="s">
        <v>4414</v>
      </c>
      <c r="N271" t="s">
        <v>4415</v>
      </c>
      <c r="P271" s="65" t="s">
        <v>4416</v>
      </c>
      <c r="S271" s="64">
        <f t="shared" si="5"/>
        <v>70.2</v>
      </c>
      <c r="U271" s="5">
        <v>69.900000000000006</v>
      </c>
      <c r="V271" s="5">
        <v>0.1</v>
      </c>
      <c r="W271" s="5">
        <v>0.2</v>
      </c>
      <c r="X271" s="56" t="str">
        <f>GHGFY207[[#This Row],[Data Source (scope 1)]]</f>
        <v>NGER (Measurement) Determination 2008 2019versions pg 318 - Part 3 Fuel combustion - 40</v>
      </c>
      <c r="Y271" s="65" t="s">
        <v>4416</v>
      </c>
      <c r="AB271" s="3"/>
      <c r="AC271" s="3" t="e">
        <f>(T271-GHGFY207[[#This Row],[Scope 2 Emission factor]])/GHGFY207[[#This Row],[Scope 2 Emission factor]]</f>
        <v>#DIV/0!</v>
      </c>
      <c r="AD271" s="3">
        <f>(U271-GHGFY207[[#This Row],[Scope 3 Emission factor]])/GHGFY207[[#This Row],[Scope 3 Emission factor]]</f>
        <v>18.416666666666668</v>
      </c>
    </row>
    <row r="272" spans="1:30" ht="29.1" hidden="1" customHeight="1">
      <c r="A272" t="s">
        <v>1034</v>
      </c>
      <c r="B272" t="s">
        <v>4249</v>
      </c>
      <c r="C272" t="s">
        <v>4412</v>
      </c>
      <c r="D272" t="s">
        <v>1192</v>
      </c>
      <c r="E272" t="s">
        <v>673</v>
      </c>
      <c r="F272">
        <v>1E-3</v>
      </c>
      <c r="G272" t="s">
        <v>4413</v>
      </c>
      <c r="H272">
        <v>38.6</v>
      </c>
      <c r="I272" t="s">
        <v>1140</v>
      </c>
      <c r="J272" s="647">
        <v>69.599999999999994</v>
      </c>
      <c r="L272">
        <v>3.6</v>
      </c>
      <c r="M272" t="s">
        <v>4414</v>
      </c>
      <c r="N272" t="s">
        <v>4415</v>
      </c>
      <c r="P272" s="65" t="s">
        <v>4416</v>
      </c>
      <c r="S272" s="64">
        <f t="shared" si="5"/>
        <v>70.2</v>
      </c>
      <c r="U272" s="5">
        <v>69.900000000000006</v>
      </c>
      <c r="V272" s="5">
        <v>0.1</v>
      </c>
      <c r="W272" s="5">
        <v>0.2</v>
      </c>
      <c r="X272" s="56" t="str">
        <f>GHGFY207[[#This Row],[Data Source (scope 1)]]</f>
        <v>NGER (Measurement) Determination 2008 2019versions pg 318 - Part 3 Fuel combustion - 40</v>
      </c>
      <c r="Y272" s="65" t="s">
        <v>4416</v>
      </c>
      <c r="AB272" s="3"/>
      <c r="AC272" s="3" t="e">
        <f>(T272-GHGFY207[[#This Row],[Scope 2 Emission factor]])/GHGFY207[[#This Row],[Scope 2 Emission factor]]</f>
        <v>#DIV/0!</v>
      </c>
      <c r="AD272" s="3">
        <f>(U272-GHGFY207[[#This Row],[Scope 3 Emission factor]])/GHGFY207[[#This Row],[Scope 3 Emission factor]]</f>
        <v>18.416666666666668</v>
      </c>
    </row>
    <row r="273" spans="1:30" ht="29.1" hidden="1" customHeight="1">
      <c r="A273" t="s">
        <v>1033</v>
      </c>
      <c r="B273" t="s">
        <v>4249</v>
      </c>
      <c r="C273" t="s">
        <v>4412</v>
      </c>
      <c r="D273" t="s">
        <v>1190</v>
      </c>
      <c r="E273" t="s">
        <v>673</v>
      </c>
      <c r="F273">
        <v>1E-3</v>
      </c>
      <c r="G273" t="s">
        <v>4413</v>
      </c>
      <c r="H273">
        <v>34.200000000000003</v>
      </c>
      <c r="I273" t="s">
        <v>1140</v>
      </c>
      <c r="J273" s="647">
        <v>69.599999999999994</v>
      </c>
      <c r="L273">
        <v>3.6</v>
      </c>
      <c r="M273" t="s">
        <v>4414</v>
      </c>
      <c r="N273" t="s">
        <v>4419</v>
      </c>
      <c r="P273" s="65" t="s">
        <v>4416</v>
      </c>
      <c r="S273" s="64"/>
      <c r="U273" s="5"/>
      <c r="V273" s="5"/>
      <c r="W273" s="5"/>
      <c r="X273" s="56" t="str">
        <f>GHGFY207[[#This Row],[Data Source (scope 1)]]</f>
        <v>NGER (Measurement) Determination 2008 2019versions pg 318 - Part 3 Fuel combustion - 35</v>
      </c>
      <c r="Y273" s="65"/>
      <c r="AB273" s="3"/>
      <c r="AC273" s="3"/>
      <c r="AD273" s="3"/>
    </row>
    <row r="274" spans="1:30" ht="29.1" hidden="1" customHeight="1">
      <c r="A274" t="s">
        <v>1037</v>
      </c>
      <c r="B274" t="s">
        <v>4249</v>
      </c>
      <c r="C274" t="s">
        <v>4412</v>
      </c>
      <c r="D274" t="s">
        <v>1192</v>
      </c>
      <c r="E274" t="s">
        <v>673</v>
      </c>
      <c r="F274">
        <v>1E-3</v>
      </c>
      <c r="G274" t="s">
        <v>4413</v>
      </c>
      <c r="H274">
        <v>34.200000000000003</v>
      </c>
      <c r="I274" t="s">
        <v>1140</v>
      </c>
      <c r="J274" s="647">
        <v>69.599999999999994</v>
      </c>
      <c r="L274">
        <v>3.6</v>
      </c>
      <c r="M274" t="s">
        <v>4414</v>
      </c>
      <c r="N274" t="s">
        <v>4419</v>
      </c>
      <c r="P274" s="65" t="s">
        <v>4416</v>
      </c>
      <c r="S274" s="64">
        <f t="shared" si="5"/>
        <v>67.800000000000011</v>
      </c>
      <c r="U274">
        <v>67.400000000000006</v>
      </c>
      <c r="V274">
        <v>0.2</v>
      </c>
      <c r="W274">
        <v>0.2</v>
      </c>
      <c r="X274" s="56" t="str">
        <f>GHGFY207[[#This Row],[Data Source (scope 1)]]</f>
        <v>NGER (Measurement) Determination 2008 2019versions pg 318 - Part 3 Fuel combustion - 35</v>
      </c>
      <c r="Y274" s="65" t="s">
        <v>4416</v>
      </c>
      <c r="AB274" s="3"/>
      <c r="AC274" s="3" t="e">
        <f>(T274-GHGFY207[[#This Row],[Scope 2 Emission factor]])/GHGFY207[[#This Row],[Scope 2 Emission factor]]</f>
        <v>#DIV/0!</v>
      </c>
      <c r="AD274" s="3">
        <f>(U274-GHGFY207[[#This Row],[Scope 3 Emission factor]])/GHGFY207[[#This Row],[Scope 3 Emission factor]]</f>
        <v>17.722222222222221</v>
      </c>
    </row>
    <row r="275" spans="1:30" ht="29.1" hidden="1" customHeight="1">
      <c r="A275" t="s">
        <v>1035</v>
      </c>
      <c r="B275" t="s">
        <v>4249</v>
      </c>
      <c r="C275" t="s">
        <v>4412</v>
      </c>
      <c r="D275" t="s">
        <v>1192</v>
      </c>
      <c r="E275" t="s">
        <v>673</v>
      </c>
      <c r="F275">
        <v>1E-3</v>
      </c>
      <c r="G275" t="s">
        <v>4413</v>
      </c>
      <c r="H275">
        <v>23.4</v>
      </c>
      <c r="I275" t="s">
        <v>4431</v>
      </c>
      <c r="J275" s="648">
        <v>69.599999999999994</v>
      </c>
      <c r="L275">
        <v>0</v>
      </c>
      <c r="M275" t="s">
        <v>4414</v>
      </c>
      <c r="N275" t="s">
        <v>4432</v>
      </c>
      <c r="P275" s="65" t="s">
        <v>4416</v>
      </c>
      <c r="S275" s="64">
        <f t="shared" si="5"/>
        <v>0.27</v>
      </c>
      <c r="U275">
        <v>0</v>
      </c>
      <c r="V275">
        <v>7.0000000000000007E-2</v>
      </c>
      <c r="W275">
        <v>0.2</v>
      </c>
      <c r="X275" s="56" t="str">
        <f>GHGFY207[[#This Row],[Data Source (scope 1)]]</f>
        <v>NGER (Measurement) Determination 2008 2019versions pg 319 - Part 3 Fuel combustion - 51</v>
      </c>
      <c r="Y275" s="65" t="s">
        <v>4416</v>
      </c>
      <c r="AB275" s="3"/>
      <c r="AC275" s="3" t="e">
        <f>(T275-GHGFY207[[#This Row],[Scope 2 Emission factor]])/GHGFY207[[#This Row],[Scope 2 Emission factor]]</f>
        <v>#DIV/0!</v>
      </c>
      <c r="AD275" s="3" t="e">
        <f>(U275-GHGFY207[[#This Row],[Scope 3 Emission factor]])/GHGFY207[[#This Row],[Scope 3 Emission factor]]</f>
        <v>#DIV/0!</v>
      </c>
    </row>
    <row r="276" spans="1:30" ht="29.1" hidden="1" customHeight="1">
      <c r="A276" t="s">
        <v>1038</v>
      </c>
      <c r="B276" t="s">
        <v>4249</v>
      </c>
      <c r="C276" t="s">
        <v>4412</v>
      </c>
      <c r="D276" t="s">
        <v>1208</v>
      </c>
      <c r="E276" t="s">
        <v>673</v>
      </c>
      <c r="F276">
        <v>1E-3</v>
      </c>
      <c r="G276" t="s">
        <v>4413</v>
      </c>
      <c r="H276">
        <v>38.6</v>
      </c>
      <c r="I276" t="s">
        <v>1140</v>
      </c>
      <c r="J276" s="647">
        <v>69.599999999999994</v>
      </c>
      <c r="L276">
        <v>3.6</v>
      </c>
      <c r="M276" t="s">
        <v>4414</v>
      </c>
      <c r="N276" t="s">
        <v>4415</v>
      </c>
      <c r="P276" s="65" t="s">
        <v>4416</v>
      </c>
      <c r="S276" s="64">
        <f t="shared" si="5"/>
        <v>70.2</v>
      </c>
      <c r="U276" s="5">
        <v>69.900000000000006</v>
      </c>
      <c r="V276" s="5">
        <v>0.1</v>
      </c>
      <c r="W276" s="5">
        <v>0.2</v>
      </c>
      <c r="X276" s="56" t="str">
        <f>GHGFY207[[#This Row],[Data Source (scope 1)]]</f>
        <v>NGER (Measurement) Determination 2008 2019versions pg 318 - Part 3 Fuel combustion - 40</v>
      </c>
      <c r="Y276" s="65" t="s">
        <v>4416</v>
      </c>
      <c r="AB276" s="3"/>
      <c r="AC276" s="3" t="e">
        <f>(T276-GHGFY207[[#This Row],[Scope 2 Emission factor]])/GHGFY207[[#This Row],[Scope 2 Emission factor]]</f>
        <v>#DIV/0!</v>
      </c>
      <c r="AD276" s="3">
        <f>(U276-GHGFY207[[#This Row],[Scope 3 Emission factor]])/GHGFY207[[#This Row],[Scope 3 Emission factor]]</f>
        <v>18.416666666666668</v>
      </c>
    </row>
    <row r="277" spans="1:30" ht="29.1" hidden="1" customHeight="1">
      <c r="A277" t="s">
        <v>1041</v>
      </c>
      <c r="B277" t="s">
        <v>4249</v>
      </c>
      <c r="C277" t="s">
        <v>4412</v>
      </c>
      <c r="D277" t="s">
        <v>1210</v>
      </c>
      <c r="E277" t="s">
        <v>673</v>
      </c>
      <c r="F277">
        <v>1E-3</v>
      </c>
      <c r="G277" t="s">
        <v>4413</v>
      </c>
      <c r="H277">
        <v>38.6</v>
      </c>
      <c r="I277" t="s">
        <v>1140</v>
      </c>
      <c r="J277" s="647">
        <v>69.599999999999994</v>
      </c>
      <c r="L277">
        <v>3.6</v>
      </c>
      <c r="M277" t="s">
        <v>4414</v>
      </c>
      <c r="N277" t="s">
        <v>4415</v>
      </c>
      <c r="P277" s="65" t="s">
        <v>4416</v>
      </c>
      <c r="S277" s="64">
        <f t="shared" si="5"/>
        <v>70.2</v>
      </c>
      <c r="U277" s="5">
        <v>69.900000000000006</v>
      </c>
      <c r="V277" s="5">
        <v>0.1</v>
      </c>
      <c r="W277" s="5">
        <v>0.2</v>
      </c>
      <c r="X277" s="56" t="str">
        <f>GHGFY207[[#This Row],[Data Source (scope 1)]]</f>
        <v>NGER (Measurement) Determination 2008 2019versions pg 318 - Part 3 Fuel combustion - 40</v>
      </c>
      <c r="Y277" s="65" t="s">
        <v>4416</v>
      </c>
      <c r="AB277" s="3"/>
      <c r="AC277" s="3" t="e">
        <f>(T277-GHGFY207[[#This Row],[Scope 2 Emission factor]])/GHGFY207[[#This Row],[Scope 2 Emission factor]]</f>
        <v>#DIV/0!</v>
      </c>
      <c r="AD277" s="3">
        <f>(U277-GHGFY207[[#This Row],[Scope 3 Emission factor]])/GHGFY207[[#This Row],[Scope 3 Emission factor]]</f>
        <v>18.416666666666668</v>
      </c>
    </row>
    <row r="278" spans="1:30" ht="29.1" hidden="1" customHeight="1">
      <c r="A278" t="s">
        <v>1040</v>
      </c>
      <c r="B278" t="s">
        <v>4249</v>
      </c>
      <c r="C278" t="s">
        <v>4412</v>
      </c>
      <c r="D278" t="s">
        <v>1208</v>
      </c>
      <c r="E278" t="s">
        <v>673</v>
      </c>
      <c r="F278">
        <v>1E-3</v>
      </c>
      <c r="G278" t="s">
        <v>4413</v>
      </c>
      <c r="H278">
        <v>34.200000000000003</v>
      </c>
      <c r="I278" t="s">
        <v>1140</v>
      </c>
      <c r="J278" s="647">
        <v>69.599999999999994</v>
      </c>
      <c r="L278">
        <v>3.6</v>
      </c>
      <c r="M278" t="s">
        <v>4414</v>
      </c>
      <c r="N278" t="s">
        <v>4419</v>
      </c>
      <c r="P278" s="65" t="s">
        <v>4416</v>
      </c>
      <c r="S278" s="64"/>
      <c r="U278" s="5"/>
      <c r="V278" s="5"/>
      <c r="W278" s="5"/>
      <c r="X278" s="56" t="str">
        <f>GHGFY207[[#This Row],[Data Source (scope 1)]]</f>
        <v>NGER (Measurement) Determination 2008 2019versions pg 318 - Part 3 Fuel combustion - 35</v>
      </c>
      <c r="Y278" s="65"/>
      <c r="AB278" s="3"/>
      <c r="AC278" s="3"/>
      <c r="AD278" s="3"/>
    </row>
    <row r="279" spans="1:30" ht="29.1" hidden="1" customHeight="1">
      <c r="A279" t="s">
        <v>1044</v>
      </c>
      <c r="B279" t="s">
        <v>4249</v>
      </c>
      <c r="C279" t="s">
        <v>4412</v>
      </c>
      <c r="D279" t="s">
        <v>1210</v>
      </c>
      <c r="E279" t="s">
        <v>673</v>
      </c>
      <c r="F279">
        <v>1E-3</v>
      </c>
      <c r="G279" t="s">
        <v>4413</v>
      </c>
      <c r="H279">
        <v>34.200000000000003</v>
      </c>
      <c r="I279" t="s">
        <v>1140</v>
      </c>
      <c r="J279" s="647">
        <v>69.599999999999994</v>
      </c>
      <c r="L279">
        <v>3.6</v>
      </c>
      <c r="M279" t="s">
        <v>4414</v>
      </c>
      <c r="N279" t="s">
        <v>4419</v>
      </c>
      <c r="P279" s="65" t="s">
        <v>4416</v>
      </c>
      <c r="S279" s="64">
        <f t="shared" si="5"/>
        <v>67.800000000000011</v>
      </c>
      <c r="U279">
        <v>67.400000000000006</v>
      </c>
      <c r="V279">
        <v>0.2</v>
      </c>
      <c r="W279">
        <v>0.2</v>
      </c>
      <c r="X279" s="56" t="str">
        <f>GHGFY207[[#This Row],[Data Source (scope 1)]]</f>
        <v>NGER (Measurement) Determination 2008 2019versions pg 318 - Part 3 Fuel combustion - 35</v>
      </c>
      <c r="Y279" s="65" t="s">
        <v>4416</v>
      </c>
      <c r="AB279" s="3"/>
      <c r="AC279" s="3" t="e">
        <f>(T279-GHGFY207[[#This Row],[Scope 2 Emission factor]])/GHGFY207[[#This Row],[Scope 2 Emission factor]]</f>
        <v>#DIV/0!</v>
      </c>
      <c r="AD279" s="3">
        <f>(U279-GHGFY207[[#This Row],[Scope 3 Emission factor]])/GHGFY207[[#This Row],[Scope 3 Emission factor]]</f>
        <v>17.722222222222221</v>
      </c>
    </row>
    <row r="280" spans="1:30" ht="29.1" hidden="1" customHeight="1">
      <c r="A280" t="s">
        <v>1032</v>
      </c>
      <c r="B280" t="s">
        <v>4249</v>
      </c>
      <c r="C280" t="s">
        <v>4412</v>
      </c>
      <c r="D280" t="s">
        <v>1190</v>
      </c>
      <c r="E280" t="s">
        <v>673</v>
      </c>
      <c r="F280">
        <v>1E-3</v>
      </c>
      <c r="G280" t="s">
        <v>4413</v>
      </c>
      <c r="H280">
        <v>25.7</v>
      </c>
      <c r="I280" t="s">
        <v>1140</v>
      </c>
      <c r="J280" s="647">
        <v>69.599999999999994</v>
      </c>
      <c r="L280">
        <v>3.6</v>
      </c>
      <c r="M280" t="s">
        <v>4414</v>
      </c>
      <c r="N280" t="s">
        <v>4418</v>
      </c>
      <c r="P280" s="65" t="s">
        <v>4416</v>
      </c>
      <c r="S280" s="64"/>
      <c r="X280" s="56" t="str">
        <f>GHGFY207[[#This Row],[Data Source (scope 1)]]</f>
        <v>NGER (Measurement) Determination 2008 2019versions pg 318 - Part 3 Fuel combustion - 44</v>
      </c>
      <c r="Y280" s="65"/>
      <c r="AB280" s="3"/>
      <c r="AC280" s="3"/>
      <c r="AD280" s="3"/>
    </row>
    <row r="281" spans="1:30" ht="29.1" hidden="1" customHeight="1">
      <c r="A281" t="s">
        <v>1036</v>
      </c>
      <c r="B281" t="s">
        <v>4249</v>
      </c>
      <c r="C281" t="s">
        <v>4412</v>
      </c>
      <c r="D281" t="s">
        <v>1192</v>
      </c>
      <c r="E281" t="s">
        <v>673</v>
      </c>
      <c r="F281">
        <v>1E-3</v>
      </c>
      <c r="G281" t="s">
        <v>4413</v>
      </c>
      <c r="H281">
        <v>25.7</v>
      </c>
      <c r="I281" t="s">
        <v>1140</v>
      </c>
      <c r="J281" s="647">
        <v>69.599999999999994</v>
      </c>
      <c r="L281">
        <v>3.6</v>
      </c>
      <c r="M281" t="s">
        <v>4414</v>
      </c>
      <c r="N281" t="s">
        <v>4418</v>
      </c>
      <c r="P281" s="65" t="s">
        <v>4416</v>
      </c>
      <c r="S281" s="64"/>
      <c r="X281" s="56" t="str">
        <f>GHGFY207[[#This Row],[Data Source (scope 1)]]</f>
        <v>NGER (Measurement) Determination 2008 2019versions pg 318 - Part 3 Fuel combustion - 44</v>
      </c>
      <c r="Y281" s="65"/>
      <c r="AB281" s="3"/>
      <c r="AC281" s="3"/>
      <c r="AD281" s="3"/>
    </row>
    <row r="282" spans="1:30" ht="29.1" hidden="1" customHeight="1">
      <c r="A282" t="s">
        <v>1039</v>
      </c>
      <c r="B282" t="s">
        <v>4249</v>
      </c>
      <c r="C282" t="s">
        <v>4412</v>
      </c>
      <c r="D282" t="s">
        <v>1208</v>
      </c>
      <c r="E282" t="s">
        <v>673</v>
      </c>
      <c r="F282">
        <v>1E-3</v>
      </c>
      <c r="G282" t="s">
        <v>4413</v>
      </c>
      <c r="H282">
        <v>25.7</v>
      </c>
      <c r="I282" t="s">
        <v>1140</v>
      </c>
      <c r="J282" s="647">
        <v>69.599999999999994</v>
      </c>
      <c r="L282">
        <v>3.6</v>
      </c>
      <c r="M282" t="s">
        <v>4414</v>
      </c>
      <c r="N282" t="s">
        <v>4418</v>
      </c>
      <c r="P282" s="65" t="s">
        <v>4416</v>
      </c>
      <c r="S282" s="64"/>
      <c r="X282" s="56" t="str">
        <f>GHGFY207[[#This Row],[Data Source (scope 1)]]</f>
        <v>NGER (Measurement) Determination 2008 2019versions pg 318 - Part 3 Fuel combustion - 44</v>
      </c>
      <c r="Y282" s="65"/>
      <c r="AB282" s="3"/>
      <c r="AC282" s="3"/>
      <c r="AD282" s="3"/>
    </row>
    <row r="283" spans="1:30" ht="29.1" hidden="1" customHeight="1">
      <c r="A283" t="s">
        <v>1043</v>
      </c>
      <c r="B283" t="s">
        <v>4249</v>
      </c>
      <c r="C283" t="s">
        <v>4412</v>
      </c>
      <c r="D283" t="s">
        <v>1210</v>
      </c>
      <c r="E283" t="s">
        <v>673</v>
      </c>
      <c r="F283">
        <v>1E-3</v>
      </c>
      <c r="G283" t="s">
        <v>4413</v>
      </c>
      <c r="H283">
        <v>25.7</v>
      </c>
      <c r="I283" t="s">
        <v>1140</v>
      </c>
      <c r="J283" s="647">
        <v>69.599999999999994</v>
      </c>
      <c r="L283">
        <v>3.6</v>
      </c>
      <c r="M283" t="s">
        <v>4414</v>
      </c>
      <c r="N283" t="s">
        <v>4418</v>
      </c>
      <c r="P283" s="65" t="s">
        <v>4416</v>
      </c>
      <c r="S283" s="64"/>
      <c r="X283" s="56" t="str">
        <f>GHGFY207[[#This Row],[Data Source (scope 1)]]</f>
        <v>NGER (Measurement) Determination 2008 2019versions pg 318 - Part 3 Fuel combustion - 44</v>
      </c>
      <c r="Y283" s="65"/>
      <c r="AB283" s="3"/>
      <c r="AC283" s="3"/>
      <c r="AD283" s="3"/>
    </row>
    <row r="284" spans="1:30" ht="29.1" hidden="1" customHeight="1">
      <c r="A284" t="s">
        <v>1046</v>
      </c>
      <c r="B284" t="s">
        <v>4249</v>
      </c>
      <c r="C284" t="s">
        <v>4412</v>
      </c>
      <c r="D284" t="s">
        <v>1193</v>
      </c>
      <c r="E284" t="s">
        <v>673</v>
      </c>
      <c r="F284">
        <v>1E-3</v>
      </c>
      <c r="G284" t="s">
        <v>4413</v>
      </c>
      <c r="H284">
        <v>25.7</v>
      </c>
      <c r="I284" t="s">
        <v>1140</v>
      </c>
      <c r="J284" s="647">
        <v>69.599999999999994</v>
      </c>
      <c r="L284">
        <v>3.6</v>
      </c>
      <c r="M284" t="s">
        <v>4414</v>
      </c>
      <c r="N284" t="s">
        <v>4418</v>
      </c>
      <c r="P284" s="65" t="s">
        <v>4416</v>
      </c>
      <c r="S284" s="64"/>
      <c r="X284" s="56" t="str">
        <f>GHGFY207[[#This Row],[Data Source (scope 1)]]</f>
        <v>NGER (Measurement) Determination 2008 2019versions pg 318 - Part 3 Fuel combustion - 44</v>
      </c>
      <c r="Y284" s="65"/>
      <c r="AB284" s="3"/>
      <c r="AC284" s="3"/>
      <c r="AD284" s="3"/>
    </row>
    <row r="285" spans="1:30" ht="29.1" hidden="1" customHeight="1">
      <c r="A285" t="s">
        <v>1049</v>
      </c>
      <c r="B285" t="s">
        <v>4249</v>
      </c>
      <c r="C285" t="s">
        <v>4412</v>
      </c>
      <c r="D285" t="s">
        <v>1213</v>
      </c>
      <c r="E285" t="s">
        <v>673</v>
      </c>
      <c r="F285">
        <v>1E-3</v>
      </c>
      <c r="G285" t="s">
        <v>4413</v>
      </c>
      <c r="H285">
        <v>25.7</v>
      </c>
      <c r="I285" t="s">
        <v>1140</v>
      </c>
      <c r="J285" s="647">
        <v>69.599999999999994</v>
      </c>
      <c r="L285">
        <v>3.6</v>
      </c>
      <c r="M285" t="s">
        <v>4414</v>
      </c>
      <c r="N285" t="s">
        <v>4418</v>
      </c>
      <c r="P285" s="65" t="s">
        <v>4416</v>
      </c>
      <c r="S285" s="64"/>
      <c r="X285" s="56" t="str">
        <f>GHGFY207[[#This Row],[Data Source (scope 1)]]</f>
        <v>NGER (Measurement) Determination 2008 2019versions pg 318 - Part 3 Fuel combustion - 44</v>
      </c>
      <c r="Y285" s="65"/>
      <c r="AB285" s="3"/>
      <c r="AC285" s="3"/>
      <c r="AD285" s="3"/>
    </row>
    <row r="286" spans="1:30" ht="29.1" hidden="1" customHeight="1">
      <c r="A286" t="s">
        <v>1052</v>
      </c>
      <c r="B286" t="s">
        <v>4249</v>
      </c>
      <c r="C286" t="s">
        <v>4412</v>
      </c>
      <c r="D286" t="s">
        <v>1189</v>
      </c>
      <c r="E286" t="s">
        <v>673</v>
      </c>
      <c r="F286">
        <v>1E-3</v>
      </c>
      <c r="G286" t="s">
        <v>4413</v>
      </c>
      <c r="H286">
        <v>25.7</v>
      </c>
      <c r="I286" t="s">
        <v>1140</v>
      </c>
      <c r="J286" s="647">
        <v>69.599999999999994</v>
      </c>
      <c r="L286">
        <v>3.6</v>
      </c>
      <c r="M286" t="s">
        <v>4414</v>
      </c>
      <c r="N286" t="s">
        <v>4418</v>
      </c>
      <c r="P286" s="65" t="s">
        <v>4416</v>
      </c>
      <c r="S286" s="64"/>
      <c r="X286" s="56" t="str">
        <f>GHGFY207[[#This Row],[Data Source (scope 1)]]</f>
        <v>NGER (Measurement) Determination 2008 2019versions pg 318 - Part 3 Fuel combustion - 44</v>
      </c>
      <c r="Y286" s="65"/>
      <c r="AB286" s="3"/>
      <c r="AC286" s="3"/>
      <c r="AD286" s="3"/>
    </row>
    <row r="287" spans="1:30" ht="29.1" hidden="1" customHeight="1">
      <c r="A287" t="s">
        <v>1055</v>
      </c>
      <c r="B287" t="s">
        <v>4249</v>
      </c>
      <c r="C287" t="s">
        <v>4412</v>
      </c>
      <c r="D287" t="s">
        <v>1216</v>
      </c>
      <c r="E287" t="s">
        <v>673</v>
      </c>
      <c r="F287">
        <v>1E-3</v>
      </c>
      <c r="G287" t="s">
        <v>4413</v>
      </c>
      <c r="H287">
        <v>25.7</v>
      </c>
      <c r="I287" t="s">
        <v>1140</v>
      </c>
      <c r="J287" s="647">
        <v>69.599999999999994</v>
      </c>
      <c r="L287">
        <v>3.6</v>
      </c>
      <c r="M287" t="s">
        <v>4414</v>
      </c>
      <c r="N287" t="s">
        <v>4418</v>
      </c>
      <c r="P287" s="65" t="s">
        <v>4416</v>
      </c>
      <c r="S287" s="64">
        <f t="shared" si="5"/>
        <v>60.600000000000009</v>
      </c>
      <c r="U287">
        <v>60.2</v>
      </c>
      <c r="V287">
        <v>0.2</v>
      </c>
      <c r="W287">
        <v>0.2</v>
      </c>
      <c r="X287" s="56" t="str">
        <f>GHGFY207[[#This Row],[Data Source (scope 1)]]</f>
        <v>NGER (Measurement) Determination 2008 2019versions pg 318 - Part 3 Fuel combustion - 44</v>
      </c>
      <c r="Y287" s="65" t="s">
        <v>4416</v>
      </c>
      <c r="AB287" s="3"/>
      <c r="AC287" s="3" t="e">
        <f>(T287-GHGFY207[[#This Row],[Scope 2 Emission factor]])/GHGFY207[[#This Row],[Scope 2 Emission factor]]</f>
        <v>#DIV/0!</v>
      </c>
      <c r="AD287" s="3">
        <f>(U287-GHGFY207[[#This Row],[Scope 3 Emission factor]])/GHGFY207[[#This Row],[Scope 3 Emission factor]]</f>
        <v>15.722222222222221</v>
      </c>
    </row>
    <row r="288" spans="1:30" ht="29.1" hidden="1" customHeight="1">
      <c r="A288" t="s">
        <v>1042</v>
      </c>
      <c r="B288" t="s">
        <v>4249</v>
      </c>
      <c r="C288" t="s">
        <v>4412</v>
      </c>
      <c r="D288" t="s">
        <v>1210</v>
      </c>
      <c r="E288" t="s">
        <v>673</v>
      </c>
      <c r="F288">
        <v>1E-3</v>
      </c>
      <c r="G288" t="s">
        <v>4413</v>
      </c>
      <c r="H288">
        <v>23.4</v>
      </c>
      <c r="I288" t="s">
        <v>4431</v>
      </c>
      <c r="J288" s="648">
        <v>69.599999999999994</v>
      </c>
      <c r="L288">
        <v>0</v>
      </c>
      <c r="M288" t="s">
        <v>4414</v>
      </c>
      <c r="N288" t="s">
        <v>4432</v>
      </c>
      <c r="P288" s="65" t="s">
        <v>4416</v>
      </c>
      <c r="S288" s="64">
        <f t="shared" si="5"/>
        <v>0.27</v>
      </c>
      <c r="U288">
        <v>0</v>
      </c>
      <c r="V288">
        <v>7.0000000000000007E-2</v>
      </c>
      <c r="W288">
        <v>0.2</v>
      </c>
      <c r="X288" s="56" t="str">
        <f>GHGFY207[[#This Row],[Data Source (scope 1)]]</f>
        <v>NGER (Measurement) Determination 2008 2019versions pg 319 - Part 3 Fuel combustion - 51</v>
      </c>
      <c r="Y288" s="65" t="s">
        <v>4416</v>
      </c>
      <c r="AB288" s="3"/>
      <c r="AC288" s="3" t="e">
        <f>(T288-GHGFY207[[#This Row],[Scope 2 Emission factor]])/GHGFY207[[#This Row],[Scope 2 Emission factor]]</f>
        <v>#DIV/0!</v>
      </c>
      <c r="AD288" s="3" t="e">
        <f>(U288-GHGFY207[[#This Row],[Scope 3 Emission factor]])/GHGFY207[[#This Row],[Scope 3 Emission factor]]</f>
        <v>#DIV/0!</v>
      </c>
    </row>
    <row r="289" spans="1:30" ht="29.1" hidden="1" customHeight="1">
      <c r="A289" t="s">
        <v>1045</v>
      </c>
      <c r="B289" t="s">
        <v>4249</v>
      </c>
      <c r="C289" t="s">
        <v>4412</v>
      </c>
      <c r="D289" t="s">
        <v>1193</v>
      </c>
      <c r="E289" t="s">
        <v>673</v>
      </c>
      <c r="F289">
        <v>1E-3</v>
      </c>
      <c r="G289" t="s">
        <v>4413</v>
      </c>
      <c r="H289">
        <v>38.6</v>
      </c>
      <c r="I289" t="s">
        <v>1140</v>
      </c>
      <c r="J289" s="647">
        <v>69.599999999999994</v>
      </c>
      <c r="L289">
        <v>3.6</v>
      </c>
      <c r="M289" t="s">
        <v>4414</v>
      </c>
      <c r="N289" t="s">
        <v>4415</v>
      </c>
      <c r="P289" s="65" t="s">
        <v>4416</v>
      </c>
      <c r="S289" s="64">
        <f t="shared" si="5"/>
        <v>70.2</v>
      </c>
      <c r="U289" s="5">
        <v>69.900000000000006</v>
      </c>
      <c r="V289" s="5">
        <v>0.1</v>
      </c>
      <c r="W289" s="5">
        <v>0.2</v>
      </c>
      <c r="X289" s="56" t="str">
        <f>GHGFY207[[#This Row],[Data Source (scope 1)]]</f>
        <v>NGER (Measurement) Determination 2008 2019versions pg 318 - Part 3 Fuel combustion - 40</v>
      </c>
      <c r="Y289" s="65" t="s">
        <v>4416</v>
      </c>
      <c r="AB289" s="3"/>
      <c r="AC289" s="3" t="e">
        <f>(T289-GHGFY207[[#This Row],[Scope 2 Emission factor]])/GHGFY207[[#This Row],[Scope 2 Emission factor]]</f>
        <v>#DIV/0!</v>
      </c>
      <c r="AD289" s="3">
        <f>(U289-GHGFY207[[#This Row],[Scope 3 Emission factor]])/GHGFY207[[#This Row],[Scope 3 Emission factor]]</f>
        <v>18.416666666666668</v>
      </c>
    </row>
    <row r="290" spans="1:30" ht="29.1" hidden="1" customHeight="1">
      <c r="A290" t="s">
        <v>1047</v>
      </c>
      <c r="B290" t="s">
        <v>4249</v>
      </c>
      <c r="C290" t="s">
        <v>4412</v>
      </c>
      <c r="D290" t="s">
        <v>1193</v>
      </c>
      <c r="E290" t="s">
        <v>673</v>
      </c>
      <c r="F290">
        <v>1E-3</v>
      </c>
      <c r="G290" t="s">
        <v>4413</v>
      </c>
      <c r="H290">
        <v>34.200000000000003</v>
      </c>
      <c r="I290" t="s">
        <v>1140</v>
      </c>
      <c r="J290" s="647">
        <v>69.599999999999994</v>
      </c>
      <c r="L290">
        <v>3.6</v>
      </c>
      <c r="M290" t="s">
        <v>4414</v>
      </c>
      <c r="N290" t="s">
        <v>4419</v>
      </c>
      <c r="P290" s="65" t="s">
        <v>4416</v>
      </c>
      <c r="S290" s="64">
        <f t="shared" si="5"/>
        <v>67.800000000000011</v>
      </c>
      <c r="U290">
        <v>67.400000000000006</v>
      </c>
      <c r="V290">
        <v>0.2</v>
      </c>
      <c r="W290">
        <v>0.2</v>
      </c>
      <c r="X290" s="56" t="str">
        <f>GHGFY207[[#This Row],[Data Source (scope 1)]]</f>
        <v>NGER (Measurement) Determination 2008 2019versions pg 318 - Part 3 Fuel combustion - 35</v>
      </c>
      <c r="Y290" s="65" t="s">
        <v>4416</v>
      </c>
      <c r="AB290" s="3"/>
      <c r="AC290" s="3" t="e">
        <f>(T290-GHGFY207[[#This Row],[Scope 2 Emission factor]])/GHGFY207[[#This Row],[Scope 2 Emission factor]]</f>
        <v>#DIV/0!</v>
      </c>
      <c r="AD290" s="3">
        <f>(U290-GHGFY207[[#This Row],[Scope 3 Emission factor]])/GHGFY207[[#This Row],[Scope 3 Emission factor]]</f>
        <v>17.722222222222221</v>
      </c>
    </row>
    <row r="291" spans="1:30" ht="29.1" hidden="1" customHeight="1">
      <c r="A291" t="s">
        <v>1048</v>
      </c>
      <c r="B291" t="s">
        <v>4249</v>
      </c>
      <c r="C291" t="s">
        <v>4412</v>
      </c>
      <c r="D291" t="s">
        <v>1213</v>
      </c>
      <c r="E291" t="s">
        <v>673</v>
      </c>
      <c r="F291">
        <v>1E-3</v>
      </c>
      <c r="G291" t="s">
        <v>4413</v>
      </c>
      <c r="H291">
        <v>38.6</v>
      </c>
      <c r="I291" t="s">
        <v>1140</v>
      </c>
      <c r="J291" s="647">
        <v>69.599999999999994</v>
      </c>
      <c r="L291">
        <v>3.6</v>
      </c>
      <c r="M291" t="s">
        <v>4414</v>
      </c>
      <c r="N291" t="s">
        <v>4415</v>
      </c>
      <c r="P291" s="65" t="s">
        <v>4416</v>
      </c>
      <c r="S291" s="64">
        <f t="shared" si="5"/>
        <v>70.2</v>
      </c>
      <c r="U291" s="5">
        <v>69.900000000000006</v>
      </c>
      <c r="V291" s="5">
        <v>0.1</v>
      </c>
      <c r="W291" s="5">
        <v>0.2</v>
      </c>
      <c r="X291" s="56" t="str">
        <f>GHGFY207[[#This Row],[Data Source (scope 1)]]</f>
        <v>NGER (Measurement) Determination 2008 2019versions pg 318 - Part 3 Fuel combustion - 40</v>
      </c>
      <c r="Y291" s="65" t="s">
        <v>4416</v>
      </c>
      <c r="AB291" s="3"/>
      <c r="AC291" s="3" t="e">
        <f>(T291-GHGFY207[[#This Row],[Scope 2 Emission factor]])/GHGFY207[[#This Row],[Scope 2 Emission factor]]</f>
        <v>#DIV/0!</v>
      </c>
      <c r="AD291" s="3">
        <f>(U291-GHGFY207[[#This Row],[Scope 3 Emission factor]])/GHGFY207[[#This Row],[Scope 3 Emission factor]]</f>
        <v>18.416666666666668</v>
      </c>
    </row>
    <row r="292" spans="1:30" ht="29.1" hidden="1" customHeight="1">
      <c r="A292" t="s">
        <v>1051</v>
      </c>
      <c r="B292" t="s">
        <v>4249</v>
      </c>
      <c r="C292" t="s">
        <v>4412</v>
      </c>
      <c r="D292" t="s">
        <v>1189</v>
      </c>
      <c r="E292" t="s">
        <v>673</v>
      </c>
      <c r="F292">
        <v>1E-3</v>
      </c>
      <c r="G292" t="s">
        <v>4413</v>
      </c>
      <c r="H292">
        <v>38.6</v>
      </c>
      <c r="I292" t="s">
        <v>1140</v>
      </c>
      <c r="J292" s="647">
        <v>69.599999999999994</v>
      </c>
      <c r="L292">
        <v>3.6</v>
      </c>
      <c r="M292" t="s">
        <v>4414</v>
      </c>
      <c r="N292" t="s">
        <v>4415</v>
      </c>
      <c r="P292" s="65" t="s">
        <v>4416</v>
      </c>
      <c r="S292" s="64">
        <f t="shared" si="5"/>
        <v>70.2</v>
      </c>
      <c r="U292" s="5">
        <v>69.900000000000006</v>
      </c>
      <c r="V292" s="5">
        <v>0.1</v>
      </c>
      <c r="W292" s="5">
        <v>0.2</v>
      </c>
      <c r="X292" s="56" t="str">
        <f>GHGFY207[[#This Row],[Data Source (scope 1)]]</f>
        <v>NGER (Measurement) Determination 2008 2019versions pg 318 - Part 3 Fuel combustion - 40</v>
      </c>
      <c r="Y292" s="65" t="s">
        <v>4416</v>
      </c>
      <c r="AB292" s="3"/>
      <c r="AC292" s="3" t="e">
        <f>(T292-GHGFY207[[#This Row],[Scope 2 Emission factor]])/GHGFY207[[#This Row],[Scope 2 Emission factor]]</f>
        <v>#DIV/0!</v>
      </c>
      <c r="AD292" s="3">
        <f>(U292-GHGFY207[[#This Row],[Scope 3 Emission factor]])/GHGFY207[[#This Row],[Scope 3 Emission factor]]</f>
        <v>18.416666666666668</v>
      </c>
    </row>
    <row r="293" spans="1:30" ht="29.1" hidden="1" customHeight="1">
      <c r="A293" t="s">
        <v>1050</v>
      </c>
      <c r="B293" t="s">
        <v>4249</v>
      </c>
      <c r="C293" t="s">
        <v>4412</v>
      </c>
      <c r="D293" t="s">
        <v>1213</v>
      </c>
      <c r="E293" t="s">
        <v>673</v>
      </c>
      <c r="F293">
        <v>1E-3</v>
      </c>
      <c r="G293" t="s">
        <v>4413</v>
      </c>
      <c r="H293">
        <v>34.200000000000003</v>
      </c>
      <c r="I293" t="s">
        <v>1140</v>
      </c>
      <c r="J293" s="647">
        <v>69.599999999999994</v>
      </c>
      <c r="L293">
        <v>3.6</v>
      </c>
      <c r="M293" t="s">
        <v>4414</v>
      </c>
      <c r="N293" t="s">
        <v>4419</v>
      </c>
      <c r="P293" s="65" t="s">
        <v>4416</v>
      </c>
      <c r="S293" s="64"/>
      <c r="U293" s="5"/>
      <c r="V293" s="5"/>
      <c r="W293" s="5"/>
      <c r="X293" s="56" t="str">
        <f>GHGFY207[[#This Row],[Data Source (scope 1)]]</f>
        <v>NGER (Measurement) Determination 2008 2019versions pg 318 - Part 3 Fuel combustion - 35</v>
      </c>
      <c r="Y293" s="65"/>
      <c r="AB293" s="3"/>
      <c r="AC293" s="3"/>
      <c r="AD293" s="3"/>
    </row>
    <row r="294" spans="1:30" ht="29.1" hidden="1" customHeight="1">
      <c r="A294" t="s">
        <v>1053</v>
      </c>
      <c r="B294" t="s">
        <v>4249</v>
      </c>
      <c r="C294" t="s">
        <v>4412</v>
      </c>
      <c r="D294" t="s">
        <v>1189</v>
      </c>
      <c r="E294" t="s">
        <v>673</v>
      </c>
      <c r="F294">
        <v>1E-3</v>
      </c>
      <c r="G294" t="s">
        <v>4413</v>
      </c>
      <c r="H294">
        <v>34.200000000000003</v>
      </c>
      <c r="I294" t="s">
        <v>1140</v>
      </c>
      <c r="J294" s="647">
        <v>69.599999999999994</v>
      </c>
      <c r="L294">
        <v>3.6</v>
      </c>
      <c r="M294" t="s">
        <v>4414</v>
      </c>
      <c r="N294" t="s">
        <v>4419</v>
      </c>
      <c r="P294" s="65" t="s">
        <v>4416</v>
      </c>
      <c r="S294" s="64">
        <f t="shared" si="5"/>
        <v>67.800000000000011</v>
      </c>
      <c r="U294">
        <v>67.400000000000006</v>
      </c>
      <c r="V294">
        <v>0.2</v>
      </c>
      <c r="W294">
        <v>0.2</v>
      </c>
      <c r="X294" s="56" t="str">
        <f>GHGFY207[[#This Row],[Data Source (scope 1)]]</f>
        <v>NGER (Measurement) Determination 2008 2019versions pg 318 - Part 3 Fuel combustion - 35</v>
      </c>
      <c r="Y294" s="65" t="s">
        <v>4416</v>
      </c>
      <c r="AB294" s="3"/>
      <c r="AC294" s="3" t="e">
        <f>(T294-GHGFY207[[#This Row],[Scope 2 Emission factor]])/GHGFY207[[#This Row],[Scope 2 Emission factor]]</f>
        <v>#DIV/0!</v>
      </c>
      <c r="AD294" s="3">
        <f>(U294-GHGFY207[[#This Row],[Scope 3 Emission factor]])/GHGFY207[[#This Row],[Scope 3 Emission factor]]</f>
        <v>17.722222222222221</v>
      </c>
    </row>
    <row r="295" spans="1:30" ht="29.1" hidden="1" customHeight="1">
      <c r="A295" t="s">
        <v>1054</v>
      </c>
      <c r="B295" t="s">
        <v>4249</v>
      </c>
      <c r="C295" t="s">
        <v>4412</v>
      </c>
      <c r="D295" t="s">
        <v>1216</v>
      </c>
      <c r="E295" t="s">
        <v>673</v>
      </c>
      <c r="F295">
        <v>1E-3</v>
      </c>
      <c r="G295" t="s">
        <v>4413</v>
      </c>
      <c r="H295">
        <v>38.6</v>
      </c>
      <c r="I295" t="s">
        <v>1140</v>
      </c>
      <c r="J295" s="647">
        <v>69.599999999999994</v>
      </c>
      <c r="L295">
        <v>3.6</v>
      </c>
      <c r="M295" t="s">
        <v>4414</v>
      </c>
      <c r="N295" t="s">
        <v>4415</v>
      </c>
      <c r="P295" s="65" t="s">
        <v>4416</v>
      </c>
      <c r="S295" s="64">
        <f t="shared" si="5"/>
        <v>70.2</v>
      </c>
      <c r="U295" s="5">
        <v>69.900000000000006</v>
      </c>
      <c r="V295" s="5">
        <v>0.1</v>
      </c>
      <c r="W295" s="5">
        <v>0.2</v>
      </c>
      <c r="X295" s="56" t="str">
        <f>GHGFY207[[#This Row],[Data Source (scope 1)]]</f>
        <v>NGER (Measurement) Determination 2008 2019versions pg 318 - Part 3 Fuel combustion - 40</v>
      </c>
      <c r="Y295" s="65" t="s">
        <v>4416</v>
      </c>
      <c r="AB295" s="3"/>
      <c r="AC295" s="3" t="e">
        <f>(T295-GHGFY207[[#This Row],[Scope 2 Emission factor]])/GHGFY207[[#This Row],[Scope 2 Emission factor]]</f>
        <v>#DIV/0!</v>
      </c>
      <c r="AD295" s="3">
        <f>(U295-GHGFY207[[#This Row],[Scope 3 Emission factor]])/GHGFY207[[#This Row],[Scope 3 Emission factor]]</f>
        <v>18.416666666666668</v>
      </c>
    </row>
    <row r="296" spans="1:30" ht="29.1" hidden="1" customHeight="1">
      <c r="A296" t="s">
        <v>1056</v>
      </c>
      <c r="B296" t="s">
        <v>4249</v>
      </c>
      <c r="C296" t="s">
        <v>4412</v>
      </c>
      <c r="D296" t="s">
        <v>1216</v>
      </c>
      <c r="E296" t="s">
        <v>673</v>
      </c>
      <c r="F296">
        <v>1E-3</v>
      </c>
      <c r="G296" t="s">
        <v>4413</v>
      </c>
      <c r="H296">
        <v>34.200000000000003</v>
      </c>
      <c r="I296" t="s">
        <v>1140</v>
      </c>
      <c r="J296" s="647">
        <v>69.599999999999994</v>
      </c>
      <c r="L296">
        <v>3.6</v>
      </c>
      <c r="M296" t="s">
        <v>4414</v>
      </c>
      <c r="N296" t="s">
        <v>4419</v>
      </c>
      <c r="P296" s="65" t="s">
        <v>4416</v>
      </c>
      <c r="S296" s="64">
        <f t="shared" si="5"/>
        <v>67.800000000000011</v>
      </c>
      <c r="U296">
        <v>67.400000000000006</v>
      </c>
      <c r="V296">
        <v>0.2</v>
      </c>
      <c r="W296">
        <v>0.2</v>
      </c>
      <c r="X296" s="56" t="str">
        <f>GHGFY207[[#This Row],[Data Source (scope 1)]]</f>
        <v>NGER (Measurement) Determination 2008 2019versions pg 318 - Part 3 Fuel combustion - 35</v>
      </c>
      <c r="Y296" s="65" t="s">
        <v>4416</v>
      </c>
      <c r="AB296" s="3"/>
      <c r="AC296" s="3" t="e">
        <f>(T296-GHGFY207[[#This Row],[Scope 2 Emission factor]])/GHGFY207[[#This Row],[Scope 2 Emission factor]]</f>
        <v>#DIV/0!</v>
      </c>
      <c r="AD296" s="3">
        <f>(U296-GHGFY207[[#This Row],[Scope 3 Emission factor]])/GHGFY207[[#This Row],[Scope 3 Emission factor]]</f>
        <v>17.722222222222221</v>
      </c>
    </row>
    <row r="297" spans="1:30" ht="29.1" hidden="1" customHeight="1">
      <c r="A297" s="650" t="s">
        <v>1067</v>
      </c>
      <c r="B297" t="s">
        <v>4249</v>
      </c>
      <c r="C297" t="s">
        <v>4412</v>
      </c>
      <c r="D297" t="s">
        <v>1189</v>
      </c>
      <c r="E297" t="s">
        <v>673</v>
      </c>
      <c r="F297">
        <v>1E-3</v>
      </c>
      <c r="G297" t="s">
        <v>4413</v>
      </c>
      <c r="H297">
        <v>34.200000000000003</v>
      </c>
      <c r="I297" t="s">
        <v>1140</v>
      </c>
      <c r="J297" s="648">
        <v>69.599999999999994</v>
      </c>
      <c r="L297">
        <v>3.6</v>
      </c>
      <c r="M297" t="s">
        <v>4414</v>
      </c>
      <c r="N297" t="s">
        <v>4419</v>
      </c>
      <c r="P297" s="65" t="s">
        <v>4416</v>
      </c>
      <c r="S297" s="64"/>
      <c r="Y297" s="65"/>
      <c r="AB297" s="3"/>
      <c r="AC297" s="3"/>
      <c r="AD297" s="3"/>
    </row>
    <row r="298" spans="1:30" ht="29.1" hidden="1" customHeight="1">
      <c r="A298" t="s">
        <v>4250</v>
      </c>
      <c r="B298" t="s">
        <v>4249</v>
      </c>
      <c r="C298" t="s">
        <v>4424</v>
      </c>
      <c r="D298" t="s">
        <v>1190</v>
      </c>
      <c r="E298" t="s">
        <v>673</v>
      </c>
      <c r="F298">
        <v>1E-3</v>
      </c>
      <c r="G298" t="s">
        <v>4413</v>
      </c>
      <c r="H298">
        <v>34.200000000000003</v>
      </c>
      <c r="I298" t="s">
        <v>1140</v>
      </c>
      <c r="J298" s="648">
        <v>69.599999999999994</v>
      </c>
      <c r="L298">
        <v>3.6</v>
      </c>
      <c r="M298" t="s">
        <v>4414</v>
      </c>
      <c r="N298" t="s">
        <v>4426</v>
      </c>
      <c r="P298" t="s">
        <v>4416</v>
      </c>
      <c r="S298" s="64"/>
      <c r="X298" s="56" t="str">
        <f>GHGFY207[[#This Row],[Data Source (scope 1)]]</f>
        <v>NGER (Measurement) Determination 2008 2019versions pg 320 - Part 4 Fuel combustion - 53</v>
      </c>
      <c r="Y298" s="65"/>
      <c r="AB298" s="3"/>
      <c r="AC298" s="3"/>
      <c r="AD298" s="3"/>
    </row>
    <row r="299" spans="1:30" ht="29.1" hidden="1" customHeight="1">
      <c r="A299" t="s">
        <v>4251</v>
      </c>
      <c r="B299" t="s">
        <v>4249</v>
      </c>
      <c r="C299" t="s">
        <v>4424</v>
      </c>
      <c r="D299" t="s">
        <v>1192</v>
      </c>
      <c r="E299" t="s">
        <v>673</v>
      </c>
      <c r="F299">
        <v>1E-3</v>
      </c>
      <c r="G299" t="s">
        <v>4413</v>
      </c>
      <c r="H299">
        <v>34.200000000000003</v>
      </c>
      <c r="I299" t="s">
        <v>1140</v>
      </c>
      <c r="J299" s="648">
        <v>69.599999999999994</v>
      </c>
      <c r="L299">
        <v>3.6</v>
      </c>
      <c r="M299" t="s">
        <v>4414</v>
      </c>
      <c r="N299" t="s">
        <v>4426</v>
      </c>
      <c r="P299" t="s">
        <v>4416</v>
      </c>
      <c r="S299" s="64"/>
      <c r="X299" s="56" t="str">
        <f>GHGFY207[[#This Row],[Data Source (scope 1)]]</f>
        <v>NGER (Measurement) Determination 2008 2019versions pg 320 - Part 4 Fuel combustion - 53</v>
      </c>
      <c r="Y299" s="65"/>
      <c r="AB299" s="3"/>
      <c r="AC299" s="3"/>
      <c r="AD299" s="3"/>
    </row>
    <row r="300" spans="1:30" ht="29.1" hidden="1" customHeight="1">
      <c r="A300" t="s">
        <v>4252</v>
      </c>
      <c r="B300" t="s">
        <v>4249</v>
      </c>
      <c r="C300" t="s">
        <v>4424</v>
      </c>
      <c r="D300" t="s">
        <v>1208</v>
      </c>
      <c r="E300" t="s">
        <v>673</v>
      </c>
      <c r="F300">
        <v>1E-3</v>
      </c>
      <c r="G300" t="s">
        <v>4413</v>
      </c>
      <c r="H300">
        <v>34.200000000000003</v>
      </c>
      <c r="I300" t="s">
        <v>1140</v>
      </c>
      <c r="J300" s="648">
        <v>69.599999999999994</v>
      </c>
      <c r="L300">
        <v>3.6</v>
      </c>
      <c r="M300" t="s">
        <v>4414</v>
      </c>
      <c r="N300" t="s">
        <v>4426</v>
      </c>
      <c r="P300" t="s">
        <v>4416</v>
      </c>
      <c r="S300" s="64"/>
      <c r="X300" s="56" t="str">
        <f>GHGFY207[[#This Row],[Data Source (scope 1)]]</f>
        <v>NGER (Measurement) Determination 2008 2019versions pg 320 - Part 4 Fuel combustion - 53</v>
      </c>
      <c r="Y300" s="65"/>
      <c r="AB300" s="3"/>
      <c r="AC300" s="3"/>
      <c r="AD300" s="3"/>
    </row>
    <row r="301" spans="1:30" ht="29.1" hidden="1" customHeight="1">
      <c r="A301" t="s">
        <v>4253</v>
      </c>
      <c r="B301" t="s">
        <v>4249</v>
      </c>
      <c r="C301" t="s">
        <v>4424</v>
      </c>
      <c r="D301" t="s">
        <v>1210</v>
      </c>
      <c r="E301" t="s">
        <v>673</v>
      </c>
      <c r="F301">
        <v>1E-3</v>
      </c>
      <c r="G301" t="s">
        <v>4413</v>
      </c>
      <c r="H301">
        <v>34.200000000000003</v>
      </c>
      <c r="I301" t="s">
        <v>1140</v>
      </c>
      <c r="J301" s="648">
        <v>69.599999999999994</v>
      </c>
      <c r="L301">
        <v>3.6</v>
      </c>
      <c r="M301" t="s">
        <v>4414</v>
      </c>
      <c r="N301" t="s">
        <v>4426</v>
      </c>
      <c r="P301" t="s">
        <v>4416</v>
      </c>
      <c r="S301" s="64"/>
      <c r="X301" s="56" t="str">
        <f>GHGFY207[[#This Row],[Data Source (scope 1)]]</f>
        <v>NGER (Measurement) Determination 2008 2019versions pg 320 - Part 4 Fuel combustion - 53</v>
      </c>
      <c r="Y301" s="65"/>
      <c r="AB301" s="3"/>
      <c r="AC301" s="3"/>
      <c r="AD301" s="3"/>
    </row>
    <row r="302" spans="1:30" ht="29.1" hidden="1" customHeight="1">
      <c r="A302" t="s">
        <v>4254</v>
      </c>
      <c r="B302" t="s">
        <v>4249</v>
      </c>
      <c r="C302" t="s">
        <v>4424</v>
      </c>
      <c r="D302" t="s">
        <v>1193</v>
      </c>
      <c r="E302" t="s">
        <v>673</v>
      </c>
      <c r="F302">
        <v>1E-3</v>
      </c>
      <c r="G302" t="s">
        <v>4413</v>
      </c>
      <c r="H302">
        <v>34.200000000000003</v>
      </c>
      <c r="I302" t="s">
        <v>1140</v>
      </c>
      <c r="J302" s="648">
        <v>69.599999999999994</v>
      </c>
      <c r="L302">
        <v>3.6</v>
      </c>
      <c r="M302" t="s">
        <v>4414</v>
      </c>
      <c r="N302" t="s">
        <v>4426</v>
      </c>
      <c r="P302" t="s">
        <v>4416</v>
      </c>
      <c r="S302" s="64"/>
      <c r="X302" s="56" t="str">
        <f>GHGFY207[[#This Row],[Data Source (scope 1)]]</f>
        <v>NGER (Measurement) Determination 2008 2019versions pg 320 - Part 4 Fuel combustion - 53</v>
      </c>
      <c r="Y302" s="65"/>
      <c r="AB302" s="3"/>
      <c r="AC302" s="3"/>
      <c r="AD302" s="3"/>
    </row>
    <row r="303" spans="1:30" ht="29.1" hidden="1" customHeight="1">
      <c r="A303" t="s">
        <v>4255</v>
      </c>
      <c r="B303" t="s">
        <v>4249</v>
      </c>
      <c r="C303" t="s">
        <v>4424</v>
      </c>
      <c r="D303" t="s">
        <v>1213</v>
      </c>
      <c r="E303" t="s">
        <v>673</v>
      </c>
      <c r="F303">
        <v>1E-3</v>
      </c>
      <c r="G303" t="s">
        <v>4413</v>
      </c>
      <c r="H303">
        <v>34.200000000000003</v>
      </c>
      <c r="I303" t="s">
        <v>1140</v>
      </c>
      <c r="J303" s="648">
        <v>69.599999999999994</v>
      </c>
      <c r="L303">
        <v>3.6</v>
      </c>
      <c r="M303" t="s">
        <v>4414</v>
      </c>
      <c r="N303" t="s">
        <v>4426</v>
      </c>
      <c r="P303" t="s">
        <v>4416</v>
      </c>
      <c r="S303" s="64"/>
      <c r="X303" s="56" t="str">
        <f>GHGFY207[[#This Row],[Data Source (scope 1)]]</f>
        <v>NGER (Measurement) Determination 2008 2019versions pg 320 - Part 4 Fuel combustion - 53</v>
      </c>
      <c r="Y303" s="65"/>
      <c r="AB303" s="3"/>
      <c r="AC303" s="3"/>
      <c r="AD303" s="3"/>
    </row>
    <row r="304" spans="1:30" ht="29.1" hidden="1" customHeight="1">
      <c r="A304" t="s">
        <v>4256</v>
      </c>
      <c r="B304" t="s">
        <v>4249</v>
      </c>
      <c r="C304" t="s">
        <v>4424</v>
      </c>
      <c r="D304" t="s">
        <v>1189</v>
      </c>
      <c r="E304" t="s">
        <v>673</v>
      </c>
      <c r="F304">
        <v>1E-3</v>
      </c>
      <c r="G304" t="s">
        <v>4413</v>
      </c>
      <c r="H304">
        <v>34.200000000000003</v>
      </c>
      <c r="I304" t="s">
        <v>1140</v>
      </c>
      <c r="J304" s="648">
        <v>69.599999999999994</v>
      </c>
      <c r="L304">
        <v>3.6</v>
      </c>
      <c r="M304" t="s">
        <v>4414</v>
      </c>
      <c r="N304" t="s">
        <v>4426</v>
      </c>
      <c r="P304" t="s">
        <v>4416</v>
      </c>
      <c r="S304" s="64"/>
      <c r="X304" s="56" t="str">
        <f>GHGFY207[[#This Row],[Data Source (scope 1)]]</f>
        <v>NGER (Measurement) Determination 2008 2019versions pg 320 - Part 4 Fuel combustion - 53</v>
      </c>
      <c r="Y304" s="65"/>
      <c r="AB304" s="3"/>
      <c r="AC304" s="3"/>
      <c r="AD304" s="3"/>
    </row>
    <row r="305" spans="1:30" ht="29.1" hidden="1" customHeight="1">
      <c r="A305" t="s">
        <v>4257</v>
      </c>
      <c r="B305" t="s">
        <v>4249</v>
      </c>
      <c r="C305" t="s">
        <v>4424</v>
      </c>
      <c r="D305" t="s">
        <v>1216</v>
      </c>
      <c r="E305" t="s">
        <v>673</v>
      </c>
      <c r="F305">
        <v>1E-3</v>
      </c>
      <c r="G305" t="s">
        <v>4413</v>
      </c>
      <c r="H305">
        <v>34.200000000000003</v>
      </c>
      <c r="I305" t="s">
        <v>1140</v>
      </c>
      <c r="J305" s="648">
        <v>69.599999999999994</v>
      </c>
      <c r="L305">
        <v>3.6</v>
      </c>
      <c r="M305" t="s">
        <v>4414</v>
      </c>
      <c r="N305" t="s">
        <v>4426</v>
      </c>
      <c r="P305" t="s">
        <v>4416</v>
      </c>
      <c r="S305" s="64"/>
      <c r="X305" s="56" t="str">
        <f>GHGFY207[[#This Row],[Data Source (scope 1)]]</f>
        <v>NGER (Measurement) Determination 2008 2019versions pg 320 - Part 4 Fuel combustion - 53</v>
      </c>
      <c r="Y305" s="65"/>
      <c r="AB305" s="3"/>
      <c r="AC305" s="3"/>
      <c r="AD305" s="3"/>
    </row>
    <row r="306" spans="1:30" ht="29.1" hidden="1" customHeight="1">
      <c r="A306" t="s">
        <v>963</v>
      </c>
      <c r="B306" t="s">
        <v>1235</v>
      </c>
      <c r="C306" t="s">
        <v>4412</v>
      </c>
      <c r="D306" t="s">
        <v>1190</v>
      </c>
      <c r="E306" t="s">
        <v>673</v>
      </c>
      <c r="F306">
        <v>1E-3</v>
      </c>
      <c r="G306" t="s">
        <v>4413</v>
      </c>
      <c r="H306">
        <v>38.6</v>
      </c>
      <c r="I306" t="s">
        <v>1140</v>
      </c>
      <c r="J306" s="647">
        <v>70.2</v>
      </c>
      <c r="L306">
        <v>3.6</v>
      </c>
      <c r="M306" t="s">
        <v>4414</v>
      </c>
      <c r="N306" t="s">
        <v>4415</v>
      </c>
      <c r="P306" s="65" t="s">
        <v>4416</v>
      </c>
      <c r="R306" t="s">
        <v>4433</v>
      </c>
      <c r="S306" s="64">
        <f t="shared" ref="S306" si="6">SUM(U306:W306)</f>
        <v>70.2</v>
      </c>
      <c r="U306" s="5">
        <v>69.900000000000006</v>
      </c>
      <c r="V306" s="5">
        <v>0.1</v>
      </c>
      <c r="W306" s="5">
        <v>0.2</v>
      </c>
      <c r="X306" s="56" t="str">
        <f>GHGFY207[[#This Row],[Data Source (scope 1)]]</f>
        <v>NGER (Measurement) Determination 2008 2019versions pg 318 - Part 3 Fuel combustion - 40</v>
      </c>
      <c r="Y306" s="65" t="s">
        <v>4416</v>
      </c>
      <c r="AB306" s="3">
        <f>(S306-GHGFY207[[#This Row],[Scope 1 Emission factor]])/GHGFY207[[#This Row],[Scope 1 Emission factor]]</f>
        <v>0</v>
      </c>
      <c r="AC306" s="3" t="e">
        <f>(T306-GHGFY207[[#This Row],[Scope 2 Emission factor]])/GHGFY207[[#This Row],[Scope 2 Emission factor]]</f>
        <v>#DIV/0!</v>
      </c>
      <c r="AD306" s="3">
        <f>(U306-GHGFY207[[#This Row],[Scope 3 Emission factor]])/GHGFY207[[#This Row],[Scope 3 Emission factor]]</f>
        <v>18.416666666666668</v>
      </c>
    </row>
    <row r="307" spans="1:30" ht="29.1" hidden="1" customHeight="1">
      <c r="A307" t="s">
        <v>964</v>
      </c>
      <c r="B307" t="s">
        <v>1235</v>
      </c>
      <c r="C307" t="s">
        <v>4412</v>
      </c>
      <c r="D307" t="s">
        <v>1192</v>
      </c>
      <c r="E307" t="s">
        <v>673</v>
      </c>
      <c r="F307">
        <v>1E-3</v>
      </c>
      <c r="G307" t="s">
        <v>4413</v>
      </c>
      <c r="H307">
        <v>38.6</v>
      </c>
      <c r="I307" t="s">
        <v>1140</v>
      </c>
      <c r="J307" s="647">
        <v>70.2</v>
      </c>
      <c r="L307">
        <v>3.6</v>
      </c>
      <c r="M307" t="s">
        <v>4414</v>
      </c>
      <c r="N307" t="s">
        <v>4415</v>
      </c>
      <c r="P307" s="65" t="s">
        <v>4416</v>
      </c>
      <c r="S307" s="64">
        <f t="shared" ref="S307:S340" si="7">SUM(U307:W307)</f>
        <v>70.2</v>
      </c>
      <c r="U307" s="5">
        <v>69.900000000000006</v>
      </c>
      <c r="V307" s="5">
        <v>0.1</v>
      </c>
      <c r="W307" s="5">
        <v>0.2</v>
      </c>
      <c r="X307" s="56" t="str">
        <f>GHGFY207[[#This Row],[Data Source (scope 1)]]</f>
        <v>NGER (Measurement) Determination 2008 2019versions pg 318 - Part 3 Fuel combustion - 40</v>
      </c>
      <c r="Y307" s="65" t="s">
        <v>4416</v>
      </c>
      <c r="AB307" s="3">
        <f>(S307-GHGFY207[[#This Row],[Scope 1 Emission factor]])/GHGFY207[[#This Row],[Scope 1 Emission factor]]</f>
        <v>0</v>
      </c>
      <c r="AC307" s="3" t="e">
        <f>(T307-GHGFY207[[#This Row],[Scope 2 Emission factor]])/GHGFY207[[#This Row],[Scope 2 Emission factor]]</f>
        <v>#DIV/0!</v>
      </c>
      <c r="AD307" s="3">
        <f>(U307-GHGFY207[[#This Row],[Scope 3 Emission factor]])/GHGFY207[[#This Row],[Scope 3 Emission factor]]</f>
        <v>18.416666666666668</v>
      </c>
    </row>
    <row r="308" spans="1:30" ht="29.1" hidden="1" customHeight="1">
      <c r="A308" t="s">
        <v>968</v>
      </c>
      <c r="B308" t="s">
        <v>1235</v>
      </c>
      <c r="C308" t="s">
        <v>4412</v>
      </c>
      <c r="D308" t="s">
        <v>1189</v>
      </c>
      <c r="E308" t="s">
        <v>673</v>
      </c>
      <c r="F308">
        <v>1E-3</v>
      </c>
      <c r="G308" t="s">
        <v>4413</v>
      </c>
      <c r="H308">
        <v>38.6</v>
      </c>
      <c r="I308" t="s">
        <v>1140</v>
      </c>
      <c r="J308" s="647">
        <v>70.2</v>
      </c>
      <c r="L308">
        <v>3.6</v>
      </c>
      <c r="M308" t="s">
        <v>4414</v>
      </c>
      <c r="N308" t="s">
        <v>4415</v>
      </c>
      <c r="P308" s="65" t="s">
        <v>4416</v>
      </c>
      <c r="S308" s="64">
        <f t="shared" si="7"/>
        <v>70.2</v>
      </c>
      <c r="U308" s="5">
        <v>69.900000000000006</v>
      </c>
      <c r="V308" s="5">
        <v>0.1</v>
      </c>
      <c r="W308" s="5">
        <v>0.2</v>
      </c>
      <c r="X308" s="56" t="str">
        <f>GHGFY207[[#This Row],[Data Source (scope 1)]]</f>
        <v>NGER (Measurement) Determination 2008 2019versions pg 318 - Part 3 Fuel combustion - 40</v>
      </c>
      <c r="Y308" s="65" t="s">
        <v>4416</v>
      </c>
      <c r="AB308" s="3">
        <f>(S308-GHGFY207[[#This Row],[Scope 1 Emission factor]])/GHGFY207[[#This Row],[Scope 1 Emission factor]]</f>
        <v>0</v>
      </c>
      <c r="AC308" s="3" t="e">
        <f>(T308-GHGFY207[[#This Row],[Scope 2 Emission factor]])/GHGFY207[[#This Row],[Scope 2 Emission factor]]</f>
        <v>#DIV/0!</v>
      </c>
      <c r="AD308" s="3">
        <f>(U308-GHGFY207[[#This Row],[Scope 3 Emission factor]])/GHGFY207[[#This Row],[Scope 3 Emission factor]]</f>
        <v>18.416666666666668</v>
      </c>
    </row>
    <row r="309" spans="1:30" ht="29.1" hidden="1" customHeight="1">
      <c r="A309" t="s">
        <v>966</v>
      </c>
      <c r="B309" t="s">
        <v>1235</v>
      </c>
      <c r="C309" t="s">
        <v>4412</v>
      </c>
      <c r="D309" t="s">
        <v>1210</v>
      </c>
      <c r="E309" t="s">
        <v>673</v>
      </c>
      <c r="F309">
        <v>1E-3</v>
      </c>
      <c r="G309" t="s">
        <v>4413</v>
      </c>
      <c r="H309">
        <v>38.6</v>
      </c>
      <c r="I309" t="s">
        <v>1140</v>
      </c>
      <c r="J309" s="647">
        <v>70.2</v>
      </c>
      <c r="L309">
        <v>3.6</v>
      </c>
      <c r="M309" t="s">
        <v>4414</v>
      </c>
      <c r="N309" t="s">
        <v>4415</v>
      </c>
      <c r="P309" s="65" t="s">
        <v>4416</v>
      </c>
      <c r="S309" s="64">
        <f t="shared" si="7"/>
        <v>70.2</v>
      </c>
      <c r="U309" s="5">
        <v>69.900000000000006</v>
      </c>
      <c r="V309" s="5">
        <v>0.1</v>
      </c>
      <c r="W309" s="5">
        <v>0.2</v>
      </c>
      <c r="X309" s="56" t="str">
        <f>GHGFY207[[#This Row],[Data Source (scope 1)]]</f>
        <v>NGER (Measurement) Determination 2008 2019versions pg 318 - Part 3 Fuel combustion - 40</v>
      </c>
      <c r="Y309" s="65" t="s">
        <v>4416</v>
      </c>
      <c r="AB309" s="3">
        <f>(S309-GHGFY207[[#This Row],[Scope 1 Emission factor]])/GHGFY207[[#This Row],[Scope 1 Emission factor]]</f>
        <v>0</v>
      </c>
      <c r="AC309" s="3" t="e">
        <f>(T309-GHGFY207[[#This Row],[Scope 2 Emission factor]])/GHGFY207[[#This Row],[Scope 2 Emission factor]]</f>
        <v>#DIV/0!</v>
      </c>
      <c r="AD309" s="3">
        <f>(U309-GHGFY207[[#This Row],[Scope 3 Emission factor]])/GHGFY207[[#This Row],[Scope 3 Emission factor]]</f>
        <v>18.416666666666668</v>
      </c>
    </row>
    <row r="310" spans="1:30" ht="29.1" hidden="1" customHeight="1">
      <c r="A310" t="s">
        <v>969</v>
      </c>
      <c r="B310" t="s">
        <v>1235</v>
      </c>
      <c r="C310" t="s">
        <v>4412</v>
      </c>
      <c r="D310" t="s">
        <v>1216</v>
      </c>
      <c r="E310" t="s">
        <v>673</v>
      </c>
      <c r="F310">
        <v>1E-3</v>
      </c>
      <c r="G310" t="s">
        <v>4413</v>
      </c>
      <c r="H310">
        <v>38.6</v>
      </c>
      <c r="I310" t="s">
        <v>1140</v>
      </c>
      <c r="J310" s="647">
        <v>70.2</v>
      </c>
      <c r="L310">
        <v>3.6</v>
      </c>
      <c r="M310" t="s">
        <v>4414</v>
      </c>
      <c r="N310" t="s">
        <v>4415</v>
      </c>
      <c r="P310" s="65" t="s">
        <v>4416</v>
      </c>
      <c r="S310" s="64">
        <f t="shared" si="7"/>
        <v>70.2</v>
      </c>
      <c r="U310" s="5">
        <v>69.900000000000006</v>
      </c>
      <c r="V310" s="5">
        <v>0.1</v>
      </c>
      <c r="W310" s="5">
        <v>0.2</v>
      </c>
      <c r="X310" s="56" t="str">
        <f>GHGFY207[[#This Row],[Data Source (scope 1)]]</f>
        <v>NGER (Measurement) Determination 2008 2019versions pg 318 - Part 3 Fuel combustion - 40</v>
      </c>
      <c r="Y310" s="65" t="s">
        <v>4416</v>
      </c>
      <c r="AB310" s="3">
        <f>(S310-GHGFY207[[#This Row],[Scope 1 Emission factor]])/GHGFY207[[#This Row],[Scope 1 Emission factor]]</f>
        <v>0</v>
      </c>
      <c r="AC310" s="3" t="e">
        <f>(T310-GHGFY207[[#This Row],[Scope 2 Emission factor]])/GHGFY207[[#This Row],[Scope 2 Emission factor]]</f>
        <v>#DIV/0!</v>
      </c>
      <c r="AD310" s="3">
        <f>(U310-GHGFY207[[#This Row],[Scope 3 Emission factor]])/GHGFY207[[#This Row],[Scope 3 Emission factor]]</f>
        <v>18.416666666666668</v>
      </c>
    </row>
    <row r="311" spans="1:30" ht="29.1" hidden="1" customHeight="1">
      <c r="A311" t="s">
        <v>967</v>
      </c>
      <c r="B311" t="s">
        <v>1235</v>
      </c>
      <c r="C311" t="s">
        <v>4412</v>
      </c>
      <c r="D311" t="s">
        <v>1193</v>
      </c>
      <c r="E311" t="s">
        <v>673</v>
      </c>
      <c r="F311">
        <v>1E-3</v>
      </c>
      <c r="G311" t="s">
        <v>4413</v>
      </c>
      <c r="H311">
        <v>38.6</v>
      </c>
      <c r="I311" t="s">
        <v>1140</v>
      </c>
      <c r="J311" s="647">
        <v>70.2</v>
      </c>
      <c r="L311">
        <v>3.6</v>
      </c>
      <c r="M311" t="s">
        <v>4414</v>
      </c>
      <c r="N311" t="s">
        <v>4415</v>
      </c>
      <c r="P311" s="65" t="s">
        <v>4416</v>
      </c>
      <c r="S311" s="64">
        <f t="shared" si="7"/>
        <v>70.2</v>
      </c>
      <c r="U311" s="5">
        <v>69.900000000000006</v>
      </c>
      <c r="V311" s="5">
        <v>0.1</v>
      </c>
      <c r="W311" s="5">
        <v>0.2</v>
      </c>
      <c r="X311" s="56" t="str">
        <f>GHGFY207[[#This Row],[Data Source (scope 1)]]</f>
        <v>NGER (Measurement) Determination 2008 2019versions pg 318 - Part 3 Fuel combustion - 40</v>
      </c>
      <c r="Y311" s="65" t="s">
        <v>4416</v>
      </c>
      <c r="AB311" s="3">
        <f>(S311-GHGFY207[[#This Row],[Scope 1 Emission factor]])/GHGFY207[[#This Row],[Scope 1 Emission factor]]</f>
        <v>0</v>
      </c>
      <c r="AC311" s="3" t="e">
        <f>(T311-GHGFY207[[#This Row],[Scope 2 Emission factor]])/GHGFY207[[#This Row],[Scope 2 Emission factor]]</f>
        <v>#DIV/0!</v>
      </c>
      <c r="AD311" s="3">
        <f>(U311-GHGFY207[[#This Row],[Scope 3 Emission factor]])/GHGFY207[[#This Row],[Scope 3 Emission factor]]</f>
        <v>18.416666666666668</v>
      </c>
    </row>
    <row r="312" spans="1:30" ht="29.1" hidden="1" customHeight="1">
      <c r="A312" t="s">
        <v>4258</v>
      </c>
      <c r="B312" t="s">
        <v>1235</v>
      </c>
      <c r="C312" t="s">
        <v>4412</v>
      </c>
      <c r="D312" t="s">
        <v>1213</v>
      </c>
      <c r="E312" t="s">
        <v>673</v>
      </c>
      <c r="F312">
        <v>1E-3</v>
      </c>
      <c r="G312" t="s">
        <v>4413</v>
      </c>
      <c r="H312">
        <v>38.6</v>
      </c>
      <c r="I312" t="s">
        <v>1140</v>
      </c>
      <c r="J312" s="647">
        <v>70.2</v>
      </c>
      <c r="L312">
        <v>3.6</v>
      </c>
      <c r="M312" t="s">
        <v>4414</v>
      </c>
      <c r="N312" t="s">
        <v>4415</v>
      </c>
      <c r="P312" s="65" t="s">
        <v>4416</v>
      </c>
      <c r="S312" s="64">
        <f t="shared" si="7"/>
        <v>70.2</v>
      </c>
      <c r="U312" s="5">
        <v>69.900000000000006</v>
      </c>
      <c r="V312" s="5">
        <v>0.1</v>
      </c>
      <c r="W312" s="5">
        <v>0.2</v>
      </c>
      <c r="X312" s="56" t="str">
        <f>GHGFY207[[#This Row],[Data Source (scope 1)]]</f>
        <v>NGER (Measurement) Determination 2008 2019versions pg 318 - Part 3 Fuel combustion - 40</v>
      </c>
      <c r="Y312" s="65" t="s">
        <v>4416</v>
      </c>
      <c r="AB312" s="3">
        <f>(S312-GHGFY207[[#This Row],[Scope 1 Emission factor]])/GHGFY207[[#This Row],[Scope 1 Emission factor]]</f>
        <v>0</v>
      </c>
      <c r="AC312" s="3" t="e">
        <f>(T312-GHGFY207[[#This Row],[Scope 2 Emission factor]])/GHGFY207[[#This Row],[Scope 2 Emission factor]]</f>
        <v>#DIV/0!</v>
      </c>
      <c r="AD312" s="3">
        <f>(U312-GHGFY207[[#This Row],[Scope 3 Emission factor]])/GHGFY207[[#This Row],[Scope 3 Emission factor]]</f>
        <v>18.416666666666668</v>
      </c>
    </row>
    <row r="313" spans="1:30" ht="29.1" hidden="1" customHeight="1">
      <c r="A313" t="s">
        <v>965</v>
      </c>
      <c r="B313" t="s">
        <v>1235</v>
      </c>
      <c r="C313" t="s">
        <v>4412</v>
      </c>
      <c r="D313" t="s">
        <v>1208</v>
      </c>
      <c r="E313" t="s">
        <v>673</v>
      </c>
      <c r="F313">
        <v>1E-3</v>
      </c>
      <c r="G313" t="s">
        <v>4413</v>
      </c>
      <c r="H313">
        <v>38.6</v>
      </c>
      <c r="I313" t="s">
        <v>1140</v>
      </c>
      <c r="J313" s="647">
        <v>70.2</v>
      </c>
      <c r="L313">
        <v>3.6</v>
      </c>
      <c r="M313" t="s">
        <v>4414</v>
      </c>
      <c r="N313" t="s">
        <v>4415</v>
      </c>
      <c r="P313" s="65" t="s">
        <v>4416</v>
      </c>
      <c r="S313" s="64">
        <f t="shared" si="7"/>
        <v>70.2</v>
      </c>
      <c r="U313" s="5">
        <v>69.900000000000006</v>
      </c>
      <c r="V313" s="5">
        <v>0.1</v>
      </c>
      <c r="W313" s="5">
        <v>0.2</v>
      </c>
      <c r="X313" s="56" t="str">
        <f>GHGFY207[[#This Row],[Data Source (scope 1)]]</f>
        <v>NGER (Measurement) Determination 2008 2019versions pg 318 - Part 3 Fuel combustion - 40</v>
      </c>
      <c r="Y313" s="65" t="s">
        <v>4416</v>
      </c>
      <c r="AB313" s="3">
        <f>(S313-GHGFY207[[#This Row],[Scope 1 Emission factor]])/GHGFY207[[#This Row],[Scope 1 Emission factor]]</f>
        <v>0</v>
      </c>
      <c r="AC313" s="3" t="e">
        <f>(T313-GHGFY207[[#This Row],[Scope 2 Emission factor]])/GHGFY207[[#This Row],[Scope 2 Emission factor]]</f>
        <v>#DIV/0!</v>
      </c>
      <c r="AD313" s="3">
        <f>(U313-GHGFY207[[#This Row],[Scope 3 Emission factor]])/GHGFY207[[#This Row],[Scope 3 Emission factor]]</f>
        <v>18.416666666666668</v>
      </c>
    </row>
    <row r="314" spans="1:30" ht="29.1" hidden="1" customHeight="1">
      <c r="A314" t="s">
        <v>4267</v>
      </c>
      <c r="B314" t="s">
        <v>1235</v>
      </c>
      <c r="C314" t="s">
        <v>4412</v>
      </c>
      <c r="D314" t="s">
        <v>1190</v>
      </c>
      <c r="E314" t="s">
        <v>673</v>
      </c>
      <c r="F314">
        <v>1E-3</v>
      </c>
      <c r="G314" t="s">
        <v>4413</v>
      </c>
      <c r="H314">
        <v>25.7</v>
      </c>
      <c r="I314" t="s">
        <v>1140</v>
      </c>
      <c r="J314" s="647">
        <v>60.600000000000009</v>
      </c>
      <c r="L314">
        <v>3.6</v>
      </c>
      <c r="M314" t="s">
        <v>4414</v>
      </c>
      <c r="N314" t="s">
        <v>4418</v>
      </c>
      <c r="P314" s="65" t="s">
        <v>4416</v>
      </c>
      <c r="S314" s="64">
        <f t="shared" si="7"/>
        <v>60.600000000000009</v>
      </c>
      <c r="U314">
        <v>60.2</v>
      </c>
      <c r="V314">
        <v>0.2</v>
      </c>
      <c r="W314">
        <v>0.2</v>
      </c>
      <c r="X314" s="56" t="str">
        <f>GHGFY207[[#This Row],[Data Source (scope 1)]]</f>
        <v>NGER (Measurement) Determination 2008 2019versions pg 318 - Part 3 Fuel combustion - 44</v>
      </c>
      <c r="Y314" s="65" t="s">
        <v>4416</v>
      </c>
      <c r="AB314" s="3">
        <f>(S314-GHGFY207[[#This Row],[Scope 1 Emission factor]])/GHGFY207[[#This Row],[Scope 1 Emission factor]]</f>
        <v>0</v>
      </c>
      <c r="AC314" s="3" t="e">
        <f>(T314-GHGFY207[[#This Row],[Scope 2 Emission factor]])/GHGFY207[[#This Row],[Scope 2 Emission factor]]</f>
        <v>#DIV/0!</v>
      </c>
      <c r="AD314" s="3">
        <f>(U314-GHGFY207[[#This Row],[Scope 3 Emission factor]])/GHGFY207[[#This Row],[Scope 3 Emission factor]]</f>
        <v>15.722222222222221</v>
      </c>
    </row>
    <row r="315" spans="1:30" ht="29.1" hidden="1" customHeight="1">
      <c r="A315" t="s">
        <v>4268</v>
      </c>
      <c r="B315" t="s">
        <v>1235</v>
      </c>
      <c r="C315" t="s">
        <v>4412</v>
      </c>
      <c r="D315" t="s">
        <v>1192</v>
      </c>
      <c r="E315" t="s">
        <v>673</v>
      </c>
      <c r="F315">
        <v>1E-3</v>
      </c>
      <c r="G315" t="s">
        <v>4413</v>
      </c>
      <c r="H315">
        <v>25.7</v>
      </c>
      <c r="I315" t="s">
        <v>1140</v>
      </c>
      <c r="J315" s="647">
        <v>60.600000000000009</v>
      </c>
      <c r="L315">
        <v>3.6</v>
      </c>
      <c r="M315" t="s">
        <v>4414</v>
      </c>
      <c r="N315" t="s">
        <v>4418</v>
      </c>
      <c r="P315" s="65" t="s">
        <v>4416</v>
      </c>
      <c r="S315" s="64">
        <f t="shared" si="7"/>
        <v>60.600000000000009</v>
      </c>
      <c r="U315">
        <v>60.2</v>
      </c>
      <c r="V315">
        <v>0.2</v>
      </c>
      <c r="W315">
        <v>0.2</v>
      </c>
      <c r="X315" s="56" t="str">
        <f>GHGFY207[[#This Row],[Data Source (scope 1)]]</f>
        <v>NGER (Measurement) Determination 2008 2019versions pg 318 - Part 3 Fuel combustion - 44</v>
      </c>
      <c r="Y315" s="65" t="s">
        <v>4416</v>
      </c>
      <c r="AB315" s="3">
        <f>(S315-GHGFY207[[#This Row],[Scope 1 Emission factor]])/GHGFY207[[#This Row],[Scope 1 Emission factor]]</f>
        <v>0</v>
      </c>
      <c r="AC315" s="3" t="e">
        <f>(T315-GHGFY207[[#This Row],[Scope 2 Emission factor]])/GHGFY207[[#This Row],[Scope 2 Emission factor]]</f>
        <v>#DIV/0!</v>
      </c>
      <c r="AD315" s="3">
        <f>(U315-GHGFY207[[#This Row],[Scope 3 Emission factor]])/GHGFY207[[#This Row],[Scope 3 Emission factor]]</f>
        <v>15.722222222222221</v>
      </c>
    </row>
    <row r="316" spans="1:30" ht="29.1" hidden="1" customHeight="1">
      <c r="A316" t="s">
        <v>4273</v>
      </c>
      <c r="B316" t="s">
        <v>1235</v>
      </c>
      <c r="C316" t="s">
        <v>4412</v>
      </c>
      <c r="D316" t="s">
        <v>1189</v>
      </c>
      <c r="E316" t="s">
        <v>673</v>
      </c>
      <c r="F316">
        <v>1E-3</v>
      </c>
      <c r="G316" t="s">
        <v>4413</v>
      </c>
      <c r="H316">
        <v>25.7</v>
      </c>
      <c r="I316" t="s">
        <v>1140</v>
      </c>
      <c r="J316" s="647">
        <v>60.600000000000009</v>
      </c>
      <c r="L316">
        <v>3.6</v>
      </c>
      <c r="M316" t="s">
        <v>4414</v>
      </c>
      <c r="N316" t="s">
        <v>4418</v>
      </c>
      <c r="P316" s="65" t="s">
        <v>4416</v>
      </c>
      <c r="S316" s="64">
        <f t="shared" si="7"/>
        <v>60.600000000000009</v>
      </c>
      <c r="U316">
        <v>60.2</v>
      </c>
      <c r="V316">
        <v>0.2</v>
      </c>
      <c r="W316">
        <v>0.2</v>
      </c>
      <c r="X316" s="56" t="str">
        <f>GHGFY207[[#This Row],[Data Source (scope 1)]]</f>
        <v>NGER (Measurement) Determination 2008 2019versions pg 318 - Part 3 Fuel combustion - 44</v>
      </c>
      <c r="Y316" s="65" t="s">
        <v>4416</v>
      </c>
      <c r="AB316" s="3">
        <f>(S316-GHGFY207[[#This Row],[Scope 1 Emission factor]])/GHGFY207[[#This Row],[Scope 1 Emission factor]]</f>
        <v>0</v>
      </c>
      <c r="AC316" s="3" t="e">
        <f>(T316-GHGFY207[[#This Row],[Scope 2 Emission factor]])/GHGFY207[[#This Row],[Scope 2 Emission factor]]</f>
        <v>#DIV/0!</v>
      </c>
      <c r="AD316" s="3">
        <f>(U316-GHGFY207[[#This Row],[Scope 3 Emission factor]])/GHGFY207[[#This Row],[Scope 3 Emission factor]]</f>
        <v>15.722222222222221</v>
      </c>
    </row>
    <row r="317" spans="1:30" ht="29.1" hidden="1" customHeight="1">
      <c r="A317" t="s">
        <v>4270</v>
      </c>
      <c r="B317" t="s">
        <v>1235</v>
      </c>
      <c r="C317" t="s">
        <v>4412</v>
      </c>
      <c r="D317" t="s">
        <v>1210</v>
      </c>
      <c r="E317" t="s">
        <v>673</v>
      </c>
      <c r="F317">
        <v>1E-3</v>
      </c>
      <c r="G317" t="s">
        <v>4413</v>
      </c>
      <c r="H317">
        <v>25.7</v>
      </c>
      <c r="I317" t="s">
        <v>1140</v>
      </c>
      <c r="J317" s="647">
        <v>60.600000000000009</v>
      </c>
      <c r="L317">
        <v>3.6</v>
      </c>
      <c r="M317" t="s">
        <v>4414</v>
      </c>
      <c r="N317" t="s">
        <v>4418</v>
      </c>
      <c r="P317" s="65" t="s">
        <v>4416</v>
      </c>
      <c r="S317" s="64">
        <f t="shared" si="7"/>
        <v>60.600000000000009</v>
      </c>
      <c r="U317">
        <v>60.2</v>
      </c>
      <c r="V317">
        <v>0.2</v>
      </c>
      <c r="W317">
        <v>0.2</v>
      </c>
      <c r="X317" s="56" t="str">
        <f>GHGFY207[[#This Row],[Data Source (scope 1)]]</f>
        <v>NGER (Measurement) Determination 2008 2019versions pg 318 - Part 3 Fuel combustion - 44</v>
      </c>
      <c r="Y317" s="65" t="s">
        <v>4416</v>
      </c>
      <c r="AB317" s="3">
        <f>(S317-GHGFY207[[#This Row],[Scope 1 Emission factor]])/GHGFY207[[#This Row],[Scope 1 Emission factor]]</f>
        <v>0</v>
      </c>
      <c r="AC317" s="3" t="e">
        <f>(T317-GHGFY207[[#This Row],[Scope 2 Emission factor]])/GHGFY207[[#This Row],[Scope 2 Emission factor]]</f>
        <v>#DIV/0!</v>
      </c>
      <c r="AD317" s="3">
        <f>(U317-GHGFY207[[#This Row],[Scope 3 Emission factor]])/GHGFY207[[#This Row],[Scope 3 Emission factor]]</f>
        <v>15.722222222222221</v>
      </c>
    </row>
    <row r="318" spans="1:30" ht="29.1" hidden="1" customHeight="1">
      <c r="A318" t="s">
        <v>4274</v>
      </c>
      <c r="B318" t="s">
        <v>1235</v>
      </c>
      <c r="C318" t="s">
        <v>4412</v>
      </c>
      <c r="D318" t="s">
        <v>1216</v>
      </c>
      <c r="E318" t="s">
        <v>673</v>
      </c>
      <c r="F318">
        <v>1E-3</v>
      </c>
      <c r="G318" t="s">
        <v>4413</v>
      </c>
      <c r="H318">
        <v>25.7</v>
      </c>
      <c r="I318" t="s">
        <v>1140</v>
      </c>
      <c r="J318" s="647">
        <v>60.600000000000009</v>
      </c>
      <c r="L318">
        <v>3.6</v>
      </c>
      <c r="M318" t="s">
        <v>4414</v>
      </c>
      <c r="N318" t="s">
        <v>4418</v>
      </c>
      <c r="P318" s="65" t="s">
        <v>4416</v>
      </c>
      <c r="S318" s="64">
        <f t="shared" si="7"/>
        <v>60.600000000000009</v>
      </c>
      <c r="U318">
        <v>60.2</v>
      </c>
      <c r="V318">
        <v>0.2</v>
      </c>
      <c r="W318">
        <v>0.2</v>
      </c>
      <c r="X318" s="56" t="str">
        <f>GHGFY207[[#This Row],[Data Source (scope 1)]]</f>
        <v>NGER (Measurement) Determination 2008 2019versions pg 318 - Part 3 Fuel combustion - 44</v>
      </c>
      <c r="Y318" s="65" t="s">
        <v>4416</v>
      </c>
      <c r="AB318" s="3">
        <f>(S318-GHGFY207[[#This Row],[Scope 1 Emission factor]])/GHGFY207[[#This Row],[Scope 1 Emission factor]]</f>
        <v>0</v>
      </c>
      <c r="AC318" s="3" t="e">
        <f>(T318-GHGFY207[[#This Row],[Scope 2 Emission factor]])/GHGFY207[[#This Row],[Scope 2 Emission factor]]</f>
        <v>#DIV/0!</v>
      </c>
      <c r="AD318" s="3">
        <f>(U318-GHGFY207[[#This Row],[Scope 3 Emission factor]])/GHGFY207[[#This Row],[Scope 3 Emission factor]]</f>
        <v>15.722222222222221</v>
      </c>
    </row>
    <row r="319" spans="1:30" ht="29.1" hidden="1" customHeight="1">
      <c r="A319" t="s">
        <v>4271</v>
      </c>
      <c r="B319" t="s">
        <v>1235</v>
      </c>
      <c r="C319" t="s">
        <v>4412</v>
      </c>
      <c r="D319" t="s">
        <v>1193</v>
      </c>
      <c r="E319" t="s">
        <v>673</v>
      </c>
      <c r="F319">
        <v>1E-3</v>
      </c>
      <c r="G319" t="s">
        <v>4413</v>
      </c>
      <c r="H319">
        <v>25.7</v>
      </c>
      <c r="I319" t="s">
        <v>1140</v>
      </c>
      <c r="J319" s="647">
        <v>60.600000000000009</v>
      </c>
      <c r="L319">
        <v>3.6</v>
      </c>
      <c r="M319" t="s">
        <v>4414</v>
      </c>
      <c r="N319" t="s">
        <v>4418</v>
      </c>
      <c r="P319" s="65" t="s">
        <v>4416</v>
      </c>
      <c r="S319" s="64">
        <f t="shared" si="7"/>
        <v>60.600000000000009</v>
      </c>
      <c r="U319">
        <v>60.2</v>
      </c>
      <c r="V319">
        <v>0.2</v>
      </c>
      <c r="W319">
        <v>0.2</v>
      </c>
      <c r="X319" s="56" t="str">
        <f>GHGFY207[[#This Row],[Data Source (scope 1)]]</f>
        <v>NGER (Measurement) Determination 2008 2019versions pg 318 - Part 3 Fuel combustion - 44</v>
      </c>
      <c r="Y319" s="65" t="s">
        <v>4416</v>
      </c>
      <c r="AB319" s="3">
        <f>(S319-GHGFY207[[#This Row],[Scope 1 Emission factor]])/GHGFY207[[#This Row],[Scope 1 Emission factor]]</f>
        <v>0</v>
      </c>
      <c r="AC319" s="3" t="e">
        <f>(T319-GHGFY207[[#This Row],[Scope 2 Emission factor]])/GHGFY207[[#This Row],[Scope 2 Emission factor]]</f>
        <v>#DIV/0!</v>
      </c>
      <c r="AD319" s="3">
        <f>(U319-GHGFY207[[#This Row],[Scope 3 Emission factor]])/GHGFY207[[#This Row],[Scope 3 Emission factor]]</f>
        <v>15.722222222222221</v>
      </c>
    </row>
    <row r="320" spans="1:30" ht="29.1" hidden="1" customHeight="1">
      <c r="A320" t="s">
        <v>4272</v>
      </c>
      <c r="B320" t="s">
        <v>1235</v>
      </c>
      <c r="C320" t="s">
        <v>4412</v>
      </c>
      <c r="D320" t="s">
        <v>1213</v>
      </c>
      <c r="E320" t="s">
        <v>673</v>
      </c>
      <c r="F320">
        <v>1E-3</v>
      </c>
      <c r="G320" t="s">
        <v>4413</v>
      </c>
      <c r="H320">
        <v>25.7</v>
      </c>
      <c r="I320" t="s">
        <v>1140</v>
      </c>
      <c r="J320" s="647">
        <v>60.600000000000009</v>
      </c>
      <c r="L320">
        <v>3.6</v>
      </c>
      <c r="M320" t="s">
        <v>4414</v>
      </c>
      <c r="N320" t="s">
        <v>4418</v>
      </c>
      <c r="P320" s="65" t="s">
        <v>4416</v>
      </c>
      <c r="S320" s="64">
        <f t="shared" si="7"/>
        <v>60.600000000000009</v>
      </c>
      <c r="U320">
        <v>60.2</v>
      </c>
      <c r="V320">
        <v>0.2</v>
      </c>
      <c r="W320">
        <v>0.2</v>
      </c>
      <c r="X320" s="56" t="str">
        <f>GHGFY207[[#This Row],[Data Source (scope 1)]]</f>
        <v>NGER (Measurement) Determination 2008 2019versions pg 318 - Part 3 Fuel combustion - 44</v>
      </c>
      <c r="Y320" s="65" t="s">
        <v>4416</v>
      </c>
      <c r="AB320" s="3">
        <f>(S320-GHGFY207[[#This Row],[Scope 1 Emission factor]])/GHGFY207[[#This Row],[Scope 1 Emission factor]]</f>
        <v>0</v>
      </c>
      <c r="AC320" s="3" t="e">
        <f>(T320-GHGFY207[[#This Row],[Scope 2 Emission factor]])/GHGFY207[[#This Row],[Scope 2 Emission factor]]</f>
        <v>#DIV/0!</v>
      </c>
      <c r="AD320" s="3">
        <f>(U320-GHGFY207[[#This Row],[Scope 3 Emission factor]])/GHGFY207[[#This Row],[Scope 3 Emission factor]]</f>
        <v>15.722222222222221</v>
      </c>
    </row>
    <row r="321" spans="1:30" ht="29.1" hidden="1" customHeight="1">
      <c r="A321" t="s">
        <v>4269</v>
      </c>
      <c r="B321" t="s">
        <v>1235</v>
      </c>
      <c r="C321" t="s">
        <v>4412</v>
      </c>
      <c r="D321" t="s">
        <v>1208</v>
      </c>
      <c r="E321" t="s">
        <v>673</v>
      </c>
      <c r="F321">
        <v>1E-3</v>
      </c>
      <c r="G321" t="s">
        <v>4413</v>
      </c>
      <c r="H321">
        <v>25.7</v>
      </c>
      <c r="I321" t="s">
        <v>1140</v>
      </c>
      <c r="J321" s="647">
        <v>60.600000000000009</v>
      </c>
      <c r="L321">
        <v>3.6</v>
      </c>
      <c r="M321" t="s">
        <v>4414</v>
      </c>
      <c r="N321" t="s">
        <v>4418</v>
      </c>
      <c r="P321" s="65" t="s">
        <v>4416</v>
      </c>
      <c r="S321" s="64">
        <f t="shared" si="7"/>
        <v>60.600000000000009</v>
      </c>
      <c r="U321">
        <v>60.2</v>
      </c>
      <c r="V321">
        <v>0.2</v>
      </c>
      <c r="W321">
        <v>0.2</v>
      </c>
      <c r="X321" s="56" t="str">
        <f>GHGFY207[[#This Row],[Data Source (scope 1)]]</f>
        <v>NGER (Measurement) Determination 2008 2019versions pg 318 - Part 3 Fuel combustion - 44</v>
      </c>
      <c r="Y321" s="65" t="s">
        <v>4416</v>
      </c>
      <c r="AB321" s="3">
        <f>(S321-GHGFY207[[#This Row],[Scope 1 Emission factor]])/GHGFY207[[#This Row],[Scope 1 Emission factor]]</f>
        <v>0</v>
      </c>
      <c r="AC321" s="3" t="e">
        <f>(T321-GHGFY207[[#This Row],[Scope 2 Emission factor]])/GHGFY207[[#This Row],[Scope 2 Emission factor]]</f>
        <v>#DIV/0!</v>
      </c>
      <c r="AD321" s="3">
        <f>(U321-GHGFY207[[#This Row],[Scope 3 Emission factor]])/GHGFY207[[#This Row],[Scope 3 Emission factor]]</f>
        <v>15.722222222222221</v>
      </c>
    </row>
    <row r="322" spans="1:30" ht="29.1" hidden="1" customHeight="1">
      <c r="A322" t="s">
        <v>970</v>
      </c>
      <c r="B322" t="s">
        <v>1235</v>
      </c>
      <c r="C322" t="s">
        <v>4412</v>
      </c>
      <c r="D322" t="s">
        <v>1190</v>
      </c>
      <c r="E322" t="s">
        <v>673</v>
      </c>
      <c r="F322">
        <v>1E-3</v>
      </c>
      <c r="G322" t="s">
        <v>4413</v>
      </c>
      <c r="H322">
        <v>34.200000000000003</v>
      </c>
      <c r="I322" t="s">
        <v>1140</v>
      </c>
      <c r="J322" s="647">
        <v>67.800000000000011</v>
      </c>
      <c r="L322">
        <v>3.6</v>
      </c>
      <c r="M322" t="s">
        <v>4414</v>
      </c>
      <c r="N322" t="s">
        <v>4419</v>
      </c>
      <c r="P322" s="65" t="s">
        <v>4416</v>
      </c>
      <c r="S322" s="64">
        <f t="shared" si="7"/>
        <v>67.800000000000011</v>
      </c>
      <c r="U322">
        <v>67.400000000000006</v>
      </c>
      <c r="V322">
        <v>0.2</v>
      </c>
      <c r="W322">
        <v>0.2</v>
      </c>
      <c r="X322" s="56" t="str">
        <f>GHGFY207[[#This Row],[Data Source (scope 1)]]</f>
        <v>NGER (Measurement) Determination 2008 2019versions pg 318 - Part 3 Fuel combustion - 35</v>
      </c>
      <c r="Y322" s="65" t="s">
        <v>4416</v>
      </c>
      <c r="AB322" s="3">
        <f>(S322-GHGFY207[[#This Row],[Scope 1 Emission factor]])/GHGFY207[[#This Row],[Scope 1 Emission factor]]</f>
        <v>0</v>
      </c>
      <c r="AC322" s="3" t="e">
        <f>(T322-GHGFY207[[#This Row],[Scope 2 Emission factor]])/GHGFY207[[#This Row],[Scope 2 Emission factor]]</f>
        <v>#DIV/0!</v>
      </c>
      <c r="AD322" s="3">
        <f>(U322-GHGFY207[[#This Row],[Scope 3 Emission factor]])/GHGFY207[[#This Row],[Scope 3 Emission factor]]</f>
        <v>17.722222222222221</v>
      </c>
    </row>
    <row r="323" spans="1:30" ht="29.1" hidden="1" customHeight="1">
      <c r="A323" t="s">
        <v>971</v>
      </c>
      <c r="B323" t="s">
        <v>1235</v>
      </c>
      <c r="C323" t="s">
        <v>4412</v>
      </c>
      <c r="D323" t="s">
        <v>1192</v>
      </c>
      <c r="E323" t="s">
        <v>673</v>
      </c>
      <c r="F323">
        <v>1E-3</v>
      </c>
      <c r="G323" t="s">
        <v>4413</v>
      </c>
      <c r="H323">
        <v>34.200000000000003</v>
      </c>
      <c r="I323" t="s">
        <v>1140</v>
      </c>
      <c r="J323" s="647">
        <v>67.800000000000011</v>
      </c>
      <c r="L323">
        <v>3.6</v>
      </c>
      <c r="M323" t="s">
        <v>4414</v>
      </c>
      <c r="N323" t="s">
        <v>4419</v>
      </c>
      <c r="P323" s="65" t="s">
        <v>4416</v>
      </c>
      <c r="S323" s="64">
        <f t="shared" si="7"/>
        <v>67.800000000000011</v>
      </c>
      <c r="U323">
        <v>67.400000000000006</v>
      </c>
      <c r="V323">
        <v>0.2</v>
      </c>
      <c r="W323">
        <v>0.2</v>
      </c>
      <c r="X323" s="56" t="str">
        <f>GHGFY207[[#This Row],[Data Source (scope 1)]]</f>
        <v>NGER (Measurement) Determination 2008 2019versions pg 318 - Part 3 Fuel combustion - 35</v>
      </c>
      <c r="Y323" s="65" t="s">
        <v>4416</v>
      </c>
      <c r="AB323" s="3">
        <f>(S323-GHGFY207[[#This Row],[Scope 1 Emission factor]])/GHGFY207[[#This Row],[Scope 1 Emission factor]]</f>
        <v>0</v>
      </c>
      <c r="AC323" s="3" t="e">
        <f>(T323-GHGFY207[[#This Row],[Scope 2 Emission factor]])/GHGFY207[[#This Row],[Scope 2 Emission factor]]</f>
        <v>#DIV/0!</v>
      </c>
      <c r="AD323" s="3">
        <f>(U323-GHGFY207[[#This Row],[Scope 3 Emission factor]])/GHGFY207[[#This Row],[Scope 3 Emission factor]]</f>
        <v>17.722222222222221</v>
      </c>
    </row>
    <row r="324" spans="1:30" ht="29.1" hidden="1" customHeight="1">
      <c r="A324" t="s">
        <v>976</v>
      </c>
      <c r="B324" t="s">
        <v>1235</v>
      </c>
      <c r="C324" t="s">
        <v>4412</v>
      </c>
      <c r="D324" t="s">
        <v>1189</v>
      </c>
      <c r="E324" t="s">
        <v>673</v>
      </c>
      <c r="F324">
        <v>1E-3</v>
      </c>
      <c r="G324" t="s">
        <v>4413</v>
      </c>
      <c r="H324">
        <v>34.200000000000003</v>
      </c>
      <c r="I324" t="s">
        <v>1140</v>
      </c>
      <c r="J324" s="647">
        <v>67.800000000000011</v>
      </c>
      <c r="L324">
        <v>3.6</v>
      </c>
      <c r="M324" t="s">
        <v>4414</v>
      </c>
      <c r="N324" t="s">
        <v>4419</v>
      </c>
      <c r="P324" s="65" t="s">
        <v>4416</v>
      </c>
      <c r="S324" s="64">
        <f t="shared" si="7"/>
        <v>67.800000000000011</v>
      </c>
      <c r="U324">
        <v>67.400000000000006</v>
      </c>
      <c r="V324">
        <v>0.2</v>
      </c>
      <c r="W324">
        <v>0.2</v>
      </c>
      <c r="X324" s="56" t="str">
        <f>GHGFY207[[#This Row],[Data Source (scope 1)]]</f>
        <v>NGER (Measurement) Determination 2008 2019versions pg 318 - Part 3 Fuel combustion - 35</v>
      </c>
      <c r="Y324" s="65" t="s">
        <v>4416</v>
      </c>
      <c r="AB324" s="3">
        <f>(S324-GHGFY207[[#This Row],[Scope 1 Emission factor]])/GHGFY207[[#This Row],[Scope 1 Emission factor]]</f>
        <v>0</v>
      </c>
      <c r="AC324" s="3" t="e">
        <f>(T324-GHGFY207[[#This Row],[Scope 2 Emission factor]])/GHGFY207[[#This Row],[Scope 2 Emission factor]]</f>
        <v>#DIV/0!</v>
      </c>
      <c r="AD324" s="3">
        <f>(U324-GHGFY207[[#This Row],[Scope 3 Emission factor]])/GHGFY207[[#This Row],[Scope 3 Emission factor]]</f>
        <v>17.722222222222221</v>
      </c>
    </row>
    <row r="325" spans="1:30" ht="29.1" hidden="1" customHeight="1">
      <c r="A325" t="s">
        <v>973</v>
      </c>
      <c r="B325" t="s">
        <v>1235</v>
      </c>
      <c r="C325" t="s">
        <v>4412</v>
      </c>
      <c r="D325" t="s">
        <v>1210</v>
      </c>
      <c r="E325" t="s">
        <v>673</v>
      </c>
      <c r="F325">
        <v>1E-3</v>
      </c>
      <c r="G325" t="s">
        <v>4413</v>
      </c>
      <c r="H325">
        <v>34.200000000000003</v>
      </c>
      <c r="I325" t="s">
        <v>1140</v>
      </c>
      <c r="J325" s="647">
        <v>67.800000000000011</v>
      </c>
      <c r="L325">
        <v>3.6</v>
      </c>
      <c r="M325" t="s">
        <v>4414</v>
      </c>
      <c r="N325" t="s">
        <v>4419</v>
      </c>
      <c r="P325" s="65" t="s">
        <v>4416</v>
      </c>
      <c r="S325" s="64">
        <f t="shared" si="7"/>
        <v>67.800000000000011</v>
      </c>
      <c r="U325">
        <v>67.400000000000006</v>
      </c>
      <c r="V325">
        <v>0.2</v>
      </c>
      <c r="W325">
        <v>0.2</v>
      </c>
      <c r="X325" s="56" t="str">
        <f>GHGFY207[[#This Row],[Data Source (scope 1)]]</f>
        <v>NGER (Measurement) Determination 2008 2019versions pg 318 - Part 3 Fuel combustion - 35</v>
      </c>
      <c r="Y325" s="65" t="s">
        <v>4416</v>
      </c>
      <c r="AB325" s="3">
        <f>(S325-GHGFY207[[#This Row],[Scope 1 Emission factor]])/GHGFY207[[#This Row],[Scope 1 Emission factor]]</f>
        <v>0</v>
      </c>
      <c r="AC325" s="3" t="e">
        <f>(T325-GHGFY207[[#This Row],[Scope 2 Emission factor]])/GHGFY207[[#This Row],[Scope 2 Emission factor]]</f>
        <v>#DIV/0!</v>
      </c>
      <c r="AD325" s="3">
        <f>(U325-GHGFY207[[#This Row],[Scope 3 Emission factor]])/GHGFY207[[#This Row],[Scope 3 Emission factor]]</f>
        <v>17.722222222222221</v>
      </c>
    </row>
    <row r="326" spans="1:30" ht="29.1" hidden="1" customHeight="1">
      <c r="A326" t="s">
        <v>977</v>
      </c>
      <c r="B326" t="s">
        <v>1235</v>
      </c>
      <c r="C326" t="s">
        <v>4412</v>
      </c>
      <c r="D326" t="s">
        <v>1216</v>
      </c>
      <c r="E326" t="s">
        <v>673</v>
      </c>
      <c r="F326">
        <v>1E-3</v>
      </c>
      <c r="G326" t="s">
        <v>4413</v>
      </c>
      <c r="H326">
        <v>34.200000000000003</v>
      </c>
      <c r="I326" t="s">
        <v>1140</v>
      </c>
      <c r="J326" s="647">
        <v>67.800000000000011</v>
      </c>
      <c r="L326">
        <v>3.6</v>
      </c>
      <c r="M326" t="s">
        <v>4414</v>
      </c>
      <c r="N326" t="s">
        <v>4419</v>
      </c>
      <c r="P326" s="65" t="s">
        <v>4416</v>
      </c>
      <c r="S326" s="64">
        <f t="shared" si="7"/>
        <v>67.800000000000011</v>
      </c>
      <c r="U326">
        <v>67.400000000000006</v>
      </c>
      <c r="V326">
        <v>0.2</v>
      </c>
      <c r="W326">
        <v>0.2</v>
      </c>
      <c r="X326" s="56" t="str">
        <f>GHGFY207[[#This Row],[Data Source (scope 1)]]</f>
        <v>NGER (Measurement) Determination 2008 2019versions pg 318 - Part 3 Fuel combustion - 35</v>
      </c>
      <c r="Y326" s="65" t="s">
        <v>4416</v>
      </c>
      <c r="AB326" s="3">
        <f>(S326-GHGFY207[[#This Row],[Scope 1 Emission factor]])/GHGFY207[[#This Row],[Scope 1 Emission factor]]</f>
        <v>0</v>
      </c>
      <c r="AC326" s="3" t="e">
        <f>(T326-GHGFY207[[#This Row],[Scope 2 Emission factor]])/GHGFY207[[#This Row],[Scope 2 Emission factor]]</f>
        <v>#DIV/0!</v>
      </c>
      <c r="AD326" s="3">
        <f>(U326-GHGFY207[[#This Row],[Scope 3 Emission factor]])/GHGFY207[[#This Row],[Scope 3 Emission factor]]</f>
        <v>17.722222222222221</v>
      </c>
    </row>
    <row r="327" spans="1:30" ht="29.1" hidden="1" customHeight="1">
      <c r="A327" t="s">
        <v>974</v>
      </c>
      <c r="B327" t="s">
        <v>1235</v>
      </c>
      <c r="C327" t="s">
        <v>4412</v>
      </c>
      <c r="D327" t="s">
        <v>1193</v>
      </c>
      <c r="E327" t="s">
        <v>673</v>
      </c>
      <c r="F327">
        <v>1E-3</v>
      </c>
      <c r="G327" t="s">
        <v>4413</v>
      </c>
      <c r="H327">
        <v>34.200000000000003</v>
      </c>
      <c r="I327" t="s">
        <v>1140</v>
      </c>
      <c r="J327" s="647">
        <v>67.800000000000011</v>
      </c>
      <c r="L327">
        <v>3.6</v>
      </c>
      <c r="M327" t="s">
        <v>4414</v>
      </c>
      <c r="N327" t="s">
        <v>4419</v>
      </c>
      <c r="P327" s="65" t="s">
        <v>4416</v>
      </c>
      <c r="S327" s="64">
        <f t="shared" si="7"/>
        <v>67.800000000000011</v>
      </c>
      <c r="U327">
        <v>67.400000000000006</v>
      </c>
      <c r="V327">
        <v>0.2</v>
      </c>
      <c r="W327">
        <v>0.2</v>
      </c>
      <c r="X327" s="56" t="str">
        <f>GHGFY207[[#This Row],[Data Source (scope 1)]]</f>
        <v>NGER (Measurement) Determination 2008 2019versions pg 318 - Part 3 Fuel combustion - 35</v>
      </c>
      <c r="Y327" s="65" t="s">
        <v>4416</v>
      </c>
      <c r="AB327" s="3">
        <f>(S327-GHGFY207[[#This Row],[Scope 1 Emission factor]])/GHGFY207[[#This Row],[Scope 1 Emission factor]]</f>
        <v>0</v>
      </c>
      <c r="AC327" s="3" t="e">
        <f>(T327-GHGFY207[[#This Row],[Scope 2 Emission factor]])/GHGFY207[[#This Row],[Scope 2 Emission factor]]</f>
        <v>#DIV/0!</v>
      </c>
      <c r="AD327" s="3">
        <f>(U327-GHGFY207[[#This Row],[Scope 3 Emission factor]])/GHGFY207[[#This Row],[Scope 3 Emission factor]]</f>
        <v>17.722222222222221</v>
      </c>
    </row>
    <row r="328" spans="1:30" ht="29.1" hidden="1" customHeight="1">
      <c r="A328" t="s">
        <v>975</v>
      </c>
      <c r="B328" t="s">
        <v>1235</v>
      </c>
      <c r="C328" t="s">
        <v>4412</v>
      </c>
      <c r="D328" t="s">
        <v>1213</v>
      </c>
      <c r="E328" t="s">
        <v>673</v>
      </c>
      <c r="F328">
        <v>1E-3</v>
      </c>
      <c r="G328" t="s">
        <v>4413</v>
      </c>
      <c r="H328">
        <v>34.200000000000003</v>
      </c>
      <c r="I328" t="s">
        <v>1140</v>
      </c>
      <c r="J328" s="647">
        <v>67.800000000000011</v>
      </c>
      <c r="L328">
        <v>3.6</v>
      </c>
      <c r="M328" t="s">
        <v>4414</v>
      </c>
      <c r="N328" t="s">
        <v>4419</v>
      </c>
      <c r="P328" s="65" t="s">
        <v>4416</v>
      </c>
      <c r="S328" s="64">
        <f t="shared" si="7"/>
        <v>67.800000000000011</v>
      </c>
      <c r="U328">
        <v>67.400000000000006</v>
      </c>
      <c r="V328">
        <v>0.2</v>
      </c>
      <c r="W328">
        <v>0.2</v>
      </c>
      <c r="X328" s="56" t="str">
        <f>GHGFY207[[#This Row],[Data Source (scope 1)]]</f>
        <v>NGER (Measurement) Determination 2008 2019versions pg 318 - Part 3 Fuel combustion - 35</v>
      </c>
      <c r="Y328" s="65" t="s">
        <v>4416</v>
      </c>
      <c r="AB328" s="3">
        <f>(S328-GHGFY207[[#This Row],[Scope 1 Emission factor]])/GHGFY207[[#This Row],[Scope 1 Emission factor]]</f>
        <v>0</v>
      </c>
      <c r="AC328" s="3" t="e">
        <f>(T328-GHGFY207[[#This Row],[Scope 2 Emission factor]])/GHGFY207[[#This Row],[Scope 2 Emission factor]]</f>
        <v>#DIV/0!</v>
      </c>
      <c r="AD328" s="3">
        <f>(U328-GHGFY207[[#This Row],[Scope 3 Emission factor]])/GHGFY207[[#This Row],[Scope 3 Emission factor]]</f>
        <v>17.722222222222221</v>
      </c>
    </row>
    <row r="329" spans="1:30" ht="29.1" hidden="1" customHeight="1">
      <c r="A329" t="s">
        <v>972</v>
      </c>
      <c r="B329" t="s">
        <v>1235</v>
      </c>
      <c r="C329" t="s">
        <v>4412</v>
      </c>
      <c r="D329" t="s">
        <v>1208</v>
      </c>
      <c r="E329" t="s">
        <v>673</v>
      </c>
      <c r="F329">
        <v>1E-3</v>
      </c>
      <c r="G329" t="s">
        <v>4413</v>
      </c>
      <c r="H329">
        <v>34.200000000000003</v>
      </c>
      <c r="I329" t="s">
        <v>1140</v>
      </c>
      <c r="J329" s="647">
        <v>67.800000000000011</v>
      </c>
      <c r="L329">
        <v>3.6</v>
      </c>
      <c r="M329" t="s">
        <v>4414</v>
      </c>
      <c r="N329" t="s">
        <v>4419</v>
      </c>
      <c r="P329" s="65" t="s">
        <v>4416</v>
      </c>
      <c r="S329" s="64">
        <f t="shared" si="7"/>
        <v>67.800000000000011</v>
      </c>
      <c r="U329">
        <v>67.400000000000006</v>
      </c>
      <c r="V329">
        <v>0.2</v>
      </c>
      <c r="W329">
        <v>0.2</v>
      </c>
      <c r="X329" s="56" t="str">
        <f>GHGFY207[[#This Row],[Data Source (scope 1)]]</f>
        <v>NGER (Measurement) Determination 2008 2019versions pg 318 - Part 3 Fuel combustion - 35</v>
      </c>
      <c r="Y329" s="65" t="s">
        <v>4416</v>
      </c>
      <c r="AB329" s="3">
        <f>(S329-GHGFY207[[#This Row],[Scope 1 Emission factor]])/GHGFY207[[#This Row],[Scope 1 Emission factor]]</f>
        <v>0</v>
      </c>
      <c r="AC329" s="3" t="e">
        <f>(T329-GHGFY207[[#This Row],[Scope 2 Emission factor]])/GHGFY207[[#This Row],[Scope 2 Emission factor]]</f>
        <v>#DIV/0!</v>
      </c>
      <c r="AD329" s="3">
        <f>(U329-GHGFY207[[#This Row],[Scope 3 Emission factor]])/GHGFY207[[#This Row],[Scope 3 Emission factor]]</f>
        <v>17.722222222222221</v>
      </c>
    </row>
    <row r="330" spans="1:30" ht="29.1" hidden="1" customHeight="1">
      <c r="A330" t="s">
        <v>4259</v>
      </c>
      <c r="B330" t="s">
        <v>1235</v>
      </c>
      <c r="C330" t="s">
        <v>4412</v>
      </c>
      <c r="D330" t="s">
        <v>1190</v>
      </c>
      <c r="E330" t="s">
        <v>673</v>
      </c>
      <c r="F330">
        <v>1E-3</v>
      </c>
      <c r="G330" t="s">
        <v>4413</v>
      </c>
      <c r="H330">
        <v>23.4</v>
      </c>
      <c r="I330" t="s">
        <v>4431</v>
      </c>
      <c r="J330" s="648">
        <v>0.28000000000000003</v>
      </c>
      <c r="L330">
        <v>0</v>
      </c>
      <c r="M330" t="s">
        <v>4414</v>
      </c>
      <c r="N330" t="s">
        <v>4432</v>
      </c>
      <c r="P330" s="65" t="s">
        <v>4416</v>
      </c>
      <c r="S330" s="64">
        <f t="shared" si="7"/>
        <v>0.27</v>
      </c>
      <c r="U330">
        <v>0</v>
      </c>
      <c r="V330">
        <v>7.0000000000000007E-2</v>
      </c>
      <c r="W330">
        <v>0.2</v>
      </c>
      <c r="X330" s="56" t="str">
        <f>GHGFY207[[#This Row],[Data Source (scope 1)]]</f>
        <v>NGER (Measurement) Determination 2008 2019versions pg 319 - Part 3 Fuel combustion - 51</v>
      </c>
      <c r="Y330" s="65" t="s">
        <v>4416</v>
      </c>
      <c r="AB330" s="3">
        <f>(S330-GHGFY207[[#This Row],[Scope 1 Emission factor]])/GHGFY207[[#This Row],[Scope 1 Emission factor]]</f>
        <v>-3.571428571428574E-2</v>
      </c>
      <c r="AC330" s="3" t="e">
        <f>(T330-GHGFY207[[#This Row],[Scope 2 Emission factor]])/GHGFY207[[#This Row],[Scope 2 Emission factor]]</f>
        <v>#DIV/0!</v>
      </c>
      <c r="AD330" s="3" t="e">
        <f>(U330-GHGFY207[[#This Row],[Scope 3 Emission factor]])/GHGFY207[[#This Row],[Scope 3 Emission factor]]</f>
        <v>#DIV/0!</v>
      </c>
    </row>
    <row r="331" spans="1:30" ht="29.1" hidden="1" customHeight="1">
      <c r="A331" t="s">
        <v>4260</v>
      </c>
      <c r="B331" t="s">
        <v>1235</v>
      </c>
      <c r="C331" t="s">
        <v>4412</v>
      </c>
      <c r="D331" t="s">
        <v>1192</v>
      </c>
      <c r="E331" t="s">
        <v>673</v>
      </c>
      <c r="F331">
        <v>1E-3</v>
      </c>
      <c r="G331" t="s">
        <v>4413</v>
      </c>
      <c r="H331">
        <v>23.4</v>
      </c>
      <c r="I331" t="s">
        <v>4431</v>
      </c>
      <c r="J331" s="648">
        <v>0.28000000000000003</v>
      </c>
      <c r="L331">
        <v>0</v>
      </c>
      <c r="M331" t="s">
        <v>4414</v>
      </c>
      <c r="N331" t="s">
        <v>4432</v>
      </c>
      <c r="P331" s="65" t="s">
        <v>4416</v>
      </c>
      <c r="S331" s="64">
        <f t="shared" si="7"/>
        <v>0.27</v>
      </c>
      <c r="U331">
        <v>0</v>
      </c>
      <c r="V331">
        <v>7.0000000000000007E-2</v>
      </c>
      <c r="W331">
        <v>0.2</v>
      </c>
      <c r="X331" s="56" t="str">
        <f>GHGFY207[[#This Row],[Data Source (scope 1)]]</f>
        <v>NGER (Measurement) Determination 2008 2019versions pg 319 - Part 3 Fuel combustion - 51</v>
      </c>
      <c r="Y331" s="65" t="s">
        <v>4416</v>
      </c>
      <c r="AB331" s="3">
        <f>(S331-GHGFY207[[#This Row],[Scope 1 Emission factor]])/GHGFY207[[#This Row],[Scope 1 Emission factor]]</f>
        <v>-3.571428571428574E-2</v>
      </c>
      <c r="AC331" s="3" t="e">
        <f>(T331-GHGFY207[[#This Row],[Scope 2 Emission factor]])/GHGFY207[[#This Row],[Scope 2 Emission factor]]</f>
        <v>#DIV/0!</v>
      </c>
      <c r="AD331" s="3" t="e">
        <f>(U331-GHGFY207[[#This Row],[Scope 3 Emission factor]])/GHGFY207[[#This Row],[Scope 3 Emission factor]]</f>
        <v>#DIV/0!</v>
      </c>
    </row>
    <row r="332" spans="1:30" ht="29.1" hidden="1" customHeight="1">
      <c r="A332" t="s">
        <v>4265</v>
      </c>
      <c r="B332" t="s">
        <v>1235</v>
      </c>
      <c r="C332" t="s">
        <v>4412</v>
      </c>
      <c r="D332" t="s">
        <v>1189</v>
      </c>
      <c r="E332" t="s">
        <v>673</v>
      </c>
      <c r="F332">
        <v>1E-3</v>
      </c>
      <c r="G332" t="s">
        <v>4413</v>
      </c>
      <c r="H332">
        <v>23.4</v>
      </c>
      <c r="I332" t="s">
        <v>4431</v>
      </c>
      <c r="J332" s="648">
        <v>0.28000000000000003</v>
      </c>
      <c r="L332">
        <v>0</v>
      </c>
      <c r="M332" t="s">
        <v>4414</v>
      </c>
      <c r="N332" t="s">
        <v>4432</v>
      </c>
      <c r="P332" s="65" t="s">
        <v>4416</v>
      </c>
      <c r="S332" s="64">
        <f t="shared" si="7"/>
        <v>0.27</v>
      </c>
      <c r="U332">
        <v>0</v>
      </c>
      <c r="V332">
        <v>7.0000000000000007E-2</v>
      </c>
      <c r="W332">
        <v>0.2</v>
      </c>
      <c r="X332" s="56" t="str">
        <f>GHGFY207[[#This Row],[Data Source (scope 1)]]</f>
        <v>NGER (Measurement) Determination 2008 2019versions pg 319 - Part 3 Fuel combustion - 51</v>
      </c>
      <c r="Y332" s="65" t="s">
        <v>4416</v>
      </c>
      <c r="AB332" s="3">
        <f>(S332-GHGFY207[[#This Row],[Scope 1 Emission factor]])/GHGFY207[[#This Row],[Scope 1 Emission factor]]</f>
        <v>-3.571428571428574E-2</v>
      </c>
      <c r="AC332" s="3" t="e">
        <f>(T332-GHGFY207[[#This Row],[Scope 2 Emission factor]])/GHGFY207[[#This Row],[Scope 2 Emission factor]]</f>
        <v>#DIV/0!</v>
      </c>
      <c r="AD332" s="3" t="e">
        <f>(U332-GHGFY207[[#This Row],[Scope 3 Emission factor]])/GHGFY207[[#This Row],[Scope 3 Emission factor]]</f>
        <v>#DIV/0!</v>
      </c>
    </row>
    <row r="333" spans="1:30" ht="29.1" hidden="1" customHeight="1">
      <c r="A333" t="s">
        <v>4262</v>
      </c>
      <c r="B333" t="s">
        <v>1235</v>
      </c>
      <c r="C333" t="s">
        <v>4412</v>
      </c>
      <c r="D333" t="s">
        <v>1210</v>
      </c>
      <c r="E333" t="s">
        <v>673</v>
      </c>
      <c r="F333">
        <v>1E-3</v>
      </c>
      <c r="G333" t="s">
        <v>4413</v>
      </c>
      <c r="H333">
        <v>23.4</v>
      </c>
      <c r="I333" t="s">
        <v>4431</v>
      </c>
      <c r="J333" s="648">
        <v>0.28000000000000003</v>
      </c>
      <c r="L333">
        <v>0</v>
      </c>
      <c r="M333" t="s">
        <v>4414</v>
      </c>
      <c r="N333" t="s">
        <v>4432</v>
      </c>
      <c r="P333" s="65" t="s">
        <v>4416</v>
      </c>
      <c r="S333" s="64">
        <f t="shared" si="7"/>
        <v>0.27</v>
      </c>
      <c r="U333">
        <v>0</v>
      </c>
      <c r="V333">
        <v>7.0000000000000007E-2</v>
      </c>
      <c r="W333">
        <v>0.2</v>
      </c>
      <c r="X333" s="56" t="str">
        <f>GHGFY207[[#This Row],[Data Source (scope 1)]]</f>
        <v>NGER (Measurement) Determination 2008 2019versions pg 319 - Part 3 Fuel combustion - 51</v>
      </c>
      <c r="Y333" s="65" t="s">
        <v>4416</v>
      </c>
      <c r="AB333" s="3">
        <f>(S333-GHGFY207[[#This Row],[Scope 1 Emission factor]])/GHGFY207[[#This Row],[Scope 1 Emission factor]]</f>
        <v>-3.571428571428574E-2</v>
      </c>
      <c r="AC333" s="3" t="e">
        <f>(T333-GHGFY207[[#This Row],[Scope 2 Emission factor]])/GHGFY207[[#This Row],[Scope 2 Emission factor]]</f>
        <v>#DIV/0!</v>
      </c>
      <c r="AD333" s="3" t="e">
        <f>(U333-GHGFY207[[#This Row],[Scope 3 Emission factor]])/GHGFY207[[#This Row],[Scope 3 Emission factor]]</f>
        <v>#DIV/0!</v>
      </c>
    </row>
    <row r="334" spans="1:30" ht="29.1" hidden="1" customHeight="1">
      <c r="A334" t="s">
        <v>4266</v>
      </c>
      <c r="B334" t="s">
        <v>1235</v>
      </c>
      <c r="C334" t="s">
        <v>4412</v>
      </c>
      <c r="D334" t="s">
        <v>1216</v>
      </c>
      <c r="E334" t="s">
        <v>673</v>
      </c>
      <c r="F334">
        <v>1E-3</v>
      </c>
      <c r="G334" t="s">
        <v>4413</v>
      </c>
      <c r="H334">
        <v>23.4</v>
      </c>
      <c r="I334" t="s">
        <v>4431</v>
      </c>
      <c r="J334" s="648">
        <v>0.28000000000000003</v>
      </c>
      <c r="L334">
        <v>0</v>
      </c>
      <c r="M334" t="s">
        <v>4414</v>
      </c>
      <c r="N334" t="s">
        <v>4432</v>
      </c>
      <c r="P334" s="65" t="s">
        <v>4416</v>
      </c>
      <c r="S334" s="64">
        <f t="shared" si="7"/>
        <v>0.27</v>
      </c>
      <c r="U334">
        <v>0</v>
      </c>
      <c r="V334">
        <v>7.0000000000000007E-2</v>
      </c>
      <c r="W334">
        <v>0.2</v>
      </c>
      <c r="X334" s="56" t="str">
        <f>GHGFY207[[#This Row],[Data Source (scope 1)]]</f>
        <v>NGER (Measurement) Determination 2008 2019versions pg 319 - Part 3 Fuel combustion - 51</v>
      </c>
      <c r="Y334" s="65" t="s">
        <v>4416</v>
      </c>
      <c r="AB334" s="3">
        <f>(S334-GHGFY207[[#This Row],[Scope 1 Emission factor]])/GHGFY207[[#This Row],[Scope 1 Emission factor]]</f>
        <v>-3.571428571428574E-2</v>
      </c>
      <c r="AC334" s="3" t="e">
        <f>(T334-GHGFY207[[#This Row],[Scope 2 Emission factor]])/GHGFY207[[#This Row],[Scope 2 Emission factor]]</f>
        <v>#DIV/0!</v>
      </c>
      <c r="AD334" s="3" t="e">
        <f>(U334-GHGFY207[[#This Row],[Scope 3 Emission factor]])/GHGFY207[[#This Row],[Scope 3 Emission factor]]</f>
        <v>#DIV/0!</v>
      </c>
    </row>
    <row r="335" spans="1:30" ht="29.1" hidden="1" customHeight="1">
      <c r="A335" t="s">
        <v>4263</v>
      </c>
      <c r="B335" t="s">
        <v>1235</v>
      </c>
      <c r="C335" t="s">
        <v>4412</v>
      </c>
      <c r="D335" t="s">
        <v>1193</v>
      </c>
      <c r="E335" t="s">
        <v>673</v>
      </c>
      <c r="F335">
        <v>1E-3</v>
      </c>
      <c r="G335" t="s">
        <v>4413</v>
      </c>
      <c r="H335">
        <v>23.4</v>
      </c>
      <c r="I335" t="s">
        <v>4431</v>
      </c>
      <c r="J335" s="648">
        <v>0.28000000000000003</v>
      </c>
      <c r="L335">
        <v>0</v>
      </c>
      <c r="M335" t="s">
        <v>4414</v>
      </c>
      <c r="N335" t="s">
        <v>4432</v>
      </c>
      <c r="P335" s="65" t="s">
        <v>4416</v>
      </c>
      <c r="S335" s="64">
        <f t="shared" si="7"/>
        <v>0.27</v>
      </c>
      <c r="U335">
        <v>0</v>
      </c>
      <c r="V335">
        <v>7.0000000000000007E-2</v>
      </c>
      <c r="W335">
        <v>0.2</v>
      </c>
      <c r="X335" s="56" t="str">
        <f>GHGFY207[[#This Row],[Data Source (scope 1)]]</f>
        <v>NGER (Measurement) Determination 2008 2019versions pg 319 - Part 3 Fuel combustion - 51</v>
      </c>
      <c r="Y335" s="65" t="s">
        <v>4416</v>
      </c>
      <c r="AB335" s="3">
        <f>(S335-GHGFY207[[#This Row],[Scope 1 Emission factor]])/GHGFY207[[#This Row],[Scope 1 Emission factor]]</f>
        <v>-3.571428571428574E-2</v>
      </c>
      <c r="AC335" s="3" t="e">
        <f>(T335-GHGFY207[[#This Row],[Scope 2 Emission factor]])/GHGFY207[[#This Row],[Scope 2 Emission factor]]</f>
        <v>#DIV/0!</v>
      </c>
      <c r="AD335" s="3" t="e">
        <f>(U335-GHGFY207[[#This Row],[Scope 3 Emission factor]])/GHGFY207[[#This Row],[Scope 3 Emission factor]]</f>
        <v>#DIV/0!</v>
      </c>
    </row>
    <row r="336" spans="1:30" ht="29.1" hidden="1" customHeight="1">
      <c r="A336" t="s">
        <v>4264</v>
      </c>
      <c r="B336" t="s">
        <v>1235</v>
      </c>
      <c r="C336" t="s">
        <v>4412</v>
      </c>
      <c r="D336" t="s">
        <v>1213</v>
      </c>
      <c r="E336" t="s">
        <v>673</v>
      </c>
      <c r="F336">
        <v>1E-3</v>
      </c>
      <c r="G336" t="s">
        <v>4413</v>
      </c>
      <c r="H336">
        <v>23.4</v>
      </c>
      <c r="I336" t="s">
        <v>4431</v>
      </c>
      <c r="J336" s="648">
        <v>0.28000000000000003</v>
      </c>
      <c r="L336">
        <v>0</v>
      </c>
      <c r="M336" t="s">
        <v>4414</v>
      </c>
      <c r="N336" t="s">
        <v>4432</v>
      </c>
      <c r="P336" s="65" t="s">
        <v>4416</v>
      </c>
      <c r="S336" s="64">
        <f t="shared" si="7"/>
        <v>0.27</v>
      </c>
      <c r="U336">
        <v>0</v>
      </c>
      <c r="V336">
        <v>7.0000000000000007E-2</v>
      </c>
      <c r="W336">
        <v>0.2</v>
      </c>
      <c r="X336" s="56" t="str">
        <f>GHGFY207[[#This Row],[Data Source (scope 1)]]</f>
        <v>NGER (Measurement) Determination 2008 2019versions pg 319 - Part 3 Fuel combustion - 51</v>
      </c>
      <c r="Y336" s="65" t="s">
        <v>4416</v>
      </c>
      <c r="AB336" s="3">
        <f>(S336-GHGFY207[[#This Row],[Scope 1 Emission factor]])/GHGFY207[[#This Row],[Scope 1 Emission factor]]</f>
        <v>-3.571428571428574E-2</v>
      </c>
      <c r="AC336" s="3" t="e">
        <f>(T336-GHGFY207[[#This Row],[Scope 2 Emission factor]])/GHGFY207[[#This Row],[Scope 2 Emission factor]]</f>
        <v>#DIV/0!</v>
      </c>
      <c r="AD336" s="3" t="e">
        <f>(U336-GHGFY207[[#This Row],[Scope 3 Emission factor]])/GHGFY207[[#This Row],[Scope 3 Emission factor]]</f>
        <v>#DIV/0!</v>
      </c>
    </row>
    <row r="337" spans="1:30" ht="29.1" hidden="1" customHeight="1">
      <c r="A337" t="s">
        <v>1063</v>
      </c>
      <c r="B337" t="s">
        <v>1235</v>
      </c>
      <c r="C337" t="s">
        <v>4412</v>
      </c>
      <c r="D337" t="s">
        <v>1208</v>
      </c>
      <c r="E337" t="s">
        <v>673</v>
      </c>
      <c r="F337">
        <v>1E-3</v>
      </c>
      <c r="G337" t="s">
        <v>4413</v>
      </c>
      <c r="H337">
        <v>34.200000000000003</v>
      </c>
      <c r="I337" t="s">
        <v>4431</v>
      </c>
      <c r="J337" s="647">
        <v>67.800000000000011</v>
      </c>
      <c r="L337">
        <v>3.6</v>
      </c>
      <c r="M337" t="s">
        <v>4414</v>
      </c>
      <c r="N337" t="s">
        <v>4419</v>
      </c>
      <c r="P337" s="65" t="s">
        <v>4416</v>
      </c>
      <c r="S337" s="64"/>
      <c r="X337" s="56" t="str">
        <f>GHGFY207[[#This Row],[Data Source (scope 1)]]</f>
        <v>NGER (Measurement) Determination 2008 2019versions pg 318 - Part 3 Fuel combustion - 35</v>
      </c>
      <c r="Y337" s="65"/>
      <c r="AB337" s="3"/>
      <c r="AC337" s="3"/>
      <c r="AD337" s="3"/>
    </row>
    <row r="338" spans="1:30" ht="29.1" hidden="1" customHeight="1">
      <c r="A338" t="s">
        <v>1064</v>
      </c>
      <c r="B338" t="s">
        <v>1235</v>
      </c>
      <c r="C338" t="s">
        <v>4412</v>
      </c>
      <c r="D338" t="s">
        <v>1210</v>
      </c>
      <c r="E338" t="s">
        <v>673</v>
      </c>
      <c r="F338">
        <v>1E-3</v>
      </c>
      <c r="G338" t="s">
        <v>4413</v>
      </c>
      <c r="H338">
        <v>34.200000000000003</v>
      </c>
      <c r="I338" t="s">
        <v>4431</v>
      </c>
      <c r="J338" s="647">
        <v>67.800000000000011</v>
      </c>
      <c r="L338">
        <v>3.6</v>
      </c>
      <c r="M338" t="s">
        <v>4414</v>
      </c>
      <c r="N338" t="s">
        <v>4419</v>
      </c>
      <c r="P338" s="65" t="s">
        <v>4416</v>
      </c>
      <c r="S338" s="64"/>
      <c r="X338" s="56" t="str">
        <f>GHGFY207[[#This Row],[Data Source (scope 1)]]</f>
        <v>NGER (Measurement) Determination 2008 2019versions pg 318 - Part 3 Fuel combustion - 35</v>
      </c>
      <c r="Y338" s="65"/>
      <c r="AB338" s="3"/>
      <c r="AC338" s="3"/>
      <c r="AD338" s="3"/>
    </row>
    <row r="339" spans="1:30" ht="29.1" hidden="1" customHeight="1">
      <c r="A339" t="s">
        <v>1065</v>
      </c>
      <c r="B339" t="s">
        <v>1235</v>
      </c>
      <c r="C339" t="s">
        <v>4412</v>
      </c>
      <c r="D339" t="s">
        <v>1216</v>
      </c>
      <c r="E339" t="s">
        <v>673</v>
      </c>
      <c r="F339">
        <v>1E-3</v>
      </c>
      <c r="G339" t="s">
        <v>4413</v>
      </c>
      <c r="H339">
        <v>34.200000000000003</v>
      </c>
      <c r="I339" t="s">
        <v>4431</v>
      </c>
      <c r="J339" s="647">
        <v>67.800000000000011</v>
      </c>
      <c r="L339">
        <v>3.6</v>
      </c>
      <c r="M339" t="s">
        <v>4414</v>
      </c>
      <c r="N339" t="s">
        <v>4419</v>
      </c>
      <c r="P339" s="65" t="s">
        <v>4416</v>
      </c>
      <c r="S339" s="64"/>
      <c r="X339" s="56" t="str">
        <f>GHGFY207[[#This Row],[Data Source (scope 1)]]</f>
        <v>NGER (Measurement) Determination 2008 2019versions pg 318 - Part 3 Fuel combustion - 35</v>
      </c>
      <c r="Y339" s="65"/>
      <c r="AB339" s="3"/>
      <c r="AC339" s="3"/>
      <c r="AD339" s="3"/>
    </row>
    <row r="340" spans="1:30" ht="29.1" hidden="1" customHeight="1">
      <c r="A340" t="s">
        <v>4261</v>
      </c>
      <c r="B340" t="s">
        <v>1235</v>
      </c>
      <c r="C340" t="s">
        <v>4412</v>
      </c>
      <c r="D340" t="s">
        <v>1208</v>
      </c>
      <c r="E340" t="s">
        <v>673</v>
      </c>
      <c r="F340">
        <v>1E-3</v>
      </c>
      <c r="G340" t="s">
        <v>4413</v>
      </c>
      <c r="H340">
        <v>23.4</v>
      </c>
      <c r="I340" t="s">
        <v>4431</v>
      </c>
      <c r="J340" s="648">
        <v>0.28000000000000003</v>
      </c>
      <c r="L340">
        <v>0</v>
      </c>
      <c r="M340" t="s">
        <v>4414</v>
      </c>
      <c r="N340" t="s">
        <v>4432</v>
      </c>
      <c r="P340" s="65" t="s">
        <v>4416</v>
      </c>
      <c r="S340" s="64">
        <f t="shared" si="7"/>
        <v>0.27</v>
      </c>
      <c r="U340">
        <v>0</v>
      </c>
      <c r="V340">
        <v>7.0000000000000007E-2</v>
      </c>
      <c r="W340">
        <v>0.2</v>
      </c>
      <c r="X340" s="56" t="str">
        <f>GHGFY207[[#This Row],[Data Source (scope 1)]]</f>
        <v>NGER (Measurement) Determination 2008 2019versions pg 319 - Part 3 Fuel combustion - 51</v>
      </c>
      <c r="Y340" s="65" t="s">
        <v>4416</v>
      </c>
      <c r="AB340" s="3">
        <f>(S340-GHGFY207[[#This Row],[Scope 1 Emission factor]])/GHGFY207[[#This Row],[Scope 1 Emission factor]]</f>
        <v>-3.571428571428574E-2</v>
      </c>
      <c r="AC340" s="3" t="e">
        <f>(T340-GHGFY207[[#This Row],[Scope 2 Emission factor]])/GHGFY207[[#This Row],[Scope 2 Emission factor]]</f>
        <v>#DIV/0!</v>
      </c>
      <c r="AD340" s="3" t="e">
        <f>(U340-GHGFY207[[#This Row],[Scope 3 Emission factor]])/GHGFY207[[#This Row],[Scope 3 Emission factor]]</f>
        <v>#DIV/0!</v>
      </c>
    </row>
    <row r="341" spans="1:30" ht="29.1" hidden="1" customHeight="1">
      <c r="A341" t="s">
        <v>956</v>
      </c>
      <c r="B341" t="s">
        <v>4275</v>
      </c>
      <c r="C341" t="s">
        <v>4412</v>
      </c>
      <c r="D341" t="s">
        <v>1192</v>
      </c>
      <c r="E341" t="s">
        <v>673</v>
      </c>
      <c r="F341">
        <v>1E-3</v>
      </c>
      <c r="G341" t="s">
        <v>4413</v>
      </c>
      <c r="H341">
        <v>38.6</v>
      </c>
      <c r="I341" t="s">
        <v>1140</v>
      </c>
      <c r="J341" s="647">
        <v>70.2</v>
      </c>
      <c r="L341">
        <v>3.6</v>
      </c>
      <c r="M341" t="s">
        <v>4414</v>
      </c>
      <c r="N341" t="s">
        <v>4415</v>
      </c>
      <c r="P341" s="65" t="s">
        <v>4416</v>
      </c>
      <c r="S341" s="64">
        <f>SUM(U341:W341)</f>
        <v>70.2</v>
      </c>
      <c r="U341" s="5">
        <v>69.900000000000006</v>
      </c>
      <c r="V341" s="5">
        <v>0.1</v>
      </c>
      <c r="W341" s="5">
        <v>0.2</v>
      </c>
      <c r="X341" s="56" t="str">
        <f>GHGFY207[[#This Row],[Data Source (scope 1)]]</f>
        <v>NGER (Measurement) Determination 2008 2019versions pg 318 - Part 3 Fuel combustion - 40</v>
      </c>
      <c r="Y341" s="65" t="s">
        <v>4416</v>
      </c>
      <c r="AB341" s="3">
        <f>(S341-GHGFY207[[#This Row],[Scope 1 Emission factor]])/GHGFY207[[#This Row],[Scope 1 Emission factor]]</f>
        <v>0</v>
      </c>
      <c r="AC341" s="3" t="e">
        <f>(T341-GHGFY207[[#This Row],[Scope 2 Emission factor]])/GHGFY207[[#This Row],[Scope 2 Emission factor]]</f>
        <v>#DIV/0!</v>
      </c>
      <c r="AD341" s="3">
        <f>(U341-GHGFY207[[#This Row],[Scope 3 Emission factor]])/GHGFY207[[#This Row],[Scope 3 Emission factor]]</f>
        <v>18.416666666666668</v>
      </c>
    </row>
    <row r="342" spans="1:30" ht="29.1" hidden="1" customHeight="1">
      <c r="A342" t="s">
        <v>958</v>
      </c>
      <c r="B342" t="s">
        <v>4275</v>
      </c>
      <c r="C342" t="s">
        <v>4412</v>
      </c>
      <c r="D342" t="s">
        <v>1210</v>
      </c>
      <c r="E342" t="s">
        <v>673</v>
      </c>
      <c r="F342">
        <v>1E-3</v>
      </c>
      <c r="G342" t="s">
        <v>4413</v>
      </c>
      <c r="H342">
        <v>38.6</v>
      </c>
      <c r="I342" t="s">
        <v>1140</v>
      </c>
      <c r="J342" s="647">
        <v>70.2</v>
      </c>
      <c r="L342">
        <v>3.6</v>
      </c>
      <c r="M342" t="s">
        <v>4414</v>
      </c>
      <c r="N342" t="s">
        <v>4415</v>
      </c>
      <c r="P342" s="65" t="s">
        <v>4416</v>
      </c>
      <c r="R342" t="s">
        <v>4434</v>
      </c>
      <c r="S342" s="64">
        <f t="shared" ref="S342:S347" si="8">SUM(U342:W342)</f>
        <v>70.2</v>
      </c>
      <c r="U342" s="5">
        <v>69.900000000000006</v>
      </c>
      <c r="V342" s="5">
        <v>0.1</v>
      </c>
      <c r="W342" s="5">
        <v>0.2</v>
      </c>
      <c r="X342" s="56" t="str">
        <f>GHGFY207[[#This Row],[Data Source (scope 1)]]</f>
        <v>NGER (Measurement) Determination 2008 2019versions pg 318 - Part 3 Fuel combustion - 40</v>
      </c>
      <c r="Y342" s="65" t="s">
        <v>4416</v>
      </c>
      <c r="AB342" s="3">
        <f>(S342-GHGFY207[[#This Row],[Scope 1 Emission factor]])/GHGFY207[[#This Row],[Scope 1 Emission factor]]</f>
        <v>0</v>
      </c>
      <c r="AC342" s="3" t="e">
        <f>(T342-GHGFY207[[#This Row],[Scope 2 Emission factor]])/GHGFY207[[#This Row],[Scope 2 Emission factor]]</f>
        <v>#DIV/0!</v>
      </c>
      <c r="AD342" s="3">
        <f>(U342-GHGFY207[[#This Row],[Scope 3 Emission factor]])/GHGFY207[[#This Row],[Scope 3 Emission factor]]</f>
        <v>18.416666666666668</v>
      </c>
    </row>
    <row r="343" spans="1:30" ht="29.1" hidden="1" customHeight="1">
      <c r="A343" t="s">
        <v>959</v>
      </c>
      <c r="B343" t="s">
        <v>4275</v>
      </c>
      <c r="C343" t="s">
        <v>4412</v>
      </c>
      <c r="D343" t="s">
        <v>1193</v>
      </c>
      <c r="E343" t="s">
        <v>673</v>
      </c>
      <c r="F343">
        <v>1E-3</v>
      </c>
      <c r="G343" t="s">
        <v>4413</v>
      </c>
      <c r="H343">
        <v>38.6</v>
      </c>
      <c r="I343" t="s">
        <v>1140</v>
      </c>
      <c r="J343" s="647">
        <v>70.2</v>
      </c>
      <c r="L343">
        <v>3.6</v>
      </c>
      <c r="M343" t="s">
        <v>4414</v>
      </c>
      <c r="N343" t="s">
        <v>4415</v>
      </c>
      <c r="P343" s="65" t="s">
        <v>4416</v>
      </c>
      <c r="S343" s="64">
        <f t="shared" si="8"/>
        <v>70.2</v>
      </c>
      <c r="U343" s="5">
        <v>69.900000000000006</v>
      </c>
      <c r="V343" s="5">
        <v>0.1</v>
      </c>
      <c r="W343" s="5">
        <v>0.2</v>
      </c>
      <c r="X343" s="56" t="str">
        <f>GHGFY207[[#This Row],[Data Source (scope 1)]]</f>
        <v>NGER (Measurement) Determination 2008 2019versions pg 318 - Part 3 Fuel combustion - 40</v>
      </c>
      <c r="Y343" s="65" t="s">
        <v>4416</v>
      </c>
      <c r="AB343" s="3">
        <f>(S343-GHGFY207[[#This Row],[Scope 1 Emission factor]])/GHGFY207[[#This Row],[Scope 1 Emission factor]]</f>
        <v>0</v>
      </c>
      <c r="AC343" s="3" t="e">
        <f>(T343-GHGFY207[[#This Row],[Scope 2 Emission factor]])/GHGFY207[[#This Row],[Scope 2 Emission factor]]</f>
        <v>#DIV/0!</v>
      </c>
      <c r="AD343" s="3">
        <f>(U343-GHGFY207[[#This Row],[Scope 3 Emission factor]])/GHGFY207[[#This Row],[Scope 3 Emission factor]]</f>
        <v>18.416666666666668</v>
      </c>
    </row>
    <row r="344" spans="1:30" ht="29.1" hidden="1" customHeight="1">
      <c r="A344" t="s">
        <v>960</v>
      </c>
      <c r="B344" t="s">
        <v>4275</v>
      </c>
      <c r="C344" t="s">
        <v>4412</v>
      </c>
      <c r="D344" t="s">
        <v>1213</v>
      </c>
      <c r="E344" t="s">
        <v>673</v>
      </c>
      <c r="F344">
        <v>1E-3</v>
      </c>
      <c r="G344" t="s">
        <v>4413</v>
      </c>
      <c r="H344">
        <v>38.6</v>
      </c>
      <c r="I344" t="s">
        <v>1140</v>
      </c>
      <c r="J344" s="647">
        <v>70.2</v>
      </c>
      <c r="L344">
        <v>3.6</v>
      </c>
      <c r="M344" t="s">
        <v>4414</v>
      </c>
      <c r="N344" t="s">
        <v>4415</v>
      </c>
      <c r="P344" s="65" t="s">
        <v>4416</v>
      </c>
      <c r="S344" s="64">
        <f t="shared" si="8"/>
        <v>70.2</v>
      </c>
      <c r="U344" s="5">
        <v>69.900000000000006</v>
      </c>
      <c r="V344" s="5">
        <v>0.1</v>
      </c>
      <c r="W344" s="5">
        <v>0.2</v>
      </c>
      <c r="X344" s="56" t="str">
        <f>GHGFY207[[#This Row],[Data Source (scope 1)]]</f>
        <v>NGER (Measurement) Determination 2008 2019versions pg 318 - Part 3 Fuel combustion - 40</v>
      </c>
      <c r="Y344" s="65" t="s">
        <v>4416</v>
      </c>
      <c r="AB344" s="3">
        <f>(S344-GHGFY207[[#This Row],[Scope 1 Emission factor]])/GHGFY207[[#This Row],[Scope 1 Emission factor]]</f>
        <v>0</v>
      </c>
      <c r="AC344" s="3" t="e">
        <f>(T344-GHGFY207[[#This Row],[Scope 2 Emission factor]])/GHGFY207[[#This Row],[Scope 2 Emission factor]]</f>
        <v>#DIV/0!</v>
      </c>
      <c r="AD344" s="3">
        <f>(U344-GHGFY207[[#This Row],[Scope 3 Emission factor]])/GHGFY207[[#This Row],[Scope 3 Emission factor]]</f>
        <v>18.416666666666668</v>
      </c>
    </row>
    <row r="345" spans="1:30" ht="29.1" hidden="1" customHeight="1">
      <c r="A345" t="s">
        <v>961</v>
      </c>
      <c r="B345" t="s">
        <v>4275</v>
      </c>
      <c r="C345" t="s">
        <v>4412</v>
      </c>
      <c r="D345" t="s">
        <v>1189</v>
      </c>
      <c r="E345" t="s">
        <v>673</v>
      </c>
      <c r="F345">
        <v>1E-3</v>
      </c>
      <c r="G345" t="s">
        <v>4413</v>
      </c>
      <c r="H345">
        <v>38.6</v>
      </c>
      <c r="I345" t="s">
        <v>1140</v>
      </c>
      <c r="J345" s="647">
        <v>70.2</v>
      </c>
      <c r="L345">
        <v>3.6</v>
      </c>
      <c r="M345" t="s">
        <v>4414</v>
      </c>
      <c r="N345" t="s">
        <v>4415</v>
      </c>
      <c r="P345" s="65" t="s">
        <v>4416</v>
      </c>
      <c r="S345" s="64">
        <f t="shared" si="8"/>
        <v>70.2</v>
      </c>
      <c r="U345" s="5">
        <v>69.900000000000006</v>
      </c>
      <c r="V345" s="5">
        <v>0.1</v>
      </c>
      <c r="W345" s="5">
        <v>0.2</v>
      </c>
      <c r="X345" s="56" t="str">
        <f>GHGFY207[[#This Row],[Data Source (scope 1)]]</f>
        <v>NGER (Measurement) Determination 2008 2019versions pg 318 - Part 3 Fuel combustion - 40</v>
      </c>
      <c r="Y345" s="65" t="s">
        <v>4416</v>
      </c>
      <c r="AB345" s="3">
        <f>(S345-GHGFY207[[#This Row],[Scope 1 Emission factor]])/GHGFY207[[#This Row],[Scope 1 Emission factor]]</f>
        <v>0</v>
      </c>
      <c r="AC345" s="3" t="e">
        <f>(T345-GHGFY207[[#This Row],[Scope 2 Emission factor]])/GHGFY207[[#This Row],[Scope 2 Emission factor]]</f>
        <v>#DIV/0!</v>
      </c>
      <c r="AD345" s="3">
        <f>(U345-GHGFY207[[#This Row],[Scope 3 Emission factor]])/GHGFY207[[#This Row],[Scope 3 Emission factor]]</f>
        <v>18.416666666666668</v>
      </c>
    </row>
    <row r="346" spans="1:30" ht="29.1" hidden="1" customHeight="1">
      <c r="A346" t="s">
        <v>962</v>
      </c>
      <c r="B346" t="s">
        <v>4275</v>
      </c>
      <c r="C346" t="s">
        <v>4412</v>
      </c>
      <c r="D346" t="s">
        <v>1216</v>
      </c>
      <c r="E346" t="s">
        <v>673</v>
      </c>
      <c r="F346">
        <v>1E-3</v>
      </c>
      <c r="G346" t="s">
        <v>4413</v>
      </c>
      <c r="H346">
        <v>38.6</v>
      </c>
      <c r="I346" t="s">
        <v>1140</v>
      </c>
      <c r="J346" s="647">
        <v>70.2</v>
      </c>
      <c r="L346">
        <v>3.6</v>
      </c>
      <c r="M346" t="s">
        <v>4414</v>
      </c>
      <c r="N346" t="s">
        <v>4415</v>
      </c>
      <c r="P346" s="65" t="s">
        <v>4416</v>
      </c>
      <c r="S346" s="64">
        <f t="shared" si="8"/>
        <v>70.2</v>
      </c>
      <c r="U346" s="5">
        <v>69.900000000000006</v>
      </c>
      <c r="V346" s="5">
        <v>0.1</v>
      </c>
      <c r="W346" s="5">
        <v>0.2</v>
      </c>
      <c r="X346" s="56" t="str">
        <f>GHGFY207[[#This Row],[Data Source (scope 1)]]</f>
        <v>NGER (Measurement) Determination 2008 2019versions pg 318 - Part 3 Fuel combustion - 40</v>
      </c>
      <c r="Y346" s="65" t="s">
        <v>4416</v>
      </c>
      <c r="AB346" s="3">
        <f>(S346-GHGFY207[[#This Row],[Scope 1 Emission factor]])/GHGFY207[[#This Row],[Scope 1 Emission factor]]</f>
        <v>0</v>
      </c>
      <c r="AC346" s="3" t="e">
        <f>(T346-GHGFY207[[#This Row],[Scope 2 Emission factor]])/GHGFY207[[#This Row],[Scope 2 Emission factor]]</f>
        <v>#DIV/0!</v>
      </c>
      <c r="AD346" s="3">
        <f>(U346-GHGFY207[[#This Row],[Scope 3 Emission factor]])/GHGFY207[[#This Row],[Scope 3 Emission factor]]</f>
        <v>18.416666666666668</v>
      </c>
    </row>
    <row r="347" spans="1:30" ht="29.1" hidden="1" customHeight="1">
      <c r="A347" t="s">
        <v>957</v>
      </c>
      <c r="B347" t="s">
        <v>4275</v>
      </c>
      <c r="C347" t="s">
        <v>4412</v>
      </c>
      <c r="D347" t="s">
        <v>1208</v>
      </c>
      <c r="E347" t="s">
        <v>673</v>
      </c>
      <c r="F347">
        <v>1E-3</v>
      </c>
      <c r="G347" t="s">
        <v>4413</v>
      </c>
      <c r="H347">
        <v>38.6</v>
      </c>
      <c r="I347" t="s">
        <v>1140</v>
      </c>
      <c r="J347" s="647">
        <v>70.2</v>
      </c>
      <c r="L347">
        <v>3.6</v>
      </c>
      <c r="M347" t="s">
        <v>4414</v>
      </c>
      <c r="N347" t="s">
        <v>4415</v>
      </c>
      <c r="P347" s="65" t="s">
        <v>4416</v>
      </c>
      <c r="S347" s="66">
        <f t="shared" si="8"/>
        <v>70.2</v>
      </c>
      <c r="U347" s="5">
        <v>69.900000000000006</v>
      </c>
      <c r="V347" s="5">
        <v>0.1</v>
      </c>
      <c r="W347" s="5">
        <v>0.2</v>
      </c>
      <c r="X347" s="56" t="str">
        <f>GHGFY207[[#This Row],[Data Source (scope 1)]]</f>
        <v>NGER (Measurement) Determination 2008 2019versions pg 318 - Part 3 Fuel combustion - 40</v>
      </c>
      <c r="Y347" s="65" t="s">
        <v>4416</v>
      </c>
      <c r="AB347" s="3">
        <f>(S347-GHGFY207[[#This Row],[Scope 1 Emission factor]])/GHGFY207[[#This Row],[Scope 1 Emission factor]]</f>
        <v>0</v>
      </c>
      <c r="AC347" s="3" t="e">
        <f>(T347-GHGFY207[[#This Row],[Scope 2 Emission factor]])/GHGFY207[[#This Row],[Scope 2 Emission factor]]</f>
        <v>#DIV/0!</v>
      </c>
      <c r="AD347" s="3">
        <f>(U347-GHGFY207[[#This Row],[Scope 3 Emission factor]])/GHGFY207[[#This Row],[Scope 3 Emission factor]]</f>
        <v>18.416666666666668</v>
      </c>
    </row>
    <row r="348" spans="1:30" hidden="1">
      <c r="A348" t="s">
        <v>978</v>
      </c>
      <c r="B348" t="s">
        <v>4276</v>
      </c>
      <c r="C348" t="s">
        <v>4402</v>
      </c>
      <c r="D348" t="s">
        <v>1190</v>
      </c>
      <c r="E348" t="s">
        <v>663</v>
      </c>
      <c r="H348">
        <v>3.5999999999999999E-3</v>
      </c>
      <c r="I348" t="s">
        <v>1137</v>
      </c>
      <c r="J348">
        <v>0</v>
      </c>
      <c r="K348" s="647">
        <v>0</v>
      </c>
      <c r="L348" s="647">
        <v>0</v>
      </c>
      <c r="M348" t="s">
        <v>4403</v>
      </c>
      <c r="S348" s="66"/>
      <c r="U348" s="5"/>
      <c r="V348" s="5"/>
      <c r="W348" s="5"/>
      <c r="Y348" s="65"/>
      <c r="AB348" s="3"/>
      <c r="AC348" s="3" t="e">
        <f>(T348-GHGFY207[[#This Row],[Scope 2 Emission factor]])/GHGFY207[[#This Row],[Scope 2 Emission factor]]</f>
        <v>#DIV/0!</v>
      </c>
      <c r="AD348" s="3" t="e">
        <f>(U348-GHGFY207[[#This Row],[Scope 3 Emission factor]])/GHGFY207[[#This Row],[Scope 3 Emission factor]]</f>
        <v>#DIV/0!</v>
      </c>
    </row>
    <row r="349" spans="1:30" hidden="1">
      <c r="A349" t="s">
        <v>979</v>
      </c>
      <c r="B349" t="s">
        <v>4276</v>
      </c>
      <c r="C349" t="s">
        <v>4402</v>
      </c>
      <c r="D349" t="s">
        <v>1192</v>
      </c>
      <c r="E349" t="s">
        <v>663</v>
      </c>
      <c r="H349">
        <v>3.5999999999999999E-3</v>
      </c>
      <c r="I349" t="s">
        <v>1137</v>
      </c>
      <c r="J349">
        <v>0</v>
      </c>
      <c r="K349" s="647">
        <v>0</v>
      </c>
      <c r="L349" s="647">
        <v>0</v>
      </c>
      <c r="M349" t="s">
        <v>4403</v>
      </c>
      <c r="S349" s="66"/>
      <c r="U349" s="5"/>
      <c r="V349" s="5"/>
      <c r="W349" s="5"/>
      <c r="Y349" s="65"/>
      <c r="AB349" s="3"/>
      <c r="AC349" s="3" t="e">
        <f>(T349-GHGFY207[[#This Row],[Scope 2 Emission factor]])/GHGFY207[[#This Row],[Scope 2 Emission factor]]</f>
        <v>#DIV/0!</v>
      </c>
      <c r="AD349" s="3" t="e">
        <f>(U349-GHGFY207[[#This Row],[Scope 3 Emission factor]])/GHGFY207[[#This Row],[Scope 3 Emission factor]]</f>
        <v>#DIV/0!</v>
      </c>
    </row>
    <row r="350" spans="1:30" hidden="1">
      <c r="A350" t="s">
        <v>980</v>
      </c>
      <c r="B350" t="s">
        <v>4276</v>
      </c>
      <c r="C350" t="s">
        <v>4402</v>
      </c>
      <c r="D350" t="s">
        <v>1208</v>
      </c>
      <c r="E350" t="s">
        <v>663</v>
      </c>
      <c r="H350">
        <v>3.5999999999999999E-3</v>
      </c>
      <c r="I350" t="s">
        <v>1137</v>
      </c>
      <c r="J350">
        <v>0</v>
      </c>
      <c r="K350" s="647">
        <v>0</v>
      </c>
      <c r="L350" s="647">
        <v>0</v>
      </c>
      <c r="M350" t="s">
        <v>4403</v>
      </c>
      <c r="S350" s="66"/>
      <c r="U350" s="5"/>
      <c r="V350" s="5"/>
      <c r="W350" s="5"/>
      <c r="Y350" s="65"/>
      <c r="AB350" s="3"/>
      <c r="AC350" s="3" t="e">
        <f>(T350-GHGFY207[[#This Row],[Scope 2 Emission factor]])/GHGFY207[[#This Row],[Scope 2 Emission factor]]</f>
        <v>#DIV/0!</v>
      </c>
      <c r="AD350" s="3" t="e">
        <f>(U350-GHGFY207[[#This Row],[Scope 3 Emission factor]])/GHGFY207[[#This Row],[Scope 3 Emission factor]]</f>
        <v>#DIV/0!</v>
      </c>
    </row>
    <row r="351" spans="1:30" hidden="1">
      <c r="A351" t="s">
        <v>981</v>
      </c>
      <c r="B351" t="s">
        <v>4276</v>
      </c>
      <c r="C351" t="s">
        <v>4402</v>
      </c>
      <c r="D351" t="s">
        <v>1210</v>
      </c>
      <c r="E351" t="s">
        <v>663</v>
      </c>
      <c r="H351">
        <v>3.5999999999999999E-3</v>
      </c>
      <c r="I351" t="s">
        <v>1137</v>
      </c>
      <c r="J351">
        <v>0</v>
      </c>
      <c r="K351" s="647">
        <v>0</v>
      </c>
      <c r="L351" s="647">
        <v>0</v>
      </c>
      <c r="M351" t="s">
        <v>4403</v>
      </c>
      <c r="S351" s="66"/>
      <c r="U351" s="5"/>
      <c r="V351" s="5"/>
      <c r="W351" s="5"/>
      <c r="Y351" s="65"/>
      <c r="AB351" s="3"/>
      <c r="AC351" s="3" t="e">
        <f>(T351-GHGFY207[[#This Row],[Scope 2 Emission factor]])/GHGFY207[[#This Row],[Scope 2 Emission factor]]</f>
        <v>#DIV/0!</v>
      </c>
      <c r="AD351" s="3" t="e">
        <f>(U351-GHGFY207[[#This Row],[Scope 3 Emission factor]])/GHGFY207[[#This Row],[Scope 3 Emission factor]]</f>
        <v>#DIV/0!</v>
      </c>
    </row>
    <row r="352" spans="1:30" hidden="1">
      <c r="A352" t="s">
        <v>982</v>
      </c>
      <c r="B352" t="s">
        <v>4276</v>
      </c>
      <c r="C352" t="s">
        <v>4402</v>
      </c>
      <c r="D352" t="s">
        <v>1193</v>
      </c>
      <c r="E352" t="s">
        <v>663</v>
      </c>
      <c r="H352">
        <v>3.5999999999999999E-3</v>
      </c>
      <c r="I352" t="s">
        <v>1137</v>
      </c>
      <c r="J352">
        <v>0</v>
      </c>
      <c r="K352" s="647">
        <v>0</v>
      </c>
      <c r="L352" s="647">
        <v>0</v>
      </c>
      <c r="M352" t="s">
        <v>4403</v>
      </c>
      <c r="S352" s="66"/>
      <c r="U352" s="5"/>
      <c r="V352" s="5"/>
      <c r="W352" s="5"/>
      <c r="Y352" s="65"/>
      <c r="AB352" s="3"/>
      <c r="AC352" s="3" t="e">
        <f>(T352-GHGFY207[[#This Row],[Scope 2 Emission factor]])/GHGFY207[[#This Row],[Scope 2 Emission factor]]</f>
        <v>#DIV/0!</v>
      </c>
      <c r="AD352" s="3" t="e">
        <f>(U352-GHGFY207[[#This Row],[Scope 3 Emission factor]])/GHGFY207[[#This Row],[Scope 3 Emission factor]]</f>
        <v>#DIV/0!</v>
      </c>
    </row>
    <row r="353" spans="1:30" hidden="1">
      <c r="A353" t="s">
        <v>983</v>
      </c>
      <c r="B353" t="s">
        <v>4276</v>
      </c>
      <c r="C353" t="s">
        <v>4402</v>
      </c>
      <c r="D353" t="s">
        <v>1213</v>
      </c>
      <c r="E353" t="s">
        <v>663</v>
      </c>
      <c r="H353">
        <v>3.5999999999999999E-3</v>
      </c>
      <c r="I353" t="s">
        <v>1137</v>
      </c>
      <c r="J353">
        <v>0</v>
      </c>
      <c r="K353" s="647">
        <v>0</v>
      </c>
      <c r="L353" s="647">
        <v>0</v>
      </c>
      <c r="M353" t="s">
        <v>4403</v>
      </c>
      <c r="S353" s="66"/>
      <c r="U353" s="5"/>
      <c r="V353" s="5"/>
      <c r="W353" s="5"/>
      <c r="Y353" s="65"/>
      <c r="AB353" s="3"/>
      <c r="AC353" s="3" t="e">
        <f>(T353-GHGFY207[[#This Row],[Scope 2 Emission factor]])/GHGFY207[[#This Row],[Scope 2 Emission factor]]</f>
        <v>#DIV/0!</v>
      </c>
      <c r="AD353" s="3" t="e">
        <f>(U353-GHGFY207[[#This Row],[Scope 3 Emission factor]])/GHGFY207[[#This Row],[Scope 3 Emission factor]]</f>
        <v>#DIV/0!</v>
      </c>
    </row>
    <row r="354" spans="1:30" hidden="1">
      <c r="A354" t="s">
        <v>984</v>
      </c>
      <c r="B354" t="s">
        <v>4276</v>
      </c>
      <c r="C354" t="s">
        <v>4402</v>
      </c>
      <c r="D354" t="s">
        <v>1189</v>
      </c>
      <c r="E354" t="s">
        <v>663</v>
      </c>
      <c r="H354">
        <v>3.5999999999999999E-3</v>
      </c>
      <c r="I354" t="s">
        <v>1137</v>
      </c>
      <c r="J354">
        <v>0</v>
      </c>
      <c r="K354" s="647">
        <v>0</v>
      </c>
      <c r="L354" s="647">
        <v>0</v>
      </c>
      <c r="M354" t="s">
        <v>4403</v>
      </c>
      <c r="S354" s="66"/>
      <c r="U354" s="5"/>
      <c r="V354" s="5"/>
      <c r="W354" s="5"/>
      <c r="Y354" s="65"/>
      <c r="AB354" s="3"/>
      <c r="AC354" s="3" t="e">
        <f>(T354-GHGFY207[[#This Row],[Scope 2 Emission factor]])/GHGFY207[[#This Row],[Scope 2 Emission factor]]</f>
        <v>#DIV/0!</v>
      </c>
      <c r="AD354" s="3" t="e">
        <f>(U354-GHGFY207[[#This Row],[Scope 3 Emission factor]])/GHGFY207[[#This Row],[Scope 3 Emission factor]]</f>
        <v>#DIV/0!</v>
      </c>
    </row>
    <row r="355" spans="1:30" hidden="1">
      <c r="A355" t="s">
        <v>985</v>
      </c>
      <c r="B355" t="s">
        <v>4276</v>
      </c>
      <c r="C355" t="s">
        <v>4402</v>
      </c>
      <c r="D355" t="s">
        <v>1216</v>
      </c>
      <c r="E355" t="s">
        <v>663</v>
      </c>
      <c r="H355">
        <v>3.5999999999999999E-3</v>
      </c>
      <c r="I355" t="s">
        <v>1137</v>
      </c>
      <c r="J355">
        <v>0</v>
      </c>
      <c r="K355" s="647">
        <v>0</v>
      </c>
      <c r="L355" s="647">
        <v>0</v>
      </c>
      <c r="M355" t="s">
        <v>4403</v>
      </c>
      <c r="S355" s="66"/>
      <c r="U355" s="5"/>
      <c r="V355" s="5"/>
      <c r="W355" s="5"/>
      <c r="Y355" s="65"/>
      <c r="AB355" s="3"/>
      <c r="AC355" s="3" t="e">
        <f>(T355-GHGFY207[[#This Row],[Scope 2 Emission factor]])/GHGFY207[[#This Row],[Scope 2 Emission factor]]</f>
        <v>#DIV/0!</v>
      </c>
      <c r="AD355" s="3" t="e">
        <f>(U355-GHGFY207[[#This Row],[Scope 3 Emission factor]])/GHGFY207[[#This Row],[Scope 3 Emission factor]]</f>
        <v>#DIV/0!</v>
      </c>
    </row>
    <row r="356" spans="1:30" hidden="1">
      <c r="A356" t="s">
        <v>4435</v>
      </c>
      <c r="B356" t="s">
        <v>4276</v>
      </c>
      <c r="C356" t="s">
        <v>4402</v>
      </c>
      <c r="D356" t="s">
        <v>1190</v>
      </c>
      <c r="E356" t="s">
        <v>663</v>
      </c>
      <c r="H356">
        <v>3.5999999999999999E-3</v>
      </c>
      <c r="I356" t="s">
        <v>1137</v>
      </c>
      <c r="J356">
        <v>0</v>
      </c>
      <c r="K356" s="647">
        <v>0</v>
      </c>
      <c r="L356" s="647">
        <v>0</v>
      </c>
      <c r="M356" t="s">
        <v>4403</v>
      </c>
      <c r="Y356" s="65"/>
      <c r="AC356" s="3" t="e">
        <f>(T356-GHGFY207[[#This Row],[Scope 2 Emission factor]])/GHGFY207[[#This Row],[Scope 2 Emission factor]]</f>
        <v>#DIV/0!</v>
      </c>
      <c r="AD356" s="3" t="e">
        <f>(U356-GHGFY207[[#This Row],[Scope 3 Emission factor]])/GHGFY207[[#This Row],[Scope 3 Emission factor]]</f>
        <v>#DIV/0!</v>
      </c>
    </row>
    <row r="357" spans="1:30" hidden="1">
      <c r="A357" t="s">
        <v>4436</v>
      </c>
      <c r="B357" t="s">
        <v>4276</v>
      </c>
      <c r="C357" t="s">
        <v>4402</v>
      </c>
      <c r="D357" t="s">
        <v>1192</v>
      </c>
      <c r="E357" t="s">
        <v>663</v>
      </c>
      <c r="H357">
        <v>3.5999999999999999E-3</v>
      </c>
      <c r="I357" t="s">
        <v>1137</v>
      </c>
      <c r="J357">
        <v>0</v>
      </c>
      <c r="K357" s="647">
        <v>0</v>
      </c>
      <c r="L357" s="647">
        <v>0</v>
      </c>
      <c r="M357" t="s">
        <v>4403</v>
      </c>
      <c r="Y357" s="65"/>
      <c r="AC357" s="3" t="e">
        <f>(T357-GHGFY207[[#This Row],[Scope 2 Emission factor]])/GHGFY207[[#This Row],[Scope 2 Emission factor]]</f>
        <v>#DIV/0!</v>
      </c>
      <c r="AD357" s="3" t="e">
        <f>(U357-GHGFY207[[#This Row],[Scope 3 Emission factor]])/GHGFY207[[#This Row],[Scope 3 Emission factor]]</f>
        <v>#DIV/0!</v>
      </c>
    </row>
    <row r="358" spans="1:30" hidden="1">
      <c r="A358" t="s">
        <v>4437</v>
      </c>
      <c r="B358" t="s">
        <v>4276</v>
      </c>
      <c r="C358" t="s">
        <v>4402</v>
      </c>
      <c r="D358" t="s">
        <v>1208</v>
      </c>
      <c r="E358" t="s">
        <v>663</v>
      </c>
      <c r="H358">
        <v>3.5999999999999999E-3</v>
      </c>
      <c r="I358" t="s">
        <v>1137</v>
      </c>
      <c r="J358">
        <v>0</v>
      </c>
      <c r="K358" s="647">
        <v>0</v>
      </c>
      <c r="L358" s="647">
        <v>0</v>
      </c>
      <c r="M358" t="s">
        <v>4403</v>
      </c>
      <c r="Y358" s="65"/>
      <c r="AC358" s="3" t="e">
        <f>(T358-GHGFY207[[#This Row],[Scope 2 Emission factor]])/GHGFY207[[#This Row],[Scope 2 Emission factor]]</f>
        <v>#DIV/0!</v>
      </c>
      <c r="AD358" s="3" t="e">
        <f>(U358-GHGFY207[[#This Row],[Scope 3 Emission factor]])/GHGFY207[[#This Row],[Scope 3 Emission factor]]</f>
        <v>#DIV/0!</v>
      </c>
    </row>
    <row r="359" spans="1:30" hidden="1">
      <c r="A359" t="s">
        <v>4438</v>
      </c>
      <c r="B359" t="s">
        <v>4276</v>
      </c>
      <c r="C359" t="s">
        <v>4402</v>
      </c>
      <c r="D359" t="s">
        <v>1210</v>
      </c>
      <c r="E359" t="s">
        <v>663</v>
      </c>
      <c r="H359">
        <v>3.5999999999999999E-3</v>
      </c>
      <c r="I359" t="s">
        <v>1137</v>
      </c>
      <c r="J359">
        <v>0</v>
      </c>
      <c r="K359" s="647">
        <v>0</v>
      </c>
      <c r="L359" s="647">
        <v>0</v>
      </c>
      <c r="M359" t="s">
        <v>4403</v>
      </c>
      <c r="Y359" s="65"/>
      <c r="AC359" s="3" t="e">
        <f>(T359-GHGFY207[[#This Row],[Scope 2 Emission factor]])/GHGFY207[[#This Row],[Scope 2 Emission factor]]</f>
        <v>#DIV/0!</v>
      </c>
      <c r="AD359" s="3" t="e">
        <f>(U359-GHGFY207[[#This Row],[Scope 3 Emission factor]])/GHGFY207[[#This Row],[Scope 3 Emission factor]]</f>
        <v>#DIV/0!</v>
      </c>
    </row>
    <row r="360" spans="1:30" hidden="1">
      <c r="A360" t="s">
        <v>4439</v>
      </c>
      <c r="B360" t="s">
        <v>4276</v>
      </c>
      <c r="C360" t="s">
        <v>4402</v>
      </c>
      <c r="D360" t="s">
        <v>1193</v>
      </c>
      <c r="E360" t="s">
        <v>663</v>
      </c>
      <c r="H360">
        <v>3.5999999999999999E-3</v>
      </c>
      <c r="I360" t="s">
        <v>1137</v>
      </c>
      <c r="J360">
        <v>0</v>
      </c>
      <c r="K360" s="647">
        <v>0</v>
      </c>
      <c r="L360" s="647">
        <v>0</v>
      </c>
      <c r="M360" t="s">
        <v>4403</v>
      </c>
      <c r="Y360" s="65"/>
      <c r="AC360" s="3" t="e">
        <f>(T360-GHGFY207[[#This Row],[Scope 2 Emission factor]])/GHGFY207[[#This Row],[Scope 2 Emission factor]]</f>
        <v>#DIV/0!</v>
      </c>
      <c r="AD360" s="3" t="e">
        <f>(U360-GHGFY207[[#This Row],[Scope 3 Emission factor]])/GHGFY207[[#This Row],[Scope 3 Emission factor]]</f>
        <v>#DIV/0!</v>
      </c>
    </row>
    <row r="361" spans="1:30" hidden="1">
      <c r="A361" t="s">
        <v>4440</v>
      </c>
      <c r="B361" t="s">
        <v>4276</v>
      </c>
      <c r="C361" t="s">
        <v>4402</v>
      </c>
      <c r="D361" t="s">
        <v>1213</v>
      </c>
      <c r="E361" t="s">
        <v>663</v>
      </c>
      <c r="H361">
        <v>3.5999999999999999E-3</v>
      </c>
      <c r="I361" t="s">
        <v>1137</v>
      </c>
      <c r="J361">
        <v>0</v>
      </c>
      <c r="K361" s="647">
        <v>0</v>
      </c>
      <c r="L361" s="647">
        <v>0</v>
      </c>
      <c r="M361" t="s">
        <v>4403</v>
      </c>
      <c r="Y361" s="65"/>
      <c r="AC361" s="3" t="e">
        <f>(T361-GHGFY207[[#This Row],[Scope 2 Emission factor]])/GHGFY207[[#This Row],[Scope 2 Emission factor]]</f>
        <v>#DIV/0!</v>
      </c>
      <c r="AD361" s="3" t="e">
        <f>(U361-GHGFY207[[#This Row],[Scope 3 Emission factor]])/GHGFY207[[#This Row],[Scope 3 Emission factor]]</f>
        <v>#DIV/0!</v>
      </c>
    </row>
    <row r="362" spans="1:30" hidden="1">
      <c r="A362" t="s">
        <v>4441</v>
      </c>
      <c r="B362" t="s">
        <v>4276</v>
      </c>
      <c r="C362" t="s">
        <v>4402</v>
      </c>
      <c r="D362" t="s">
        <v>1189</v>
      </c>
      <c r="E362" t="s">
        <v>663</v>
      </c>
      <c r="H362">
        <v>3.5999999999999999E-3</v>
      </c>
      <c r="I362" t="s">
        <v>1137</v>
      </c>
      <c r="J362">
        <v>0</v>
      </c>
      <c r="K362" s="647">
        <v>0</v>
      </c>
      <c r="L362" s="647">
        <v>0</v>
      </c>
      <c r="M362" t="s">
        <v>4403</v>
      </c>
      <c r="Y362" s="65"/>
      <c r="AC362" s="3" t="e">
        <f>(T362-GHGFY207[[#This Row],[Scope 2 Emission factor]])/GHGFY207[[#This Row],[Scope 2 Emission factor]]</f>
        <v>#DIV/0!</v>
      </c>
      <c r="AD362" s="3" t="e">
        <f>(U362-GHGFY207[[#This Row],[Scope 3 Emission factor]])/GHGFY207[[#This Row],[Scope 3 Emission factor]]</f>
        <v>#DIV/0!</v>
      </c>
    </row>
    <row r="363" spans="1:30" hidden="1">
      <c r="A363" t="s">
        <v>4442</v>
      </c>
      <c r="B363" t="s">
        <v>4276</v>
      </c>
      <c r="C363" t="s">
        <v>4402</v>
      </c>
      <c r="D363" t="s">
        <v>1216</v>
      </c>
      <c r="E363" t="s">
        <v>663</v>
      </c>
      <c r="H363">
        <v>3.5999999999999999E-3</v>
      </c>
      <c r="I363" t="s">
        <v>1137</v>
      </c>
      <c r="J363">
        <v>0</v>
      </c>
      <c r="K363" s="647">
        <v>0</v>
      </c>
      <c r="L363" s="647">
        <v>0</v>
      </c>
      <c r="M363" t="s">
        <v>4403</v>
      </c>
      <c r="Y363" s="65"/>
      <c r="AC363" s="3" t="e">
        <f>(T363-GHGFY207[[#This Row],[Scope 2 Emission factor]])/GHGFY207[[#This Row],[Scope 2 Emission factor]]</f>
        <v>#DIV/0!</v>
      </c>
      <c r="AD363" s="3" t="e">
        <f>(U363-GHGFY207[[#This Row],[Scope 3 Emission factor]])/GHGFY207[[#This Row],[Scope 3 Emission factor]]</f>
        <v>#DIV/0!</v>
      </c>
    </row>
    <row r="364" spans="1:30" ht="29.1" hidden="1" customHeight="1">
      <c r="A364" t="s">
        <v>826</v>
      </c>
      <c r="B364" t="s">
        <v>4278</v>
      </c>
      <c r="C364" t="s">
        <v>4409</v>
      </c>
      <c r="D364" t="s">
        <v>1189</v>
      </c>
      <c r="E364" t="s">
        <v>670</v>
      </c>
      <c r="F364">
        <v>1E-3</v>
      </c>
      <c r="G364" t="s">
        <v>4410</v>
      </c>
      <c r="H364">
        <v>1</v>
      </c>
      <c r="J364" s="647">
        <v>51.53</v>
      </c>
      <c r="L364">
        <v>3.9</v>
      </c>
      <c r="M364" t="s">
        <v>4411</v>
      </c>
      <c r="N364" t="s">
        <v>4404</v>
      </c>
      <c r="P364" t="s">
        <v>4443</v>
      </c>
      <c r="R364" t="s">
        <v>4444</v>
      </c>
      <c r="S364" s="64">
        <f>SUM(U364:W364)</f>
        <v>51.53</v>
      </c>
      <c r="U364" s="5">
        <v>51.4</v>
      </c>
      <c r="V364" s="5">
        <v>0.1</v>
      </c>
      <c r="W364" s="5">
        <v>0.03</v>
      </c>
      <c r="X364" s="56" t="str">
        <f>GHGFY207[[#This Row],[Data Source (scope 1)]]</f>
        <v>National Greenhouse and Energy Reporting (Measurement) Determination 2008 (compiled 1 July 2020). Indirect Factor - NGA workbook (where applicable), published Sept 2020.</v>
      </c>
      <c r="Y364" s="65" t="s">
        <v>4443</v>
      </c>
      <c r="AB364" s="3">
        <f>(S364-GHGFY207[[#This Row],[Scope 1 Emission factor]])/GHGFY207[[#This Row],[Scope 1 Emission factor]]</f>
        <v>0</v>
      </c>
      <c r="AC364" s="3" t="e">
        <f>(T364-GHGFY207[[#This Row],[Scope 2 Emission factor]])/GHGFY207[[#This Row],[Scope 2 Emission factor]]</f>
        <v>#DIV/0!</v>
      </c>
      <c r="AD364" s="3">
        <f>(U364-GHGFY207[[#This Row],[Scope 3 Emission factor]])/GHGFY207[[#This Row],[Scope 3 Emission factor]]</f>
        <v>12.179487179487181</v>
      </c>
    </row>
    <row r="365" spans="1:30" ht="29.1" hidden="1" customHeight="1">
      <c r="A365" t="s">
        <v>4445</v>
      </c>
      <c r="B365" t="s">
        <v>1227</v>
      </c>
      <c r="C365" t="s">
        <v>4412</v>
      </c>
      <c r="D365" t="s">
        <v>1192</v>
      </c>
      <c r="E365" t="s">
        <v>787</v>
      </c>
      <c r="F365">
        <v>1E-3</v>
      </c>
      <c r="G365" t="s">
        <v>4413</v>
      </c>
      <c r="H365">
        <v>38.6</v>
      </c>
      <c r="I365" t="s">
        <v>1140</v>
      </c>
      <c r="J365" s="647">
        <v>70.2</v>
      </c>
      <c r="L365">
        <v>3.6</v>
      </c>
      <c r="M365" t="s">
        <v>4414</v>
      </c>
      <c r="N365" t="s">
        <v>4415</v>
      </c>
      <c r="P365" t="s">
        <v>4416</v>
      </c>
      <c r="S365" s="64">
        <f>SUM(U365:W365)</f>
        <v>70.2</v>
      </c>
      <c r="U365" s="5">
        <v>69.900000000000006</v>
      </c>
      <c r="V365" s="5">
        <v>0.1</v>
      </c>
      <c r="W365" s="5">
        <v>0.2</v>
      </c>
      <c r="X365" s="56" t="str">
        <f>GHGFY207[[#This Row],[Data Source (scope 1)]]</f>
        <v>NGER (Measurement) Determination 2008 2019versions pg 318 - Part 3 Fuel combustion - 40</v>
      </c>
      <c r="Y365" s="65" t="s">
        <v>4416</v>
      </c>
      <c r="AB365" s="3">
        <f>(S365-GHGFY207[[#This Row],[Scope 1 Emission factor]])/GHGFY207[[#This Row],[Scope 1 Emission factor]]</f>
        <v>0</v>
      </c>
      <c r="AC365" s="3" t="e">
        <f>(T365-GHGFY207[[#This Row],[Scope 2 Emission factor]])/GHGFY207[[#This Row],[Scope 2 Emission factor]]</f>
        <v>#DIV/0!</v>
      </c>
      <c r="AD365" s="3">
        <f>(U365-GHGFY207[[#This Row],[Scope 3 Emission factor]])/GHGFY207[[#This Row],[Scope 3 Emission factor]]</f>
        <v>18.416666666666668</v>
      </c>
    </row>
    <row r="366" spans="1:30" ht="29.1" hidden="1" customHeight="1">
      <c r="A366" s="9" t="s">
        <v>827</v>
      </c>
      <c r="B366" s="9" t="s">
        <v>1227</v>
      </c>
      <c r="C366" s="9" t="s">
        <v>4412</v>
      </c>
      <c r="D366" t="s">
        <v>1192</v>
      </c>
      <c r="E366" t="s">
        <v>787</v>
      </c>
      <c r="F366">
        <v>1E-3</v>
      </c>
      <c r="G366" t="s">
        <v>4413</v>
      </c>
      <c r="H366">
        <v>38.6</v>
      </c>
      <c r="I366" t="s">
        <v>1140</v>
      </c>
      <c r="J366" s="647">
        <v>70.2</v>
      </c>
      <c r="L366">
        <v>3.6</v>
      </c>
      <c r="M366" t="s">
        <v>4414</v>
      </c>
      <c r="N366" t="s">
        <v>4415</v>
      </c>
      <c r="P366" t="s">
        <v>4416</v>
      </c>
      <c r="S366" s="64">
        <f>SUM(U366:W366)</f>
        <v>70.2</v>
      </c>
      <c r="U366" s="5">
        <v>69.900000000000006</v>
      </c>
      <c r="V366" s="5">
        <v>0.1</v>
      </c>
      <c r="W366" s="5">
        <v>0.2</v>
      </c>
      <c r="X366" s="56" t="str">
        <f>GHGFY207[[#This Row],[Data Source (scope 1)]]</f>
        <v>NGER (Measurement) Determination 2008 2019versions pg 318 - Part 3 Fuel combustion - 40</v>
      </c>
      <c r="Y366" s="65" t="s">
        <v>4416</v>
      </c>
      <c r="AB366" s="3"/>
      <c r="AC366" s="3" t="e">
        <f>(T366-GHGFY207[[#This Row],[Scope 2 Emission factor]])/GHGFY207[[#This Row],[Scope 2 Emission factor]]</f>
        <v>#DIV/0!</v>
      </c>
      <c r="AD366" s="3">
        <f>(U366-GHGFY207[[#This Row],[Scope 3 Emission factor]])/GHGFY207[[#This Row],[Scope 3 Emission factor]]</f>
        <v>18.416666666666668</v>
      </c>
    </row>
    <row r="367" spans="1:30" ht="29.1" hidden="1" customHeight="1">
      <c r="A367" t="s">
        <v>786</v>
      </c>
      <c r="B367" t="s">
        <v>4280</v>
      </c>
      <c r="C367" t="s">
        <v>4420</v>
      </c>
      <c r="D367" t="s">
        <v>1190</v>
      </c>
      <c r="E367" t="s">
        <v>787</v>
      </c>
      <c r="F367">
        <v>1E-3</v>
      </c>
      <c r="G367" t="s">
        <v>4413</v>
      </c>
      <c r="H367">
        <v>38.6</v>
      </c>
      <c r="I367" t="s">
        <v>1140</v>
      </c>
      <c r="J367" s="647">
        <v>70.410000000000011</v>
      </c>
      <c r="L367">
        <v>3.6</v>
      </c>
      <c r="M367" t="s">
        <v>4414</v>
      </c>
      <c r="N367" t="s">
        <v>4421</v>
      </c>
      <c r="P367" t="s">
        <v>4416</v>
      </c>
      <c r="R367" t="s">
        <v>4446</v>
      </c>
      <c r="S367" s="64">
        <f>SUM(U367:W367)</f>
        <v>70.410000000000011</v>
      </c>
      <c r="U367" s="5">
        <v>69.900000000000006</v>
      </c>
      <c r="V367" s="5">
        <v>0.01</v>
      </c>
      <c r="W367" s="5">
        <v>0.5</v>
      </c>
      <c r="X367" s="56" t="str">
        <f>GHGFY207[[#This Row],[Data Source (scope 1)]]</f>
        <v>NGER (Measurement) Determination 2008 2019versions pg 321 - Part 4 Fuel combustion - 65</v>
      </c>
      <c r="Y367" t="s">
        <v>4416</v>
      </c>
      <c r="AB367" s="3">
        <f>(S367-GHGFY207[[#This Row],[Scope 1 Emission factor]])/GHGFY207[[#This Row],[Scope 1 Emission factor]]</f>
        <v>0</v>
      </c>
      <c r="AC367" s="3" t="e">
        <f>(T367-GHGFY207[[#This Row],[Scope 2 Emission factor]])/GHGFY207[[#This Row],[Scope 2 Emission factor]]</f>
        <v>#DIV/0!</v>
      </c>
      <c r="AD367" s="3">
        <f>(U367-GHGFY207[[#This Row],[Scope 3 Emission factor]])/GHGFY207[[#This Row],[Scope 3 Emission factor]]</f>
        <v>18.416666666666668</v>
      </c>
    </row>
    <row r="368" spans="1:30" ht="29.1" hidden="1" customHeight="1">
      <c r="A368" t="s">
        <v>788</v>
      </c>
      <c r="B368" t="s">
        <v>4280</v>
      </c>
      <c r="C368" t="s">
        <v>4420</v>
      </c>
      <c r="D368" t="s">
        <v>1192</v>
      </c>
      <c r="E368" t="s">
        <v>787</v>
      </c>
      <c r="F368">
        <v>1E-3</v>
      </c>
      <c r="G368" t="s">
        <v>4413</v>
      </c>
      <c r="H368">
        <v>38.6</v>
      </c>
      <c r="I368" t="s">
        <v>1140</v>
      </c>
      <c r="J368" s="647">
        <v>70.410000000000011</v>
      </c>
      <c r="L368">
        <v>3.6</v>
      </c>
      <c r="M368" t="s">
        <v>4414</v>
      </c>
      <c r="N368" t="s">
        <v>4421</v>
      </c>
      <c r="P368" t="s">
        <v>4416</v>
      </c>
      <c r="S368" s="64">
        <f t="shared" ref="S368:S376" si="9">SUM(U368:W368)</f>
        <v>70.410000000000011</v>
      </c>
      <c r="U368" s="5">
        <v>69.900000000000006</v>
      </c>
      <c r="V368" s="5">
        <v>0.01</v>
      </c>
      <c r="W368" s="5">
        <v>0.5</v>
      </c>
      <c r="X368" s="56" t="str">
        <f>GHGFY207[[#This Row],[Data Source (scope 1)]]</f>
        <v>NGER (Measurement) Determination 2008 2019versions pg 321 - Part 4 Fuel combustion - 65</v>
      </c>
      <c r="Y368" t="s">
        <v>4416</v>
      </c>
      <c r="AB368" s="3">
        <f>(S368-GHGFY207[[#This Row],[Scope 1 Emission factor]])/GHGFY207[[#This Row],[Scope 1 Emission factor]]</f>
        <v>0</v>
      </c>
      <c r="AC368" s="3" t="e">
        <f>(T368-GHGFY207[[#This Row],[Scope 2 Emission factor]])/GHGFY207[[#This Row],[Scope 2 Emission factor]]</f>
        <v>#DIV/0!</v>
      </c>
      <c r="AD368" s="3">
        <f>(U368-GHGFY207[[#This Row],[Scope 3 Emission factor]])/GHGFY207[[#This Row],[Scope 3 Emission factor]]</f>
        <v>18.416666666666668</v>
      </c>
    </row>
    <row r="369" spans="1:31" ht="29.1" hidden="1" customHeight="1">
      <c r="A369" t="s">
        <v>789</v>
      </c>
      <c r="B369" t="s">
        <v>4280</v>
      </c>
      <c r="C369" t="s">
        <v>4420</v>
      </c>
      <c r="D369" t="s">
        <v>1210</v>
      </c>
      <c r="E369" t="s">
        <v>787</v>
      </c>
      <c r="F369">
        <v>1E-3</v>
      </c>
      <c r="G369" t="s">
        <v>4413</v>
      </c>
      <c r="H369">
        <v>38.6</v>
      </c>
      <c r="I369" t="s">
        <v>1140</v>
      </c>
      <c r="J369" s="647">
        <v>70.410000000000011</v>
      </c>
      <c r="L369">
        <v>3.6</v>
      </c>
      <c r="M369" t="s">
        <v>4414</v>
      </c>
      <c r="N369" t="s">
        <v>4421</v>
      </c>
      <c r="P369" t="s">
        <v>4416</v>
      </c>
      <c r="S369" s="64">
        <f t="shared" si="9"/>
        <v>70.410000000000011</v>
      </c>
      <c r="U369" s="5">
        <v>69.900000000000006</v>
      </c>
      <c r="V369" s="5">
        <v>0.01</v>
      </c>
      <c r="W369" s="5">
        <v>0.5</v>
      </c>
      <c r="X369" s="56" t="str">
        <f>GHGFY207[[#This Row],[Data Source (scope 1)]]</f>
        <v>NGER (Measurement) Determination 2008 2019versions pg 321 - Part 4 Fuel combustion - 65</v>
      </c>
      <c r="Y369" t="s">
        <v>4416</v>
      </c>
      <c r="AB369" s="3">
        <f>(S369-GHGFY207[[#This Row],[Scope 1 Emission factor]])/GHGFY207[[#This Row],[Scope 1 Emission factor]]</f>
        <v>0</v>
      </c>
      <c r="AC369" s="3" t="e">
        <f>(T369-GHGFY207[[#This Row],[Scope 2 Emission factor]])/GHGFY207[[#This Row],[Scope 2 Emission factor]]</f>
        <v>#DIV/0!</v>
      </c>
      <c r="AD369" s="3">
        <f>(U369-GHGFY207[[#This Row],[Scope 3 Emission factor]])/GHGFY207[[#This Row],[Scope 3 Emission factor]]</f>
        <v>18.416666666666668</v>
      </c>
    </row>
    <row r="370" spans="1:31" ht="29.1" hidden="1" customHeight="1">
      <c r="A370" t="s">
        <v>790</v>
      </c>
      <c r="B370" t="s">
        <v>4280</v>
      </c>
      <c r="C370" t="s">
        <v>4420</v>
      </c>
      <c r="D370" t="s">
        <v>1189</v>
      </c>
      <c r="E370" t="s">
        <v>787</v>
      </c>
      <c r="F370">
        <v>1E-3</v>
      </c>
      <c r="G370" t="s">
        <v>4413</v>
      </c>
      <c r="H370">
        <v>38.6</v>
      </c>
      <c r="I370" t="s">
        <v>1140</v>
      </c>
      <c r="J370" s="647">
        <v>70.410000000000011</v>
      </c>
      <c r="L370">
        <v>3.6</v>
      </c>
      <c r="M370" t="s">
        <v>4414</v>
      </c>
      <c r="N370" t="s">
        <v>4421</v>
      </c>
      <c r="P370" t="s">
        <v>4416</v>
      </c>
      <c r="S370" s="64">
        <f t="shared" si="9"/>
        <v>70.410000000000011</v>
      </c>
      <c r="U370" s="5">
        <v>69.900000000000006</v>
      </c>
      <c r="V370" s="5">
        <v>0.01</v>
      </c>
      <c r="W370" s="5">
        <v>0.5</v>
      </c>
      <c r="X370" s="56" t="str">
        <f>GHGFY207[[#This Row],[Data Source (scope 1)]]</f>
        <v>NGER (Measurement) Determination 2008 2019versions pg 321 - Part 4 Fuel combustion - 65</v>
      </c>
      <c r="Y370" t="s">
        <v>4416</v>
      </c>
      <c r="AB370" s="3">
        <f>(S370-GHGFY207[[#This Row],[Scope 1 Emission factor]])/GHGFY207[[#This Row],[Scope 1 Emission factor]]</f>
        <v>0</v>
      </c>
      <c r="AC370" s="3" t="e">
        <f>(T370-GHGFY207[[#This Row],[Scope 2 Emission factor]])/GHGFY207[[#This Row],[Scope 2 Emission factor]]</f>
        <v>#DIV/0!</v>
      </c>
      <c r="AD370" s="3">
        <f>(U370-GHGFY207[[#This Row],[Scope 3 Emission factor]])/GHGFY207[[#This Row],[Scope 3 Emission factor]]</f>
        <v>18.416666666666668</v>
      </c>
    </row>
    <row r="371" spans="1:31" ht="29.1" hidden="1" customHeight="1">
      <c r="A371" t="s">
        <v>791</v>
      </c>
      <c r="B371" t="s">
        <v>4280</v>
      </c>
      <c r="C371" t="s">
        <v>4420</v>
      </c>
      <c r="D371" t="s">
        <v>1216</v>
      </c>
      <c r="E371" t="s">
        <v>787</v>
      </c>
      <c r="F371">
        <v>1E-3</v>
      </c>
      <c r="G371" t="s">
        <v>4413</v>
      </c>
      <c r="H371">
        <v>38.6</v>
      </c>
      <c r="I371" t="s">
        <v>1140</v>
      </c>
      <c r="J371" s="647">
        <v>70.410000000000011</v>
      </c>
      <c r="L371">
        <v>3.6</v>
      </c>
      <c r="M371" t="s">
        <v>4414</v>
      </c>
      <c r="N371" t="s">
        <v>4421</v>
      </c>
      <c r="P371" t="s">
        <v>4416</v>
      </c>
      <c r="S371" s="64">
        <f t="shared" si="9"/>
        <v>70.410000000000011</v>
      </c>
      <c r="U371" s="5">
        <v>69.900000000000006</v>
      </c>
      <c r="V371" s="5">
        <v>0.01</v>
      </c>
      <c r="W371" s="5">
        <v>0.5</v>
      </c>
      <c r="X371" s="56" t="str">
        <f>GHGFY207[[#This Row],[Data Source (scope 1)]]</f>
        <v>NGER (Measurement) Determination 2008 2019versions pg 321 - Part 4 Fuel combustion - 65</v>
      </c>
      <c r="Y371" t="s">
        <v>4416</v>
      </c>
      <c r="AB371" s="3">
        <f>(S371-GHGFY207[[#This Row],[Scope 1 Emission factor]])/GHGFY207[[#This Row],[Scope 1 Emission factor]]</f>
        <v>0</v>
      </c>
      <c r="AC371" s="3" t="e">
        <f>(T371-GHGFY207[[#This Row],[Scope 2 Emission factor]])/GHGFY207[[#This Row],[Scope 2 Emission factor]]</f>
        <v>#DIV/0!</v>
      </c>
      <c r="AD371" s="3">
        <f>(U371-GHGFY207[[#This Row],[Scope 3 Emission factor]])/GHGFY207[[#This Row],[Scope 3 Emission factor]]</f>
        <v>18.416666666666668</v>
      </c>
    </row>
    <row r="372" spans="1:31" ht="29.1" hidden="1" customHeight="1">
      <c r="A372" t="s">
        <v>4281</v>
      </c>
      <c r="B372" t="s">
        <v>4280</v>
      </c>
      <c r="C372" t="s">
        <v>4424</v>
      </c>
      <c r="D372" t="s">
        <v>1192</v>
      </c>
      <c r="E372" t="s">
        <v>787</v>
      </c>
      <c r="F372">
        <v>1E-3</v>
      </c>
      <c r="G372" t="s">
        <v>4413</v>
      </c>
      <c r="H372">
        <v>23.4</v>
      </c>
      <c r="I372" t="s">
        <v>1140</v>
      </c>
      <c r="J372" s="647">
        <v>0.4</v>
      </c>
      <c r="L372">
        <v>0</v>
      </c>
      <c r="M372" t="s">
        <v>4414</v>
      </c>
      <c r="N372" t="s">
        <v>4428</v>
      </c>
      <c r="P372" t="s">
        <v>4416</v>
      </c>
      <c r="S372" s="64">
        <f t="shared" si="9"/>
        <v>0.4</v>
      </c>
      <c r="U372" s="5">
        <v>0</v>
      </c>
      <c r="V372" s="5">
        <v>0.2</v>
      </c>
      <c r="W372" s="5">
        <v>0.2</v>
      </c>
      <c r="X372" s="56" t="str">
        <f>GHGFY207[[#This Row],[Data Source (scope 1)]]</f>
        <v>NGER (Measurement) Determination 2008 2019versions pg 321 - Part 4 Fuel combustion - 67</v>
      </c>
      <c r="Y372" t="s">
        <v>4416</v>
      </c>
      <c r="AB372" s="3">
        <f>(S372-GHGFY207[[#This Row],[Scope 1 Emission factor]])/GHGFY207[[#This Row],[Scope 1 Emission factor]]</f>
        <v>0</v>
      </c>
      <c r="AC372" s="3" t="e">
        <f>(T372-GHGFY207[[#This Row],[Scope 2 Emission factor]])/GHGFY207[[#This Row],[Scope 2 Emission factor]]</f>
        <v>#DIV/0!</v>
      </c>
      <c r="AD372" s="3" t="e">
        <f>(U372-GHGFY207[[#This Row],[Scope 3 Emission factor]])/GHGFY207[[#This Row],[Scope 3 Emission factor]]</f>
        <v>#DIV/0!</v>
      </c>
    </row>
    <row r="373" spans="1:31" ht="29.1" hidden="1" customHeight="1">
      <c r="A373" t="s">
        <v>792</v>
      </c>
      <c r="B373" t="s">
        <v>4280</v>
      </c>
      <c r="C373" t="s">
        <v>4420</v>
      </c>
      <c r="D373" t="s">
        <v>1192</v>
      </c>
      <c r="E373" t="s">
        <v>787</v>
      </c>
      <c r="F373">
        <v>1E-3</v>
      </c>
      <c r="G373" t="s">
        <v>4413</v>
      </c>
      <c r="H373">
        <v>34.200000000000003</v>
      </c>
      <c r="I373" t="s">
        <v>1140</v>
      </c>
      <c r="J373" s="647">
        <v>67.62</v>
      </c>
      <c r="L373">
        <v>3.6</v>
      </c>
      <c r="M373" t="s">
        <v>4414</v>
      </c>
      <c r="N373" t="s">
        <v>4423</v>
      </c>
      <c r="P373" t="s">
        <v>4416</v>
      </c>
      <c r="S373" s="64">
        <f t="shared" si="9"/>
        <v>67.62</v>
      </c>
      <c r="U373" s="5">
        <v>67.400000000000006</v>
      </c>
      <c r="V373" s="5">
        <v>0.02</v>
      </c>
      <c r="W373" s="5">
        <v>0.2</v>
      </c>
      <c r="X373" s="56" t="str">
        <f>GHGFY207[[#This Row],[Data Source (scope 1)]]</f>
        <v>NGER (Measurement) Determination 2008 2019versions pg 321 - Part 4 Fuel combustion - 64</v>
      </c>
      <c r="Y373" t="s">
        <v>4416</v>
      </c>
      <c r="AB373" s="3">
        <f>(S373-GHGFY207[[#This Row],[Scope 1 Emission factor]])/GHGFY207[[#This Row],[Scope 1 Emission factor]]</f>
        <v>0</v>
      </c>
      <c r="AC373" s="3" t="e">
        <f>(T373-GHGFY207[[#This Row],[Scope 2 Emission factor]])/GHGFY207[[#This Row],[Scope 2 Emission factor]]</f>
        <v>#DIV/0!</v>
      </c>
      <c r="AD373" s="3">
        <f>(U373-GHGFY207[[#This Row],[Scope 3 Emission factor]])/GHGFY207[[#This Row],[Scope 3 Emission factor]]</f>
        <v>17.722222222222221</v>
      </c>
    </row>
    <row r="374" spans="1:31" ht="29.1" hidden="1" customHeight="1">
      <c r="A374" t="s">
        <v>793</v>
      </c>
      <c r="B374" t="s">
        <v>4280</v>
      </c>
      <c r="C374" t="s">
        <v>4420</v>
      </c>
      <c r="D374" t="s">
        <v>1210</v>
      </c>
      <c r="E374" t="s">
        <v>787</v>
      </c>
      <c r="F374">
        <v>1E-3</v>
      </c>
      <c r="G374" t="s">
        <v>4413</v>
      </c>
      <c r="H374">
        <v>34.200000000000003</v>
      </c>
      <c r="I374" t="s">
        <v>1140</v>
      </c>
      <c r="J374" s="647">
        <v>67.62</v>
      </c>
      <c r="L374">
        <v>3.6</v>
      </c>
      <c r="M374" t="s">
        <v>4414</v>
      </c>
      <c r="N374" t="s">
        <v>4423</v>
      </c>
      <c r="P374" t="s">
        <v>4416</v>
      </c>
      <c r="S374" s="64">
        <f t="shared" si="9"/>
        <v>67.62</v>
      </c>
      <c r="U374" s="5">
        <v>67.400000000000006</v>
      </c>
      <c r="V374" s="5">
        <v>0.02</v>
      </c>
      <c r="W374" s="5">
        <v>0.2</v>
      </c>
      <c r="X374" s="56" t="str">
        <f>GHGFY207[[#This Row],[Data Source (scope 1)]]</f>
        <v>NGER (Measurement) Determination 2008 2019versions pg 321 - Part 4 Fuel combustion - 64</v>
      </c>
      <c r="Y374" t="s">
        <v>4416</v>
      </c>
      <c r="AB374" s="3">
        <f>(S374-GHGFY207[[#This Row],[Scope 1 Emission factor]])/GHGFY207[[#This Row],[Scope 1 Emission factor]]</f>
        <v>0</v>
      </c>
      <c r="AC374" s="3" t="e">
        <f>(T374-GHGFY207[[#This Row],[Scope 2 Emission factor]])/GHGFY207[[#This Row],[Scope 2 Emission factor]]</f>
        <v>#DIV/0!</v>
      </c>
      <c r="AD374" s="3">
        <f>(U374-GHGFY207[[#This Row],[Scope 3 Emission factor]])/GHGFY207[[#This Row],[Scope 3 Emission factor]]</f>
        <v>17.722222222222221</v>
      </c>
    </row>
    <row r="375" spans="1:31" ht="29.1" hidden="1" customHeight="1">
      <c r="A375" t="s">
        <v>794</v>
      </c>
      <c r="B375" t="s">
        <v>4280</v>
      </c>
      <c r="C375" t="s">
        <v>4420</v>
      </c>
      <c r="D375" t="s">
        <v>1189</v>
      </c>
      <c r="E375" t="s">
        <v>787</v>
      </c>
      <c r="F375">
        <v>1E-3</v>
      </c>
      <c r="G375" t="s">
        <v>4413</v>
      </c>
      <c r="H375">
        <v>34.200000000000003</v>
      </c>
      <c r="I375" t="s">
        <v>1140</v>
      </c>
      <c r="J375" s="647">
        <v>67.62</v>
      </c>
      <c r="L375">
        <v>3.6</v>
      </c>
      <c r="M375" t="s">
        <v>4414</v>
      </c>
      <c r="N375" t="s">
        <v>4423</v>
      </c>
      <c r="P375" t="s">
        <v>4416</v>
      </c>
      <c r="S375" s="64">
        <f t="shared" si="9"/>
        <v>67.62</v>
      </c>
      <c r="U375" s="5">
        <v>67.400000000000006</v>
      </c>
      <c r="V375" s="5">
        <v>0.02</v>
      </c>
      <c r="W375" s="5">
        <v>0.2</v>
      </c>
      <c r="X375" s="56" t="str">
        <f>GHGFY207[[#This Row],[Data Source (scope 1)]]</f>
        <v>NGER (Measurement) Determination 2008 2019versions pg 321 - Part 4 Fuel combustion - 64</v>
      </c>
      <c r="Y375" t="s">
        <v>4416</v>
      </c>
      <c r="AB375" s="3">
        <f>(S375-GHGFY207[[#This Row],[Scope 1 Emission factor]])/GHGFY207[[#This Row],[Scope 1 Emission factor]]</f>
        <v>0</v>
      </c>
      <c r="AC375" s="3" t="e">
        <f>(T375-GHGFY207[[#This Row],[Scope 2 Emission factor]])/GHGFY207[[#This Row],[Scope 2 Emission factor]]</f>
        <v>#DIV/0!</v>
      </c>
      <c r="AD375" s="3">
        <f>(U375-GHGFY207[[#This Row],[Scope 3 Emission factor]])/GHGFY207[[#This Row],[Scope 3 Emission factor]]</f>
        <v>17.722222222222221</v>
      </c>
    </row>
    <row r="376" spans="1:31" ht="29.1" hidden="1" customHeight="1">
      <c r="A376" t="s">
        <v>795</v>
      </c>
      <c r="B376" t="s">
        <v>4280</v>
      </c>
      <c r="C376" t="s">
        <v>4420</v>
      </c>
      <c r="D376" t="s">
        <v>1216</v>
      </c>
      <c r="E376" t="s">
        <v>787</v>
      </c>
      <c r="F376">
        <v>1E-3</v>
      </c>
      <c r="G376" t="s">
        <v>4413</v>
      </c>
      <c r="H376">
        <v>34.200000000000003</v>
      </c>
      <c r="I376" t="s">
        <v>1140</v>
      </c>
      <c r="J376" s="647">
        <v>67.62</v>
      </c>
      <c r="L376">
        <v>3.6</v>
      </c>
      <c r="M376" t="s">
        <v>4414</v>
      </c>
      <c r="N376" t="s">
        <v>4423</v>
      </c>
      <c r="P376" t="s">
        <v>4416</v>
      </c>
      <c r="S376" s="66">
        <f t="shared" si="9"/>
        <v>67.62</v>
      </c>
      <c r="U376" s="5">
        <v>67.400000000000006</v>
      </c>
      <c r="V376" s="5">
        <v>0.02</v>
      </c>
      <c r="W376" s="5">
        <v>0.2</v>
      </c>
      <c r="X376" s="56" t="str">
        <f>GHGFY207[[#This Row],[Data Source (scope 1)]]</f>
        <v>NGER (Measurement) Determination 2008 2019versions pg 321 - Part 4 Fuel combustion - 64</v>
      </c>
      <c r="Y376" t="s">
        <v>4416</v>
      </c>
      <c r="AB376" s="3">
        <f>(S376-GHGFY207[[#This Row],[Scope 1 Emission factor]])/GHGFY207[[#This Row],[Scope 1 Emission factor]]</f>
        <v>0</v>
      </c>
      <c r="AC376" s="3" t="e">
        <f>(T376-GHGFY207[[#This Row],[Scope 2 Emission factor]])/GHGFY207[[#This Row],[Scope 2 Emission factor]]</f>
        <v>#DIV/0!</v>
      </c>
      <c r="AD376" s="3">
        <f>(U376-GHGFY207[[#This Row],[Scope 3 Emission factor]])/GHGFY207[[#This Row],[Scope 3 Emission factor]]</f>
        <v>17.722222222222221</v>
      </c>
    </row>
    <row r="377" spans="1:31" ht="27.6" hidden="1">
      <c r="A377" t="s">
        <v>1066</v>
      </c>
      <c r="B377" t="s">
        <v>155</v>
      </c>
      <c r="C377" t="s">
        <v>4402</v>
      </c>
      <c r="D377" t="s">
        <v>1192</v>
      </c>
      <c r="E377" t="s">
        <v>663</v>
      </c>
      <c r="H377">
        <v>3.5999999999999999E-3</v>
      </c>
      <c r="I377" t="s">
        <v>1137</v>
      </c>
      <c r="J377">
        <v>0</v>
      </c>
      <c r="K377" s="647">
        <v>0.81</v>
      </c>
      <c r="L377" s="647">
        <v>0.09</v>
      </c>
      <c r="M377" t="s">
        <v>4403</v>
      </c>
      <c r="O377" t="s">
        <v>4404</v>
      </c>
      <c r="P377" s="1" t="s">
        <v>4405</v>
      </c>
      <c r="T377">
        <v>0.81</v>
      </c>
      <c r="U377">
        <v>0.09</v>
      </c>
      <c r="X377" s="56" t="s">
        <v>4405</v>
      </c>
      <c r="AC377" s="3">
        <f>(T377-GHGFY207[[#This Row],[Scope 2 Emission factor]])/GHGFY207[[#This Row],[Scope 2 Emission factor]]</f>
        <v>0</v>
      </c>
      <c r="AD377" s="3">
        <f>(U377-GHGFY207[[#This Row],[Scope 3 Emission factor]])/GHGFY207[[#This Row],[Scope 3 Emission factor]]</f>
        <v>0</v>
      </c>
      <c r="AE377" s="3"/>
    </row>
    <row r="378" spans="1:31" ht="27.6" hidden="1">
      <c r="A378" t="s">
        <v>4299</v>
      </c>
      <c r="B378" t="s">
        <v>155</v>
      </c>
      <c r="C378" t="s">
        <v>4402</v>
      </c>
      <c r="D378" t="s">
        <v>1189</v>
      </c>
      <c r="E378" t="s">
        <v>663</v>
      </c>
      <c r="H378">
        <v>3.5999999999999999E-3</v>
      </c>
      <c r="I378" t="s">
        <v>1137</v>
      </c>
      <c r="J378">
        <v>0</v>
      </c>
      <c r="K378" s="647">
        <v>0.98</v>
      </c>
      <c r="L378" s="647">
        <v>0.11</v>
      </c>
      <c r="M378" t="s">
        <v>4403</v>
      </c>
      <c r="O378" t="s">
        <v>4404</v>
      </c>
      <c r="P378" s="1" t="s">
        <v>4407</v>
      </c>
      <c r="T378" s="9">
        <v>1.02</v>
      </c>
      <c r="U378" s="9">
        <v>0.1</v>
      </c>
      <c r="X378" s="56" t="s">
        <v>4407</v>
      </c>
      <c r="AC378" s="3">
        <f>(T378-GHGFY207[[#This Row],[Scope 2 Emission factor]])/GHGFY207[[#This Row],[Scope 2 Emission factor]]</f>
        <v>4.0816326530612283E-2</v>
      </c>
      <c r="AD378" s="3">
        <f>(U378-GHGFY207[[#This Row],[Scope 3 Emission factor]])/GHGFY207[[#This Row],[Scope 3 Emission factor]]</f>
        <v>-9.090909090909087E-2</v>
      </c>
    </row>
    <row r="379" spans="1:31" ht="27.6" hidden="1">
      <c r="A379" t="s">
        <v>1321</v>
      </c>
      <c r="B379" t="s">
        <v>1091</v>
      </c>
      <c r="C379" t="s">
        <v>1091</v>
      </c>
      <c r="D379" t="s">
        <v>4447</v>
      </c>
      <c r="E379" t="s">
        <v>1402</v>
      </c>
      <c r="L379">
        <v>1.2</v>
      </c>
      <c r="M379" t="s">
        <v>4448</v>
      </c>
      <c r="P379" t="s">
        <v>4449</v>
      </c>
      <c r="U379" s="67">
        <v>1.2</v>
      </c>
      <c r="X379" s="56" t="s">
        <v>4449</v>
      </c>
      <c r="AC379" s="3" t="e">
        <f>(T379-GHGFY207[[#This Row],[Scope 2 Emission factor]])/GHGFY207[[#This Row],[Scope 2 Emission factor]]</f>
        <v>#DIV/0!</v>
      </c>
      <c r="AD379" s="3">
        <f>(U379-GHGFY207[[#This Row],[Scope 3 Emission factor]])/GHGFY207[[#This Row],[Scope 3 Emission factor]]</f>
        <v>0</v>
      </c>
    </row>
    <row r="380" spans="1:31" ht="27.6" hidden="1">
      <c r="A380" t="s">
        <v>1330</v>
      </c>
      <c r="B380" t="s">
        <v>1091</v>
      </c>
      <c r="C380" t="s">
        <v>1091</v>
      </c>
      <c r="D380" t="s">
        <v>4447</v>
      </c>
      <c r="E380" t="s">
        <v>1402</v>
      </c>
      <c r="L380">
        <v>0</v>
      </c>
      <c r="M380" t="s">
        <v>4448</v>
      </c>
      <c r="P380" t="s">
        <v>4449</v>
      </c>
      <c r="U380" s="67">
        <v>0</v>
      </c>
      <c r="X380" s="56" t="s">
        <v>4449</v>
      </c>
      <c r="AC380" s="3" t="e">
        <f>(T380-GHGFY207[[#This Row],[Scope 2 Emission factor]])/GHGFY207[[#This Row],[Scope 2 Emission factor]]</f>
        <v>#DIV/0!</v>
      </c>
      <c r="AD380" s="3" t="e">
        <f>(U380-GHGFY207[[#This Row],[Scope 3 Emission factor]])/GHGFY207[[#This Row],[Scope 3 Emission factor]]</f>
        <v>#DIV/0!</v>
      </c>
    </row>
    <row r="381" spans="1:31" ht="27.6" hidden="1">
      <c r="A381" t="s">
        <v>4450</v>
      </c>
      <c r="B381" t="s">
        <v>4451</v>
      </c>
      <c r="C381" t="s">
        <v>4451</v>
      </c>
      <c r="D381" t="s">
        <v>1190</v>
      </c>
      <c r="E381" t="s">
        <v>663</v>
      </c>
      <c r="H381">
        <v>3.5999999999999999E-3</v>
      </c>
      <c r="I381" t="s">
        <v>1137</v>
      </c>
      <c r="J381">
        <v>0</v>
      </c>
      <c r="K381" s="647">
        <v>0.81</v>
      </c>
      <c r="L381" s="647">
        <v>0.09</v>
      </c>
      <c r="M381" t="s">
        <v>4403</v>
      </c>
      <c r="O381" t="s">
        <v>4404</v>
      </c>
      <c r="P381" t="s">
        <v>4405</v>
      </c>
      <c r="R381" t="s">
        <v>1109</v>
      </c>
      <c r="T381">
        <v>0.79</v>
      </c>
      <c r="U381">
        <v>0.09</v>
      </c>
      <c r="X381" s="56" t="s">
        <v>4406</v>
      </c>
      <c r="AC381" s="3">
        <f>(T381-GHGFY207[[#This Row],[Scope 2 Emission factor]])/GHGFY207[[#This Row],[Scope 2 Emission factor]]</f>
        <v>-2.4691358024691377E-2</v>
      </c>
      <c r="AD381" s="3">
        <f>(U381-GHGFY207[[#This Row],[Scope 3 Emission factor]])/GHGFY207[[#This Row],[Scope 3 Emission factor]]</f>
        <v>0</v>
      </c>
    </row>
    <row r="382" spans="1:31" ht="27.6" hidden="1">
      <c r="A382" t="s">
        <v>4452</v>
      </c>
      <c r="B382" t="s">
        <v>4451</v>
      </c>
      <c r="C382" t="s">
        <v>4451</v>
      </c>
      <c r="D382" t="s">
        <v>1192</v>
      </c>
      <c r="E382" t="s">
        <v>663</v>
      </c>
      <c r="H382">
        <v>3.5999999999999999E-3</v>
      </c>
      <c r="I382" t="s">
        <v>1137</v>
      </c>
      <c r="J382">
        <v>0</v>
      </c>
      <c r="K382" s="647">
        <v>0.81</v>
      </c>
      <c r="L382" s="647">
        <v>0.09</v>
      </c>
      <c r="M382" t="s">
        <v>4403</v>
      </c>
      <c r="O382" t="s">
        <v>4404</v>
      </c>
      <c r="P382" t="s">
        <v>4405</v>
      </c>
      <c r="T382">
        <v>0.81</v>
      </c>
      <c r="U382">
        <v>0.09</v>
      </c>
      <c r="X382" s="56" t="s">
        <v>4405</v>
      </c>
      <c r="AC382" s="3">
        <f>(T382-GHGFY207[[#This Row],[Scope 2 Emission factor]])/GHGFY207[[#This Row],[Scope 2 Emission factor]]</f>
        <v>0</v>
      </c>
      <c r="AD382" s="3">
        <f>(U382-GHGFY207[[#This Row],[Scope 3 Emission factor]])/GHGFY207[[#This Row],[Scope 3 Emission factor]]</f>
        <v>0</v>
      </c>
    </row>
    <row r="383" spans="1:31" ht="27.6" hidden="1">
      <c r="A383" t="s">
        <v>4453</v>
      </c>
      <c r="B383" t="s">
        <v>4451</v>
      </c>
      <c r="C383" t="s">
        <v>4451</v>
      </c>
      <c r="D383" t="s">
        <v>1208</v>
      </c>
      <c r="E383" t="s">
        <v>663</v>
      </c>
      <c r="H383">
        <v>3.5999999999999999E-3</v>
      </c>
      <c r="I383" t="s">
        <v>1137</v>
      </c>
      <c r="J383">
        <v>0</v>
      </c>
      <c r="K383" s="647">
        <v>0.62</v>
      </c>
      <c r="L383" s="647">
        <v>7.0000000000000007E-2</v>
      </c>
      <c r="M383" t="s">
        <v>4403</v>
      </c>
      <c r="O383" t="s">
        <v>4404</v>
      </c>
      <c r="P383" t="s">
        <v>4406</v>
      </c>
      <c r="T383">
        <v>0.63</v>
      </c>
      <c r="U383">
        <v>0.08</v>
      </c>
      <c r="X383" s="56" t="s">
        <v>4406</v>
      </c>
      <c r="AC383" s="3">
        <f>(T383-GHGFY207[[#This Row],[Scope 2 Emission factor]])/GHGFY207[[#This Row],[Scope 2 Emission factor]]</f>
        <v>1.612903225806453E-2</v>
      </c>
      <c r="AD383" s="3">
        <f>(U383-GHGFY207[[#This Row],[Scope 3 Emission factor]])/GHGFY207[[#This Row],[Scope 3 Emission factor]]</f>
        <v>0.14285714285714277</v>
      </c>
    </row>
    <row r="384" spans="1:31" ht="27.6" hidden="1">
      <c r="A384" t="s">
        <v>4454</v>
      </c>
      <c r="B384" t="s">
        <v>4451</v>
      </c>
      <c r="C384" t="s">
        <v>4451</v>
      </c>
      <c r="D384" t="s">
        <v>1210</v>
      </c>
      <c r="E384" t="s">
        <v>663</v>
      </c>
      <c r="H384">
        <v>3.5999999999999999E-3</v>
      </c>
      <c r="I384" t="s">
        <v>1137</v>
      </c>
      <c r="J384">
        <v>0</v>
      </c>
      <c r="K384" s="647">
        <v>0.81</v>
      </c>
      <c r="L384" s="647">
        <v>0.12</v>
      </c>
      <c r="M384" t="s">
        <v>4403</v>
      </c>
      <c r="O384" t="s">
        <v>4404</v>
      </c>
      <c r="P384" t="s">
        <v>4407</v>
      </c>
      <c r="T384">
        <v>0.81</v>
      </c>
      <c r="U384">
        <v>0.12</v>
      </c>
      <c r="X384" s="56" t="s">
        <v>4407</v>
      </c>
      <c r="AC384" s="3">
        <f>(T384-GHGFY207[[#This Row],[Scope 2 Emission factor]])/GHGFY207[[#This Row],[Scope 2 Emission factor]]</f>
        <v>0</v>
      </c>
      <c r="AD384" s="3">
        <f>(U384-GHGFY207[[#This Row],[Scope 3 Emission factor]])/GHGFY207[[#This Row],[Scope 3 Emission factor]]</f>
        <v>0</v>
      </c>
    </row>
    <row r="385" spans="1:30" ht="27.6" hidden="1">
      <c r="A385" t="s">
        <v>4455</v>
      </c>
      <c r="B385" t="s">
        <v>4451</v>
      </c>
      <c r="C385" t="s">
        <v>4451</v>
      </c>
      <c r="D385" t="s">
        <v>1193</v>
      </c>
      <c r="E385" t="s">
        <v>663</v>
      </c>
      <c r="H385">
        <v>3.5999999999999999E-3</v>
      </c>
      <c r="I385" t="s">
        <v>1137</v>
      </c>
      <c r="J385">
        <v>0</v>
      </c>
      <c r="K385" s="647">
        <v>0.43</v>
      </c>
      <c r="L385" s="647">
        <v>0.09</v>
      </c>
      <c r="M385" t="s">
        <v>4403</v>
      </c>
      <c r="O385" t="s">
        <v>4404</v>
      </c>
      <c r="P385" t="s">
        <v>4408</v>
      </c>
      <c r="T385">
        <v>0.44</v>
      </c>
      <c r="U385">
        <v>0.1</v>
      </c>
      <c r="X385" s="56" t="s">
        <v>4408</v>
      </c>
      <c r="AC385" s="3">
        <f>(T385-GHGFY207[[#This Row],[Scope 2 Emission factor]])/GHGFY207[[#This Row],[Scope 2 Emission factor]]</f>
        <v>2.3255813953488393E-2</v>
      </c>
      <c r="AD385" s="3">
        <f>(U385-GHGFY207[[#This Row],[Scope 3 Emission factor]])/GHGFY207[[#This Row],[Scope 3 Emission factor]]</f>
        <v>0.11111111111111122</v>
      </c>
    </row>
    <row r="386" spans="1:30" ht="27.6" hidden="1">
      <c r="A386" t="s">
        <v>4456</v>
      </c>
      <c r="B386" t="s">
        <v>4451</v>
      </c>
      <c r="C386" t="s">
        <v>4451</v>
      </c>
      <c r="D386" t="s">
        <v>1213</v>
      </c>
      <c r="E386" t="s">
        <v>663</v>
      </c>
      <c r="H386">
        <v>3.5999999999999999E-3</v>
      </c>
      <c r="I386" t="s">
        <v>1137</v>
      </c>
      <c r="J386">
        <v>0</v>
      </c>
      <c r="K386" s="647">
        <v>0.17</v>
      </c>
      <c r="L386" s="647">
        <v>0.02</v>
      </c>
      <c r="M386" t="s">
        <v>4403</v>
      </c>
      <c r="O386" t="s">
        <v>4404</v>
      </c>
      <c r="P386" t="s">
        <v>4406</v>
      </c>
      <c r="T386">
        <v>0.15</v>
      </c>
      <c r="U386">
        <v>0.02</v>
      </c>
      <c r="X386" s="56" t="s">
        <v>4406</v>
      </c>
      <c r="AC386" s="3">
        <f>(T386-GHGFY207[[#This Row],[Scope 2 Emission factor]])/GHGFY207[[#This Row],[Scope 2 Emission factor]]</f>
        <v>-0.11764705882352951</v>
      </c>
      <c r="AD386" s="3">
        <f>(U386-GHGFY207[[#This Row],[Scope 3 Emission factor]])/GHGFY207[[#This Row],[Scope 3 Emission factor]]</f>
        <v>0</v>
      </c>
    </row>
    <row r="387" spans="1:30" ht="27.6" hidden="1">
      <c r="A387" t="s">
        <v>4457</v>
      </c>
      <c r="B387" t="s">
        <v>4451</v>
      </c>
      <c r="C387" t="s">
        <v>4451</v>
      </c>
      <c r="D387" t="s">
        <v>1189</v>
      </c>
      <c r="E387" t="s">
        <v>663</v>
      </c>
      <c r="H387">
        <v>3.5999999999999999E-3</v>
      </c>
      <c r="I387" t="s">
        <v>1137</v>
      </c>
      <c r="J387">
        <v>0</v>
      </c>
      <c r="K387" s="647">
        <v>0.98</v>
      </c>
      <c r="L387" s="647">
        <v>0.11</v>
      </c>
      <c r="M387" t="s">
        <v>4403</v>
      </c>
      <c r="O387" t="s">
        <v>4404</v>
      </c>
      <c r="P387" t="s">
        <v>4407</v>
      </c>
      <c r="T387">
        <v>1.02</v>
      </c>
      <c r="U387">
        <v>0.1</v>
      </c>
      <c r="X387" s="56" t="s">
        <v>4407</v>
      </c>
      <c r="AC387" s="3">
        <f>(T387-GHGFY207[[#This Row],[Scope 2 Emission factor]])/GHGFY207[[#This Row],[Scope 2 Emission factor]]</f>
        <v>4.0816326530612283E-2</v>
      </c>
      <c r="AD387" s="3">
        <f>(U387-GHGFY207[[#This Row],[Scope 3 Emission factor]])/GHGFY207[[#This Row],[Scope 3 Emission factor]]</f>
        <v>-9.090909090909087E-2</v>
      </c>
    </row>
    <row r="388" spans="1:30" ht="27.6" hidden="1">
      <c r="A388" t="s">
        <v>4458</v>
      </c>
      <c r="B388" t="s">
        <v>4451</v>
      </c>
      <c r="C388" t="s">
        <v>4451</v>
      </c>
      <c r="D388" t="s">
        <v>1216</v>
      </c>
      <c r="E388" t="s">
        <v>663</v>
      </c>
      <c r="H388">
        <v>3.5999999999999999E-3</v>
      </c>
      <c r="I388" t="s">
        <v>1137</v>
      </c>
      <c r="J388">
        <v>0</v>
      </c>
      <c r="K388" s="647">
        <v>0.68</v>
      </c>
      <c r="L388" s="647">
        <v>0.02</v>
      </c>
      <c r="M388" t="s">
        <v>4403</v>
      </c>
      <c r="O388" t="s">
        <v>4404</v>
      </c>
      <c r="P388" t="s">
        <v>4408</v>
      </c>
      <c r="T388" s="9">
        <v>0.69</v>
      </c>
      <c r="U388" s="9">
        <v>0.04</v>
      </c>
      <c r="X388" s="56" t="s">
        <v>4408</v>
      </c>
      <c r="AC388" s="3">
        <f>(T388-GHGFY207[[#This Row],[Scope 2 Emission factor]])/GHGFY207[[#This Row],[Scope 2 Emission factor]]</f>
        <v>1.4705882352941025E-2</v>
      </c>
      <c r="AD388" s="3">
        <f>(U388-GHGFY207[[#This Row],[Scope 3 Emission factor]])/GHGFY207[[#This Row],[Scope 3 Emission factor]]</f>
        <v>1</v>
      </c>
    </row>
    <row r="389" spans="1:30" hidden="1">
      <c r="A389" t="s">
        <v>767</v>
      </c>
      <c r="B389" t="s">
        <v>155</v>
      </c>
      <c r="C389" t="s">
        <v>4402</v>
      </c>
      <c r="D389" t="s">
        <v>1190</v>
      </c>
      <c r="E389" t="s">
        <v>663</v>
      </c>
      <c r="H389">
        <v>3.5999999999999999E-3</v>
      </c>
      <c r="I389" t="s">
        <v>1137</v>
      </c>
      <c r="J389">
        <v>0</v>
      </c>
      <c r="K389" s="647">
        <v>0.81</v>
      </c>
      <c r="L389" s="647">
        <v>0.09</v>
      </c>
      <c r="M389" t="s">
        <v>4403</v>
      </c>
      <c r="T389" s="9"/>
      <c r="U389" s="9"/>
      <c r="AC389" s="3"/>
      <c r="AD389" s="3"/>
    </row>
    <row r="390" spans="1:30" hidden="1">
      <c r="A390" t="s">
        <v>768</v>
      </c>
      <c r="B390" t="s">
        <v>155</v>
      </c>
      <c r="C390" t="s">
        <v>4402</v>
      </c>
      <c r="D390" t="s">
        <v>1192</v>
      </c>
      <c r="E390" t="s">
        <v>663</v>
      </c>
      <c r="H390">
        <v>3.5999999999999999E-3</v>
      </c>
      <c r="I390" t="s">
        <v>1137</v>
      </c>
      <c r="J390">
        <v>0</v>
      </c>
      <c r="K390" s="647">
        <v>0.81</v>
      </c>
      <c r="L390" s="647">
        <v>0.09</v>
      </c>
      <c r="M390" t="s">
        <v>4403</v>
      </c>
      <c r="T390" s="9"/>
      <c r="U390" s="9"/>
      <c r="AC390" s="3"/>
      <c r="AD390" s="3"/>
    </row>
    <row r="391" spans="1:30" hidden="1">
      <c r="A391" t="s">
        <v>769</v>
      </c>
      <c r="B391" t="s">
        <v>155</v>
      </c>
      <c r="C391" t="s">
        <v>4402</v>
      </c>
      <c r="D391" t="s">
        <v>1208</v>
      </c>
      <c r="E391" t="s">
        <v>663</v>
      </c>
      <c r="H391">
        <v>3.5999999999999999E-3</v>
      </c>
      <c r="I391" t="s">
        <v>1137</v>
      </c>
      <c r="J391">
        <v>0</v>
      </c>
      <c r="K391" s="647">
        <v>0.62</v>
      </c>
      <c r="L391" s="647">
        <v>7.0000000000000007E-2</v>
      </c>
      <c r="M391" t="s">
        <v>4403</v>
      </c>
      <c r="T391" s="9"/>
      <c r="U391" s="9"/>
      <c r="AC391" s="3"/>
      <c r="AD391" s="3"/>
    </row>
    <row r="392" spans="1:30" hidden="1">
      <c r="A392" t="s">
        <v>770</v>
      </c>
      <c r="B392" t="s">
        <v>155</v>
      </c>
      <c r="C392" t="s">
        <v>4402</v>
      </c>
      <c r="D392" t="s">
        <v>1210</v>
      </c>
      <c r="E392" t="s">
        <v>663</v>
      </c>
      <c r="H392">
        <v>3.5999999999999999E-3</v>
      </c>
      <c r="I392" t="s">
        <v>1137</v>
      </c>
      <c r="J392">
        <v>0</v>
      </c>
      <c r="K392" s="647">
        <v>0.81</v>
      </c>
      <c r="L392" s="647">
        <v>0.12</v>
      </c>
      <c r="M392" t="s">
        <v>4403</v>
      </c>
      <c r="T392" s="9"/>
      <c r="U392" s="9"/>
      <c r="AC392" s="3"/>
      <c r="AD392" s="3"/>
    </row>
    <row r="393" spans="1:30" hidden="1">
      <c r="A393" t="s">
        <v>771</v>
      </c>
      <c r="B393" t="s">
        <v>155</v>
      </c>
      <c r="C393" t="s">
        <v>4402</v>
      </c>
      <c r="D393" t="s">
        <v>1193</v>
      </c>
      <c r="E393" t="s">
        <v>663</v>
      </c>
      <c r="H393">
        <v>3.5999999999999999E-3</v>
      </c>
      <c r="I393" t="s">
        <v>1137</v>
      </c>
      <c r="J393">
        <v>0</v>
      </c>
      <c r="K393" s="647">
        <v>0.43</v>
      </c>
      <c r="L393" s="647">
        <v>0.09</v>
      </c>
      <c r="M393" t="s">
        <v>4403</v>
      </c>
      <c r="T393" s="9"/>
      <c r="U393" s="9"/>
      <c r="AC393" s="3"/>
      <c r="AD393" s="3"/>
    </row>
    <row r="394" spans="1:30" hidden="1">
      <c r="A394" t="s">
        <v>772</v>
      </c>
      <c r="B394" t="s">
        <v>155</v>
      </c>
      <c r="C394" t="s">
        <v>4402</v>
      </c>
      <c r="D394" t="s">
        <v>1213</v>
      </c>
      <c r="E394" t="s">
        <v>663</v>
      </c>
      <c r="H394">
        <v>3.5999999999999999E-3</v>
      </c>
      <c r="I394" t="s">
        <v>1137</v>
      </c>
      <c r="J394">
        <v>0</v>
      </c>
      <c r="K394" s="647">
        <v>0.17</v>
      </c>
      <c r="L394" s="647">
        <v>0.02</v>
      </c>
      <c r="M394" t="s">
        <v>4403</v>
      </c>
      <c r="T394" s="9"/>
      <c r="U394" s="9"/>
      <c r="AC394" s="3"/>
      <c r="AD394" s="3"/>
    </row>
    <row r="395" spans="1:30" hidden="1">
      <c r="A395" t="s">
        <v>773</v>
      </c>
      <c r="B395" t="s">
        <v>155</v>
      </c>
      <c r="C395" t="s">
        <v>4402</v>
      </c>
      <c r="D395" t="s">
        <v>1189</v>
      </c>
      <c r="E395" t="s">
        <v>663</v>
      </c>
      <c r="H395">
        <v>3.5999999999999999E-3</v>
      </c>
      <c r="I395" t="s">
        <v>1137</v>
      </c>
      <c r="J395">
        <v>0</v>
      </c>
      <c r="K395" s="647">
        <v>0.98</v>
      </c>
      <c r="L395" s="647">
        <v>0.11</v>
      </c>
      <c r="M395" t="s">
        <v>4403</v>
      </c>
      <c r="T395" s="9"/>
      <c r="U395" s="9"/>
      <c r="AC395" s="3"/>
      <c r="AD395" s="3"/>
    </row>
    <row r="396" spans="1:30" hidden="1">
      <c r="A396" t="s">
        <v>774</v>
      </c>
      <c r="B396" t="s">
        <v>155</v>
      </c>
      <c r="C396" t="s">
        <v>4402</v>
      </c>
      <c r="D396" t="s">
        <v>1216</v>
      </c>
      <c r="E396" t="s">
        <v>663</v>
      </c>
      <c r="H396">
        <v>3.5999999999999999E-3</v>
      </c>
      <c r="I396" t="s">
        <v>1137</v>
      </c>
      <c r="J396">
        <v>0</v>
      </c>
      <c r="K396" s="647">
        <v>0.68</v>
      </c>
      <c r="L396" s="647">
        <v>0.02</v>
      </c>
      <c r="M396" t="s">
        <v>4403</v>
      </c>
      <c r="T396" s="9"/>
      <c r="U396" s="9"/>
      <c r="AC396" s="3"/>
      <c r="AD396" s="3"/>
    </row>
    <row r="397" spans="1:30" hidden="1">
      <c r="A397" t="s">
        <v>1068</v>
      </c>
      <c r="B397" t="s">
        <v>1235</v>
      </c>
      <c r="C397" t="s">
        <v>4412</v>
      </c>
      <c r="D397" t="s">
        <v>1210</v>
      </c>
      <c r="E397" t="s">
        <v>673</v>
      </c>
      <c r="F397">
        <v>1E-3</v>
      </c>
      <c r="G397" t="s">
        <v>4413</v>
      </c>
      <c r="H397">
        <v>34.200000000000003</v>
      </c>
      <c r="I397" t="s">
        <v>4431</v>
      </c>
      <c r="J397" s="647">
        <v>67.800000000000011</v>
      </c>
      <c r="L397">
        <v>3.6</v>
      </c>
      <c r="M397" t="s">
        <v>4414</v>
      </c>
      <c r="N397" t="s">
        <v>4419</v>
      </c>
      <c r="P397" s="65" t="s">
        <v>4416</v>
      </c>
      <c r="T397" s="9"/>
      <c r="U397" s="9"/>
      <c r="AC397" s="3"/>
      <c r="AD397" s="3"/>
    </row>
    <row r="398" spans="1:30" hidden="1">
      <c r="A398" t="s">
        <v>1069</v>
      </c>
      <c r="B398" t="s">
        <v>1235</v>
      </c>
      <c r="C398" t="s">
        <v>4412</v>
      </c>
      <c r="D398" t="s">
        <v>1216</v>
      </c>
      <c r="E398" t="s">
        <v>673</v>
      </c>
      <c r="F398">
        <v>1E-3</v>
      </c>
      <c r="G398" t="s">
        <v>4413</v>
      </c>
      <c r="H398">
        <v>34.200000000000003</v>
      </c>
      <c r="I398" t="s">
        <v>4431</v>
      </c>
      <c r="J398" s="647">
        <v>67.800000000000011</v>
      </c>
      <c r="L398">
        <v>3.6</v>
      </c>
      <c r="M398" t="s">
        <v>4414</v>
      </c>
      <c r="N398" t="s">
        <v>4419</v>
      </c>
      <c r="P398" s="65" t="s">
        <v>4416</v>
      </c>
      <c r="T398" s="9"/>
      <c r="U398" s="9"/>
      <c r="AC398" s="3"/>
      <c r="AD398" s="3"/>
    </row>
  </sheetData>
  <autoFilter ref="S4:X272" xr:uid="{A1C1B598-1356-4B96-865F-D3B6A6655240}"/>
  <mergeCells count="3">
    <mergeCell ref="S1:U1"/>
    <mergeCell ref="U2:W2"/>
    <mergeCell ref="AD2:AF2"/>
  </mergeCells>
  <pageMargins left="0.7" right="0.7" top="0.75" bottom="0.75" header="0.3" footer="0.3"/>
  <pageSetup paperSize="9" orientation="portrait" r:id="rId1"/>
  <legacy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32A38-D400-473A-8228-C42B4754BFF0}">
  <sheetPr codeName="Sheet34">
    <tabColor rgb="FFFF0000"/>
  </sheetPr>
  <dimension ref="A1:AH391"/>
  <sheetViews>
    <sheetView zoomScale="80" zoomScaleNormal="80" workbookViewId="0">
      <pane ySplit="4" topLeftCell="A5" activePane="bottomLeft" state="frozen"/>
      <selection pane="bottomLeft" activeCell="J243" sqref="J243"/>
    </sheetView>
  </sheetViews>
  <sheetFormatPr defaultColWidth="8.8984375" defaultRowHeight="13.8" outlineLevelCol="1"/>
  <cols>
    <col min="1" max="1" width="51.8984375" bestFit="1" customWidth="1"/>
    <col min="2" max="2" width="16.59765625" customWidth="1" outlineLevel="1"/>
    <col min="3" max="3" width="25.59765625" customWidth="1" outlineLevel="1"/>
    <col min="4" max="4" width="7.09765625" customWidth="1" outlineLevel="1"/>
    <col min="5" max="5" width="12.59765625" customWidth="1" outlineLevel="1"/>
    <col min="6" max="6" width="23.59765625" customWidth="1" outlineLevel="1"/>
    <col min="7" max="7" width="7.09765625" customWidth="1" outlineLevel="1"/>
    <col min="8" max="8" width="21.09765625" customWidth="1" outlineLevel="1"/>
    <col min="9" max="9" width="9.09765625" customWidth="1" outlineLevel="1"/>
    <col min="10" max="10" width="23.09765625" customWidth="1" outlineLevel="1"/>
    <col min="11" max="11" width="24.59765625" customWidth="1" outlineLevel="1"/>
    <col min="12" max="12" width="23.09765625" customWidth="1" outlineLevel="1"/>
    <col min="13" max="13" width="12.59765625" customWidth="1" outlineLevel="1"/>
    <col min="14" max="15" width="41.09765625" customWidth="1" outlineLevel="1"/>
    <col min="16" max="16" width="58.09765625" customWidth="1" outlineLevel="1"/>
    <col min="17" max="18" width="16.59765625" customWidth="1" outlineLevel="1"/>
    <col min="19" max="19" width="19.59765625" style="56" customWidth="1" outlineLevel="1"/>
    <col min="20" max="20" width="15.09765625" customWidth="1" outlineLevel="1"/>
    <col min="21" max="21" width="14.59765625" customWidth="1" outlineLevel="1"/>
    <col min="22" max="23" width="11.59765625" customWidth="1" outlineLevel="1"/>
    <col min="24" max="24" width="19.59765625" style="56" customWidth="1" outlineLevel="1"/>
    <col min="25" max="25" width="17.59765625" customWidth="1" outlineLevel="1"/>
    <col min="26" max="26" width="18.59765625" customWidth="1" outlineLevel="1"/>
    <col min="27" max="27" width="8.09765625" customWidth="1" outlineLevel="1"/>
    <col min="28" max="30" width="20.09765625" customWidth="1" outlineLevel="1"/>
    <col min="31" max="31" width="11.59765625" customWidth="1" outlineLevel="1"/>
    <col min="32" max="32" width="27.59765625" customWidth="1" outlineLevel="1"/>
    <col min="33" max="33" width="38.09765625" bestFit="1" customWidth="1"/>
    <col min="34" max="34" width="54" bestFit="1" customWidth="1"/>
  </cols>
  <sheetData>
    <row r="1" spans="1:34">
      <c r="S1" s="2045">
        <v>2020</v>
      </c>
      <c r="T1" s="2045"/>
      <c r="U1" s="2045"/>
      <c r="V1" s="55"/>
      <c r="W1" s="55"/>
    </row>
    <row r="2" spans="1:34" ht="27.6">
      <c r="A2" t="s">
        <v>4459</v>
      </c>
      <c r="B2" t="b">
        <f>A2=A100</f>
        <v>0</v>
      </c>
      <c r="S2" s="57" t="s">
        <v>4387</v>
      </c>
      <c r="T2" s="58" t="s">
        <v>1472</v>
      </c>
      <c r="U2" s="2046" t="s">
        <v>1473</v>
      </c>
      <c r="V2" s="2046"/>
      <c r="W2" s="2046"/>
      <c r="X2" s="59" t="s">
        <v>4388</v>
      </c>
      <c r="AB2" s="57" t="s">
        <v>4387</v>
      </c>
      <c r="AC2" s="58" t="s">
        <v>1472</v>
      </c>
      <c r="AD2" s="2046" t="s">
        <v>1473</v>
      </c>
      <c r="AE2" s="2046"/>
      <c r="AF2" s="2046"/>
    </row>
    <row r="3" spans="1:34">
      <c r="T3" s="9"/>
      <c r="U3" s="60" t="s">
        <v>4389</v>
      </c>
      <c r="V3" s="60" t="s">
        <v>4390</v>
      </c>
      <c r="W3" s="60" t="s">
        <v>4391</v>
      </c>
      <c r="X3" s="61"/>
      <c r="Y3" s="9"/>
      <c r="Z3" s="60"/>
      <c r="AC3" s="9"/>
      <c r="AD3" s="60" t="s">
        <v>4389</v>
      </c>
      <c r="AE3" s="60" t="s">
        <v>4390</v>
      </c>
      <c r="AF3" s="60" t="s">
        <v>4391</v>
      </c>
    </row>
    <row r="4" spans="1:34">
      <c r="A4" t="s">
        <v>750</v>
      </c>
      <c r="B4" t="s">
        <v>4392</v>
      </c>
      <c r="C4" t="s">
        <v>4393</v>
      </c>
      <c r="D4" t="s">
        <v>1187</v>
      </c>
      <c r="E4" t="s">
        <v>4394</v>
      </c>
      <c r="F4" t="s">
        <v>4395</v>
      </c>
      <c r="G4" t="s">
        <v>4396</v>
      </c>
      <c r="H4" t="s">
        <v>4397</v>
      </c>
      <c r="I4" t="s">
        <v>1136</v>
      </c>
      <c r="J4" t="s">
        <v>4387</v>
      </c>
      <c r="K4" t="s">
        <v>1472</v>
      </c>
      <c r="L4" t="s">
        <v>1473</v>
      </c>
      <c r="M4" t="s">
        <v>4398</v>
      </c>
      <c r="N4" t="s">
        <v>4399</v>
      </c>
      <c r="O4" t="s">
        <v>4400</v>
      </c>
      <c r="P4" s="1" t="s">
        <v>4401</v>
      </c>
    </row>
    <row r="5" spans="1:34" ht="27.6">
      <c r="A5" t="s">
        <v>1018</v>
      </c>
      <c r="B5" t="s">
        <v>155</v>
      </c>
      <c r="C5" t="s">
        <v>4402</v>
      </c>
      <c r="D5" t="s">
        <v>1190</v>
      </c>
      <c r="E5" t="s">
        <v>663</v>
      </c>
      <c r="H5">
        <v>3.5999999999999999E-3</v>
      </c>
      <c r="I5" t="s">
        <v>1137</v>
      </c>
      <c r="J5">
        <v>0</v>
      </c>
      <c r="K5">
        <v>0.81</v>
      </c>
      <c r="L5">
        <v>0.09</v>
      </c>
      <c r="M5" t="s">
        <v>4403</v>
      </c>
      <c r="O5" t="s">
        <v>4405</v>
      </c>
      <c r="P5" s="1" t="s">
        <v>4405</v>
      </c>
      <c r="T5">
        <v>0.79</v>
      </c>
      <c r="U5">
        <v>0.09</v>
      </c>
      <c r="X5" s="56" t="s">
        <v>4406</v>
      </c>
      <c r="AC5" s="3">
        <f>(T5-GHGFY20[[#This Row],[Scope 2 Emission factor]])/GHGFY20[[#This Row],[Scope 2 Emission factor]]</f>
        <v>-2.4691358024691377E-2</v>
      </c>
      <c r="AD5" s="3">
        <f>(U5-GHGFY20[[#This Row],[Scope 3 Emission factor]])/GHGFY20[[#This Row],[Scope 3 Emission factor]]</f>
        <v>0</v>
      </c>
      <c r="AH5" t="b">
        <f>GHGFY20[[#This Row],[Reporting Alias]]=GHGFY207[[#This Row],[Reporting Alias]]</f>
        <v>1</v>
      </c>
    </row>
    <row r="6" spans="1:34" ht="27.6">
      <c r="A6" t="s">
        <v>1019</v>
      </c>
      <c r="B6" t="s">
        <v>155</v>
      </c>
      <c r="C6" t="s">
        <v>4402</v>
      </c>
      <c r="D6" t="s">
        <v>1192</v>
      </c>
      <c r="E6" t="s">
        <v>663</v>
      </c>
      <c r="H6">
        <v>3.5999999999999999E-3</v>
      </c>
      <c r="I6" t="s">
        <v>1137</v>
      </c>
      <c r="J6">
        <v>0</v>
      </c>
      <c r="K6">
        <v>0.81</v>
      </c>
      <c r="L6">
        <v>0.09</v>
      </c>
      <c r="M6" t="s">
        <v>4403</v>
      </c>
      <c r="O6" t="s">
        <v>4405</v>
      </c>
      <c r="P6" s="1" t="s">
        <v>4405</v>
      </c>
      <c r="T6">
        <v>0.81</v>
      </c>
      <c r="U6">
        <v>0.09</v>
      </c>
      <c r="X6" s="56" t="s">
        <v>4405</v>
      </c>
      <c r="AC6" s="3">
        <f>(T6-GHGFY20[[#This Row],[Scope 2 Emission factor]])/GHGFY20[[#This Row],[Scope 2 Emission factor]]</f>
        <v>0</v>
      </c>
      <c r="AD6" s="3">
        <f>(U6-GHGFY20[[#This Row],[Scope 3 Emission factor]])/GHGFY20[[#This Row],[Scope 3 Emission factor]]</f>
        <v>0</v>
      </c>
      <c r="AH6" t="b">
        <f>GHGFY20[[#This Row],[Reporting Alias]]=GHGFY207[[#This Row],[Reporting Alias]]</f>
        <v>1</v>
      </c>
    </row>
    <row r="7" spans="1:34" ht="27.6">
      <c r="A7" t="s">
        <v>1184</v>
      </c>
      <c r="B7" t="s">
        <v>155</v>
      </c>
      <c r="C7" t="s">
        <v>4402</v>
      </c>
      <c r="D7" t="s">
        <v>1208</v>
      </c>
      <c r="E7" t="s">
        <v>663</v>
      </c>
      <c r="H7">
        <v>3.5999999999999999E-3</v>
      </c>
      <c r="I7" t="s">
        <v>1137</v>
      </c>
      <c r="J7">
        <v>0</v>
      </c>
      <c r="K7">
        <v>0.63</v>
      </c>
      <c r="L7">
        <v>0.08</v>
      </c>
      <c r="M7" t="s">
        <v>4403</v>
      </c>
      <c r="O7" t="s">
        <v>4406</v>
      </c>
      <c r="P7" s="1" t="s">
        <v>4406</v>
      </c>
      <c r="T7">
        <v>0.63</v>
      </c>
      <c r="U7">
        <v>0.08</v>
      </c>
      <c r="X7" s="56" t="s">
        <v>4406</v>
      </c>
      <c r="AC7" s="3">
        <f>(T7-GHGFY20[[#This Row],[Scope 2 Emission factor]])/GHGFY20[[#This Row],[Scope 2 Emission factor]]</f>
        <v>0</v>
      </c>
      <c r="AD7" s="3">
        <f>(U7-GHGFY20[[#This Row],[Scope 3 Emission factor]])/GHGFY20[[#This Row],[Scope 3 Emission factor]]</f>
        <v>0</v>
      </c>
      <c r="AH7" t="b">
        <f>GHGFY20[[#This Row],[Reporting Alias]]=GHGFY207[[#This Row],[Reporting Alias]]</f>
        <v>0</v>
      </c>
    </row>
    <row r="8" spans="1:34" ht="27.6">
      <c r="A8" t="s">
        <v>1020</v>
      </c>
      <c r="B8" t="s">
        <v>155</v>
      </c>
      <c r="C8" t="s">
        <v>4402</v>
      </c>
      <c r="D8" t="s">
        <v>1210</v>
      </c>
      <c r="E8" t="s">
        <v>663</v>
      </c>
      <c r="H8">
        <v>3.5999999999999999E-3</v>
      </c>
      <c r="I8" t="s">
        <v>1137</v>
      </c>
      <c r="J8">
        <v>0</v>
      </c>
      <c r="K8">
        <v>0.81</v>
      </c>
      <c r="L8">
        <v>0.12</v>
      </c>
      <c r="M8" t="s">
        <v>4403</v>
      </c>
      <c r="O8" t="s">
        <v>4407</v>
      </c>
      <c r="P8" s="1" t="s">
        <v>4407</v>
      </c>
      <c r="T8">
        <v>0.81</v>
      </c>
      <c r="U8">
        <v>0.12</v>
      </c>
      <c r="X8" s="56" t="s">
        <v>4407</v>
      </c>
      <c r="AC8" s="3">
        <f>(T8-GHGFY20[[#This Row],[Scope 2 Emission factor]])/GHGFY20[[#This Row],[Scope 2 Emission factor]]</f>
        <v>0</v>
      </c>
      <c r="AD8" s="3">
        <f>(U8-GHGFY20[[#This Row],[Scope 3 Emission factor]])/GHGFY20[[#This Row],[Scope 3 Emission factor]]</f>
        <v>0</v>
      </c>
      <c r="AE8" s="3"/>
      <c r="AH8" t="b">
        <f>GHGFY20[[#This Row],[Reporting Alias]]=GHGFY207[[#This Row],[Reporting Alias]]</f>
        <v>1</v>
      </c>
    </row>
    <row r="9" spans="1:34" ht="27.6">
      <c r="A9" t="s">
        <v>1021</v>
      </c>
      <c r="B9" t="s">
        <v>155</v>
      </c>
      <c r="C9" t="s">
        <v>4402</v>
      </c>
      <c r="D9" t="s">
        <v>1193</v>
      </c>
      <c r="E9" t="s">
        <v>663</v>
      </c>
      <c r="H9">
        <v>3.5999999999999999E-3</v>
      </c>
      <c r="I9" t="s">
        <v>1137</v>
      </c>
      <c r="J9">
        <v>0</v>
      </c>
      <c r="K9">
        <v>0.44</v>
      </c>
      <c r="L9">
        <v>0.1</v>
      </c>
      <c r="M9" t="s">
        <v>4403</v>
      </c>
      <c r="O9" t="s">
        <v>4408</v>
      </c>
      <c r="P9" s="1" t="s">
        <v>4408</v>
      </c>
      <c r="T9">
        <v>0.44</v>
      </c>
      <c r="U9">
        <v>0.1</v>
      </c>
      <c r="X9" s="56" t="s">
        <v>4408</v>
      </c>
      <c r="AC9" s="3">
        <f>(T9-GHGFY20[[#This Row],[Scope 2 Emission factor]])/GHGFY20[[#This Row],[Scope 2 Emission factor]]</f>
        <v>0</v>
      </c>
      <c r="AD9" s="3">
        <f>(U9-GHGFY20[[#This Row],[Scope 3 Emission factor]])/GHGFY20[[#This Row],[Scope 3 Emission factor]]</f>
        <v>0</v>
      </c>
      <c r="AH9" t="b">
        <f>GHGFY20[[#This Row],[Reporting Alias]]=GHGFY207[[#This Row],[Reporting Alias]]</f>
        <v>1</v>
      </c>
    </row>
    <row r="10" spans="1:34" ht="27.6">
      <c r="A10" t="s">
        <v>1022</v>
      </c>
      <c r="B10" t="s">
        <v>155</v>
      </c>
      <c r="C10" t="s">
        <v>4402</v>
      </c>
      <c r="D10" t="s">
        <v>1213</v>
      </c>
      <c r="E10" t="s">
        <v>663</v>
      </c>
      <c r="H10">
        <v>3.5999999999999999E-3</v>
      </c>
      <c r="I10" t="s">
        <v>1137</v>
      </c>
      <c r="J10">
        <v>0</v>
      </c>
      <c r="K10">
        <v>0.15</v>
      </c>
      <c r="L10">
        <v>0.02</v>
      </c>
      <c r="M10" t="s">
        <v>4403</v>
      </c>
      <c r="O10" t="s">
        <v>4406</v>
      </c>
      <c r="P10" s="1" t="s">
        <v>4406</v>
      </c>
      <c r="T10">
        <v>0.15</v>
      </c>
      <c r="U10">
        <v>0.02</v>
      </c>
      <c r="X10" s="56" t="s">
        <v>4406</v>
      </c>
      <c r="AC10" s="3">
        <f>(T10-GHGFY20[[#This Row],[Scope 2 Emission factor]])/GHGFY20[[#This Row],[Scope 2 Emission factor]]</f>
        <v>0</v>
      </c>
      <c r="AD10" s="3">
        <f>(U10-GHGFY20[[#This Row],[Scope 3 Emission factor]])/GHGFY20[[#This Row],[Scope 3 Emission factor]]</f>
        <v>0</v>
      </c>
      <c r="AH10" t="b">
        <f>GHGFY20[[#This Row],[Reporting Alias]]=GHGFY207[[#This Row],[Reporting Alias]]</f>
        <v>1</v>
      </c>
    </row>
    <row r="11" spans="1:34" ht="27.6">
      <c r="A11" t="s">
        <v>1023</v>
      </c>
      <c r="B11" t="s">
        <v>155</v>
      </c>
      <c r="C11" t="s">
        <v>4402</v>
      </c>
      <c r="D11" t="s">
        <v>1189</v>
      </c>
      <c r="E11" t="s">
        <v>663</v>
      </c>
      <c r="H11">
        <v>3.5999999999999999E-3</v>
      </c>
      <c r="I11" t="s">
        <v>1137</v>
      </c>
      <c r="J11">
        <v>0</v>
      </c>
      <c r="K11">
        <v>1.02</v>
      </c>
      <c r="L11">
        <v>0.1</v>
      </c>
      <c r="M11" t="s">
        <v>4403</v>
      </c>
      <c r="O11" t="s">
        <v>4407</v>
      </c>
      <c r="P11" s="1" t="s">
        <v>4407</v>
      </c>
      <c r="T11">
        <v>1.02</v>
      </c>
      <c r="U11">
        <v>0.1</v>
      </c>
      <c r="X11" s="56" t="s">
        <v>4407</v>
      </c>
      <c r="AC11" s="3">
        <f>(T11-GHGFY20[[#This Row],[Scope 2 Emission factor]])/GHGFY20[[#This Row],[Scope 2 Emission factor]]</f>
        <v>0</v>
      </c>
      <c r="AD11" s="3">
        <f>(U11-GHGFY20[[#This Row],[Scope 3 Emission factor]])/GHGFY20[[#This Row],[Scope 3 Emission factor]]</f>
        <v>0</v>
      </c>
      <c r="AH11" t="b">
        <f>GHGFY20[[#This Row],[Reporting Alias]]=GHGFY207[[#This Row],[Reporting Alias]]</f>
        <v>1</v>
      </c>
    </row>
    <row r="12" spans="1:34" ht="27.6">
      <c r="A12" t="s">
        <v>1024</v>
      </c>
      <c r="B12" t="s">
        <v>155</v>
      </c>
      <c r="C12" t="s">
        <v>4402</v>
      </c>
      <c r="D12" t="s">
        <v>1216</v>
      </c>
      <c r="E12" t="s">
        <v>663</v>
      </c>
      <c r="H12">
        <v>3.5999999999999999E-3</v>
      </c>
      <c r="I12" t="s">
        <v>1137</v>
      </c>
      <c r="J12">
        <v>0</v>
      </c>
      <c r="K12">
        <v>0.69</v>
      </c>
      <c r="L12">
        <v>0.04</v>
      </c>
      <c r="M12" t="s">
        <v>4403</v>
      </c>
      <c r="O12" t="s">
        <v>4408</v>
      </c>
      <c r="P12" s="1" t="s">
        <v>4408</v>
      </c>
      <c r="T12">
        <v>0.69</v>
      </c>
      <c r="U12">
        <v>0.04</v>
      </c>
      <c r="X12" s="56" t="s">
        <v>4408</v>
      </c>
      <c r="AC12" s="3">
        <f>(T12-GHGFY20[[#This Row],[Scope 2 Emission factor]])/GHGFY20[[#This Row],[Scope 2 Emission factor]]</f>
        <v>0</v>
      </c>
      <c r="AD12" s="3">
        <f>(U12-GHGFY20[[#This Row],[Scope 3 Emission factor]])/GHGFY20[[#This Row],[Scope 3 Emission factor]]</f>
        <v>0</v>
      </c>
      <c r="AH12" t="b">
        <f>GHGFY20[[#This Row],[Reporting Alias]]=GHGFY207[[#This Row],[Reporting Alias]]</f>
        <v>1</v>
      </c>
    </row>
    <row r="13" spans="1:34" ht="27.6">
      <c r="A13" t="s">
        <v>1002</v>
      </c>
      <c r="B13" t="s">
        <v>155</v>
      </c>
      <c r="C13" t="s">
        <v>4402</v>
      </c>
      <c r="D13" t="s">
        <v>1190</v>
      </c>
      <c r="E13" t="s">
        <v>663</v>
      </c>
      <c r="H13">
        <v>3.5999999999999999E-3</v>
      </c>
      <c r="I13" t="s">
        <v>1137</v>
      </c>
      <c r="J13">
        <v>0</v>
      </c>
      <c r="K13">
        <v>0.81</v>
      </c>
      <c r="L13">
        <v>0.09</v>
      </c>
      <c r="M13" t="s">
        <v>4403</v>
      </c>
      <c r="O13" t="s">
        <v>4405</v>
      </c>
      <c r="P13" s="1" t="s">
        <v>4405</v>
      </c>
      <c r="T13">
        <v>0.79</v>
      </c>
      <c r="U13">
        <v>0.09</v>
      </c>
      <c r="X13" s="56" t="s">
        <v>4406</v>
      </c>
      <c r="AC13" s="3">
        <f>(T13-GHGFY20[[#This Row],[Scope 2 Emission factor]])/GHGFY20[[#This Row],[Scope 2 Emission factor]]</f>
        <v>-2.4691358024691377E-2</v>
      </c>
      <c r="AD13" s="3">
        <f>(U13-GHGFY20[[#This Row],[Scope 3 Emission factor]])/GHGFY20[[#This Row],[Scope 3 Emission factor]]</f>
        <v>0</v>
      </c>
      <c r="AH13" t="b">
        <f>GHGFY20[[#This Row],[Reporting Alias]]=GHGFY207[[#This Row],[Reporting Alias]]</f>
        <v>1</v>
      </c>
    </row>
    <row r="14" spans="1:34" ht="27.6">
      <c r="A14" t="s">
        <v>1003</v>
      </c>
      <c r="B14" t="s">
        <v>155</v>
      </c>
      <c r="C14" t="s">
        <v>4402</v>
      </c>
      <c r="D14" t="s">
        <v>1192</v>
      </c>
      <c r="E14" t="s">
        <v>663</v>
      </c>
      <c r="H14">
        <v>3.5999999999999999E-3</v>
      </c>
      <c r="I14" t="s">
        <v>1137</v>
      </c>
      <c r="J14">
        <v>0</v>
      </c>
      <c r="K14">
        <v>0.81</v>
      </c>
      <c r="L14">
        <v>0.09</v>
      </c>
      <c r="M14" t="s">
        <v>4403</v>
      </c>
      <c r="O14" t="s">
        <v>4405</v>
      </c>
      <c r="P14" s="1" t="s">
        <v>4405</v>
      </c>
      <c r="T14">
        <v>0.81</v>
      </c>
      <c r="U14">
        <v>0.09</v>
      </c>
      <c r="X14" s="56" t="s">
        <v>4405</v>
      </c>
      <c r="AC14" s="3">
        <f>(T14-GHGFY20[[#This Row],[Scope 2 Emission factor]])/GHGFY20[[#This Row],[Scope 2 Emission factor]]</f>
        <v>0</v>
      </c>
      <c r="AD14" s="3">
        <f>(U14-GHGFY20[[#This Row],[Scope 3 Emission factor]])/GHGFY20[[#This Row],[Scope 3 Emission factor]]</f>
        <v>0</v>
      </c>
      <c r="AH14" t="b">
        <f>GHGFY20[[#This Row],[Reporting Alias]]=GHGFY207[[#This Row],[Reporting Alias]]</f>
        <v>1</v>
      </c>
    </row>
    <row r="15" spans="1:34" ht="27.6">
      <c r="A15" t="s">
        <v>1004</v>
      </c>
      <c r="B15" t="s">
        <v>155</v>
      </c>
      <c r="C15" t="s">
        <v>4402</v>
      </c>
      <c r="D15" t="s">
        <v>1208</v>
      </c>
      <c r="E15" t="s">
        <v>663</v>
      </c>
      <c r="H15">
        <v>3.5999999999999999E-3</v>
      </c>
      <c r="I15" t="s">
        <v>1137</v>
      </c>
      <c r="J15">
        <v>0</v>
      </c>
      <c r="K15">
        <v>0.63</v>
      </c>
      <c r="L15">
        <v>0.08</v>
      </c>
      <c r="M15" t="s">
        <v>4403</v>
      </c>
      <c r="O15" t="s">
        <v>4406</v>
      </c>
      <c r="P15" s="1" t="s">
        <v>4406</v>
      </c>
      <c r="T15">
        <v>0.63</v>
      </c>
      <c r="U15">
        <v>0.08</v>
      </c>
      <c r="X15" s="56" t="s">
        <v>4406</v>
      </c>
      <c r="AC15" s="3">
        <f>(T15-GHGFY20[[#This Row],[Scope 2 Emission factor]])/GHGFY20[[#This Row],[Scope 2 Emission factor]]</f>
        <v>0</v>
      </c>
      <c r="AD15" s="3">
        <f>(U15-GHGFY20[[#This Row],[Scope 3 Emission factor]])/GHGFY20[[#This Row],[Scope 3 Emission factor]]</f>
        <v>0</v>
      </c>
      <c r="AH15" t="b">
        <f>GHGFY20[[#This Row],[Reporting Alias]]=GHGFY207[[#This Row],[Reporting Alias]]</f>
        <v>1</v>
      </c>
    </row>
    <row r="16" spans="1:34" ht="27.6">
      <c r="A16" t="s">
        <v>1005</v>
      </c>
      <c r="B16" t="s">
        <v>155</v>
      </c>
      <c r="C16" t="s">
        <v>4402</v>
      </c>
      <c r="D16" t="s">
        <v>1210</v>
      </c>
      <c r="E16" t="s">
        <v>663</v>
      </c>
      <c r="H16">
        <v>3.5999999999999999E-3</v>
      </c>
      <c r="I16" t="s">
        <v>1137</v>
      </c>
      <c r="J16">
        <v>0</v>
      </c>
      <c r="K16">
        <v>0.81</v>
      </c>
      <c r="L16">
        <v>0.12</v>
      </c>
      <c r="M16" t="s">
        <v>4403</v>
      </c>
      <c r="O16" t="s">
        <v>4407</v>
      </c>
      <c r="P16" s="1" t="s">
        <v>4407</v>
      </c>
      <c r="T16">
        <v>0.81</v>
      </c>
      <c r="U16">
        <v>0.12</v>
      </c>
      <c r="X16" s="56" t="s">
        <v>4407</v>
      </c>
      <c r="AC16" s="3">
        <f>(T16-GHGFY20[[#This Row],[Scope 2 Emission factor]])/GHGFY20[[#This Row],[Scope 2 Emission factor]]</f>
        <v>0</v>
      </c>
      <c r="AD16" s="3">
        <f>(U16-GHGFY20[[#This Row],[Scope 3 Emission factor]])/GHGFY20[[#This Row],[Scope 3 Emission factor]]</f>
        <v>0</v>
      </c>
      <c r="AH16" t="b">
        <f>GHGFY20[[#This Row],[Reporting Alias]]=GHGFY207[[#This Row],[Reporting Alias]]</f>
        <v>1</v>
      </c>
    </row>
    <row r="17" spans="1:34" ht="27.6">
      <c r="A17" t="s">
        <v>1006</v>
      </c>
      <c r="B17" t="s">
        <v>155</v>
      </c>
      <c r="C17" t="s">
        <v>4402</v>
      </c>
      <c r="D17" t="s">
        <v>1193</v>
      </c>
      <c r="E17" t="s">
        <v>663</v>
      </c>
      <c r="H17">
        <v>3.5999999999999999E-3</v>
      </c>
      <c r="I17" t="s">
        <v>1137</v>
      </c>
      <c r="J17">
        <v>0</v>
      </c>
      <c r="K17">
        <v>0.44</v>
      </c>
      <c r="L17">
        <v>0.1</v>
      </c>
      <c r="M17" t="s">
        <v>4403</v>
      </c>
      <c r="O17" t="s">
        <v>4408</v>
      </c>
      <c r="P17" s="1" t="s">
        <v>4408</v>
      </c>
      <c r="T17">
        <v>0.44</v>
      </c>
      <c r="U17">
        <v>0.1</v>
      </c>
      <c r="X17" s="56" t="s">
        <v>4408</v>
      </c>
      <c r="AC17" s="3">
        <f>(T17-GHGFY20[[#This Row],[Scope 2 Emission factor]])/GHGFY20[[#This Row],[Scope 2 Emission factor]]</f>
        <v>0</v>
      </c>
      <c r="AD17" s="3">
        <f>(U17-GHGFY20[[#This Row],[Scope 3 Emission factor]])/GHGFY20[[#This Row],[Scope 3 Emission factor]]</f>
        <v>0</v>
      </c>
      <c r="AH17" t="b">
        <f>GHGFY20[[#This Row],[Reporting Alias]]=GHGFY207[[#This Row],[Reporting Alias]]</f>
        <v>1</v>
      </c>
    </row>
    <row r="18" spans="1:34" ht="27.6">
      <c r="A18" t="s">
        <v>1007</v>
      </c>
      <c r="B18" t="s">
        <v>155</v>
      </c>
      <c r="C18" t="s">
        <v>4402</v>
      </c>
      <c r="D18" t="s">
        <v>1213</v>
      </c>
      <c r="E18" t="s">
        <v>663</v>
      </c>
      <c r="H18">
        <v>3.5999999999999999E-3</v>
      </c>
      <c r="I18" t="s">
        <v>1137</v>
      </c>
      <c r="J18">
        <v>0</v>
      </c>
      <c r="K18">
        <v>0.15</v>
      </c>
      <c r="L18">
        <v>0.02</v>
      </c>
      <c r="M18" t="s">
        <v>4403</v>
      </c>
      <c r="O18" t="s">
        <v>4406</v>
      </c>
      <c r="P18" s="1" t="s">
        <v>4406</v>
      </c>
      <c r="T18">
        <v>0.15</v>
      </c>
      <c r="U18">
        <v>0.02</v>
      </c>
      <c r="X18" s="56" t="s">
        <v>4406</v>
      </c>
      <c r="AC18" s="3">
        <f>(T18-GHGFY20[[#This Row],[Scope 2 Emission factor]])/GHGFY20[[#This Row],[Scope 2 Emission factor]]</f>
        <v>0</v>
      </c>
      <c r="AD18" s="3">
        <f>(U18-GHGFY20[[#This Row],[Scope 3 Emission factor]])/GHGFY20[[#This Row],[Scope 3 Emission factor]]</f>
        <v>0</v>
      </c>
      <c r="AH18" t="b">
        <f>GHGFY20[[#This Row],[Reporting Alias]]=GHGFY207[[#This Row],[Reporting Alias]]</f>
        <v>1</v>
      </c>
    </row>
    <row r="19" spans="1:34" ht="27.6">
      <c r="A19" t="s">
        <v>1008</v>
      </c>
      <c r="B19" t="s">
        <v>155</v>
      </c>
      <c r="C19" t="s">
        <v>4402</v>
      </c>
      <c r="D19" t="s">
        <v>1189</v>
      </c>
      <c r="E19" t="s">
        <v>663</v>
      </c>
      <c r="H19">
        <v>3.5999999999999999E-3</v>
      </c>
      <c r="I19" t="s">
        <v>1137</v>
      </c>
      <c r="J19">
        <v>0</v>
      </c>
      <c r="K19">
        <v>1.02</v>
      </c>
      <c r="L19">
        <v>0.1</v>
      </c>
      <c r="M19" t="s">
        <v>4403</v>
      </c>
      <c r="O19" t="s">
        <v>4407</v>
      </c>
      <c r="P19" s="1" t="s">
        <v>4407</v>
      </c>
      <c r="T19">
        <v>1.02</v>
      </c>
      <c r="U19">
        <v>0.1</v>
      </c>
      <c r="X19" s="56" t="s">
        <v>4407</v>
      </c>
      <c r="AC19" s="3">
        <f>(T19-GHGFY20[[#This Row],[Scope 2 Emission factor]])/GHGFY20[[#This Row],[Scope 2 Emission factor]]</f>
        <v>0</v>
      </c>
      <c r="AD19" s="3">
        <f>(U19-GHGFY20[[#This Row],[Scope 3 Emission factor]])/GHGFY20[[#This Row],[Scope 3 Emission factor]]</f>
        <v>0</v>
      </c>
      <c r="AH19" t="b">
        <f>GHGFY20[[#This Row],[Reporting Alias]]=GHGFY207[[#This Row],[Reporting Alias]]</f>
        <v>1</v>
      </c>
    </row>
    <row r="20" spans="1:34" ht="27.6">
      <c r="A20" t="s">
        <v>1009</v>
      </c>
      <c r="B20" t="s">
        <v>155</v>
      </c>
      <c r="C20" t="s">
        <v>4402</v>
      </c>
      <c r="D20" t="s">
        <v>1216</v>
      </c>
      <c r="E20" t="s">
        <v>663</v>
      </c>
      <c r="H20">
        <v>3.5999999999999999E-3</v>
      </c>
      <c r="I20" t="s">
        <v>1137</v>
      </c>
      <c r="J20">
        <v>0</v>
      </c>
      <c r="K20">
        <v>0.69</v>
      </c>
      <c r="L20">
        <v>0.04</v>
      </c>
      <c r="M20" t="s">
        <v>4403</v>
      </c>
      <c r="O20" t="s">
        <v>4408</v>
      </c>
      <c r="P20" s="1" t="s">
        <v>4408</v>
      </c>
      <c r="T20">
        <v>0.69</v>
      </c>
      <c r="U20">
        <v>0.04</v>
      </c>
      <c r="X20" s="56" t="s">
        <v>4408</v>
      </c>
      <c r="AC20" s="3">
        <f>(T20-GHGFY20[[#This Row],[Scope 2 Emission factor]])/GHGFY20[[#This Row],[Scope 2 Emission factor]]</f>
        <v>0</v>
      </c>
      <c r="AD20" s="3">
        <f>(U20-GHGFY20[[#This Row],[Scope 3 Emission factor]])/GHGFY20[[#This Row],[Scope 3 Emission factor]]</f>
        <v>0</v>
      </c>
      <c r="AH20" t="b">
        <f>GHGFY20[[#This Row],[Reporting Alias]]=GHGFY207[[#This Row],[Reporting Alias]]</f>
        <v>1</v>
      </c>
    </row>
    <row r="21" spans="1:34" ht="27.6">
      <c r="A21" t="s">
        <v>1010</v>
      </c>
      <c r="B21" t="s">
        <v>155</v>
      </c>
      <c r="C21" t="s">
        <v>4402</v>
      </c>
      <c r="D21" t="s">
        <v>1190</v>
      </c>
      <c r="E21" t="s">
        <v>663</v>
      </c>
      <c r="H21">
        <v>3.5999999999999999E-3</v>
      </c>
      <c r="I21" t="s">
        <v>1137</v>
      </c>
      <c r="J21">
        <v>0</v>
      </c>
      <c r="K21">
        <v>0.81</v>
      </c>
      <c r="L21">
        <v>0.09</v>
      </c>
      <c r="M21" t="s">
        <v>4403</v>
      </c>
      <c r="O21" t="s">
        <v>4405</v>
      </c>
      <c r="P21" s="1" t="s">
        <v>4405</v>
      </c>
      <c r="T21">
        <v>0.79</v>
      </c>
      <c r="U21">
        <v>0.09</v>
      </c>
      <c r="X21" s="56" t="s">
        <v>4406</v>
      </c>
      <c r="AC21" s="3">
        <f>(T21-GHGFY20[[#This Row],[Scope 2 Emission factor]])/GHGFY20[[#This Row],[Scope 2 Emission factor]]</f>
        <v>-2.4691358024691377E-2</v>
      </c>
      <c r="AD21" s="3">
        <f>(U21-GHGFY20[[#This Row],[Scope 3 Emission factor]])/GHGFY20[[#This Row],[Scope 3 Emission factor]]</f>
        <v>0</v>
      </c>
      <c r="AH21" t="b">
        <f>GHGFY20[[#This Row],[Reporting Alias]]=GHGFY207[[#This Row],[Reporting Alias]]</f>
        <v>1</v>
      </c>
    </row>
    <row r="22" spans="1:34" ht="27.6">
      <c r="A22" t="s">
        <v>1011</v>
      </c>
      <c r="B22" t="s">
        <v>155</v>
      </c>
      <c r="C22" t="s">
        <v>4402</v>
      </c>
      <c r="D22" t="s">
        <v>1192</v>
      </c>
      <c r="E22" t="s">
        <v>663</v>
      </c>
      <c r="H22">
        <v>3.5999999999999999E-3</v>
      </c>
      <c r="I22" t="s">
        <v>1137</v>
      </c>
      <c r="J22">
        <v>0</v>
      </c>
      <c r="K22">
        <v>0.81</v>
      </c>
      <c r="L22">
        <v>0.09</v>
      </c>
      <c r="M22" t="s">
        <v>4403</v>
      </c>
      <c r="O22" t="s">
        <v>4405</v>
      </c>
      <c r="P22" s="1" t="s">
        <v>4405</v>
      </c>
      <c r="T22">
        <v>0.81</v>
      </c>
      <c r="U22">
        <v>0.09</v>
      </c>
      <c r="X22" s="56" t="s">
        <v>4405</v>
      </c>
      <c r="AC22" s="3">
        <f>(T22-GHGFY20[[#This Row],[Scope 2 Emission factor]])/GHGFY20[[#This Row],[Scope 2 Emission factor]]</f>
        <v>0</v>
      </c>
      <c r="AD22" s="3">
        <f>(U22-GHGFY20[[#This Row],[Scope 3 Emission factor]])/GHGFY20[[#This Row],[Scope 3 Emission factor]]</f>
        <v>0</v>
      </c>
      <c r="AH22" t="b">
        <f>GHGFY20[[#This Row],[Reporting Alias]]=GHGFY207[[#This Row],[Reporting Alias]]</f>
        <v>1</v>
      </c>
    </row>
    <row r="23" spans="1:34" ht="27.6">
      <c r="A23" t="s">
        <v>1012</v>
      </c>
      <c r="B23" t="s">
        <v>155</v>
      </c>
      <c r="C23" t="s">
        <v>4402</v>
      </c>
      <c r="D23" t="s">
        <v>1208</v>
      </c>
      <c r="E23" t="s">
        <v>663</v>
      </c>
      <c r="H23">
        <v>3.5999999999999999E-3</v>
      </c>
      <c r="I23" t="s">
        <v>1137</v>
      </c>
      <c r="J23">
        <v>0</v>
      </c>
      <c r="K23">
        <v>0.63</v>
      </c>
      <c r="L23">
        <v>0.08</v>
      </c>
      <c r="M23" t="s">
        <v>4403</v>
      </c>
      <c r="O23" t="s">
        <v>4406</v>
      </c>
      <c r="P23" s="1" t="s">
        <v>4406</v>
      </c>
      <c r="T23">
        <v>0.63</v>
      </c>
      <c r="U23">
        <v>0.08</v>
      </c>
      <c r="X23" s="56" t="s">
        <v>4406</v>
      </c>
      <c r="AC23" s="3">
        <f>(T23-GHGFY20[[#This Row],[Scope 2 Emission factor]])/GHGFY20[[#This Row],[Scope 2 Emission factor]]</f>
        <v>0</v>
      </c>
      <c r="AD23" s="3">
        <f>(U23-GHGFY20[[#This Row],[Scope 3 Emission factor]])/GHGFY20[[#This Row],[Scope 3 Emission factor]]</f>
        <v>0</v>
      </c>
      <c r="AH23" t="b">
        <f>GHGFY20[[#This Row],[Reporting Alias]]=GHGFY207[[#This Row],[Reporting Alias]]</f>
        <v>1</v>
      </c>
    </row>
    <row r="24" spans="1:34" ht="27.6">
      <c r="A24" t="s">
        <v>1013</v>
      </c>
      <c r="B24" t="s">
        <v>155</v>
      </c>
      <c r="C24" t="s">
        <v>4402</v>
      </c>
      <c r="D24" t="s">
        <v>1210</v>
      </c>
      <c r="E24" t="s">
        <v>663</v>
      </c>
      <c r="H24">
        <v>3.5999999999999999E-3</v>
      </c>
      <c r="I24" t="s">
        <v>1137</v>
      </c>
      <c r="J24">
        <v>0</v>
      </c>
      <c r="K24">
        <v>0.81</v>
      </c>
      <c r="L24">
        <v>0.12</v>
      </c>
      <c r="M24" t="s">
        <v>4403</v>
      </c>
      <c r="O24" t="s">
        <v>4407</v>
      </c>
      <c r="P24" s="1" t="s">
        <v>4407</v>
      </c>
      <c r="T24">
        <v>0.81</v>
      </c>
      <c r="U24">
        <v>0.12</v>
      </c>
      <c r="X24" s="56" t="s">
        <v>4407</v>
      </c>
      <c r="AC24" s="3">
        <f>(T24-GHGFY20[[#This Row],[Scope 2 Emission factor]])/GHGFY20[[#This Row],[Scope 2 Emission factor]]</f>
        <v>0</v>
      </c>
      <c r="AD24" s="3">
        <f>(U24-GHGFY20[[#This Row],[Scope 3 Emission factor]])/GHGFY20[[#This Row],[Scope 3 Emission factor]]</f>
        <v>0</v>
      </c>
      <c r="AH24" t="b">
        <f>GHGFY20[[#This Row],[Reporting Alias]]=GHGFY207[[#This Row],[Reporting Alias]]</f>
        <v>1</v>
      </c>
    </row>
    <row r="25" spans="1:34" ht="27.6">
      <c r="A25" t="s">
        <v>1014</v>
      </c>
      <c r="B25" t="s">
        <v>155</v>
      </c>
      <c r="C25" t="s">
        <v>4402</v>
      </c>
      <c r="D25" t="s">
        <v>1193</v>
      </c>
      <c r="E25" t="s">
        <v>663</v>
      </c>
      <c r="H25">
        <v>3.5999999999999999E-3</v>
      </c>
      <c r="I25" t="s">
        <v>1137</v>
      </c>
      <c r="J25">
        <v>0</v>
      </c>
      <c r="K25">
        <v>0.44</v>
      </c>
      <c r="L25">
        <v>0.1</v>
      </c>
      <c r="M25" t="s">
        <v>4403</v>
      </c>
      <c r="O25" t="s">
        <v>4408</v>
      </c>
      <c r="P25" s="1" t="s">
        <v>4408</v>
      </c>
      <c r="T25">
        <v>0.44</v>
      </c>
      <c r="U25">
        <v>0.1</v>
      </c>
      <c r="X25" s="56" t="s">
        <v>4408</v>
      </c>
      <c r="AC25" s="3">
        <f>(T25-GHGFY20[[#This Row],[Scope 2 Emission factor]])/GHGFY20[[#This Row],[Scope 2 Emission factor]]</f>
        <v>0</v>
      </c>
      <c r="AD25" s="3">
        <f>(U25-GHGFY20[[#This Row],[Scope 3 Emission factor]])/GHGFY20[[#This Row],[Scope 3 Emission factor]]</f>
        <v>0</v>
      </c>
      <c r="AH25" t="b">
        <f>GHGFY20[[#This Row],[Reporting Alias]]=GHGFY207[[#This Row],[Reporting Alias]]</f>
        <v>1</v>
      </c>
    </row>
    <row r="26" spans="1:34" ht="27.6">
      <c r="A26" t="s">
        <v>1015</v>
      </c>
      <c r="B26" t="s">
        <v>155</v>
      </c>
      <c r="C26" t="s">
        <v>4402</v>
      </c>
      <c r="D26" t="s">
        <v>1213</v>
      </c>
      <c r="E26" t="s">
        <v>663</v>
      </c>
      <c r="H26">
        <v>3.5999999999999999E-3</v>
      </c>
      <c r="I26" t="s">
        <v>1137</v>
      </c>
      <c r="J26">
        <v>0</v>
      </c>
      <c r="K26">
        <v>0.15</v>
      </c>
      <c r="L26">
        <v>0.02</v>
      </c>
      <c r="M26" t="s">
        <v>4403</v>
      </c>
      <c r="O26" t="s">
        <v>4406</v>
      </c>
      <c r="P26" s="1" t="s">
        <v>4406</v>
      </c>
      <c r="T26">
        <v>0.15</v>
      </c>
      <c r="U26">
        <v>0.02</v>
      </c>
      <c r="X26" s="56" t="s">
        <v>4406</v>
      </c>
      <c r="AC26" s="3">
        <f>(T26-GHGFY20[[#This Row],[Scope 2 Emission factor]])/GHGFY20[[#This Row],[Scope 2 Emission factor]]</f>
        <v>0</v>
      </c>
      <c r="AD26" s="3">
        <f>(U26-GHGFY20[[#This Row],[Scope 3 Emission factor]])/GHGFY20[[#This Row],[Scope 3 Emission factor]]</f>
        <v>0</v>
      </c>
      <c r="AH26" t="b">
        <f>GHGFY20[[#This Row],[Reporting Alias]]=GHGFY207[[#This Row],[Reporting Alias]]</f>
        <v>1</v>
      </c>
    </row>
    <row r="27" spans="1:34" ht="27.6">
      <c r="A27" t="s">
        <v>1016</v>
      </c>
      <c r="B27" t="s">
        <v>155</v>
      </c>
      <c r="C27" t="s">
        <v>4402</v>
      </c>
      <c r="D27" t="s">
        <v>1189</v>
      </c>
      <c r="E27" t="s">
        <v>663</v>
      </c>
      <c r="H27">
        <v>3.5999999999999999E-3</v>
      </c>
      <c r="I27" t="s">
        <v>1137</v>
      </c>
      <c r="J27">
        <v>0</v>
      </c>
      <c r="K27">
        <v>1.02</v>
      </c>
      <c r="L27">
        <v>0.1</v>
      </c>
      <c r="M27" t="s">
        <v>4403</v>
      </c>
      <c r="O27" t="s">
        <v>4407</v>
      </c>
      <c r="P27" s="1" t="s">
        <v>4407</v>
      </c>
      <c r="T27">
        <v>1.02</v>
      </c>
      <c r="U27">
        <v>0.1</v>
      </c>
      <c r="X27" s="56" t="s">
        <v>4407</v>
      </c>
      <c r="AC27" s="3">
        <f>(T27-GHGFY20[[#This Row],[Scope 2 Emission factor]])/GHGFY20[[#This Row],[Scope 2 Emission factor]]</f>
        <v>0</v>
      </c>
      <c r="AD27" s="3">
        <f>(U27-GHGFY20[[#This Row],[Scope 3 Emission factor]])/GHGFY20[[#This Row],[Scope 3 Emission factor]]</f>
        <v>0</v>
      </c>
      <c r="AH27" t="b">
        <f>GHGFY20[[#This Row],[Reporting Alias]]=GHGFY207[[#This Row],[Reporting Alias]]</f>
        <v>1</v>
      </c>
    </row>
    <row r="28" spans="1:34" ht="27.6">
      <c r="A28" t="s">
        <v>1017</v>
      </c>
      <c r="B28" t="s">
        <v>155</v>
      </c>
      <c r="C28" t="s">
        <v>4402</v>
      </c>
      <c r="D28" t="s">
        <v>1216</v>
      </c>
      <c r="E28" t="s">
        <v>663</v>
      </c>
      <c r="H28">
        <v>3.5999999999999999E-3</v>
      </c>
      <c r="I28" t="s">
        <v>1137</v>
      </c>
      <c r="J28">
        <v>0</v>
      </c>
      <c r="K28">
        <v>0.69</v>
      </c>
      <c r="L28">
        <v>0.04</v>
      </c>
      <c r="M28" t="s">
        <v>4403</v>
      </c>
      <c r="O28" t="s">
        <v>4408</v>
      </c>
      <c r="P28" s="1" t="s">
        <v>4408</v>
      </c>
      <c r="T28">
        <v>0.69</v>
      </c>
      <c r="U28">
        <v>0.04</v>
      </c>
      <c r="X28" s="56" t="s">
        <v>4408</v>
      </c>
      <c r="AC28" s="3">
        <f>(T28-GHGFY20[[#This Row],[Scope 2 Emission factor]])/GHGFY20[[#This Row],[Scope 2 Emission factor]]</f>
        <v>0</v>
      </c>
      <c r="AD28" s="3">
        <f>(U28-GHGFY20[[#This Row],[Scope 3 Emission factor]])/GHGFY20[[#This Row],[Scope 3 Emission factor]]</f>
        <v>0</v>
      </c>
      <c r="AH28" t="b">
        <f>GHGFY20[[#This Row],[Reporting Alias]]=GHGFY207[[#This Row],[Reporting Alias]]</f>
        <v>1</v>
      </c>
    </row>
    <row r="29" spans="1:34" ht="27.6">
      <c r="A29" t="s">
        <v>994</v>
      </c>
      <c r="B29" t="s">
        <v>155</v>
      </c>
      <c r="C29" t="s">
        <v>4402</v>
      </c>
      <c r="D29" t="s">
        <v>1190</v>
      </c>
      <c r="E29" t="s">
        <v>663</v>
      </c>
      <c r="H29">
        <v>3.5999999999999999E-3</v>
      </c>
      <c r="I29" t="s">
        <v>1137</v>
      </c>
      <c r="J29">
        <v>0</v>
      </c>
      <c r="K29">
        <v>0.81</v>
      </c>
      <c r="L29">
        <v>0.09</v>
      </c>
      <c r="M29" t="s">
        <v>4403</v>
      </c>
      <c r="O29" t="s">
        <v>4405</v>
      </c>
      <c r="P29" s="1" t="s">
        <v>4405</v>
      </c>
      <c r="T29">
        <v>0.79</v>
      </c>
      <c r="U29">
        <v>0.09</v>
      </c>
      <c r="X29" s="56" t="s">
        <v>4406</v>
      </c>
      <c r="AC29" s="3">
        <f>(T29-GHGFY20[[#This Row],[Scope 2 Emission factor]])/GHGFY20[[#This Row],[Scope 2 Emission factor]]</f>
        <v>-2.4691358024691377E-2</v>
      </c>
      <c r="AD29" s="3">
        <f>(U29-GHGFY20[[#This Row],[Scope 3 Emission factor]])/GHGFY20[[#This Row],[Scope 3 Emission factor]]</f>
        <v>0</v>
      </c>
      <c r="AH29" t="b">
        <f>GHGFY20[[#This Row],[Reporting Alias]]=GHGFY207[[#This Row],[Reporting Alias]]</f>
        <v>1</v>
      </c>
    </row>
    <row r="30" spans="1:34" ht="27.6">
      <c r="A30" t="s">
        <v>995</v>
      </c>
      <c r="B30" t="s">
        <v>155</v>
      </c>
      <c r="C30" t="s">
        <v>4402</v>
      </c>
      <c r="D30" t="s">
        <v>1192</v>
      </c>
      <c r="E30" t="s">
        <v>663</v>
      </c>
      <c r="H30">
        <v>3.5999999999999999E-3</v>
      </c>
      <c r="I30" t="s">
        <v>1137</v>
      </c>
      <c r="J30">
        <v>0</v>
      </c>
      <c r="K30">
        <v>0.81</v>
      </c>
      <c r="L30">
        <v>0.09</v>
      </c>
      <c r="M30" t="s">
        <v>4403</v>
      </c>
      <c r="O30" t="s">
        <v>4405</v>
      </c>
      <c r="P30" s="1" t="s">
        <v>4405</v>
      </c>
      <c r="T30">
        <v>0.81</v>
      </c>
      <c r="U30">
        <v>0.09</v>
      </c>
      <c r="X30" s="56" t="s">
        <v>4405</v>
      </c>
      <c r="AC30" s="3">
        <f>(T30-GHGFY20[[#This Row],[Scope 2 Emission factor]])/GHGFY20[[#This Row],[Scope 2 Emission factor]]</f>
        <v>0</v>
      </c>
      <c r="AD30" s="3">
        <f>(U30-GHGFY20[[#This Row],[Scope 3 Emission factor]])/GHGFY20[[#This Row],[Scope 3 Emission factor]]</f>
        <v>0</v>
      </c>
      <c r="AH30" t="b">
        <f>GHGFY20[[#This Row],[Reporting Alias]]=GHGFY207[[#This Row],[Reporting Alias]]</f>
        <v>1</v>
      </c>
    </row>
    <row r="31" spans="1:34" ht="27.6">
      <c r="A31" t="s">
        <v>996</v>
      </c>
      <c r="B31" t="s">
        <v>155</v>
      </c>
      <c r="C31" t="s">
        <v>4402</v>
      </c>
      <c r="D31" t="s">
        <v>1208</v>
      </c>
      <c r="E31" t="s">
        <v>663</v>
      </c>
      <c r="H31">
        <v>3.5999999999999999E-3</v>
      </c>
      <c r="I31" t="s">
        <v>1137</v>
      </c>
      <c r="J31">
        <v>0</v>
      </c>
      <c r="K31">
        <v>0.63</v>
      </c>
      <c r="L31">
        <v>0.08</v>
      </c>
      <c r="M31" t="s">
        <v>4403</v>
      </c>
      <c r="O31" t="s">
        <v>4406</v>
      </c>
      <c r="P31" s="1" t="s">
        <v>4406</v>
      </c>
      <c r="T31">
        <v>0.63</v>
      </c>
      <c r="U31">
        <v>0.08</v>
      </c>
      <c r="X31" s="56" t="s">
        <v>4406</v>
      </c>
      <c r="AC31" s="3">
        <f>(T31-GHGFY20[[#This Row],[Scope 2 Emission factor]])/GHGFY20[[#This Row],[Scope 2 Emission factor]]</f>
        <v>0</v>
      </c>
      <c r="AD31" s="3">
        <f>(U31-GHGFY20[[#This Row],[Scope 3 Emission factor]])/GHGFY20[[#This Row],[Scope 3 Emission factor]]</f>
        <v>0</v>
      </c>
      <c r="AH31" t="b">
        <f>GHGFY20[[#This Row],[Reporting Alias]]=GHGFY207[[#This Row],[Reporting Alias]]</f>
        <v>1</v>
      </c>
    </row>
    <row r="32" spans="1:34" ht="27.6">
      <c r="A32" t="s">
        <v>997</v>
      </c>
      <c r="B32" t="s">
        <v>155</v>
      </c>
      <c r="C32" t="s">
        <v>4402</v>
      </c>
      <c r="D32" t="s">
        <v>1210</v>
      </c>
      <c r="E32" t="s">
        <v>663</v>
      </c>
      <c r="H32">
        <v>3.5999999999999999E-3</v>
      </c>
      <c r="I32" t="s">
        <v>1137</v>
      </c>
      <c r="J32">
        <v>0</v>
      </c>
      <c r="K32">
        <v>0.81</v>
      </c>
      <c r="L32">
        <v>0.12</v>
      </c>
      <c r="M32" t="s">
        <v>4403</v>
      </c>
      <c r="O32" t="s">
        <v>4407</v>
      </c>
      <c r="P32" s="1" t="s">
        <v>4407</v>
      </c>
      <c r="T32">
        <v>0.81</v>
      </c>
      <c r="U32">
        <v>0.12</v>
      </c>
      <c r="X32" s="56" t="s">
        <v>4407</v>
      </c>
      <c r="AC32" s="3">
        <f>(T32-GHGFY20[[#This Row],[Scope 2 Emission factor]])/GHGFY20[[#This Row],[Scope 2 Emission factor]]</f>
        <v>0</v>
      </c>
      <c r="AD32" s="3">
        <f>(U32-GHGFY20[[#This Row],[Scope 3 Emission factor]])/GHGFY20[[#This Row],[Scope 3 Emission factor]]</f>
        <v>0</v>
      </c>
      <c r="AH32" t="b">
        <f>GHGFY20[[#This Row],[Reporting Alias]]=GHGFY207[[#This Row],[Reporting Alias]]</f>
        <v>1</v>
      </c>
    </row>
    <row r="33" spans="1:34" ht="27.6">
      <c r="A33" t="s">
        <v>998</v>
      </c>
      <c r="B33" t="s">
        <v>155</v>
      </c>
      <c r="C33" t="s">
        <v>4402</v>
      </c>
      <c r="D33" t="s">
        <v>1193</v>
      </c>
      <c r="E33" t="s">
        <v>663</v>
      </c>
      <c r="H33">
        <v>3.5999999999999999E-3</v>
      </c>
      <c r="I33" t="s">
        <v>1137</v>
      </c>
      <c r="J33">
        <v>0</v>
      </c>
      <c r="K33">
        <v>0.44</v>
      </c>
      <c r="L33">
        <v>0.1</v>
      </c>
      <c r="M33" t="s">
        <v>4403</v>
      </c>
      <c r="O33" t="s">
        <v>4408</v>
      </c>
      <c r="P33" s="1" t="s">
        <v>4408</v>
      </c>
      <c r="T33">
        <v>0.44</v>
      </c>
      <c r="U33">
        <v>0.1</v>
      </c>
      <c r="X33" s="56" t="s">
        <v>4408</v>
      </c>
      <c r="AC33" s="3">
        <f>(T33-GHGFY20[[#This Row],[Scope 2 Emission factor]])/GHGFY20[[#This Row],[Scope 2 Emission factor]]</f>
        <v>0</v>
      </c>
      <c r="AD33" s="3">
        <f>(U33-GHGFY20[[#This Row],[Scope 3 Emission factor]])/GHGFY20[[#This Row],[Scope 3 Emission factor]]</f>
        <v>0</v>
      </c>
      <c r="AH33" t="b">
        <f>GHGFY20[[#This Row],[Reporting Alias]]=GHGFY207[[#This Row],[Reporting Alias]]</f>
        <v>1</v>
      </c>
    </row>
    <row r="34" spans="1:34" ht="27.6">
      <c r="A34" t="s">
        <v>999</v>
      </c>
      <c r="B34" t="s">
        <v>155</v>
      </c>
      <c r="C34" t="s">
        <v>4402</v>
      </c>
      <c r="D34" t="s">
        <v>1213</v>
      </c>
      <c r="E34" t="s">
        <v>663</v>
      </c>
      <c r="H34">
        <v>3.5999999999999999E-3</v>
      </c>
      <c r="I34" t="s">
        <v>1137</v>
      </c>
      <c r="J34">
        <v>0</v>
      </c>
      <c r="K34">
        <v>0.15</v>
      </c>
      <c r="L34">
        <v>0.02</v>
      </c>
      <c r="M34" t="s">
        <v>4403</v>
      </c>
      <c r="O34" t="s">
        <v>4406</v>
      </c>
      <c r="P34" s="1" t="s">
        <v>4406</v>
      </c>
      <c r="T34">
        <v>0.15</v>
      </c>
      <c r="U34">
        <v>0.02</v>
      </c>
      <c r="X34" s="56" t="s">
        <v>4406</v>
      </c>
      <c r="AC34" s="3">
        <f>(T34-GHGFY20[[#This Row],[Scope 2 Emission factor]])/GHGFY20[[#This Row],[Scope 2 Emission factor]]</f>
        <v>0</v>
      </c>
      <c r="AD34" s="3">
        <f>(U34-GHGFY20[[#This Row],[Scope 3 Emission factor]])/GHGFY20[[#This Row],[Scope 3 Emission factor]]</f>
        <v>0</v>
      </c>
      <c r="AH34" t="b">
        <f>GHGFY20[[#This Row],[Reporting Alias]]=GHGFY207[[#This Row],[Reporting Alias]]</f>
        <v>1</v>
      </c>
    </row>
    <row r="35" spans="1:34" ht="27.6">
      <c r="A35" t="s">
        <v>1000</v>
      </c>
      <c r="B35" t="s">
        <v>155</v>
      </c>
      <c r="C35" t="s">
        <v>4402</v>
      </c>
      <c r="D35" t="s">
        <v>1189</v>
      </c>
      <c r="E35" t="s">
        <v>663</v>
      </c>
      <c r="H35">
        <v>3.5999999999999999E-3</v>
      </c>
      <c r="I35" t="s">
        <v>1137</v>
      </c>
      <c r="J35">
        <v>0</v>
      </c>
      <c r="K35">
        <v>1.02</v>
      </c>
      <c r="L35">
        <v>0.1</v>
      </c>
      <c r="M35" t="s">
        <v>4403</v>
      </c>
      <c r="O35" t="s">
        <v>4407</v>
      </c>
      <c r="P35" s="1" t="s">
        <v>4407</v>
      </c>
      <c r="T35">
        <v>1.02</v>
      </c>
      <c r="U35">
        <v>0.1</v>
      </c>
      <c r="X35" s="56" t="s">
        <v>4407</v>
      </c>
      <c r="AC35" s="3">
        <f>(T35-GHGFY20[[#This Row],[Scope 2 Emission factor]])/GHGFY20[[#This Row],[Scope 2 Emission factor]]</f>
        <v>0</v>
      </c>
      <c r="AD35" s="3">
        <f>(U35-GHGFY20[[#This Row],[Scope 3 Emission factor]])/GHGFY20[[#This Row],[Scope 3 Emission factor]]</f>
        <v>0</v>
      </c>
      <c r="AH35" t="b">
        <f>GHGFY20[[#This Row],[Reporting Alias]]=GHGFY207[[#This Row],[Reporting Alias]]</f>
        <v>1</v>
      </c>
    </row>
    <row r="36" spans="1:34" ht="27.6">
      <c r="A36" t="s">
        <v>1001</v>
      </c>
      <c r="B36" t="s">
        <v>155</v>
      </c>
      <c r="C36" t="s">
        <v>4402</v>
      </c>
      <c r="D36" t="s">
        <v>1216</v>
      </c>
      <c r="E36" t="s">
        <v>663</v>
      </c>
      <c r="H36">
        <v>3.5999999999999999E-3</v>
      </c>
      <c r="I36" t="s">
        <v>1137</v>
      </c>
      <c r="J36">
        <v>0</v>
      </c>
      <c r="K36">
        <v>0.69</v>
      </c>
      <c r="L36">
        <v>0.04</v>
      </c>
      <c r="M36" t="s">
        <v>4403</v>
      </c>
      <c r="O36" t="s">
        <v>4408</v>
      </c>
      <c r="P36" s="1" t="s">
        <v>4408</v>
      </c>
      <c r="T36">
        <v>0.69</v>
      </c>
      <c r="U36">
        <v>0.04</v>
      </c>
      <c r="X36" s="56" t="s">
        <v>4408</v>
      </c>
      <c r="AC36" s="3">
        <f>(T36-GHGFY20[[#This Row],[Scope 2 Emission factor]])/GHGFY20[[#This Row],[Scope 2 Emission factor]]</f>
        <v>0</v>
      </c>
      <c r="AD36" s="3">
        <f>(U36-GHGFY20[[#This Row],[Scope 3 Emission factor]])/GHGFY20[[#This Row],[Scope 3 Emission factor]]</f>
        <v>0</v>
      </c>
      <c r="AH36" t="b">
        <f>GHGFY20[[#This Row],[Reporting Alias]]=GHGFY207[[#This Row],[Reporting Alias]]</f>
        <v>1</v>
      </c>
    </row>
    <row r="37" spans="1:34" ht="27.6">
      <c r="A37" t="s">
        <v>986</v>
      </c>
      <c r="B37" t="s">
        <v>155</v>
      </c>
      <c r="C37" t="s">
        <v>4402</v>
      </c>
      <c r="D37" t="s">
        <v>1190</v>
      </c>
      <c r="E37" t="s">
        <v>663</v>
      </c>
      <c r="H37">
        <v>3.5999999999999999E-3</v>
      </c>
      <c r="I37" t="s">
        <v>1137</v>
      </c>
      <c r="J37">
        <v>0</v>
      </c>
      <c r="K37">
        <v>0.81</v>
      </c>
      <c r="L37">
        <v>0.09</v>
      </c>
      <c r="M37" t="s">
        <v>4403</v>
      </c>
      <c r="O37" t="s">
        <v>4405</v>
      </c>
      <c r="P37" s="1" t="s">
        <v>4405</v>
      </c>
      <c r="T37">
        <v>0.79</v>
      </c>
      <c r="U37">
        <v>0.09</v>
      </c>
      <c r="X37" s="56" t="s">
        <v>4406</v>
      </c>
      <c r="AC37" s="3">
        <f>(T37-GHGFY20[[#This Row],[Scope 2 Emission factor]])/GHGFY20[[#This Row],[Scope 2 Emission factor]]</f>
        <v>-2.4691358024691377E-2</v>
      </c>
      <c r="AD37" s="3">
        <f>(U37-GHGFY20[[#This Row],[Scope 3 Emission factor]])/GHGFY20[[#This Row],[Scope 3 Emission factor]]</f>
        <v>0</v>
      </c>
      <c r="AH37" t="b">
        <f>GHGFY20[[#This Row],[Reporting Alias]]=GHGFY207[[#This Row],[Reporting Alias]]</f>
        <v>1</v>
      </c>
    </row>
    <row r="38" spans="1:34" ht="27.6">
      <c r="A38" t="s">
        <v>987</v>
      </c>
      <c r="B38" t="s">
        <v>155</v>
      </c>
      <c r="C38" t="s">
        <v>4402</v>
      </c>
      <c r="D38" t="s">
        <v>1192</v>
      </c>
      <c r="E38" t="s">
        <v>663</v>
      </c>
      <c r="H38">
        <v>3.5999999999999999E-3</v>
      </c>
      <c r="I38" t="s">
        <v>1137</v>
      </c>
      <c r="J38">
        <v>0</v>
      </c>
      <c r="K38">
        <v>0.81</v>
      </c>
      <c r="L38">
        <v>0.09</v>
      </c>
      <c r="M38" t="s">
        <v>4403</v>
      </c>
      <c r="O38" t="s">
        <v>4405</v>
      </c>
      <c r="P38" s="1" t="s">
        <v>4405</v>
      </c>
      <c r="T38">
        <v>0.81</v>
      </c>
      <c r="U38">
        <v>0.09</v>
      </c>
      <c r="X38" s="56" t="s">
        <v>4405</v>
      </c>
      <c r="AC38" s="3">
        <f>(T38-GHGFY20[[#This Row],[Scope 2 Emission factor]])/GHGFY20[[#This Row],[Scope 2 Emission factor]]</f>
        <v>0</v>
      </c>
      <c r="AD38" s="3">
        <f>(U38-GHGFY20[[#This Row],[Scope 3 Emission factor]])/GHGFY20[[#This Row],[Scope 3 Emission factor]]</f>
        <v>0</v>
      </c>
      <c r="AH38" t="b">
        <f>GHGFY20[[#This Row],[Reporting Alias]]=GHGFY207[[#This Row],[Reporting Alias]]</f>
        <v>1</v>
      </c>
    </row>
    <row r="39" spans="1:34" ht="27.6">
      <c r="A39" t="s">
        <v>988</v>
      </c>
      <c r="B39" t="s">
        <v>155</v>
      </c>
      <c r="C39" t="s">
        <v>4402</v>
      </c>
      <c r="D39" t="s">
        <v>1208</v>
      </c>
      <c r="E39" t="s">
        <v>663</v>
      </c>
      <c r="H39">
        <v>3.5999999999999999E-3</v>
      </c>
      <c r="I39" t="s">
        <v>1137</v>
      </c>
      <c r="J39">
        <v>0</v>
      </c>
      <c r="K39">
        <v>0.63</v>
      </c>
      <c r="L39">
        <v>0.08</v>
      </c>
      <c r="M39" t="s">
        <v>4403</v>
      </c>
      <c r="O39" t="s">
        <v>4406</v>
      </c>
      <c r="P39" s="1" t="s">
        <v>4406</v>
      </c>
      <c r="T39">
        <v>0.63</v>
      </c>
      <c r="U39">
        <v>0.08</v>
      </c>
      <c r="X39" s="56" t="s">
        <v>4406</v>
      </c>
      <c r="AC39" s="3">
        <f>(T39-GHGFY20[[#This Row],[Scope 2 Emission factor]])/GHGFY20[[#This Row],[Scope 2 Emission factor]]</f>
        <v>0</v>
      </c>
      <c r="AD39" s="3">
        <f>(U39-GHGFY20[[#This Row],[Scope 3 Emission factor]])/GHGFY20[[#This Row],[Scope 3 Emission factor]]</f>
        <v>0</v>
      </c>
      <c r="AH39" t="b">
        <f>GHGFY20[[#This Row],[Reporting Alias]]=GHGFY207[[#This Row],[Reporting Alias]]</f>
        <v>1</v>
      </c>
    </row>
    <row r="40" spans="1:34" ht="27.6">
      <c r="A40" t="s">
        <v>989</v>
      </c>
      <c r="B40" t="s">
        <v>155</v>
      </c>
      <c r="C40" t="s">
        <v>4402</v>
      </c>
      <c r="D40" t="s">
        <v>1210</v>
      </c>
      <c r="E40" t="s">
        <v>663</v>
      </c>
      <c r="H40">
        <v>3.5999999999999999E-3</v>
      </c>
      <c r="I40" t="s">
        <v>1137</v>
      </c>
      <c r="J40">
        <v>0</v>
      </c>
      <c r="K40">
        <v>0.81</v>
      </c>
      <c r="L40">
        <v>0.12</v>
      </c>
      <c r="M40" t="s">
        <v>4403</v>
      </c>
      <c r="O40" t="s">
        <v>4407</v>
      </c>
      <c r="P40" s="1" t="s">
        <v>4407</v>
      </c>
      <c r="T40">
        <v>0.81</v>
      </c>
      <c r="U40">
        <v>0.12</v>
      </c>
      <c r="X40" s="56" t="s">
        <v>4407</v>
      </c>
      <c r="AC40" s="3">
        <f>(T40-GHGFY20[[#This Row],[Scope 2 Emission factor]])/GHGFY20[[#This Row],[Scope 2 Emission factor]]</f>
        <v>0</v>
      </c>
      <c r="AD40" s="3">
        <f>(U40-GHGFY20[[#This Row],[Scope 3 Emission factor]])/GHGFY20[[#This Row],[Scope 3 Emission factor]]</f>
        <v>0</v>
      </c>
      <c r="AH40" t="b">
        <f>GHGFY20[[#This Row],[Reporting Alias]]=GHGFY207[[#This Row],[Reporting Alias]]</f>
        <v>1</v>
      </c>
    </row>
    <row r="41" spans="1:34" ht="27.6">
      <c r="A41" t="s">
        <v>990</v>
      </c>
      <c r="B41" t="s">
        <v>155</v>
      </c>
      <c r="C41" t="s">
        <v>4402</v>
      </c>
      <c r="D41" t="s">
        <v>1193</v>
      </c>
      <c r="E41" t="s">
        <v>663</v>
      </c>
      <c r="H41">
        <v>3.5999999999999999E-3</v>
      </c>
      <c r="I41" t="s">
        <v>1137</v>
      </c>
      <c r="J41">
        <v>0</v>
      </c>
      <c r="K41">
        <v>0.44</v>
      </c>
      <c r="L41">
        <v>0.1</v>
      </c>
      <c r="M41" t="s">
        <v>4403</v>
      </c>
      <c r="O41" t="s">
        <v>4408</v>
      </c>
      <c r="P41" s="1" t="s">
        <v>4408</v>
      </c>
      <c r="T41">
        <v>0.44</v>
      </c>
      <c r="U41">
        <v>0.1</v>
      </c>
      <c r="X41" s="56" t="s">
        <v>4408</v>
      </c>
      <c r="AC41" s="3">
        <f>(T41-GHGFY20[[#This Row],[Scope 2 Emission factor]])/GHGFY20[[#This Row],[Scope 2 Emission factor]]</f>
        <v>0</v>
      </c>
      <c r="AD41" s="3">
        <f>(U41-GHGFY20[[#This Row],[Scope 3 Emission factor]])/GHGFY20[[#This Row],[Scope 3 Emission factor]]</f>
        <v>0</v>
      </c>
      <c r="AH41" t="b">
        <f>GHGFY20[[#This Row],[Reporting Alias]]=GHGFY207[[#This Row],[Reporting Alias]]</f>
        <v>1</v>
      </c>
    </row>
    <row r="42" spans="1:34" ht="27.6">
      <c r="A42" t="s">
        <v>991</v>
      </c>
      <c r="B42" t="s">
        <v>155</v>
      </c>
      <c r="C42" t="s">
        <v>4402</v>
      </c>
      <c r="D42" t="s">
        <v>1213</v>
      </c>
      <c r="E42" t="s">
        <v>663</v>
      </c>
      <c r="H42">
        <v>3.5999999999999999E-3</v>
      </c>
      <c r="I42" t="s">
        <v>1137</v>
      </c>
      <c r="J42">
        <v>0</v>
      </c>
      <c r="K42">
        <v>0.15</v>
      </c>
      <c r="L42">
        <v>0.02</v>
      </c>
      <c r="M42" t="s">
        <v>4403</v>
      </c>
      <c r="O42" t="s">
        <v>4406</v>
      </c>
      <c r="P42" s="1" t="s">
        <v>4406</v>
      </c>
      <c r="T42">
        <v>0.15</v>
      </c>
      <c r="U42">
        <v>0.02</v>
      </c>
      <c r="X42" s="56" t="s">
        <v>4406</v>
      </c>
      <c r="AC42" s="3">
        <f>(T42-GHGFY20[[#This Row],[Scope 2 Emission factor]])/GHGFY20[[#This Row],[Scope 2 Emission factor]]</f>
        <v>0</v>
      </c>
      <c r="AD42" s="3">
        <f>(U42-GHGFY20[[#This Row],[Scope 3 Emission factor]])/GHGFY20[[#This Row],[Scope 3 Emission factor]]</f>
        <v>0</v>
      </c>
      <c r="AH42" t="b">
        <f>GHGFY20[[#This Row],[Reporting Alias]]=GHGFY207[[#This Row],[Reporting Alias]]</f>
        <v>1</v>
      </c>
    </row>
    <row r="43" spans="1:34" ht="27.6">
      <c r="A43" t="s">
        <v>992</v>
      </c>
      <c r="B43" t="s">
        <v>155</v>
      </c>
      <c r="C43" t="s">
        <v>4402</v>
      </c>
      <c r="D43" t="s">
        <v>1189</v>
      </c>
      <c r="E43" t="s">
        <v>663</v>
      </c>
      <c r="H43">
        <v>3.5999999999999999E-3</v>
      </c>
      <c r="I43" t="s">
        <v>1137</v>
      </c>
      <c r="J43">
        <v>0</v>
      </c>
      <c r="K43">
        <v>1.02</v>
      </c>
      <c r="L43">
        <v>0.1</v>
      </c>
      <c r="M43" t="s">
        <v>4403</v>
      </c>
      <c r="O43" t="s">
        <v>4407</v>
      </c>
      <c r="P43" s="1" t="s">
        <v>4407</v>
      </c>
      <c r="T43">
        <v>1.02</v>
      </c>
      <c r="U43">
        <v>0.1</v>
      </c>
      <c r="X43" s="56" t="s">
        <v>4407</v>
      </c>
      <c r="AC43" s="3">
        <f>(T43-GHGFY20[[#This Row],[Scope 2 Emission factor]])/GHGFY20[[#This Row],[Scope 2 Emission factor]]</f>
        <v>0</v>
      </c>
      <c r="AD43" s="3">
        <f>(U43-GHGFY20[[#This Row],[Scope 3 Emission factor]])/GHGFY20[[#This Row],[Scope 3 Emission factor]]</f>
        <v>0</v>
      </c>
      <c r="AH43" t="b">
        <f>GHGFY20[[#This Row],[Reporting Alias]]=GHGFY207[[#This Row],[Reporting Alias]]</f>
        <v>1</v>
      </c>
    </row>
    <row r="44" spans="1:34" ht="27.6">
      <c r="A44" t="s">
        <v>993</v>
      </c>
      <c r="B44" t="s">
        <v>155</v>
      </c>
      <c r="C44" t="s">
        <v>4402</v>
      </c>
      <c r="D44" t="s">
        <v>1216</v>
      </c>
      <c r="E44" t="s">
        <v>663</v>
      </c>
      <c r="H44">
        <v>3.5999999999999999E-3</v>
      </c>
      <c r="I44" t="s">
        <v>1137</v>
      </c>
      <c r="J44">
        <v>0</v>
      </c>
      <c r="K44">
        <v>0.69</v>
      </c>
      <c r="L44">
        <v>0.04</v>
      </c>
      <c r="M44" t="s">
        <v>4403</v>
      </c>
      <c r="O44" t="s">
        <v>4408</v>
      </c>
      <c r="P44" s="1" t="s">
        <v>4408</v>
      </c>
      <c r="T44">
        <v>0.69</v>
      </c>
      <c r="U44">
        <v>0.04</v>
      </c>
      <c r="X44" s="56" t="s">
        <v>4408</v>
      </c>
      <c r="AC44" s="3">
        <f>(T44-GHGFY20[[#This Row],[Scope 2 Emission factor]])/GHGFY20[[#This Row],[Scope 2 Emission factor]]</f>
        <v>0</v>
      </c>
      <c r="AD44" s="3">
        <f>(U44-GHGFY20[[#This Row],[Scope 3 Emission factor]])/GHGFY20[[#This Row],[Scope 3 Emission factor]]</f>
        <v>0</v>
      </c>
      <c r="AH44" t="b">
        <f>GHGFY20[[#This Row],[Reporting Alias]]=GHGFY207[[#This Row],[Reporting Alias]]</f>
        <v>1</v>
      </c>
    </row>
    <row r="45" spans="1:34" ht="27.6">
      <c r="A45" t="s">
        <v>705</v>
      </c>
      <c r="B45" t="s">
        <v>155</v>
      </c>
      <c r="C45" t="s">
        <v>4402</v>
      </c>
      <c r="D45" t="s">
        <v>1192</v>
      </c>
      <c r="E45" t="s">
        <v>663</v>
      </c>
      <c r="H45">
        <v>3.5999999999999999E-3</v>
      </c>
      <c r="I45" t="s">
        <v>1137</v>
      </c>
      <c r="J45">
        <v>0</v>
      </c>
      <c r="K45">
        <v>0.81</v>
      </c>
      <c r="L45">
        <v>0.09</v>
      </c>
      <c r="M45" t="s">
        <v>4403</v>
      </c>
      <c r="O45" t="s">
        <v>4405</v>
      </c>
      <c r="P45" s="1" t="s">
        <v>4405</v>
      </c>
      <c r="T45">
        <v>0.81</v>
      </c>
      <c r="U45">
        <v>0.09</v>
      </c>
      <c r="X45" s="56" t="s">
        <v>4405</v>
      </c>
      <c r="AC45" s="3">
        <f>(T45-GHGFY20[[#This Row],[Scope 2 Emission factor]])/GHGFY20[[#This Row],[Scope 2 Emission factor]]</f>
        <v>0</v>
      </c>
      <c r="AD45" s="3">
        <f>(U45-GHGFY20[[#This Row],[Scope 3 Emission factor]])/GHGFY20[[#This Row],[Scope 3 Emission factor]]</f>
        <v>0</v>
      </c>
      <c r="AH45" t="b">
        <f>GHGFY20[[#This Row],[Reporting Alias]]=GHGFY207[[#This Row],[Reporting Alias]]</f>
        <v>1</v>
      </c>
    </row>
    <row r="46" spans="1:34" ht="27.6">
      <c r="A46" t="s">
        <v>820</v>
      </c>
      <c r="B46" t="s">
        <v>4277</v>
      </c>
      <c r="C46" t="s">
        <v>4402</v>
      </c>
      <c r="D46" t="s">
        <v>1190</v>
      </c>
      <c r="E46" t="s">
        <v>663</v>
      </c>
      <c r="H46">
        <v>3.5999999999999999E-3</v>
      </c>
      <c r="I46" t="s">
        <v>1137</v>
      </c>
      <c r="J46">
        <v>0</v>
      </c>
      <c r="K46">
        <v>0.81</v>
      </c>
      <c r="L46">
        <v>0.09</v>
      </c>
      <c r="M46" t="s">
        <v>4403</v>
      </c>
      <c r="O46" t="s">
        <v>4405</v>
      </c>
      <c r="P46" t="s">
        <v>4405</v>
      </c>
      <c r="R46" t="s">
        <v>1109</v>
      </c>
      <c r="T46">
        <v>0.79</v>
      </c>
      <c r="U46">
        <v>0.09</v>
      </c>
      <c r="X46" s="56" t="s">
        <v>4406</v>
      </c>
      <c r="AC46" s="3">
        <f>(T46-GHGFY20[[#This Row],[Scope 2 Emission factor]])/GHGFY20[[#This Row],[Scope 2 Emission factor]]</f>
        <v>-2.4691358024691377E-2</v>
      </c>
      <c r="AD46" s="3">
        <f>(U46-GHGFY20[[#This Row],[Scope 3 Emission factor]])/GHGFY20[[#This Row],[Scope 3 Emission factor]]</f>
        <v>0</v>
      </c>
      <c r="AH46" t="b">
        <f>GHGFY20[[#This Row],[Reporting Alias]]=GHGFY207[[#This Row],[Reporting Alias]]</f>
        <v>1</v>
      </c>
    </row>
    <row r="47" spans="1:34" ht="27.6">
      <c r="A47" t="s">
        <v>821</v>
      </c>
      <c r="B47" t="s">
        <v>4277</v>
      </c>
      <c r="C47" t="s">
        <v>4402</v>
      </c>
      <c r="D47" t="s">
        <v>1192</v>
      </c>
      <c r="E47" t="s">
        <v>663</v>
      </c>
      <c r="H47">
        <v>3.5999999999999999E-3</v>
      </c>
      <c r="I47" t="s">
        <v>1137</v>
      </c>
      <c r="J47">
        <v>0</v>
      </c>
      <c r="K47">
        <v>0.81</v>
      </c>
      <c r="L47">
        <v>0.09</v>
      </c>
      <c r="M47" t="s">
        <v>4403</v>
      </c>
      <c r="O47" t="s">
        <v>4405</v>
      </c>
      <c r="P47" t="s">
        <v>4405</v>
      </c>
      <c r="T47">
        <v>0.81</v>
      </c>
      <c r="U47">
        <v>0.09</v>
      </c>
      <c r="X47" s="56" t="s">
        <v>4405</v>
      </c>
      <c r="AC47" s="3">
        <f>(T47-GHGFY20[[#This Row],[Scope 2 Emission factor]])/GHGFY20[[#This Row],[Scope 2 Emission factor]]</f>
        <v>0</v>
      </c>
      <c r="AD47" s="3">
        <f>(U47-GHGFY20[[#This Row],[Scope 3 Emission factor]])/GHGFY20[[#This Row],[Scope 3 Emission factor]]</f>
        <v>0</v>
      </c>
      <c r="AH47" t="b">
        <f>GHGFY20[[#This Row],[Reporting Alias]]=GHGFY207[[#This Row],[Reporting Alias]]</f>
        <v>1</v>
      </c>
    </row>
    <row r="48" spans="1:34" ht="27.6">
      <c r="A48" t="s">
        <v>822</v>
      </c>
      <c r="B48" t="s">
        <v>4277</v>
      </c>
      <c r="C48" t="s">
        <v>4402</v>
      </c>
      <c r="D48" t="s">
        <v>1210</v>
      </c>
      <c r="E48" t="s">
        <v>663</v>
      </c>
      <c r="H48">
        <v>3.5999999999999999E-3</v>
      </c>
      <c r="I48" t="s">
        <v>1137</v>
      </c>
      <c r="J48">
        <v>0</v>
      </c>
      <c r="K48">
        <v>0.81</v>
      </c>
      <c r="L48">
        <v>0.12</v>
      </c>
      <c r="M48" t="s">
        <v>4403</v>
      </c>
      <c r="O48" t="s">
        <v>4407</v>
      </c>
      <c r="P48" t="s">
        <v>4407</v>
      </c>
      <c r="T48">
        <v>0.81</v>
      </c>
      <c r="U48">
        <v>0.12</v>
      </c>
      <c r="X48" s="56" t="s">
        <v>4407</v>
      </c>
      <c r="AC48" s="3">
        <f>(T48-GHGFY20[[#This Row],[Scope 2 Emission factor]])/GHGFY20[[#This Row],[Scope 2 Emission factor]]</f>
        <v>0</v>
      </c>
      <c r="AD48" s="3">
        <f>(U48-GHGFY20[[#This Row],[Scope 3 Emission factor]])/GHGFY20[[#This Row],[Scope 3 Emission factor]]</f>
        <v>0</v>
      </c>
      <c r="AH48" t="b">
        <f>GHGFY20[[#This Row],[Reporting Alias]]=GHGFY207[[#This Row],[Reporting Alias]]</f>
        <v>1</v>
      </c>
    </row>
    <row r="49" spans="1:34" ht="27.6">
      <c r="A49" t="s">
        <v>823</v>
      </c>
      <c r="B49" t="s">
        <v>4277</v>
      </c>
      <c r="C49" t="s">
        <v>4402</v>
      </c>
      <c r="D49" t="s">
        <v>1193</v>
      </c>
      <c r="E49" t="s">
        <v>663</v>
      </c>
      <c r="H49">
        <v>3.5999999999999999E-3</v>
      </c>
      <c r="I49" t="s">
        <v>1137</v>
      </c>
      <c r="J49">
        <v>0</v>
      </c>
      <c r="K49">
        <v>0.44</v>
      </c>
      <c r="L49">
        <v>0.1</v>
      </c>
      <c r="M49" t="s">
        <v>4403</v>
      </c>
      <c r="O49" t="s">
        <v>4408</v>
      </c>
      <c r="P49" t="s">
        <v>4408</v>
      </c>
      <c r="T49">
        <v>0.44</v>
      </c>
      <c r="U49">
        <v>0.1</v>
      </c>
      <c r="X49" s="56" t="s">
        <v>4408</v>
      </c>
      <c r="AC49" s="3">
        <f>(T49-GHGFY20[[#This Row],[Scope 2 Emission factor]])/GHGFY20[[#This Row],[Scope 2 Emission factor]]</f>
        <v>0</v>
      </c>
      <c r="AD49" s="3">
        <f>(U49-GHGFY20[[#This Row],[Scope 3 Emission factor]])/GHGFY20[[#This Row],[Scope 3 Emission factor]]</f>
        <v>0</v>
      </c>
      <c r="AH49" t="b">
        <f>GHGFY20[[#This Row],[Reporting Alias]]=GHGFY207[[#This Row],[Reporting Alias]]</f>
        <v>1</v>
      </c>
    </row>
    <row r="50" spans="1:34" ht="27.6">
      <c r="A50" t="s">
        <v>824</v>
      </c>
      <c r="B50" t="s">
        <v>4277</v>
      </c>
      <c r="C50" t="s">
        <v>4402</v>
      </c>
      <c r="D50" t="s">
        <v>1189</v>
      </c>
      <c r="E50" t="s">
        <v>663</v>
      </c>
      <c r="H50">
        <v>3.5999999999999999E-3</v>
      </c>
      <c r="I50" t="s">
        <v>1137</v>
      </c>
      <c r="J50">
        <v>0</v>
      </c>
      <c r="K50">
        <v>1.02</v>
      </c>
      <c r="L50">
        <v>0.1</v>
      </c>
      <c r="M50" t="s">
        <v>4403</v>
      </c>
      <c r="O50" t="s">
        <v>4407</v>
      </c>
      <c r="P50" t="s">
        <v>4407</v>
      </c>
      <c r="T50">
        <v>1.02</v>
      </c>
      <c r="U50">
        <v>0.1</v>
      </c>
      <c r="X50" s="56" t="s">
        <v>4407</v>
      </c>
      <c r="AC50" s="3">
        <f>(T50-GHGFY20[[#This Row],[Scope 2 Emission factor]])/GHGFY20[[#This Row],[Scope 2 Emission factor]]</f>
        <v>0</v>
      </c>
      <c r="AD50" s="3">
        <f>(U50-GHGFY20[[#This Row],[Scope 3 Emission factor]])/GHGFY20[[#This Row],[Scope 3 Emission factor]]</f>
        <v>0</v>
      </c>
      <c r="AH50" t="b">
        <f>GHGFY20[[#This Row],[Reporting Alias]]=GHGFY207[[#This Row],[Reporting Alias]]</f>
        <v>1</v>
      </c>
    </row>
    <row r="51" spans="1:34" ht="27.6">
      <c r="A51" t="s">
        <v>825</v>
      </c>
      <c r="B51" t="s">
        <v>4277</v>
      </c>
      <c r="C51" t="s">
        <v>4402</v>
      </c>
      <c r="D51" t="s">
        <v>1216</v>
      </c>
      <c r="E51" t="s">
        <v>663</v>
      </c>
      <c r="H51">
        <v>3.5999999999999999E-3</v>
      </c>
      <c r="I51" t="s">
        <v>1137</v>
      </c>
      <c r="J51">
        <v>0</v>
      </c>
      <c r="K51">
        <v>0.69</v>
      </c>
      <c r="L51">
        <v>0.04</v>
      </c>
      <c r="M51" t="s">
        <v>4403</v>
      </c>
      <c r="O51" t="s">
        <v>4408</v>
      </c>
      <c r="P51" t="s">
        <v>4408</v>
      </c>
      <c r="T51" s="9">
        <v>0.69</v>
      </c>
      <c r="U51" s="9">
        <v>0.04</v>
      </c>
      <c r="X51" s="56" t="s">
        <v>4408</v>
      </c>
      <c r="AC51" s="3">
        <f>(T51-GHGFY20[[#This Row],[Scope 2 Emission factor]])/GHGFY20[[#This Row],[Scope 2 Emission factor]]</f>
        <v>0</v>
      </c>
      <c r="AD51" s="3">
        <f>(U51-GHGFY20[[#This Row],[Scope 3 Emission factor]])/GHGFY20[[#This Row],[Scope 3 Emission factor]]</f>
        <v>0</v>
      </c>
      <c r="AH51" t="b">
        <f>GHGFY20[[#This Row],[Reporting Alias]]=GHGFY207[[#This Row],[Reporting Alias]]</f>
        <v>1</v>
      </c>
    </row>
    <row r="52" spans="1:34" ht="27.6">
      <c r="A52" t="s">
        <v>812</v>
      </c>
      <c r="B52" t="s">
        <v>155</v>
      </c>
      <c r="C52" t="s">
        <v>4402</v>
      </c>
      <c r="D52" t="s">
        <v>1190</v>
      </c>
      <c r="E52" t="s">
        <v>663</v>
      </c>
      <c r="H52">
        <v>3.5999999999999999E-3</v>
      </c>
      <c r="I52" t="s">
        <v>1137</v>
      </c>
      <c r="J52">
        <v>0</v>
      </c>
      <c r="K52">
        <v>0.81</v>
      </c>
      <c r="L52">
        <v>0.09</v>
      </c>
      <c r="M52" t="s">
        <v>4403</v>
      </c>
      <c r="O52" t="s">
        <v>4405</v>
      </c>
      <c r="P52" s="1" t="s">
        <v>4405</v>
      </c>
      <c r="T52">
        <v>0.79</v>
      </c>
      <c r="U52">
        <v>0.09</v>
      </c>
      <c r="X52" s="56" t="s">
        <v>4406</v>
      </c>
      <c r="AC52" s="3">
        <f>(T52-GHGFY20[[#This Row],[Scope 2 Emission factor]])/GHGFY20[[#This Row],[Scope 2 Emission factor]]</f>
        <v>-2.4691358024691377E-2</v>
      </c>
      <c r="AD52" s="3">
        <f>(U52-GHGFY20[[#This Row],[Scope 3 Emission factor]])/GHGFY20[[#This Row],[Scope 3 Emission factor]]</f>
        <v>0</v>
      </c>
      <c r="AH52" t="b">
        <f>GHGFY20[[#This Row],[Reporting Alias]]=GHGFY207[[#This Row],[Reporting Alias]]</f>
        <v>1</v>
      </c>
    </row>
    <row r="53" spans="1:34" ht="27.6">
      <c r="A53" t="s">
        <v>813</v>
      </c>
      <c r="B53" t="s">
        <v>155</v>
      </c>
      <c r="C53" t="s">
        <v>4402</v>
      </c>
      <c r="D53" t="s">
        <v>1192</v>
      </c>
      <c r="E53" t="s">
        <v>663</v>
      </c>
      <c r="H53">
        <v>3.5999999999999999E-3</v>
      </c>
      <c r="I53" t="s">
        <v>1137</v>
      </c>
      <c r="J53">
        <v>0</v>
      </c>
      <c r="K53">
        <v>0.81</v>
      </c>
      <c r="L53">
        <v>0.09</v>
      </c>
      <c r="M53" t="s">
        <v>4403</v>
      </c>
      <c r="O53" t="s">
        <v>4405</v>
      </c>
      <c r="P53" s="1" t="s">
        <v>4405</v>
      </c>
      <c r="T53">
        <v>0.81</v>
      </c>
      <c r="U53">
        <v>0.09</v>
      </c>
      <c r="X53" s="56" t="s">
        <v>4405</v>
      </c>
      <c r="AC53" s="3">
        <f>(T53-GHGFY20[[#This Row],[Scope 2 Emission factor]])/GHGFY20[[#This Row],[Scope 2 Emission factor]]</f>
        <v>0</v>
      </c>
      <c r="AD53" s="3">
        <f>(U53-GHGFY20[[#This Row],[Scope 3 Emission factor]])/GHGFY20[[#This Row],[Scope 3 Emission factor]]</f>
        <v>0</v>
      </c>
      <c r="AH53" t="b">
        <f>GHGFY20[[#This Row],[Reporting Alias]]=GHGFY207[[#This Row],[Reporting Alias]]</f>
        <v>1</v>
      </c>
    </row>
    <row r="54" spans="1:34" ht="27.6">
      <c r="A54" t="s">
        <v>814</v>
      </c>
      <c r="B54" t="s">
        <v>155</v>
      </c>
      <c r="C54" t="s">
        <v>4402</v>
      </c>
      <c r="D54" t="s">
        <v>1208</v>
      </c>
      <c r="E54" t="s">
        <v>663</v>
      </c>
      <c r="H54">
        <v>3.5999999999999999E-3</v>
      </c>
      <c r="I54" t="s">
        <v>1137</v>
      </c>
      <c r="J54">
        <v>0</v>
      </c>
      <c r="K54">
        <v>0.63</v>
      </c>
      <c r="L54">
        <v>0.08</v>
      </c>
      <c r="M54" t="s">
        <v>4403</v>
      </c>
      <c r="O54" t="s">
        <v>4406</v>
      </c>
      <c r="P54" s="1" t="s">
        <v>4406</v>
      </c>
      <c r="T54">
        <v>0.63</v>
      </c>
      <c r="U54">
        <v>0.08</v>
      </c>
      <c r="X54" s="56" t="s">
        <v>4406</v>
      </c>
      <c r="AC54" s="3">
        <f>(T54-GHGFY20[[#This Row],[Scope 2 Emission factor]])/GHGFY20[[#This Row],[Scope 2 Emission factor]]</f>
        <v>0</v>
      </c>
      <c r="AD54" s="3">
        <f>(U54-GHGFY20[[#This Row],[Scope 3 Emission factor]])/GHGFY20[[#This Row],[Scope 3 Emission factor]]</f>
        <v>0</v>
      </c>
      <c r="AH54" t="b">
        <f>GHGFY20[[#This Row],[Reporting Alias]]=GHGFY207[[#This Row],[Reporting Alias]]</f>
        <v>1</v>
      </c>
    </row>
    <row r="55" spans="1:34" ht="27.6">
      <c r="A55" t="s">
        <v>815</v>
      </c>
      <c r="B55" t="s">
        <v>155</v>
      </c>
      <c r="C55" t="s">
        <v>4402</v>
      </c>
      <c r="D55" t="s">
        <v>1210</v>
      </c>
      <c r="E55" t="s">
        <v>663</v>
      </c>
      <c r="H55">
        <v>3.5999999999999999E-3</v>
      </c>
      <c r="I55" t="s">
        <v>1137</v>
      </c>
      <c r="J55">
        <v>0</v>
      </c>
      <c r="K55">
        <v>0.81</v>
      </c>
      <c r="L55">
        <v>0.12</v>
      </c>
      <c r="M55" t="s">
        <v>4403</v>
      </c>
      <c r="O55" t="s">
        <v>4407</v>
      </c>
      <c r="P55" s="1" t="s">
        <v>4407</v>
      </c>
      <c r="T55">
        <v>0.81</v>
      </c>
      <c r="U55">
        <v>0.12</v>
      </c>
      <c r="X55" s="56" t="s">
        <v>4407</v>
      </c>
      <c r="AC55" s="3">
        <f>(T55-GHGFY20[[#This Row],[Scope 2 Emission factor]])/GHGFY20[[#This Row],[Scope 2 Emission factor]]</f>
        <v>0</v>
      </c>
      <c r="AD55" s="3">
        <f>(U55-GHGFY20[[#This Row],[Scope 3 Emission factor]])/GHGFY20[[#This Row],[Scope 3 Emission factor]]</f>
        <v>0</v>
      </c>
      <c r="AH55" t="b">
        <f>GHGFY20[[#This Row],[Reporting Alias]]=GHGFY207[[#This Row],[Reporting Alias]]</f>
        <v>1</v>
      </c>
    </row>
    <row r="56" spans="1:34" ht="27.6">
      <c r="A56" t="s">
        <v>816</v>
      </c>
      <c r="B56" t="s">
        <v>155</v>
      </c>
      <c r="C56" t="s">
        <v>4402</v>
      </c>
      <c r="D56" t="s">
        <v>1193</v>
      </c>
      <c r="E56" t="s">
        <v>663</v>
      </c>
      <c r="H56">
        <v>3.5999999999999999E-3</v>
      </c>
      <c r="I56" t="s">
        <v>1137</v>
      </c>
      <c r="J56">
        <v>0</v>
      </c>
      <c r="K56">
        <v>0.44</v>
      </c>
      <c r="L56">
        <v>0.1</v>
      </c>
      <c r="M56" t="s">
        <v>4403</v>
      </c>
      <c r="O56" t="s">
        <v>4408</v>
      </c>
      <c r="P56" s="1" t="s">
        <v>4408</v>
      </c>
      <c r="T56">
        <v>0.44</v>
      </c>
      <c r="U56">
        <v>0.1</v>
      </c>
      <c r="X56" s="56" t="s">
        <v>4408</v>
      </c>
      <c r="AC56" s="3">
        <f>(T56-GHGFY20[[#This Row],[Scope 2 Emission factor]])/GHGFY20[[#This Row],[Scope 2 Emission factor]]</f>
        <v>0</v>
      </c>
      <c r="AD56" s="3">
        <f>(U56-GHGFY20[[#This Row],[Scope 3 Emission factor]])/GHGFY20[[#This Row],[Scope 3 Emission factor]]</f>
        <v>0</v>
      </c>
      <c r="AH56" t="b">
        <f>GHGFY20[[#This Row],[Reporting Alias]]=GHGFY207[[#This Row],[Reporting Alias]]</f>
        <v>1</v>
      </c>
    </row>
    <row r="57" spans="1:34" ht="27.6">
      <c r="A57" t="s">
        <v>817</v>
      </c>
      <c r="B57" t="s">
        <v>155</v>
      </c>
      <c r="C57" t="s">
        <v>4402</v>
      </c>
      <c r="D57" t="s">
        <v>1213</v>
      </c>
      <c r="E57" t="s">
        <v>663</v>
      </c>
      <c r="H57">
        <v>3.5999999999999999E-3</v>
      </c>
      <c r="I57" t="s">
        <v>1137</v>
      </c>
      <c r="J57">
        <v>0</v>
      </c>
      <c r="K57">
        <v>0.15</v>
      </c>
      <c r="L57">
        <v>0.02</v>
      </c>
      <c r="M57" t="s">
        <v>4403</v>
      </c>
      <c r="O57" t="s">
        <v>4406</v>
      </c>
      <c r="P57" s="1" t="s">
        <v>4406</v>
      </c>
      <c r="T57">
        <v>0.15</v>
      </c>
      <c r="U57">
        <v>0.02</v>
      </c>
      <c r="X57" s="56" t="s">
        <v>4406</v>
      </c>
      <c r="AC57" s="3">
        <f>(T57-GHGFY20[[#This Row],[Scope 2 Emission factor]])/GHGFY20[[#This Row],[Scope 2 Emission factor]]</f>
        <v>0</v>
      </c>
      <c r="AD57" s="3">
        <f>(U57-GHGFY20[[#This Row],[Scope 3 Emission factor]])/GHGFY20[[#This Row],[Scope 3 Emission factor]]</f>
        <v>0</v>
      </c>
      <c r="AH57" t="b">
        <f>GHGFY20[[#This Row],[Reporting Alias]]=GHGFY207[[#This Row],[Reporting Alias]]</f>
        <v>1</v>
      </c>
    </row>
    <row r="58" spans="1:34" ht="27.6">
      <c r="A58" t="s">
        <v>818</v>
      </c>
      <c r="B58" t="s">
        <v>155</v>
      </c>
      <c r="C58" t="s">
        <v>4402</v>
      </c>
      <c r="D58" t="s">
        <v>1189</v>
      </c>
      <c r="E58" t="s">
        <v>663</v>
      </c>
      <c r="H58">
        <v>3.5999999999999999E-3</v>
      </c>
      <c r="I58" t="s">
        <v>1137</v>
      </c>
      <c r="J58">
        <v>0</v>
      </c>
      <c r="K58">
        <v>1.02</v>
      </c>
      <c r="L58">
        <v>0.1</v>
      </c>
      <c r="M58" t="s">
        <v>4403</v>
      </c>
      <c r="O58" t="s">
        <v>4407</v>
      </c>
      <c r="P58" s="1" t="s">
        <v>4407</v>
      </c>
      <c r="T58">
        <v>1.02</v>
      </c>
      <c r="U58">
        <v>0.1</v>
      </c>
      <c r="X58" s="56" t="s">
        <v>4407</v>
      </c>
      <c r="AC58" s="3">
        <f>(T58-GHGFY20[[#This Row],[Scope 2 Emission factor]])/GHGFY20[[#This Row],[Scope 2 Emission factor]]</f>
        <v>0</v>
      </c>
      <c r="AD58" s="3">
        <f>(U58-GHGFY20[[#This Row],[Scope 3 Emission factor]])/GHGFY20[[#This Row],[Scope 3 Emission factor]]</f>
        <v>0</v>
      </c>
      <c r="AH58" t="b">
        <f>GHGFY20[[#This Row],[Reporting Alias]]=GHGFY207[[#This Row],[Reporting Alias]]</f>
        <v>1</v>
      </c>
    </row>
    <row r="59" spans="1:34" ht="27.6">
      <c r="A59" t="s">
        <v>819</v>
      </c>
      <c r="B59" t="s">
        <v>155</v>
      </c>
      <c r="C59" t="s">
        <v>4402</v>
      </c>
      <c r="D59" t="s">
        <v>1216</v>
      </c>
      <c r="E59" t="s">
        <v>663</v>
      </c>
      <c r="H59">
        <v>3.5999999999999999E-3</v>
      </c>
      <c r="I59" t="s">
        <v>1137</v>
      </c>
      <c r="J59">
        <v>0</v>
      </c>
      <c r="K59">
        <v>0.69</v>
      </c>
      <c r="L59">
        <v>0.04</v>
      </c>
      <c r="M59" t="s">
        <v>4403</v>
      </c>
      <c r="O59" t="s">
        <v>4408</v>
      </c>
      <c r="P59" s="1" t="s">
        <v>4408</v>
      </c>
      <c r="T59">
        <v>0.69</v>
      </c>
      <c r="U59">
        <v>0.04</v>
      </c>
      <c r="X59" s="56" t="s">
        <v>4408</v>
      </c>
      <c r="AC59" s="3">
        <f>(T59-GHGFY20[[#This Row],[Scope 2 Emission factor]])/GHGFY20[[#This Row],[Scope 2 Emission factor]]</f>
        <v>0</v>
      </c>
      <c r="AD59" s="3">
        <f>(U59-GHGFY20[[#This Row],[Scope 3 Emission factor]])/GHGFY20[[#This Row],[Scope 3 Emission factor]]</f>
        <v>0</v>
      </c>
      <c r="AH59" t="b">
        <f>GHGFY20[[#This Row],[Reporting Alias]]=GHGFY207[[#This Row],[Reporting Alias]]</f>
        <v>1</v>
      </c>
    </row>
    <row r="60" spans="1:34" ht="27.6">
      <c r="A60" t="s">
        <v>796</v>
      </c>
      <c r="B60" t="s">
        <v>155</v>
      </c>
      <c r="C60" t="s">
        <v>4402</v>
      </c>
      <c r="D60" t="s">
        <v>1190</v>
      </c>
      <c r="E60" t="s">
        <v>663</v>
      </c>
      <c r="H60">
        <v>3.5999999999999999E-3</v>
      </c>
      <c r="I60" t="s">
        <v>1137</v>
      </c>
      <c r="J60">
        <v>0</v>
      </c>
      <c r="K60">
        <v>0.81</v>
      </c>
      <c r="L60">
        <v>0.09</v>
      </c>
      <c r="M60" t="s">
        <v>4403</v>
      </c>
      <c r="O60" t="s">
        <v>4405</v>
      </c>
      <c r="P60" s="1" t="s">
        <v>4405</v>
      </c>
      <c r="T60">
        <v>0.79</v>
      </c>
      <c r="U60">
        <v>0.09</v>
      </c>
      <c r="X60" s="56" t="s">
        <v>4406</v>
      </c>
      <c r="AC60" s="3">
        <f>(T60-GHGFY20[[#This Row],[Scope 2 Emission factor]])/GHGFY20[[#This Row],[Scope 2 Emission factor]]</f>
        <v>-2.4691358024691377E-2</v>
      </c>
      <c r="AD60" s="3">
        <f>(U60-GHGFY20[[#This Row],[Scope 3 Emission factor]])/GHGFY20[[#This Row],[Scope 3 Emission factor]]</f>
        <v>0</v>
      </c>
      <c r="AH60" t="b">
        <f>GHGFY20[[#This Row],[Reporting Alias]]=GHGFY207[[#This Row],[Reporting Alias]]</f>
        <v>1</v>
      </c>
    </row>
    <row r="61" spans="1:34" ht="27.6">
      <c r="A61" t="s">
        <v>797</v>
      </c>
      <c r="B61" t="s">
        <v>155</v>
      </c>
      <c r="C61" t="s">
        <v>4402</v>
      </c>
      <c r="D61" t="s">
        <v>1192</v>
      </c>
      <c r="E61" t="s">
        <v>663</v>
      </c>
      <c r="H61">
        <v>3.5999999999999999E-3</v>
      </c>
      <c r="I61" t="s">
        <v>1137</v>
      </c>
      <c r="J61">
        <v>0</v>
      </c>
      <c r="K61">
        <v>0.81</v>
      </c>
      <c r="L61">
        <v>0.09</v>
      </c>
      <c r="M61" t="s">
        <v>4403</v>
      </c>
      <c r="O61" t="s">
        <v>4405</v>
      </c>
      <c r="P61" s="1" t="s">
        <v>4405</v>
      </c>
      <c r="T61">
        <v>0.81</v>
      </c>
      <c r="U61">
        <v>0.09</v>
      </c>
      <c r="X61" s="56" t="s">
        <v>4405</v>
      </c>
      <c r="AC61" s="3">
        <f>(T61-GHGFY20[[#This Row],[Scope 2 Emission factor]])/GHGFY20[[#This Row],[Scope 2 Emission factor]]</f>
        <v>0</v>
      </c>
      <c r="AD61" s="3">
        <f>(U61-GHGFY20[[#This Row],[Scope 3 Emission factor]])/GHGFY20[[#This Row],[Scope 3 Emission factor]]</f>
        <v>0</v>
      </c>
      <c r="AH61" t="b">
        <f>GHGFY20[[#This Row],[Reporting Alias]]=GHGFY207[[#This Row],[Reporting Alias]]</f>
        <v>1</v>
      </c>
    </row>
    <row r="62" spans="1:34" ht="27.6">
      <c r="A62" t="s">
        <v>798</v>
      </c>
      <c r="B62" t="s">
        <v>155</v>
      </c>
      <c r="C62" t="s">
        <v>4402</v>
      </c>
      <c r="D62" t="s">
        <v>1208</v>
      </c>
      <c r="E62" t="s">
        <v>663</v>
      </c>
      <c r="H62">
        <v>3.5999999999999999E-3</v>
      </c>
      <c r="I62" t="s">
        <v>1137</v>
      </c>
      <c r="J62">
        <v>0</v>
      </c>
      <c r="K62">
        <v>0.63</v>
      </c>
      <c r="L62">
        <v>0.08</v>
      </c>
      <c r="M62" t="s">
        <v>4403</v>
      </c>
      <c r="O62" t="s">
        <v>4406</v>
      </c>
      <c r="P62" s="1" t="s">
        <v>4406</v>
      </c>
      <c r="T62">
        <v>0.63</v>
      </c>
      <c r="U62">
        <v>0.08</v>
      </c>
      <c r="X62" s="56" t="s">
        <v>4406</v>
      </c>
      <c r="AC62" s="3">
        <f>(T62-GHGFY20[[#This Row],[Scope 2 Emission factor]])/GHGFY20[[#This Row],[Scope 2 Emission factor]]</f>
        <v>0</v>
      </c>
      <c r="AD62" s="3">
        <f>(U62-GHGFY20[[#This Row],[Scope 3 Emission factor]])/GHGFY20[[#This Row],[Scope 3 Emission factor]]</f>
        <v>0</v>
      </c>
      <c r="AH62" t="b">
        <f>GHGFY20[[#This Row],[Reporting Alias]]=GHGFY207[[#This Row],[Reporting Alias]]</f>
        <v>1</v>
      </c>
    </row>
    <row r="63" spans="1:34" ht="27.6">
      <c r="A63" t="s">
        <v>799</v>
      </c>
      <c r="B63" t="s">
        <v>155</v>
      </c>
      <c r="C63" t="s">
        <v>4402</v>
      </c>
      <c r="D63" t="s">
        <v>1210</v>
      </c>
      <c r="E63" t="s">
        <v>663</v>
      </c>
      <c r="H63">
        <v>3.5999999999999999E-3</v>
      </c>
      <c r="I63" t="s">
        <v>1137</v>
      </c>
      <c r="J63">
        <v>0</v>
      </c>
      <c r="K63">
        <v>0.81</v>
      </c>
      <c r="L63">
        <v>0.12</v>
      </c>
      <c r="M63" t="s">
        <v>4403</v>
      </c>
      <c r="O63" t="s">
        <v>4407</v>
      </c>
      <c r="P63" s="1" t="s">
        <v>4407</v>
      </c>
      <c r="T63">
        <v>0.81</v>
      </c>
      <c r="U63">
        <v>0.12</v>
      </c>
      <c r="X63" s="56" t="s">
        <v>4407</v>
      </c>
      <c r="AC63" s="3">
        <f>(T63-GHGFY20[[#This Row],[Scope 2 Emission factor]])/GHGFY20[[#This Row],[Scope 2 Emission factor]]</f>
        <v>0</v>
      </c>
      <c r="AD63" s="3">
        <f>(U63-GHGFY20[[#This Row],[Scope 3 Emission factor]])/GHGFY20[[#This Row],[Scope 3 Emission factor]]</f>
        <v>0</v>
      </c>
      <c r="AH63" t="b">
        <f>GHGFY20[[#This Row],[Reporting Alias]]=GHGFY207[[#This Row],[Reporting Alias]]</f>
        <v>1</v>
      </c>
    </row>
    <row r="64" spans="1:34" ht="27.6">
      <c r="A64" t="s">
        <v>800</v>
      </c>
      <c r="B64" t="s">
        <v>155</v>
      </c>
      <c r="C64" t="s">
        <v>4402</v>
      </c>
      <c r="D64" t="s">
        <v>1193</v>
      </c>
      <c r="E64" t="s">
        <v>663</v>
      </c>
      <c r="H64">
        <v>3.5999999999999999E-3</v>
      </c>
      <c r="I64" t="s">
        <v>1137</v>
      </c>
      <c r="J64">
        <v>0</v>
      </c>
      <c r="K64">
        <v>0.44</v>
      </c>
      <c r="L64">
        <v>0.1</v>
      </c>
      <c r="M64" t="s">
        <v>4403</v>
      </c>
      <c r="O64" t="s">
        <v>4408</v>
      </c>
      <c r="P64" s="1" t="s">
        <v>4408</v>
      </c>
      <c r="T64">
        <v>0.44</v>
      </c>
      <c r="U64">
        <v>0.1</v>
      </c>
      <c r="X64" s="56" t="s">
        <v>4408</v>
      </c>
      <c r="AC64" s="3">
        <f>(T64-GHGFY20[[#This Row],[Scope 2 Emission factor]])/GHGFY20[[#This Row],[Scope 2 Emission factor]]</f>
        <v>0</v>
      </c>
      <c r="AD64" s="3">
        <f>(U64-GHGFY20[[#This Row],[Scope 3 Emission factor]])/GHGFY20[[#This Row],[Scope 3 Emission factor]]</f>
        <v>0</v>
      </c>
      <c r="AH64" t="b">
        <f>GHGFY20[[#This Row],[Reporting Alias]]=GHGFY207[[#This Row],[Reporting Alias]]</f>
        <v>1</v>
      </c>
    </row>
    <row r="65" spans="1:34" ht="27.6">
      <c r="A65" t="s">
        <v>801</v>
      </c>
      <c r="B65" t="s">
        <v>155</v>
      </c>
      <c r="C65" t="s">
        <v>4402</v>
      </c>
      <c r="D65" t="s">
        <v>1213</v>
      </c>
      <c r="E65" t="s">
        <v>663</v>
      </c>
      <c r="H65">
        <v>3.5999999999999999E-3</v>
      </c>
      <c r="I65" t="s">
        <v>1137</v>
      </c>
      <c r="J65">
        <v>0</v>
      </c>
      <c r="K65">
        <v>0.15</v>
      </c>
      <c r="L65">
        <v>0.02</v>
      </c>
      <c r="M65" t="s">
        <v>4403</v>
      </c>
      <c r="O65" t="s">
        <v>4406</v>
      </c>
      <c r="P65" s="1" t="s">
        <v>4406</v>
      </c>
      <c r="T65">
        <v>0.15</v>
      </c>
      <c r="U65">
        <v>0.02</v>
      </c>
      <c r="X65" s="56" t="s">
        <v>4406</v>
      </c>
      <c r="AC65" s="3">
        <f>(T65-GHGFY20[[#This Row],[Scope 2 Emission factor]])/GHGFY20[[#This Row],[Scope 2 Emission factor]]</f>
        <v>0</v>
      </c>
      <c r="AD65" s="3">
        <f>(U65-GHGFY20[[#This Row],[Scope 3 Emission factor]])/GHGFY20[[#This Row],[Scope 3 Emission factor]]</f>
        <v>0</v>
      </c>
      <c r="AH65" t="b">
        <f>GHGFY20[[#This Row],[Reporting Alias]]=GHGFY207[[#This Row],[Reporting Alias]]</f>
        <v>1</v>
      </c>
    </row>
    <row r="66" spans="1:34" ht="27.6">
      <c r="A66" t="s">
        <v>802</v>
      </c>
      <c r="B66" t="s">
        <v>155</v>
      </c>
      <c r="C66" t="s">
        <v>4402</v>
      </c>
      <c r="D66" t="s">
        <v>1189</v>
      </c>
      <c r="E66" t="s">
        <v>663</v>
      </c>
      <c r="H66">
        <v>3.5999999999999999E-3</v>
      </c>
      <c r="I66" t="s">
        <v>1137</v>
      </c>
      <c r="J66">
        <v>0</v>
      </c>
      <c r="K66">
        <v>1.02</v>
      </c>
      <c r="L66">
        <v>0.1</v>
      </c>
      <c r="M66" t="s">
        <v>4403</v>
      </c>
      <c r="O66" t="s">
        <v>4407</v>
      </c>
      <c r="P66" s="1" t="s">
        <v>4407</v>
      </c>
      <c r="T66">
        <v>1.02</v>
      </c>
      <c r="U66">
        <v>0.1</v>
      </c>
      <c r="X66" s="56" t="s">
        <v>4407</v>
      </c>
      <c r="AC66" s="3">
        <f>(T66-GHGFY20[[#This Row],[Scope 2 Emission factor]])/GHGFY20[[#This Row],[Scope 2 Emission factor]]</f>
        <v>0</v>
      </c>
      <c r="AD66" s="3">
        <f>(U66-GHGFY20[[#This Row],[Scope 3 Emission factor]])/GHGFY20[[#This Row],[Scope 3 Emission factor]]</f>
        <v>0</v>
      </c>
      <c r="AH66" t="b">
        <f>GHGFY20[[#This Row],[Reporting Alias]]=GHGFY207[[#This Row],[Reporting Alias]]</f>
        <v>1</v>
      </c>
    </row>
    <row r="67" spans="1:34" ht="27.6">
      <c r="A67" t="s">
        <v>803</v>
      </c>
      <c r="B67" t="s">
        <v>155</v>
      </c>
      <c r="C67" t="s">
        <v>4402</v>
      </c>
      <c r="D67" t="s">
        <v>1216</v>
      </c>
      <c r="E67" t="s">
        <v>663</v>
      </c>
      <c r="H67">
        <v>3.5999999999999999E-3</v>
      </c>
      <c r="I67" t="s">
        <v>1137</v>
      </c>
      <c r="J67">
        <v>0</v>
      </c>
      <c r="K67">
        <v>0.69</v>
      </c>
      <c r="L67">
        <v>0.04</v>
      </c>
      <c r="M67" t="s">
        <v>4403</v>
      </c>
      <c r="O67" t="s">
        <v>4408</v>
      </c>
      <c r="P67" s="1" t="s">
        <v>4408</v>
      </c>
      <c r="T67">
        <v>0.69</v>
      </c>
      <c r="U67">
        <v>0.04</v>
      </c>
      <c r="X67" s="56" t="s">
        <v>4408</v>
      </c>
      <c r="AC67" s="3">
        <f>(T67-GHGFY20[[#This Row],[Scope 2 Emission factor]])/GHGFY20[[#This Row],[Scope 2 Emission factor]]</f>
        <v>0</v>
      </c>
      <c r="AD67" s="3">
        <f>(U67-GHGFY20[[#This Row],[Scope 3 Emission factor]])/GHGFY20[[#This Row],[Scope 3 Emission factor]]</f>
        <v>0</v>
      </c>
      <c r="AH67" t="b">
        <f>GHGFY20[[#This Row],[Reporting Alias]]=GHGFY207[[#This Row],[Reporting Alias]]</f>
        <v>1</v>
      </c>
    </row>
    <row r="68" spans="1:34" ht="27.6">
      <c r="A68" t="s">
        <v>804</v>
      </c>
      <c r="B68" t="s">
        <v>155</v>
      </c>
      <c r="C68" t="s">
        <v>4402</v>
      </c>
      <c r="D68" t="s">
        <v>1190</v>
      </c>
      <c r="E68" t="s">
        <v>663</v>
      </c>
      <c r="H68">
        <v>3.5999999999999999E-3</v>
      </c>
      <c r="I68" t="s">
        <v>1137</v>
      </c>
      <c r="J68">
        <v>0</v>
      </c>
      <c r="K68">
        <v>0.81</v>
      </c>
      <c r="L68">
        <v>0.09</v>
      </c>
      <c r="M68" t="s">
        <v>4403</v>
      </c>
      <c r="O68" t="s">
        <v>4405</v>
      </c>
      <c r="P68" s="1" t="s">
        <v>4405</v>
      </c>
      <c r="T68">
        <v>0.79</v>
      </c>
      <c r="U68">
        <v>0.09</v>
      </c>
      <c r="X68" s="56" t="s">
        <v>4406</v>
      </c>
      <c r="AC68" s="3">
        <f>(T68-GHGFY20[[#This Row],[Scope 2 Emission factor]])/GHGFY20[[#This Row],[Scope 2 Emission factor]]</f>
        <v>-2.4691358024691377E-2</v>
      </c>
      <c r="AD68" s="3">
        <f>(U68-GHGFY20[[#This Row],[Scope 3 Emission factor]])/GHGFY20[[#This Row],[Scope 3 Emission factor]]</f>
        <v>0</v>
      </c>
      <c r="AH68" t="b">
        <f>GHGFY20[[#This Row],[Reporting Alias]]=GHGFY207[[#This Row],[Reporting Alias]]</f>
        <v>1</v>
      </c>
    </row>
    <row r="69" spans="1:34" ht="27.6">
      <c r="A69" t="s">
        <v>805</v>
      </c>
      <c r="B69" t="s">
        <v>155</v>
      </c>
      <c r="C69" t="s">
        <v>4402</v>
      </c>
      <c r="D69" t="s">
        <v>1192</v>
      </c>
      <c r="E69" t="s">
        <v>663</v>
      </c>
      <c r="H69">
        <v>3.5999999999999999E-3</v>
      </c>
      <c r="I69" t="s">
        <v>1137</v>
      </c>
      <c r="J69">
        <v>0</v>
      </c>
      <c r="K69">
        <v>0.81</v>
      </c>
      <c r="L69">
        <v>0.09</v>
      </c>
      <c r="M69" t="s">
        <v>4403</v>
      </c>
      <c r="O69" t="s">
        <v>4405</v>
      </c>
      <c r="P69" s="1" t="s">
        <v>4405</v>
      </c>
      <c r="T69">
        <v>0.81</v>
      </c>
      <c r="U69">
        <v>0.09</v>
      </c>
      <c r="X69" s="56" t="s">
        <v>4405</v>
      </c>
      <c r="AC69" s="3">
        <f>(T69-GHGFY20[[#This Row],[Scope 2 Emission factor]])/GHGFY20[[#This Row],[Scope 2 Emission factor]]</f>
        <v>0</v>
      </c>
      <c r="AD69" s="3">
        <f>(U69-GHGFY20[[#This Row],[Scope 3 Emission factor]])/GHGFY20[[#This Row],[Scope 3 Emission factor]]</f>
        <v>0</v>
      </c>
      <c r="AH69" t="b">
        <f>GHGFY20[[#This Row],[Reporting Alias]]=GHGFY207[[#This Row],[Reporting Alias]]</f>
        <v>1</v>
      </c>
    </row>
    <row r="70" spans="1:34" ht="27.6">
      <c r="A70" t="s">
        <v>806</v>
      </c>
      <c r="B70" t="s">
        <v>155</v>
      </c>
      <c r="C70" t="s">
        <v>4402</v>
      </c>
      <c r="D70" t="s">
        <v>1208</v>
      </c>
      <c r="E70" t="s">
        <v>663</v>
      </c>
      <c r="H70">
        <v>3.5999999999999999E-3</v>
      </c>
      <c r="I70" t="s">
        <v>1137</v>
      </c>
      <c r="J70">
        <v>0</v>
      </c>
      <c r="K70">
        <v>0.63</v>
      </c>
      <c r="L70">
        <v>0.08</v>
      </c>
      <c r="M70" t="s">
        <v>4403</v>
      </c>
      <c r="O70" t="s">
        <v>4406</v>
      </c>
      <c r="P70" s="1" t="s">
        <v>4406</v>
      </c>
      <c r="T70">
        <v>0.63</v>
      </c>
      <c r="U70">
        <v>0.08</v>
      </c>
      <c r="X70" s="56" t="s">
        <v>4406</v>
      </c>
      <c r="AC70" s="3">
        <f>(T70-GHGFY20[[#This Row],[Scope 2 Emission factor]])/GHGFY20[[#This Row],[Scope 2 Emission factor]]</f>
        <v>0</v>
      </c>
      <c r="AD70" s="3">
        <f>(U70-GHGFY20[[#This Row],[Scope 3 Emission factor]])/GHGFY20[[#This Row],[Scope 3 Emission factor]]</f>
        <v>0</v>
      </c>
      <c r="AH70" t="b">
        <f>GHGFY20[[#This Row],[Reporting Alias]]=GHGFY207[[#This Row],[Reporting Alias]]</f>
        <v>1</v>
      </c>
    </row>
    <row r="71" spans="1:34" ht="27.6">
      <c r="A71" t="s">
        <v>807</v>
      </c>
      <c r="B71" t="s">
        <v>155</v>
      </c>
      <c r="C71" t="s">
        <v>4402</v>
      </c>
      <c r="D71" t="s">
        <v>1210</v>
      </c>
      <c r="E71" t="s">
        <v>663</v>
      </c>
      <c r="H71">
        <v>3.5999999999999999E-3</v>
      </c>
      <c r="I71" t="s">
        <v>1137</v>
      </c>
      <c r="J71">
        <v>0</v>
      </c>
      <c r="K71">
        <v>0.81</v>
      </c>
      <c r="L71">
        <v>0.12</v>
      </c>
      <c r="M71" t="s">
        <v>4403</v>
      </c>
      <c r="O71" t="s">
        <v>4407</v>
      </c>
      <c r="P71" s="1" t="s">
        <v>4407</v>
      </c>
      <c r="T71">
        <v>0.81</v>
      </c>
      <c r="U71">
        <v>0.12</v>
      </c>
      <c r="X71" s="56" t="s">
        <v>4407</v>
      </c>
      <c r="AC71" s="3">
        <f>(T71-GHGFY20[[#This Row],[Scope 2 Emission factor]])/GHGFY20[[#This Row],[Scope 2 Emission factor]]</f>
        <v>0</v>
      </c>
      <c r="AD71" s="3">
        <f>(U71-GHGFY20[[#This Row],[Scope 3 Emission factor]])/GHGFY20[[#This Row],[Scope 3 Emission factor]]</f>
        <v>0</v>
      </c>
      <c r="AH71" t="b">
        <f>GHGFY20[[#This Row],[Reporting Alias]]=GHGFY207[[#This Row],[Reporting Alias]]</f>
        <v>1</v>
      </c>
    </row>
    <row r="72" spans="1:34" ht="27.6">
      <c r="A72" t="s">
        <v>808</v>
      </c>
      <c r="B72" t="s">
        <v>155</v>
      </c>
      <c r="C72" t="s">
        <v>4402</v>
      </c>
      <c r="D72" t="s">
        <v>1193</v>
      </c>
      <c r="E72" t="s">
        <v>663</v>
      </c>
      <c r="H72">
        <v>3.5999999999999999E-3</v>
      </c>
      <c r="I72" t="s">
        <v>1137</v>
      </c>
      <c r="J72">
        <v>0</v>
      </c>
      <c r="K72">
        <v>0.44</v>
      </c>
      <c r="L72">
        <v>0.1</v>
      </c>
      <c r="M72" t="s">
        <v>4403</v>
      </c>
      <c r="O72" t="s">
        <v>4408</v>
      </c>
      <c r="P72" s="1" t="s">
        <v>4408</v>
      </c>
      <c r="T72">
        <v>0.44</v>
      </c>
      <c r="U72">
        <v>0.1</v>
      </c>
      <c r="X72" s="56" t="s">
        <v>4408</v>
      </c>
      <c r="AC72" s="3">
        <f>(T72-GHGFY20[[#This Row],[Scope 2 Emission factor]])/GHGFY20[[#This Row],[Scope 2 Emission factor]]</f>
        <v>0</v>
      </c>
      <c r="AD72" s="3">
        <f>(U72-GHGFY20[[#This Row],[Scope 3 Emission factor]])/GHGFY20[[#This Row],[Scope 3 Emission factor]]</f>
        <v>0</v>
      </c>
      <c r="AH72" t="b">
        <f>GHGFY20[[#This Row],[Reporting Alias]]=GHGFY207[[#This Row],[Reporting Alias]]</f>
        <v>1</v>
      </c>
    </row>
    <row r="73" spans="1:34" ht="27.6">
      <c r="A73" t="s">
        <v>809</v>
      </c>
      <c r="B73" t="s">
        <v>155</v>
      </c>
      <c r="C73" t="s">
        <v>4402</v>
      </c>
      <c r="D73" t="s">
        <v>1213</v>
      </c>
      <c r="E73" t="s">
        <v>663</v>
      </c>
      <c r="H73">
        <v>3.5999999999999999E-3</v>
      </c>
      <c r="I73" t="s">
        <v>1137</v>
      </c>
      <c r="J73">
        <v>0</v>
      </c>
      <c r="K73">
        <v>0.15</v>
      </c>
      <c r="L73">
        <v>0.02</v>
      </c>
      <c r="M73" t="s">
        <v>4403</v>
      </c>
      <c r="O73" t="s">
        <v>4406</v>
      </c>
      <c r="P73" s="1" t="s">
        <v>4406</v>
      </c>
      <c r="T73">
        <v>0.15</v>
      </c>
      <c r="U73">
        <v>0.02</v>
      </c>
      <c r="X73" s="56" t="s">
        <v>4406</v>
      </c>
      <c r="AC73" s="3">
        <f>(T73-GHGFY20[[#This Row],[Scope 2 Emission factor]])/GHGFY20[[#This Row],[Scope 2 Emission factor]]</f>
        <v>0</v>
      </c>
      <c r="AD73" s="3">
        <f>(U73-GHGFY20[[#This Row],[Scope 3 Emission factor]])/GHGFY20[[#This Row],[Scope 3 Emission factor]]</f>
        <v>0</v>
      </c>
      <c r="AH73" t="b">
        <f>GHGFY20[[#This Row],[Reporting Alias]]=GHGFY207[[#This Row],[Reporting Alias]]</f>
        <v>1</v>
      </c>
    </row>
    <row r="74" spans="1:34" ht="27.6">
      <c r="A74" t="s">
        <v>810</v>
      </c>
      <c r="B74" t="s">
        <v>155</v>
      </c>
      <c r="C74" t="s">
        <v>4402</v>
      </c>
      <c r="D74" t="s">
        <v>1189</v>
      </c>
      <c r="E74" t="s">
        <v>663</v>
      </c>
      <c r="H74">
        <v>3.5999999999999999E-3</v>
      </c>
      <c r="I74" t="s">
        <v>1137</v>
      </c>
      <c r="J74">
        <v>0</v>
      </c>
      <c r="K74">
        <v>1.02</v>
      </c>
      <c r="L74">
        <v>0.1</v>
      </c>
      <c r="M74" t="s">
        <v>4403</v>
      </c>
      <c r="O74" t="s">
        <v>4407</v>
      </c>
      <c r="P74" s="1" t="s">
        <v>4407</v>
      </c>
      <c r="T74">
        <v>1.02</v>
      </c>
      <c r="U74">
        <v>0.1</v>
      </c>
      <c r="X74" s="56" t="s">
        <v>4407</v>
      </c>
      <c r="AC74" s="3">
        <f>(T74-GHGFY20[[#This Row],[Scope 2 Emission factor]])/GHGFY20[[#This Row],[Scope 2 Emission factor]]</f>
        <v>0</v>
      </c>
      <c r="AD74" s="3">
        <f>(U74-GHGFY20[[#This Row],[Scope 3 Emission factor]])/GHGFY20[[#This Row],[Scope 3 Emission factor]]</f>
        <v>0</v>
      </c>
      <c r="AH74" t="b">
        <f>GHGFY20[[#This Row],[Reporting Alias]]=GHGFY207[[#This Row],[Reporting Alias]]</f>
        <v>1</v>
      </c>
    </row>
    <row r="75" spans="1:34" ht="27.6">
      <c r="A75" t="s">
        <v>811</v>
      </c>
      <c r="B75" t="s">
        <v>155</v>
      </c>
      <c r="C75" t="s">
        <v>4402</v>
      </c>
      <c r="D75" t="s">
        <v>1216</v>
      </c>
      <c r="E75" t="s">
        <v>663</v>
      </c>
      <c r="H75">
        <v>3.5999999999999999E-3</v>
      </c>
      <c r="I75" t="s">
        <v>1137</v>
      </c>
      <c r="J75">
        <v>0</v>
      </c>
      <c r="K75">
        <v>0.69</v>
      </c>
      <c r="L75">
        <v>0.04</v>
      </c>
      <c r="M75" t="s">
        <v>4403</v>
      </c>
      <c r="O75" t="s">
        <v>4408</v>
      </c>
      <c r="P75" s="1" t="s">
        <v>4408</v>
      </c>
      <c r="T75" s="9">
        <v>0.69</v>
      </c>
      <c r="U75" s="9">
        <v>0.04</v>
      </c>
      <c r="X75" s="56" t="s">
        <v>4408</v>
      </c>
      <c r="AC75" s="3">
        <f>(T75-GHGFY20[[#This Row],[Scope 2 Emission factor]])/GHGFY20[[#This Row],[Scope 2 Emission factor]]</f>
        <v>0</v>
      </c>
      <c r="AD75" s="3">
        <f>(U75-GHGFY20[[#This Row],[Scope 3 Emission factor]])/GHGFY20[[#This Row],[Scope 3 Emission factor]]</f>
        <v>0</v>
      </c>
      <c r="AH75" t="b">
        <f>GHGFY20[[#This Row],[Reporting Alias]]=GHGFY207[[#This Row],[Reporting Alias]]</f>
        <v>1</v>
      </c>
    </row>
    <row r="76" spans="1:34" ht="69">
      <c r="A76" t="s">
        <v>4190</v>
      </c>
      <c r="B76" t="s">
        <v>1296</v>
      </c>
      <c r="C76" t="s">
        <v>4409</v>
      </c>
      <c r="D76" t="s">
        <v>1190</v>
      </c>
      <c r="E76" t="s">
        <v>670</v>
      </c>
      <c r="F76">
        <v>1E-3</v>
      </c>
      <c r="G76" t="s">
        <v>4410</v>
      </c>
      <c r="J76">
        <v>51.53</v>
      </c>
      <c r="L76">
        <v>12.8</v>
      </c>
      <c r="M76" t="s">
        <v>4411</v>
      </c>
      <c r="N76" t="s">
        <v>4460</v>
      </c>
      <c r="P76" s="1"/>
      <c r="S76" s="64">
        <f>SUM(U76:W76)</f>
        <v>51.53</v>
      </c>
      <c r="U76" s="5">
        <v>51.4</v>
      </c>
      <c r="V76" s="5">
        <v>0.1</v>
      </c>
      <c r="W76" s="5">
        <v>0.03</v>
      </c>
      <c r="X76" s="56" t="str">
        <f>GHGFY20[[#This Row],[Data Source (scope 1)]]</f>
        <v>NGER (Measurement) Determination 2008 2019versions pg 317 - Part 2 Fuel combustion - 17</v>
      </c>
      <c r="AB76" s="3">
        <f>(S76-GHGFY20[[#This Row],[Scope 1 Emission factor]])/GHGFY20[[#This Row],[Scope 1 Emission factor]]</f>
        <v>0</v>
      </c>
      <c r="AC76" s="3" t="e">
        <f>(T76-GHGFY20[[#This Row],[Scope 2 Emission factor]])/GHGFY20[[#This Row],[Scope 2 Emission factor]]</f>
        <v>#DIV/0!</v>
      </c>
      <c r="AD76" s="3">
        <f>(U76-GHGFY20[[#This Row],[Scope 3 Emission factor]])/GHGFY20[[#This Row],[Scope 3 Emission factor]]</f>
        <v>3.0156249999999996</v>
      </c>
      <c r="AH76" t="b">
        <f>GHGFY20[[#This Row],[Reporting Alias]]=GHGFY207[[#This Row],[Reporting Alias]]</f>
        <v>1</v>
      </c>
    </row>
    <row r="77" spans="1:34" ht="69">
      <c r="A77" t="s">
        <v>1025</v>
      </c>
      <c r="B77" t="s">
        <v>1296</v>
      </c>
      <c r="C77" t="s">
        <v>4409</v>
      </c>
      <c r="D77" t="s">
        <v>1192</v>
      </c>
      <c r="E77" t="s">
        <v>670</v>
      </c>
      <c r="F77">
        <v>1E-3</v>
      </c>
      <c r="G77" t="s">
        <v>4410</v>
      </c>
      <c r="J77">
        <v>51.53</v>
      </c>
      <c r="L77">
        <v>12.8</v>
      </c>
      <c r="M77" t="s">
        <v>4411</v>
      </c>
      <c r="N77" t="s">
        <v>4460</v>
      </c>
      <c r="P77" s="1"/>
      <c r="S77" s="64">
        <f t="shared" ref="S77:S140" si="0">SUM(U77:W77)</f>
        <v>51.53</v>
      </c>
      <c r="U77" s="5">
        <v>51.4</v>
      </c>
      <c r="V77" s="5">
        <v>0.1</v>
      </c>
      <c r="W77" s="5">
        <v>0.03</v>
      </c>
      <c r="X77" s="56" t="str">
        <f>GHGFY20[[#This Row],[Data Source (scope 1)]]</f>
        <v>NGER (Measurement) Determination 2008 2019versions pg 317 - Part 2 Fuel combustion - 17</v>
      </c>
      <c r="AB77" s="3">
        <f>(S77-GHGFY20[[#This Row],[Scope 1 Emission factor]])/GHGFY20[[#This Row],[Scope 1 Emission factor]]</f>
        <v>0</v>
      </c>
      <c r="AC77" s="3" t="e">
        <f>(T77-GHGFY20[[#This Row],[Scope 2 Emission factor]])/GHGFY20[[#This Row],[Scope 2 Emission factor]]</f>
        <v>#DIV/0!</v>
      </c>
      <c r="AD77" s="3">
        <f>(U77-GHGFY20[[#This Row],[Scope 3 Emission factor]])/GHGFY20[[#This Row],[Scope 3 Emission factor]]</f>
        <v>3.0156249999999996</v>
      </c>
      <c r="AH77" t="b">
        <f>GHGFY20[[#This Row],[Reporting Alias]]=GHGFY207[[#This Row],[Reporting Alias]]</f>
        <v>1</v>
      </c>
    </row>
    <row r="78" spans="1:34" ht="69">
      <c r="A78" t="s">
        <v>4191</v>
      </c>
      <c r="B78" t="s">
        <v>1296</v>
      </c>
      <c r="C78" t="s">
        <v>4409</v>
      </c>
      <c r="D78" t="s">
        <v>1210</v>
      </c>
      <c r="E78" t="s">
        <v>670</v>
      </c>
      <c r="F78">
        <v>1E-3</v>
      </c>
      <c r="G78" t="s">
        <v>4410</v>
      </c>
      <c r="J78">
        <v>51.53</v>
      </c>
      <c r="L78">
        <v>8.6999999999999993</v>
      </c>
      <c r="M78" t="s">
        <v>4411</v>
      </c>
      <c r="N78" t="s">
        <v>4460</v>
      </c>
      <c r="P78" s="1"/>
      <c r="S78" s="64">
        <f t="shared" si="0"/>
        <v>51.53</v>
      </c>
      <c r="U78" s="5">
        <v>51.4</v>
      </c>
      <c r="V78" s="5">
        <v>0.1</v>
      </c>
      <c r="W78" s="5">
        <v>0.03</v>
      </c>
      <c r="X78" s="56" t="str">
        <f>GHGFY20[[#This Row],[Data Source (scope 1)]]</f>
        <v>NGER (Measurement) Determination 2008 2019versions pg 317 - Part 2 Fuel combustion - 17</v>
      </c>
      <c r="AB78" s="3">
        <f>(S78-GHGFY20[[#This Row],[Scope 1 Emission factor]])/GHGFY20[[#This Row],[Scope 1 Emission factor]]</f>
        <v>0</v>
      </c>
      <c r="AC78" s="3" t="e">
        <f>(T78-GHGFY20[[#This Row],[Scope 2 Emission factor]])/GHGFY20[[#This Row],[Scope 2 Emission factor]]</f>
        <v>#DIV/0!</v>
      </c>
      <c r="AD78" s="3">
        <f>(U78-GHGFY20[[#This Row],[Scope 3 Emission factor]])/GHGFY20[[#This Row],[Scope 3 Emission factor]]</f>
        <v>4.9080459770114953</v>
      </c>
      <c r="AH78" t="b">
        <f>GHGFY20[[#This Row],[Reporting Alias]]=GHGFY207[[#This Row],[Reporting Alias]]</f>
        <v>1</v>
      </c>
    </row>
    <row r="79" spans="1:34" ht="69">
      <c r="A79" t="s">
        <v>1027</v>
      </c>
      <c r="B79" t="s">
        <v>1296</v>
      </c>
      <c r="C79" t="s">
        <v>4409</v>
      </c>
      <c r="D79" t="s">
        <v>1193</v>
      </c>
      <c r="E79" t="s">
        <v>670</v>
      </c>
      <c r="F79">
        <v>1E-3</v>
      </c>
      <c r="G79" t="s">
        <v>4410</v>
      </c>
      <c r="J79">
        <v>51.53</v>
      </c>
      <c r="L79">
        <v>10.4</v>
      </c>
      <c r="M79" t="s">
        <v>4411</v>
      </c>
      <c r="N79" t="s">
        <v>4460</v>
      </c>
      <c r="P79" s="1"/>
      <c r="S79" s="64">
        <f t="shared" si="0"/>
        <v>51.53</v>
      </c>
      <c r="U79" s="5">
        <v>51.4</v>
      </c>
      <c r="V79" s="5">
        <v>0.1</v>
      </c>
      <c r="W79" s="5">
        <v>0.03</v>
      </c>
      <c r="X79" s="56" t="str">
        <f>GHGFY20[[#This Row],[Data Source (scope 1)]]</f>
        <v>NGER (Measurement) Determination 2008 2019versions pg 317 - Part 2 Fuel combustion - 17</v>
      </c>
      <c r="AB79" s="3">
        <f>(S79-GHGFY20[[#This Row],[Scope 1 Emission factor]])/GHGFY20[[#This Row],[Scope 1 Emission factor]]</f>
        <v>0</v>
      </c>
      <c r="AC79" s="3" t="e">
        <f>(T79-GHGFY20[[#This Row],[Scope 2 Emission factor]])/GHGFY20[[#This Row],[Scope 2 Emission factor]]</f>
        <v>#DIV/0!</v>
      </c>
      <c r="AD79" s="3">
        <f>(U79-GHGFY20[[#This Row],[Scope 3 Emission factor]])/GHGFY20[[#This Row],[Scope 3 Emission factor]]</f>
        <v>3.9423076923076921</v>
      </c>
      <c r="AH79" t="b">
        <f>GHGFY20[[#This Row],[Reporting Alias]]=GHGFY207[[#This Row],[Reporting Alias]]</f>
        <v>1</v>
      </c>
    </row>
    <row r="80" spans="1:34" ht="69">
      <c r="A80" t="s">
        <v>4192</v>
      </c>
      <c r="B80" t="s">
        <v>1296</v>
      </c>
      <c r="C80" t="s">
        <v>4409</v>
      </c>
      <c r="D80" t="s">
        <v>1213</v>
      </c>
      <c r="E80" t="s">
        <v>670</v>
      </c>
      <c r="F80">
        <v>1E-3</v>
      </c>
      <c r="G80" t="s">
        <v>4410</v>
      </c>
      <c r="J80">
        <v>51.53</v>
      </c>
      <c r="L80">
        <v>0</v>
      </c>
      <c r="M80" t="s">
        <v>4411</v>
      </c>
      <c r="N80" t="s">
        <v>4460</v>
      </c>
      <c r="P80" s="1"/>
      <c r="S80" s="64">
        <f t="shared" si="0"/>
        <v>51.53</v>
      </c>
      <c r="U80" s="5">
        <v>51.4</v>
      </c>
      <c r="V80" s="5">
        <v>0.1</v>
      </c>
      <c r="W80" s="5">
        <v>0.03</v>
      </c>
      <c r="X80" s="56" t="str">
        <f>GHGFY20[[#This Row],[Data Source (scope 1)]]</f>
        <v>NGER (Measurement) Determination 2008 2019versions pg 317 - Part 2 Fuel combustion - 17</v>
      </c>
      <c r="AB80" s="3">
        <f>(S80-GHGFY20[[#This Row],[Scope 1 Emission factor]])/GHGFY20[[#This Row],[Scope 1 Emission factor]]</f>
        <v>0</v>
      </c>
      <c r="AC80" s="3" t="e">
        <f>(T80-GHGFY20[[#This Row],[Scope 2 Emission factor]])/GHGFY20[[#This Row],[Scope 2 Emission factor]]</f>
        <v>#DIV/0!</v>
      </c>
      <c r="AD80" s="3" t="e">
        <f>(U80-GHGFY20[[#This Row],[Scope 3 Emission factor]])/GHGFY20[[#This Row],[Scope 3 Emission factor]]</f>
        <v>#DIV/0!</v>
      </c>
      <c r="AH80" t="b">
        <f>GHGFY20[[#This Row],[Reporting Alias]]=GHGFY207[[#This Row],[Reporting Alias]]</f>
        <v>1</v>
      </c>
    </row>
    <row r="81" spans="1:34" ht="69">
      <c r="A81" t="s">
        <v>1029</v>
      </c>
      <c r="B81" t="s">
        <v>1296</v>
      </c>
      <c r="C81" t="s">
        <v>4409</v>
      </c>
      <c r="D81" t="s">
        <v>1189</v>
      </c>
      <c r="E81" t="s">
        <v>670</v>
      </c>
      <c r="F81">
        <v>1E-3</v>
      </c>
      <c r="G81" t="s">
        <v>4410</v>
      </c>
      <c r="J81">
        <v>51.53</v>
      </c>
      <c r="L81">
        <v>3.9</v>
      </c>
      <c r="M81" t="s">
        <v>4411</v>
      </c>
      <c r="N81" t="s">
        <v>4460</v>
      </c>
      <c r="P81" s="1"/>
      <c r="S81" s="64">
        <f t="shared" si="0"/>
        <v>51.53</v>
      </c>
      <c r="U81" s="5">
        <v>51.4</v>
      </c>
      <c r="V81" s="5">
        <v>0.1</v>
      </c>
      <c r="W81" s="5">
        <v>0.03</v>
      </c>
      <c r="X81" s="56" t="str">
        <f>GHGFY20[[#This Row],[Data Source (scope 1)]]</f>
        <v>NGER (Measurement) Determination 2008 2019versions pg 317 - Part 2 Fuel combustion - 17</v>
      </c>
      <c r="AB81" s="3">
        <f>(S81-GHGFY20[[#This Row],[Scope 1 Emission factor]])/GHGFY20[[#This Row],[Scope 1 Emission factor]]</f>
        <v>0</v>
      </c>
      <c r="AC81" s="3" t="e">
        <f>(T81-GHGFY20[[#This Row],[Scope 2 Emission factor]])/GHGFY20[[#This Row],[Scope 2 Emission factor]]</f>
        <v>#DIV/0!</v>
      </c>
      <c r="AD81" s="3">
        <f>(U81-GHGFY20[[#This Row],[Scope 3 Emission factor]])/GHGFY20[[#This Row],[Scope 3 Emission factor]]</f>
        <v>12.179487179487181</v>
      </c>
      <c r="AH81" t="b">
        <f>GHGFY20[[#This Row],[Reporting Alias]]=GHGFY207[[#This Row],[Reporting Alias]]</f>
        <v>1</v>
      </c>
    </row>
    <row r="82" spans="1:34" ht="69">
      <c r="A82" t="s">
        <v>4193</v>
      </c>
      <c r="B82" t="s">
        <v>1296</v>
      </c>
      <c r="C82" t="s">
        <v>4409</v>
      </c>
      <c r="D82" t="s">
        <v>1216</v>
      </c>
      <c r="E82" t="s">
        <v>670</v>
      </c>
      <c r="F82">
        <v>1E-3</v>
      </c>
      <c r="G82" t="s">
        <v>4410</v>
      </c>
      <c r="J82">
        <v>51.53</v>
      </c>
      <c r="L82">
        <v>4</v>
      </c>
      <c r="M82" t="s">
        <v>4411</v>
      </c>
      <c r="N82" t="s">
        <v>4460</v>
      </c>
      <c r="P82" s="1"/>
      <c r="S82" s="64">
        <f t="shared" si="0"/>
        <v>51.53</v>
      </c>
      <c r="U82" s="5">
        <v>51.4</v>
      </c>
      <c r="V82" s="5">
        <v>0.1</v>
      </c>
      <c r="W82" s="5">
        <v>0.03</v>
      </c>
      <c r="X82" s="56" t="str">
        <f>GHGFY20[[#This Row],[Data Source (scope 1)]]</f>
        <v>NGER (Measurement) Determination 2008 2019versions pg 317 - Part 2 Fuel combustion - 17</v>
      </c>
      <c r="AB82" s="3">
        <f>(S82-GHGFY20[[#This Row],[Scope 1 Emission factor]])/GHGFY20[[#This Row],[Scope 1 Emission factor]]</f>
        <v>0</v>
      </c>
      <c r="AC82" s="3" t="e">
        <f>(T82-GHGFY20[[#This Row],[Scope 2 Emission factor]])/GHGFY20[[#This Row],[Scope 2 Emission factor]]</f>
        <v>#DIV/0!</v>
      </c>
      <c r="AD82" s="3">
        <f>(U82-GHGFY20[[#This Row],[Scope 3 Emission factor]])/GHGFY20[[#This Row],[Scope 3 Emission factor]]</f>
        <v>11.85</v>
      </c>
      <c r="AH82" t="b">
        <f>GHGFY20[[#This Row],[Reporting Alias]]=GHGFY207[[#This Row],[Reporting Alias]]</f>
        <v>1</v>
      </c>
    </row>
    <row r="83" spans="1:34" ht="69">
      <c r="A83" t="s">
        <v>4194</v>
      </c>
      <c r="B83" t="s">
        <v>1296</v>
      </c>
      <c r="C83" t="s">
        <v>4409</v>
      </c>
      <c r="D83" t="s">
        <v>1190</v>
      </c>
      <c r="E83" t="s">
        <v>670</v>
      </c>
      <c r="F83">
        <v>1E-3</v>
      </c>
      <c r="G83" t="s">
        <v>4410</v>
      </c>
      <c r="J83">
        <v>51.53</v>
      </c>
      <c r="L83">
        <v>12.8</v>
      </c>
      <c r="M83" t="s">
        <v>4411</v>
      </c>
      <c r="N83" t="s">
        <v>4460</v>
      </c>
      <c r="P83" s="1"/>
      <c r="S83" s="64">
        <f t="shared" si="0"/>
        <v>51.53</v>
      </c>
      <c r="U83" s="5">
        <v>51.4</v>
      </c>
      <c r="V83" s="5">
        <v>0.1</v>
      </c>
      <c r="W83" s="5">
        <v>0.03</v>
      </c>
      <c r="X83" s="56" t="str">
        <f>GHGFY20[[#This Row],[Data Source (scope 1)]]</f>
        <v>NGER (Measurement) Determination 2008 2019versions pg 317 - Part 2 Fuel combustion - 17</v>
      </c>
      <c r="AB83" s="3">
        <f>(S83-GHGFY20[[#This Row],[Scope 1 Emission factor]])/GHGFY20[[#This Row],[Scope 1 Emission factor]]</f>
        <v>0</v>
      </c>
      <c r="AC83" s="3" t="e">
        <f>(T83-GHGFY20[[#This Row],[Scope 2 Emission factor]])/GHGFY20[[#This Row],[Scope 2 Emission factor]]</f>
        <v>#DIV/0!</v>
      </c>
      <c r="AD83" s="3">
        <f>(U83-GHGFY20[[#This Row],[Scope 3 Emission factor]])/GHGFY20[[#This Row],[Scope 3 Emission factor]]</f>
        <v>3.0156249999999996</v>
      </c>
      <c r="AH83" t="b">
        <f>GHGFY20[[#This Row],[Reporting Alias]]=GHGFY207[[#This Row],[Reporting Alias]]</f>
        <v>1</v>
      </c>
    </row>
    <row r="84" spans="1:34" ht="69">
      <c r="A84" t="s">
        <v>1026</v>
      </c>
      <c r="B84" t="s">
        <v>1296</v>
      </c>
      <c r="C84" t="s">
        <v>4409</v>
      </c>
      <c r="D84" t="s">
        <v>1192</v>
      </c>
      <c r="E84" t="s">
        <v>670</v>
      </c>
      <c r="F84">
        <v>1E-3</v>
      </c>
      <c r="G84" t="s">
        <v>4410</v>
      </c>
      <c r="J84">
        <v>51.53</v>
      </c>
      <c r="L84">
        <v>12.8</v>
      </c>
      <c r="M84" t="s">
        <v>4411</v>
      </c>
      <c r="N84" t="s">
        <v>4460</v>
      </c>
      <c r="P84" s="1"/>
      <c r="S84" s="64">
        <f t="shared" si="0"/>
        <v>51.53</v>
      </c>
      <c r="U84" s="5">
        <v>51.4</v>
      </c>
      <c r="V84" s="5">
        <v>0.1</v>
      </c>
      <c r="W84" s="5">
        <v>0.03</v>
      </c>
      <c r="X84" s="56" t="str">
        <f>GHGFY20[[#This Row],[Data Source (scope 1)]]</f>
        <v>NGER (Measurement) Determination 2008 2019versions pg 317 - Part 2 Fuel combustion - 17</v>
      </c>
      <c r="AB84" s="3">
        <f>(S84-GHGFY20[[#This Row],[Scope 1 Emission factor]])/GHGFY20[[#This Row],[Scope 1 Emission factor]]</f>
        <v>0</v>
      </c>
      <c r="AC84" s="3" t="e">
        <f>(T84-GHGFY20[[#This Row],[Scope 2 Emission factor]])/GHGFY20[[#This Row],[Scope 2 Emission factor]]</f>
        <v>#DIV/0!</v>
      </c>
      <c r="AD84" s="3">
        <f>(U84-GHGFY20[[#This Row],[Scope 3 Emission factor]])/GHGFY20[[#This Row],[Scope 3 Emission factor]]</f>
        <v>3.0156249999999996</v>
      </c>
      <c r="AH84" t="b">
        <f>GHGFY20[[#This Row],[Reporting Alias]]=GHGFY207[[#This Row],[Reporting Alias]]</f>
        <v>1</v>
      </c>
    </row>
    <row r="85" spans="1:34" ht="69">
      <c r="A85" t="s">
        <v>4195</v>
      </c>
      <c r="B85" t="s">
        <v>1296</v>
      </c>
      <c r="C85" t="s">
        <v>4409</v>
      </c>
      <c r="D85" t="s">
        <v>1210</v>
      </c>
      <c r="E85" t="s">
        <v>670</v>
      </c>
      <c r="F85">
        <v>1E-3</v>
      </c>
      <c r="G85" t="s">
        <v>4410</v>
      </c>
      <c r="J85">
        <v>51.53</v>
      </c>
      <c r="L85">
        <v>8.6999999999999993</v>
      </c>
      <c r="M85" t="s">
        <v>4411</v>
      </c>
      <c r="N85" t="s">
        <v>4460</v>
      </c>
      <c r="P85" s="1"/>
      <c r="S85" s="64">
        <f t="shared" si="0"/>
        <v>51.53</v>
      </c>
      <c r="U85" s="5">
        <v>51.4</v>
      </c>
      <c r="V85" s="5">
        <v>0.1</v>
      </c>
      <c r="W85" s="5">
        <v>0.03</v>
      </c>
      <c r="X85" s="56" t="str">
        <f>GHGFY20[[#This Row],[Data Source (scope 1)]]</f>
        <v>NGER (Measurement) Determination 2008 2019versions pg 317 - Part 2 Fuel combustion - 17</v>
      </c>
      <c r="AB85" s="3">
        <f>(S85-GHGFY20[[#This Row],[Scope 1 Emission factor]])/GHGFY20[[#This Row],[Scope 1 Emission factor]]</f>
        <v>0</v>
      </c>
      <c r="AC85" s="3" t="e">
        <f>(T85-GHGFY20[[#This Row],[Scope 2 Emission factor]])/GHGFY20[[#This Row],[Scope 2 Emission factor]]</f>
        <v>#DIV/0!</v>
      </c>
      <c r="AD85" s="3">
        <f>(U85-GHGFY20[[#This Row],[Scope 3 Emission factor]])/GHGFY20[[#This Row],[Scope 3 Emission factor]]</f>
        <v>4.9080459770114953</v>
      </c>
      <c r="AH85" t="b">
        <f>GHGFY20[[#This Row],[Reporting Alias]]=GHGFY207[[#This Row],[Reporting Alias]]</f>
        <v>1</v>
      </c>
    </row>
    <row r="86" spans="1:34" ht="69">
      <c r="A86" t="s">
        <v>1028</v>
      </c>
      <c r="B86" t="s">
        <v>1296</v>
      </c>
      <c r="C86" t="s">
        <v>4409</v>
      </c>
      <c r="D86" t="s">
        <v>1193</v>
      </c>
      <c r="E86" t="s">
        <v>670</v>
      </c>
      <c r="F86">
        <v>1E-3</v>
      </c>
      <c r="G86" t="s">
        <v>4410</v>
      </c>
      <c r="J86">
        <v>51.53</v>
      </c>
      <c r="L86">
        <v>10.4</v>
      </c>
      <c r="M86" t="s">
        <v>4411</v>
      </c>
      <c r="N86" t="s">
        <v>4460</v>
      </c>
      <c r="P86" s="1"/>
      <c r="S86" s="64">
        <f t="shared" si="0"/>
        <v>51.53</v>
      </c>
      <c r="U86" s="5">
        <v>51.4</v>
      </c>
      <c r="V86" s="5">
        <v>0.1</v>
      </c>
      <c r="W86" s="5">
        <v>0.03</v>
      </c>
      <c r="X86" s="56" t="str">
        <f>GHGFY20[[#This Row],[Data Source (scope 1)]]</f>
        <v>NGER (Measurement) Determination 2008 2019versions pg 317 - Part 2 Fuel combustion - 17</v>
      </c>
      <c r="AB86" s="3">
        <f>(S86-GHGFY20[[#This Row],[Scope 1 Emission factor]])/GHGFY20[[#This Row],[Scope 1 Emission factor]]</f>
        <v>0</v>
      </c>
      <c r="AC86" s="3" t="e">
        <f>(T86-GHGFY20[[#This Row],[Scope 2 Emission factor]])/GHGFY20[[#This Row],[Scope 2 Emission factor]]</f>
        <v>#DIV/0!</v>
      </c>
      <c r="AD86" s="3">
        <f>(U86-GHGFY20[[#This Row],[Scope 3 Emission factor]])/GHGFY20[[#This Row],[Scope 3 Emission factor]]</f>
        <v>3.9423076923076921</v>
      </c>
      <c r="AH86" t="b">
        <f>GHGFY20[[#This Row],[Reporting Alias]]=GHGFY207[[#This Row],[Reporting Alias]]</f>
        <v>1</v>
      </c>
    </row>
    <row r="87" spans="1:34" ht="69">
      <c r="A87" t="s">
        <v>4196</v>
      </c>
      <c r="B87" t="s">
        <v>1296</v>
      </c>
      <c r="C87" t="s">
        <v>4409</v>
      </c>
      <c r="D87" t="s">
        <v>1213</v>
      </c>
      <c r="E87" t="s">
        <v>670</v>
      </c>
      <c r="F87">
        <v>1E-3</v>
      </c>
      <c r="G87" t="s">
        <v>4410</v>
      </c>
      <c r="J87">
        <v>51.53</v>
      </c>
      <c r="L87">
        <v>0</v>
      </c>
      <c r="M87" t="s">
        <v>4411</v>
      </c>
      <c r="N87" t="s">
        <v>4460</v>
      </c>
      <c r="P87" s="1"/>
      <c r="S87" s="64">
        <f t="shared" si="0"/>
        <v>51.53</v>
      </c>
      <c r="U87" s="5">
        <v>51.4</v>
      </c>
      <c r="V87" s="5">
        <v>0.1</v>
      </c>
      <c r="W87" s="5">
        <v>0.03</v>
      </c>
      <c r="X87" s="56" t="str">
        <f>GHGFY20[[#This Row],[Data Source (scope 1)]]</f>
        <v>NGER (Measurement) Determination 2008 2019versions pg 317 - Part 2 Fuel combustion - 17</v>
      </c>
      <c r="AB87" s="3">
        <f>(S87-GHGFY20[[#This Row],[Scope 1 Emission factor]])/GHGFY20[[#This Row],[Scope 1 Emission factor]]</f>
        <v>0</v>
      </c>
      <c r="AC87" s="3" t="e">
        <f>(T87-GHGFY20[[#This Row],[Scope 2 Emission factor]])/GHGFY20[[#This Row],[Scope 2 Emission factor]]</f>
        <v>#DIV/0!</v>
      </c>
      <c r="AD87" s="3" t="e">
        <f>(U87-GHGFY20[[#This Row],[Scope 3 Emission factor]])/GHGFY20[[#This Row],[Scope 3 Emission factor]]</f>
        <v>#DIV/0!</v>
      </c>
      <c r="AH87" t="b">
        <f>GHGFY20[[#This Row],[Reporting Alias]]=GHGFY207[[#This Row],[Reporting Alias]]</f>
        <v>1</v>
      </c>
    </row>
    <row r="88" spans="1:34" ht="69">
      <c r="A88" t="s">
        <v>1030</v>
      </c>
      <c r="B88" t="s">
        <v>1296</v>
      </c>
      <c r="C88" t="s">
        <v>4409</v>
      </c>
      <c r="D88" t="s">
        <v>1189</v>
      </c>
      <c r="E88" t="s">
        <v>670</v>
      </c>
      <c r="F88">
        <v>1E-3</v>
      </c>
      <c r="G88" t="s">
        <v>4410</v>
      </c>
      <c r="J88">
        <v>51.53</v>
      </c>
      <c r="L88">
        <v>3.9</v>
      </c>
      <c r="M88" t="s">
        <v>4411</v>
      </c>
      <c r="N88" t="s">
        <v>4460</v>
      </c>
      <c r="P88" s="1"/>
      <c r="S88" s="64">
        <f t="shared" si="0"/>
        <v>51.53</v>
      </c>
      <c r="U88" s="5">
        <v>51.4</v>
      </c>
      <c r="V88" s="5">
        <v>0.1</v>
      </c>
      <c r="W88" s="5">
        <v>0.03</v>
      </c>
      <c r="X88" s="56" t="str">
        <f>GHGFY20[[#This Row],[Data Source (scope 1)]]</f>
        <v>NGER (Measurement) Determination 2008 2019versions pg 317 - Part 2 Fuel combustion - 17</v>
      </c>
      <c r="AB88" s="3">
        <f>(S88-GHGFY20[[#This Row],[Scope 1 Emission factor]])/GHGFY20[[#This Row],[Scope 1 Emission factor]]</f>
        <v>0</v>
      </c>
      <c r="AC88" s="3" t="e">
        <f>(T88-GHGFY20[[#This Row],[Scope 2 Emission factor]])/GHGFY20[[#This Row],[Scope 2 Emission factor]]</f>
        <v>#DIV/0!</v>
      </c>
      <c r="AD88" s="3">
        <f>(U88-GHGFY20[[#This Row],[Scope 3 Emission factor]])/GHGFY20[[#This Row],[Scope 3 Emission factor]]</f>
        <v>12.179487179487181</v>
      </c>
      <c r="AH88" t="b">
        <f>GHGFY20[[#This Row],[Reporting Alias]]=GHGFY207[[#This Row],[Reporting Alias]]</f>
        <v>1</v>
      </c>
    </row>
    <row r="89" spans="1:34" ht="69">
      <c r="A89" t="s">
        <v>4197</v>
      </c>
      <c r="B89" t="s">
        <v>1296</v>
      </c>
      <c r="C89" t="s">
        <v>4409</v>
      </c>
      <c r="D89" t="s">
        <v>1216</v>
      </c>
      <c r="E89" t="s">
        <v>670</v>
      </c>
      <c r="F89">
        <v>1E-3</v>
      </c>
      <c r="G89" t="s">
        <v>4410</v>
      </c>
      <c r="J89">
        <v>51.53</v>
      </c>
      <c r="L89">
        <v>4</v>
      </c>
      <c r="M89" t="s">
        <v>4411</v>
      </c>
      <c r="N89" t="s">
        <v>4460</v>
      </c>
      <c r="P89" s="1"/>
      <c r="S89" s="64">
        <f t="shared" si="0"/>
        <v>51.53</v>
      </c>
      <c r="U89" s="5">
        <v>51.4</v>
      </c>
      <c r="V89" s="5">
        <v>0.1</v>
      </c>
      <c r="W89" s="5">
        <v>0.03</v>
      </c>
      <c r="X89" s="56" t="str">
        <f>GHGFY20[[#This Row],[Data Source (scope 1)]]</f>
        <v>NGER (Measurement) Determination 2008 2019versions pg 317 - Part 2 Fuel combustion - 17</v>
      </c>
      <c r="AB89" s="3">
        <f>(S89-GHGFY20[[#This Row],[Scope 1 Emission factor]])/GHGFY20[[#This Row],[Scope 1 Emission factor]]</f>
        <v>0</v>
      </c>
      <c r="AC89" s="3" t="e">
        <f>(T89-GHGFY20[[#This Row],[Scope 2 Emission factor]])/GHGFY20[[#This Row],[Scope 2 Emission factor]]</f>
        <v>#DIV/0!</v>
      </c>
      <c r="AD89" s="3">
        <f>(U89-GHGFY20[[#This Row],[Scope 3 Emission factor]])/GHGFY20[[#This Row],[Scope 3 Emission factor]]</f>
        <v>11.85</v>
      </c>
      <c r="AH89" t="b">
        <f>GHGFY20[[#This Row],[Reporting Alias]]=GHGFY207[[#This Row],[Reporting Alias]]</f>
        <v>1</v>
      </c>
    </row>
    <row r="90" spans="1:34" ht="69">
      <c r="A90" t="s">
        <v>1057</v>
      </c>
      <c r="B90" t="s">
        <v>1296</v>
      </c>
      <c r="C90" t="s">
        <v>4409</v>
      </c>
      <c r="D90" t="s">
        <v>1189</v>
      </c>
      <c r="E90" t="s">
        <v>670</v>
      </c>
      <c r="F90">
        <v>1E-3</v>
      </c>
      <c r="G90" t="s">
        <v>4410</v>
      </c>
      <c r="J90">
        <v>51.53</v>
      </c>
      <c r="L90">
        <v>3.9</v>
      </c>
      <c r="M90" t="s">
        <v>4411</v>
      </c>
      <c r="N90" t="s">
        <v>4460</v>
      </c>
      <c r="P90" s="1"/>
      <c r="S90" s="64">
        <f t="shared" si="0"/>
        <v>51.53</v>
      </c>
      <c r="U90" s="5">
        <v>51.4</v>
      </c>
      <c r="V90" s="5">
        <v>0.1</v>
      </c>
      <c r="W90" s="5">
        <v>0.03</v>
      </c>
      <c r="X90" s="56" t="str">
        <f>GHGFY20[[#This Row],[Data Source (scope 1)]]</f>
        <v>NGER (Measurement) Determination 2008 2019versions pg 317 - Part 2 Fuel combustion - 17</v>
      </c>
      <c r="AB90" s="3">
        <f>(S90-GHGFY20[[#This Row],[Scope 1 Emission factor]])/GHGFY20[[#This Row],[Scope 1 Emission factor]]</f>
        <v>0</v>
      </c>
      <c r="AC90" s="3" t="e">
        <f>(T90-GHGFY20[[#This Row],[Scope 2 Emission factor]])/GHGFY20[[#This Row],[Scope 2 Emission factor]]</f>
        <v>#DIV/0!</v>
      </c>
      <c r="AD90" s="3">
        <f>(U90-GHGFY20[[#This Row],[Scope 3 Emission factor]])/GHGFY20[[#This Row],[Scope 3 Emission factor]]</f>
        <v>12.179487179487181</v>
      </c>
      <c r="AH90" t="b">
        <f>GHGFY20[[#This Row],[Reporting Alias]]=GHGFY207[[#This Row],[Reporting Alias]]</f>
        <v>1</v>
      </c>
    </row>
    <row r="91" spans="1:34" ht="69">
      <c r="A91" t="s">
        <v>1060</v>
      </c>
      <c r="B91" t="s">
        <v>1296</v>
      </c>
      <c r="C91" t="s">
        <v>4409</v>
      </c>
      <c r="D91" t="s">
        <v>1189</v>
      </c>
      <c r="E91" t="s">
        <v>670</v>
      </c>
      <c r="F91">
        <v>1E-3</v>
      </c>
      <c r="G91" t="s">
        <v>4410</v>
      </c>
      <c r="J91">
        <v>51.53</v>
      </c>
      <c r="L91">
        <v>3.9</v>
      </c>
      <c r="M91" t="s">
        <v>4411</v>
      </c>
      <c r="N91" t="s">
        <v>4460</v>
      </c>
      <c r="P91" s="1"/>
      <c r="S91" s="64">
        <f t="shared" si="0"/>
        <v>51.53</v>
      </c>
      <c r="U91" s="5">
        <v>51.4</v>
      </c>
      <c r="V91" s="5">
        <v>0.1</v>
      </c>
      <c r="W91" s="5">
        <v>0.03</v>
      </c>
      <c r="X91" s="56" t="str">
        <f>GHGFY20[[#This Row],[Data Source (scope 1)]]</f>
        <v>NGER (Measurement) Determination 2008 2019versions pg 317 - Part 2 Fuel combustion - 17</v>
      </c>
      <c r="AB91" s="3">
        <f>(S91-GHGFY20[[#This Row],[Scope 1 Emission factor]])/GHGFY20[[#This Row],[Scope 1 Emission factor]]</f>
        <v>0</v>
      </c>
      <c r="AC91" s="3" t="e">
        <f>(T91-GHGFY20[[#This Row],[Scope 2 Emission factor]])/GHGFY20[[#This Row],[Scope 2 Emission factor]]</f>
        <v>#DIV/0!</v>
      </c>
      <c r="AD91" s="3">
        <f>(U91-GHGFY20[[#This Row],[Scope 3 Emission factor]])/GHGFY20[[#This Row],[Scope 3 Emission factor]]</f>
        <v>12.179487179487181</v>
      </c>
      <c r="AH91" t="b">
        <f>GHGFY20[[#This Row],[Reporting Alias]]=GHGFY207[[#This Row],[Reporting Alias]]</f>
        <v>1</v>
      </c>
    </row>
    <row r="92" spans="1:34" ht="69">
      <c r="A92" t="s">
        <v>4198</v>
      </c>
      <c r="B92" t="s">
        <v>1296</v>
      </c>
      <c r="C92" t="s">
        <v>4409</v>
      </c>
      <c r="D92" t="s">
        <v>1190</v>
      </c>
      <c r="E92" t="s">
        <v>670</v>
      </c>
      <c r="F92">
        <v>1E-3</v>
      </c>
      <c r="G92" t="s">
        <v>4410</v>
      </c>
      <c r="J92">
        <v>51.53</v>
      </c>
      <c r="L92">
        <v>12.8</v>
      </c>
      <c r="M92" t="s">
        <v>4411</v>
      </c>
      <c r="N92" t="s">
        <v>4460</v>
      </c>
      <c r="P92" s="1"/>
      <c r="S92" s="64">
        <f t="shared" si="0"/>
        <v>51.53</v>
      </c>
      <c r="U92" s="5">
        <v>51.4</v>
      </c>
      <c r="V92" s="5">
        <v>0.1</v>
      </c>
      <c r="W92" s="5">
        <v>0.03</v>
      </c>
      <c r="X92" s="56" t="str">
        <f>GHGFY20[[#This Row],[Data Source (scope 1)]]</f>
        <v>NGER (Measurement) Determination 2008 2019versions pg 317 - Part 2 Fuel combustion - 17</v>
      </c>
      <c r="AB92" s="3">
        <f>(S92-GHGFY20[[#This Row],[Scope 1 Emission factor]])/GHGFY20[[#This Row],[Scope 1 Emission factor]]</f>
        <v>0</v>
      </c>
      <c r="AC92" s="3" t="e">
        <f>(T92-GHGFY20[[#This Row],[Scope 2 Emission factor]])/GHGFY20[[#This Row],[Scope 2 Emission factor]]</f>
        <v>#DIV/0!</v>
      </c>
      <c r="AD92" s="3">
        <f>(U92-GHGFY20[[#This Row],[Scope 3 Emission factor]])/GHGFY20[[#This Row],[Scope 3 Emission factor]]</f>
        <v>3.0156249999999996</v>
      </c>
      <c r="AH92" t="b">
        <f>GHGFY20[[#This Row],[Reporting Alias]]=GHGFY207[[#This Row],[Reporting Alias]]</f>
        <v>1</v>
      </c>
    </row>
    <row r="93" spans="1:34" ht="69">
      <c r="A93" t="s">
        <v>1191</v>
      </c>
      <c r="B93" t="s">
        <v>1296</v>
      </c>
      <c r="C93" t="s">
        <v>4409</v>
      </c>
      <c r="D93" t="s">
        <v>1192</v>
      </c>
      <c r="E93" t="s">
        <v>670</v>
      </c>
      <c r="F93">
        <v>1E-3</v>
      </c>
      <c r="G93" t="s">
        <v>4410</v>
      </c>
      <c r="J93">
        <v>51.53</v>
      </c>
      <c r="L93">
        <v>12.8</v>
      </c>
      <c r="M93" t="s">
        <v>4411</v>
      </c>
      <c r="N93" t="s">
        <v>4460</v>
      </c>
      <c r="P93" s="1"/>
      <c r="S93" s="64">
        <f t="shared" si="0"/>
        <v>51.53</v>
      </c>
      <c r="U93" s="5">
        <v>51.4</v>
      </c>
      <c r="V93" s="5">
        <v>0.1</v>
      </c>
      <c r="W93" s="5">
        <v>0.03</v>
      </c>
      <c r="X93" s="56" t="str">
        <f>GHGFY20[[#This Row],[Data Source (scope 1)]]</f>
        <v>NGER (Measurement) Determination 2008 2019versions pg 317 - Part 2 Fuel combustion - 17</v>
      </c>
      <c r="AB93" s="3">
        <f>(S93-GHGFY20[[#This Row],[Scope 1 Emission factor]])/GHGFY20[[#This Row],[Scope 1 Emission factor]]</f>
        <v>0</v>
      </c>
      <c r="AC93" s="3" t="e">
        <f>(T93-GHGFY20[[#This Row],[Scope 2 Emission factor]])/GHGFY20[[#This Row],[Scope 2 Emission factor]]</f>
        <v>#DIV/0!</v>
      </c>
      <c r="AD93" s="3">
        <f>(U93-GHGFY20[[#This Row],[Scope 3 Emission factor]])/GHGFY20[[#This Row],[Scope 3 Emission factor]]</f>
        <v>3.0156249999999996</v>
      </c>
      <c r="AH93" t="b">
        <f>GHGFY20[[#This Row],[Reporting Alias]]=GHGFY207[[#This Row],[Reporting Alias]]</f>
        <v>1</v>
      </c>
    </row>
    <row r="94" spans="1:34" ht="69">
      <c r="A94" t="s">
        <v>4199</v>
      </c>
      <c r="B94" t="s">
        <v>1296</v>
      </c>
      <c r="C94" t="s">
        <v>4409</v>
      </c>
      <c r="D94" t="s">
        <v>1210</v>
      </c>
      <c r="E94" t="s">
        <v>670</v>
      </c>
      <c r="F94">
        <v>1E-3</v>
      </c>
      <c r="G94" t="s">
        <v>4410</v>
      </c>
      <c r="J94">
        <v>51.53</v>
      </c>
      <c r="L94">
        <v>8.6999999999999993</v>
      </c>
      <c r="M94" t="s">
        <v>4411</v>
      </c>
      <c r="N94" t="s">
        <v>4460</v>
      </c>
      <c r="P94" s="1"/>
      <c r="S94" s="64">
        <f t="shared" si="0"/>
        <v>51.53</v>
      </c>
      <c r="U94" s="5">
        <v>51.4</v>
      </c>
      <c r="V94" s="5">
        <v>0.1</v>
      </c>
      <c r="W94" s="5">
        <v>0.03</v>
      </c>
      <c r="X94" s="56" t="str">
        <f>GHGFY20[[#This Row],[Data Source (scope 1)]]</f>
        <v>NGER (Measurement) Determination 2008 2019versions pg 317 - Part 2 Fuel combustion - 17</v>
      </c>
      <c r="AB94" s="3">
        <f>(S94-GHGFY20[[#This Row],[Scope 1 Emission factor]])/GHGFY20[[#This Row],[Scope 1 Emission factor]]</f>
        <v>0</v>
      </c>
      <c r="AC94" s="3" t="e">
        <f>(T94-GHGFY20[[#This Row],[Scope 2 Emission factor]])/GHGFY20[[#This Row],[Scope 2 Emission factor]]</f>
        <v>#DIV/0!</v>
      </c>
      <c r="AD94" s="3">
        <f>(U94-GHGFY20[[#This Row],[Scope 3 Emission factor]])/GHGFY20[[#This Row],[Scope 3 Emission factor]]</f>
        <v>4.9080459770114953</v>
      </c>
      <c r="AH94" t="b">
        <f>GHGFY20[[#This Row],[Reporting Alias]]=GHGFY207[[#This Row],[Reporting Alias]]</f>
        <v>1</v>
      </c>
    </row>
    <row r="95" spans="1:34" ht="69">
      <c r="A95" t="s">
        <v>4200</v>
      </c>
      <c r="B95" t="s">
        <v>1296</v>
      </c>
      <c r="C95" t="s">
        <v>4409</v>
      </c>
      <c r="D95" t="s">
        <v>1193</v>
      </c>
      <c r="E95" t="s">
        <v>670</v>
      </c>
      <c r="F95">
        <v>1E-3</v>
      </c>
      <c r="G95" t="s">
        <v>4410</v>
      </c>
      <c r="J95">
        <v>51.53</v>
      </c>
      <c r="L95">
        <v>10.4</v>
      </c>
      <c r="M95" t="s">
        <v>4411</v>
      </c>
      <c r="N95" t="s">
        <v>4460</v>
      </c>
      <c r="P95" s="1"/>
      <c r="S95" s="64">
        <f t="shared" si="0"/>
        <v>51.53</v>
      </c>
      <c r="U95" s="5">
        <v>51.4</v>
      </c>
      <c r="V95" s="5">
        <v>0.1</v>
      </c>
      <c r="W95" s="5">
        <v>0.03</v>
      </c>
      <c r="X95" s="56" t="str">
        <f>GHGFY20[[#This Row],[Data Source (scope 1)]]</f>
        <v>NGER (Measurement) Determination 2008 2019versions pg 317 - Part 2 Fuel combustion - 17</v>
      </c>
      <c r="AB95" s="3">
        <f>(S95-GHGFY20[[#This Row],[Scope 1 Emission factor]])/GHGFY20[[#This Row],[Scope 1 Emission factor]]</f>
        <v>0</v>
      </c>
      <c r="AC95" s="3" t="e">
        <f>(T95-GHGFY20[[#This Row],[Scope 2 Emission factor]])/GHGFY20[[#This Row],[Scope 2 Emission factor]]</f>
        <v>#DIV/0!</v>
      </c>
      <c r="AD95" s="3">
        <f>(U95-GHGFY20[[#This Row],[Scope 3 Emission factor]])/GHGFY20[[#This Row],[Scope 3 Emission factor]]</f>
        <v>3.9423076923076921</v>
      </c>
      <c r="AH95" t="b">
        <f>GHGFY20[[#This Row],[Reporting Alias]]=GHGFY207[[#This Row],[Reporting Alias]]</f>
        <v>1</v>
      </c>
    </row>
    <row r="96" spans="1:34" ht="69">
      <c r="A96" t="s">
        <v>4201</v>
      </c>
      <c r="B96" t="s">
        <v>1296</v>
      </c>
      <c r="C96" t="s">
        <v>4409</v>
      </c>
      <c r="D96" t="s">
        <v>1213</v>
      </c>
      <c r="E96" t="s">
        <v>670</v>
      </c>
      <c r="F96">
        <v>1E-3</v>
      </c>
      <c r="G96" t="s">
        <v>4410</v>
      </c>
      <c r="J96">
        <v>51.53</v>
      </c>
      <c r="L96">
        <v>0</v>
      </c>
      <c r="M96" t="s">
        <v>4411</v>
      </c>
      <c r="N96" t="s">
        <v>4460</v>
      </c>
      <c r="P96" s="1"/>
      <c r="S96" s="64">
        <f t="shared" si="0"/>
        <v>51.53</v>
      </c>
      <c r="U96" s="5">
        <v>51.4</v>
      </c>
      <c r="V96" s="5">
        <v>0.1</v>
      </c>
      <c r="W96" s="5">
        <v>0.03</v>
      </c>
      <c r="X96" s="56" t="str">
        <f>GHGFY20[[#This Row],[Data Source (scope 1)]]</f>
        <v>NGER (Measurement) Determination 2008 2019versions pg 317 - Part 2 Fuel combustion - 17</v>
      </c>
      <c r="AB96" s="3">
        <f>(S96-GHGFY20[[#This Row],[Scope 1 Emission factor]])/GHGFY20[[#This Row],[Scope 1 Emission factor]]</f>
        <v>0</v>
      </c>
      <c r="AC96" s="3" t="e">
        <f>(T96-GHGFY20[[#This Row],[Scope 2 Emission factor]])/GHGFY20[[#This Row],[Scope 2 Emission factor]]</f>
        <v>#DIV/0!</v>
      </c>
      <c r="AD96" s="3" t="e">
        <f>(U96-GHGFY20[[#This Row],[Scope 3 Emission factor]])/GHGFY20[[#This Row],[Scope 3 Emission factor]]</f>
        <v>#DIV/0!</v>
      </c>
      <c r="AH96" t="b">
        <f>GHGFY20[[#This Row],[Reporting Alias]]=GHGFY207[[#This Row],[Reporting Alias]]</f>
        <v>1</v>
      </c>
    </row>
    <row r="97" spans="1:34" ht="69">
      <c r="A97" t="s">
        <v>1059</v>
      </c>
      <c r="B97" t="s">
        <v>1296</v>
      </c>
      <c r="C97" t="s">
        <v>4409</v>
      </c>
      <c r="D97" t="s">
        <v>1189</v>
      </c>
      <c r="E97" t="s">
        <v>670</v>
      </c>
      <c r="F97">
        <v>1E-3</v>
      </c>
      <c r="G97" t="s">
        <v>4410</v>
      </c>
      <c r="J97">
        <v>51.53</v>
      </c>
      <c r="L97">
        <v>3.9</v>
      </c>
      <c r="M97" t="s">
        <v>4411</v>
      </c>
      <c r="N97" t="s">
        <v>4460</v>
      </c>
      <c r="P97" s="1"/>
      <c r="S97" s="64">
        <f t="shared" si="0"/>
        <v>51.53</v>
      </c>
      <c r="U97" s="5">
        <v>51.4</v>
      </c>
      <c r="V97" s="5">
        <v>0.1</v>
      </c>
      <c r="W97" s="5">
        <v>0.03</v>
      </c>
      <c r="X97" s="56" t="str">
        <f>GHGFY20[[#This Row],[Data Source (scope 1)]]</f>
        <v>NGER (Measurement) Determination 2008 2019versions pg 317 - Part 2 Fuel combustion - 17</v>
      </c>
      <c r="AB97" s="3">
        <f>(S97-GHGFY20[[#This Row],[Scope 1 Emission factor]])/GHGFY20[[#This Row],[Scope 1 Emission factor]]</f>
        <v>0</v>
      </c>
      <c r="AC97" s="3" t="e">
        <f>(T97-GHGFY20[[#This Row],[Scope 2 Emission factor]])/GHGFY20[[#This Row],[Scope 2 Emission factor]]</f>
        <v>#DIV/0!</v>
      </c>
      <c r="AD97" s="3">
        <f>(U97-GHGFY20[[#This Row],[Scope 3 Emission factor]])/GHGFY20[[#This Row],[Scope 3 Emission factor]]</f>
        <v>12.179487179487181</v>
      </c>
      <c r="AH97" t="b">
        <f>GHGFY20[[#This Row],[Reporting Alias]]=GHGFY207[[#This Row],[Reporting Alias]]</f>
        <v>1</v>
      </c>
    </row>
    <row r="98" spans="1:34" ht="69">
      <c r="A98" t="s">
        <v>4202</v>
      </c>
      <c r="B98" t="s">
        <v>1296</v>
      </c>
      <c r="C98" t="s">
        <v>4409</v>
      </c>
      <c r="D98" t="s">
        <v>1216</v>
      </c>
      <c r="E98" t="s">
        <v>670</v>
      </c>
      <c r="F98">
        <v>1E-3</v>
      </c>
      <c r="G98" t="s">
        <v>4410</v>
      </c>
      <c r="J98">
        <v>51.53</v>
      </c>
      <c r="L98">
        <v>4</v>
      </c>
      <c r="M98" t="s">
        <v>4411</v>
      </c>
      <c r="N98" t="s">
        <v>4460</v>
      </c>
      <c r="P98" s="1"/>
      <c r="S98" s="64">
        <f t="shared" si="0"/>
        <v>51.53</v>
      </c>
      <c r="U98" s="5">
        <v>51.4</v>
      </c>
      <c r="V98" s="5">
        <v>0.1</v>
      </c>
      <c r="W98" s="5">
        <v>0.03</v>
      </c>
      <c r="X98" s="56" t="str">
        <f>GHGFY20[[#This Row],[Data Source (scope 1)]]</f>
        <v>NGER (Measurement) Determination 2008 2019versions pg 317 - Part 2 Fuel combustion - 17</v>
      </c>
      <c r="AB98" s="3">
        <f>(S98-GHGFY20[[#This Row],[Scope 1 Emission factor]])/GHGFY20[[#This Row],[Scope 1 Emission factor]]</f>
        <v>0</v>
      </c>
      <c r="AC98" s="3" t="e">
        <f>(T98-GHGFY20[[#This Row],[Scope 2 Emission factor]])/GHGFY20[[#This Row],[Scope 2 Emission factor]]</f>
        <v>#DIV/0!</v>
      </c>
      <c r="AD98" s="3">
        <f>(U98-GHGFY20[[#This Row],[Scope 3 Emission factor]])/GHGFY20[[#This Row],[Scope 3 Emission factor]]</f>
        <v>11.85</v>
      </c>
      <c r="AH98" t="b">
        <f>GHGFY20[[#This Row],[Reporting Alias]]=GHGFY207[[#This Row],[Reporting Alias]]</f>
        <v>1</v>
      </c>
    </row>
    <row r="99" spans="1:34" ht="69">
      <c r="A99" t="s">
        <v>4203</v>
      </c>
      <c r="B99" t="s">
        <v>1296</v>
      </c>
      <c r="C99" t="s">
        <v>4409</v>
      </c>
      <c r="D99" t="s">
        <v>1190</v>
      </c>
      <c r="E99" t="s">
        <v>670</v>
      </c>
      <c r="F99">
        <v>1E-3</v>
      </c>
      <c r="G99" t="s">
        <v>4410</v>
      </c>
      <c r="J99">
        <v>51.53</v>
      </c>
      <c r="L99">
        <v>12.8</v>
      </c>
      <c r="M99" t="s">
        <v>4411</v>
      </c>
      <c r="N99" t="s">
        <v>4460</v>
      </c>
      <c r="P99" s="1"/>
      <c r="S99" s="64">
        <f t="shared" si="0"/>
        <v>51.53</v>
      </c>
      <c r="U99" s="5">
        <v>51.4</v>
      </c>
      <c r="V99" s="5">
        <v>0.1</v>
      </c>
      <c r="W99" s="5">
        <v>0.03</v>
      </c>
      <c r="X99" s="56" t="str">
        <f>GHGFY20[[#This Row],[Data Source (scope 1)]]</f>
        <v>NGER (Measurement) Determination 2008 2019versions pg 317 - Part 2 Fuel combustion - 17</v>
      </c>
      <c r="AB99" s="3">
        <f>(S99-GHGFY20[[#This Row],[Scope 1 Emission factor]])/GHGFY20[[#This Row],[Scope 1 Emission factor]]</f>
        <v>0</v>
      </c>
      <c r="AC99" s="3" t="e">
        <f>(T99-GHGFY20[[#This Row],[Scope 2 Emission factor]])/GHGFY20[[#This Row],[Scope 2 Emission factor]]</f>
        <v>#DIV/0!</v>
      </c>
      <c r="AD99" s="3">
        <f>(U99-GHGFY20[[#This Row],[Scope 3 Emission factor]])/GHGFY20[[#This Row],[Scope 3 Emission factor]]</f>
        <v>3.0156249999999996</v>
      </c>
      <c r="AH99" t="b">
        <f>GHGFY20[[#This Row],[Reporting Alias]]=GHGFY207[[#This Row],[Reporting Alias]]</f>
        <v>1</v>
      </c>
    </row>
    <row r="100" spans="1:34" ht="69">
      <c r="A100" t="s">
        <v>1194</v>
      </c>
      <c r="B100" t="s">
        <v>1296</v>
      </c>
      <c r="C100" t="s">
        <v>4409</v>
      </c>
      <c r="D100" t="s">
        <v>1192</v>
      </c>
      <c r="E100" t="s">
        <v>670</v>
      </c>
      <c r="F100">
        <v>1E-3</v>
      </c>
      <c r="G100" t="s">
        <v>4410</v>
      </c>
      <c r="J100">
        <v>51.53</v>
      </c>
      <c r="L100">
        <v>12.8</v>
      </c>
      <c r="M100" t="s">
        <v>4411</v>
      </c>
      <c r="N100" t="s">
        <v>4460</v>
      </c>
      <c r="P100" s="1"/>
      <c r="S100" s="64">
        <f t="shared" si="0"/>
        <v>51.53</v>
      </c>
      <c r="U100" s="5">
        <v>51.4</v>
      </c>
      <c r="V100" s="5">
        <v>0.1</v>
      </c>
      <c r="W100" s="5">
        <v>0.03</v>
      </c>
      <c r="X100" s="56" t="str">
        <f>GHGFY20[[#This Row],[Data Source (scope 1)]]</f>
        <v>NGER (Measurement) Determination 2008 2019versions pg 317 - Part 2 Fuel combustion - 17</v>
      </c>
      <c r="AB100" s="3">
        <f>(S100-GHGFY20[[#This Row],[Scope 1 Emission factor]])/GHGFY20[[#This Row],[Scope 1 Emission factor]]</f>
        <v>0</v>
      </c>
      <c r="AC100" s="3" t="e">
        <f>(T100-GHGFY20[[#This Row],[Scope 2 Emission factor]])/GHGFY20[[#This Row],[Scope 2 Emission factor]]</f>
        <v>#DIV/0!</v>
      </c>
      <c r="AD100" s="3">
        <f>(U100-GHGFY20[[#This Row],[Scope 3 Emission factor]])/GHGFY20[[#This Row],[Scope 3 Emission factor]]</f>
        <v>3.0156249999999996</v>
      </c>
      <c r="AH100" t="b">
        <f>GHGFY20[[#This Row],[Reporting Alias]]=GHGFY207[[#This Row],[Reporting Alias]]</f>
        <v>1</v>
      </c>
    </row>
    <row r="101" spans="1:34" ht="69">
      <c r="A101" t="s">
        <v>4204</v>
      </c>
      <c r="B101" t="s">
        <v>1296</v>
      </c>
      <c r="C101" t="s">
        <v>4409</v>
      </c>
      <c r="D101" t="s">
        <v>1210</v>
      </c>
      <c r="E101" t="s">
        <v>670</v>
      </c>
      <c r="F101">
        <v>1E-3</v>
      </c>
      <c r="G101" t="s">
        <v>4410</v>
      </c>
      <c r="J101">
        <v>51.53</v>
      </c>
      <c r="L101">
        <v>8.6999999999999993</v>
      </c>
      <c r="M101" t="s">
        <v>4411</v>
      </c>
      <c r="N101" t="s">
        <v>4460</v>
      </c>
      <c r="P101" s="1"/>
      <c r="S101" s="64">
        <f t="shared" si="0"/>
        <v>51.53</v>
      </c>
      <c r="U101" s="5">
        <v>51.4</v>
      </c>
      <c r="V101" s="5">
        <v>0.1</v>
      </c>
      <c r="W101" s="5">
        <v>0.03</v>
      </c>
      <c r="X101" s="56" t="str">
        <f>GHGFY20[[#This Row],[Data Source (scope 1)]]</f>
        <v>NGER (Measurement) Determination 2008 2019versions pg 317 - Part 2 Fuel combustion - 17</v>
      </c>
      <c r="AB101" s="3">
        <f>(S101-GHGFY20[[#This Row],[Scope 1 Emission factor]])/GHGFY20[[#This Row],[Scope 1 Emission factor]]</f>
        <v>0</v>
      </c>
      <c r="AC101" s="3" t="e">
        <f>(T101-GHGFY20[[#This Row],[Scope 2 Emission factor]])/GHGFY20[[#This Row],[Scope 2 Emission factor]]</f>
        <v>#DIV/0!</v>
      </c>
      <c r="AD101" s="3">
        <f>(U101-GHGFY20[[#This Row],[Scope 3 Emission factor]])/GHGFY20[[#This Row],[Scope 3 Emission factor]]</f>
        <v>4.9080459770114953</v>
      </c>
      <c r="AH101" t="b">
        <f>GHGFY20[[#This Row],[Reporting Alias]]=GHGFY207[[#This Row],[Reporting Alias]]</f>
        <v>1</v>
      </c>
    </row>
    <row r="102" spans="1:34" ht="69">
      <c r="A102" t="s">
        <v>4205</v>
      </c>
      <c r="B102" t="s">
        <v>1296</v>
      </c>
      <c r="C102" t="s">
        <v>4409</v>
      </c>
      <c r="D102" t="s">
        <v>1193</v>
      </c>
      <c r="E102" t="s">
        <v>670</v>
      </c>
      <c r="F102">
        <v>1E-3</v>
      </c>
      <c r="G102" t="s">
        <v>4410</v>
      </c>
      <c r="J102">
        <v>51.53</v>
      </c>
      <c r="L102">
        <v>10.4</v>
      </c>
      <c r="M102" t="s">
        <v>4411</v>
      </c>
      <c r="N102" t="s">
        <v>4460</v>
      </c>
      <c r="P102" s="1"/>
      <c r="S102" s="64">
        <f t="shared" si="0"/>
        <v>51.53</v>
      </c>
      <c r="U102" s="5">
        <v>51.4</v>
      </c>
      <c r="V102" s="5">
        <v>0.1</v>
      </c>
      <c r="W102" s="5">
        <v>0.03</v>
      </c>
      <c r="X102" s="56" t="str">
        <f>GHGFY20[[#This Row],[Data Source (scope 1)]]</f>
        <v>NGER (Measurement) Determination 2008 2019versions pg 317 - Part 2 Fuel combustion - 17</v>
      </c>
      <c r="AB102" s="3">
        <f>(S102-GHGFY20[[#This Row],[Scope 1 Emission factor]])/GHGFY20[[#This Row],[Scope 1 Emission factor]]</f>
        <v>0</v>
      </c>
      <c r="AC102" s="3" t="e">
        <f>(T102-GHGFY20[[#This Row],[Scope 2 Emission factor]])/GHGFY20[[#This Row],[Scope 2 Emission factor]]</f>
        <v>#DIV/0!</v>
      </c>
      <c r="AD102" s="3">
        <f>(U102-GHGFY20[[#This Row],[Scope 3 Emission factor]])/GHGFY20[[#This Row],[Scope 3 Emission factor]]</f>
        <v>3.9423076923076921</v>
      </c>
      <c r="AH102" t="b">
        <f>GHGFY20[[#This Row],[Reporting Alias]]=GHGFY207[[#This Row],[Reporting Alias]]</f>
        <v>1</v>
      </c>
    </row>
    <row r="103" spans="1:34" ht="69">
      <c r="A103" t="s">
        <v>4206</v>
      </c>
      <c r="B103" t="s">
        <v>1296</v>
      </c>
      <c r="C103" t="s">
        <v>4409</v>
      </c>
      <c r="D103" t="s">
        <v>1213</v>
      </c>
      <c r="E103" t="s">
        <v>670</v>
      </c>
      <c r="F103">
        <v>1E-3</v>
      </c>
      <c r="G103" t="s">
        <v>4410</v>
      </c>
      <c r="J103">
        <v>51.53</v>
      </c>
      <c r="L103">
        <v>0</v>
      </c>
      <c r="M103" t="s">
        <v>4411</v>
      </c>
      <c r="N103" t="s">
        <v>4460</v>
      </c>
      <c r="P103" s="1"/>
      <c r="S103" s="64">
        <f t="shared" si="0"/>
        <v>51.53</v>
      </c>
      <c r="U103" s="5">
        <v>51.4</v>
      </c>
      <c r="V103" s="5">
        <v>0.1</v>
      </c>
      <c r="W103" s="5">
        <v>0.03</v>
      </c>
      <c r="X103" s="56" t="str">
        <f>GHGFY20[[#This Row],[Data Source (scope 1)]]</f>
        <v>NGER (Measurement) Determination 2008 2019versions pg 317 - Part 2 Fuel combustion - 17</v>
      </c>
      <c r="AB103" s="3">
        <f>(S103-GHGFY20[[#This Row],[Scope 1 Emission factor]])/GHGFY20[[#This Row],[Scope 1 Emission factor]]</f>
        <v>0</v>
      </c>
      <c r="AC103" s="3" t="e">
        <f>(T103-GHGFY20[[#This Row],[Scope 2 Emission factor]])/GHGFY20[[#This Row],[Scope 2 Emission factor]]</f>
        <v>#DIV/0!</v>
      </c>
      <c r="AD103" s="3" t="e">
        <f>(U103-GHGFY20[[#This Row],[Scope 3 Emission factor]])/GHGFY20[[#This Row],[Scope 3 Emission factor]]</f>
        <v>#DIV/0!</v>
      </c>
      <c r="AH103" t="b">
        <f>GHGFY20[[#This Row],[Reporting Alias]]=GHGFY207[[#This Row],[Reporting Alias]]</f>
        <v>1</v>
      </c>
    </row>
    <row r="104" spans="1:34" ht="69">
      <c r="A104" t="s">
        <v>1062</v>
      </c>
      <c r="B104" t="s">
        <v>1296</v>
      </c>
      <c r="C104" t="s">
        <v>4409</v>
      </c>
      <c r="D104" t="s">
        <v>1189</v>
      </c>
      <c r="E104" t="s">
        <v>670</v>
      </c>
      <c r="F104">
        <v>1E-3</v>
      </c>
      <c r="G104" t="s">
        <v>4410</v>
      </c>
      <c r="J104">
        <v>51.53</v>
      </c>
      <c r="L104">
        <v>3.9</v>
      </c>
      <c r="M104" t="s">
        <v>4411</v>
      </c>
      <c r="N104" t="s">
        <v>4460</v>
      </c>
      <c r="S104" s="64">
        <f t="shared" si="0"/>
        <v>51.53</v>
      </c>
      <c r="U104" s="5">
        <v>51.4</v>
      </c>
      <c r="V104" s="5">
        <v>0.1</v>
      </c>
      <c r="W104" s="5">
        <v>0.03</v>
      </c>
      <c r="X104" s="56" t="str">
        <f>GHGFY20[[#This Row],[Data Source (scope 1)]]</f>
        <v>NGER (Measurement) Determination 2008 2019versions pg 317 - Part 2 Fuel combustion - 17</v>
      </c>
      <c r="AB104" s="3">
        <f>(S104-GHGFY20[[#This Row],[Scope 1 Emission factor]])/GHGFY20[[#This Row],[Scope 1 Emission factor]]</f>
        <v>0</v>
      </c>
      <c r="AC104" s="3" t="e">
        <f>(T104-GHGFY20[[#This Row],[Scope 2 Emission factor]])/GHGFY20[[#This Row],[Scope 2 Emission factor]]</f>
        <v>#DIV/0!</v>
      </c>
      <c r="AD104" s="3">
        <f>(U104-GHGFY20[[#This Row],[Scope 3 Emission factor]])/GHGFY20[[#This Row],[Scope 3 Emission factor]]</f>
        <v>12.179487179487181</v>
      </c>
      <c r="AH104" t="b">
        <f>GHGFY20[[#This Row],[Reporting Alias]]=GHGFY207[[#This Row],[Reporting Alias]]</f>
        <v>1</v>
      </c>
    </row>
    <row r="105" spans="1:34" ht="69">
      <c r="A105" t="s">
        <v>4207</v>
      </c>
      <c r="B105" t="s">
        <v>1296</v>
      </c>
      <c r="C105" t="s">
        <v>4409</v>
      </c>
      <c r="D105" t="s">
        <v>1216</v>
      </c>
      <c r="E105" t="s">
        <v>670</v>
      </c>
      <c r="F105">
        <v>1E-3</v>
      </c>
      <c r="G105" t="s">
        <v>4410</v>
      </c>
      <c r="J105">
        <v>51.53</v>
      </c>
      <c r="L105">
        <v>4</v>
      </c>
      <c r="M105" t="s">
        <v>4411</v>
      </c>
      <c r="N105" t="s">
        <v>4460</v>
      </c>
      <c r="S105" s="64">
        <f t="shared" si="0"/>
        <v>51.53</v>
      </c>
      <c r="U105" s="5">
        <v>51.4</v>
      </c>
      <c r="V105" s="5">
        <v>0.1</v>
      </c>
      <c r="W105" s="5">
        <v>0.03</v>
      </c>
      <c r="X105" s="56" t="str">
        <f>GHGFY20[[#This Row],[Data Source (scope 1)]]</f>
        <v>NGER (Measurement) Determination 2008 2019versions pg 317 - Part 2 Fuel combustion - 17</v>
      </c>
      <c r="AB105" s="3">
        <f>(S105-GHGFY20[[#This Row],[Scope 1 Emission factor]])/GHGFY20[[#This Row],[Scope 1 Emission factor]]</f>
        <v>0</v>
      </c>
      <c r="AC105" s="3" t="e">
        <f>(T105-GHGFY20[[#This Row],[Scope 2 Emission factor]])/GHGFY20[[#This Row],[Scope 2 Emission factor]]</f>
        <v>#DIV/0!</v>
      </c>
      <c r="AD105" s="3">
        <f>(U105-GHGFY20[[#This Row],[Scope 3 Emission factor]])/GHGFY20[[#This Row],[Scope 3 Emission factor]]</f>
        <v>11.85</v>
      </c>
      <c r="AH105" t="b">
        <f>GHGFY20[[#This Row],[Reporting Alias]]=GHGFY207[[#This Row],[Reporting Alias]]</f>
        <v>1</v>
      </c>
    </row>
    <row r="106" spans="1:34" ht="69">
      <c r="A106" t="s">
        <v>1058</v>
      </c>
      <c r="B106" t="s">
        <v>1296</v>
      </c>
      <c r="C106" t="s">
        <v>4409</v>
      </c>
      <c r="D106" t="s">
        <v>1190</v>
      </c>
      <c r="E106" t="s">
        <v>670</v>
      </c>
      <c r="F106">
        <v>1E-3</v>
      </c>
      <c r="G106" t="s">
        <v>4410</v>
      </c>
      <c r="J106">
        <v>51.53</v>
      </c>
      <c r="L106">
        <v>12.8</v>
      </c>
      <c r="M106" t="s">
        <v>4411</v>
      </c>
      <c r="N106" t="s">
        <v>4460</v>
      </c>
      <c r="S106" s="64">
        <f t="shared" si="0"/>
        <v>51.53</v>
      </c>
      <c r="U106" s="5">
        <v>51.4</v>
      </c>
      <c r="V106" s="5">
        <v>0.1</v>
      </c>
      <c r="W106" s="5">
        <v>0.03</v>
      </c>
      <c r="X106" s="56" t="str">
        <f>GHGFY20[[#This Row],[Data Source (scope 1)]]</f>
        <v>NGER (Measurement) Determination 2008 2019versions pg 317 - Part 2 Fuel combustion - 17</v>
      </c>
      <c r="AB106" s="3">
        <f>(S106-GHGFY20[[#This Row],[Scope 1 Emission factor]])/GHGFY20[[#This Row],[Scope 1 Emission factor]]</f>
        <v>0</v>
      </c>
      <c r="AC106" s="3" t="e">
        <f>(T106-GHGFY20[[#This Row],[Scope 2 Emission factor]])/GHGFY20[[#This Row],[Scope 2 Emission factor]]</f>
        <v>#DIV/0!</v>
      </c>
      <c r="AD106" s="3">
        <f>(U106-GHGFY20[[#This Row],[Scope 3 Emission factor]])/GHGFY20[[#This Row],[Scope 3 Emission factor]]</f>
        <v>3.0156249999999996</v>
      </c>
      <c r="AH106" t="b">
        <f>GHGFY20[[#This Row],[Reporting Alias]]=GHGFY207[[#This Row],[Reporting Alias]]</f>
        <v>1</v>
      </c>
    </row>
    <row r="107" spans="1:34" ht="69">
      <c r="A107" t="s">
        <v>1061</v>
      </c>
      <c r="B107" t="s">
        <v>1296</v>
      </c>
      <c r="C107" t="s">
        <v>4409</v>
      </c>
      <c r="D107" t="s">
        <v>1190</v>
      </c>
      <c r="E107" t="s">
        <v>670</v>
      </c>
      <c r="F107">
        <v>1E-3</v>
      </c>
      <c r="G107" t="s">
        <v>4410</v>
      </c>
      <c r="J107">
        <v>51.53</v>
      </c>
      <c r="L107">
        <v>12.8</v>
      </c>
      <c r="M107" t="s">
        <v>4411</v>
      </c>
      <c r="N107" t="s">
        <v>4460</v>
      </c>
      <c r="S107" s="64">
        <f t="shared" si="0"/>
        <v>51.53</v>
      </c>
      <c r="U107" s="5">
        <v>51.4</v>
      </c>
      <c r="V107" s="5">
        <v>0.1</v>
      </c>
      <c r="W107" s="5">
        <v>0.03</v>
      </c>
      <c r="X107" s="56" t="str">
        <f>GHGFY20[[#This Row],[Data Source (scope 1)]]</f>
        <v>NGER (Measurement) Determination 2008 2019versions pg 317 - Part 2 Fuel combustion - 17</v>
      </c>
      <c r="AB107" s="3">
        <f>(S107-GHGFY20[[#This Row],[Scope 1 Emission factor]])/GHGFY20[[#This Row],[Scope 1 Emission factor]]</f>
        <v>0</v>
      </c>
      <c r="AC107" s="3" t="e">
        <f>(T107-GHGFY20[[#This Row],[Scope 2 Emission factor]])/GHGFY20[[#This Row],[Scope 2 Emission factor]]</f>
        <v>#DIV/0!</v>
      </c>
      <c r="AD107" s="3">
        <f>(U107-GHGFY20[[#This Row],[Scope 3 Emission factor]])/GHGFY20[[#This Row],[Scope 3 Emission factor]]</f>
        <v>3.0156249999999996</v>
      </c>
      <c r="AH107" t="b">
        <f>GHGFY20[[#This Row],[Reporting Alias]]=GHGFY207[[#This Row],[Reporting Alias]]</f>
        <v>1</v>
      </c>
    </row>
    <row r="108" spans="1:34" ht="69">
      <c r="A108" t="s">
        <v>892</v>
      </c>
      <c r="B108" t="s">
        <v>1227</v>
      </c>
      <c r="C108" t="s">
        <v>4412</v>
      </c>
      <c r="D108" t="s">
        <v>1190</v>
      </c>
      <c r="E108" t="s">
        <v>673</v>
      </c>
      <c r="F108">
        <v>1E-3</v>
      </c>
      <c r="G108" t="s">
        <v>4413</v>
      </c>
      <c r="H108">
        <v>38.6</v>
      </c>
      <c r="I108" t="s">
        <v>1140</v>
      </c>
      <c r="J108">
        <v>70.2</v>
      </c>
      <c r="L108">
        <v>3.6</v>
      </c>
      <c r="M108" t="s">
        <v>4414</v>
      </c>
      <c r="N108" t="s">
        <v>4415</v>
      </c>
      <c r="P108" t="s">
        <v>4416</v>
      </c>
      <c r="R108" t="s">
        <v>4417</v>
      </c>
      <c r="S108" s="64">
        <f t="shared" si="0"/>
        <v>70.2</v>
      </c>
      <c r="U108" s="5">
        <v>69.900000000000006</v>
      </c>
      <c r="V108" s="5">
        <v>0.1</v>
      </c>
      <c r="W108" s="5">
        <v>0.2</v>
      </c>
      <c r="X108" s="56" t="str">
        <f>GHGFY20[[#This Row],[Data Source (scope 1)]]</f>
        <v>NGER (Measurement) Determination 2008 2019versions pg 318 - Part 3 Fuel combustion - 40</v>
      </c>
      <c r="Y108" s="65" t="s">
        <v>4416</v>
      </c>
      <c r="AB108" s="3">
        <f>(S108-GHGFY20[[#This Row],[Scope 1 Emission factor]])/GHGFY20[[#This Row],[Scope 1 Emission factor]]</f>
        <v>0</v>
      </c>
      <c r="AC108" s="3" t="e">
        <f>(T108-GHGFY20[[#This Row],[Scope 2 Emission factor]])/GHGFY20[[#This Row],[Scope 2 Emission factor]]</f>
        <v>#DIV/0!</v>
      </c>
      <c r="AD108" s="3">
        <f>(U108-GHGFY20[[#This Row],[Scope 3 Emission factor]])/GHGFY20[[#This Row],[Scope 3 Emission factor]]</f>
        <v>18.416666666666668</v>
      </c>
      <c r="AH108" t="b">
        <f>GHGFY20[[#This Row],[Reporting Alias]]=GHGFY207[[#This Row],[Reporting Alias]]</f>
        <v>1</v>
      </c>
    </row>
    <row r="109" spans="1:34" ht="69">
      <c r="A109" t="s">
        <v>893</v>
      </c>
      <c r="B109" t="s">
        <v>1227</v>
      </c>
      <c r="C109" t="s">
        <v>4412</v>
      </c>
      <c r="D109" t="s">
        <v>1192</v>
      </c>
      <c r="E109" t="s">
        <v>673</v>
      </c>
      <c r="F109">
        <v>1E-3</v>
      </c>
      <c r="G109" t="s">
        <v>4413</v>
      </c>
      <c r="H109">
        <v>38.6</v>
      </c>
      <c r="I109" t="s">
        <v>1140</v>
      </c>
      <c r="J109">
        <v>70.2</v>
      </c>
      <c r="L109">
        <v>3.6</v>
      </c>
      <c r="M109" t="s">
        <v>4414</v>
      </c>
      <c r="N109" t="s">
        <v>4415</v>
      </c>
      <c r="P109" t="s">
        <v>4416</v>
      </c>
      <c r="S109" s="64">
        <f t="shared" si="0"/>
        <v>70.2</v>
      </c>
      <c r="U109" s="5">
        <v>69.900000000000006</v>
      </c>
      <c r="V109" s="5">
        <v>0.1</v>
      </c>
      <c r="W109" s="5">
        <v>0.2</v>
      </c>
      <c r="X109" s="56" t="str">
        <f>GHGFY20[[#This Row],[Data Source (scope 1)]]</f>
        <v>NGER (Measurement) Determination 2008 2019versions pg 318 - Part 3 Fuel combustion - 40</v>
      </c>
      <c r="Y109" s="65" t="s">
        <v>4416</v>
      </c>
      <c r="AB109" s="3">
        <f>(S109-GHGFY20[[#This Row],[Scope 1 Emission factor]])/GHGFY20[[#This Row],[Scope 1 Emission factor]]</f>
        <v>0</v>
      </c>
      <c r="AC109" s="3" t="e">
        <f>(T109-GHGFY20[[#This Row],[Scope 2 Emission factor]])/GHGFY20[[#This Row],[Scope 2 Emission factor]]</f>
        <v>#DIV/0!</v>
      </c>
      <c r="AD109" s="3">
        <f>(U109-GHGFY20[[#This Row],[Scope 3 Emission factor]])/GHGFY20[[#This Row],[Scope 3 Emission factor]]</f>
        <v>18.416666666666668</v>
      </c>
      <c r="AH109" t="b">
        <f>GHGFY20[[#This Row],[Reporting Alias]]=GHGFY207[[#This Row],[Reporting Alias]]</f>
        <v>1</v>
      </c>
    </row>
    <row r="110" spans="1:34" ht="69">
      <c r="A110" t="s">
        <v>898</v>
      </c>
      <c r="B110" t="s">
        <v>1227</v>
      </c>
      <c r="C110" t="s">
        <v>4412</v>
      </c>
      <c r="D110" t="s">
        <v>1189</v>
      </c>
      <c r="E110" t="s">
        <v>673</v>
      </c>
      <c r="F110">
        <v>1E-3</v>
      </c>
      <c r="G110" t="s">
        <v>4413</v>
      </c>
      <c r="H110">
        <v>38.6</v>
      </c>
      <c r="I110" t="s">
        <v>1140</v>
      </c>
      <c r="J110">
        <v>70.2</v>
      </c>
      <c r="L110">
        <v>3.6</v>
      </c>
      <c r="M110" t="s">
        <v>4414</v>
      </c>
      <c r="N110" t="s">
        <v>4415</v>
      </c>
      <c r="P110" t="s">
        <v>4416</v>
      </c>
      <c r="S110" s="64">
        <f t="shared" si="0"/>
        <v>70.2</v>
      </c>
      <c r="U110" s="5">
        <v>69.900000000000006</v>
      </c>
      <c r="V110" s="5">
        <v>0.1</v>
      </c>
      <c r="W110" s="5">
        <v>0.2</v>
      </c>
      <c r="X110" s="56" t="str">
        <f>GHGFY20[[#This Row],[Data Source (scope 1)]]</f>
        <v>NGER (Measurement) Determination 2008 2019versions pg 318 - Part 3 Fuel combustion - 40</v>
      </c>
      <c r="Y110" s="65" t="s">
        <v>4416</v>
      </c>
      <c r="AB110" s="3">
        <f>(S110-GHGFY20[[#This Row],[Scope 1 Emission factor]])/GHGFY20[[#This Row],[Scope 1 Emission factor]]</f>
        <v>0</v>
      </c>
      <c r="AC110" s="3" t="e">
        <f>(T110-GHGFY20[[#This Row],[Scope 2 Emission factor]])/GHGFY20[[#This Row],[Scope 2 Emission factor]]</f>
        <v>#DIV/0!</v>
      </c>
      <c r="AD110" s="3">
        <f>(U110-GHGFY20[[#This Row],[Scope 3 Emission factor]])/GHGFY20[[#This Row],[Scope 3 Emission factor]]</f>
        <v>18.416666666666668</v>
      </c>
      <c r="AH110" t="b">
        <f>GHGFY20[[#This Row],[Reporting Alias]]=GHGFY207[[#This Row],[Reporting Alias]]</f>
        <v>1</v>
      </c>
    </row>
    <row r="111" spans="1:34" ht="69">
      <c r="A111" t="s">
        <v>895</v>
      </c>
      <c r="B111" t="s">
        <v>1227</v>
      </c>
      <c r="C111" t="s">
        <v>4412</v>
      </c>
      <c r="D111" t="s">
        <v>1210</v>
      </c>
      <c r="E111" t="s">
        <v>673</v>
      </c>
      <c r="F111">
        <v>1E-3</v>
      </c>
      <c r="G111" t="s">
        <v>4413</v>
      </c>
      <c r="H111">
        <v>38.6</v>
      </c>
      <c r="I111" t="s">
        <v>1140</v>
      </c>
      <c r="J111">
        <v>70.2</v>
      </c>
      <c r="L111">
        <v>3.6</v>
      </c>
      <c r="M111" t="s">
        <v>4414</v>
      </c>
      <c r="N111" t="s">
        <v>4415</v>
      </c>
      <c r="P111" t="s">
        <v>4416</v>
      </c>
      <c r="S111" s="64">
        <f t="shared" si="0"/>
        <v>70.2</v>
      </c>
      <c r="U111" s="5">
        <v>69.900000000000006</v>
      </c>
      <c r="V111" s="5">
        <v>0.1</v>
      </c>
      <c r="W111" s="5">
        <v>0.2</v>
      </c>
      <c r="X111" s="56" t="str">
        <f>GHGFY20[[#This Row],[Data Source (scope 1)]]</f>
        <v>NGER (Measurement) Determination 2008 2019versions pg 318 - Part 3 Fuel combustion - 40</v>
      </c>
      <c r="Y111" s="65" t="s">
        <v>4416</v>
      </c>
      <c r="AB111" s="3">
        <f>(S111-GHGFY20[[#This Row],[Scope 1 Emission factor]])/GHGFY20[[#This Row],[Scope 1 Emission factor]]</f>
        <v>0</v>
      </c>
      <c r="AC111" s="3" t="e">
        <f>(T111-GHGFY20[[#This Row],[Scope 2 Emission factor]])/GHGFY20[[#This Row],[Scope 2 Emission factor]]</f>
        <v>#DIV/0!</v>
      </c>
      <c r="AD111" s="3">
        <f>(U111-GHGFY20[[#This Row],[Scope 3 Emission factor]])/GHGFY20[[#This Row],[Scope 3 Emission factor]]</f>
        <v>18.416666666666668</v>
      </c>
      <c r="AH111" t="b">
        <f>GHGFY20[[#This Row],[Reporting Alias]]=GHGFY207[[#This Row],[Reporting Alias]]</f>
        <v>1</v>
      </c>
    </row>
    <row r="112" spans="1:34" ht="69">
      <c r="A112" t="s">
        <v>899</v>
      </c>
      <c r="B112" t="s">
        <v>1227</v>
      </c>
      <c r="C112" t="s">
        <v>4412</v>
      </c>
      <c r="D112" t="s">
        <v>1216</v>
      </c>
      <c r="E112" t="s">
        <v>673</v>
      </c>
      <c r="F112">
        <v>1E-3</v>
      </c>
      <c r="G112" t="s">
        <v>4413</v>
      </c>
      <c r="H112">
        <v>38.6</v>
      </c>
      <c r="I112" t="s">
        <v>1140</v>
      </c>
      <c r="J112">
        <v>70.2</v>
      </c>
      <c r="L112">
        <v>3.6</v>
      </c>
      <c r="M112" t="s">
        <v>4414</v>
      </c>
      <c r="N112" t="s">
        <v>4415</v>
      </c>
      <c r="P112" t="s">
        <v>4416</v>
      </c>
      <c r="S112" s="64">
        <f t="shared" si="0"/>
        <v>70.2</v>
      </c>
      <c r="U112" s="5">
        <v>69.900000000000006</v>
      </c>
      <c r="V112" s="5">
        <v>0.1</v>
      </c>
      <c r="W112" s="5">
        <v>0.2</v>
      </c>
      <c r="X112" s="56" t="str">
        <f>GHGFY20[[#This Row],[Data Source (scope 1)]]</f>
        <v>NGER (Measurement) Determination 2008 2019versions pg 318 - Part 3 Fuel combustion - 40</v>
      </c>
      <c r="Y112" s="65" t="s">
        <v>4416</v>
      </c>
      <c r="AB112" s="3">
        <f>(S112-GHGFY20[[#This Row],[Scope 1 Emission factor]])/GHGFY20[[#This Row],[Scope 1 Emission factor]]</f>
        <v>0</v>
      </c>
      <c r="AC112" s="3" t="e">
        <f>(T112-GHGFY20[[#This Row],[Scope 2 Emission factor]])/GHGFY20[[#This Row],[Scope 2 Emission factor]]</f>
        <v>#DIV/0!</v>
      </c>
      <c r="AD112" s="3">
        <f>(U112-GHGFY20[[#This Row],[Scope 3 Emission factor]])/GHGFY20[[#This Row],[Scope 3 Emission factor]]</f>
        <v>18.416666666666668</v>
      </c>
      <c r="AH112" t="b">
        <f>GHGFY20[[#This Row],[Reporting Alias]]=GHGFY207[[#This Row],[Reporting Alias]]</f>
        <v>1</v>
      </c>
    </row>
    <row r="113" spans="1:34" ht="69">
      <c r="A113" t="s">
        <v>896</v>
      </c>
      <c r="B113" t="s">
        <v>1227</v>
      </c>
      <c r="C113" t="s">
        <v>4412</v>
      </c>
      <c r="D113" t="s">
        <v>1193</v>
      </c>
      <c r="E113" t="s">
        <v>673</v>
      </c>
      <c r="F113">
        <v>1E-3</v>
      </c>
      <c r="G113" t="s">
        <v>4413</v>
      </c>
      <c r="H113">
        <v>38.6</v>
      </c>
      <c r="I113" t="s">
        <v>1140</v>
      </c>
      <c r="J113">
        <v>70.2</v>
      </c>
      <c r="L113">
        <v>3.6</v>
      </c>
      <c r="M113" t="s">
        <v>4414</v>
      </c>
      <c r="N113" t="s">
        <v>4415</v>
      </c>
      <c r="P113" t="s">
        <v>4416</v>
      </c>
      <c r="S113" s="64">
        <f t="shared" si="0"/>
        <v>70.2</v>
      </c>
      <c r="U113" s="5">
        <v>69.900000000000006</v>
      </c>
      <c r="V113" s="5">
        <v>0.1</v>
      </c>
      <c r="W113" s="5">
        <v>0.2</v>
      </c>
      <c r="X113" s="56" t="str">
        <f>GHGFY20[[#This Row],[Data Source (scope 1)]]</f>
        <v>NGER (Measurement) Determination 2008 2019versions pg 318 - Part 3 Fuel combustion - 40</v>
      </c>
      <c r="Y113" s="65" t="s">
        <v>4416</v>
      </c>
      <c r="AB113" s="3">
        <f>(S113-GHGFY20[[#This Row],[Scope 1 Emission factor]])/GHGFY20[[#This Row],[Scope 1 Emission factor]]</f>
        <v>0</v>
      </c>
      <c r="AC113" s="3" t="e">
        <f>(T113-GHGFY20[[#This Row],[Scope 2 Emission factor]])/GHGFY20[[#This Row],[Scope 2 Emission factor]]</f>
        <v>#DIV/0!</v>
      </c>
      <c r="AD113" s="3">
        <f>(U113-GHGFY20[[#This Row],[Scope 3 Emission factor]])/GHGFY20[[#This Row],[Scope 3 Emission factor]]</f>
        <v>18.416666666666668</v>
      </c>
      <c r="AH113" t="b">
        <f>GHGFY20[[#This Row],[Reporting Alias]]=GHGFY207[[#This Row],[Reporting Alias]]</f>
        <v>1</v>
      </c>
    </row>
    <row r="114" spans="1:34" ht="69">
      <c r="A114" t="s">
        <v>897</v>
      </c>
      <c r="B114" t="s">
        <v>1227</v>
      </c>
      <c r="C114" t="s">
        <v>4412</v>
      </c>
      <c r="D114" t="s">
        <v>1213</v>
      </c>
      <c r="E114" t="s">
        <v>673</v>
      </c>
      <c r="F114">
        <v>1E-3</v>
      </c>
      <c r="G114" t="s">
        <v>4413</v>
      </c>
      <c r="H114">
        <v>38.6</v>
      </c>
      <c r="I114" t="s">
        <v>1140</v>
      </c>
      <c r="J114">
        <v>70.2</v>
      </c>
      <c r="L114">
        <v>3.6</v>
      </c>
      <c r="M114" t="s">
        <v>4414</v>
      </c>
      <c r="N114" t="s">
        <v>4415</v>
      </c>
      <c r="P114" t="s">
        <v>4416</v>
      </c>
      <c r="S114" s="64">
        <f t="shared" si="0"/>
        <v>70.2</v>
      </c>
      <c r="U114" s="5">
        <v>69.900000000000006</v>
      </c>
      <c r="V114" s="5">
        <v>0.1</v>
      </c>
      <c r="W114" s="5">
        <v>0.2</v>
      </c>
      <c r="X114" s="56" t="str">
        <f>GHGFY20[[#This Row],[Data Source (scope 1)]]</f>
        <v>NGER (Measurement) Determination 2008 2019versions pg 318 - Part 3 Fuel combustion - 40</v>
      </c>
      <c r="Y114" s="65" t="s">
        <v>4416</v>
      </c>
      <c r="AB114" s="3">
        <f>(S114-GHGFY20[[#This Row],[Scope 1 Emission factor]])/GHGFY20[[#This Row],[Scope 1 Emission factor]]</f>
        <v>0</v>
      </c>
      <c r="AC114" s="3" t="e">
        <f>(T114-GHGFY20[[#This Row],[Scope 2 Emission factor]])/GHGFY20[[#This Row],[Scope 2 Emission factor]]</f>
        <v>#DIV/0!</v>
      </c>
      <c r="AD114" s="3">
        <f>(U114-GHGFY20[[#This Row],[Scope 3 Emission factor]])/GHGFY20[[#This Row],[Scope 3 Emission factor]]</f>
        <v>18.416666666666668</v>
      </c>
      <c r="AH114" t="b">
        <f>GHGFY20[[#This Row],[Reporting Alias]]=GHGFY207[[#This Row],[Reporting Alias]]</f>
        <v>1</v>
      </c>
    </row>
    <row r="115" spans="1:34" ht="69">
      <c r="A115" t="s">
        <v>894</v>
      </c>
      <c r="B115" t="s">
        <v>1227</v>
      </c>
      <c r="C115" t="s">
        <v>4412</v>
      </c>
      <c r="D115" t="s">
        <v>1208</v>
      </c>
      <c r="E115" t="s">
        <v>673</v>
      </c>
      <c r="F115">
        <v>1E-3</v>
      </c>
      <c r="G115" t="s">
        <v>4413</v>
      </c>
      <c r="H115">
        <v>38.6</v>
      </c>
      <c r="I115" t="s">
        <v>1140</v>
      </c>
      <c r="J115">
        <v>70.2</v>
      </c>
      <c r="L115">
        <v>3.6</v>
      </c>
      <c r="M115" t="s">
        <v>4414</v>
      </c>
      <c r="N115" t="s">
        <v>4415</v>
      </c>
      <c r="P115" t="s">
        <v>4416</v>
      </c>
      <c r="S115" s="64">
        <f t="shared" si="0"/>
        <v>70.2</v>
      </c>
      <c r="U115" s="5">
        <v>69.900000000000006</v>
      </c>
      <c r="V115" s="5">
        <v>0.1</v>
      </c>
      <c r="W115" s="5">
        <v>0.2</v>
      </c>
      <c r="X115" s="56" t="str">
        <f>GHGFY20[[#This Row],[Data Source (scope 1)]]</f>
        <v>NGER (Measurement) Determination 2008 2019versions pg 318 - Part 3 Fuel combustion - 40</v>
      </c>
      <c r="Y115" s="65" t="s">
        <v>4416</v>
      </c>
      <c r="AB115" s="3">
        <f>(S115-GHGFY20[[#This Row],[Scope 1 Emission factor]])/GHGFY20[[#This Row],[Scope 1 Emission factor]]</f>
        <v>0</v>
      </c>
      <c r="AC115" s="3" t="e">
        <f>(T115-GHGFY20[[#This Row],[Scope 2 Emission factor]])/GHGFY20[[#This Row],[Scope 2 Emission factor]]</f>
        <v>#DIV/0!</v>
      </c>
      <c r="AD115" s="3">
        <f>(U115-GHGFY20[[#This Row],[Scope 3 Emission factor]])/GHGFY20[[#This Row],[Scope 3 Emission factor]]</f>
        <v>18.416666666666668</v>
      </c>
      <c r="AH115" t="b">
        <f>GHGFY20[[#This Row],[Reporting Alias]]=GHGFY207[[#This Row],[Reporting Alias]]</f>
        <v>1</v>
      </c>
    </row>
    <row r="116" spans="1:34" ht="69">
      <c r="A116" t="s">
        <v>900</v>
      </c>
      <c r="B116" t="s">
        <v>1227</v>
      </c>
      <c r="C116" t="s">
        <v>4412</v>
      </c>
      <c r="D116" t="s">
        <v>1190</v>
      </c>
      <c r="E116" t="s">
        <v>673</v>
      </c>
      <c r="F116">
        <v>1E-3</v>
      </c>
      <c r="G116" t="s">
        <v>4413</v>
      </c>
      <c r="H116">
        <v>25.7</v>
      </c>
      <c r="I116" t="s">
        <v>1140</v>
      </c>
      <c r="J116">
        <v>60.600000000000009</v>
      </c>
      <c r="L116">
        <v>3.6</v>
      </c>
      <c r="M116" t="s">
        <v>4414</v>
      </c>
      <c r="N116" t="s">
        <v>4418</v>
      </c>
      <c r="P116" t="s">
        <v>4416</v>
      </c>
      <c r="S116" s="64">
        <f t="shared" si="0"/>
        <v>60.600000000000009</v>
      </c>
      <c r="U116" s="5">
        <v>60.2</v>
      </c>
      <c r="V116" s="5">
        <v>0.2</v>
      </c>
      <c r="W116" s="5">
        <v>0.2</v>
      </c>
      <c r="X116" s="56" t="str">
        <f>GHGFY20[[#This Row],[Data Source (scope 1)]]</f>
        <v>NGER (Measurement) Determination 2008 2019versions pg 318 - Part 3 Fuel combustion - 44</v>
      </c>
      <c r="Y116" s="65" t="s">
        <v>4416</v>
      </c>
      <c r="AB116" s="3">
        <f>(S116-GHGFY20[[#This Row],[Scope 1 Emission factor]])/GHGFY20[[#This Row],[Scope 1 Emission factor]]</f>
        <v>0</v>
      </c>
      <c r="AC116" s="3" t="e">
        <f>(T116-GHGFY20[[#This Row],[Scope 2 Emission factor]])/GHGFY20[[#This Row],[Scope 2 Emission factor]]</f>
        <v>#DIV/0!</v>
      </c>
      <c r="AD116" s="3">
        <f>(U116-GHGFY20[[#This Row],[Scope 3 Emission factor]])/GHGFY20[[#This Row],[Scope 3 Emission factor]]</f>
        <v>15.722222222222221</v>
      </c>
      <c r="AH116" t="b">
        <f>GHGFY20[[#This Row],[Reporting Alias]]=GHGFY207[[#This Row],[Reporting Alias]]</f>
        <v>1</v>
      </c>
    </row>
    <row r="117" spans="1:34" ht="69">
      <c r="A117" t="s">
        <v>901</v>
      </c>
      <c r="B117" t="s">
        <v>1227</v>
      </c>
      <c r="C117" t="s">
        <v>4412</v>
      </c>
      <c r="D117" t="s">
        <v>1192</v>
      </c>
      <c r="E117" t="s">
        <v>673</v>
      </c>
      <c r="F117">
        <v>1E-3</v>
      </c>
      <c r="G117" t="s">
        <v>4413</v>
      </c>
      <c r="H117">
        <v>25.7</v>
      </c>
      <c r="I117" t="s">
        <v>1140</v>
      </c>
      <c r="J117">
        <v>60.600000000000009</v>
      </c>
      <c r="L117">
        <v>3.6</v>
      </c>
      <c r="M117" t="s">
        <v>4414</v>
      </c>
      <c r="N117" t="s">
        <v>4418</v>
      </c>
      <c r="P117" t="s">
        <v>4416</v>
      </c>
      <c r="S117" s="64">
        <f t="shared" si="0"/>
        <v>60.600000000000009</v>
      </c>
      <c r="U117" s="5">
        <v>60.2</v>
      </c>
      <c r="V117" s="5">
        <v>0.2</v>
      </c>
      <c r="W117" s="5">
        <v>0.2</v>
      </c>
      <c r="X117" s="56" t="str">
        <f>GHGFY20[[#This Row],[Data Source (scope 1)]]</f>
        <v>NGER (Measurement) Determination 2008 2019versions pg 318 - Part 3 Fuel combustion - 44</v>
      </c>
      <c r="Y117" s="65" t="s">
        <v>4416</v>
      </c>
      <c r="AB117" s="3">
        <f>(S117-GHGFY20[[#This Row],[Scope 1 Emission factor]])/GHGFY20[[#This Row],[Scope 1 Emission factor]]</f>
        <v>0</v>
      </c>
      <c r="AC117" s="3" t="e">
        <f>(T117-GHGFY20[[#This Row],[Scope 2 Emission factor]])/GHGFY20[[#This Row],[Scope 2 Emission factor]]</f>
        <v>#DIV/0!</v>
      </c>
      <c r="AD117" s="3">
        <f>(U117-GHGFY20[[#This Row],[Scope 3 Emission factor]])/GHGFY20[[#This Row],[Scope 3 Emission factor]]</f>
        <v>15.722222222222221</v>
      </c>
      <c r="AH117" t="b">
        <f>GHGFY20[[#This Row],[Reporting Alias]]=GHGFY207[[#This Row],[Reporting Alias]]</f>
        <v>1</v>
      </c>
    </row>
    <row r="118" spans="1:34" ht="69">
      <c r="A118" t="s">
        <v>902</v>
      </c>
      <c r="B118" t="s">
        <v>1227</v>
      </c>
      <c r="C118" t="s">
        <v>4412</v>
      </c>
      <c r="D118" t="s">
        <v>1189</v>
      </c>
      <c r="E118" t="s">
        <v>673</v>
      </c>
      <c r="F118">
        <v>1E-3</v>
      </c>
      <c r="G118" t="s">
        <v>4413</v>
      </c>
      <c r="H118">
        <v>25.7</v>
      </c>
      <c r="I118" t="s">
        <v>1140</v>
      </c>
      <c r="J118">
        <v>60.600000000000009</v>
      </c>
      <c r="L118">
        <v>3.6</v>
      </c>
      <c r="M118" t="s">
        <v>4414</v>
      </c>
      <c r="N118" t="s">
        <v>4418</v>
      </c>
      <c r="P118" t="s">
        <v>4416</v>
      </c>
      <c r="S118" s="64">
        <f t="shared" si="0"/>
        <v>60.600000000000009</v>
      </c>
      <c r="U118" s="5">
        <v>60.2</v>
      </c>
      <c r="V118" s="5">
        <v>0.2</v>
      </c>
      <c r="W118" s="5">
        <v>0.2</v>
      </c>
      <c r="X118" s="56" t="str">
        <f>GHGFY20[[#This Row],[Data Source (scope 1)]]</f>
        <v>NGER (Measurement) Determination 2008 2019versions pg 318 - Part 3 Fuel combustion - 44</v>
      </c>
      <c r="Y118" s="65" t="s">
        <v>4416</v>
      </c>
      <c r="AB118" s="3">
        <f>(S118-GHGFY20[[#This Row],[Scope 1 Emission factor]])/GHGFY20[[#This Row],[Scope 1 Emission factor]]</f>
        <v>0</v>
      </c>
      <c r="AC118" s="3" t="e">
        <f>(T118-GHGFY20[[#This Row],[Scope 2 Emission factor]])/GHGFY20[[#This Row],[Scope 2 Emission factor]]</f>
        <v>#DIV/0!</v>
      </c>
      <c r="AD118" s="3">
        <f>(U118-GHGFY20[[#This Row],[Scope 3 Emission factor]])/GHGFY20[[#This Row],[Scope 3 Emission factor]]</f>
        <v>15.722222222222221</v>
      </c>
      <c r="AH118" t="b">
        <f>GHGFY20[[#This Row],[Reporting Alias]]=GHGFY207[[#This Row],[Reporting Alias]]</f>
        <v>1</v>
      </c>
    </row>
    <row r="119" spans="1:34" ht="69">
      <c r="A119" t="s">
        <v>903</v>
      </c>
      <c r="B119" t="s">
        <v>1227</v>
      </c>
      <c r="C119" t="s">
        <v>4412</v>
      </c>
      <c r="D119" t="s">
        <v>1210</v>
      </c>
      <c r="E119" t="s">
        <v>673</v>
      </c>
      <c r="F119">
        <v>1E-3</v>
      </c>
      <c r="G119" t="s">
        <v>4413</v>
      </c>
      <c r="H119">
        <v>25.7</v>
      </c>
      <c r="I119" t="s">
        <v>1140</v>
      </c>
      <c r="J119">
        <v>60.600000000000009</v>
      </c>
      <c r="L119">
        <v>3.6</v>
      </c>
      <c r="M119" t="s">
        <v>4414</v>
      </c>
      <c r="N119" t="s">
        <v>4418</v>
      </c>
      <c r="P119" t="s">
        <v>4416</v>
      </c>
      <c r="S119" s="64">
        <f t="shared" si="0"/>
        <v>60.600000000000009</v>
      </c>
      <c r="U119" s="5">
        <v>60.2</v>
      </c>
      <c r="V119" s="5">
        <v>0.2</v>
      </c>
      <c r="W119" s="5">
        <v>0.2</v>
      </c>
      <c r="X119" s="56" t="str">
        <f>GHGFY20[[#This Row],[Data Source (scope 1)]]</f>
        <v>NGER (Measurement) Determination 2008 2019versions pg 318 - Part 3 Fuel combustion - 44</v>
      </c>
      <c r="Y119" s="65" t="s">
        <v>4416</v>
      </c>
      <c r="AB119" s="3">
        <f>(S119-GHGFY20[[#This Row],[Scope 1 Emission factor]])/GHGFY20[[#This Row],[Scope 1 Emission factor]]</f>
        <v>0</v>
      </c>
      <c r="AC119" s="3" t="e">
        <f>(T119-GHGFY20[[#This Row],[Scope 2 Emission factor]])/GHGFY20[[#This Row],[Scope 2 Emission factor]]</f>
        <v>#DIV/0!</v>
      </c>
      <c r="AD119" s="3">
        <f>(U119-GHGFY20[[#This Row],[Scope 3 Emission factor]])/GHGFY20[[#This Row],[Scope 3 Emission factor]]</f>
        <v>15.722222222222221</v>
      </c>
      <c r="AH119" t="b">
        <f>GHGFY20[[#This Row],[Reporting Alias]]=GHGFY207[[#This Row],[Reporting Alias]]</f>
        <v>1</v>
      </c>
    </row>
    <row r="120" spans="1:34" ht="69">
      <c r="A120" t="s">
        <v>904</v>
      </c>
      <c r="B120" t="s">
        <v>1227</v>
      </c>
      <c r="C120" t="s">
        <v>4412</v>
      </c>
      <c r="D120" t="s">
        <v>1216</v>
      </c>
      <c r="E120" t="s">
        <v>673</v>
      </c>
      <c r="F120">
        <v>1E-3</v>
      </c>
      <c r="G120" t="s">
        <v>4413</v>
      </c>
      <c r="H120">
        <v>25.7</v>
      </c>
      <c r="I120" t="s">
        <v>1140</v>
      </c>
      <c r="J120">
        <v>60.600000000000009</v>
      </c>
      <c r="L120">
        <v>3.6</v>
      </c>
      <c r="M120" t="s">
        <v>4414</v>
      </c>
      <c r="N120" t="s">
        <v>4418</v>
      </c>
      <c r="P120" t="s">
        <v>4416</v>
      </c>
      <c r="S120" s="64">
        <f t="shared" si="0"/>
        <v>60.600000000000009</v>
      </c>
      <c r="U120" s="5">
        <v>60.2</v>
      </c>
      <c r="V120" s="5">
        <v>0.2</v>
      </c>
      <c r="W120" s="5">
        <v>0.2</v>
      </c>
      <c r="X120" s="56" t="str">
        <f>GHGFY20[[#This Row],[Data Source (scope 1)]]</f>
        <v>NGER (Measurement) Determination 2008 2019versions pg 318 - Part 3 Fuel combustion - 44</v>
      </c>
      <c r="Y120" s="65" t="s">
        <v>4416</v>
      </c>
      <c r="AB120" s="3">
        <f>(S120-GHGFY20[[#This Row],[Scope 1 Emission factor]])/GHGFY20[[#This Row],[Scope 1 Emission factor]]</f>
        <v>0</v>
      </c>
      <c r="AC120" s="3" t="e">
        <f>(T120-GHGFY20[[#This Row],[Scope 2 Emission factor]])/GHGFY20[[#This Row],[Scope 2 Emission factor]]</f>
        <v>#DIV/0!</v>
      </c>
      <c r="AD120" s="3">
        <f>(U120-GHGFY20[[#This Row],[Scope 3 Emission factor]])/GHGFY20[[#This Row],[Scope 3 Emission factor]]</f>
        <v>15.722222222222221</v>
      </c>
      <c r="AH120" t="b">
        <f>GHGFY20[[#This Row],[Reporting Alias]]=GHGFY207[[#This Row],[Reporting Alias]]</f>
        <v>1</v>
      </c>
    </row>
    <row r="121" spans="1:34" ht="69">
      <c r="A121" t="s">
        <v>905</v>
      </c>
      <c r="B121" t="s">
        <v>1227</v>
      </c>
      <c r="C121" t="s">
        <v>4412</v>
      </c>
      <c r="D121" t="s">
        <v>1193</v>
      </c>
      <c r="E121" t="s">
        <v>673</v>
      </c>
      <c r="F121">
        <v>1E-3</v>
      </c>
      <c r="G121" t="s">
        <v>4413</v>
      </c>
      <c r="H121">
        <v>25.7</v>
      </c>
      <c r="I121" t="s">
        <v>1140</v>
      </c>
      <c r="J121">
        <v>60.600000000000009</v>
      </c>
      <c r="L121">
        <v>3.6</v>
      </c>
      <c r="M121" t="s">
        <v>4414</v>
      </c>
      <c r="N121" t="s">
        <v>4418</v>
      </c>
      <c r="P121" t="s">
        <v>4416</v>
      </c>
      <c r="S121" s="64">
        <f t="shared" si="0"/>
        <v>60.600000000000009</v>
      </c>
      <c r="U121" s="5">
        <v>60.2</v>
      </c>
      <c r="V121" s="5">
        <v>0.2</v>
      </c>
      <c r="W121" s="5">
        <v>0.2</v>
      </c>
      <c r="X121" s="56" t="str">
        <f>GHGFY20[[#This Row],[Data Source (scope 1)]]</f>
        <v>NGER (Measurement) Determination 2008 2019versions pg 318 - Part 3 Fuel combustion - 44</v>
      </c>
      <c r="Y121" s="65" t="s">
        <v>4416</v>
      </c>
      <c r="AB121" s="3">
        <f>(S121-GHGFY20[[#This Row],[Scope 1 Emission factor]])/GHGFY20[[#This Row],[Scope 1 Emission factor]]</f>
        <v>0</v>
      </c>
      <c r="AC121" s="3" t="e">
        <f>(T121-GHGFY20[[#This Row],[Scope 2 Emission factor]])/GHGFY20[[#This Row],[Scope 2 Emission factor]]</f>
        <v>#DIV/0!</v>
      </c>
      <c r="AD121" s="3">
        <f>(U121-GHGFY20[[#This Row],[Scope 3 Emission factor]])/GHGFY20[[#This Row],[Scope 3 Emission factor]]</f>
        <v>15.722222222222221</v>
      </c>
      <c r="AH121" t="b">
        <f>GHGFY20[[#This Row],[Reporting Alias]]=GHGFY207[[#This Row],[Reporting Alias]]</f>
        <v>1</v>
      </c>
    </row>
    <row r="122" spans="1:34" ht="69">
      <c r="A122" t="s">
        <v>906</v>
      </c>
      <c r="B122" t="s">
        <v>1227</v>
      </c>
      <c r="C122" t="s">
        <v>4412</v>
      </c>
      <c r="D122" t="s">
        <v>1213</v>
      </c>
      <c r="E122" t="s">
        <v>673</v>
      </c>
      <c r="F122">
        <v>1E-3</v>
      </c>
      <c r="G122" t="s">
        <v>4413</v>
      </c>
      <c r="H122">
        <v>25.7</v>
      </c>
      <c r="I122" t="s">
        <v>1140</v>
      </c>
      <c r="J122">
        <v>60.600000000000009</v>
      </c>
      <c r="L122">
        <v>3.6</v>
      </c>
      <c r="M122" t="s">
        <v>4414</v>
      </c>
      <c r="N122" t="s">
        <v>4418</v>
      </c>
      <c r="P122" t="s">
        <v>4416</v>
      </c>
      <c r="S122" s="64">
        <f t="shared" si="0"/>
        <v>60.600000000000009</v>
      </c>
      <c r="U122" s="5">
        <v>60.2</v>
      </c>
      <c r="V122" s="5">
        <v>0.2</v>
      </c>
      <c r="W122" s="5">
        <v>0.2</v>
      </c>
      <c r="X122" s="56" t="str">
        <f>GHGFY20[[#This Row],[Data Source (scope 1)]]</f>
        <v>NGER (Measurement) Determination 2008 2019versions pg 318 - Part 3 Fuel combustion - 44</v>
      </c>
      <c r="Y122" s="65" t="s">
        <v>4416</v>
      </c>
      <c r="AB122" s="3">
        <f>(S122-GHGFY20[[#This Row],[Scope 1 Emission factor]])/GHGFY20[[#This Row],[Scope 1 Emission factor]]</f>
        <v>0</v>
      </c>
      <c r="AC122" s="3" t="e">
        <f>(T122-GHGFY20[[#This Row],[Scope 2 Emission factor]])/GHGFY20[[#This Row],[Scope 2 Emission factor]]</f>
        <v>#DIV/0!</v>
      </c>
      <c r="AD122" s="3">
        <f>(U122-GHGFY20[[#This Row],[Scope 3 Emission factor]])/GHGFY20[[#This Row],[Scope 3 Emission factor]]</f>
        <v>15.722222222222221</v>
      </c>
      <c r="AH122" t="b">
        <f>GHGFY20[[#This Row],[Reporting Alias]]=GHGFY207[[#This Row],[Reporting Alias]]</f>
        <v>1</v>
      </c>
    </row>
    <row r="123" spans="1:34" ht="69">
      <c r="A123" t="s">
        <v>907</v>
      </c>
      <c r="B123" t="s">
        <v>1227</v>
      </c>
      <c r="C123" t="s">
        <v>4412</v>
      </c>
      <c r="D123" t="s">
        <v>1208</v>
      </c>
      <c r="E123" t="s">
        <v>673</v>
      </c>
      <c r="F123">
        <v>1E-3</v>
      </c>
      <c r="G123" t="s">
        <v>4413</v>
      </c>
      <c r="H123">
        <v>25.7</v>
      </c>
      <c r="I123" t="s">
        <v>1140</v>
      </c>
      <c r="J123">
        <v>60.600000000000009</v>
      </c>
      <c r="L123">
        <v>3.6</v>
      </c>
      <c r="M123" t="s">
        <v>4414</v>
      </c>
      <c r="N123" t="s">
        <v>4418</v>
      </c>
      <c r="P123" t="s">
        <v>4416</v>
      </c>
      <c r="S123" s="64">
        <f t="shared" si="0"/>
        <v>60.600000000000009</v>
      </c>
      <c r="U123" s="5">
        <v>60.2</v>
      </c>
      <c r="V123" s="5">
        <v>0.2</v>
      </c>
      <c r="W123" s="5">
        <v>0.2</v>
      </c>
      <c r="X123" s="56" t="str">
        <f>GHGFY20[[#This Row],[Data Source (scope 1)]]</f>
        <v>NGER (Measurement) Determination 2008 2019versions pg 318 - Part 3 Fuel combustion - 44</v>
      </c>
      <c r="Y123" s="65" t="s">
        <v>4416</v>
      </c>
      <c r="AB123" s="3">
        <f>(S123-GHGFY20[[#This Row],[Scope 1 Emission factor]])/GHGFY20[[#This Row],[Scope 1 Emission factor]]</f>
        <v>0</v>
      </c>
      <c r="AC123" s="3" t="e">
        <f>(T123-GHGFY20[[#This Row],[Scope 2 Emission factor]])/GHGFY20[[#This Row],[Scope 2 Emission factor]]</f>
        <v>#DIV/0!</v>
      </c>
      <c r="AD123" s="3">
        <f>(U123-GHGFY20[[#This Row],[Scope 3 Emission factor]])/GHGFY20[[#This Row],[Scope 3 Emission factor]]</f>
        <v>15.722222222222221</v>
      </c>
      <c r="AH123" t="b">
        <f>GHGFY20[[#This Row],[Reporting Alias]]=GHGFY207[[#This Row],[Reporting Alias]]</f>
        <v>1</v>
      </c>
    </row>
    <row r="124" spans="1:34" ht="69">
      <c r="A124" t="s">
        <v>908</v>
      </c>
      <c r="B124" t="s">
        <v>1227</v>
      </c>
      <c r="C124" t="s">
        <v>4412</v>
      </c>
      <c r="D124" t="s">
        <v>1190</v>
      </c>
      <c r="E124" t="s">
        <v>673</v>
      </c>
      <c r="F124">
        <v>1E-3</v>
      </c>
      <c r="G124" t="s">
        <v>4413</v>
      </c>
      <c r="H124">
        <v>34.200000000000003</v>
      </c>
      <c r="I124" t="s">
        <v>1140</v>
      </c>
      <c r="J124">
        <v>67.800000000000011</v>
      </c>
      <c r="L124">
        <v>3.6</v>
      </c>
      <c r="M124" t="s">
        <v>4414</v>
      </c>
      <c r="N124" t="s">
        <v>4419</v>
      </c>
      <c r="P124" t="s">
        <v>4416</v>
      </c>
      <c r="S124" s="64">
        <f t="shared" si="0"/>
        <v>67.800000000000011</v>
      </c>
      <c r="U124" s="5">
        <v>67.400000000000006</v>
      </c>
      <c r="V124" s="5">
        <v>0.2</v>
      </c>
      <c r="W124" s="5">
        <v>0.2</v>
      </c>
      <c r="X124" s="56" t="str">
        <f>GHGFY20[[#This Row],[Data Source (scope 1)]]</f>
        <v>NGER (Measurement) Determination 2008 2019versions pg 318 - Part 3 Fuel combustion - 35</v>
      </c>
      <c r="Y124" s="65" t="s">
        <v>4416</v>
      </c>
      <c r="AB124" s="3">
        <f>(S124-GHGFY20[[#This Row],[Scope 1 Emission factor]])/GHGFY20[[#This Row],[Scope 1 Emission factor]]</f>
        <v>0</v>
      </c>
      <c r="AC124" s="3" t="e">
        <f>(T124-GHGFY20[[#This Row],[Scope 2 Emission factor]])/GHGFY20[[#This Row],[Scope 2 Emission factor]]</f>
        <v>#DIV/0!</v>
      </c>
      <c r="AD124" s="3">
        <f>(U124-GHGFY20[[#This Row],[Scope 3 Emission factor]])/GHGFY20[[#This Row],[Scope 3 Emission factor]]</f>
        <v>17.722222222222221</v>
      </c>
      <c r="AH124" t="b">
        <f>GHGFY20[[#This Row],[Reporting Alias]]=GHGFY207[[#This Row],[Reporting Alias]]</f>
        <v>1</v>
      </c>
    </row>
    <row r="125" spans="1:34" ht="69">
      <c r="A125" t="s">
        <v>909</v>
      </c>
      <c r="B125" t="s">
        <v>1227</v>
      </c>
      <c r="C125" t="s">
        <v>4412</v>
      </c>
      <c r="D125" t="s">
        <v>1192</v>
      </c>
      <c r="E125" t="s">
        <v>673</v>
      </c>
      <c r="F125">
        <v>1E-3</v>
      </c>
      <c r="G125" t="s">
        <v>4413</v>
      </c>
      <c r="H125">
        <v>34.200000000000003</v>
      </c>
      <c r="I125" t="s">
        <v>1140</v>
      </c>
      <c r="J125">
        <v>67.800000000000011</v>
      </c>
      <c r="L125">
        <v>3.6</v>
      </c>
      <c r="M125" t="s">
        <v>4414</v>
      </c>
      <c r="N125" t="s">
        <v>4419</v>
      </c>
      <c r="P125" t="s">
        <v>4416</v>
      </c>
      <c r="S125" s="64">
        <f t="shared" si="0"/>
        <v>67.800000000000011</v>
      </c>
      <c r="U125" s="5">
        <v>67.400000000000006</v>
      </c>
      <c r="V125" s="5">
        <v>0.2</v>
      </c>
      <c r="W125" s="5">
        <v>0.2</v>
      </c>
      <c r="X125" s="56" t="str">
        <f>GHGFY20[[#This Row],[Data Source (scope 1)]]</f>
        <v>NGER (Measurement) Determination 2008 2019versions pg 318 - Part 3 Fuel combustion - 35</v>
      </c>
      <c r="Y125" s="65" t="s">
        <v>4416</v>
      </c>
      <c r="AB125" s="3">
        <f>(S125-GHGFY20[[#This Row],[Scope 1 Emission factor]])/GHGFY20[[#This Row],[Scope 1 Emission factor]]</f>
        <v>0</v>
      </c>
      <c r="AC125" s="3" t="e">
        <f>(T125-GHGFY20[[#This Row],[Scope 2 Emission factor]])/GHGFY20[[#This Row],[Scope 2 Emission factor]]</f>
        <v>#DIV/0!</v>
      </c>
      <c r="AD125" s="3">
        <f>(U125-GHGFY20[[#This Row],[Scope 3 Emission factor]])/GHGFY20[[#This Row],[Scope 3 Emission factor]]</f>
        <v>17.722222222222221</v>
      </c>
      <c r="AH125" t="b">
        <f>GHGFY20[[#This Row],[Reporting Alias]]=GHGFY207[[#This Row],[Reporting Alias]]</f>
        <v>1</v>
      </c>
    </row>
    <row r="126" spans="1:34" ht="69">
      <c r="A126" t="s">
        <v>914</v>
      </c>
      <c r="B126" t="s">
        <v>1227</v>
      </c>
      <c r="C126" t="s">
        <v>4412</v>
      </c>
      <c r="D126" t="s">
        <v>1189</v>
      </c>
      <c r="E126" t="s">
        <v>673</v>
      </c>
      <c r="F126">
        <v>1E-3</v>
      </c>
      <c r="G126" t="s">
        <v>4413</v>
      </c>
      <c r="H126">
        <v>34.200000000000003</v>
      </c>
      <c r="I126" t="s">
        <v>1140</v>
      </c>
      <c r="J126">
        <v>67.800000000000011</v>
      </c>
      <c r="L126">
        <v>3.6</v>
      </c>
      <c r="M126" t="s">
        <v>4414</v>
      </c>
      <c r="N126" t="s">
        <v>4419</v>
      </c>
      <c r="P126" t="s">
        <v>4416</v>
      </c>
      <c r="S126" s="64">
        <f t="shared" si="0"/>
        <v>67.800000000000011</v>
      </c>
      <c r="U126" s="5">
        <v>67.400000000000006</v>
      </c>
      <c r="V126" s="5">
        <v>0.2</v>
      </c>
      <c r="W126" s="5">
        <v>0.2</v>
      </c>
      <c r="X126" s="56" t="str">
        <f>GHGFY20[[#This Row],[Data Source (scope 1)]]</f>
        <v>NGER (Measurement) Determination 2008 2019versions pg 318 - Part 3 Fuel combustion - 35</v>
      </c>
      <c r="Y126" s="65" t="s">
        <v>4416</v>
      </c>
      <c r="AB126" s="3">
        <f>(S126-GHGFY20[[#This Row],[Scope 1 Emission factor]])/GHGFY20[[#This Row],[Scope 1 Emission factor]]</f>
        <v>0</v>
      </c>
      <c r="AC126" s="3" t="e">
        <f>(T126-GHGFY20[[#This Row],[Scope 2 Emission factor]])/GHGFY20[[#This Row],[Scope 2 Emission factor]]</f>
        <v>#DIV/0!</v>
      </c>
      <c r="AD126" s="3">
        <f>(U126-GHGFY20[[#This Row],[Scope 3 Emission factor]])/GHGFY20[[#This Row],[Scope 3 Emission factor]]</f>
        <v>17.722222222222221</v>
      </c>
      <c r="AH126" t="b">
        <f>GHGFY20[[#This Row],[Reporting Alias]]=GHGFY207[[#This Row],[Reporting Alias]]</f>
        <v>1</v>
      </c>
    </row>
    <row r="127" spans="1:34" ht="69">
      <c r="A127" t="s">
        <v>911</v>
      </c>
      <c r="B127" t="s">
        <v>1227</v>
      </c>
      <c r="C127" t="s">
        <v>4412</v>
      </c>
      <c r="D127" t="s">
        <v>1210</v>
      </c>
      <c r="E127" t="s">
        <v>673</v>
      </c>
      <c r="F127">
        <v>1E-3</v>
      </c>
      <c r="G127" t="s">
        <v>4413</v>
      </c>
      <c r="H127">
        <v>34.200000000000003</v>
      </c>
      <c r="I127" t="s">
        <v>1140</v>
      </c>
      <c r="J127">
        <v>67.800000000000011</v>
      </c>
      <c r="L127">
        <v>3.6</v>
      </c>
      <c r="M127" t="s">
        <v>4414</v>
      </c>
      <c r="N127" t="s">
        <v>4419</v>
      </c>
      <c r="P127" t="s">
        <v>4416</v>
      </c>
      <c r="S127" s="64">
        <f t="shared" si="0"/>
        <v>67.800000000000011</v>
      </c>
      <c r="U127" s="5">
        <v>67.400000000000006</v>
      </c>
      <c r="V127" s="5">
        <v>0.2</v>
      </c>
      <c r="W127" s="5">
        <v>0.2</v>
      </c>
      <c r="X127" s="56" t="str">
        <f>GHGFY20[[#This Row],[Data Source (scope 1)]]</f>
        <v>NGER (Measurement) Determination 2008 2019versions pg 318 - Part 3 Fuel combustion - 35</v>
      </c>
      <c r="Y127" s="65" t="s">
        <v>4416</v>
      </c>
      <c r="AB127" s="3">
        <f>(S127-GHGFY20[[#This Row],[Scope 1 Emission factor]])/GHGFY20[[#This Row],[Scope 1 Emission factor]]</f>
        <v>0</v>
      </c>
      <c r="AC127" s="3" t="e">
        <f>(T127-GHGFY20[[#This Row],[Scope 2 Emission factor]])/GHGFY20[[#This Row],[Scope 2 Emission factor]]</f>
        <v>#DIV/0!</v>
      </c>
      <c r="AD127" s="3">
        <f>(U127-GHGFY20[[#This Row],[Scope 3 Emission factor]])/GHGFY20[[#This Row],[Scope 3 Emission factor]]</f>
        <v>17.722222222222221</v>
      </c>
      <c r="AH127" t="b">
        <f>GHGFY20[[#This Row],[Reporting Alias]]=GHGFY207[[#This Row],[Reporting Alias]]</f>
        <v>1</v>
      </c>
    </row>
    <row r="128" spans="1:34" ht="69">
      <c r="A128" t="s">
        <v>915</v>
      </c>
      <c r="B128" t="s">
        <v>1227</v>
      </c>
      <c r="C128" t="s">
        <v>4412</v>
      </c>
      <c r="D128" t="s">
        <v>1216</v>
      </c>
      <c r="E128" t="s">
        <v>673</v>
      </c>
      <c r="F128">
        <v>1E-3</v>
      </c>
      <c r="G128" t="s">
        <v>4413</v>
      </c>
      <c r="H128">
        <v>34.200000000000003</v>
      </c>
      <c r="I128" t="s">
        <v>1140</v>
      </c>
      <c r="J128">
        <v>67.800000000000011</v>
      </c>
      <c r="L128">
        <v>3.6</v>
      </c>
      <c r="M128" t="s">
        <v>4414</v>
      </c>
      <c r="N128" t="s">
        <v>4419</v>
      </c>
      <c r="P128" t="s">
        <v>4416</v>
      </c>
      <c r="S128" s="64">
        <f t="shared" si="0"/>
        <v>67.800000000000011</v>
      </c>
      <c r="U128" s="5">
        <v>67.400000000000006</v>
      </c>
      <c r="V128" s="5">
        <v>0.2</v>
      </c>
      <c r="W128" s="5">
        <v>0.2</v>
      </c>
      <c r="X128" s="56" t="str">
        <f>GHGFY20[[#This Row],[Data Source (scope 1)]]</f>
        <v>NGER (Measurement) Determination 2008 2019versions pg 318 - Part 3 Fuel combustion - 35</v>
      </c>
      <c r="Y128" s="65" t="s">
        <v>4416</v>
      </c>
      <c r="AB128" s="3">
        <f>(S128-GHGFY20[[#This Row],[Scope 1 Emission factor]])/GHGFY20[[#This Row],[Scope 1 Emission factor]]</f>
        <v>0</v>
      </c>
      <c r="AC128" s="3" t="e">
        <f>(T128-GHGFY20[[#This Row],[Scope 2 Emission factor]])/GHGFY20[[#This Row],[Scope 2 Emission factor]]</f>
        <v>#DIV/0!</v>
      </c>
      <c r="AD128" s="3">
        <f>(U128-GHGFY20[[#This Row],[Scope 3 Emission factor]])/GHGFY20[[#This Row],[Scope 3 Emission factor]]</f>
        <v>17.722222222222221</v>
      </c>
      <c r="AH128" t="b">
        <f>GHGFY20[[#This Row],[Reporting Alias]]=GHGFY207[[#This Row],[Reporting Alias]]</f>
        <v>1</v>
      </c>
    </row>
    <row r="129" spans="1:34" ht="69">
      <c r="A129" t="s">
        <v>912</v>
      </c>
      <c r="B129" t="s">
        <v>1227</v>
      </c>
      <c r="C129" t="s">
        <v>4412</v>
      </c>
      <c r="D129" t="s">
        <v>1193</v>
      </c>
      <c r="E129" t="s">
        <v>673</v>
      </c>
      <c r="F129">
        <v>1E-3</v>
      </c>
      <c r="G129" t="s">
        <v>4413</v>
      </c>
      <c r="H129">
        <v>34.200000000000003</v>
      </c>
      <c r="I129" t="s">
        <v>1140</v>
      </c>
      <c r="J129">
        <v>67.800000000000011</v>
      </c>
      <c r="L129">
        <v>3.6</v>
      </c>
      <c r="M129" t="s">
        <v>4414</v>
      </c>
      <c r="N129" t="s">
        <v>4419</v>
      </c>
      <c r="P129" t="s">
        <v>4416</v>
      </c>
      <c r="S129" s="64">
        <f t="shared" si="0"/>
        <v>67.800000000000011</v>
      </c>
      <c r="U129" s="5">
        <v>67.400000000000006</v>
      </c>
      <c r="V129" s="5">
        <v>0.2</v>
      </c>
      <c r="W129" s="5">
        <v>0.2</v>
      </c>
      <c r="X129" s="56" t="str">
        <f>GHGFY20[[#This Row],[Data Source (scope 1)]]</f>
        <v>NGER (Measurement) Determination 2008 2019versions pg 318 - Part 3 Fuel combustion - 35</v>
      </c>
      <c r="Y129" s="65" t="s">
        <v>4416</v>
      </c>
      <c r="AB129" s="3">
        <f>(S129-GHGFY20[[#This Row],[Scope 1 Emission factor]])/GHGFY20[[#This Row],[Scope 1 Emission factor]]</f>
        <v>0</v>
      </c>
      <c r="AC129" s="3" t="e">
        <f>(T129-GHGFY20[[#This Row],[Scope 2 Emission factor]])/GHGFY20[[#This Row],[Scope 2 Emission factor]]</f>
        <v>#DIV/0!</v>
      </c>
      <c r="AD129" s="3">
        <f>(U129-GHGFY20[[#This Row],[Scope 3 Emission factor]])/GHGFY20[[#This Row],[Scope 3 Emission factor]]</f>
        <v>17.722222222222221</v>
      </c>
      <c r="AH129" t="b">
        <f>GHGFY20[[#This Row],[Reporting Alias]]=GHGFY207[[#This Row],[Reporting Alias]]</f>
        <v>1</v>
      </c>
    </row>
    <row r="130" spans="1:34" ht="69">
      <c r="A130" t="s">
        <v>913</v>
      </c>
      <c r="B130" t="s">
        <v>1227</v>
      </c>
      <c r="C130" t="s">
        <v>4412</v>
      </c>
      <c r="D130" t="s">
        <v>1213</v>
      </c>
      <c r="E130" t="s">
        <v>673</v>
      </c>
      <c r="F130">
        <v>1E-3</v>
      </c>
      <c r="G130" t="s">
        <v>4413</v>
      </c>
      <c r="H130">
        <v>34.200000000000003</v>
      </c>
      <c r="I130" t="s">
        <v>1140</v>
      </c>
      <c r="J130">
        <v>67.800000000000011</v>
      </c>
      <c r="L130">
        <v>3.6</v>
      </c>
      <c r="M130" t="s">
        <v>4414</v>
      </c>
      <c r="N130" t="s">
        <v>4419</v>
      </c>
      <c r="P130" t="s">
        <v>4416</v>
      </c>
      <c r="S130" s="64">
        <f t="shared" si="0"/>
        <v>67.800000000000011</v>
      </c>
      <c r="U130" s="5">
        <v>67.400000000000006</v>
      </c>
      <c r="V130" s="5">
        <v>0.2</v>
      </c>
      <c r="W130" s="5">
        <v>0.2</v>
      </c>
      <c r="X130" s="56" t="str">
        <f>GHGFY20[[#This Row],[Data Source (scope 1)]]</f>
        <v>NGER (Measurement) Determination 2008 2019versions pg 318 - Part 3 Fuel combustion - 35</v>
      </c>
      <c r="Y130" s="65" t="s">
        <v>4416</v>
      </c>
      <c r="AB130" s="3">
        <f>(S130-GHGFY20[[#This Row],[Scope 1 Emission factor]])/GHGFY20[[#This Row],[Scope 1 Emission factor]]</f>
        <v>0</v>
      </c>
      <c r="AC130" s="3" t="e">
        <f>(T130-GHGFY20[[#This Row],[Scope 2 Emission factor]])/GHGFY20[[#This Row],[Scope 2 Emission factor]]</f>
        <v>#DIV/0!</v>
      </c>
      <c r="AD130" s="3">
        <f>(U130-GHGFY20[[#This Row],[Scope 3 Emission factor]])/GHGFY20[[#This Row],[Scope 3 Emission factor]]</f>
        <v>17.722222222222221</v>
      </c>
      <c r="AH130" t="b">
        <f>GHGFY20[[#This Row],[Reporting Alias]]=GHGFY207[[#This Row],[Reporting Alias]]</f>
        <v>1</v>
      </c>
    </row>
    <row r="131" spans="1:34" ht="69">
      <c r="A131" t="s">
        <v>910</v>
      </c>
      <c r="B131" t="s">
        <v>1227</v>
      </c>
      <c r="C131" t="s">
        <v>4412</v>
      </c>
      <c r="D131" t="s">
        <v>1208</v>
      </c>
      <c r="E131" t="s">
        <v>673</v>
      </c>
      <c r="F131">
        <v>1E-3</v>
      </c>
      <c r="G131" t="s">
        <v>4413</v>
      </c>
      <c r="H131">
        <v>34.200000000000003</v>
      </c>
      <c r="I131" t="s">
        <v>1140</v>
      </c>
      <c r="J131">
        <v>67.800000000000011</v>
      </c>
      <c r="L131">
        <v>3.6</v>
      </c>
      <c r="M131" t="s">
        <v>4414</v>
      </c>
      <c r="N131" t="s">
        <v>4419</v>
      </c>
      <c r="P131" t="s">
        <v>4416</v>
      </c>
      <c r="S131" s="64">
        <f t="shared" si="0"/>
        <v>67.800000000000011</v>
      </c>
      <c r="U131" s="5">
        <v>67.400000000000006</v>
      </c>
      <c r="V131" s="5">
        <v>0.2</v>
      </c>
      <c r="W131" s="5">
        <v>0.2</v>
      </c>
      <c r="X131" s="56" t="str">
        <f>GHGFY20[[#This Row],[Data Source (scope 1)]]</f>
        <v>NGER (Measurement) Determination 2008 2019versions pg 318 - Part 3 Fuel combustion - 35</v>
      </c>
      <c r="Y131" s="65" t="s">
        <v>4416</v>
      </c>
      <c r="AB131" s="3">
        <f>(S131-GHGFY20[[#This Row],[Scope 1 Emission factor]])/GHGFY20[[#This Row],[Scope 1 Emission factor]]</f>
        <v>0</v>
      </c>
      <c r="AC131" s="3" t="e">
        <f>(T131-GHGFY20[[#This Row],[Scope 2 Emission factor]])/GHGFY20[[#This Row],[Scope 2 Emission factor]]</f>
        <v>#DIV/0!</v>
      </c>
      <c r="AD131" s="3">
        <f>(U131-GHGFY20[[#This Row],[Scope 3 Emission factor]])/GHGFY20[[#This Row],[Scope 3 Emission factor]]</f>
        <v>17.722222222222221</v>
      </c>
      <c r="AH131" t="b">
        <f>GHGFY20[[#This Row],[Reporting Alias]]=GHGFY207[[#This Row],[Reporting Alias]]</f>
        <v>1</v>
      </c>
    </row>
    <row r="132" spans="1:34" ht="69">
      <c r="A132" t="s">
        <v>916</v>
      </c>
      <c r="B132" t="s">
        <v>1227</v>
      </c>
      <c r="C132" t="s">
        <v>4412</v>
      </c>
      <c r="D132" t="s">
        <v>1190</v>
      </c>
      <c r="E132" t="s">
        <v>673</v>
      </c>
      <c r="F132">
        <v>1E-3</v>
      </c>
      <c r="G132" t="s">
        <v>4413</v>
      </c>
      <c r="H132">
        <v>38.6</v>
      </c>
      <c r="I132" t="s">
        <v>1140</v>
      </c>
      <c r="J132">
        <v>70.2</v>
      </c>
      <c r="L132">
        <v>3.6</v>
      </c>
      <c r="M132" t="s">
        <v>4414</v>
      </c>
      <c r="N132" t="s">
        <v>4415</v>
      </c>
      <c r="P132" t="s">
        <v>4416</v>
      </c>
      <c r="S132" s="64">
        <f t="shared" si="0"/>
        <v>70.2</v>
      </c>
      <c r="U132" s="5">
        <v>69.900000000000006</v>
      </c>
      <c r="V132" s="5">
        <v>0.1</v>
      </c>
      <c r="W132" s="5">
        <v>0.2</v>
      </c>
      <c r="X132" s="56" t="str">
        <f>GHGFY20[[#This Row],[Data Source (scope 1)]]</f>
        <v>NGER (Measurement) Determination 2008 2019versions pg 318 - Part 3 Fuel combustion - 40</v>
      </c>
      <c r="Y132" s="65" t="s">
        <v>4416</v>
      </c>
      <c r="AB132" s="3">
        <f>(S132-GHGFY20[[#This Row],[Scope 1 Emission factor]])/GHGFY20[[#This Row],[Scope 1 Emission factor]]</f>
        <v>0</v>
      </c>
      <c r="AC132" s="3" t="e">
        <f>(T132-GHGFY20[[#This Row],[Scope 2 Emission factor]])/GHGFY20[[#This Row],[Scope 2 Emission factor]]</f>
        <v>#DIV/0!</v>
      </c>
      <c r="AD132" s="3">
        <f>(U132-GHGFY20[[#This Row],[Scope 3 Emission factor]])/GHGFY20[[#This Row],[Scope 3 Emission factor]]</f>
        <v>18.416666666666668</v>
      </c>
      <c r="AH132" t="b">
        <f>GHGFY20[[#This Row],[Reporting Alias]]=GHGFY207[[#This Row],[Reporting Alias]]</f>
        <v>1</v>
      </c>
    </row>
    <row r="133" spans="1:34" ht="69">
      <c r="A133" t="s">
        <v>917</v>
      </c>
      <c r="B133" t="s">
        <v>1227</v>
      </c>
      <c r="C133" t="s">
        <v>4412</v>
      </c>
      <c r="D133" t="s">
        <v>1192</v>
      </c>
      <c r="E133" t="s">
        <v>673</v>
      </c>
      <c r="F133">
        <v>1E-3</v>
      </c>
      <c r="G133" t="s">
        <v>4413</v>
      </c>
      <c r="H133">
        <v>38.6</v>
      </c>
      <c r="I133" t="s">
        <v>1140</v>
      </c>
      <c r="J133">
        <v>70.2</v>
      </c>
      <c r="L133">
        <v>3.6</v>
      </c>
      <c r="M133" t="s">
        <v>4414</v>
      </c>
      <c r="N133" t="s">
        <v>4415</v>
      </c>
      <c r="P133" t="s">
        <v>4416</v>
      </c>
      <c r="S133" s="64">
        <f t="shared" si="0"/>
        <v>70.2</v>
      </c>
      <c r="U133" s="5">
        <v>69.900000000000006</v>
      </c>
      <c r="V133" s="5">
        <v>0.1</v>
      </c>
      <c r="W133" s="5">
        <v>0.2</v>
      </c>
      <c r="X133" s="56" t="str">
        <f>GHGFY20[[#This Row],[Data Source (scope 1)]]</f>
        <v>NGER (Measurement) Determination 2008 2019versions pg 318 - Part 3 Fuel combustion - 40</v>
      </c>
      <c r="Y133" s="65" t="s">
        <v>4416</v>
      </c>
      <c r="AB133" s="3">
        <f>(S133-GHGFY20[[#This Row],[Scope 1 Emission factor]])/GHGFY20[[#This Row],[Scope 1 Emission factor]]</f>
        <v>0</v>
      </c>
      <c r="AC133" s="3" t="e">
        <f>(T133-GHGFY20[[#This Row],[Scope 2 Emission factor]])/GHGFY20[[#This Row],[Scope 2 Emission factor]]</f>
        <v>#DIV/0!</v>
      </c>
      <c r="AD133" s="3">
        <f>(U133-GHGFY20[[#This Row],[Scope 3 Emission factor]])/GHGFY20[[#This Row],[Scope 3 Emission factor]]</f>
        <v>18.416666666666668</v>
      </c>
      <c r="AH133" t="b">
        <f>GHGFY20[[#This Row],[Reporting Alias]]=GHGFY207[[#This Row],[Reporting Alias]]</f>
        <v>1</v>
      </c>
    </row>
    <row r="134" spans="1:34" ht="69">
      <c r="A134" t="s">
        <v>922</v>
      </c>
      <c r="B134" t="s">
        <v>1227</v>
      </c>
      <c r="C134" t="s">
        <v>4412</v>
      </c>
      <c r="D134" t="s">
        <v>1189</v>
      </c>
      <c r="E134" t="s">
        <v>673</v>
      </c>
      <c r="F134">
        <v>1E-3</v>
      </c>
      <c r="G134" t="s">
        <v>4413</v>
      </c>
      <c r="H134">
        <v>38.6</v>
      </c>
      <c r="I134" t="s">
        <v>1140</v>
      </c>
      <c r="J134">
        <v>70.2</v>
      </c>
      <c r="L134">
        <v>3.6</v>
      </c>
      <c r="M134" t="s">
        <v>4414</v>
      </c>
      <c r="N134" t="s">
        <v>4415</v>
      </c>
      <c r="P134" t="s">
        <v>4416</v>
      </c>
      <c r="S134" s="64">
        <f t="shared" si="0"/>
        <v>70.2</v>
      </c>
      <c r="U134" s="5">
        <v>69.900000000000006</v>
      </c>
      <c r="V134" s="5">
        <v>0.1</v>
      </c>
      <c r="W134" s="5">
        <v>0.2</v>
      </c>
      <c r="X134" s="56" t="str">
        <f>GHGFY20[[#This Row],[Data Source (scope 1)]]</f>
        <v>NGER (Measurement) Determination 2008 2019versions pg 318 - Part 3 Fuel combustion - 40</v>
      </c>
      <c r="Y134" s="65" t="s">
        <v>4416</v>
      </c>
      <c r="AB134" s="3">
        <f>(S134-GHGFY20[[#This Row],[Scope 1 Emission factor]])/GHGFY20[[#This Row],[Scope 1 Emission factor]]</f>
        <v>0</v>
      </c>
      <c r="AC134" s="3" t="e">
        <f>(T134-GHGFY20[[#This Row],[Scope 2 Emission factor]])/GHGFY20[[#This Row],[Scope 2 Emission factor]]</f>
        <v>#DIV/0!</v>
      </c>
      <c r="AD134" s="3">
        <f>(U134-GHGFY20[[#This Row],[Scope 3 Emission factor]])/GHGFY20[[#This Row],[Scope 3 Emission factor]]</f>
        <v>18.416666666666668</v>
      </c>
      <c r="AH134" t="b">
        <f>GHGFY20[[#This Row],[Reporting Alias]]=GHGFY207[[#This Row],[Reporting Alias]]</f>
        <v>1</v>
      </c>
    </row>
    <row r="135" spans="1:34" ht="69">
      <c r="A135" t="s">
        <v>919</v>
      </c>
      <c r="B135" t="s">
        <v>1227</v>
      </c>
      <c r="C135" t="s">
        <v>4412</v>
      </c>
      <c r="D135" t="s">
        <v>1210</v>
      </c>
      <c r="E135" t="s">
        <v>673</v>
      </c>
      <c r="F135">
        <v>1E-3</v>
      </c>
      <c r="G135" t="s">
        <v>4413</v>
      </c>
      <c r="H135">
        <v>38.6</v>
      </c>
      <c r="I135" t="s">
        <v>1140</v>
      </c>
      <c r="J135">
        <v>70.2</v>
      </c>
      <c r="L135">
        <v>3.6</v>
      </c>
      <c r="M135" t="s">
        <v>4414</v>
      </c>
      <c r="N135" t="s">
        <v>4415</v>
      </c>
      <c r="P135" t="s">
        <v>4416</v>
      </c>
      <c r="S135" s="64">
        <f t="shared" si="0"/>
        <v>70.2</v>
      </c>
      <c r="U135" s="5">
        <v>69.900000000000006</v>
      </c>
      <c r="V135" s="5">
        <v>0.1</v>
      </c>
      <c r="W135" s="5">
        <v>0.2</v>
      </c>
      <c r="X135" s="56" t="str">
        <f>GHGFY20[[#This Row],[Data Source (scope 1)]]</f>
        <v>NGER (Measurement) Determination 2008 2019versions pg 318 - Part 3 Fuel combustion - 40</v>
      </c>
      <c r="Y135" s="65" t="s">
        <v>4416</v>
      </c>
      <c r="AB135" s="3">
        <f>(S135-GHGFY20[[#This Row],[Scope 1 Emission factor]])/GHGFY20[[#This Row],[Scope 1 Emission factor]]</f>
        <v>0</v>
      </c>
      <c r="AC135" s="3" t="e">
        <f>(T135-GHGFY20[[#This Row],[Scope 2 Emission factor]])/GHGFY20[[#This Row],[Scope 2 Emission factor]]</f>
        <v>#DIV/0!</v>
      </c>
      <c r="AD135" s="3">
        <f>(U135-GHGFY20[[#This Row],[Scope 3 Emission factor]])/GHGFY20[[#This Row],[Scope 3 Emission factor]]</f>
        <v>18.416666666666668</v>
      </c>
      <c r="AH135" t="b">
        <f>GHGFY20[[#This Row],[Reporting Alias]]=GHGFY207[[#This Row],[Reporting Alias]]</f>
        <v>1</v>
      </c>
    </row>
    <row r="136" spans="1:34" ht="69">
      <c r="A136" t="s">
        <v>923</v>
      </c>
      <c r="B136" t="s">
        <v>1227</v>
      </c>
      <c r="C136" t="s">
        <v>4412</v>
      </c>
      <c r="D136" t="s">
        <v>1216</v>
      </c>
      <c r="E136" t="s">
        <v>673</v>
      </c>
      <c r="F136">
        <v>1E-3</v>
      </c>
      <c r="G136" t="s">
        <v>4413</v>
      </c>
      <c r="H136">
        <v>38.6</v>
      </c>
      <c r="I136" t="s">
        <v>1140</v>
      </c>
      <c r="J136">
        <v>70.2</v>
      </c>
      <c r="L136">
        <v>3.6</v>
      </c>
      <c r="M136" t="s">
        <v>4414</v>
      </c>
      <c r="N136" t="s">
        <v>4415</v>
      </c>
      <c r="P136" t="s">
        <v>4416</v>
      </c>
      <c r="S136" s="64">
        <f t="shared" si="0"/>
        <v>70.2</v>
      </c>
      <c r="U136" s="5">
        <v>69.900000000000006</v>
      </c>
      <c r="V136" s="5">
        <v>0.1</v>
      </c>
      <c r="W136" s="5">
        <v>0.2</v>
      </c>
      <c r="X136" s="56" t="str">
        <f>GHGFY20[[#This Row],[Data Source (scope 1)]]</f>
        <v>NGER (Measurement) Determination 2008 2019versions pg 318 - Part 3 Fuel combustion - 40</v>
      </c>
      <c r="Y136" s="65" t="s">
        <v>4416</v>
      </c>
      <c r="AB136" s="3">
        <f>(S136-GHGFY20[[#This Row],[Scope 1 Emission factor]])/GHGFY20[[#This Row],[Scope 1 Emission factor]]</f>
        <v>0</v>
      </c>
      <c r="AC136" s="3" t="e">
        <f>(T136-GHGFY20[[#This Row],[Scope 2 Emission factor]])/GHGFY20[[#This Row],[Scope 2 Emission factor]]</f>
        <v>#DIV/0!</v>
      </c>
      <c r="AD136" s="3">
        <f>(U136-GHGFY20[[#This Row],[Scope 3 Emission factor]])/GHGFY20[[#This Row],[Scope 3 Emission factor]]</f>
        <v>18.416666666666668</v>
      </c>
      <c r="AH136" t="b">
        <f>GHGFY20[[#This Row],[Reporting Alias]]=GHGFY207[[#This Row],[Reporting Alias]]</f>
        <v>1</v>
      </c>
    </row>
    <row r="137" spans="1:34" ht="69">
      <c r="A137" t="s">
        <v>920</v>
      </c>
      <c r="B137" t="s">
        <v>1227</v>
      </c>
      <c r="C137" t="s">
        <v>4412</v>
      </c>
      <c r="D137" t="s">
        <v>1193</v>
      </c>
      <c r="E137" t="s">
        <v>673</v>
      </c>
      <c r="F137">
        <v>1E-3</v>
      </c>
      <c r="G137" t="s">
        <v>4413</v>
      </c>
      <c r="H137">
        <v>38.6</v>
      </c>
      <c r="I137" t="s">
        <v>1140</v>
      </c>
      <c r="J137">
        <v>70.2</v>
      </c>
      <c r="L137">
        <v>3.6</v>
      </c>
      <c r="M137" t="s">
        <v>4414</v>
      </c>
      <c r="N137" t="s">
        <v>4415</v>
      </c>
      <c r="P137" t="s">
        <v>4416</v>
      </c>
      <c r="S137" s="64">
        <f t="shared" si="0"/>
        <v>70.2</v>
      </c>
      <c r="U137" s="5">
        <v>69.900000000000006</v>
      </c>
      <c r="V137" s="5">
        <v>0.1</v>
      </c>
      <c r="W137" s="5">
        <v>0.2</v>
      </c>
      <c r="X137" s="56" t="str">
        <f>GHGFY20[[#This Row],[Data Source (scope 1)]]</f>
        <v>NGER (Measurement) Determination 2008 2019versions pg 318 - Part 3 Fuel combustion - 40</v>
      </c>
      <c r="Y137" s="65" t="s">
        <v>4416</v>
      </c>
      <c r="AB137" s="3">
        <f>(S137-GHGFY20[[#This Row],[Scope 1 Emission factor]])/GHGFY20[[#This Row],[Scope 1 Emission factor]]</f>
        <v>0</v>
      </c>
      <c r="AC137" s="3" t="e">
        <f>(T137-GHGFY20[[#This Row],[Scope 2 Emission factor]])/GHGFY20[[#This Row],[Scope 2 Emission factor]]</f>
        <v>#DIV/0!</v>
      </c>
      <c r="AD137" s="3">
        <f>(U137-GHGFY20[[#This Row],[Scope 3 Emission factor]])/GHGFY20[[#This Row],[Scope 3 Emission factor]]</f>
        <v>18.416666666666668</v>
      </c>
      <c r="AH137" t="b">
        <f>GHGFY20[[#This Row],[Reporting Alias]]=GHGFY207[[#This Row],[Reporting Alias]]</f>
        <v>1</v>
      </c>
    </row>
    <row r="138" spans="1:34" ht="69">
      <c r="A138" t="s">
        <v>921</v>
      </c>
      <c r="B138" t="s">
        <v>1227</v>
      </c>
      <c r="C138" t="s">
        <v>4412</v>
      </c>
      <c r="D138" t="s">
        <v>1213</v>
      </c>
      <c r="E138" t="s">
        <v>673</v>
      </c>
      <c r="F138">
        <v>1E-3</v>
      </c>
      <c r="G138" t="s">
        <v>4413</v>
      </c>
      <c r="H138">
        <v>38.6</v>
      </c>
      <c r="I138" t="s">
        <v>1140</v>
      </c>
      <c r="J138">
        <v>70.2</v>
      </c>
      <c r="L138">
        <v>3.6</v>
      </c>
      <c r="M138" t="s">
        <v>4414</v>
      </c>
      <c r="N138" t="s">
        <v>4415</v>
      </c>
      <c r="P138" t="s">
        <v>4416</v>
      </c>
      <c r="S138" s="64">
        <f t="shared" si="0"/>
        <v>70.2</v>
      </c>
      <c r="U138" s="5">
        <v>69.900000000000006</v>
      </c>
      <c r="V138" s="5">
        <v>0.1</v>
      </c>
      <c r="W138" s="5">
        <v>0.2</v>
      </c>
      <c r="X138" s="56" t="str">
        <f>GHGFY20[[#This Row],[Data Source (scope 1)]]</f>
        <v>NGER (Measurement) Determination 2008 2019versions pg 318 - Part 3 Fuel combustion - 40</v>
      </c>
      <c r="Y138" s="65" t="s">
        <v>4416</v>
      </c>
      <c r="AB138" s="3">
        <f>(S138-GHGFY20[[#This Row],[Scope 1 Emission factor]])/GHGFY20[[#This Row],[Scope 1 Emission factor]]</f>
        <v>0</v>
      </c>
      <c r="AC138" s="3" t="e">
        <f>(T138-GHGFY20[[#This Row],[Scope 2 Emission factor]])/GHGFY20[[#This Row],[Scope 2 Emission factor]]</f>
        <v>#DIV/0!</v>
      </c>
      <c r="AD138" s="3">
        <f>(U138-GHGFY20[[#This Row],[Scope 3 Emission factor]])/GHGFY20[[#This Row],[Scope 3 Emission factor]]</f>
        <v>18.416666666666668</v>
      </c>
      <c r="AH138" t="b">
        <f>GHGFY20[[#This Row],[Reporting Alias]]=GHGFY207[[#This Row],[Reporting Alias]]</f>
        <v>1</v>
      </c>
    </row>
    <row r="139" spans="1:34" ht="69">
      <c r="A139" t="s">
        <v>918</v>
      </c>
      <c r="B139" t="s">
        <v>1227</v>
      </c>
      <c r="C139" t="s">
        <v>4412</v>
      </c>
      <c r="D139" t="s">
        <v>1208</v>
      </c>
      <c r="E139" t="s">
        <v>673</v>
      </c>
      <c r="F139">
        <v>1E-3</v>
      </c>
      <c r="G139" t="s">
        <v>4413</v>
      </c>
      <c r="H139">
        <v>38.6</v>
      </c>
      <c r="I139" t="s">
        <v>1140</v>
      </c>
      <c r="J139">
        <v>70.2</v>
      </c>
      <c r="L139">
        <v>3.6</v>
      </c>
      <c r="M139" t="s">
        <v>4414</v>
      </c>
      <c r="N139" t="s">
        <v>4415</v>
      </c>
      <c r="P139" t="s">
        <v>4416</v>
      </c>
      <c r="S139" s="64">
        <f t="shared" si="0"/>
        <v>70.2</v>
      </c>
      <c r="U139" s="5">
        <v>69.900000000000006</v>
      </c>
      <c r="V139" s="5">
        <v>0.1</v>
      </c>
      <c r="W139" s="5">
        <v>0.2</v>
      </c>
      <c r="X139" s="56" t="str">
        <f>GHGFY20[[#This Row],[Data Source (scope 1)]]</f>
        <v>NGER (Measurement) Determination 2008 2019versions pg 318 - Part 3 Fuel combustion - 40</v>
      </c>
      <c r="Y139" s="65" t="s">
        <v>4416</v>
      </c>
      <c r="AB139" s="3">
        <f>(S139-GHGFY20[[#This Row],[Scope 1 Emission factor]])/GHGFY20[[#This Row],[Scope 1 Emission factor]]</f>
        <v>0</v>
      </c>
      <c r="AC139" s="3" t="e">
        <f>(T139-GHGFY20[[#This Row],[Scope 2 Emission factor]])/GHGFY20[[#This Row],[Scope 2 Emission factor]]</f>
        <v>#DIV/0!</v>
      </c>
      <c r="AD139" s="3">
        <f>(U139-GHGFY20[[#This Row],[Scope 3 Emission factor]])/GHGFY20[[#This Row],[Scope 3 Emission factor]]</f>
        <v>18.416666666666668</v>
      </c>
      <c r="AH139" t="b">
        <f>GHGFY20[[#This Row],[Reporting Alias]]=GHGFY207[[#This Row],[Reporting Alias]]</f>
        <v>1</v>
      </c>
    </row>
    <row r="140" spans="1:34" ht="69">
      <c r="A140" t="s">
        <v>924</v>
      </c>
      <c r="B140" t="s">
        <v>1227</v>
      </c>
      <c r="C140" t="s">
        <v>4412</v>
      </c>
      <c r="D140" t="s">
        <v>1190</v>
      </c>
      <c r="E140" t="s">
        <v>673</v>
      </c>
      <c r="F140">
        <v>1E-3</v>
      </c>
      <c r="G140" t="s">
        <v>4413</v>
      </c>
      <c r="H140">
        <v>25.7</v>
      </c>
      <c r="I140" t="s">
        <v>1140</v>
      </c>
      <c r="J140">
        <v>60.600000000000009</v>
      </c>
      <c r="L140">
        <v>3.6</v>
      </c>
      <c r="M140" t="s">
        <v>4414</v>
      </c>
      <c r="N140" t="s">
        <v>4418</v>
      </c>
      <c r="P140" t="s">
        <v>4416</v>
      </c>
      <c r="S140" s="64">
        <f t="shared" si="0"/>
        <v>60.600000000000009</v>
      </c>
      <c r="U140">
        <v>60.2</v>
      </c>
      <c r="V140">
        <v>0.2</v>
      </c>
      <c r="W140">
        <v>0.2</v>
      </c>
      <c r="X140" s="56" t="str">
        <f>GHGFY20[[#This Row],[Data Source (scope 1)]]</f>
        <v>NGER (Measurement) Determination 2008 2019versions pg 318 - Part 3 Fuel combustion - 44</v>
      </c>
      <c r="Y140" s="65" t="s">
        <v>4416</v>
      </c>
      <c r="AB140" s="3">
        <f>(S140-GHGFY20[[#This Row],[Scope 1 Emission factor]])/GHGFY20[[#This Row],[Scope 1 Emission factor]]</f>
        <v>0</v>
      </c>
      <c r="AC140" s="3" t="e">
        <f>(T140-GHGFY20[[#This Row],[Scope 2 Emission factor]])/GHGFY20[[#This Row],[Scope 2 Emission factor]]</f>
        <v>#DIV/0!</v>
      </c>
      <c r="AD140" s="3">
        <f>(U140-GHGFY20[[#This Row],[Scope 3 Emission factor]])/GHGFY20[[#This Row],[Scope 3 Emission factor]]</f>
        <v>15.722222222222221</v>
      </c>
      <c r="AH140" t="b">
        <f>GHGFY20[[#This Row],[Reporting Alias]]=GHGFY207[[#This Row],[Reporting Alias]]</f>
        <v>1</v>
      </c>
    </row>
    <row r="141" spans="1:34" ht="69">
      <c r="A141" t="s">
        <v>925</v>
      </c>
      <c r="B141" t="s">
        <v>1227</v>
      </c>
      <c r="C141" t="s">
        <v>4412</v>
      </c>
      <c r="D141" t="s">
        <v>1192</v>
      </c>
      <c r="E141" t="s">
        <v>673</v>
      </c>
      <c r="F141">
        <v>1E-3</v>
      </c>
      <c r="G141" t="s">
        <v>4413</v>
      </c>
      <c r="H141">
        <v>25.7</v>
      </c>
      <c r="I141" t="s">
        <v>1140</v>
      </c>
      <c r="J141">
        <v>60.600000000000009</v>
      </c>
      <c r="L141">
        <v>3.6</v>
      </c>
      <c r="M141" t="s">
        <v>4414</v>
      </c>
      <c r="N141" t="s">
        <v>4418</v>
      </c>
      <c r="P141" t="s">
        <v>4416</v>
      </c>
      <c r="S141" s="64">
        <f t="shared" ref="S141:S155" si="1">SUM(U141:W141)</f>
        <v>60.600000000000009</v>
      </c>
      <c r="U141">
        <v>60.2</v>
      </c>
      <c r="V141">
        <v>0.2</v>
      </c>
      <c r="W141">
        <v>0.2</v>
      </c>
      <c r="X141" s="56" t="str">
        <f>GHGFY20[[#This Row],[Data Source (scope 1)]]</f>
        <v>NGER (Measurement) Determination 2008 2019versions pg 318 - Part 3 Fuel combustion - 44</v>
      </c>
      <c r="Y141" s="65" t="s">
        <v>4416</v>
      </c>
      <c r="AB141" s="3">
        <f>(S141-GHGFY20[[#This Row],[Scope 1 Emission factor]])/GHGFY20[[#This Row],[Scope 1 Emission factor]]</f>
        <v>0</v>
      </c>
      <c r="AC141" s="3" t="e">
        <f>(T141-GHGFY20[[#This Row],[Scope 2 Emission factor]])/GHGFY20[[#This Row],[Scope 2 Emission factor]]</f>
        <v>#DIV/0!</v>
      </c>
      <c r="AD141" s="3">
        <f>(U141-GHGFY20[[#This Row],[Scope 3 Emission factor]])/GHGFY20[[#This Row],[Scope 3 Emission factor]]</f>
        <v>15.722222222222221</v>
      </c>
      <c r="AH141" t="b">
        <f>GHGFY20[[#This Row],[Reporting Alias]]=GHGFY207[[#This Row],[Reporting Alias]]</f>
        <v>1</v>
      </c>
    </row>
    <row r="142" spans="1:34" ht="69">
      <c r="A142" t="s">
        <v>926</v>
      </c>
      <c r="B142" t="s">
        <v>1227</v>
      </c>
      <c r="C142" t="s">
        <v>4412</v>
      </c>
      <c r="D142" t="s">
        <v>1189</v>
      </c>
      <c r="E142" t="s">
        <v>673</v>
      </c>
      <c r="F142">
        <v>1E-3</v>
      </c>
      <c r="G142" t="s">
        <v>4413</v>
      </c>
      <c r="H142">
        <v>25.7</v>
      </c>
      <c r="I142" t="s">
        <v>1140</v>
      </c>
      <c r="J142">
        <v>60.600000000000009</v>
      </c>
      <c r="L142">
        <v>3.6</v>
      </c>
      <c r="M142" t="s">
        <v>4414</v>
      </c>
      <c r="N142" t="s">
        <v>4418</v>
      </c>
      <c r="P142" t="s">
        <v>4416</v>
      </c>
      <c r="S142" s="64">
        <f t="shared" si="1"/>
        <v>60.600000000000009</v>
      </c>
      <c r="U142">
        <v>60.2</v>
      </c>
      <c r="V142">
        <v>0.2</v>
      </c>
      <c r="W142">
        <v>0.2</v>
      </c>
      <c r="X142" s="56" t="str">
        <f>GHGFY20[[#This Row],[Data Source (scope 1)]]</f>
        <v>NGER (Measurement) Determination 2008 2019versions pg 318 - Part 3 Fuel combustion - 44</v>
      </c>
      <c r="Y142" s="65" t="s">
        <v>4416</v>
      </c>
      <c r="AB142" s="3">
        <f>(S142-GHGFY20[[#This Row],[Scope 1 Emission factor]])/GHGFY20[[#This Row],[Scope 1 Emission factor]]</f>
        <v>0</v>
      </c>
      <c r="AC142" s="3" t="e">
        <f>(T142-GHGFY20[[#This Row],[Scope 2 Emission factor]])/GHGFY20[[#This Row],[Scope 2 Emission factor]]</f>
        <v>#DIV/0!</v>
      </c>
      <c r="AD142" s="3">
        <f>(U142-GHGFY20[[#This Row],[Scope 3 Emission factor]])/GHGFY20[[#This Row],[Scope 3 Emission factor]]</f>
        <v>15.722222222222221</v>
      </c>
      <c r="AH142" t="b">
        <f>GHGFY20[[#This Row],[Reporting Alias]]=GHGFY207[[#This Row],[Reporting Alias]]</f>
        <v>1</v>
      </c>
    </row>
    <row r="143" spans="1:34" ht="69">
      <c r="A143" t="s">
        <v>927</v>
      </c>
      <c r="B143" t="s">
        <v>1227</v>
      </c>
      <c r="C143" t="s">
        <v>4412</v>
      </c>
      <c r="D143" t="s">
        <v>1210</v>
      </c>
      <c r="E143" t="s">
        <v>673</v>
      </c>
      <c r="F143">
        <v>1E-3</v>
      </c>
      <c r="G143" t="s">
        <v>4413</v>
      </c>
      <c r="H143">
        <v>25.7</v>
      </c>
      <c r="I143" t="s">
        <v>1140</v>
      </c>
      <c r="J143">
        <v>60.600000000000009</v>
      </c>
      <c r="L143">
        <v>3.6</v>
      </c>
      <c r="M143" t="s">
        <v>4414</v>
      </c>
      <c r="N143" t="s">
        <v>4418</v>
      </c>
      <c r="P143" t="s">
        <v>4416</v>
      </c>
      <c r="S143" s="64">
        <f t="shared" si="1"/>
        <v>60.600000000000009</v>
      </c>
      <c r="U143">
        <v>60.2</v>
      </c>
      <c r="V143">
        <v>0.2</v>
      </c>
      <c r="W143">
        <v>0.2</v>
      </c>
      <c r="X143" s="56" t="str">
        <f>GHGFY20[[#This Row],[Data Source (scope 1)]]</f>
        <v>NGER (Measurement) Determination 2008 2019versions pg 318 - Part 3 Fuel combustion - 44</v>
      </c>
      <c r="Y143" s="65" t="s">
        <v>4416</v>
      </c>
      <c r="AB143" s="3">
        <f>(S143-GHGFY20[[#This Row],[Scope 1 Emission factor]])/GHGFY20[[#This Row],[Scope 1 Emission factor]]</f>
        <v>0</v>
      </c>
      <c r="AC143" s="3" t="e">
        <f>(T143-GHGFY20[[#This Row],[Scope 2 Emission factor]])/GHGFY20[[#This Row],[Scope 2 Emission factor]]</f>
        <v>#DIV/0!</v>
      </c>
      <c r="AD143" s="3">
        <f>(U143-GHGFY20[[#This Row],[Scope 3 Emission factor]])/GHGFY20[[#This Row],[Scope 3 Emission factor]]</f>
        <v>15.722222222222221</v>
      </c>
      <c r="AH143" t="b">
        <f>GHGFY20[[#This Row],[Reporting Alias]]=GHGFY207[[#This Row],[Reporting Alias]]</f>
        <v>1</v>
      </c>
    </row>
    <row r="144" spans="1:34" ht="69">
      <c r="A144" t="s">
        <v>928</v>
      </c>
      <c r="B144" t="s">
        <v>1227</v>
      </c>
      <c r="C144" t="s">
        <v>4412</v>
      </c>
      <c r="D144" t="s">
        <v>1216</v>
      </c>
      <c r="E144" t="s">
        <v>673</v>
      </c>
      <c r="F144">
        <v>1E-3</v>
      </c>
      <c r="G144" t="s">
        <v>4413</v>
      </c>
      <c r="H144">
        <v>25.7</v>
      </c>
      <c r="I144" t="s">
        <v>1140</v>
      </c>
      <c r="J144">
        <v>60.600000000000009</v>
      </c>
      <c r="L144">
        <v>3.6</v>
      </c>
      <c r="M144" t="s">
        <v>4414</v>
      </c>
      <c r="N144" t="s">
        <v>4418</v>
      </c>
      <c r="P144" t="s">
        <v>4416</v>
      </c>
      <c r="S144" s="64">
        <f t="shared" si="1"/>
        <v>60.600000000000009</v>
      </c>
      <c r="U144">
        <v>60.2</v>
      </c>
      <c r="V144">
        <v>0.2</v>
      </c>
      <c r="W144">
        <v>0.2</v>
      </c>
      <c r="X144" s="56" t="str">
        <f>GHGFY20[[#This Row],[Data Source (scope 1)]]</f>
        <v>NGER (Measurement) Determination 2008 2019versions pg 318 - Part 3 Fuel combustion - 44</v>
      </c>
      <c r="Y144" s="65" t="s">
        <v>4416</v>
      </c>
      <c r="AB144" s="3">
        <f>(S144-GHGFY20[[#This Row],[Scope 1 Emission factor]])/GHGFY20[[#This Row],[Scope 1 Emission factor]]</f>
        <v>0</v>
      </c>
      <c r="AC144" s="3" t="e">
        <f>(T144-GHGFY20[[#This Row],[Scope 2 Emission factor]])/GHGFY20[[#This Row],[Scope 2 Emission factor]]</f>
        <v>#DIV/0!</v>
      </c>
      <c r="AD144" s="3">
        <f>(U144-GHGFY20[[#This Row],[Scope 3 Emission factor]])/GHGFY20[[#This Row],[Scope 3 Emission factor]]</f>
        <v>15.722222222222221</v>
      </c>
      <c r="AH144" t="b">
        <f>GHGFY20[[#This Row],[Reporting Alias]]=GHGFY207[[#This Row],[Reporting Alias]]</f>
        <v>1</v>
      </c>
    </row>
    <row r="145" spans="1:34" ht="69">
      <c r="A145" t="s">
        <v>929</v>
      </c>
      <c r="B145" t="s">
        <v>1227</v>
      </c>
      <c r="C145" t="s">
        <v>4412</v>
      </c>
      <c r="D145" t="s">
        <v>1193</v>
      </c>
      <c r="E145" t="s">
        <v>673</v>
      </c>
      <c r="F145">
        <v>1E-3</v>
      </c>
      <c r="G145" t="s">
        <v>4413</v>
      </c>
      <c r="H145">
        <v>25.7</v>
      </c>
      <c r="I145" t="s">
        <v>1140</v>
      </c>
      <c r="J145">
        <v>60.600000000000009</v>
      </c>
      <c r="L145">
        <v>3.6</v>
      </c>
      <c r="M145" t="s">
        <v>4414</v>
      </c>
      <c r="N145" t="s">
        <v>4418</v>
      </c>
      <c r="P145" t="s">
        <v>4416</v>
      </c>
      <c r="S145" s="64">
        <f t="shared" si="1"/>
        <v>60.600000000000009</v>
      </c>
      <c r="U145">
        <v>60.2</v>
      </c>
      <c r="V145">
        <v>0.2</v>
      </c>
      <c r="W145">
        <v>0.2</v>
      </c>
      <c r="X145" s="56" t="str">
        <f>GHGFY20[[#This Row],[Data Source (scope 1)]]</f>
        <v>NGER (Measurement) Determination 2008 2019versions pg 318 - Part 3 Fuel combustion - 44</v>
      </c>
      <c r="Y145" s="65" t="s">
        <v>4416</v>
      </c>
      <c r="AB145" s="3">
        <f>(S145-GHGFY20[[#This Row],[Scope 1 Emission factor]])/GHGFY20[[#This Row],[Scope 1 Emission factor]]</f>
        <v>0</v>
      </c>
      <c r="AC145" s="3" t="e">
        <f>(T145-GHGFY20[[#This Row],[Scope 2 Emission factor]])/GHGFY20[[#This Row],[Scope 2 Emission factor]]</f>
        <v>#DIV/0!</v>
      </c>
      <c r="AD145" s="3">
        <f>(U145-GHGFY20[[#This Row],[Scope 3 Emission factor]])/GHGFY20[[#This Row],[Scope 3 Emission factor]]</f>
        <v>15.722222222222221</v>
      </c>
      <c r="AH145" t="b">
        <f>GHGFY20[[#This Row],[Reporting Alias]]=GHGFY207[[#This Row],[Reporting Alias]]</f>
        <v>1</v>
      </c>
    </row>
    <row r="146" spans="1:34" ht="69">
      <c r="A146" t="s">
        <v>930</v>
      </c>
      <c r="B146" t="s">
        <v>1227</v>
      </c>
      <c r="C146" t="s">
        <v>4412</v>
      </c>
      <c r="D146" t="s">
        <v>1213</v>
      </c>
      <c r="E146" t="s">
        <v>673</v>
      </c>
      <c r="F146">
        <v>1E-3</v>
      </c>
      <c r="G146" t="s">
        <v>4413</v>
      </c>
      <c r="H146">
        <v>25.7</v>
      </c>
      <c r="I146" t="s">
        <v>1140</v>
      </c>
      <c r="J146">
        <v>60.600000000000009</v>
      </c>
      <c r="L146">
        <v>3.6</v>
      </c>
      <c r="M146" t="s">
        <v>4414</v>
      </c>
      <c r="N146" t="s">
        <v>4418</v>
      </c>
      <c r="P146" t="s">
        <v>4416</v>
      </c>
      <c r="S146" s="64">
        <f t="shared" si="1"/>
        <v>60.600000000000009</v>
      </c>
      <c r="U146">
        <v>60.2</v>
      </c>
      <c r="V146">
        <v>0.2</v>
      </c>
      <c r="W146">
        <v>0.2</v>
      </c>
      <c r="X146" s="56" t="str">
        <f>GHGFY20[[#This Row],[Data Source (scope 1)]]</f>
        <v>NGER (Measurement) Determination 2008 2019versions pg 318 - Part 3 Fuel combustion - 44</v>
      </c>
      <c r="Y146" s="65" t="s">
        <v>4416</v>
      </c>
      <c r="AB146" s="3">
        <f>(S146-GHGFY20[[#This Row],[Scope 1 Emission factor]])/GHGFY20[[#This Row],[Scope 1 Emission factor]]</f>
        <v>0</v>
      </c>
      <c r="AC146" s="3" t="e">
        <f>(T146-GHGFY20[[#This Row],[Scope 2 Emission factor]])/GHGFY20[[#This Row],[Scope 2 Emission factor]]</f>
        <v>#DIV/0!</v>
      </c>
      <c r="AD146" s="3">
        <f>(U146-GHGFY20[[#This Row],[Scope 3 Emission factor]])/GHGFY20[[#This Row],[Scope 3 Emission factor]]</f>
        <v>15.722222222222221</v>
      </c>
      <c r="AH146" t="b">
        <f>GHGFY20[[#This Row],[Reporting Alias]]=GHGFY207[[#This Row],[Reporting Alias]]</f>
        <v>1</v>
      </c>
    </row>
    <row r="147" spans="1:34" ht="69">
      <c r="A147" t="s">
        <v>931</v>
      </c>
      <c r="B147" t="s">
        <v>1227</v>
      </c>
      <c r="C147" t="s">
        <v>4412</v>
      </c>
      <c r="D147" t="s">
        <v>1208</v>
      </c>
      <c r="E147" t="s">
        <v>673</v>
      </c>
      <c r="F147">
        <v>1E-3</v>
      </c>
      <c r="G147" t="s">
        <v>4413</v>
      </c>
      <c r="H147">
        <v>25.7</v>
      </c>
      <c r="I147" t="s">
        <v>1140</v>
      </c>
      <c r="J147">
        <v>60.600000000000009</v>
      </c>
      <c r="L147">
        <v>3.6</v>
      </c>
      <c r="M147" t="s">
        <v>4414</v>
      </c>
      <c r="N147" t="s">
        <v>4418</v>
      </c>
      <c r="P147" t="s">
        <v>4416</v>
      </c>
      <c r="S147" s="64">
        <f t="shared" si="1"/>
        <v>60.600000000000009</v>
      </c>
      <c r="U147">
        <v>60.2</v>
      </c>
      <c r="V147">
        <v>0.2</v>
      </c>
      <c r="W147">
        <v>0.2</v>
      </c>
      <c r="X147" s="56" t="str">
        <f>GHGFY20[[#This Row],[Data Source (scope 1)]]</f>
        <v>NGER (Measurement) Determination 2008 2019versions pg 318 - Part 3 Fuel combustion - 44</v>
      </c>
      <c r="Y147" s="65" t="s">
        <v>4416</v>
      </c>
      <c r="AB147" s="3">
        <f>(S147-GHGFY20[[#This Row],[Scope 1 Emission factor]])/GHGFY20[[#This Row],[Scope 1 Emission factor]]</f>
        <v>0</v>
      </c>
      <c r="AC147" s="3" t="e">
        <f>(T147-GHGFY20[[#This Row],[Scope 2 Emission factor]])/GHGFY20[[#This Row],[Scope 2 Emission factor]]</f>
        <v>#DIV/0!</v>
      </c>
      <c r="AD147" s="3">
        <f>(U147-GHGFY20[[#This Row],[Scope 3 Emission factor]])/GHGFY20[[#This Row],[Scope 3 Emission factor]]</f>
        <v>15.722222222222221</v>
      </c>
      <c r="AH147" t="b">
        <f>GHGFY20[[#This Row],[Reporting Alias]]=GHGFY207[[#This Row],[Reporting Alias]]</f>
        <v>1</v>
      </c>
    </row>
    <row r="148" spans="1:34" ht="69">
      <c r="A148" t="s">
        <v>932</v>
      </c>
      <c r="B148" t="s">
        <v>1227</v>
      </c>
      <c r="C148" t="s">
        <v>4412</v>
      </c>
      <c r="D148" t="s">
        <v>1190</v>
      </c>
      <c r="E148" t="s">
        <v>673</v>
      </c>
      <c r="F148">
        <v>1E-3</v>
      </c>
      <c r="G148" t="s">
        <v>4413</v>
      </c>
      <c r="H148">
        <v>34.200000000000003</v>
      </c>
      <c r="I148" t="s">
        <v>1140</v>
      </c>
      <c r="J148">
        <v>67.800000000000011</v>
      </c>
      <c r="L148">
        <v>3.6</v>
      </c>
      <c r="M148" t="s">
        <v>4414</v>
      </c>
      <c r="N148" t="s">
        <v>4419</v>
      </c>
      <c r="P148" t="s">
        <v>4416</v>
      </c>
      <c r="S148" s="64">
        <f t="shared" si="1"/>
        <v>67.800000000000011</v>
      </c>
      <c r="U148">
        <v>67.400000000000006</v>
      </c>
      <c r="V148">
        <v>0.2</v>
      </c>
      <c r="W148">
        <v>0.2</v>
      </c>
      <c r="X148" s="56" t="str">
        <f>GHGFY20[[#This Row],[Data Source (scope 1)]]</f>
        <v>NGER (Measurement) Determination 2008 2019versions pg 318 - Part 3 Fuel combustion - 35</v>
      </c>
      <c r="Y148" s="65" t="s">
        <v>4416</v>
      </c>
      <c r="AB148" s="3">
        <f>(S148-GHGFY20[[#This Row],[Scope 1 Emission factor]])/GHGFY20[[#This Row],[Scope 1 Emission factor]]</f>
        <v>0</v>
      </c>
      <c r="AC148" s="3" t="e">
        <f>(T148-GHGFY20[[#This Row],[Scope 2 Emission factor]])/GHGFY20[[#This Row],[Scope 2 Emission factor]]</f>
        <v>#DIV/0!</v>
      </c>
      <c r="AD148" s="3">
        <f>(U148-GHGFY20[[#This Row],[Scope 3 Emission factor]])/GHGFY20[[#This Row],[Scope 3 Emission factor]]</f>
        <v>17.722222222222221</v>
      </c>
      <c r="AH148" t="b">
        <f>GHGFY20[[#This Row],[Reporting Alias]]=GHGFY207[[#This Row],[Reporting Alias]]</f>
        <v>1</v>
      </c>
    </row>
    <row r="149" spans="1:34" ht="69">
      <c r="A149" t="s">
        <v>933</v>
      </c>
      <c r="B149" t="s">
        <v>1227</v>
      </c>
      <c r="C149" t="s">
        <v>4412</v>
      </c>
      <c r="D149" t="s">
        <v>1192</v>
      </c>
      <c r="E149" t="s">
        <v>673</v>
      </c>
      <c r="F149">
        <v>1E-3</v>
      </c>
      <c r="G149" t="s">
        <v>4413</v>
      </c>
      <c r="H149">
        <v>34.200000000000003</v>
      </c>
      <c r="I149" t="s">
        <v>1140</v>
      </c>
      <c r="J149">
        <v>67.800000000000011</v>
      </c>
      <c r="L149">
        <v>3.6</v>
      </c>
      <c r="M149" t="s">
        <v>4414</v>
      </c>
      <c r="N149" t="s">
        <v>4419</v>
      </c>
      <c r="P149" t="s">
        <v>4416</v>
      </c>
      <c r="S149" s="64">
        <f t="shared" si="1"/>
        <v>67.800000000000011</v>
      </c>
      <c r="U149">
        <v>67.400000000000006</v>
      </c>
      <c r="V149">
        <v>0.2</v>
      </c>
      <c r="W149">
        <v>0.2</v>
      </c>
      <c r="X149" s="56" t="str">
        <f>GHGFY20[[#This Row],[Data Source (scope 1)]]</f>
        <v>NGER (Measurement) Determination 2008 2019versions pg 318 - Part 3 Fuel combustion - 35</v>
      </c>
      <c r="Y149" s="65" t="s">
        <v>4416</v>
      </c>
      <c r="AB149" s="3">
        <f>(S149-GHGFY20[[#This Row],[Scope 1 Emission factor]])/GHGFY20[[#This Row],[Scope 1 Emission factor]]</f>
        <v>0</v>
      </c>
      <c r="AC149" s="3" t="e">
        <f>(T149-GHGFY20[[#This Row],[Scope 2 Emission factor]])/GHGFY20[[#This Row],[Scope 2 Emission factor]]</f>
        <v>#DIV/0!</v>
      </c>
      <c r="AD149" s="3">
        <f>(U149-GHGFY20[[#This Row],[Scope 3 Emission factor]])/GHGFY20[[#This Row],[Scope 3 Emission factor]]</f>
        <v>17.722222222222221</v>
      </c>
      <c r="AH149" t="b">
        <f>GHGFY20[[#This Row],[Reporting Alias]]=GHGFY207[[#This Row],[Reporting Alias]]</f>
        <v>1</v>
      </c>
    </row>
    <row r="150" spans="1:34" ht="69">
      <c r="A150" t="s">
        <v>938</v>
      </c>
      <c r="B150" t="s">
        <v>1227</v>
      </c>
      <c r="C150" t="s">
        <v>4412</v>
      </c>
      <c r="D150" t="s">
        <v>1189</v>
      </c>
      <c r="E150" t="s">
        <v>673</v>
      </c>
      <c r="F150">
        <v>1E-3</v>
      </c>
      <c r="G150" t="s">
        <v>4413</v>
      </c>
      <c r="H150">
        <v>34.200000000000003</v>
      </c>
      <c r="I150" t="s">
        <v>1140</v>
      </c>
      <c r="J150">
        <v>67.800000000000011</v>
      </c>
      <c r="L150">
        <v>3.6</v>
      </c>
      <c r="M150" t="s">
        <v>4414</v>
      </c>
      <c r="N150" t="s">
        <v>4419</v>
      </c>
      <c r="P150" t="s">
        <v>4416</v>
      </c>
      <c r="S150" s="64">
        <f t="shared" si="1"/>
        <v>67.800000000000011</v>
      </c>
      <c r="U150">
        <v>67.400000000000006</v>
      </c>
      <c r="V150">
        <v>0.2</v>
      </c>
      <c r="W150">
        <v>0.2</v>
      </c>
      <c r="X150" s="56" t="str">
        <f>GHGFY20[[#This Row],[Data Source (scope 1)]]</f>
        <v>NGER (Measurement) Determination 2008 2019versions pg 318 - Part 3 Fuel combustion - 35</v>
      </c>
      <c r="Y150" s="65" t="s">
        <v>4416</v>
      </c>
      <c r="AB150" s="3">
        <f>(S150-GHGFY20[[#This Row],[Scope 1 Emission factor]])/GHGFY20[[#This Row],[Scope 1 Emission factor]]</f>
        <v>0</v>
      </c>
      <c r="AC150" s="3" t="e">
        <f>(T150-GHGFY20[[#This Row],[Scope 2 Emission factor]])/GHGFY20[[#This Row],[Scope 2 Emission factor]]</f>
        <v>#DIV/0!</v>
      </c>
      <c r="AD150" s="3">
        <f>(U150-GHGFY20[[#This Row],[Scope 3 Emission factor]])/GHGFY20[[#This Row],[Scope 3 Emission factor]]</f>
        <v>17.722222222222221</v>
      </c>
      <c r="AH150" t="b">
        <f>GHGFY20[[#This Row],[Reporting Alias]]=GHGFY207[[#This Row],[Reporting Alias]]</f>
        <v>1</v>
      </c>
    </row>
    <row r="151" spans="1:34" ht="69">
      <c r="A151" t="s">
        <v>935</v>
      </c>
      <c r="B151" t="s">
        <v>1227</v>
      </c>
      <c r="C151" t="s">
        <v>4412</v>
      </c>
      <c r="D151" t="s">
        <v>1210</v>
      </c>
      <c r="E151" t="s">
        <v>673</v>
      </c>
      <c r="F151">
        <v>1E-3</v>
      </c>
      <c r="G151" t="s">
        <v>4413</v>
      </c>
      <c r="H151">
        <v>34.200000000000003</v>
      </c>
      <c r="I151" t="s">
        <v>1140</v>
      </c>
      <c r="J151">
        <v>67.800000000000011</v>
      </c>
      <c r="L151">
        <v>3.6</v>
      </c>
      <c r="M151" t="s">
        <v>4414</v>
      </c>
      <c r="N151" t="s">
        <v>4419</v>
      </c>
      <c r="P151" t="s">
        <v>4416</v>
      </c>
      <c r="S151" s="64">
        <f t="shared" si="1"/>
        <v>67.800000000000011</v>
      </c>
      <c r="U151">
        <v>67.400000000000006</v>
      </c>
      <c r="V151">
        <v>0.2</v>
      </c>
      <c r="W151">
        <v>0.2</v>
      </c>
      <c r="X151" s="56" t="str">
        <f>GHGFY20[[#This Row],[Data Source (scope 1)]]</f>
        <v>NGER (Measurement) Determination 2008 2019versions pg 318 - Part 3 Fuel combustion - 35</v>
      </c>
      <c r="Y151" s="65" t="s">
        <v>4416</v>
      </c>
      <c r="AB151" s="3">
        <f>(S151-GHGFY20[[#This Row],[Scope 1 Emission factor]])/GHGFY20[[#This Row],[Scope 1 Emission factor]]</f>
        <v>0</v>
      </c>
      <c r="AC151" s="3" t="e">
        <f>(T151-GHGFY20[[#This Row],[Scope 2 Emission factor]])/GHGFY20[[#This Row],[Scope 2 Emission factor]]</f>
        <v>#DIV/0!</v>
      </c>
      <c r="AD151" s="3">
        <f>(U151-GHGFY20[[#This Row],[Scope 3 Emission factor]])/GHGFY20[[#This Row],[Scope 3 Emission factor]]</f>
        <v>17.722222222222221</v>
      </c>
      <c r="AH151" t="b">
        <f>GHGFY20[[#This Row],[Reporting Alias]]=GHGFY207[[#This Row],[Reporting Alias]]</f>
        <v>1</v>
      </c>
    </row>
    <row r="152" spans="1:34" ht="69">
      <c r="A152" t="s">
        <v>939</v>
      </c>
      <c r="B152" t="s">
        <v>1227</v>
      </c>
      <c r="C152" t="s">
        <v>4412</v>
      </c>
      <c r="D152" t="s">
        <v>1216</v>
      </c>
      <c r="E152" t="s">
        <v>673</v>
      </c>
      <c r="F152">
        <v>1E-3</v>
      </c>
      <c r="G152" t="s">
        <v>4413</v>
      </c>
      <c r="H152">
        <v>34.200000000000003</v>
      </c>
      <c r="I152" t="s">
        <v>1140</v>
      </c>
      <c r="J152">
        <v>67.800000000000011</v>
      </c>
      <c r="L152">
        <v>3.6</v>
      </c>
      <c r="M152" t="s">
        <v>4414</v>
      </c>
      <c r="N152" t="s">
        <v>4419</v>
      </c>
      <c r="P152" t="s">
        <v>4416</v>
      </c>
      <c r="S152" s="64">
        <f t="shared" si="1"/>
        <v>67.800000000000011</v>
      </c>
      <c r="U152">
        <v>67.400000000000006</v>
      </c>
      <c r="V152">
        <v>0.2</v>
      </c>
      <c r="W152">
        <v>0.2</v>
      </c>
      <c r="X152" s="56" t="str">
        <f>GHGFY20[[#This Row],[Data Source (scope 1)]]</f>
        <v>NGER (Measurement) Determination 2008 2019versions pg 318 - Part 3 Fuel combustion - 35</v>
      </c>
      <c r="Y152" s="65" t="s">
        <v>4416</v>
      </c>
      <c r="AB152" s="3">
        <f>(S152-GHGFY20[[#This Row],[Scope 1 Emission factor]])/GHGFY20[[#This Row],[Scope 1 Emission factor]]</f>
        <v>0</v>
      </c>
      <c r="AC152" s="3" t="e">
        <f>(T152-GHGFY20[[#This Row],[Scope 2 Emission factor]])/GHGFY20[[#This Row],[Scope 2 Emission factor]]</f>
        <v>#DIV/0!</v>
      </c>
      <c r="AD152" s="3">
        <f>(U152-GHGFY20[[#This Row],[Scope 3 Emission factor]])/GHGFY20[[#This Row],[Scope 3 Emission factor]]</f>
        <v>17.722222222222221</v>
      </c>
      <c r="AH152" t="b">
        <f>GHGFY20[[#This Row],[Reporting Alias]]=GHGFY207[[#This Row],[Reporting Alias]]</f>
        <v>1</v>
      </c>
    </row>
    <row r="153" spans="1:34" ht="69">
      <c r="A153" t="s">
        <v>936</v>
      </c>
      <c r="B153" t="s">
        <v>1227</v>
      </c>
      <c r="C153" t="s">
        <v>4412</v>
      </c>
      <c r="D153" t="s">
        <v>1193</v>
      </c>
      <c r="E153" t="s">
        <v>673</v>
      </c>
      <c r="F153">
        <v>1E-3</v>
      </c>
      <c r="G153" t="s">
        <v>4413</v>
      </c>
      <c r="H153">
        <v>34.200000000000003</v>
      </c>
      <c r="I153" t="s">
        <v>1140</v>
      </c>
      <c r="J153">
        <v>67.800000000000011</v>
      </c>
      <c r="L153">
        <v>3.6</v>
      </c>
      <c r="M153" t="s">
        <v>4414</v>
      </c>
      <c r="N153" t="s">
        <v>4419</v>
      </c>
      <c r="P153" t="s">
        <v>4416</v>
      </c>
      <c r="S153" s="64">
        <f t="shared" si="1"/>
        <v>67.800000000000011</v>
      </c>
      <c r="U153">
        <v>67.400000000000006</v>
      </c>
      <c r="V153">
        <v>0.2</v>
      </c>
      <c r="W153">
        <v>0.2</v>
      </c>
      <c r="X153" s="56" t="str">
        <f>GHGFY20[[#This Row],[Data Source (scope 1)]]</f>
        <v>NGER (Measurement) Determination 2008 2019versions pg 318 - Part 3 Fuel combustion - 35</v>
      </c>
      <c r="Y153" s="65" t="s">
        <v>4416</v>
      </c>
      <c r="AB153" s="3">
        <f>(S153-GHGFY20[[#This Row],[Scope 1 Emission factor]])/GHGFY20[[#This Row],[Scope 1 Emission factor]]</f>
        <v>0</v>
      </c>
      <c r="AC153" s="3" t="e">
        <f>(T153-GHGFY20[[#This Row],[Scope 2 Emission factor]])/GHGFY20[[#This Row],[Scope 2 Emission factor]]</f>
        <v>#DIV/0!</v>
      </c>
      <c r="AD153" s="3">
        <f>(U153-GHGFY20[[#This Row],[Scope 3 Emission factor]])/GHGFY20[[#This Row],[Scope 3 Emission factor]]</f>
        <v>17.722222222222221</v>
      </c>
      <c r="AH153" t="b">
        <f>GHGFY20[[#This Row],[Reporting Alias]]=GHGFY207[[#This Row],[Reporting Alias]]</f>
        <v>1</v>
      </c>
    </row>
    <row r="154" spans="1:34" ht="69">
      <c r="A154" t="s">
        <v>937</v>
      </c>
      <c r="B154" t="s">
        <v>1227</v>
      </c>
      <c r="C154" t="s">
        <v>4412</v>
      </c>
      <c r="D154" t="s">
        <v>1213</v>
      </c>
      <c r="E154" t="s">
        <v>673</v>
      </c>
      <c r="F154">
        <v>1E-3</v>
      </c>
      <c r="G154" t="s">
        <v>4413</v>
      </c>
      <c r="H154">
        <v>34.200000000000003</v>
      </c>
      <c r="I154" t="s">
        <v>1140</v>
      </c>
      <c r="J154">
        <v>67.800000000000011</v>
      </c>
      <c r="L154">
        <v>3.6</v>
      </c>
      <c r="M154" t="s">
        <v>4414</v>
      </c>
      <c r="N154" t="s">
        <v>4419</v>
      </c>
      <c r="P154" t="s">
        <v>4416</v>
      </c>
      <c r="S154" s="64">
        <f t="shared" si="1"/>
        <v>67.800000000000011</v>
      </c>
      <c r="U154">
        <v>67.400000000000006</v>
      </c>
      <c r="V154">
        <v>0.2</v>
      </c>
      <c r="W154">
        <v>0.2</v>
      </c>
      <c r="X154" s="56" t="str">
        <f>GHGFY20[[#This Row],[Data Source (scope 1)]]</f>
        <v>NGER (Measurement) Determination 2008 2019versions pg 318 - Part 3 Fuel combustion - 35</v>
      </c>
      <c r="Y154" s="65" t="s">
        <v>4416</v>
      </c>
      <c r="AB154" s="3">
        <f>(S154-GHGFY20[[#This Row],[Scope 1 Emission factor]])/GHGFY20[[#This Row],[Scope 1 Emission factor]]</f>
        <v>0</v>
      </c>
      <c r="AC154" s="3" t="e">
        <f>(T154-GHGFY20[[#This Row],[Scope 2 Emission factor]])/GHGFY20[[#This Row],[Scope 2 Emission factor]]</f>
        <v>#DIV/0!</v>
      </c>
      <c r="AD154" s="3">
        <f>(U154-GHGFY20[[#This Row],[Scope 3 Emission factor]])/GHGFY20[[#This Row],[Scope 3 Emission factor]]</f>
        <v>17.722222222222221</v>
      </c>
      <c r="AH154" t="b">
        <f>GHGFY20[[#This Row],[Reporting Alias]]=GHGFY207[[#This Row],[Reporting Alias]]</f>
        <v>1</v>
      </c>
    </row>
    <row r="155" spans="1:34" ht="69">
      <c r="A155" t="s">
        <v>934</v>
      </c>
      <c r="B155" t="s">
        <v>1227</v>
      </c>
      <c r="C155" t="s">
        <v>4412</v>
      </c>
      <c r="D155" t="s">
        <v>1208</v>
      </c>
      <c r="E155" t="s">
        <v>673</v>
      </c>
      <c r="F155">
        <v>1E-3</v>
      </c>
      <c r="G155" t="s">
        <v>4413</v>
      </c>
      <c r="H155">
        <v>34.200000000000003</v>
      </c>
      <c r="I155" t="s">
        <v>1140</v>
      </c>
      <c r="J155">
        <v>67.800000000000011</v>
      </c>
      <c r="L155">
        <v>3.6</v>
      </c>
      <c r="M155" t="s">
        <v>4414</v>
      </c>
      <c r="N155" t="s">
        <v>4419</v>
      </c>
      <c r="P155" t="s">
        <v>4416</v>
      </c>
      <c r="S155" s="64">
        <f t="shared" si="1"/>
        <v>67.800000000000011</v>
      </c>
      <c r="U155">
        <v>67.400000000000006</v>
      </c>
      <c r="V155">
        <v>0.2</v>
      </c>
      <c r="W155">
        <v>0.2</v>
      </c>
      <c r="X155" s="56" t="str">
        <f>GHGFY20[[#This Row],[Data Source (scope 1)]]</f>
        <v>NGER (Measurement) Determination 2008 2019versions pg 318 - Part 3 Fuel combustion - 35</v>
      </c>
      <c r="Y155" s="65" t="s">
        <v>4416</v>
      </c>
      <c r="AB155" s="3">
        <f>(S155-GHGFY20[[#This Row],[Scope 1 Emission factor]])/GHGFY20[[#This Row],[Scope 1 Emission factor]]</f>
        <v>0</v>
      </c>
      <c r="AC155" s="3" t="e">
        <f>(T155-GHGFY20[[#This Row],[Scope 2 Emission factor]])/GHGFY20[[#This Row],[Scope 2 Emission factor]]</f>
        <v>#DIV/0!</v>
      </c>
      <c r="AD155" s="3">
        <f>(U155-GHGFY20[[#This Row],[Scope 3 Emission factor]])/GHGFY20[[#This Row],[Scope 3 Emission factor]]</f>
        <v>17.722222222222221</v>
      </c>
      <c r="AH155" t="b">
        <f>GHGFY20[[#This Row],[Reporting Alias]]=GHGFY207[[#This Row],[Reporting Alias]]</f>
        <v>1</v>
      </c>
    </row>
    <row r="156" spans="1:34" ht="69">
      <c r="A156" t="s">
        <v>877</v>
      </c>
      <c r="B156" t="s">
        <v>1227</v>
      </c>
      <c r="C156" t="s">
        <v>4412</v>
      </c>
      <c r="D156" t="s">
        <v>1192</v>
      </c>
      <c r="E156" t="s">
        <v>673</v>
      </c>
      <c r="F156">
        <v>1E-3</v>
      </c>
      <c r="G156" t="s">
        <v>4413</v>
      </c>
      <c r="H156">
        <v>38.6</v>
      </c>
      <c r="I156" t="s">
        <v>1140</v>
      </c>
      <c r="J156">
        <v>70.2</v>
      </c>
      <c r="L156">
        <v>3.6</v>
      </c>
      <c r="M156" t="s">
        <v>4414</v>
      </c>
      <c r="N156" t="s">
        <v>4415</v>
      </c>
      <c r="P156" t="s">
        <v>4416</v>
      </c>
      <c r="S156" s="64">
        <f>SUM(U156:W156)</f>
        <v>70.2</v>
      </c>
      <c r="U156" s="5">
        <v>69.900000000000006</v>
      </c>
      <c r="V156" s="5">
        <v>0.1</v>
      </c>
      <c r="W156" s="5">
        <v>0.2</v>
      </c>
      <c r="X156" s="56" t="str">
        <f>GHGFY20[[#This Row],[Data Source (scope 1)]]</f>
        <v>NGER (Measurement) Determination 2008 2019versions pg 318 - Part 3 Fuel combustion - 40</v>
      </c>
      <c r="Y156" s="65" t="s">
        <v>4416</v>
      </c>
      <c r="AB156" s="3">
        <f>(S156-GHGFY20[[#This Row],[Scope 1 Emission factor]])/GHGFY20[[#This Row],[Scope 1 Emission factor]]</f>
        <v>0</v>
      </c>
      <c r="AC156" s="3" t="e">
        <f>(T156-GHGFY20[[#This Row],[Scope 2 Emission factor]])/GHGFY20[[#This Row],[Scope 2 Emission factor]]</f>
        <v>#DIV/0!</v>
      </c>
      <c r="AD156" s="3">
        <f>(U156-GHGFY20[[#This Row],[Scope 3 Emission factor]])/GHGFY20[[#This Row],[Scope 3 Emission factor]]</f>
        <v>18.416666666666668</v>
      </c>
      <c r="AH156" t="b">
        <f>GHGFY20[[#This Row],[Reporting Alias]]=GHGFY207[[#This Row],[Reporting Alias]]</f>
        <v>1</v>
      </c>
    </row>
    <row r="157" spans="1:34" ht="69">
      <c r="A157" t="s">
        <v>878</v>
      </c>
      <c r="B157" t="s">
        <v>1227</v>
      </c>
      <c r="C157" t="s">
        <v>4412</v>
      </c>
      <c r="D157" t="s">
        <v>1189</v>
      </c>
      <c r="E157" t="s">
        <v>673</v>
      </c>
      <c r="F157">
        <v>1E-3</v>
      </c>
      <c r="G157" t="s">
        <v>4413</v>
      </c>
      <c r="H157">
        <v>38.6</v>
      </c>
      <c r="I157" t="s">
        <v>1140</v>
      </c>
      <c r="J157">
        <v>70.2</v>
      </c>
      <c r="L157">
        <v>3.6</v>
      </c>
      <c r="M157" t="s">
        <v>4414</v>
      </c>
      <c r="N157" t="s">
        <v>4415</v>
      </c>
      <c r="P157" t="s">
        <v>4416</v>
      </c>
      <c r="S157" s="64">
        <f t="shared" ref="S157:S158" si="2">SUM(U157:W157)</f>
        <v>70.2</v>
      </c>
      <c r="U157" s="5">
        <v>69.900000000000006</v>
      </c>
      <c r="V157" s="5">
        <v>0.1</v>
      </c>
      <c r="W157" s="5">
        <v>0.2</v>
      </c>
      <c r="X157" s="56" t="str">
        <f>GHGFY20[[#This Row],[Data Source (scope 1)]]</f>
        <v>NGER (Measurement) Determination 2008 2019versions pg 318 - Part 3 Fuel combustion - 40</v>
      </c>
      <c r="Y157" s="65" t="s">
        <v>4416</v>
      </c>
      <c r="AB157" s="3">
        <f>(S157-GHGFY20[[#This Row],[Scope 1 Emission factor]])/GHGFY20[[#This Row],[Scope 1 Emission factor]]</f>
        <v>0</v>
      </c>
      <c r="AC157" s="3" t="e">
        <f>(T157-GHGFY20[[#This Row],[Scope 2 Emission factor]])/GHGFY20[[#This Row],[Scope 2 Emission factor]]</f>
        <v>#DIV/0!</v>
      </c>
      <c r="AD157" s="3">
        <f>(U157-GHGFY20[[#This Row],[Scope 3 Emission factor]])/GHGFY20[[#This Row],[Scope 3 Emission factor]]</f>
        <v>18.416666666666668</v>
      </c>
      <c r="AH157" t="b">
        <f>GHGFY20[[#This Row],[Reporting Alias]]=GHGFY207[[#This Row],[Reporting Alias]]</f>
        <v>1</v>
      </c>
    </row>
    <row r="158" spans="1:34" ht="69">
      <c r="A158" t="s">
        <v>879</v>
      </c>
      <c r="B158" t="s">
        <v>1227</v>
      </c>
      <c r="C158" t="s">
        <v>4412</v>
      </c>
      <c r="D158" t="s">
        <v>1192</v>
      </c>
      <c r="E158" t="s">
        <v>673</v>
      </c>
      <c r="F158">
        <v>1E-3</v>
      </c>
      <c r="G158" t="s">
        <v>4413</v>
      </c>
      <c r="H158">
        <v>38.6</v>
      </c>
      <c r="I158" t="s">
        <v>1140</v>
      </c>
      <c r="J158">
        <v>70.2</v>
      </c>
      <c r="L158">
        <v>3.6</v>
      </c>
      <c r="M158" t="s">
        <v>4414</v>
      </c>
      <c r="N158" t="s">
        <v>4415</v>
      </c>
      <c r="P158" t="s">
        <v>4416</v>
      </c>
      <c r="S158" s="64">
        <f t="shared" si="2"/>
        <v>70.2</v>
      </c>
      <c r="U158" s="5">
        <v>69.900000000000006</v>
      </c>
      <c r="V158" s="5">
        <v>0.1</v>
      </c>
      <c r="W158" s="5">
        <v>0.2</v>
      </c>
      <c r="X158" s="56" t="str">
        <f>GHGFY20[[#This Row],[Data Source (scope 1)]]</f>
        <v>NGER (Measurement) Determination 2008 2019versions pg 318 - Part 3 Fuel combustion - 40</v>
      </c>
      <c r="Y158" s="65" t="s">
        <v>4416</v>
      </c>
      <c r="AB158" s="3">
        <f>(S158-GHGFY20[[#This Row],[Scope 1 Emission factor]])/GHGFY20[[#This Row],[Scope 1 Emission factor]]</f>
        <v>0</v>
      </c>
      <c r="AC158" s="3" t="e">
        <f>(T158-GHGFY20[[#This Row],[Scope 2 Emission factor]])/GHGFY20[[#This Row],[Scope 2 Emission factor]]</f>
        <v>#DIV/0!</v>
      </c>
      <c r="AD158" s="3">
        <f>(U158-GHGFY20[[#This Row],[Scope 3 Emission factor]])/GHGFY20[[#This Row],[Scope 3 Emission factor]]</f>
        <v>18.416666666666668</v>
      </c>
      <c r="AH158" t="b">
        <f>GHGFY20[[#This Row],[Reporting Alias]]=GHGFY207[[#This Row],[Reporting Alias]]</f>
        <v>1</v>
      </c>
    </row>
    <row r="159" spans="1:34" ht="69">
      <c r="A159" t="s">
        <v>940</v>
      </c>
      <c r="B159" t="s">
        <v>1227</v>
      </c>
      <c r="C159" t="s">
        <v>4412</v>
      </c>
      <c r="D159" t="s">
        <v>1190</v>
      </c>
      <c r="E159" t="s">
        <v>673</v>
      </c>
      <c r="F159">
        <v>1E-3</v>
      </c>
      <c r="G159" t="s">
        <v>4413</v>
      </c>
      <c r="H159">
        <v>38.6</v>
      </c>
      <c r="I159" t="s">
        <v>1140</v>
      </c>
      <c r="J159">
        <v>70.2</v>
      </c>
      <c r="L159">
        <v>3.6</v>
      </c>
      <c r="M159" t="s">
        <v>4414</v>
      </c>
      <c r="N159" t="s">
        <v>4415</v>
      </c>
      <c r="P159" t="s">
        <v>4416</v>
      </c>
      <c r="S159" s="64">
        <f>SUM(U159:W159)</f>
        <v>70.2</v>
      </c>
      <c r="U159" s="5">
        <v>69.900000000000006</v>
      </c>
      <c r="V159" s="5">
        <v>0.1</v>
      </c>
      <c r="W159" s="5">
        <v>0.2</v>
      </c>
      <c r="X159" s="56" t="str">
        <f>GHGFY20[[#This Row],[Data Source (scope 1)]]</f>
        <v>NGER (Measurement) Determination 2008 2019versions pg 318 - Part 3 Fuel combustion - 40</v>
      </c>
      <c r="Y159" s="65" t="s">
        <v>4416</v>
      </c>
      <c r="AB159" s="3">
        <f>(S159-GHGFY20[[#This Row],[Scope 1 Emission factor]])/GHGFY20[[#This Row],[Scope 1 Emission factor]]</f>
        <v>0</v>
      </c>
      <c r="AC159" s="3" t="e">
        <f>(T159-GHGFY20[[#This Row],[Scope 2 Emission factor]])/GHGFY20[[#This Row],[Scope 2 Emission factor]]</f>
        <v>#DIV/0!</v>
      </c>
      <c r="AD159" s="3">
        <f>(U159-GHGFY20[[#This Row],[Scope 3 Emission factor]])/GHGFY20[[#This Row],[Scope 3 Emission factor]]</f>
        <v>18.416666666666668</v>
      </c>
      <c r="AH159" t="b">
        <f>GHGFY20[[#This Row],[Reporting Alias]]=GHGFY207[[#This Row],[Reporting Alias]]</f>
        <v>1</v>
      </c>
    </row>
    <row r="160" spans="1:34" ht="69">
      <c r="A160" t="s">
        <v>941</v>
      </c>
      <c r="B160" t="s">
        <v>1227</v>
      </c>
      <c r="C160" t="s">
        <v>4412</v>
      </c>
      <c r="D160" t="s">
        <v>1192</v>
      </c>
      <c r="E160" t="s">
        <v>673</v>
      </c>
      <c r="F160">
        <v>1E-3</v>
      </c>
      <c r="G160" t="s">
        <v>4413</v>
      </c>
      <c r="H160">
        <v>38.6</v>
      </c>
      <c r="I160" t="s">
        <v>1140</v>
      </c>
      <c r="J160">
        <v>70.2</v>
      </c>
      <c r="L160">
        <v>3.6</v>
      </c>
      <c r="M160" t="s">
        <v>4414</v>
      </c>
      <c r="N160" t="s">
        <v>4415</v>
      </c>
      <c r="P160" t="s">
        <v>4416</v>
      </c>
      <c r="S160" s="64">
        <f t="shared" ref="S160:S174" si="3">SUM(U160:W160)</f>
        <v>70.2</v>
      </c>
      <c r="U160" s="5">
        <v>69.900000000000006</v>
      </c>
      <c r="V160" s="5">
        <v>0.1</v>
      </c>
      <c r="W160" s="5">
        <v>0.2</v>
      </c>
      <c r="X160" s="56" t="str">
        <f>GHGFY20[[#This Row],[Data Source (scope 1)]]</f>
        <v>NGER (Measurement) Determination 2008 2019versions pg 318 - Part 3 Fuel combustion - 40</v>
      </c>
      <c r="Y160" s="65" t="s">
        <v>4416</v>
      </c>
      <c r="AB160" s="3">
        <f>(S160-GHGFY20[[#This Row],[Scope 1 Emission factor]])/GHGFY20[[#This Row],[Scope 1 Emission factor]]</f>
        <v>0</v>
      </c>
      <c r="AC160" s="3" t="e">
        <f>(T160-GHGFY20[[#This Row],[Scope 2 Emission factor]])/GHGFY20[[#This Row],[Scope 2 Emission factor]]</f>
        <v>#DIV/0!</v>
      </c>
      <c r="AD160" s="3">
        <f>(U160-GHGFY20[[#This Row],[Scope 3 Emission factor]])/GHGFY20[[#This Row],[Scope 3 Emission factor]]</f>
        <v>18.416666666666668</v>
      </c>
      <c r="AH160" t="b">
        <f>GHGFY20[[#This Row],[Reporting Alias]]=GHGFY207[[#This Row],[Reporting Alias]]</f>
        <v>1</v>
      </c>
    </row>
    <row r="161" spans="1:34" ht="69">
      <c r="A161" t="s">
        <v>946</v>
      </c>
      <c r="B161" t="s">
        <v>1227</v>
      </c>
      <c r="C161" t="s">
        <v>4412</v>
      </c>
      <c r="D161" t="s">
        <v>1189</v>
      </c>
      <c r="E161" t="s">
        <v>673</v>
      </c>
      <c r="F161">
        <v>1E-3</v>
      </c>
      <c r="G161" t="s">
        <v>4413</v>
      </c>
      <c r="H161">
        <v>38.6</v>
      </c>
      <c r="I161" t="s">
        <v>1140</v>
      </c>
      <c r="J161">
        <v>70.2</v>
      </c>
      <c r="L161">
        <v>3.6</v>
      </c>
      <c r="M161" t="s">
        <v>4414</v>
      </c>
      <c r="N161" t="s">
        <v>4415</v>
      </c>
      <c r="P161" t="s">
        <v>4416</v>
      </c>
      <c r="S161" s="64">
        <f t="shared" si="3"/>
        <v>70.2</v>
      </c>
      <c r="U161" s="5">
        <v>69.900000000000006</v>
      </c>
      <c r="V161" s="5">
        <v>0.1</v>
      </c>
      <c r="W161" s="5">
        <v>0.2</v>
      </c>
      <c r="X161" s="56" t="str">
        <f>GHGFY20[[#This Row],[Data Source (scope 1)]]</f>
        <v>NGER (Measurement) Determination 2008 2019versions pg 318 - Part 3 Fuel combustion - 40</v>
      </c>
      <c r="Y161" s="65" t="s">
        <v>4416</v>
      </c>
      <c r="AB161" s="3">
        <f>(S161-GHGFY20[[#This Row],[Scope 1 Emission factor]])/GHGFY20[[#This Row],[Scope 1 Emission factor]]</f>
        <v>0</v>
      </c>
      <c r="AC161" s="3" t="e">
        <f>(T161-GHGFY20[[#This Row],[Scope 2 Emission factor]])/GHGFY20[[#This Row],[Scope 2 Emission factor]]</f>
        <v>#DIV/0!</v>
      </c>
      <c r="AD161" s="3">
        <f>(U161-GHGFY20[[#This Row],[Scope 3 Emission factor]])/GHGFY20[[#This Row],[Scope 3 Emission factor]]</f>
        <v>18.416666666666668</v>
      </c>
      <c r="AH161" t="b">
        <f>GHGFY20[[#This Row],[Reporting Alias]]=GHGFY207[[#This Row],[Reporting Alias]]</f>
        <v>1</v>
      </c>
    </row>
    <row r="162" spans="1:34" ht="69">
      <c r="A162" t="s">
        <v>943</v>
      </c>
      <c r="B162" t="s">
        <v>1227</v>
      </c>
      <c r="C162" t="s">
        <v>4412</v>
      </c>
      <c r="D162" t="s">
        <v>1210</v>
      </c>
      <c r="E162" t="s">
        <v>673</v>
      </c>
      <c r="F162">
        <v>1E-3</v>
      </c>
      <c r="G162" t="s">
        <v>4413</v>
      </c>
      <c r="H162">
        <v>38.6</v>
      </c>
      <c r="I162" t="s">
        <v>1140</v>
      </c>
      <c r="J162">
        <v>70.2</v>
      </c>
      <c r="L162">
        <v>3.6</v>
      </c>
      <c r="M162" t="s">
        <v>4414</v>
      </c>
      <c r="N162" t="s">
        <v>4415</v>
      </c>
      <c r="P162" t="s">
        <v>4416</v>
      </c>
      <c r="S162" s="64">
        <f t="shared" si="3"/>
        <v>70.2</v>
      </c>
      <c r="U162" s="5">
        <v>69.900000000000006</v>
      </c>
      <c r="V162" s="5">
        <v>0.1</v>
      </c>
      <c r="W162" s="5">
        <v>0.2</v>
      </c>
      <c r="X162" s="56" t="str">
        <f>GHGFY20[[#This Row],[Data Source (scope 1)]]</f>
        <v>NGER (Measurement) Determination 2008 2019versions pg 318 - Part 3 Fuel combustion - 40</v>
      </c>
      <c r="Y162" s="65" t="s">
        <v>4416</v>
      </c>
      <c r="AB162" s="3">
        <f>(S162-GHGFY20[[#This Row],[Scope 1 Emission factor]])/GHGFY20[[#This Row],[Scope 1 Emission factor]]</f>
        <v>0</v>
      </c>
      <c r="AC162" s="3" t="e">
        <f>(T162-GHGFY20[[#This Row],[Scope 2 Emission factor]])/GHGFY20[[#This Row],[Scope 2 Emission factor]]</f>
        <v>#DIV/0!</v>
      </c>
      <c r="AD162" s="3">
        <f>(U162-GHGFY20[[#This Row],[Scope 3 Emission factor]])/GHGFY20[[#This Row],[Scope 3 Emission factor]]</f>
        <v>18.416666666666668</v>
      </c>
      <c r="AH162" t="b">
        <f>GHGFY20[[#This Row],[Reporting Alias]]=GHGFY207[[#This Row],[Reporting Alias]]</f>
        <v>1</v>
      </c>
    </row>
    <row r="163" spans="1:34" ht="69">
      <c r="A163" t="s">
        <v>947</v>
      </c>
      <c r="B163" t="s">
        <v>1227</v>
      </c>
      <c r="C163" t="s">
        <v>4412</v>
      </c>
      <c r="D163" t="s">
        <v>1216</v>
      </c>
      <c r="E163" t="s">
        <v>673</v>
      </c>
      <c r="F163">
        <v>1E-3</v>
      </c>
      <c r="G163" t="s">
        <v>4413</v>
      </c>
      <c r="H163">
        <v>38.6</v>
      </c>
      <c r="I163" t="s">
        <v>1140</v>
      </c>
      <c r="J163">
        <v>70.2</v>
      </c>
      <c r="L163">
        <v>3.6</v>
      </c>
      <c r="M163" t="s">
        <v>4414</v>
      </c>
      <c r="N163" t="s">
        <v>4415</v>
      </c>
      <c r="P163" t="s">
        <v>4416</v>
      </c>
      <c r="S163" s="64">
        <f t="shared" si="3"/>
        <v>70.2</v>
      </c>
      <c r="U163" s="5">
        <v>69.900000000000006</v>
      </c>
      <c r="V163" s="5">
        <v>0.1</v>
      </c>
      <c r="W163" s="5">
        <v>0.2</v>
      </c>
      <c r="X163" s="56" t="str">
        <f>GHGFY20[[#This Row],[Data Source (scope 1)]]</f>
        <v>NGER (Measurement) Determination 2008 2019versions pg 318 - Part 3 Fuel combustion - 40</v>
      </c>
      <c r="Y163" s="65" t="s">
        <v>4416</v>
      </c>
      <c r="AB163" s="3">
        <f>(S163-GHGFY20[[#This Row],[Scope 1 Emission factor]])/GHGFY20[[#This Row],[Scope 1 Emission factor]]</f>
        <v>0</v>
      </c>
      <c r="AC163" s="3" t="e">
        <f>(T163-GHGFY20[[#This Row],[Scope 2 Emission factor]])/GHGFY20[[#This Row],[Scope 2 Emission factor]]</f>
        <v>#DIV/0!</v>
      </c>
      <c r="AD163" s="3">
        <f>(U163-GHGFY20[[#This Row],[Scope 3 Emission factor]])/GHGFY20[[#This Row],[Scope 3 Emission factor]]</f>
        <v>18.416666666666668</v>
      </c>
      <c r="AH163" t="b">
        <f>GHGFY20[[#This Row],[Reporting Alias]]=GHGFY207[[#This Row],[Reporting Alias]]</f>
        <v>1</v>
      </c>
    </row>
    <row r="164" spans="1:34" ht="69">
      <c r="A164" t="s">
        <v>944</v>
      </c>
      <c r="B164" t="s">
        <v>1227</v>
      </c>
      <c r="C164" t="s">
        <v>4412</v>
      </c>
      <c r="D164" t="s">
        <v>1193</v>
      </c>
      <c r="E164" t="s">
        <v>673</v>
      </c>
      <c r="F164">
        <v>1E-3</v>
      </c>
      <c r="G164" t="s">
        <v>4413</v>
      </c>
      <c r="H164">
        <v>38.6</v>
      </c>
      <c r="I164" t="s">
        <v>1140</v>
      </c>
      <c r="J164">
        <v>70.2</v>
      </c>
      <c r="L164">
        <v>3.6</v>
      </c>
      <c r="M164" t="s">
        <v>4414</v>
      </c>
      <c r="N164" t="s">
        <v>4415</v>
      </c>
      <c r="P164" t="s">
        <v>4416</v>
      </c>
      <c r="S164" s="64">
        <f t="shared" si="3"/>
        <v>70.2</v>
      </c>
      <c r="U164" s="5">
        <v>69.900000000000006</v>
      </c>
      <c r="V164" s="5">
        <v>0.1</v>
      </c>
      <c r="W164" s="5">
        <v>0.2</v>
      </c>
      <c r="X164" s="56" t="str">
        <f>GHGFY20[[#This Row],[Data Source (scope 1)]]</f>
        <v>NGER (Measurement) Determination 2008 2019versions pg 318 - Part 3 Fuel combustion - 40</v>
      </c>
      <c r="Y164" s="65" t="s">
        <v>4416</v>
      </c>
      <c r="AB164" s="3">
        <f>(S164-GHGFY20[[#This Row],[Scope 1 Emission factor]])/GHGFY20[[#This Row],[Scope 1 Emission factor]]</f>
        <v>0</v>
      </c>
      <c r="AC164" s="3" t="e">
        <f>(T164-GHGFY20[[#This Row],[Scope 2 Emission factor]])/GHGFY20[[#This Row],[Scope 2 Emission factor]]</f>
        <v>#DIV/0!</v>
      </c>
      <c r="AD164" s="3">
        <f>(U164-GHGFY20[[#This Row],[Scope 3 Emission factor]])/GHGFY20[[#This Row],[Scope 3 Emission factor]]</f>
        <v>18.416666666666668</v>
      </c>
      <c r="AH164" t="b">
        <f>GHGFY20[[#This Row],[Reporting Alias]]=GHGFY207[[#This Row],[Reporting Alias]]</f>
        <v>1</v>
      </c>
    </row>
    <row r="165" spans="1:34" ht="69">
      <c r="A165" t="s">
        <v>945</v>
      </c>
      <c r="B165" t="s">
        <v>1227</v>
      </c>
      <c r="C165" t="s">
        <v>4412</v>
      </c>
      <c r="D165" t="s">
        <v>1213</v>
      </c>
      <c r="E165" t="s">
        <v>673</v>
      </c>
      <c r="F165">
        <v>1E-3</v>
      </c>
      <c r="G165" t="s">
        <v>4413</v>
      </c>
      <c r="H165">
        <v>38.6</v>
      </c>
      <c r="I165" t="s">
        <v>1140</v>
      </c>
      <c r="J165">
        <v>70.2</v>
      </c>
      <c r="L165">
        <v>3.6</v>
      </c>
      <c r="M165" t="s">
        <v>4414</v>
      </c>
      <c r="N165" t="s">
        <v>4415</v>
      </c>
      <c r="P165" t="s">
        <v>4416</v>
      </c>
      <c r="S165" s="64">
        <f t="shared" si="3"/>
        <v>70.2</v>
      </c>
      <c r="U165" s="5">
        <v>69.900000000000006</v>
      </c>
      <c r="V165" s="5">
        <v>0.1</v>
      </c>
      <c r="W165" s="5">
        <v>0.2</v>
      </c>
      <c r="X165" s="56" t="str">
        <f>GHGFY20[[#This Row],[Data Source (scope 1)]]</f>
        <v>NGER (Measurement) Determination 2008 2019versions pg 318 - Part 3 Fuel combustion - 40</v>
      </c>
      <c r="Y165" s="65" t="s">
        <v>4416</v>
      </c>
      <c r="AB165" s="3">
        <f>(S165-GHGFY20[[#This Row],[Scope 1 Emission factor]])/GHGFY20[[#This Row],[Scope 1 Emission factor]]</f>
        <v>0</v>
      </c>
      <c r="AC165" s="3" t="e">
        <f>(T165-GHGFY20[[#This Row],[Scope 2 Emission factor]])/GHGFY20[[#This Row],[Scope 2 Emission factor]]</f>
        <v>#DIV/0!</v>
      </c>
      <c r="AD165" s="3">
        <f>(U165-GHGFY20[[#This Row],[Scope 3 Emission factor]])/GHGFY20[[#This Row],[Scope 3 Emission factor]]</f>
        <v>18.416666666666668</v>
      </c>
      <c r="AH165" t="b">
        <f>GHGFY20[[#This Row],[Reporting Alias]]=GHGFY207[[#This Row],[Reporting Alias]]</f>
        <v>1</v>
      </c>
    </row>
    <row r="166" spans="1:34" ht="69">
      <c r="A166" t="s">
        <v>942</v>
      </c>
      <c r="B166" t="s">
        <v>1227</v>
      </c>
      <c r="C166" t="s">
        <v>4412</v>
      </c>
      <c r="D166" t="s">
        <v>1208</v>
      </c>
      <c r="E166" t="s">
        <v>673</v>
      </c>
      <c r="F166">
        <v>1E-3</v>
      </c>
      <c r="G166" t="s">
        <v>4413</v>
      </c>
      <c r="H166">
        <v>38.6</v>
      </c>
      <c r="I166" t="s">
        <v>1140</v>
      </c>
      <c r="J166">
        <v>70.2</v>
      </c>
      <c r="L166">
        <v>3.6</v>
      </c>
      <c r="M166" t="s">
        <v>4414</v>
      </c>
      <c r="N166" t="s">
        <v>4415</v>
      </c>
      <c r="P166" t="s">
        <v>4416</v>
      </c>
      <c r="S166" s="64">
        <f t="shared" si="3"/>
        <v>70.2</v>
      </c>
      <c r="U166" s="5">
        <v>69.900000000000006</v>
      </c>
      <c r="V166" s="5">
        <v>0.1</v>
      </c>
      <c r="W166" s="5">
        <v>0.2</v>
      </c>
      <c r="X166" s="56" t="str">
        <f>GHGFY20[[#This Row],[Data Source (scope 1)]]</f>
        <v>NGER (Measurement) Determination 2008 2019versions pg 318 - Part 3 Fuel combustion - 40</v>
      </c>
      <c r="Y166" s="65" t="s">
        <v>4416</v>
      </c>
      <c r="AB166" s="3">
        <f>(S166-GHGFY20[[#This Row],[Scope 1 Emission factor]])/GHGFY20[[#This Row],[Scope 1 Emission factor]]</f>
        <v>0</v>
      </c>
      <c r="AC166" s="3" t="e">
        <f>(T166-GHGFY20[[#This Row],[Scope 2 Emission factor]])/GHGFY20[[#This Row],[Scope 2 Emission factor]]</f>
        <v>#DIV/0!</v>
      </c>
      <c r="AD166" s="3">
        <f>(U166-GHGFY20[[#This Row],[Scope 3 Emission factor]])/GHGFY20[[#This Row],[Scope 3 Emission factor]]</f>
        <v>18.416666666666668</v>
      </c>
      <c r="AH166" t="b">
        <f>GHGFY20[[#This Row],[Reporting Alias]]=GHGFY207[[#This Row],[Reporting Alias]]</f>
        <v>1</v>
      </c>
    </row>
    <row r="167" spans="1:34" ht="69">
      <c r="A167" t="s">
        <v>948</v>
      </c>
      <c r="B167" t="s">
        <v>1227</v>
      </c>
      <c r="C167" t="s">
        <v>4412</v>
      </c>
      <c r="D167" t="s">
        <v>1190</v>
      </c>
      <c r="E167" t="s">
        <v>673</v>
      </c>
      <c r="F167">
        <v>1E-3</v>
      </c>
      <c r="G167" t="s">
        <v>4413</v>
      </c>
      <c r="H167">
        <v>25.7</v>
      </c>
      <c r="I167" t="s">
        <v>1140</v>
      </c>
      <c r="J167">
        <v>60.600000000000009</v>
      </c>
      <c r="L167">
        <v>3.6</v>
      </c>
      <c r="M167" t="s">
        <v>4414</v>
      </c>
      <c r="N167" t="s">
        <v>4418</v>
      </c>
      <c r="P167" t="s">
        <v>4416</v>
      </c>
      <c r="S167" s="64">
        <f t="shared" si="3"/>
        <v>60.600000000000009</v>
      </c>
      <c r="U167">
        <v>60.2</v>
      </c>
      <c r="V167">
        <v>0.2</v>
      </c>
      <c r="W167">
        <v>0.2</v>
      </c>
      <c r="X167" s="56" t="str">
        <f>GHGFY20[[#This Row],[Data Source (scope 1)]]</f>
        <v>NGER (Measurement) Determination 2008 2019versions pg 318 - Part 3 Fuel combustion - 44</v>
      </c>
      <c r="Y167" s="65" t="s">
        <v>4416</v>
      </c>
      <c r="AB167" s="3">
        <f>(S167-GHGFY20[[#This Row],[Scope 1 Emission factor]])/GHGFY20[[#This Row],[Scope 1 Emission factor]]</f>
        <v>0</v>
      </c>
      <c r="AC167" s="3" t="e">
        <f>(T167-GHGFY20[[#This Row],[Scope 2 Emission factor]])/GHGFY20[[#This Row],[Scope 2 Emission factor]]</f>
        <v>#DIV/0!</v>
      </c>
      <c r="AD167" s="3">
        <f>(U167-GHGFY20[[#This Row],[Scope 3 Emission factor]])/GHGFY20[[#This Row],[Scope 3 Emission factor]]</f>
        <v>15.722222222222221</v>
      </c>
      <c r="AH167" t="b">
        <f>GHGFY20[[#This Row],[Reporting Alias]]=GHGFY207[[#This Row],[Reporting Alias]]</f>
        <v>1</v>
      </c>
    </row>
    <row r="168" spans="1:34" ht="69">
      <c r="A168" t="s">
        <v>949</v>
      </c>
      <c r="B168" t="s">
        <v>1227</v>
      </c>
      <c r="C168" t="s">
        <v>4412</v>
      </c>
      <c r="D168" t="s">
        <v>1192</v>
      </c>
      <c r="E168" t="s">
        <v>673</v>
      </c>
      <c r="F168">
        <v>1E-3</v>
      </c>
      <c r="G168" t="s">
        <v>4413</v>
      </c>
      <c r="H168">
        <v>25.7</v>
      </c>
      <c r="I168" t="s">
        <v>1140</v>
      </c>
      <c r="J168">
        <v>60.600000000000009</v>
      </c>
      <c r="L168">
        <v>3.6</v>
      </c>
      <c r="M168" t="s">
        <v>4414</v>
      </c>
      <c r="N168" t="s">
        <v>4418</v>
      </c>
      <c r="P168" t="s">
        <v>4416</v>
      </c>
      <c r="S168" s="64">
        <f t="shared" si="3"/>
        <v>60.600000000000009</v>
      </c>
      <c r="U168">
        <v>60.2</v>
      </c>
      <c r="V168">
        <v>0.2</v>
      </c>
      <c r="W168">
        <v>0.2</v>
      </c>
      <c r="X168" s="56" t="str">
        <f>GHGFY20[[#This Row],[Data Source (scope 1)]]</f>
        <v>NGER (Measurement) Determination 2008 2019versions pg 318 - Part 3 Fuel combustion - 44</v>
      </c>
      <c r="Y168" s="65" t="s">
        <v>4416</v>
      </c>
      <c r="AB168" s="3">
        <f>(S168-GHGFY20[[#This Row],[Scope 1 Emission factor]])/GHGFY20[[#This Row],[Scope 1 Emission factor]]</f>
        <v>0</v>
      </c>
      <c r="AC168" s="3" t="e">
        <f>(T168-GHGFY20[[#This Row],[Scope 2 Emission factor]])/GHGFY20[[#This Row],[Scope 2 Emission factor]]</f>
        <v>#DIV/0!</v>
      </c>
      <c r="AD168" s="3">
        <f>(U168-GHGFY20[[#This Row],[Scope 3 Emission factor]])/GHGFY20[[#This Row],[Scope 3 Emission factor]]</f>
        <v>15.722222222222221</v>
      </c>
      <c r="AH168" t="b">
        <f>GHGFY20[[#This Row],[Reporting Alias]]=GHGFY207[[#This Row],[Reporting Alias]]</f>
        <v>1</v>
      </c>
    </row>
    <row r="169" spans="1:34" ht="69">
      <c r="A169" t="s">
        <v>954</v>
      </c>
      <c r="B169" t="s">
        <v>1227</v>
      </c>
      <c r="C169" t="s">
        <v>4412</v>
      </c>
      <c r="D169" t="s">
        <v>1189</v>
      </c>
      <c r="E169" t="s">
        <v>673</v>
      </c>
      <c r="F169">
        <v>1E-3</v>
      </c>
      <c r="G169" t="s">
        <v>4413</v>
      </c>
      <c r="H169">
        <v>25.7</v>
      </c>
      <c r="I169" t="s">
        <v>1140</v>
      </c>
      <c r="J169">
        <v>60.600000000000009</v>
      </c>
      <c r="L169">
        <v>3.6</v>
      </c>
      <c r="M169" t="s">
        <v>4414</v>
      </c>
      <c r="N169" t="s">
        <v>4418</v>
      </c>
      <c r="P169" t="s">
        <v>4416</v>
      </c>
      <c r="S169" s="64">
        <f t="shared" si="3"/>
        <v>60.600000000000009</v>
      </c>
      <c r="U169">
        <v>60.2</v>
      </c>
      <c r="V169">
        <v>0.2</v>
      </c>
      <c r="W169">
        <v>0.2</v>
      </c>
      <c r="X169" s="56" t="str">
        <f>GHGFY20[[#This Row],[Data Source (scope 1)]]</f>
        <v>NGER (Measurement) Determination 2008 2019versions pg 318 - Part 3 Fuel combustion - 44</v>
      </c>
      <c r="Y169" s="65" t="s">
        <v>4416</v>
      </c>
      <c r="AB169" s="3">
        <f>(S169-GHGFY20[[#This Row],[Scope 1 Emission factor]])/GHGFY20[[#This Row],[Scope 1 Emission factor]]</f>
        <v>0</v>
      </c>
      <c r="AC169" s="3" t="e">
        <f>(T169-GHGFY20[[#This Row],[Scope 2 Emission factor]])/GHGFY20[[#This Row],[Scope 2 Emission factor]]</f>
        <v>#DIV/0!</v>
      </c>
      <c r="AD169" s="3">
        <f>(U169-GHGFY20[[#This Row],[Scope 3 Emission factor]])/GHGFY20[[#This Row],[Scope 3 Emission factor]]</f>
        <v>15.722222222222221</v>
      </c>
      <c r="AH169" t="b">
        <f>GHGFY20[[#This Row],[Reporting Alias]]=GHGFY207[[#This Row],[Reporting Alias]]</f>
        <v>1</v>
      </c>
    </row>
    <row r="170" spans="1:34" ht="69">
      <c r="A170" t="s">
        <v>951</v>
      </c>
      <c r="B170" t="s">
        <v>1227</v>
      </c>
      <c r="C170" t="s">
        <v>4412</v>
      </c>
      <c r="D170" t="s">
        <v>1210</v>
      </c>
      <c r="E170" t="s">
        <v>673</v>
      </c>
      <c r="F170">
        <v>1E-3</v>
      </c>
      <c r="G170" t="s">
        <v>4413</v>
      </c>
      <c r="H170">
        <v>25.7</v>
      </c>
      <c r="I170" t="s">
        <v>1140</v>
      </c>
      <c r="J170">
        <v>60.600000000000009</v>
      </c>
      <c r="L170">
        <v>3.6</v>
      </c>
      <c r="M170" t="s">
        <v>4414</v>
      </c>
      <c r="N170" t="s">
        <v>4418</v>
      </c>
      <c r="P170" t="s">
        <v>4416</v>
      </c>
      <c r="S170" s="64">
        <f t="shared" si="3"/>
        <v>60.600000000000009</v>
      </c>
      <c r="U170">
        <v>60.2</v>
      </c>
      <c r="V170">
        <v>0.2</v>
      </c>
      <c r="W170">
        <v>0.2</v>
      </c>
      <c r="X170" s="56" t="str">
        <f>GHGFY20[[#This Row],[Data Source (scope 1)]]</f>
        <v>NGER (Measurement) Determination 2008 2019versions pg 318 - Part 3 Fuel combustion - 44</v>
      </c>
      <c r="Y170" s="65" t="s">
        <v>4416</v>
      </c>
      <c r="AB170" s="3">
        <f>(S170-GHGFY20[[#This Row],[Scope 1 Emission factor]])/GHGFY20[[#This Row],[Scope 1 Emission factor]]</f>
        <v>0</v>
      </c>
      <c r="AC170" s="3" t="e">
        <f>(T170-GHGFY20[[#This Row],[Scope 2 Emission factor]])/GHGFY20[[#This Row],[Scope 2 Emission factor]]</f>
        <v>#DIV/0!</v>
      </c>
      <c r="AD170" s="3">
        <f>(U170-GHGFY20[[#This Row],[Scope 3 Emission factor]])/GHGFY20[[#This Row],[Scope 3 Emission factor]]</f>
        <v>15.722222222222221</v>
      </c>
      <c r="AH170" t="b">
        <f>GHGFY20[[#This Row],[Reporting Alias]]=GHGFY207[[#This Row],[Reporting Alias]]</f>
        <v>1</v>
      </c>
    </row>
    <row r="171" spans="1:34" ht="69">
      <c r="A171" t="s">
        <v>955</v>
      </c>
      <c r="B171" t="s">
        <v>1227</v>
      </c>
      <c r="C171" t="s">
        <v>4412</v>
      </c>
      <c r="D171" t="s">
        <v>1216</v>
      </c>
      <c r="E171" t="s">
        <v>673</v>
      </c>
      <c r="F171">
        <v>1E-3</v>
      </c>
      <c r="G171" t="s">
        <v>4413</v>
      </c>
      <c r="H171">
        <v>25.7</v>
      </c>
      <c r="I171" t="s">
        <v>1140</v>
      </c>
      <c r="J171">
        <v>60.600000000000009</v>
      </c>
      <c r="L171">
        <v>3.6</v>
      </c>
      <c r="M171" t="s">
        <v>4414</v>
      </c>
      <c r="N171" t="s">
        <v>4418</v>
      </c>
      <c r="P171" t="s">
        <v>4416</v>
      </c>
      <c r="S171" s="64">
        <f t="shared" si="3"/>
        <v>60.600000000000009</v>
      </c>
      <c r="U171">
        <v>60.2</v>
      </c>
      <c r="V171">
        <v>0.2</v>
      </c>
      <c r="W171">
        <v>0.2</v>
      </c>
      <c r="X171" s="56" t="str">
        <f>GHGFY20[[#This Row],[Data Source (scope 1)]]</f>
        <v>NGER (Measurement) Determination 2008 2019versions pg 318 - Part 3 Fuel combustion - 44</v>
      </c>
      <c r="Y171" s="65" t="s">
        <v>4416</v>
      </c>
      <c r="AB171" s="3">
        <f>(S171-GHGFY20[[#This Row],[Scope 1 Emission factor]])/GHGFY20[[#This Row],[Scope 1 Emission factor]]</f>
        <v>0</v>
      </c>
      <c r="AC171" s="3" t="e">
        <f>(T171-GHGFY20[[#This Row],[Scope 2 Emission factor]])/GHGFY20[[#This Row],[Scope 2 Emission factor]]</f>
        <v>#DIV/0!</v>
      </c>
      <c r="AD171" s="3">
        <f>(U171-GHGFY20[[#This Row],[Scope 3 Emission factor]])/GHGFY20[[#This Row],[Scope 3 Emission factor]]</f>
        <v>15.722222222222221</v>
      </c>
      <c r="AH171" t="b">
        <f>GHGFY20[[#This Row],[Reporting Alias]]=GHGFY207[[#This Row],[Reporting Alias]]</f>
        <v>1</v>
      </c>
    </row>
    <row r="172" spans="1:34" ht="69">
      <c r="A172" t="s">
        <v>952</v>
      </c>
      <c r="B172" t="s">
        <v>1227</v>
      </c>
      <c r="C172" t="s">
        <v>4412</v>
      </c>
      <c r="D172" t="s">
        <v>1193</v>
      </c>
      <c r="E172" t="s">
        <v>673</v>
      </c>
      <c r="F172">
        <v>1E-3</v>
      </c>
      <c r="G172" t="s">
        <v>4413</v>
      </c>
      <c r="H172">
        <v>25.7</v>
      </c>
      <c r="I172" t="s">
        <v>1140</v>
      </c>
      <c r="J172">
        <v>60.600000000000009</v>
      </c>
      <c r="L172">
        <v>3.6</v>
      </c>
      <c r="M172" t="s">
        <v>4414</v>
      </c>
      <c r="N172" t="s">
        <v>4418</v>
      </c>
      <c r="P172" t="s">
        <v>4416</v>
      </c>
      <c r="S172" s="64">
        <f t="shared" si="3"/>
        <v>60.600000000000009</v>
      </c>
      <c r="U172">
        <v>60.2</v>
      </c>
      <c r="V172">
        <v>0.2</v>
      </c>
      <c r="W172">
        <v>0.2</v>
      </c>
      <c r="X172" s="56" t="str">
        <f>GHGFY20[[#This Row],[Data Source (scope 1)]]</f>
        <v>NGER (Measurement) Determination 2008 2019versions pg 318 - Part 3 Fuel combustion - 44</v>
      </c>
      <c r="Y172" s="65" t="s">
        <v>4416</v>
      </c>
      <c r="AB172" s="3">
        <f>(S172-GHGFY20[[#This Row],[Scope 1 Emission factor]])/GHGFY20[[#This Row],[Scope 1 Emission factor]]</f>
        <v>0</v>
      </c>
      <c r="AC172" s="3" t="e">
        <f>(T172-GHGFY20[[#This Row],[Scope 2 Emission factor]])/GHGFY20[[#This Row],[Scope 2 Emission factor]]</f>
        <v>#DIV/0!</v>
      </c>
      <c r="AD172" s="3">
        <f>(U172-GHGFY20[[#This Row],[Scope 3 Emission factor]])/GHGFY20[[#This Row],[Scope 3 Emission factor]]</f>
        <v>15.722222222222221</v>
      </c>
      <c r="AH172" t="b">
        <f>GHGFY20[[#This Row],[Reporting Alias]]=GHGFY207[[#This Row],[Reporting Alias]]</f>
        <v>1</v>
      </c>
    </row>
    <row r="173" spans="1:34" ht="69">
      <c r="A173" t="s">
        <v>953</v>
      </c>
      <c r="B173" t="s">
        <v>1227</v>
      </c>
      <c r="C173" t="s">
        <v>4412</v>
      </c>
      <c r="D173" t="s">
        <v>1213</v>
      </c>
      <c r="E173" t="s">
        <v>673</v>
      </c>
      <c r="F173">
        <v>1E-3</v>
      </c>
      <c r="G173" t="s">
        <v>4413</v>
      </c>
      <c r="H173">
        <v>25.7</v>
      </c>
      <c r="I173" t="s">
        <v>1140</v>
      </c>
      <c r="J173">
        <v>60.600000000000009</v>
      </c>
      <c r="L173">
        <v>3.6</v>
      </c>
      <c r="M173" t="s">
        <v>4414</v>
      </c>
      <c r="N173" t="s">
        <v>4418</v>
      </c>
      <c r="P173" t="s">
        <v>4416</v>
      </c>
      <c r="S173" s="64">
        <f t="shared" si="3"/>
        <v>60.600000000000009</v>
      </c>
      <c r="U173">
        <v>60.2</v>
      </c>
      <c r="V173">
        <v>0.2</v>
      </c>
      <c r="W173">
        <v>0.2</v>
      </c>
      <c r="X173" s="56" t="str">
        <f>GHGFY20[[#This Row],[Data Source (scope 1)]]</f>
        <v>NGER (Measurement) Determination 2008 2019versions pg 318 - Part 3 Fuel combustion - 44</v>
      </c>
      <c r="Y173" s="65" t="s">
        <v>4416</v>
      </c>
      <c r="AB173" s="3">
        <f>(S173-GHGFY20[[#This Row],[Scope 1 Emission factor]])/GHGFY20[[#This Row],[Scope 1 Emission factor]]</f>
        <v>0</v>
      </c>
      <c r="AC173" s="3" t="e">
        <f>(T173-GHGFY20[[#This Row],[Scope 2 Emission factor]])/GHGFY20[[#This Row],[Scope 2 Emission factor]]</f>
        <v>#DIV/0!</v>
      </c>
      <c r="AD173" s="3">
        <f>(U173-GHGFY20[[#This Row],[Scope 3 Emission factor]])/GHGFY20[[#This Row],[Scope 3 Emission factor]]</f>
        <v>15.722222222222221</v>
      </c>
      <c r="AH173" t="b">
        <f>GHGFY20[[#This Row],[Reporting Alias]]=GHGFY207[[#This Row],[Reporting Alias]]</f>
        <v>1</v>
      </c>
    </row>
    <row r="174" spans="1:34" ht="69">
      <c r="A174" t="s">
        <v>950</v>
      </c>
      <c r="B174" t="s">
        <v>1227</v>
      </c>
      <c r="C174" t="s">
        <v>4412</v>
      </c>
      <c r="D174" t="s">
        <v>1208</v>
      </c>
      <c r="E174" t="s">
        <v>673</v>
      </c>
      <c r="F174">
        <v>1E-3</v>
      </c>
      <c r="G174" t="s">
        <v>4413</v>
      </c>
      <c r="H174">
        <v>25.7</v>
      </c>
      <c r="I174" t="s">
        <v>1140</v>
      </c>
      <c r="J174">
        <v>60.600000000000009</v>
      </c>
      <c r="L174">
        <v>3.6</v>
      </c>
      <c r="M174" t="s">
        <v>4414</v>
      </c>
      <c r="N174" t="s">
        <v>4418</v>
      </c>
      <c r="P174" t="s">
        <v>4416</v>
      </c>
      <c r="S174" s="64">
        <f t="shared" si="3"/>
        <v>60.600000000000009</v>
      </c>
      <c r="U174">
        <v>60.2</v>
      </c>
      <c r="V174">
        <v>0.2</v>
      </c>
      <c r="W174">
        <v>0.2</v>
      </c>
      <c r="X174" s="56" t="str">
        <f>GHGFY20[[#This Row],[Data Source (scope 1)]]</f>
        <v>NGER (Measurement) Determination 2008 2019versions pg 318 - Part 3 Fuel combustion - 44</v>
      </c>
      <c r="Y174" s="65" t="s">
        <v>4416</v>
      </c>
      <c r="AB174" s="3">
        <f>(S174-GHGFY20[[#This Row],[Scope 1 Emission factor]])/GHGFY20[[#This Row],[Scope 1 Emission factor]]</f>
        <v>0</v>
      </c>
      <c r="AC174" s="3" t="e">
        <f>(T174-GHGFY20[[#This Row],[Scope 2 Emission factor]])/GHGFY20[[#This Row],[Scope 2 Emission factor]]</f>
        <v>#DIV/0!</v>
      </c>
      <c r="AD174" s="3">
        <f>(U174-GHGFY20[[#This Row],[Scope 3 Emission factor]])/GHGFY20[[#This Row],[Scope 3 Emission factor]]</f>
        <v>15.722222222222221</v>
      </c>
      <c r="AH174" t="b">
        <f>GHGFY20[[#This Row],[Reporting Alias]]=GHGFY207[[#This Row],[Reporting Alias]]</f>
        <v>1</v>
      </c>
    </row>
    <row r="175" spans="1:34" ht="69">
      <c r="A175" t="s">
        <v>828</v>
      </c>
      <c r="B175" t="s">
        <v>4212</v>
      </c>
      <c r="C175" t="s">
        <v>4420</v>
      </c>
      <c r="D175" t="s">
        <v>1190</v>
      </c>
      <c r="E175" t="s">
        <v>673</v>
      </c>
      <c r="F175">
        <v>1E-3</v>
      </c>
      <c r="G175" t="s">
        <v>4413</v>
      </c>
      <c r="H175">
        <v>38.6</v>
      </c>
      <c r="I175" t="s">
        <v>1140</v>
      </c>
      <c r="J175">
        <v>70.510000000000005</v>
      </c>
      <c r="L175">
        <v>3.6</v>
      </c>
      <c r="M175" t="s">
        <v>4414</v>
      </c>
      <c r="N175" t="s">
        <v>4421</v>
      </c>
      <c r="P175" t="s">
        <v>4416</v>
      </c>
      <c r="R175" t="s">
        <v>4422</v>
      </c>
      <c r="S175" s="56">
        <f>SUM(U175:W175)</f>
        <v>70.510000000000005</v>
      </c>
      <c r="U175">
        <v>69.900000000000006</v>
      </c>
      <c r="V175">
        <v>0.01</v>
      </c>
      <c r="W175">
        <v>0.6</v>
      </c>
      <c r="X175" s="56" t="str">
        <f>GHGFY20[[#This Row],[Data Source (scope 1)]]</f>
        <v>NGER (Measurement) Determination 2008 2019versions pg 321 - Part 4 Fuel combustion - 65</v>
      </c>
      <c r="Y175" s="65" t="s">
        <v>4416</v>
      </c>
      <c r="AB175" s="3">
        <f>(S175-GHGFY20[[#This Row],[Scope 1 Emission factor]])/GHGFY20[[#This Row],[Scope 1 Emission factor]]</f>
        <v>0</v>
      </c>
      <c r="AC175" s="3" t="e">
        <f>(T175-GHGFY20[[#This Row],[Scope 2 Emission factor]])/GHGFY20[[#This Row],[Scope 2 Emission factor]]</f>
        <v>#DIV/0!</v>
      </c>
      <c r="AD175" s="3">
        <f>(U175-GHGFY20[[#This Row],[Scope 3 Emission factor]])/GHGFY20[[#This Row],[Scope 3 Emission factor]]</f>
        <v>18.416666666666668</v>
      </c>
      <c r="AH175" t="b">
        <f>GHGFY20[[#This Row],[Reporting Alias]]=GHGFY207[[#This Row],[Reporting Alias]]</f>
        <v>1</v>
      </c>
    </row>
    <row r="176" spans="1:34" ht="69">
      <c r="A176" t="s">
        <v>829</v>
      </c>
      <c r="B176" t="s">
        <v>4212</v>
      </c>
      <c r="C176" t="s">
        <v>4420</v>
      </c>
      <c r="D176" t="s">
        <v>1192</v>
      </c>
      <c r="E176" t="s">
        <v>673</v>
      </c>
      <c r="F176">
        <v>1E-3</v>
      </c>
      <c r="G176" t="s">
        <v>4413</v>
      </c>
      <c r="H176">
        <v>38.6</v>
      </c>
      <c r="I176" t="s">
        <v>1140</v>
      </c>
      <c r="J176">
        <v>70.510000000000005</v>
      </c>
      <c r="L176">
        <v>3.6</v>
      </c>
      <c r="M176" t="s">
        <v>4414</v>
      </c>
      <c r="N176" t="s">
        <v>4421</v>
      </c>
      <c r="P176" t="s">
        <v>4416</v>
      </c>
      <c r="S176" s="56">
        <f t="shared" ref="S176:S238" si="4">SUM(U176:W176)</f>
        <v>70.510000000000005</v>
      </c>
      <c r="U176">
        <v>69.900000000000006</v>
      </c>
      <c r="V176">
        <v>0.01</v>
      </c>
      <c r="W176">
        <v>0.6</v>
      </c>
      <c r="X176" s="56" t="str">
        <f>GHGFY20[[#This Row],[Data Source (scope 1)]]</f>
        <v>NGER (Measurement) Determination 2008 2019versions pg 321 - Part 4 Fuel combustion - 65</v>
      </c>
      <c r="Y176" s="65" t="s">
        <v>4416</v>
      </c>
      <c r="AB176" s="3">
        <f>(S176-GHGFY20[[#This Row],[Scope 1 Emission factor]])/GHGFY20[[#This Row],[Scope 1 Emission factor]]</f>
        <v>0</v>
      </c>
      <c r="AC176" s="3" t="e">
        <f>(T176-GHGFY20[[#This Row],[Scope 2 Emission factor]])/GHGFY20[[#This Row],[Scope 2 Emission factor]]</f>
        <v>#DIV/0!</v>
      </c>
      <c r="AD176" s="3">
        <f>(U176-GHGFY20[[#This Row],[Scope 3 Emission factor]])/GHGFY20[[#This Row],[Scope 3 Emission factor]]</f>
        <v>18.416666666666668</v>
      </c>
      <c r="AH176" t="b">
        <f>GHGFY20[[#This Row],[Reporting Alias]]=GHGFY207[[#This Row],[Reporting Alias]]</f>
        <v>1</v>
      </c>
    </row>
    <row r="177" spans="1:34" ht="69">
      <c r="A177" t="s">
        <v>834</v>
      </c>
      <c r="B177" t="s">
        <v>4212</v>
      </c>
      <c r="C177" t="s">
        <v>4420</v>
      </c>
      <c r="D177" t="s">
        <v>1189</v>
      </c>
      <c r="E177" t="s">
        <v>673</v>
      </c>
      <c r="F177">
        <v>1E-3</v>
      </c>
      <c r="G177" t="s">
        <v>4413</v>
      </c>
      <c r="H177">
        <v>38.6</v>
      </c>
      <c r="I177" t="s">
        <v>1140</v>
      </c>
      <c r="J177">
        <v>70.510000000000005</v>
      </c>
      <c r="L177">
        <v>3.6</v>
      </c>
      <c r="M177" t="s">
        <v>4414</v>
      </c>
      <c r="N177" t="s">
        <v>4421</v>
      </c>
      <c r="P177" t="s">
        <v>4416</v>
      </c>
      <c r="S177" s="56">
        <f t="shared" si="4"/>
        <v>70.510000000000005</v>
      </c>
      <c r="U177">
        <v>69.900000000000006</v>
      </c>
      <c r="V177">
        <v>0.01</v>
      </c>
      <c r="W177">
        <v>0.6</v>
      </c>
      <c r="X177" s="56" t="str">
        <f>GHGFY20[[#This Row],[Data Source (scope 1)]]</f>
        <v>NGER (Measurement) Determination 2008 2019versions pg 321 - Part 4 Fuel combustion - 65</v>
      </c>
      <c r="Y177" s="65" t="s">
        <v>4416</v>
      </c>
      <c r="AB177" s="3">
        <f>(S177-GHGFY20[[#This Row],[Scope 1 Emission factor]])/GHGFY20[[#This Row],[Scope 1 Emission factor]]</f>
        <v>0</v>
      </c>
      <c r="AC177" s="3" t="e">
        <f>(T177-GHGFY20[[#This Row],[Scope 2 Emission factor]])/GHGFY20[[#This Row],[Scope 2 Emission factor]]</f>
        <v>#DIV/0!</v>
      </c>
      <c r="AD177" s="3">
        <f>(U177-GHGFY20[[#This Row],[Scope 3 Emission factor]])/GHGFY20[[#This Row],[Scope 3 Emission factor]]</f>
        <v>18.416666666666668</v>
      </c>
      <c r="AH177" t="b">
        <f>GHGFY20[[#This Row],[Reporting Alias]]=GHGFY207[[#This Row],[Reporting Alias]]</f>
        <v>1</v>
      </c>
    </row>
    <row r="178" spans="1:34" ht="69">
      <c r="A178" t="s">
        <v>831</v>
      </c>
      <c r="B178" t="s">
        <v>4212</v>
      </c>
      <c r="C178" t="s">
        <v>4420</v>
      </c>
      <c r="D178" t="s">
        <v>1210</v>
      </c>
      <c r="E178" t="s">
        <v>673</v>
      </c>
      <c r="F178">
        <v>1E-3</v>
      </c>
      <c r="G178" t="s">
        <v>4413</v>
      </c>
      <c r="H178">
        <v>38.6</v>
      </c>
      <c r="I178" t="s">
        <v>1140</v>
      </c>
      <c r="J178">
        <v>70.510000000000005</v>
      </c>
      <c r="L178">
        <v>3.6</v>
      </c>
      <c r="M178" t="s">
        <v>4414</v>
      </c>
      <c r="N178" t="s">
        <v>4421</v>
      </c>
      <c r="P178" t="s">
        <v>4416</v>
      </c>
      <c r="S178" s="56">
        <f t="shared" si="4"/>
        <v>70.510000000000005</v>
      </c>
      <c r="U178">
        <v>69.900000000000006</v>
      </c>
      <c r="V178">
        <v>0.01</v>
      </c>
      <c r="W178">
        <v>0.6</v>
      </c>
      <c r="X178" s="56" t="str">
        <f>GHGFY20[[#This Row],[Data Source (scope 1)]]</f>
        <v>NGER (Measurement) Determination 2008 2019versions pg 321 - Part 4 Fuel combustion - 65</v>
      </c>
      <c r="Y178" s="65" t="s">
        <v>4416</v>
      </c>
      <c r="AB178" s="3">
        <f>(S178-GHGFY20[[#This Row],[Scope 1 Emission factor]])/GHGFY20[[#This Row],[Scope 1 Emission factor]]</f>
        <v>0</v>
      </c>
      <c r="AC178" s="3" t="e">
        <f>(T178-GHGFY20[[#This Row],[Scope 2 Emission factor]])/GHGFY20[[#This Row],[Scope 2 Emission factor]]</f>
        <v>#DIV/0!</v>
      </c>
      <c r="AD178" s="3">
        <f>(U178-GHGFY20[[#This Row],[Scope 3 Emission factor]])/GHGFY20[[#This Row],[Scope 3 Emission factor]]</f>
        <v>18.416666666666668</v>
      </c>
      <c r="AH178" t="b">
        <f>GHGFY20[[#This Row],[Reporting Alias]]=GHGFY207[[#This Row],[Reporting Alias]]</f>
        <v>1</v>
      </c>
    </row>
    <row r="179" spans="1:34" ht="69">
      <c r="A179" t="s">
        <v>835</v>
      </c>
      <c r="B179" t="s">
        <v>4212</v>
      </c>
      <c r="C179" t="s">
        <v>4420</v>
      </c>
      <c r="D179" t="s">
        <v>1216</v>
      </c>
      <c r="E179" t="s">
        <v>673</v>
      </c>
      <c r="F179">
        <v>1E-3</v>
      </c>
      <c r="G179" t="s">
        <v>4413</v>
      </c>
      <c r="H179">
        <v>38.6</v>
      </c>
      <c r="I179" t="s">
        <v>1140</v>
      </c>
      <c r="J179">
        <v>70.510000000000005</v>
      </c>
      <c r="L179">
        <v>3.6</v>
      </c>
      <c r="M179" t="s">
        <v>4414</v>
      </c>
      <c r="N179" t="s">
        <v>4421</v>
      </c>
      <c r="P179" t="s">
        <v>4416</v>
      </c>
      <c r="S179" s="56">
        <f t="shared" si="4"/>
        <v>70.510000000000005</v>
      </c>
      <c r="U179">
        <v>69.900000000000006</v>
      </c>
      <c r="V179">
        <v>0.01</v>
      </c>
      <c r="W179">
        <v>0.6</v>
      </c>
      <c r="X179" s="56" t="str">
        <f>GHGFY20[[#This Row],[Data Source (scope 1)]]</f>
        <v>NGER (Measurement) Determination 2008 2019versions pg 321 - Part 4 Fuel combustion - 65</v>
      </c>
      <c r="Y179" s="65" t="s">
        <v>4416</v>
      </c>
      <c r="AB179" s="3">
        <f>(S179-GHGFY20[[#This Row],[Scope 1 Emission factor]])/GHGFY20[[#This Row],[Scope 1 Emission factor]]</f>
        <v>0</v>
      </c>
      <c r="AC179" s="3" t="e">
        <f>(T179-GHGFY20[[#This Row],[Scope 2 Emission factor]])/GHGFY20[[#This Row],[Scope 2 Emission factor]]</f>
        <v>#DIV/0!</v>
      </c>
      <c r="AD179" s="3">
        <f>(U179-GHGFY20[[#This Row],[Scope 3 Emission factor]])/GHGFY20[[#This Row],[Scope 3 Emission factor]]</f>
        <v>18.416666666666668</v>
      </c>
      <c r="AH179" t="b">
        <f>GHGFY20[[#This Row],[Reporting Alias]]=GHGFY207[[#This Row],[Reporting Alias]]</f>
        <v>1</v>
      </c>
    </row>
    <row r="180" spans="1:34" ht="69">
      <c r="A180" t="s">
        <v>832</v>
      </c>
      <c r="B180" t="s">
        <v>4212</v>
      </c>
      <c r="C180" t="s">
        <v>4420</v>
      </c>
      <c r="D180" t="s">
        <v>1193</v>
      </c>
      <c r="E180" t="s">
        <v>673</v>
      </c>
      <c r="F180">
        <v>1E-3</v>
      </c>
      <c r="G180" t="s">
        <v>4413</v>
      </c>
      <c r="H180">
        <v>38.6</v>
      </c>
      <c r="I180" t="s">
        <v>1140</v>
      </c>
      <c r="J180">
        <v>70.510000000000005</v>
      </c>
      <c r="L180">
        <v>3.6</v>
      </c>
      <c r="M180" t="s">
        <v>4414</v>
      </c>
      <c r="N180" t="s">
        <v>4421</v>
      </c>
      <c r="P180" t="s">
        <v>4416</v>
      </c>
      <c r="S180" s="56">
        <f t="shared" si="4"/>
        <v>70.510000000000005</v>
      </c>
      <c r="U180">
        <v>69.900000000000006</v>
      </c>
      <c r="V180">
        <v>0.01</v>
      </c>
      <c r="W180">
        <v>0.6</v>
      </c>
      <c r="X180" s="56" t="str">
        <f>GHGFY20[[#This Row],[Data Source (scope 1)]]</f>
        <v>NGER (Measurement) Determination 2008 2019versions pg 321 - Part 4 Fuel combustion - 65</v>
      </c>
      <c r="Y180" s="65" t="s">
        <v>4416</v>
      </c>
      <c r="AB180" s="3">
        <f>(S180-GHGFY20[[#This Row],[Scope 1 Emission factor]])/GHGFY20[[#This Row],[Scope 1 Emission factor]]</f>
        <v>0</v>
      </c>
      <c r="AC180" s="3" t="e">
        <f>(T180-GHGFY20[[#This Row],[Scope 2 Emission factor]])/GHGFY20[[#This Row],[Scope 2 Emission factor]]</f>
        <v>#DIV/0!</v>
      </c>
      <c r="AD180" s="3">
        <f>(U180-GHGFY20[[#This Row],[Scope 3 Emission factor]])/GHGFY20[[#This Row],[Scope 3 Emission factor]]</f>
        <v>18.416666666666668</v>
      </c>
      <c r="AH180" t="b">
        <f>GHGFY20[[#This Row],[Reporting Alias]]=GHGFY207[[#This Row],[Reporting Alias]]</f>
        <v>1</v>
      </c>
    </row>
    <row r="181" spans="1:34" ht="69">
      <c r="A181" t="s">
        <v>833</v>
      </c>
      <c r="B181" t="s">
        <v>4212</v>
      </c>
      <c r="C181" t="s">
        <v>4420</v>
      </c>
      <c r="D181" t="s">
        <v>1213</v>
      </c>
      <c r="E181" t="s">
        <v>673</v>
      </c>
      <c r="F181">
        <v>1E-3</v>
      </c>
      <c r="G181" t="s">
        <v>4413</v>
      </c>
      <c r="H181">
        <v>38.6</v>
      </c>
      <c r="I181" t="s">
        <v>1140</v>
      </c>
      <c r="J181">
        <v>70.510000000000005</v>
      </c>
      <c r="L181">
        <v>3.6</v>
      </c>
      <c r="M181" t="s">
        <v>4414</v>
      </c>
      <c r="N181" t="s">
        <v>4421</v>
      </c>
      <c r="P181" t="s">
        <v>4416</v>
      </c>
      <c r="S181" s="56">
        <f t="shared" si="4"/>
        <v>70.510000000000005</v>
      </c>
      <c r="U181">
        <v>69.900000000000006</v>
      </c>
      <c r="V181">
        <v>0.01</v>
      </c>
      <c r="W181">
        <v>0.6</v>
      </c>
      <c r="X181" s="56" t="str">
        <f>GHGFY20[[#This Row],[Data Source (scope 1)]]</f>
        <v>NGER (Measurement) Determination 2008 2019versions pg 321 - Part 4 Fuel combustion - 65</v>
      </c>
      <c r="Y181" s="65" t="s">
        <v>4416</v>
      </c>
      <c r="AB181" s="3">
        <f>(S181-GHGFY20[[#This Row],[Scope 1 Emission factor]])/GHGFY20[[#This Row],[Scope 1 Emission factor]]</f>
        <v>0</v>
      </c>
      <c r="AC181" s="3" t="e">
        <f>(T181-GHGFY20[[#This Row],[Scope 2 Emission factor]])/GHGFY20[[#This Row],[Scope 2 Emission factor]]</f>
        <v>#DIV/0!</v>
      </c>
      <c r="AD181" s="3">
        <f>(U181-GHGFY20[[#This Row],[Scope 3 Emission factor]])/GHGFY20[[#This Row],[Scope 3 Emission factor]]</f>
        <v>18.416666666666668</v>
      </c>
      <c r="AH181" t="b">
        <f>GHGFY20[[#This Row],[Reporting Alias]]=GHGFY207[[#This Row],[Reporting Alias]]</f>
        <v>1</v>
      </c>
    </row>
    <row r="182" spans="1:34" ht="69">
      <c r="A182" t="s">
        <v>830</v>
      </c>
      <c r="B182" t="s">
        <v>4212</v>
      </c>
      <c r="C182" t="s">
        <v>4420</v>
      </c>
      <c r="D182" t="s">
        <v>1208</v>
      </c>
      <c r="E182" t="s">
        <v>673</v>
      </c>
      <c r="F182">
        <v>1E-3</v>
      </c>
      <c r="G182" t="s">
        <v>4413</v>
      </c>
      <c r="H182">
        <v>38.6</v>
      </c>
      <c r="I182" t="s">
        <v>1140</v>
      </c>
      <c r="J182">
        <v>70.510000000000005</v>
      </c>
      <c r="L182">
        <v>3.6</v>
      </c>
      <c r="M182" t="s">
        <v>4414</v>
      </c>
      <c r="N182" t="s">
        <v>4421</v>
      </c>
      <c r="P182" t="s">
        <v>4416</v>
      </c>
      <c r="S182" s="56">
        <f t="shared" si="4"/>
        <v>70.510000000000005</v>
      </c>
      <c r="U182">
        <v>69.900000000000006</v>
      </c>
      <c r="V182">
        <v>0.01</v>
      </c>
      <c r="W182">
        <v>0.6</v>
      </c>
      <c r="X182" s="56" t="str">
        <f>GHGFY20[[#This Row],[Data Source (scope 1)]]</f>
        <v>NGER (Measurement) Determination 2008 2019versions pg 321 - Part 4 Fuel combustion - 65</v>
      </c>
      <c r="Y182" s="65" t="s">
        <v>4416</v>
      </c>
      <c r="AB182" s="3">
        <f>(S182-GHGFY20[[#This Row],[Scope 1 Emission factor]])/GHGFY20[[#This Row],[Scope 1 Emission factor]]</f>
        <v>0</v>
      </c>
      <c r="AC182" s="3" t="e">
        <f>(T182-GHGFY20[[#This Row],[Scope 2 Emission factor]])/GHGFY20[[#This Row],[Scope 2 Emission factor]]</f>
        <v>#DIV/0!</v>
      </c>
      <c r="AD182" s="3">
        <f>(U182-GHGFY20[[#This Row],[Scope 3 Emission factor]])/GHGFY20[[#This Row],[Scope 3 Emission factor]]</f>
        <v>18.416666666666668</v>
      </c>
      <c r="AH182" t="b">
        <f>GHGFY20[[#This Row],[Reporting Alias]]=GHGFY207[[#This Row],[Reporting Alias]]</f>
        <v>1</v>
      </c>
    </row>
    <row r="183" spans="1:34" ht="69">
      <c r="A183" t="s">
        <v>836</v>
      </c>
      <c r="B183" t="s">
        <v>4212</v>
      </c>
      <c r="C183" t="s">
        <v>4420</v>
      </c>
      <c r="D183" t="s">
        <v>1190</v>
      </c>
      <c r="E183" t="s">
        <v>673</v>
      </c>
      <c r="F183">
        <v>1E-3</v>
      </c>
      <c r="G183" t="s">
        <v>4413</v>
      </c>
      <c r="H183">
        <v>34.200000000000003</v>
      </c>
      <c r="I183" t="s">
        <v>1140</v>
      </c>
      <c r="J183">
        <v>67.62</v>
      </c>
      <c r="L183">
        <v>3.6</v>
      </c>
      <c r="M183" t="s">
        <v>4414</v>
      </c>
      <c r="N183" t="s">
        <v>4423</v>
      </c>
      <c r="P183" t="s">
        <v>4416</v>
      </c>
      <c r="S183" s="56">
        <f t="shared" si="4"/>
        <v>67.62</v>
      </c>
      <c r="U183" s="5">
        <v>67.400000000000006</v>
      </c>
      <c r="V183" s="5">
        <v>0.02</v>
      </c>
      <c r="W183" s="5">
        <v>0.2</v>
      </c>
      <c r="X183" s="56" t="str">
        <f>GHGFY20[[#This Row],[Data Source (scope 1)]]</f>
        <v>NGER (Measurement) Determination 2008 2019versions pg 321 - Part 4 Fuel combustion - 64</v>
      </c>
      <c r="Y183" s="65" t="s">
        <v>4416</v>
      </c>
      <c r="AB183" s="3">
        <f>(S183-GHGFY20[[#This Row],[Scope 1 Emission factor]])/GHGFY20[[#This Row],[Scope 1 Emission factor]]</f>
        <v>0</v>
      </c>
      <c r="AC183" s="3" t="e">
        <f>(T183-GHGFY20[[#This Row],[Scope 2 Emission factor]])/GHGFY20[[#This Row],[Scope 2 Emission factor]]</f>
        <v>#DIV/0!</v>
      </c>
      <c r="AD183" s="3">
        <f>(U183-GHGFY20[[#This Row],[Scope 3 Emission factor]])/GHGFY20[[#This Row],[Scope 3 Emission factor]]</f>
        <v>17.722222222222221</v>
      </c>
      <c r="AH183" t="b">
        <f>GHGFY20[[#This Row],[Reporting Alias]]=GHGFY207[[#This Row],[Reporting Alias]]</f>
        <v>1</v>
      </c>
    </row>
    <row r="184" spans="1:34" ht="69">
      <c r="A184" t="s">
        <v>837</v>
      </c>
      <c r="B184" t="s">
        <v>4212</v>
      </c>
      <c r="C184" t="s">
        <v>4420</v>
      </c>
      <c r="D184" t="s">
        <v>1192</v>
      </c>
      <c r="E184" t="s">
        <v>673</v>
      </c>
      <c r="F184">
        <v>1E-3</v>
      </c>
      <c r="G184" t="s">
        <v>4413</v>
      </c>
      <c r="H184">
        <v>34.200000000000003</v>
      </c>
      <c r="I184" t="s">
        <v>1140</v>
      </c>
      <c r="J184">
        <v>67.62</v>
      </c>
      <c r="L184">
        <v>3.6</v>
      </c>
      <c r="M184" t="s">
        <v>4414</v>
      </c>
      <c r="N184" t="s">
        <v>4423</v>
      </c>
      <c r="P184" t="s">
        <v>4416</v>
      </c>
      <c r="S184" s="56">
        <f t="shared" si="4"/>
        <v>67.62</v>
      </c>
      <c r="U184" s="5">
        <v>67.400000000000006</v>
      </c>
      <c r="V184" s="5">
        <v>0.02</v>
      </c>
      <c r="W184" s="5">
        <v>0.2</v>
      </c>
      <c r="X184" s="56" t="str">
        <f>GHGFY20[[#This Row],[Data Source (scope 1)]]</f>
        <v>NGER (Measurement) Determination 2008 2019versions pg 321 - Part 4 Fuel combustion - 64</v>
      </c>
      <c r="Y184" s="65" t="s">
        <v>4416</v>
      </c>
      <c r="AB184" s="3">
        <f>(S184-GHGFY20[[#This Row],[Scope 1 Emission factor]])/GHGFY20[[#This Row],[Scope 1 Emission factor]]</f>
        <v>0</v>
      </c>
      <c r="AC184" s="3" t="e">
        <f>(T184-GHGFY20[[#This Row],[Scope 2 Emission factor]])/GHGFY20[[#This Row],[Scope 2 Emission factor]]</f>
        <v>#DIV/0!</v>
      </c>
      <c r="AD184" s="3">
        <f>(U184-GHGFY20[[#This Row],[Scope 3 Emission factor]])/GHGFY20[[#This Row],[Scope 3 Emission factor]]</f>
        <v>17.722222222222221</v>
      </c>
      <c r="AH184" t="b">
        <f>GHGFY20[[#This Row],[Reporting Alias]]=GHGFY207[[#This Row],[Reporting Alias]]</f>
        <v>1</v>
      </c>
    </row>
    <row r="185" spans="1:34" ht="69">
      <c r="A185" t="s">
        <v>842</v>
      </c>
      <c r="B185" t="s">
        <v>4212</v>
      </c>
      <c r="C185" t="s">
        <v>4420</v>
      </c>
      <c r="D185" t="s">
        <v>1189</v>
      </c>
      <c r="E185" t="s">
        <v>673</v>
      </c>
      <c r="F185">
        <v>1E-3</v>
      </c>
      <c r="G185" t="s">
        <v>4413</v>
      </c>
      <c r="H185">
        <v>34.200000000000003</v>
      </c>
      <c r="I185" t="s">
        <v>1140</v>
      </c>
      <c r="J185">
        <v>67.62</v>
      </c>
      <c r="L185">
        <v>3.6</v>
      </c>
      <c r="M185" t="s">
        <v>4414</v>
      </c>
      <c r="N185" t="s">
        <v>4423</v>
      </c>
      <c r="P185" t="s">
        <v>4416</v>
      </c>
      <c r="S185" s="56">
        <f t="shared" si="4"/>
        <v>67.62</v>
      </c>
      <c r="U185" s="5">
        <v>67.400000000000006</v>
      </c>
      <c r="V185" s="5">
        <v>0.02</v>
      </c>
      <c r="W185" s="5">
        <v>0.2</v>
      </c>
      <c r="X185" s="56" t="str">
        <f>GHGFY20[[#This Row],[Data Source (scope 1)]]</f>
        <v>NGER (Measurement) Determination 2008 2019versions pg 321 - Part 4 Fuel combustion - 64</v>
      </c>
      <c r="Y185" s="65" t="s">
        <v>4416</v>
      </c>
      <c r="AB185" s="3">
        <f>(S185-GHGFY20[[#This Row],[Scope 1 Emission factor]])/GHGFY20[[#This Row],[Scope 1 Emission factor]]</f>
        <v>0</v>
      </c>
      <c r="AC185" s="3" t="e">
        <f>(T185-GHGFY20[[#This Row],[Scope 2 Emission factor]])/GHGFY20[[#This Row],[Scope 2 Emission factor]]</f>
        <v>#DIV/0!</v>
      </c>
      <c r="AD185" s="3">
        <f>(U185-GHGFY20[[#This Row],[Scope 3 Emission factor]])/GHGFY20[[#This Row],[Scope 3 Emission factor]]</f>
        <v>17.722222222222221</v>
      </c>
      <c r="AH185" t="b">
        <f>GHGFY20[[#This Row],[Reporting Alias]]=GHGFY207[[#This Row],[Reporting Alias]]</f>
        <v>1</v>
      </c>
    </row>
    <row r="186" spans="1:34" ht="69">
      <c r="A186" t="s">
        <v>839</v>
      </c>
      <c r="B186" t="s">
        <v>4212</v>
      </c>
      <c r="C186" t="s">
        <v>4420</v>
      </c>
      <c r="D186" t="s">
        <v>1210</v>
      </c>
      <c r="E186" t="s">
        <v>673</v>
      </c>
      <c r="F186">
        <v>1E-3</v>
      </c>
      <c r="G186" t="s">
        <v>4413</v>
      </c>
      <c r="H186">
        <v>34.200000000000003</v>
      </c>
      <c r="I186" t="s">
        <v>1140</v>
      </c>
      <c r="J186">
        <v>67.62</v>
      </c>
      <c r="L186">
        <v>3.6</v>
      </c>
      <c r="M186" t="s">
        <v>4414</v>
      </c>
      <c r="N186" t="s">
        <v>4423</v>
      </c>
      <c r="P186" t="s">
        <v>4416</v>
      </c>
      <c r="S186" s="56">
        <f t="shared" si="4"/>
        <v>67.62</v>
      </c>
      <c r="U186" s="5">
        <v>67.400000000000006</v>
      </c>
      <c r="V186" s="5">
        <v>0.02</v>
      </c>
      <c r="W186" s="5">
        <v>0.2</v>
      </c>
      <c r="X186" s="56" t="str">
        <f>GHGFY20[[#This Row],[Data Source (scope 1)]]</f>
        <v>NGER (Measurement) Determination 2008 2019versions pg 321 - Part 4 Fuel combustion - 64</v>
      </c>
      <c r="Y186" s="65" t="s">
        <v>4416</v>
      </c>
      <c r="AB186" s="3">
        <f>(S186-GHGFY20[[#This Row],[Scope 1 Emission factor]])/GHGFY20[[#This Row],[Scope 1 Emission factor]]</f>
        <v>0</v>
      </c>
      <c r="AC186" s="3" t="e">
        <f>(T186-GHGFY20[[#This Row],[Scope 2 Emission factor]])/GHGFY20[[#This Row],[Scope 2 Emission factor]]</f>
        <v>#DIV/0!</v>
      </c>
      <c r="AD186" s="3">
        <f>(U186-GHGFY20[[#This Row],[Scope 3 Emission factor]])/GHGFY20[[#This Row],[Scope 3 Emission factor]]</f>
        <v>17.722222222222221</v>
      </c>
      <c r="AH186" t="b">
        <f>GHGFY20[[#This Row],[Reporting Alias]]=GHGFY207[[#This Row],[Reporting Alias]]</f>
        <v>1</v>
      </c>
    </row>
    <row r="187" spans="1:34" ht="69">
      <c r="A187" t="s">
        <v>843</v>
      </c>
      <c r="B187" t="s">
        <v>4212</v>
      </c>
      <c r="C187" t="s">
        <v>4420</v>
      </c>
      <c r="D187" t="s">
        <v>1216</v>
      </c>
      <c r="E187" t="s">
        <v>673</v>
      </c>
      <c r="F187">
        <v>1E-3</v>
      </c>
      <c r="G187" t="s">
        <v>4413</v>
      </c>
      <c r="H187">
        <v>34.200000000000003</v>
      </c>
      <c r="I187" t="s">
        <v>1140</v>
      </c>
      <c r="J187">
        <v>67.62</v>
      </c>
      <c r="L187">
        <v>3.6</v>
      </c>
      <c r="M187" t="s">
        <v>4414</v>
      </c>
      <c r="N187" t="s">
        <v>4423</v>
      </c>
      <c r="P187" t="s">
        <v>4416</v>
      </c>
      <c r="S187" s="56">
        <f t="shared" si="4"/>
        <v>67.62</v>
      </c>
      <c r="U187" s="5">
        <v>67.400000000000006</v>
      </c>
      <c r="V187" s="5">
        <v>0.02</v>
      </c>
      <c r="W187" s="5">
        <v>0.2</v>
      </c>
      <c r="X187" s="56" t="str">
        <f>GHGFY20[[#This Row],[Data Source (scope 1)]]</f>
        <v>NGER (Measurement) Determination 2008 2019versions pg 321 - Part 4 Fuel combustion - 64</v>
      </c>
      <c r="Y187" s="65" t="s">
        <v>4416</v>
      </c>
      <c r="AB187" s="3">
        <f>(S187-GHGFY20[[#This Row],[Scope 1 Emission factor]])/GHGFY20[[#This Row],[Scope 1 Emission factor]]</f>
        <v>0</v>
      </c>
      <c r="AC187" s="3" t="e">
        <f>(T187-GHGFY20[[#This Row],[Scope 2 Emission factor]])/GHGFY20[[#This Row],[Scope 2 Emission factor]]</f>
        <v>#DIV/0!</v>
      </c>
      <c r="AD187" s="3">
        <f>(U187-GHGFY20[[#This Row],[Scope 3 Emission factor]])/GHGFY20[[#This Row],[Scope 3 Emission factor]]</f>
        <v>17.722222222222221</v>
      </c>
      <c r="AH187" t="b">
        <f>GHGFY20[[#This Row],[Reporting Alias]]=GHGFY207[[#This Row],[Reporting Alias]]</f>
        <v>1</v>
      </c>
    </row>
    <row r="188" spans="1:34" ht="69">
      <c r="A188" t="s">
        <v>840</v>
      </c>
      <c r="B188" t="s">
        <v>4212</v>
      </c>
      <c r="C188" t="s">
        <v>4420</v>
      </c>
      <c r="D188" t="s">
        <v>1193</v>
      </c>
      <c r="E188" t="s">
        <v>673</v>
      </c>
      <c r="F188">
        <v>1E-3</v>
      </c>
      <c r="G188" t="s">
        <v>4413</v>
      </c>
      <c r="H188">
        <v>34.200000000000003</v>
      </c>
      <c r="I188" t="s">
        <v>1140</v>
      </c>
      <c r="J188">
        <v>67.62</v>
      </c>
      <c r="L188">
        <v>3.6</v>
      </c>
      <c r="M188" t="s">
        <v>4414</v>
      </c>
      <c r="N188" t="s">
        <v>4423</v>
      </c>
      <c r="P188" t="s">
        <v>4416</v>
      </c>
      <c r="S188" s="56">
        <f t="shared" si="4"/>
        <v>67.62</v>
      </c>
      <c r="U188" s="5">
        <v>67.400000000000006</v>
      </c>
      <c r="V188" s="5">
        <v>0.02</v>
      </c>
      <c r="W188" s="5">
        <v>0.2</v>
      </c>
      <c r="X188" s="56" t="str">
        <f>GHGFY20[[#This Row],[Data Source (scope 1)]]</f>
        <v>NGER (Measurement) Determination 2008 2019versions pg 321 - Part 4 Fuel combustion - 64</v>
      </c>
      <c r="Y188" s="65" t="s">
        <v>4416</v>
      </c>
      <c r="AB188" s="3">
        <f>(S188-GHGFY20[[#This Row],[Scope 1 Emission factor]])/GHGFY20[[#This Row],[Scope 1 Emission factor]]</f>
        <v>0</v>
      </c>
      <c r="AC188" s="3" t="e">
        <f>(T188-GHGFY20[[#This Row],[Scope 2 Emission factor]])/GHGFY20[[#This Row],[Scope 2 Emission factor]]</f>
        <v>#DIV/0!</v>
      </c>
      <c r="AD188" s="3">
        <f>(U188-GHGFY20[[#This Row],[Scope 3 Emission factor]])/GHGFY20[[#This Row],[Scope 3 Emission factor]]</f>
        <v>17.722222222222221</v>
      </c>
      <c r="AH188" t="b">
        <f>GHGFY20[[#This Row],[Reporting Alias]]=GHGFY207[[#This Row],[Reporting Alias]]</f>
        <v>1</v>
      </c>
    </row>
    <row r="189" spans="1:34" ht="69">
      <c r="A189" t="s">
        <v>841</v>
      </c>
      <c r="B189" t="s">
        <v>4212</v>
      </c>
      <c r="C189" t="s">
        <v>4420</v>
      </c>
      <c r="D189" t="s">
        <v>1213</v>
      </c>
      <c r="E189" t="s">
        <v>673</v>
      </c>
      <c r="F189">
        <v>1E-3</v>
      </c>
      <c r="G189" t="s">
        <v>4413</v>
      </c>
      <c r="H189">
        <v>34.200000000000003</v>
      </c>
      <c r="I189" t="s">
        <v>1140</v>
      </c>
      <c r="J189">
        <v>67.62</v>
      </c>
      <c r="L189">
        <v>3.6</v>
      </c>
      <c r="M189" t="s">
        <v>4414</v>
      </c>
      <c r="N189" t="s">
        <v>4423</v>
      </c>
      <c r="P189" t="s">
        <v>4416</v>
      </c>
      <c r="S189" s="56">
        <f t="shared" si="4"/>
        <v>67.62</v>
      </c>
      <c r="U189" s="5">
        <v>67.400000000000006</v>
      </c>
      <c r="V189" s="5">
        <v>0.02</v>
      </c>
      <c r="W189" s="5">
        <v>0.2</v>
      </c>
      <c r="X189" s="56" t="str">
        <f>GHGFY20[[#This Row],[Data Source (scope 1)]]</f>
        <v>NGER (Measurement) Determination 2008 2019versions pg 321 - Part 4 Fuel combustion - 64</v>
      </c>
      <c r="Y189" s="65" t="s">
        <v>4416</v>
      </c>
      <c r="AB189" s="3">
        <f>(S189-GHGFY20[[#This Row],[Scope 1 Emission factor]])/GHGFY20[[#This Row],[Scope 1 Emission factor]]</f>
        <v>0</v>
      </c>
      <c r="AC189" s="3" t="e">
        <f>(T189-GHGFY20[[#This Row],[Scope 2 Emission factor]])/GHGFY20[[#This Row],[Scope 2 Emission factor]]</f>
        <v>#DIV/0!</v>
      </c>
      <c r="AD189" s="3">
        <f>(U189-GHGFY20[[#This Row],[Scope 3 Emission factor]])/GHGFY20[[#This Row],[Scope 3 Emission factor]]</f>
        <v>17.722222222222221</v>
      </c>
      <c r="AH189" t="b">
        <f>GHGFY20[[#This Row],[Reporting Alias]]=GHGFY207[[#This Row],[Reporting Alias]]</f>
        <v>1</v>
      </c>
    </row>
    <row r="190" spans="1:34" ht="69">
      <c r="A190" t="s">
        <v>838</v>
      </c>
      <c r="B190" t="s">
        <v>4212</v>
      </c>
      <c r="C190" t="s">
        <v>4420</v>
      </c>
      <c r="D190" t="s">
        <v>1208</v>
      </c>
      <c r="E190" t="s">
        <v>673</v>
      </c>
      <c r="F190">
        <v>1E-3</v>
      </c>
      <c r="G190" t="s">
        <v>4413</v>
      </c>
      <c r="H190">
        <v>34.200000000000003</v>
      </c>
      <c r="I190" t="s">
        <v>1140</v>
      </c>
      <c r="J190">
        <v>67.62</v>
      </c>
      <c r="L190">
        <v>3.6</v>
      </c>
      <c r="M190" t="s">
        <v>4414</v>
      </c>
      <c r="N190" t="s">
        <v>4423</v>
      </c>
      <c r="P190" t="s">
        <v>4416</v>
      </c>
      <c r="S190" s="56">
        <f t="shared" si="4"/>
        <v>67.62</v>
      </c>
      <c r="U190" s="5">
        <v>67.400000000000006</v>
      </c>
      <c r="V190" s="5">
        <v>0.02</v>
      </c>
      <c r="W190" s="5">
        <v>0.2</v>
      </c>
      <c r="X190" s="56" t="str">
        <f>GHGFY20[[#This Row],[Data Source (scope 1)]]</f>
        <v>NGER (Measurement) Determination 2008 2019versions pg 321 - Part 4 Fuel combustion - 64</v>
      </c>
      <c r="Y190" s="65" t="s">
        <v>4416</v>
      </c>
      <c r="AB190" s="3">
        <f>(S190-GHGFY20[[#This Row],[Scope 1 Emission factor]])/GHGFY20[[#This Row],[Scope 1 Emission factor]]</f>
        <v>0</v>
      </c>
      <c r="AC190" s="3" t="e">
        <f>(T190-GHGFY20[[#This Row],[Scope 2 Emission factor]])/GHGFY20[[#This Row],[Scope 2 Emission factor]]</f>
        <v>#DIV/0!</v>
      </c>
      <c r="AD190" s="3">
        <f>(U190-GHGFY20[[#This Row],[Scope 3 Emission factor]])/GHGFY20[[#This Row],[Scope 3 Emission factor]]</f>
        <v>17.722222222222221</v>
      </c>
      <c r="AH190" t="b">
        <f>GHGFY20[[#This Row],[Reporting Alias]]=GHGFY207[[#This Row],[Reporting Alias]]</f>
        <v>1</v>
      </c>
    </row>
    <row r="191" spans="1:34" ht="69">
      <c r="A191" t="s">
        <v>4213</v>
      </c>
      <c r="B191" t="s">
        <v>4212</v>
      </c>
      <c r="C191" t="s">
        <v>4424</v>
      </c>
      <c r="D191" t="s">
        <v>1190</v>
      </c>
      <c r="E191" t="s">
        <v>673</v>
      </c>
      <c r="F191">
        <v>1E-3</v>
      </c>
      <c r="G191" t="s">
        <v>4413</v>
      </c>
      <c r="H191">
        <v>38.6</v>
      </c>
      <c r="I191" t="s">
        <v>1140</v>
      </c>
      <c r="J191">
        <v>70.5</v>
      </c>
      <c r="L191">
        <v>3.6</v>
      </c>
      <c r="M191" t="s">
        <v>4414</v>
      </c>
      <c r="N191" t="s">
        <v>4425</v>
      </c>
      <c r="P191" t="s">
        <v>4416</v>
      </c>
      <c r="S191" s="56">
        <f t="shared" si="4"/>
        <v>70.5</v>
      </c>
      <c r="U191" s="5">
        <v>69.900000000000006</v>
      </c>
      <c r="V191" s="5">
        <v>0.1</v>
      </c>
      <c r="W191" s="5">
        <v>0.5</v>
      </c>
      <c r="X191" s="56" t="str">
        <f>GHGFY20[[#This Row],[Data Source (scope 1)]]</f>
        <v>NGER (Measurement) Determination 2008 2019versions pg 320 - Part 4 Fuel combustion - 54</v>
      </c>
      <c r="Y191" s="65" t="s">
        <v>4416</v>
      </c>
      <c r="AB191" s="3">
        <f>(S191-GHGFY20[[#This Row],[Scope 1 Emission factor]])/GHGFY20[[#This Row],[Scope 1 Emission factor]]</f>
        <v>0</v>
      </c>
      <c r="AC191" s="3" t="e">
        <f>(T191-GHGFY20[[#This Row],[Scope 2 Emission factor]])/GHGFY20[[#This Row],[Scope 2 Emission factor]]</f>
        <v>#DIV/0!</v>
      </c>
      <c r="AD191" s="3">
        <f>(U191-GHGFY20[[#This Row],[Scope 3 Emission factor]])/GHGFY20[[#This Row],[Scope 3 Emission factor]]</f>
        <v>18.416666666666668</v>
      </c>
      <c r="AH191" t="b">
        <f>GHGFY20[[#This Row],[Reporting Alias]]=GHGFY207[[#This Row],[Reporting Alias]]</f>
        <v>1</v>
      </c>
    </row>
    <row r="192" spans="1:34" ht="69">
      <c r="A192" t="s">
        <v>844</v>
      </c>
      <c r="B192" t="s">
        <v>4212</v>
      </c>
      <c r="C192" t="s">
        <v>4424</v>
      </c>
      <c r="D192" t="s">
        <v>1192</v>
      </c>
      <c r="E192" t="s">
        <v>673</v>
      </c>
      <c r="F192">
        <v>1E-3</v>
      </c>
      <c r="G192" t="s">
        <v>4413</v>
      </c>
      <c r="H192">
        <v>38.6</v>
      </c>
      <c r="I192" t="s">
        <v>1140</v>
      </c>
      <c r="J192">
        <v>70.5</v>
      </c>
      <c r="L192">
        <v>3.6</v>
      </c>
      <c r="M192" t="s">
        <v>4414</v>
      </c>
      <c r="N192" t="s">
        <v>4425</v>
      </c>
      <c r="P192" t="s">
        <v>4416</v>
      </c>
      <c r="S192" s="56">
        <f t="shared" si="4"/>
        <v>70.5</v>
      </c>
      <c r="U192" s="5">
        <v>69.900000000000006</v>
      </c>
      <c r="V192" s="5">
        <v>0.1</v>
      </c>
      <c r="W192" s="5">
        <v>0.5</v>
      </c>
      <c r="X192" s="56" t="str">
        <f>GHGFY20[[#This Row],[Data Source (scope 1)]]</f>
        <v>NGER (Measurement) Determination 2008 2019versions pg 320 - Part 4 Fuel combustion - 54</v>
      </c>
      <c r="Y192" s="65" t="s">
        <v>4416</v>
      </c>
      <c r="AB192" s="3">
        <f>(S192-GHGFY20[[#This Row],[Scope 1 Emission factor]])/GHGFY20[[#This Row],[Scope 1 Emission factor]]</f>
        <v>0</v>
      </c>
      <c r="AC192" s="3" t="e">
        <f>(T192-GHGFY20[[#This Row],[Scope 2 Emission factor]])/GHGFY20[[#This Row],[Scope 2 Emission factor]]</f>
        <v>#DIV/0!</v>
      </c>
      <c r="AD192" s="3">
        <f>(U192-GHGFY20[[#This Row],[Scope 3 Emission factor]])/GHGFY20[[#This Row],[Scope 3 Emission factor]]</f>
        <v>18.416666666666668</v>
      </c>
      <c r="AH192" t="b">
        <f>GHGFY20[[#This Row],[Reporting Alias]]=GHGFY207[[#This Row],[Reporting Alias]]</f>
        <v>1</v>
      </c>
    </row>
    <row r="193" spans="1:34" ht="69">
      <c r="A193" t="s">
        <v>848</v>
      </c>
      <c r="B193" t="s">
        <v>4212</v>
      </c>
      <c r="C193" t="s">
        <v>4424</v>
      </c>
      <c r="D193" t="s">
        <v>1189</v>
      </c>
      <c r="E193" t="s">
        <v>673</v>
      </c>
      <c r="F193">
        <v>1E-3</v>
      </c>
      <c r="G193" t="s">
        <v>4413</v>
      </c>
      <c r="H193">
        <v>38.6</v>
      </c>
      <c r="I193" t="s">
        <v>1140</v>
      </c>
      <c r="J193">
        <v>70.5</v>
      </c>
      <c r="L193">
        <v>3.6</v>
      </c>
      <c r="M193" t="s">
        <v>4414</v>
      </c>
      <c r="N193" t="s">
        <v>4425</v>
      </c>
      <c r="P193" t="s">
        <v>4416</v>
      </c>
      <c r="S193" s="56">
        <f t="shared" si="4"/>
        <v>70.5</v>
      </c>
      <c r="U193" s="5">
        <v>69.900000000000006</v>
      </c>
      <c r="V193" s="5">
        <v>0.1</v>
      </c>
      <c r="W193" s="5">
        <v>0.5</v>
      </c>
      <c r="X193" s="56" t="str">
        <f>GHGFY20[[#This Row],[Data Source (scope 1)]]</f>
        <v>NGER (Measurement) Determination 2008 2019versions pg 320 - Part 4 Fuel combustion - 54</v>
      </c>
      <c r="Y193" s="65" t="s">
        <v>4416</v>
      </c>
      <c r="AB193" s="3">
        <f>(S193-GHGFY20[[#This Row],[Scope 1 Emission factor]])/GHGFY20[[#This Row],[Scope 1 Emission factor]]</f>
        <v>0</v>
      </c>
      <c r="AC193" s="3" t="e">
        <f>(T193-GHGFY20[[#This Row],[Scope 2 Emission factor]])/GHGFY20[[#This Row],[Scope 2 Emission factor]]</f>
        <v>#DIV/0!</v>
      </c>
      <c r="AD193" s="3">
        <f>(U193-GHGFY20[[#This Row],[Scope 3 Emission factor]])/GHGFY20[[#This Row],[Scope 3 Emission factor]]</f>
        <v>18.416666666666668</v>
      </c>
      <c r="AH193" t="b">
        <f>GHGFY20[[#This Row],[Reporting Alias]]=GHGFY207[[#This Row],[Reporting Alias]]</f>
        <v>1</v>
      </c>
    </row>
    <row r="194" spans="1:34" ht="69">
      <c r="A194" t="s">
        <v>845</v>
      </c>
      <c r="B194" t="s">
        <v>4212</v>
      </c>
      <c r="C194" t="s">
        <v>4424</v>
      </c>
      <c r="D194" t="s">
        <v>1210</v>
      </c>
      <c r="E194" t="s">
        <v>673</v>
      </c>
      <c r="F194">
        <v>1E-3</v>
      </c>
      <c r="G194" t="s">
        <v>4413</v>
      </c>
      <c r="H194">
        <v>38.6</v>
      </c>
      <c r="I194" t="s">
        <v>1140</v>
      </c>
      <c r="J194">
        <v>70.5</v>
      </c>
      <c r="L194">
        <v>3.6</v>
      </c>
      <c r="M194" t="s">
        <v>4414</v>
      </c>
      <c r="N194" t="s">
        <v>4425</v>
      </c>
      <c r="P194" t="s">
        <v>4416</v>
      </c>
      <c r="S194" s="56">
        <f t="shared" si="4"/>
        <v>70.5</v>
      </c>
      <c r="U194" s="5">
        <v>69.900000000000006</v>
      </c>
      <c r="V194" s="5">
        <v>0.1</v>
      </c>
      <c r="W194" s="5">
        <v>0.5</v>
      </c>
      <c r="X194" s="56" t="str">
        <f>GHGFY20[[#This Row],[Data Source (scope 1)]]</f>
        <v>NGER (Measurement) Determination 2008 2019versions pg 320 - Part 4 Fuel combustion - 54</v>
      </c>
      <c r="Y194" s="65" t="s">
        <v>4416</v>
      </c>
      <c r="AB194" s="3">
        <f>(S194-GHGFY20[[#This Row],[Scope 1 Emission factor]])/GHGFY20[[#This Row],[Scope 1 Emission factor]]</f>
        <v>0</v>
      </c>
      <c r="AC194" s="3" t="e">
        <f>(T194-GHGFY20[[#This Row],[Scope 2 Emission factor]])/GHGFY20[[#This Row],[Scope 2 Emission factor]]</f>
        <v>#DIV/0!</v>
      </c>
      <c r="AD194" s="3">
        <f>(U194-GHGFY20[[#This Row],[Scope 3 Emission factor]])/GHGFY20[[#This Row],[Scope 3 Emission factor]]</f>
        <v>18.416666666666668</v>
      </c>
      <c r="AH194" t="b">
        <f>GHGFY20[[#This Row],[Reporting Alias]]=GHGFY207[[#This Row],[Reporting Alias]]</f>
        <v>1</v>
      </c>
    </row>
    <row r="195" spans="1:34" ht="69">
      <c r="A195" t="s">
        <v>849</v>
      </c>
      <c r="B195" t="s">
        <v>4212</v>
      </c>
      <c r="C195" t="s">
        <v>4424</v>
      </c>
      <c r="D195" t="s">
        <v>1216</v>
      </c>
      <c r="E195" t="s">
        <v>673</v>
      </c>
      <c r="F195">
        <v>1E-3</v>
      </c>
      <c r="G195" t="s">
        <v>4413</v>
      </c>
      <c r="H195">
        <v>38.6</v>
      </c>
      <c r="I195" t="s">
        <v>1140</v>
      </c>
      <c r="J195">
        <v>70.5</v>
      </c>
      <c r="L195">
        <v>3.6</v>
      </c>
      <c r="M195" t="s">
        <v>4414</v>
      </c>
      <c r="N195" t="s">
        <v>4425</v>
      </c>
      <c r="P195" t="s">
        <v>4416</v>
      </c>
      <c r="S195" s="56">
        <f t="shared" si="4"/>
        <v>70.5</v>
      </c>
      <c r="U195" s="5">
        <v>69.900000000000006</v>
      </c>
      <c r="V195" s="5">
        <v>0.1</v>
      </c>
      <c r="W195" s="5">
        <v>0.5</v>
      </c>
      <c r="X195" s="56" t="str">
        <f>GHGFY20[[#This Row],[Data Source (scope 1)]]</f>
        <v>NGER (Measurement) Determination 2008 2019versions pg 320 - Part 4 Fuel combustion - 54</v>
      </c>
      <c r="Y195" s="65" t="s">
        <v>4416</v>
      </c>
      <c r="AB195" s="3">
        <f>(S195-GHGFY20[[#This Row],[Scope 1 Emission factor]])/GHGFY20[[#This Row],[Scope 1 Emission factor]]</f>
        <v>0</v>
      </c>
      <c r="AC195" s="3" t="e">
        <f>(T195-GHGFY20[[#This Row],[Scope 2 Emission factor]])/GHGFY20[[#This Row],[Scope 2 Emission factor]]</f>
        <v>#DIV/0!</v>
      </c>
      <c r="AD195" s="3">
        <f>(U195-GHGFY20[[#This Row],[Scope 3 Emission factor]])/GHGFY20[[#This Row],[Scope 3 Emission factor]]</f>
        <v>18.416666666666668</v>
      </c>
      <c r="AH195" t="b">
        <f>GHGFY20[[#This Row],[Reporting Alias]]=GHGFY207[[#This Row],[Reporting Alias]]</f>
        <v>1</v>
      </c>
    </row>
    <row r="196" spans="1:34" ht="69">
      <c r="A196" t="s">
        <v>846</v>
      </c>
      <c r="B196" t="s">
        <v>4212</v>
      </c>
      <c r="C196" t="s">
        <v>4424</v>
      </c>
      <c r="D196" t="s">
        <v>1193</v>
      </c>
      <c r="E196" t="s">
        <v>673</v>
      </c>
      <c r="F196">
        <v>1E-3</v>
      </c>
      <c r="G196" t="s">
        <v>4413</v>
      </c>
      <c r="H196">
        <v>38.6</v>
      </c>
      <c r="I196" t="s">
        <v>1140</v>
      </c>
      <c r="J196">
        <v>70.5</v>
      </c>
      <c r="L196">
        <v>3.6</v>
      </c>
      <c r="M196" t="s">
        <v>4414</v>
      </c>
      <c r="N196" t="s">
        <v>4425</v>
      </c>
      <c r="P196" t="s">
        <v>4416</v>
      </c>
      <c r="S196" s="56">
        <f t="shared" si="4"/>
        <v>70.5</v>
      </c>
      <c r="U196" s="5">
        <v>69.900000000000006</v>
      </c>
      <c r="V196" s="5">
        <v>0.1</v>
      </c>
      <c r="W196" s="5">
        <v>0.5</v>
      </c>
      <c r="X196" s="56" t="str">
        <f>GHGFY20[[#This Row],[Data Source (scope 1)]]</f>
        <v>NGER (Measurement) Determination 2008 2019versions pg 320 - Part 4 Fuel combustion - 54</v>
      </c>
      <c r="Y196" s="65" t="s">
        <v>4416</v>
      </c>
      <c r="AB196" s="3">
        <f>(S196-GHGFY20[[#This Row],[Scope 1 Emission factor]])/GHGFY20[[#This Row],[Scope 1 Emission factor]]</f>
        <v>0</v>
      </c>
      <c r="AC196" s="3" t="e">
        <f>(T196-GHGFY20[[#This Row],[Scope 2 Emission factor]])/GHGFY20[[#This Row],[Scope 2 Emission factor]]</f>
        <v>#DIV/0!</v>
      </c>
      <c r="AD196" s="3">
        <f>(U196-GHGFY20[[#This Row],[Scope 3 Emission factor]])/GHGFY20[[#This Row],[Scope 3 Emission factor]]</f>
        <v>18.416666666666668</v>
      </c>
      <c r="AH196" t="b">
        <f>GHGFY20[[#This Row],[Reporting Alias]]=GHGFY207[[#This Row],[Reporting Alias]]</f>
        <v>1</v>
      </c>
    </row>
    <row r="197" spans="1:34" ht="69">
      <c r="A197" t="s">
        <v>847</v>
      </c>
      <c r="B197" t="s">
        <v>4212</v>
      </c>
      <c r="C197" t="s">
        <v>4424</v>
      </c>
      <c r="D197" t="s">
        <v>1213</v>
      </c>
      <c r="E197" t="s">
        <v>673</v>
      </c>
      <c r="F197">
        <v>1E-3</v>
      </c>
      <c r="G197" t="s">
        <v>4413</v>
      </c>
      <c r="H197">
        <v>38.6</v>
      </c>
      <c r="I197" t="s">
        <v>1140</v>
      </c>
      <c r="J197">
        <v>70.5</v>
      </c>
      <c r="L197">
        <v>3.6</v>
      </c>
      <c r="M197" t="s">
        <v>4414</v>
      </c>
      <c r="N197" t="s">
        <v>4425</v>
      </c>
      <c r="P197" t="s">
        <v>4416</v>
      </c>
      <c r="S197" s="56">
        <f t="shared" si="4"/>
        <v>70.5</v>
      </c>
      <c r="U197" s="5">
        <v>69.900000000000006</v>
      </c>
      <c r="V197" s="5">
        <v>0.1</v>
      </c>
      <c r="W197" s="5">
        <v>0.5</v>
      </c>
      <c r="X197" s="56" t="str">
        <f>GHGFY20[[#This Row],[Data Source (scope 1)]]</f>
        <v>NGER (Measurement) Determination 2008 2019versions pg 320 - Part 4 Fuel combustion - 54</v>
      </c>
      <c r="Y197" s="65" t="s">
        <v>4416</v>
      </c>
      <c r="AB197" s="3">
        <f>(S197-GHGFY20[[#This Row],[Scope 1 Emission factor]])/GHGFY20[[#This Row],[Scope 1 Emission factor]]</f>
        <v>0</v>
      </c>
      <c r="AC197" s="3" t="e">
        <f>(T197-GHGFY20[[#This Row],[Scope 2 Emission factor]])/GHGFY20[[#This Row],[Scope 2 Emission factor]]</f>
        <v>#DIV/0!</v>
      </c>
      <c r="AD197" s="3">
        <f>(U197-GHGFY20[[#This Row],[Scope 3 Emission factor]])/GHGFY20[[#This Row],[Scope 3 Emission factor]]</f>
        <v>18.416666666666668</v>
      </c>
      <c r="AH197" t="b">
        <f>GHGFY20[[#This Row],[Reporting Alias]]=GHGFY207[[#This Row],[Reporting Alias]]</f>
        <v>1</v>
      </c>
    </row>
    <row r="198" spans="1:34" ht="69">
      <c r="A198" t="s">
        <v>4214</v>
      </c>
      <c r="B198" t="s">
        <v>4212</v>
      </c>
      <c r="C198" t="s">
        <v>4424</v>
      </c>
      <c r="D198" t="s">
        <v>1208</v>
      </c>
      <c r="E198" t="s">
        <v>673</v>
      </c>
      <c r="F198">
        <v>1E-3</v>
      </c>
      <c r="G198" t="s">
        <v>4413</v>
      </c>
      <c r="H198">
        <v>38.6</v>
      </c>
      <c r="I198" t="s">
        <v>1140</v>
      </c>
      <c r="J198">
        <v>70.5</v>
      </c>
      <c r="L198">
        <v>3.6</v>
      </c>
      <c r="M198" t="s">
        <v>4414</v>
      </c>
      <c r="N198" t="s">
        <v>4425</v>
      </c>
      <c r="P198" t="s">
        <v>4416</v>
      </c>
      <c r="S198" s="56">
        <f t="shared" si="4"/>
        <v>70.5</v>
      </c>
      <c r="U198" s="5">
        <v>69.900000000000006</v>
      </c>
      <c r="V198" s="5">
        <v>0.1</v>
      </c>
      <c r="W198" s="5">
        <v>0.5</v>
      </c>
      <c r="X198" s="56" t="str">
        <f>GHGFY20[[#This Row],[Data Source (scope 1)]]</f>
        <v>NGER (Measurement) Determination 2008 2019versions pg 320 - Part 4 Fuel combustion - 54</v>
      </c>
      <c r="Y198" s="65" t="s">
        <v>4416</v>
      </c>
      <c r="AB198" s="3">
        <f>(S198-GHGFY20[[#This Row],[Scope 1 Emission factor]])/GHGFY20[[#This Row],[Scope 1 Emission factor]]</f>
        <v>0</v>
      </c>
      <c r="AC198" s="3" t="e">
        <f>(T198-GHGFY20[[#This Row],[Scope 2 Emission factor]])/GHGFY20[[#This Row],[Scope 2 Emission factor]]</f>
        <v>#DIV/0!</v>
      </c>
      <c r="AD198" s="3">
        <f>(U198-GHGFY20[[#This Row],[Scope 3 Emission factor]])/GHGFY20[[#This Row],[Scope 3 Emission factor]]</f>
        <v>18.416666666666668</v>
      </c>
      <c r="AH198" t="b">
        <f>GHGFY20[[#This Row],[Reporting Alias]]=GHGFY207[[#This Row],[Reporting Alias]]</f>
        <v>1</v>
      </c>
    </row>
    <row r="199" spans="1:34" ht="69">
      <c r="A199" t="s">
        <v>4221</v>
      </c>
      <c r="B199" t="s">
        <v>4212</v>
      </c>
      <c r="C199" t="s">
        <v>4424</v>
      </c>
      <c r="D199" t="s">
        <v>1190</v>
      </c>
      <c r="E199" t="s">
        <v>673</v>
      </c>
      <c r="F199">
        <v>1E-3</v>
      </c>
      <c r="G199" t="s">
        <v>4413</v>
      </c>
      <c r="H199">
        <v>34.200000000000003</v>
      </c>
      <c r="I199" t="s">
        <v>1140</v>
      </c>
      <c r="J199">
        <v>69.7</v>
      </c>
      <c r="L199">
        <v>3.6</v>
      </c>
      <c r="M199" t="s">
        <v>4414</v>
      </c>
      <c r="N199" t="s">
        <v>4426</v>
      </c>
      <c r="P199" t="s">
        <v>4416</v>
      </c>
      <c r="S199" s="56">
        <f t="shared" si="4"/>
        <v>69.7</v>
      </c>
      <c r="U199" s="5">
        <v>67.400000000000006</v>
      </c>
      <c r="V199" s="5">
        <v>0.5</v>
      </c>
      <c r="W199" s="5">
        <v>1.8</v>
      </c>
      <c r="X199" s="56" t="str">
        <f>GHGFY20[[#This Row],[Data Source (scope 1)]]</f>
        <v>NGER (Measurement) Determination 2008 2019versions pg 320 - Part 4 Fuel combustion - 53</v>
      </c>
      <c r="Y199" s="65" t="s">
        <v>4416</v>
      </c>
      <c r="AB199" s="3">
        <f>(S199-GHGFY20[[#This Row],[Scope 1 Emission factor]])/GHGFY20[[#This Row],[Scope 1 Emission factor]]</f>
        <v>0</v>
      </c>
      <c r="AC199" s="3" t="e">
        <f>(T199-GHGFY20[[#This Row],[Scope 2 Emission factor]])/GHGFY20[[#This Row],[Scope 2 Emission factor]]</f>
        <v>#DIV/0!</v>
      </c>
      <c r="AD199" s="3">
        <f>(U199-GHGFY20[[#This Row],[Scope 3 Emission factor]])/GHGFY20[[#This Row],[Scope 3 Emission factor]]</f>
        <v>17.722222222222221</v>
      </c>
      <c r="AH199" t="b">
        <f>GHGFY20[[#This Row],[Reporting Alias]]=GHGFY207[[#This Row],[Reporting Alias]]</f>
        <v>1</v>
      </c>
    </row>
    <row r="200" spans="1:34" ht="69">
      <c r="A200" t="s">
        <v>4222</v>
      </c>
      <c r="B200" t="s">
        <v>4212</v>
      </c>
      <c r="C200" t="s">
        <v>4424</v>
      </c>
      <c r="D200" t="s">
        <v>1192</v>
      </c>
      <c r="E200" t="s">
        <v>673</v>
      </c>
      <c r="F200">
        <v>1E-3</v>
      </c>
      <c r="G200" t="s">
        <v>4413</v>
      </c>
      <c r="H200">
        <v>34.200000000000003</v>
      </c>
      <c r="I200" t="s">
        <v>1140</v>
      </c>
      <c r="J200">
        <v>69.7</v>
      </c>
      <c r="L200">
        <v>3.6</v>
      </c>
      <c r="M200" t="s">
        <v>4414</v>
      </c>
      <c r="N200" t="s">
        <v>4426</v>
      </c>
      <c r="P200" t="s">
        <v>4416</v>
      </c>
      <c r="S200" s="56">
        <f t="shared" si="4"/>
        <v>69.7</v>
      </c>
      <c r="U200" s="5">
        <v>67.400000000000006</v>
      </c>
      <c r="V200" s="5">
        <v>0.5</v>
      </c>
      <c r="W200" s="5">
        <v>1.8</v>
      </c>
      <c r="X200" s="56" t="str">
        <f>GHGFY20[[#This Row],[Data Source (scope 1)]]</f>
        <v>NGER (Measurement) Determination 2008 2019versions pg 320 - Part 4 Fuel combustion - 53</v>
      </c>
      <c r="Y200" s="65" t="s">
        <v>4416</v>
      </c>
      <c r="AB200" s="3">
        <f>(S200-GHGFY20[[#This Row],[Scope 1 Emission factor]])/GHGFY20[[#This Row],[Scope 1 Emission factor]]</f>
        <v>0</v>
      </c>
      <c r="AC200" s="3" t="e">
        <f>(T200-GHGFY20[[#This Row],[Scope 2 Emission factor]])/GHGFY20[[#This Row],[Scope 2 Emission factor]]</f>
        <v>#DIV/0!</v>
      </c>
      <c r="AD200" s="3">
        <f>(U200-GHGFY20[[#This Row],[Scope 3 Emission factor]])/GHGFY20[[#This Row],[Scope 3 Emission factor]]</f>
        <v>17.722222222222221</v>
      </c>
      <c r="AH200" t="b">
        <f>GHGFY20[[#This Row],[Reporting Alias]]=GHGFY207[[#This Row],[Reporting Alias]]</f>
        <v>1</v>
      </c>
    </row>
    <row r="201" spans="1:34" ht="69">
      <c r="A201" t="s">
        <v>868</v>
      </c>
      <c r="B201" t="s">
        <v>4212</v>
      </c>
      <c r="C201" t="s">
        <v>4424</v>
      </c>
      <c r="D201" t="s">
        <v>1189</v>
      </c>
      <c r="E201" t="s">
        <v>673</v>
      </c>
      <c r="F201">
        <v>1E-3</v>
      </c>
      <c r="G201" t="s">
        <v>4413</v>
      </c>
      <c r="H201">
        <v>34.200000000000003</v>
      </c>
      <c r="I201" t="s">
        <v>1140</v>
      </c>
      <c r="J201">
        <v>69.7</v>
      </c>
      <c r="L201">
        <v>3.6</v>
      </c>
      <c r="M201" t="s">
        <v>4414</v>
      </c>
      <c r="N201" t="s">
        <v>4426</v>
      </c>
      <c r="P201" t="s">
        <v>4416</v>
      </c>
      <c r="S201" s="56">
        <f t="shared" si="4"/>
        <v>69.7</v>
      </c>
      <c r="U201" s="5">
        <v>67.400000000000006</v>
      </c>
      <c r="V201" s="5">
        <v>0.5</v>
      </c>
      <c r="W201" s="5">
        <v>1.8</v>
      </c>
      <c r="X201" s="56" t="str">
        <f>GHGFY20[[#This Row],[Data Source (scope 1)]]</f>
        <v>NGER (Measurement) Determination 2008 2019versions pg 320 - Part 4 Fuel combustion - 53</v>
      </c>
      <c r="Y201" s="65" t="s">
        <v>4416</v>
      </c>
      <c r="AB201" s="3">
        <f>(S201-GHGFY20[[#This Row],[Scope 1 Emission factor]])/GHGFY20[[#This Row],[Scope 1 Emission factor]]</f>
        <v>0</v>
      </c>
      <c r="AC201" s="3" t="e">
        <f>(T201-GHGFY20[[#This Row],[Scope 2 Emission factor]])/GHGFY20[[#This Row],[Scope 2 Emission factor]]</f>
        <v>#DIV/0!</v>
      </c>
      <c r="AD201" s="3">
        <f>(U201-GHGFY20[[#This Row],[Scope 3 Emission factor]])/GHGFY20[[#This Row],[Scope 3 Emission factor]]</f>
        <v>17.722222222222221</v>
      </c>
      <c r="AH201" t="b">
        <f>GHGFY20[[#This Row],[Reporting Alias]]=GHGFY207[[#This Row],[Reporting Alias]]</f>
        <v>1</v>
      </c>
    </row>
    <row r="202" spans="1:34" ht="69">
      <c r="A202" t="s">
        <v>4224</v>
      </c>
      <c r="B202" t="s">
        <v>4212</v>
      </c>
      <c r="C202" t="s">
        <v>4424</v>
      </c>
      <c r="D202" t="s">
        <v>1210</v>
      </c>
      <c r="E202" t="s">
        <v>673</v>
      </c>
      <c r="F202">
        <v>1E-3</v>
      </c>
      <c r="G202" t="s">
        <v>4413</v>
      </c>
      <c r="H202">
        <v>34.200000000000003</v>
      </c>
      <c r="I202" t="s">
        <v>1140</v>
      </c>
      <c r="J202">
        <v>69.7</v>
      </c>
      <c r="L202">
        <v>3.6</v>
      </c>
      <c r="M202" t="s">
        <v>4414</v>
      </c>
      <c r="N202" t="s">
        <v>4426</v>
      </c>
      <c r="P202" t="s">
        <v>4416</v>
      </c>
      <c r="S202" s="56">
        <f t="shared" si="4"/>
        <v>69.7</v>
      </c>
      <c r="U202" s="5">
        <v>67.400000000000006</v>
      </c>
      <c r="V202" s="5">
        <v>0.5</v>
      </c>
      <c r="W202" s="5">
        <v>1.8</v>
      </c>
      <c r="X202" s="56" t="str">
        <f>GHGFY20[[#This Row],[Data Source (scope 1)]]</f>
        <v>NGER (Measurement) Determination 2008 2019versions pg 320 - Part 4 Fuel combustion - 53</v>
      </c>
      <c r="Y202" s="65" t="s">
        <v>4416</v>
      </c>
      <c r="AB202" s="3">
        <f>(S202-GHGFY20[[#This Row],[Scope 1 Emission factor]])/GHGFY20[[#This Row],[Scope 1 Emission factor]]</f>
        <v>0</v>
      </c>
      <c r="AC202" s="3" t="e">
        <f>(T202-GHGFY20[[#This Row],[Scope 2 Emission factor]])/GHGFY20[[#This Row],[Scope 2 Emission factor]]</f>
        <v>#DIV/0!</v>
      </c>
      <c r="AD202" s="3">
        <f>(U202-GHGFY20[[#This Row],[Scope 3 Emission factor]])/GHGFY20[[#This Row],[Scope 3 Emission factor]]</f>
        <v>17.722222222222221</v>
      </c>
      <c r="AH202" t="b">
        <f>GHGFY20[[#This Row],[Reporting Alias]]=GHGFY207[[#This Row],[Reporting Alias]]</f>
        <v>1</v>
      </c>
    </row>
    <row r="203" spans="1:34" ht="69">
      <c r="A203" t="s">
        <v>4227</v>
      </c>
      <c r="B203" t="s">
        <v>4212</v>
      </c>
      <c r="C203" t="s">
        <v>4424</v>
      </c>
      <c r="D203" t="s">
        <v>1216</v>
      </c>
      <c r="E203" t="s">
        <v>673</v>
      </c>
      <c r="F203">
        <v>1E-3</v>
      </c>
      <c r="G203" t="s">
        <v>4413</v>
      </c>
      <c r="H203">
        <v>34.200000000000003</v>
      </c>
      <c r="I203" t="s">
        <v>1140</v>
      </c>
      <c r="J203">
        <v>69.7</v>
      </c>
      <c r="L203">
        <v>3.6</v>
      </c>
      <c r="M203" t="s">
        <v>4414</v>
      </c>
      <c r="N203" t="s">
        <v>4426</v>
      </c>
      <c r="P203" t="s">
        <v>4416</v>
      </c>
      <c r="S203" s="56">
        <f t="shared" si="4"/>
        <v>69.7</v>
      </c>
      <c r="U203" s="5">
        <v>67.400000000000006</v>
      </c>
      <c r="V203" s="5">
        <v>0.5</v>
      </c>
      <c r="W203" s="5">
        <v>1.8</v>
      </c>
      <c r="X203" s="56" t="str">
        <f>GHGFY20[[#This Row],[Data Source (scope 1)]]</f>
        <v>NGER (Measurement) Determination 2008 2019versions pg 320 - Part 4 Fuel combustion - 53</v>
      </c>
      <c r="Y203" s="65" t="s">
        <v>4416</v>
      </c>
      <c r="AB203" s="3">
        <f>(S203-GHGFY20[[#This Row],[Scope 1 Emission factor]])/GHGFY20[[#This Row],[Scope 1 Emission factor]]</f>
        <v>0</v>
      </c>
      <c r="AC203" s="3" t="e">
        <f>(T203-GHGFY20[[#This Row],[Scope 2 Emission factor]])/GHGFY20[[#This Row],[Scope 2 Emission factor]]</f>
        <v>#DIV/0!</v>
      </c>
      <c r="AD203" s="3">
        <f>(U203-GHGFY20[[#This Row],[Scope 3 Emission factor]])/GHGFY20[[#This Row],[Scope 3 Emission factor]]</f>
        <v>17.722222222222221</v>
      </c>
      <c r="AH203" t="b">
        <f>GHGFY20[[#This Row],[Reporting Alias]]=GHGFY207[[#This Row],[Reporting Alias]]</f>
        <v>1</v>
      </c>
    </row>
    <row r="204" spans="1:34" ht="69">
      <c r="A204" t="s">
        <v>4225</v>
      </c>
      <c r="B204" t="s">
        <v>4212</v>
      </c>
      <c r="C204" t="s">
        <v>4424</v>
      </c>
      <c r="D204" t="s">
        <v>1193</v>
      </c>
      <c r="E204" t="s">
        <v>673</v>
      </c>
      <c r="F204">
        <v>1E-3</v>
      </c>
      <c r="G204" t="s">
        <v>4413</v>
      </c>
      <c r="H204">
        <v>34.200000000000003</v>
      </c>
      <c r="I204" t="s">
        <v>1140</v>
      </c>
      <c r="J204">
        <v>69.7</v>
      </c>
      <c r="L204">
        <v>3.6</v>
      </c>
      <c r="M204" t="s">
        <v>4414</v>
      </c>
      <c r="N204" t="s">
        <v>4426</v>
      </c>
      <c r="P204" t="s">
        <v>4416</v>
      </c>
      <c r="S204" s="56">
        <f t="shared" si="4"/>
        <v>69.7</v>
      </c>
      <c r="U204" s="5">
        <v>67.400000000000006</v>
      </c>
      <c r="V204" s="5">
        <v>0.5</v>
      </c>
      <c r="W204" s="5">
        <v>1.8</v>
      </c>
      <c r="X204" s="56" t="str">
        <f>GHGFY20[[#This Row],[Data Source (scope 1)]]</f>
        <v>NGER (Measurement) Determination 2008 2019versions pg 320 - Part 4 Fuel combustion - 53</v>
      </c>
      <c r="Y204" s="65" t="s">
        <v>4416</v>
      </c>
      <c r="AB204" s="3">
        <f>(S204-GHGFY20[[#This Row],[Scope 1 Emission factor]])/GHGFY20[[#This Row],[Scope 1 Emission factor]]</f>
        <v>0</v>
      </c>
      <c r="AC204" s="3" t="e">
        <f>(T204-GHGFY20[[#This Row],[Scope 2 Emission factor]])/GHGFY20[[#This Row],[Scope 2 Emission factor]]</f>
        <v>#DIV/0!</v>
      </c>
      <c r="AD204" s="3">
        <f>(U204-GHGFY20[[#This Row],[Scope 3 Emission factor]])/GHGFY20[[#This Row],[Scope 3 Emission factor]]</f>
        <v>17.722222222222221</v>
      </c>
      <c r="AH204" t="b">
        <f>GHGFY20[[#This Row],[Reporting Alias]]=GHGFY207[[#This Row],[Reporting Alias]]</f>
        <v>1</v>
      </c>
    </row>
    <row r="205" spans="1:34" ht="69">
      <c r="A205" t="s">
        <v>4226</v>
      </c>
      <c r="B205" t="s">
        <v>4212</v>
      </c>
      <c r="C205" t="s">
        <v>4424</v>
      </c>
      <c r="D205" t="s">
        <v>1213</v>
      </c>
      <c r="E205" t="s">
        <v>673</v>
      </c>
      <c r="F205">
        <v>1E-3</v>
      </c>
      <c r="G205" t="s">
        <v>4413</v>
      </c>
      <c r="H205">
        <v>34.200000000000003</v>
      </c>
      <c r="I205" t="s">
        <v>1140</v>
      </c>
      <c r="J205">
        <v>69.7</v>
      </c>
      <c r="L205">
        <v>3.6</v>
      </c>
      <c r="M205" t="s">
        <v>4414</v>
      </c>
      <c r="N205" t="s">
        <v>4426</v>
      </c>
      <c r="P205" t="s">
        <v>4416</v>
      </c>
      <c r="S205" s="56">
        <f t="shared" si="4"/>
        <v>69.7</v>
      </c>
      <c r="U205" s="5">
        <v>67.400000000000006</v>
      </c>
      <c r="V205" s="5">
        <v>0.5</v>
      </c>
      <c r="W205" s="5">
        <v>1.8</v>
      </c>
      <c r="X205" s="56" t="str">
        <f>GHGFY20[[#This Row],[Data Source (scope 1)]]</f>
        <v>NGER (Measurement) Determination 2008 2019versions pg 320 - Part 4 Fuel combustion - 53</v>
      </c>
      <c r="Y205" s="65" t="s">
        <v>4416</v>
      </c>
      <c r="AB205" s="3">
        <f>(S205-GHGFY20[[#This Row],[Scope 1 Emission factor]])/GHGFY20[[#This Row],[Scope 1 Emission factor]]</f>
        <v>0</v>
      </c>
      <c r="AC205" s="3" t="e">
        <f>(T205-GHGFY20[[#This Row],[Scope 2 Emission factor]])/GHGFY20[[#This Row],[Scope 2 Emission factor]]</f>
        <v>#DIV/0!</v>
      </c>
      <c r="AD205" s="3">
        <f>(U205-GHGFY20[[#This Row],[Scope 3 Emission factor]])/GHGFY20[[#This Row],[Scope 3 Emission factor]]</f>
        <v>17.722222222222221</v>
      </c>
      <c r="AH205" t="b">
        <f>GHGFY20[[#This Row],[Reporting Alias]]=GHGFY207[[#This Row],[Reporting Alias]]</f>
        <v>1</v>
      </c>
    </row>
    <row r="206" spans="1:34" ht="69">
      <c r="A206" t="s">
        <v>4223</v>
      </c>
      <c r="B206" t="s">
        <v>4212</v>
      </c>
      <c r="C206" t="s">
        <v>4424</v>
      </c>
      <c r="D206" t="s">
        <v>1208</v>
      </c>
      <c r="E206" t="s">
        <v>673</v>
      </c>
      <c r="F206">
        <v>1E-3</v>
      </c>
      <c r="G206" t="s">
        <v>4413</v>
      </c>
      <c r="H206">
        <v>34.200000000000003</v>
      </c>
      <c r="I206" t="s">
        <v>1140</v>
      </c>
      <c r="J206">
        <v>69.7</v>
      </c>
      <c r="L206">
        <v>3.6</v>
      </c>
      <c r="M206" t="s">
        <v>4414</v>
      </c>
      <c r="N206" t="s">
        <v>4426</v>
      </c>
      <c r="P206" t="s">
        <v>4416</v>
      </c>
      <c r="S206" s="56">
        <f t="shared" si="4"/>
        <v>69.7</v>
      </c>
      <c r="U206" s="5">
        <v>67.400000000000006</v>
      </c>
      <c r="V206" s="5">
        <v>0.5</v>
      </c>
      <c r="W206" s="5">
        <v>1.8</v>
      </c>
      <c r="X206" s="56" t="str">
        <f>GHGFY20[[#This Row],[Data Source (scope 1)]]</f>
        <v>NGER (Measurement) Determination 2008 2019versions pg 320 - Part 4 Fuel combustion - 53</v>
      </c>
      <c r="Y206" s="65" t="s">
        <v>4416</v>
      </c>
      <c r="AB206" s="3">
        <f>(S206-GHGFY20[[#This Row],[Scope 1 Emission factor]])/GHGFY20[[#This Row],[Scope 1 Emission factor]]</f>
        <v>0</v>
      </c>
      <c r="AC206" s="3" t="e">
        <f>(T206-GHGFY20[[#This Row],[Scope 2 Emission factor]])/GHGFY20[[#This Row],[Scope 2 Emission factor]]</f>
        <v>#DIV/0!</v>
      </c>
      <c r="AD206" s="3">
        <f>(U206-GHGFY20[[#This Row],[Scope 3 Emission factor]])/GHGFY20[[#This Row],[Scope 3 Emission factor]]</f>
        <v>17.722222222222221</v>
      </c>
      <c r="AH206" t="b">
        <f>GHGFY20[[#This Row],[Reporting Alias]]=GHGFY207[[#This Row],[Reporting Alias]]</f>
        <v>1</v>
      </c>
    </row>
    <row r="207" spans="1:34" ht="69">
      <c r="A207" t="s">
        <v>850</v>
      </c>
      <c r="B207" t="s">
        <v>4212</v>
      </c>
      <c r="C207" t="s">
        <v>4420</v>
      </c>
      <c r="D207" t="s">
        <v>1190</v>
      </c>
      <c r="E207" t="s">
        <v>673</v>
      </c>
      <c r="F207">
        <v>1E-3</v>
      </c>
      <c r="G207" t="s">
        <v>4413</v>
      </c>
      <c r="H207">
        <v>38.6</v>
      </c>
      <c r="I207" t="s">
        <v>1140</v>
      </c>
      <c r="J207">
        <v>70.510000000000005</v>
      </c>
      <c r="L207">
        <v>3.6</v>
      </c>
      <c r="M207" t="s">
        <v>4414</v>
      </c>
      <c r="N207" t="s">
        <v>4421</v>
      </c>
      <c r="P207" t="s">
        <v>4416</v>
      </c>
      <c r="S207" s="56">
        <f t="shared" si="4"/>
        <v>70.510000000000005</v>
      </c>
      <c r="U207" s="5">
        <v>69.900000000000006</v>
      </c>
      <c r="V207" s="5">
        <v>0.01</v>
      </c>
      <c r="W207" s="5">
        <v>0.6</v>
      </c>
      <c r="X207" s="56" t="str">
        <f>GHGFY20[[#This Row],[Data Source (scope 1)]]</f>
        <v>NGER (Measurement) Determination 2008 2019versions pg 321 - Part 4 Fuel combustion - 65</v>
      </c>
      <c r="Y207" s="65" t="s">
        <v>4416</v>
      </c>
      <c r="AB207" s="3">
        <f>(S207-GHGFY20[[#This Row],[Scope 1 Emission factor]])/GHGFY20[[#This Row],[Scope 1 Emission factor]]</f>
        <v>0</v>
      </c>
      <c r="AC207" s="3" t="e">
        <f>(T207-GHGFY20[[#This Row],[Scope 2 Emission factor]])/GHGFY20[[#This Row],[Scope 2 Emission factor]]</f>
        <v>#DIV/0!</v>
      </c>
      <c r="AD207" s="3">
        <f>(U207-GHGFY20[[#This Row],[Scope 3 Emission factor]])/GHGFY20[[#This Row],[Scope 3 Emission factor]]</f>
        <v>18.416666666666668</v>
      </c>
      <c r="AH207" t="b">
        <f>GHGFY20[[#This Row],[Reporting Alias]]=GHGFY207[[#This Row],[Reporting Alias]]</f>
        <v>1</v>
      </c>
    </row>
    <row r="208" spans="1:34" ht="69">
      <c r="A208" t="s">
        <v>851</v>
      </c>
      <c r="B208" t="s">
        <v>4212</v>
      </c>
      <c r="C208" t="s">
        <v>4420</v>
      </c>
      <c r="D208" t="s">
        <v>1192</v>
      </c>
      <c r="E208" t="s">
        <v>673</v>
      </c>
      <c r="F208">
        <v>1E-3</v>
      </c>
      <c r="G208" t="s">
        <v>4413</v>
      </c>
      <c r="H208">
        <v>38.6</v>
      </c>
      <c r="I208" t="s">
        <v>1140</v>
      </c>
      <c r="J208">
        <v>70.510000000000005</v>
      </c>
      <c r="L208">
        <v>3.6</v>
      </c>
      <c r="M208" t="s">
        <v>4414</v>
      </c>
      <c r="N208" t="s">
        <v>4421</v>
      </c>
      <c r="P208" t="s">
        <v>4416</v>
      </c>
      <c r="S208" s="56">
        <f t="shared" si="4"/>
        <v>70.510000000000005</v>
      </c>
      <c r="U208" s="5">
        <v>69.900000000000006</v>
      </c>
      <c r="V208" s="5">
        <v>0.01</v>
      </c>
      <c r="W208" s="5">
        <v>0.6</v>
      </c>
      <c r="X208" s="56" t="str">
        <f>GHGFY20[[#This Row],[Data Source (scope 1)]]</f>
        <v>NGER (Measurement) Determination 2008 2019versions pg 321 - Part 4 Fuel combustion - 65</v>
      </c>
      <c r="Y208" s="65" t="s">
        <v>4416</v>
      </c>
      <c r="AB208" s="3">
        <f>(S208-GHGFY20[[#This Row],[Scope 1 Emission factor]])/GHGFY20[[#This Row],[Scope 1 Emission factor]]</f>
        <v>0</v>
      </c>
      <c r="AC208" s="3" t="e">
        <f>(T208-GHGFY20[[#This Row],[Scope 2 Emission factor]])/GHGFY20[[#This Row],[Scope 2 Emission factor]]</f>
        <v>#DIV/0!</v>
      </c>
      <c r="AD208" s="3">
        <f>(U208-GHGFY20[[#This Row],[Scope 3 Emission factor]])/GHGFY20[[#This Row],[Scope 3 Emission factor]]</f>
        <v>18.416666666666668</v>
      </c>
      <c r="AH208" t="b">
        <f>GHGFY20[[#This Row],[Reporting Alias]]=GHGFY207[[#This Row],[Reporting Alias]]</f>
        <v>1</v>
      </c>
    </row>
    <row r="209" spans="1:34" ht="69">
      <c r="A209" t="s">
        <v>856</v>
      </c>
      <c r="B209" t="s">
        <v>4212</v>
      </c>
      <c r="C209" t="s">
        <v>4420</v>
      </c>
      <c r="D209" t="s">
        <v>1189</v>
      </c>
      <c r="E209" t="s">
        <v>673</v>
      </c>
      <c r="F209">
        <v>1E-3</v>
      </c>
      <c r="G209" t="s">
        <v>4413</v>
      </c>
      <c r="H209">
        <v>38.6</v>
      </c>
      <c r="I209" t="s">
        <v>1140</v>
      </c>
      <c r="J209">
        <v>70.510000000000005</v>
      </c>
      <c r="L209">
        <v>3.6</v>
      </c>
      <c r="M209" t="s">
        <v>4414</v>
      </c>
      <c r="N209" t="s">
        <v>4421</v>
      </c>
      <c r="P209" t="s">
        <v>4416</v>
      </c>
      <c r="S209" s="56">
        <f t="shared" si="4"/>
        <v>70.510000000000005</v>
      </c>
      <c r="U209" s="5">
        <v>69.900000000000006</v>
      </c>
      <c r="V209" s="5">
        <v>0.01</v>
      </c>
      <c r="W209" s="5">
        <v>0.6</v>
      </c>
      <c r="X209" s="56" t="str">
        <f>GHGFY20[[#This Row],[Data Source (scope 1)]]</f>
        <v>NGER (Measurement) Determination 2008 2019versions pg 321 - Part 4 Fuel combustion - 65</v>
      </c>
      <c r="Y209" s="65" t="s">
        <v>4416</v>
      </c>
      <c r="AB209" s="3">
        <f>(S209-GHGFY20[[#This Row],[Scope 1 Emission factor]])/GHGFY20[[#This Row],[Scope 1 Emission factor]]</f>
        <v>0</v>
      </c>
      <c r="AC209" s="3" t="e">
        <f>(T209-GHGFY20[[#This Row],[Scope 2 Emission factor]])/GHGFY20[[#This Row],[Scope 2 Emission factor]]</f>
        <v>#DIV/0!</v>
      </c>
      <c r="AD209" s="3">
        <f>(U209-GHGFY20[[#This Row],[Scope 3 Emission factor]])/GHGFY20[[#This Row],[Scope 3 Emission factor]]</f>
        <v>18.416666666666668</v>
      </c>
      <c r="AH209" t="b">
        <f>GHGFY20[[#This Row],[Reporting Alias]]=GHGFY207[[#This Row],[Reporting Alias]]</f>
        <v>1</v>
      </c>
    </row>
    <row r="210" spans="1:34" ht="69">
      <c r="A210" t="s">
        <v>853</v>
      </c>
      <c r="B210" t="s">
        <v>4212</v>
      </c>
      <c r="C210" t="s">
        <v>4420</v>
      </c>
      <c r="D210" t="s">
        <v>1210</v>
      </c>
      <c r="E210" t="s">
        <v>673</v>
      </c>
      <c r="F210">
        <v>1E-3</v>
      </c>
      <c r="G210" t="s">
        <v>4413</v>
      </c>
      <c r="H210">
        <v>38.6</v>
      </c>
      <c r="I210" t="s">
        <v>1140</v>
      </c>
      <c r="J210">
        <v>70.510000000000005</v>
      </c>
      <c r="L210">
        <v>3.6</v>
      </c>
      <c r="M210" t="s">
        <v>4414</v>
      </c>
      <c r="N210" t="s">
        <v>4421</v>
      </c>
      <c r="P210" t="s">
        <v>4416</v>
      </c>
      <c r="S210" s="56">
        <f t="shared" si="4"/>
        <v>70.510000000000005</v>
      </c>
      <c r="U210" s="5">
        <v>69.900000000000006</v>
      </c>
      <c r="V210" s="5">
        <v>0.01</v>
      </c>
      <c r="W210" s="5">
        <v>0.6</v>
      </c>
      <c r="X210" s="56" t="str">
        <f>GHGFY20[[#This Row],[Data Source (scope 1)]]</f>
        <v>NGER (Measurement) Determination 2008 2019versions pg 321 - Part 4 Fuel combustion - 65</v>
      </c>
      <c r="Y210" s="65" t="s">
        <v>4416</v>
      </c>
      <c r="AB210" s="3">
        <f>(S210-GHGFY20[[#This Row],[Scope 1 Emission factor]])/GHGFY20[[#This Row],[Scope 1 Emission factor]]</f>
        <v>0</v>
      </c>
      <c r="AC210" s="3" t="e">
        <f>(T210-GHGFY20[[#This Row],[Scope 2 Emission factor]])/GHGFY20[[#This Row],[Scope 2 Emission factor]]</f>
        <v>#DIV/0!</v>
      </c>
      <c r="AD210" s="3">
        <f>(U210-GHGFY20[[#This Row],[Scope 3 Emission factor]])/GHGFY20[[#This Row],[Scope 3 Emission factor]]</f>
        <v>18.416666666666668</v>
      </c>
      <c r="AH210" t="b">
        <f>GHGFY20[[#This Row],[Reporting Alias]]=GHGFY207[[#This Row],[Reporting Alias]]</f>
        <v>1</v>
      </c>
    </row>
    <row r="211" spans="1:34" ht="69">
      <c r="A211" t="s">
        <v>857</v>
      </c>
      <c r="B211" t="s">
        <v>4212</v>
      </c>
      <c r="C211" t="s">
        <v>4420</v>
      </c>
      <c r="D211" t="s">
        <v>1216</v>
      </c>
      <c r="E211" t="s">
        <v>673</v>
      </c>
      <c r="F211">
        <v>1E-3</v>
      </c>
      <c r="G211" t="s">
        <v>4413</v>
      </c>
      <c r="H211">
        <v>38.6</v>
      </c>
      <c r="I211" t="s">
        <v>1140</v>
      </c>
      <c r="J211">
        <v>70.510000000000005</v>
      </c>
      <c r="L211">
        <v>3.6</v>
      </c>
      <c r="M211" t="s">
        <v>4414</v>
      </c>
      <c r="N211" t="s">
        <v>4421</v>
      </c>
      <c r="P211" t="s">
        <v>4416</v>
      </c>
      <c r="S211" s="56">
        <f t="shared" si="4"/>
        <v>70.510000000000005</v>
      </c>
      <c r="U211" s="5">
        <v>69.900000000000006</v>
      </c>
      <c r="V211" s="5">
        <v>0.01</v>
      </c>
      <c r="W211" s="5">
        <v>0.6</v>
      </c>
      <c r="X211" s="56" t="str">
        <f>GHGFY20[[#This Row],[Data Source (scope 1)]]</f>
        <v>NGER (Measurement) Determination 2008 2019versions pg 321 - Part 4 Fuel combustion - 65</v>
      </c>
      <c r="Y211" s="65" t="s">
        <v>4416</v>
      </c>
      <c r="AB211" s="3">
        <f>(S211-GHGFY20[[#This Row],[Scope 1 Emission factor]])/GHGFY20[[#This Row],[Scope 1 Emission factor]]</f>
        <v>0</v>
      </c>
      <c r="AC211" s="3" t="e">
        <f>(T211-GHGFY20[[#This Row],[Scope 2 Emission factor]])/GHGFY20[[#This Row],[Scope 2 Emission factor]]</f>
        <v>#DIV/0!</v>
      </c>
      <c r="AD211" s="3">
        <f>(U211-GHGFY20[[#This Row],[Scope 3 Emission factor]])/GHGFY20[[#This Row],[Scope 3 Emission factor]]</f>
        <v>18.416666666666668</v>
      </c>
      <c r="AH211" t="b">
        <f>GHGFY20[[#This Row],[Reporting Alias]]=GHGFY207[[#This Row],[Reporting Alias]]</f>
        <v>1</v>
      </c>
    </row>
    <row r="212" spans="1:34" ht="69">
      <c r="A212" t="s">
        <v>854</v>
      </c>
      <c r="B212" t="s">
        <v>4212</v>
      </c>
      <c r="C212" t="s">
        <v>4420</v>
      </c>
      <c r="D212" t="s">
        <v>1193</v>
      </c>
      <c r="E212" t="s">
        <v>673</v>
      </c>
      <c r="F212">
        <v>1E-3</v>
      </c>
      <c r="G212" t="s">
        <v>4413</v>
      </c>
      <c r="H212">
        <v>38.6</v>
      </c>
      <c r="I212" t="s">
        <v>1140</v>
      </c>
      <c r="J212">
        <v>70.510000000000005</v>
      </c>
      <c r="L212">
        <v>3.6</v>
      </c>
      <c r="M212" t="s">
        <v>4414</v>
      </c>
      <c r="N212" t="s">
        <v>4421</v>
      </c>
      <c r="P212" t="s">
        <v>4416</v>
      </c>
      <c r="S212" s="56">
        <f t="shared" si="4"/>
        <v>70.510000000000005</v>
      </c>
      <c r="U212" s="5">
        <v>69.900000000000006</v>
      </c>
      <c r="V212" s="5">
        <v>0.01</v>
      </c>
      <c r="W212" s="5">
        <v>0.6</v>
      </c>
      <c r="X212" s="56" t="str">
        <f>GHGFY20[[#This Row],[Data Source (scope 1)]]</f>
        <v>NGER (Measurement) Determination 2008 2019versions pg 321 - Part 4 Fuel combustion - 65</v>
      </c>
      <c r="Y212" s="65" t="s">
        <v>4416</v>
      </c>
      <c r="AB212" s="3">
        <f>(S212-GHGFY20[[#This Row],[Scope 1 Emission factor]])/GHGFY20[[#This Row],[Scope 1 Emission factor]]</f>
        <v>0</v>
      </c>
      <c r="AC212" s="3" t="e">
        <f>(T212-GHGFY20[[#This Row],[Scope 2 Emission factor]])/GHGFY20[[#This Row],[Scope 2 Emission factor]]</f>
        <v>#DIV/0!</v>
      </c>
      <c r="AD212" s="3">
        <f>(U212-GHGFY20[[#This Row],[Scope 3 Emission factor]])/GHGFY20[[#This Row],[Scope 3 Emission factor]]</f>
        <v>18.416666666666668</v>
      </c>
      <c r="AH212" t="b">
        <f>GHGFY20[[#This Row],[Reporting Alias]]=GHGFY207[[#This Row],[Reporting Alias]]</f>
        <v>1</v>
      </c>
    </row>
    <row r="213" spans="1:34" ht="69">
      <c r="A213" t="s">
        <v>855</v>
      </c>
      <c r="B213" t="s">
        <v>4212</v>
      </c>
      <c r="C213" t="s">
        <v>4420</v>
      </c>
      <c r="D213" t="s">
        <v>1213</v>
      </c>
      <c r="E213" t="s">
        <v>673</v>
      </c>
      <c r="F213">
        <v>1E-3</v>
      </c>
      <c r="G213" t="s">
        <v>4413</v>
      </c>
      <c r="H213">
        <v>38.6</v>
      </c>
      <c r="I213" t="s">
        <v>1140</v>
      </c>
      <c r="J213">
        <v>70.510000000000005</v>
      </c>
      <c r="L213">
        <v>3.6</v>
      </c>
      <c r="M213" t="s">
        <v>4414</v>
      </c>
      <c r="N213" t="s">
        <v>4421</v>
      </c>
      <c r="P213" t="s">
        <v>4416</v>
      </c>
      <c r="S213" s="56">
        <f t="shared" si="4"/>
        <v>70.510000000000005</v>
      </c>
      <c r="U213" s="5">
        <v>69.900000000000006</v>
      </c>
      <c r="V213" s="5">
        <v>0.01</v>
      </c>
      <c r="W213" s="5">
        <v>0.6</v>
      </c>
      <c r="X213" s="56" t="str">
        <f>GHGFY20[[#This Row],[Data Source (scope 1)]]</f>
        <v>NGER (Measurement) Determination 2008 2019versions pg 321 - Part 4 Fuel combustion - 65</v>
      </c>
      <c r="Y213" s="65" t="s">
        <v>4416</v>
      </c>
      <c r="AB213" s="3">
        <f>(S213-GHGFY20[[#This Row],[Scope 1 Emission factor]])/GHGFY20[[#This Row],[Scope 1 Emission factor]]</f>
        <v>0</v>
      </c>
      <c r="AC213" s="3" t="e">
        <f>(T213-GHGFY20[[#This Row],[Scope 2 Emission factor]])/GHGFY20[[#This Row],[Scope 2 Emission factor]]</f>
        <v>#DIV/0!</v>
      </c>
      <c r="AD213" s="3">
        <f>(U213-GHGFY20[[#This Row],[Scope 3 Emission factor]])/GHGFY20[[#This Row],[Scope 3 Emission factor]]</f>
        <v>18.416666666666668</v>
      </c>
      <c r="AH213" t="b">
        <f>GHGFY20[[#This Row],[Reporting Alias]]=GHGFY207[[#This Row],[Reporting Alias]]</f>
        <v>1</v>
      </c>
    </row>
    <row r="214" spans="1:34" ht="69">
      <c r="A214" t="s">
        <v>852</v>
      </c>
      <c r="B214" t="s">
        <v>4212</v>
      </c>
      <c r="C214" t="s">
        <v>4420</v>
      </c>
      <c r="D214" t="s">
        <v>1208</v>
      </c>
      <c r="E214" t="s">
        <v>673</v>
      </c>
      <c r="F214">
        <v>1E-3</v>
      </c>
      <c r="G214" t="s">
        <v>4413</v>
      </c>
      <c r="H214">
        <v>38.6</v>
      </c>
      <c r="I214" t="s">
        <v>1140</v>
      </c>
      <c r="J214">
        <v>70.510000000000005</v>
      </c>
      <c r="L214">
        <v>3.6</v>
      </c>
      <c r="M214" t="s">
        <v>4414</v>
      </c>
      <c r="N214" t="s">
        <v>4421</v>
      </c>
      <c r="P214" t="s">
        <v>4416</v>
      </c>
      <c r="S214" s="56">
        <f t="shared" si="4"/>
        <v>70.510000000000005</v>
      </c>
      <c r="U214" s="5">
        <v>69.900000000000006</v>
      </c>
      <c r="V214" s="5">
        <v>0.01</v>
      </c>
      <c r="W214" s="5">
        <v>0.6</v>
      </c>
      <c r="X214" s="56" t="str">
        <f>GHGFY20[[#This Row],[Data Source (scope 1)]]</f>
        <v>NGER (Measurement) Determination 2008 2019versions pg 321 - Part 4 Fuel combustion - 65</v>
      </c>
      <c r="Y214" s="65" t="s">
        <v>4416</v>
      </c>
      <c r="AB214" s="3">
        <f>(S214-GHGFY20[[#This Row],[Scope 1 Emission factor]])/GHGFY20[[#This Row],[Scope 1 Emission factor]]</f>
        <v>0</v>
      </c>
      <c r="AC214" s="3" t="e">
        <f>(T214-GHGFY20[[#This Row],[Scope 2 Emission factor]])/GHGFY20[[#This Row],[Scope 2 Emission factor]]</f>
        <v>#DIV/0!</v>
      </c>
      <c r="AD214" s="3">
        <f>(U214-GHGFY20[[#This Row],[Scope 3 Emission factor]])/GHGFY20[[#This Row],[Scope 3 Emission factor]]</f>
        <v>18.416666666666668</v>
      </c>
      <c r="AH214" t="b">
        <f>GHGFY20[[#This Row],[Reporting Alias]]=GHGFY207[[#This Row],[Reporting Alias]]</f>
        <v>1</v>
      </c>
    </row>
    <row r="215" spans="1:34" ht="69">
      <c r="A215" t="s">
        <v>869</v>
      </c>
      <c r="B215" t="s">
        <v>4212</v>
      </c>
      <c r="C215" t="s">
        <v>4420</v>
      </c>
      <c r="D215" t="s">
        <v>1190</v>
      </c>
      <c r="E215" t="s">
        <v>673</v>
      </c>
      <c r="F215">
        <v>1E-3</v>
      </c>
      <c r="G215" t="s">
        <v>4413</v>
      </c>
      <c r="H215">
        <v>34.200000000000003</v>
      </c>
      <c r="I215" t="s">
        <v>1140</v>
      </c>
      <c r="J215">
        <v>67.62</v>
      </c>
      <c r="L215">
        <v>3.6</v>
      </c>
      <c r="M215" t="s">
        <v>4414</v>
      </c>
      <c r="N215" t="s">
        <v>4423</v>
      </c>
      <c r="P215" t="s">
        <v>4416</v>
      </c>
      <c r="S215" s="56">
        <f t="shared" si="4"/>
        <v>67.62</v>
      </c>
      <c r="U215" s="5">
        <v>67.400000000000006</v>
      </c>
      <c r="V215" s="5">
        <v>0.02</v>
      </c>
      <c r="W215" s="5">
        <v>0.2</v>
      </c>
      <c r="X215" s="56" t="str">
        <f>GHGFY20[[#This Row],[Data Source (scope 1)]]</f>
        <v>NGER (Measurement) Determination 2008 2019versions pg 321 - Part 4 Fuel combustion - 64</v>
      </c>
      <c r="Y215" s="65" t="s">
        <v>4416</v>
      </c>
      <c r="AB215" s="3">
        <f>(S215-GHGFY20[[#This Row],[Scope 1 Emission factor]])/GHGFY20[[#This Row],[Scope 1 Emission factor]]</f>
        <v>0</v>
      </c>
      <c r="AC215" s="3" t="e">
        <f>(T215-GHGFY20[[#This Row],[Scope 2 Emission factor]])/GHGFY20[[#This Row],[Scope 2 Emission factor]]</f>
        <v>#DIV/0!</v>
      </c>
      <c r="AD215" s="3">
        <f>(U215-GHGFY20[[#This Row],[Scope 3 Emission factor]])/GHGFY20[[#This Row],[Scope 3 Emission factor]]</f>
        <v>17.722222222222221</v>
      </c>
      <c r="AH215" t="b">
        <f>GHGFY20[[#This Row],[Reporting Alias]]=GHGFY207[[#This Row],[Reporting Alias]]</f>
        <v>1</v>
      </c>
    </row>
    <row r="216" spans="1:34" ht="69">
      <c r="A216" t="s">
        <v>870</v>
      </c>
      <c r="B216" t="s">
        <v>4212</v>
      </c>
      <c r="C216" t="s">
        <v>4420</v>
      </c>
      <c r="D216" t="s">
        <v>1192</v>
      </c>
      <c r="E216" t="s">
        <v>673</v>
      </c>
      <c r="F216">
        <v>1E-3</v>
      </c>
      <c r="G216" t="s">
        <v>4413</v>
      </c>
      <c r="H216">
        <v>34.200000000000003</v>
      </c>
      <c r="I216" t="s">
        <v>1140</v>
      </c>
      <c r="J216">
        <v>67.62</v>
      </c>
      <c r="L216">
        <v>3.6</v>
      </c>
      <c r="M216" t="s">
        <v>4414</v>
      </c>
      <c r="N216" t="s">
        <v>4423</v>
      </c>
      <c r="P216" t="s">
        <v>4416</v>
      </c>
      <c r="S216" s="56">
        <f t="shared" si="4"/>
        <v>67.62</v>
      </c>
      <c r="U216" s="5">
        <v>67.400000000000006</v>
      </c>
      <c r="V216" s="5">
        <v>0.02</v>
      </c>
      <c r="W216" s="5">
        <v>0.2</v>
      </c>
      <c r="X216" s="56" t="str">
        <f>GHGFY20[[#This Row],[Data Source (scope 1)]]</f>
        <v>NGER (Measurement) Determination 2008 2019versions pg 321 - Part 4 Fuel combustion - 64</v>
      </c>
      <c r="Y216" s="65" t="s">
        <v>4416</v>
      </c>
      <c r="AB216" s="3">
        <f>(S216-GHGFY20[[#This Row],[Scope 1 Emission factor]])/GHGFY20[[#This Row],[Scope 1 Emission factor]]</f>
        <v>0</v>
      </c>
      <c r="AC216" s="3" t="e">
        <f>(T216-GHGFY20[[#This Row],[Scope 2 Emission factor]])/GHGFY20[[#This Row],[Scope 2 Emission factor]]</f>
        <v>#DIV/0!</v>
      </c>
      <c r="AD216" s="3">
        <f>(U216-GHGFY20[[#This Row],[Scope 3 Emission factor]])/GHGFY20[[#This Row],[Scope 3 Emission factor]]</f>
        <v>17.722222222222221</v>
      </c>
      <c r="AH216" t="b">
        <f>GHGFY20[[#This Row],[Reporting Alias]]=GHGFY207[[#This Row],[Reporting Alias]]</f>
        <v>1</v>
      </c>
    </row>
    <row r="217" spans="1:34" ht="69">
      <c r="A217" t="s">
        <v>875</v>
      </c>
      <c r="B217" t="s">
        <v>4212</v>
      </c>
      <c r="C217" t="s">
        <v>4420</v>
      </c>
      <c r="D217" t="s">
        <v>1189</v>
      </c>
      <c r="E217" t="s">
        <v>673</v>
      </c>
      <c r="F217">
        <v>1E-3</v>
      </c>
      <c r="G217" t="s">
        <v>4413</v>
      </c>
      <c r="H217">
        <v>34.200000000000003</v>
      </c>
      <c r="I217" t="s">
        <v>1140</v>
      </c>
      <c r="J217">
        <v>67.62</v>
      </c>
      <c r="L217">
        <v>3.6</v>
      </c>
      <c r="M217" t="s">
        <v>4414</v>
      </c>
      <c r="N217" t="s">
        <v>4423</v>
      </c>
      <c r="P217" t="s">
        <v>4416</v>
      </c>
      <c r="S217" s="56">
        <f t="shared" si="4"/>
        <v>67.62</v>
      </c>
      <c r="U217" s="5">
        <v>67.400000000000006</v>
      </c>
      <c r="V217" s="5">
        <v>0.02</v>
      </c>
      <c r="W217" s="5">
        <v>0.2</v>
      </c>
      <c r="X217" s="56" t="str">
        <f>GHGFY20[[#This Row],[Data Source (scope 1)]]</f>
        <v>NGER (Measurement) Determination 2008 2019versions pg 321 - Part 4 Fuel combustion - 64</v>
      </c>
      <c r="Y217" s="65" t="s">
        <v>4416</v>
      </c>
      <c r="AB217" s="3">
        <f>(S217-GHGFY20[[#This Row],[Scope 1 Emission factor]])/GHGFY20[[#This Row],[Scope 1 Emission factor]]</f>
        <v>0</v>
      </c>
      <c r="AC217" s="3" t="e">
        <f>(T217-GHGFY20[[#This Row],[Scope 2 Emission factor]])/GHGFY20[[#This Row],[Scope 2 Emission factor]]</f>
        <v>#DIV/0!</v>
      </c>
      <c r="AD217" s="3">
        <f>(U217-GHGFY20[[#This Row],[Scope 3 Emission factor]])/GHGFY20[[#This Row],[Scope 3 Emission factor]]</f>
        <v>17.722222222222221</v>
      </c>
      <c r="AH217" t="b">
        <f>GHGFY20[[#This Row],[Reporting Alias]]=GHGFY207[[#This Row],[Reporting Alias]]</f>
        <v>1</v>
      </c>
    </row>
    <row r="218" spans="1:34" ht="69">
      <c r="A218" t="s">
        <v>872</v>
      </c>
      <c r="B218" t="s">
        <v>4212</v>
      </c>
      <c r="C218" t="s">
        <v>4420</v>
      </c>
      <c r="D218" t="s">
        <v>1210</v>
      </c>
      <c r="E218" t="s">
        <v>673</v>
      </c>
      <c r="F218">
        <v>1E-3</v>
      </c>
      <c r="G218" t="s">
        <v>4413</v>
      </c>
      <c r="H218">
        <v>34.200000000000003</v>
      </c>
      <c r="I218" t="s">
        <v>1140</v>
      </c>
      <c r="J218">
        <v>67.62</v>
      </c>
      <c r="L218">
        <v>3.6</v>
      </c>
      <c r="M218" t="s">
        <v>4414</v>
      </c>
      <c r="N218" t="s">
        <v>4423</v>
      </c>
      <c r="P218" t="s">
        <v>4416</v>
      </c>
      <c r="S218" s="56">
        <f t="shared" si="4"/>
        <v>67.62</v>
      </c>
      <c r="U218" s="5">
        <v>67.400000000000006</v>
      </c>
      <c r="V218" s="5">
        <v>0.02</v>
      </c>
      <c r="W218" s="5">
        <v>0.2</v>
      </c>
      <c r="X218" s="56" t="str">
        <f>GHGFY20[[#This Row],[Data Source (scope 1)]]</f>
        <v>NGER (Measurement) Determination 2008 2019versions pg 321 - Part 4 Fuel combustion - 64</v>
      </c>
      <c r="Y218" s="65" t="s">
        <v>4416</v>
      </c>
      <c r="AB218" s="3">
        <f>(S218-GHGFY20[[#This Row],[Scope 1 Emission factor]])/GHGFY20[[#This Row],[Scope 1 Emission factor]]</f>
        <v>0</v>
      </c>
      <c r="AC218" s="3" t="e">
        <f>(T218-GHGFY20[[#This Row],[Scope 2 Emission factor]])/GHGFY20[[#This Row],[Scope 2 Emission factor]]</f>
        <v>#DIV/0!</v>
      </c>
      <c r="AD218" s="3">
        <f>(U218-GHGFY20[[#This Row],[Scope 3 Emission factor]])/GHGFY20[[#This Row],[Scope 3 Emission factor]]</f>
        <v>17.722222222222221</v>
      </c>
      <c r="AH218" t="b">
        <f>GHGFY20[[#This Row],[Reporting Alias]]=GHGFY207[[#This Row],[Reporting Alias]]</f>
        <v>1</v>
      </c>
    </row>
    <row r="219" spans="1:34" ht="69">
      <c r="A219" t="s">
        <v>876</v>
      </c>
      <c r="B219" t="s">
        <v>4212</v>
      </c>
      <c r="C219" t="s">
        <v>4420</v>
      </c>
      <c r="D219" t="s">
        <v>1216</v>
      </c>
      <c r="E219" t="s">
        <v>673</v>
      </c>
      <c r="F219">
        <v>1E-3</v>
      </c>
      <c r="G219" t="s">
        <v>4413</v>
      </c>
      <c r="H219">
        <v>34.200000000000003</v>
      </c>
      <c r="I219" t="s">
        <v>1140</v>
      </c>
      <c r="J219">
        <v>67.62</v>
      </c>
      <c r="L219">
        <v>3.6</v>
      </c>
      <c r="M219" t="s">
        <v>4414</v>
      </c>
      <c r="N219" t="s">
        <v>4423</v>
      </c>
      <c r="P219" t="s">
        <v>4416</v>
      </c>
      <c r="S219" s="56">
        <f t="shared" si="4"/>
        <v>67.62</v>
      </c>
      <c r="U219" s="5">
        <v>67.400000000000006</v>
      </c>
      <c r="V219" s="5">
        <v>0.02</v>
      </c>
      <c r="W219" s="5">
        <v>0.2</v>
      </c>
      <c r="X219" s="56" t="str">
        <f>GHGFY20[[#This Row],[Data Source (scope 1)]]</f>
        <v>NGER (Measurement) Determination 2008 2019versions pg 321 - Part 4 Fuel combustion - 64</v>
      </c>
      <c r="Y219" s="65" t="s">
        <v>4416</v>
      </c>
      <c r="AB219" s="3">
        <f>(S219-GHGFY20[[#This Row],[Scope 1 Emission factor]])/GHGFY20[[#This Row],[Scope 1 Emission factor]]</f>
        <v>0</v>
      </c>
      <c r="AC219" s="3" t="e">
        <f>(T219-GHGFY20[[#This Row],[Scope 2 Emission factor]])/GHGFY20[[#This Row],[Scope 2 Emission factor]]</f>
        <v>#DIV/0!</v>
      </c>
      <c r="AD219" s="3">
        <f>(U219-GHGFY20[[#This Row],[Scope 3 Emission factor]])/GHGFY20[[#This Row],[Scope 3 Emission factor]]</f>
        <v>17.722222222222221</v>
      </c>
      <c r="AH219" t="b">
        <f>GHGFY20[[#This Row],[Reporting Alias]]=GHGFY207[[#This Row],[Reporting Alias]]</f>
        <v>1</v>
      </c>
    </row>
    <row r="220" spans="1:34" ht="69">
      <c r="A220" t="s">
        <v>873</v>
      </c>
      <c r="B220" t="s">
        <v>4212</v>
      </c>
      <c r="C220" t="s">
        <v>4420</v>
      </c>
      <c r="D220" t="s">
        <v>1193</v>
      </c>
      <c r="E220" t="s">
        <v>673</v>
      </c>
      <c r="F220">
        <v>1E-3</v>
      </c>
      <c r="G220" t="s">
        <v>4413</v>
      </c>
      <c r="H220">
        <v>34.200000000000003</v>
      </c>
      <c r="I220" t="s">
        <v>1140</v>
      </c>
      <c r="J220">
        <v>67.62</v>
      </c>
      <c r="L220">
        <v>3.6</v>
      </c>
      <c r="M220" t="s">
        <v>4414</v>
      </c>
      <c r="N220" t="s">
        <v>4423</v>
      </c>
      <c r="P220" t="s">
        <v>4416</v>
      </c>
      <c r="S220" s="56">
        <f t="shared" si="4"/>
        <v>67.62</v>
      </c>
      <c r="U220" s="5">
        <v>67.400000000000006</v>
      </c>
      <c r="V220" s="5">
        <v>0.02</v>
      </c>
      <c r="W220" s="5">
        <v>0.2</v>
      </c>
      <c r="X220" s="56" t="str">
        <f>GHGFY20[[#This Row],[Data Source (scope 1)]]</f>
        <v>NGER (Measurement) Determination 2008 2019versions pg 321 - Part 4 Fuel combustion - 64</v>
      </c>
      <c r="Y220" s="65" t="s">
        <v>4416</v>
      </c>
      <c r="AB220" s="3">
        <f>(S220-GHGFY20[[#This Row],[Scope 1 Emission factor]])/GHGFY20[[#This Row],[Scope 1 Emission factor]]</f>
        <v>0</v>
      </c>
      <c r="AC220" s="3" t="e">
        <f>(T220-GHGFY20[[#This Row],[Scope 2 Emission factor]])/GHGFY20[[#This Row],[Scope 2 Emission factor]]</f>
        <v>#DIV/0!</v>
      </c>
      <c r="AD220" s="3">
        <f>(U220-GHGFY20[[#This Row],[Scope 3 Emission factor]])/GHGFY20[[#This Row],[Scope 3 Emission factor]]</f>
        <v>17.722222222222221</v>
      </c>
      <c r="AH220" t="b">
        <f>GHGFY20[[#This Row],[Reporting Alias]]=GHGFY207[[#This Row],[Reporting Alias]]</f>
        <v>1</v>
      </c>
    </row>
    <row r="221" spans="1:34" ht="69">
      <c r="A221" t="s">
        <v>874</v>
      </c>
      <c r="B221" t="s">
        <v>4212</v>
      </c>
      <c r="C221" t="s">
        <v>4420</v>
      </c>
      <c r="D221" t="s">
        <v>1213</v>
      </c>
      <c r="E221" t="s">
        <v>673</v>
      </c>
      <c r="F221">
        <v>1E-3</v>
      </c>
      <c r="G221" t="s">
        <v>4413</v>
      </c>
      <c r="H221">
        <v>34.200000000000003</v>
      </c>
      <c r="I221" t="s">
        <v>1140</v>
      </c>
      <c r="J221">
        <v>67.62</v>
      </c>
      <c r="L221">
        <v>3.6</v>
      </c>
      <c r="M221" t="s">
        <v>4414</v>
      </c>
      <c r="N221" t="s">
        <v>4423</v>
      </c>
      <c r="P221" t="s">
        <v>4416</v>
      </c>
      <c r="S221" s="56">
        <f t="shared" si="4"/>
        <v>67.62</v>
      </c>
      <c r="U221" s="5">
        <v>67.400000000000006</v>
      </c>
      <c r="V221" s="5">
        <v>0.02</v>
      </c>
      <c r="W221" s="5">
        <v>0.2</v>
      </c>
      <c r="X221" s="56" t="str">
        <f>GHGFY20[[#This Row],[Data Source (scope 1)]]</f>
        <v>NGER (Measurement) Determination 2008 2019versions pg 321 - Part 4 Fuel combustion - 64</v>
      </c>
      <c r="Y221" s="65" t="s">
        <v>4416</v>
      </c>
      <c r="AB221" s="3">
        <f>(S221-GHGFY20[[#This Row],[Scope 1 Emission factor]])/GHGFY20[[#This Row],[Scope 1 Emission factor]]</f>
        <v>0</v>
      </c>
      <c r="AC221" s="3" t="e">
        <f>(T221-GHGFY20[[#This Row],[Scope 2 Emission factor]])/GHGFY20[[#This Row],[Scope 2 Emission factor]]</f>
        <v>#DIV/0!</v>
      </c>
      <c r="AD221" s="3">
        <f>(U221-GHGFY20[[#This Row],[Scope 3 Emission factor]])/GHGFY20[[#This Row],[Scope 3 Emission factor]]</f>
        <v>17.722222222222221</v>
      </c>
      <c r="AH221" t="b">
        <f>GHGFY20[[#This Row],[Reporting Alias]]=GHGFY207[[#This Row],[Reporting Alias]]</f>
        <v>1</v>
      </c>
    </row>
    <row r="222" spans="1:34" ht="69">
      <c r="A222" t="s">
        <v>871</v>
      </c>
      <c r="B222" t="s">
        <v>4212</v>
      </c>
      <c r="C222" t="s">
        <v>4420</v>
      </c>
      <c r="D222" t="s">
        <v>1208</v>
      </c>
      <c r="E222" t="s">
        <v>673</v>
      </c>
      <c r="F222">
        <v>1E-3</v>
      </c>
      <c r="G222" t="s">
        <v>4413</v>
      </c>
      <c r="H222">
        <v>34.200000000000003</v>
      </c>
      <c r="I222" t="s">
        <v>1140</v>
      </c>
      <c r="J222">
        <v>67.62</v>
      </c>
      <c r="L222">
        <v>3.6</v>
      </c>
      <c r="M222" t="s">
        <v>4414</v>
      </c>
      <c r="N222" t="s">
        <v>4423</v>
      </c>
      <c r="P222" t="s">
        <v>4416</v>
      </c>
      <c r="S222" s="56">
        <f t="shared" si="4"/>
        <v>67.62</v>
      </c>
      <c r="U222" s="5">
        <v>67.400000000000006</v>
      </c>
      <c r="V222" s="5">
        <v>0.02</v>
      </c>
      <c r="W222" s="5">
        <v>0.2</v>
      </c>
      <c r="X222" s="56" t="str">
        <f>GHGFY20[[#This Row],[Data Source (scope 1)]]</f>
        <v>NGER (Measurement) Determination 2008 2019versions pg 321 - Part 4 Fuel combustion - 64</v>
      </c>
      <c r="Y222" s="65" t="s">
        <v>4416</v>
      </c>
      <c r="AB222" s="3">
        <f>(S222-GHGFY20[[#This Row],[Scope 1 Emission factor]])/GHGFY20[[#This Row],[Scope 1 Emission factor]]</f>
        <v>0</v>
      </c>
      <c r="AC222" s="3" t="e">
        <f>(T222-GHGFY20[[#This Row],[Scope 2 Emission factor]])/GHGFY20[[#This Row],[Scope 2 Emission factor]]</f>
        <v>#DIV/0!</v>
      </c>
      <c r="AD222" s="3">
        <f>(U222-GHGFY20[[#This Row],[Scope 3 Emission factor]])/GHGFY20[[#This Row],[Scope 3 Emission factor]]</f>
        <v>17.722222222222221</v>
      </c>
      <c r="AH222" t="b">
        <f>GHGFY20[[#This Row],[Reporting Alias]]=GHGFY207[[#This Row],[Reporting Alias]]</f>
        <v>1</v>
      </c>
    </row>
    <row r="223" spans="1:34" ht="69">
      <c r="A223" t="s">
        <v>858</v>
      </c>
      <c r="B223" t="s">
        <v>4212</v>
      </c>
      <c r="C223" t="s">
        <v>4420</v>
      </c>
      <c r="D223" t="s">
        <v>1190</v>
      </c>
      <c r="E223" t="s">
        <v>673</v>
      </c>
      <c r="F223">
        <v>1E-3</v>
      </c>
      <c r="G223" t="s">
        <v>4413</v>
      </c>
      <c r="H223">
        <v>23.4</v>
      </c>
      <c r="I223" t="s">
        <v>1140</v>
      </c>
      <c r="J223">
        <v>0.4</v>
      </c>
      <c r="L223">
        <v>0</v>
      </c>
      <c r="M223" t="s">
        <v>4414</v>
      </c>
      <c r="N223" t="s">
        <v>4428</v>
      </c>
      <c r="P223" t="s">
        <v>4416</v>
      </c>
      <c r="S223" s="56">
        <f t="shared" si="4"/>
        <v>0.4</v>
      </c>
      <c r="U223">
        <v>0</v>
      </c>
      <c r="V223">
        <v>0.2</v>
      </c>
      <c r="W223">
        <v>0.2</v>
      </c>
      <c r="X223" s="56" t="str">
        <f>GHGFY20[[#This Row],[Data Source (scope 1)]]</f>
        <v>NGER (Measurement) Determination 2008 2019versions pg 321 - Part 4 Fuel combustion - 67</v>
      </c>
      <c r="Y223" s="65" t="s">
        <v>4416</v>
      </c>
      <c r="AB223" s="3">
        <f>(S223-GHGFY20[[#This Row],[Scope 1 Emission factor]])/GHGFY20[[#This Row],[Scope 1 Emission factor]]</f>
        <v>0</v>
      </c>
      <c r="AC223" s="3" t="e">
        <f>(T223-GHGFY20[[#This Row],[Scope 2 Emission factor]])/GHGFY20[[#This Row],[Scope 2 Emission factor]]</f>
        <v>#DIV/0!</v>
      </c>
      <c r="AD223" s="3" t="e">
        <f>(U223-GHGFY20[[#This Row],[Scope 3 Emission factor]])/GHGFY20[[#This Row],[Scope 3 Emission factor]]</f>
        <v>#DIV/0!</v>
      </c>
      <c r="AH223" t="b">
        <f>GHGFY20[[#This Row],[Reporting Alias]]=GHGFY207[[#This Row],[Reporting Alias]]</f>
        <v>1</v>
      </c>
    </row>
    <row r="224" spans="1:34" ht="69">
      <c r="A224" t="s">
        <v>859</v>
      </c>
      <c r="B224" t="s">
        <v>4212</v>
      </c>
      <c r="C224" t="s">
        <v>4420</v>
      </c>
      <c r="D224" t="s">
        <v>1192</v>
      </c>
      <c r="E224" t="s">
        <v>673</v>
      </c>
      <c r="F224">
        <v>1E-3</v>
      </c>
      <c r="G224" t="s">
        <v>4413</v>
      </c>
      <c r="H224">
        <v>23.4</v>
      </c>
      <c r="I224" t="s">
        <v>1140</v>
      </c>
      <c r="J224">
        <v>0.4</v>
      </c>
      <c r="L224">
        <v>0</v>
      </c>
      <c r="M224" t="s">
        <v>4414</v>
      </c>
      <c r="N224" t="s">
        <v>4428</v>
      </c>
      <c r="P224" t="s">
        <v>4416</v>
      </c>
      <c r="S224" s="56">
        <f t="shared" si="4"/>
        <v>0.4</v>
      </c>
      <c r="U224">
        <v>0</v>
      </c>
      <c r="V224">
        <v>0.2</v>
      </c>
      <c r="W224">
        <v>0.2</v>
      </c>
      <c r="X224" s="56" t="str">
        <f>GHGFY20[[#This Row],[Data Source (scope 1)]]</f>
        <v>NGER (Measurement) Determination 2008 2019versions pg 321 - Part 4 Fuel combustion - 67</v>
      </c>
      <c r="Y224" s="65" t="s">
        <v>4416</v>
      </c>
      <c r="AB224" s="3">
        <f>(S224-GHGFY20[[#This Row],[Scope 1 Emission factor]])/GHGFY20[[#This Row],[Scope 1 Emission factor]]</f>
        <v>0</v>
      </c>
      <c r="AC224" s="3" t="e">
        <f>(T224-GHGFY20[[#This Row],[Scope 2 Emission factor]])/GHGFY20[[#This Row],[Scope 2 Emission factor]]</f>
        <v>#DIV/0!</v>
      </c>
      <c r="AD224" s="3" t="e">
        <f>(U224-GHGFY20[[#This Row],[Scope 3 Emission factor]])/GHGFY20[[#This Row],[Scope 3 Emission factor]]</f>
        <v>#DIV/0!</v>
      </c>
      <c r="AH224" t="b">
        <f>GHGFY20[[#This Row],[Reporting Alias]]=GHGFY207[[#This Row],[Reporting Alias]]</f>
        <v>1</v>
      </c>
    </row>
    <row r="225" spans="1:34" ht="69">
      <c r="A225" t="s">
        <v>863</v>
      </c>
      <c r="B225" t="s">
        <v>4212</v>
      </c>
      <c r="C225" t="s">
        <v>4420</v>
      </c>
      <c r="D225" t="s">
        <v>1189</v>
      </c>
      <c r="E225" t="s">
        <v>673</v>
      </c>
      <c r="F225">
        <v>1E-3</v>
      </c>
      <c r="G225" t="s">
        <v>4413</v>
      </c>
      <c r="H225">
        <v>23.4</v>
      </c>
      <c r="I225" t="s">
        <v>1140</v>
      </c>
      <c r="J225">
        <v>0.4</v>
      </c>
      <c r="L225">
        <v>0</v>
      </c>
      <c r="M225" t="s">
        <v>4414</v>
      </c>
      <c r="N225" t="s">
        <v>4428</v>
      </c>
      <c r="P225" t="s">
        <v>4416</v>
      </c>
      <c r="S225" s="56">
        <f t="shared" si="4"/>
        <v>0.4</v>
      </c>
      <c r="U225">
        <v>0</v>
      </c>
      <c r="V225">
        <v>0.2</v>
      </c>
      <c r="W225">
        <v>0.2</v>
      </c>
      <c r="X225" s="56" t="str">
        <f>GHGFY20[[#This Row],[Data Source (scope 1)]]</f>
        <v>NGER (Measurement) Determination 2008 2019versions pg 321 - Part 4 Fuel combustion - 67</v>
      </c>
      <c r="Y225" s="65" t="s">
        <v>4416</v>
      </c>
      <c r="AB225" s="3">
        <f>(S225-GHGFY20[[#This Row],[Scope 1 Emission factor]])/GHGFY20[[#This Row],[Scope 1 Emission factor]]</f>
        <v>0</v>
      </c>
      <c r="AC225" s="3" t="e">
        <f>(T225-GHGFY20[[#This Row],[Scope 2 Emission factor]])/GHGFY20[[#This Row],[Scope 2 Emission factor]]</f>
        <v>#DIV/0!</v>
      </c>
      <c r="AD225" s="3" t="e">
        <f>(U225-GHGFY20[[#This Row],[Scope 3 Emission factor]])/GHGFY20[[#This Row],[Scope 3 Emission factor]]</f>
        <v>#DIV/0!</v>
      </c>
      <c r="AH225" t="b">
        <f>GHGFY20[[#This Row],[Reporting Alias]]=GHGFY207[[#This Row],[Reporting Alias]]</f>
        <v>1</v>
      </c>
    </row>
    <row r="226" spans="1:34" ht="69">
      <c r="A226" t="s">
        <v>860</v>
      </c>
      <c r="B226" t="s">
        <v>4212</v>
      </c>
      <c r="C226" t="s">
        <v>4420</v>
      </c>
      <c r="D226" t="s">
        <v>1210</v>
      </c>
      <c r="E226" t="s">
        <v>673</v>
      </c>
      <c r="F226">
        <v>1E-3</v>
      </c>
      <c r="G226" t="s">
        <v>4413</v>
      </c>
      <c r="H226">
        <v>23.4</v>
      </c>
      <c r="I226" t="s">
        <v>1140</v>
      </c>
      <c r="J226">
        <v>0.4</v>
      </c>
      <c r="L226">
        <v>0</v>
      </c>
      <c r="M226" t="s">
        <v>4414</v>
      </c>
      <c r="N226" t="s">
        <v>4428</v>
      </c>
      <c r="P226" t="s">
        <v>4416</v>
      </c>
      <c r="S226" s="56">
        <f t="shared" si="4"/>
        <v>0.4</v>
      </c>
      <c r="U226">
        <v>0</v>
      </c>
      <c r="V226">
        <v>0.2</v>
      </c>
      <c r="W226">
        <v>0.2</v>
      </c>
      <c r="X226" s="56" t="str">
        <f>GHGFY20[[#This Row],[Data Source (scope 1)]]</f>
        <v>NGER (Measurement) Determination 2008 2019versions pg 321 - Part 4 Fuel combustion - 67</v>
      </c>
      <c r="Y226" s="65" t="s">
        <v>4416</v>
      </c>
      <c r="AB226" s="3">
        <f>(S226-GHGFY20[[#This Row],[Scope 1 Emission factor]])/GHGFY20[[#This Row],[Scope 1 Emission factor]]</f>
        <v>0</v>
      </c>
      <c r="AC226" s="3" t="e">
        <f>(T226-GHGFY20[[#This Row],[Scope 2 Emission factor]])/GHGFY20[[#This Row],[Scope 2 Emission factor]]</f>
        <v>#DIV/0!</v>
      </c>
      <c r="AD226" s="3" t="e">
        <f>(U226-GHGFY20[[#This Row],[Scope 3 Emission factor]])/GHGFY20[[#This Row],[Scope 3 Emission factor]]</f>
        <v>#DIV/0!</v>
      </c>
      <c r="AH226" t="b">
        <f>GHGFY20[[#This Row],[Reporting Alias]]=GHGFY207[[#This Row],[Reporting Alias]]</f>
        <v>1</v>
      </c>
    </row>
    <row r="227" spans="1:34" ht="69">
      <c r="A227" t="s">
        <v>4216</v>
      </c>
      <c r="B227" t="s">
        <v>4212</v>
      </c>
      <c r="C227" t="s">
        <v>4420</v>
      </c>
      <c r="D227" t="s">
        <v>1216</v>
      </c>
      <c r="E227" t="s">
        <v>673</v>
      </c>
      <c r="F227">
        <v>1E-3</v>
      </c>
      <c r="G227" t="s">
        <v>4413</v>
      </c>
      <c r="H227">
        <v>23.4</v>
      </c>
      <c r="I227" t="s">
        <v>1140</v>
      </c>
      <c r="J227">
        <v>0.4</v>
      </c>
      <c r="L227">
        <v>0</v>
      </c>
      <c r="M227" t="s">
        <v>4414</v>
      </c>
      <c r="N227" t="s">
        <v>4428</v>
      </c>
      <c r="P227" t="s">
        <v>4416</v>
      </c>
      <c r="S227" s="56">
        <f t="shared" si="4"/>
        <v>0.4</v>
      </c>
      <c r="U227">
        <v>0</v>
      </c>
      <c r="V227">
        <v>0.2</v>
      </c>
      <c r="W227">
        <v>0.2</v>
      </c>
      <c r="X227" s="56" t="str">
        <f>GHGFY20[[#This Row],[Data Source (scope 1)]]</f>
        <v>NGER (Measurement) Determination 2008 2019versions pg 321 - Part 4 Fuel combustion - 67</v>
      </c>
      <c r="Y227" s="65" t="s">
        <v>4416</v>
      </c>
      <c r="AB227" s="3">
        <f>(S227-GHGFY20[[#This Row],[Scope 1 Emission factor]])/GHGFY20[[#This Row],[Scope 1 Emission factor]]</f>
        <v>0</v>
      </c>
      <c r="AC227" s="3" t="e">
        <f>(T227-GHGFY20[[#This Row],[Scope 2 Emission factor]])/GHGFY20[[#This Row],[Scope 2 Emission factor]]</f>
        <v>#DIV/0!</v>
      </c>
      <c r="AD227" s="3" t="e">
        <f>(U227-GHGFY20[[#This Row],[Scope 3 Emission factor]])/GHGFY20[[#This Row],[Scope 3 Emission factor]]</f>
        <v>#DIV/0!</v>
      </c>
      <c r="AH227" t="b">
        <f>GHGFY20[[#This Row],[Reporting Alias]]=GHGFY207[[#This Row],[Reporting Alias]]</f>
        <v>1</v>
      </c>
    </row>
    <row r="228" spans="1:34" ht="69">
      <c r="A228" t="s">
        <v>861</v>
      </c>
      <c r="B228" t="s">
        <v>4212</v>
      </c>
      <c r="C228" t="s">
        <v>4420</v>
      </c>
      <c r="D228" t="s">
        <v>1193</v>
      </c>
      <c r="E228" t="s">
        <v>673</v>
      </c>
      <c r="F228">
        <v>1E-3</v>
      </c>
      <c r="G228" t="s">
        <v>4413</v>
      </c>
      <c r="H228">
        <v>23.4</v>
      </c>
      <c r="I228" t="s">
        <v>1140</v>
      </c>
      <c r="J228">
        <v>0.4</v>
      </c>
      <c r="L228">
        <v>0</v>
      </c>
      <c r="M228" t="s">
        <v>4414</v>
      </c>
      <c r="N228" t="s">
        <v>4428</v>
      </c>
      <c r="P228" t="s">
        <v>4416</v>
      </c>
      <c r="S228" s="56">
        <f t="shared" si="4"/>
        <v>0.4</v>
      </c>
      <c r="U228">
        <v>0</v>
      </c>
      <c r="V228">
        <v>0.2</v>
      </c>
      <c r="W228">
        <v>0.2</v>
      </c>
      <c r="X228" s="56" t="str">
        <f>GHGFY20[[#This Row],[Data Source (scope 1)]]</f>
        <v>NGER (Measurement) Determination 2008 2019versions pg 321 - Part 4 Fuel combustion - 67</v>
      </c>
      <c r="Y228" s="65" t="s">
        <v>4416</v>
      </c>
      <c r="AB228" s="3">
        <f>(S228-GHGFY20[[#This Row],[Scope 1 Emission factor]])/GHGFY20[[#This Row],[Scope 1 Emission factor]]</f>
        <v>0</v>
      </c>
      <c r="AC228" s="3" t="e">
        <f>(T228-GHGFY20[[#This Row],[Scope 2 Emission factor]])/GHGFY20[[#This Row],[Scope 2 Emission factor]]</f>
        <v>#DIV/0!</v>
      </c>
      <c r="AD228" s="3" t="e">
        <f>(U228-GHGFY20[[#This Row],[Scope 3 Emission factor]])/GHGFY20[[#This Row],[Scope 3 Emission factor]]</f>
        <v>#DIV/0!</v>
      </c>
      <c r="AH228" t="b">
        <f>GHGFY20[[#This Row],[Reporting Alias]]=GHGFY207[[#This Row],[Reporting Alias]]</f>
        <v>1</v>
      </c>
    </row>
    <row r="229" spans="1:34" ht="69">
      <c r="A229" t="s">
        <v>862</v>
      </c>
      <c r="B229" t="s">
        <v>4212</v>
      </c>
      <c r="C229" t="s">
        <v>4420</v>
      </c>
      <c r="D229" t="s">
        <v>1213</v>
      </c>
      <c r="E229" t="s">
        <v>673</v>
      </c>
      <c r="F229">
        <v>1E-3</v>
      </c>
      <c r="G229" t="s">
        <v>4413</v>
      </c>
      <c r="H229">
        <v>23.4</v>
      </c>
      <c r="I229" t="s">
        <v>1140</v>
      </c>
      <c r="J229">
        <v>0.4</v>
      </c>
      <c r="L229">
        <v>0</v>
      </c>
      <c r="M229" t="s">
        <v>4414</v>
      </c>
      <c r="N229" t="s">
        <v>4428</v>
      </c>
      <c r="P229" t="s">
        <v>4416</v>
      </c>
      <c r="S229" s="56">
        <f t="shared" si="4"/>
        <v>0.4</v>
      </c>
      <c r="U229">
        <v>0</v>
      </c>
      <c r="V229">
        <v>0.2</v>
      </c>
      <c r="W229">
        <v>0.2</v>
      </c>
      <c r="X229" s="56" t="str">
        <f>GHGFY20[[#This Row],[Data Source (scope 1)]]</f>
        <v>NGER (Measurement) Determination 2008 2019versions pg 321 - Part 4 Fuel combustion - 67</v>
      </c>
      <c r="Y229" s="65" t="s">
        <v>4416</v>
      </c>
      <c r="AB229" s="3">
        <f>(S229-GHGFY20[[#This Row],[Scope 1 Emission factor]])/GHGFY20[[#This Row],[Scope 1 Emission factor]]</f>
        <v>0</v>
      </c>
      <c r="AC229" s="3" t="e">
        <f>(T229-GHGFY20[[#This Row],[Scope 2 Emission factor]])/GHGFY20[[#This Row],[Scope 2 Emission factor]]</f>
        <v>#DIV/0!</v>
      </c>
      <c r="AD229" s="3" t="e">
        <f>(U229-GHGFY20[[#This Row],[Scope 3 Emission factor]])/GHGFY20[[#This Row],[Scope 3 Emission factor]]</f>
        <v>#DIV/0!</v>
      </c>
      <c r="AH229" t="b">
        <f>GHGFY20[[#This Row],[Reporting Alias]]=GHGFY207[[#This Row],[Reporting Alias]]</f>
        <v>1</v>
      </c>
    </row>
    <row r="230" spans="1:34" ht="69">
      <c r="A230" t="s">
        <v>4215</v>
      </c>
      <c r="B230" t="s">
        <v>4212</v>
      </c>
      <c r="C230" t="s">
        <v>4420</v>
      </c>
      <c r="D230" t="s">
        <v>1208</v>
      </c>
      <c r="E230" t="s">
        <v>673</v>
      </c>
      <c r="F230">
        <v>1E-3</v>
      </c>
      <c r="G230" t="s">
        <v>4413</v>
      </c>
      <c r="H230">
        <v>23.4</v>
      </c>
      <c r="I230" t="s">
        <v>1140</v>
      </c>
      <c r="J230">
        <v>0.4</v>
      </c>
      <c r="L230">
        <v>0</v>
      </c>
      <c r="M230" t="s">
        <v>4414</v>
      </c>
      <c r="N230" t="s">
        <v>4428</v>
      </c>
      <c r="P230" t="s">
        <v>4416</v>
      </c>
      <c r="S230" s="56">
        <f t="shared" si="4"/>
        <v>0.4</v>
      </c>
      <c r="U230">
        <v>0</v>
      </c>
      <c r="V230">
        <v>0.2</v>
      </c>
      <c r="W230">
        <v>0.2</v>
      </c>
      <c r="X230" s="56" t="str">
        <f>GHGFY20[[#This Row],[Data Source (scope 1)]]</f>
        <v>NGER (Measurement) Determination 2008 2019versions pg 321 - Part 4 Fuel combustion - 67</v>
      </c>
      <c r="Y230" s="65" t="s">
        <v>4416</v>
      </c>
      <c r="AB230" s="3">
        <f>(S230-GHGFY20[[#This Row],[Scope 1 Emission factor]])/GHGFY20[[#This Row],[Scope 1 Emission factor]]</f>
        <v>0</v>
      </c>
      <c r="AC230" s="3" t="e">
        <f>(T230-GHGFY20[[#This Row],[Scope 2 Emission factor]])/GHGFY20[[#This Row],[Scope 2 Emission factor]]</f>
        <v>#DIV/0!</v>
      </c>
      <c r="AD230" s="3" t="e">
        <f>(U230-GHGFY20[[#This Row],[Scope 3 Emission factor]])/GHGFY20[[#This Row],[Scope 3 Emission factor]]</f>
        <v>#DIV/0!</v>
      </c>
      <c r="AH230" t="b">
        <f>GHGFY20[[#This Row],[Reporting Alias]]=GHGFY207[[#This Row],[Reporting Alias]]</f>
        <v>1</v>
      </c>
    </row>
    <row r="231" spans="1:34" ht="69">
      <c r="A231" t="s">
        <v>4217</v>
      </c>
      <c r="B231" t="s">
        <v>4212</v>
      </c>
      <c r="C231" t="s">
        <v>4420</v>
      </c>
      <c r="D231" t="s">
        <v>1190</v>
      </c>
      <c r="E231" t="s">
        <v>673</v>
      </c>
      <c r="F231">
        <v>1E-3</v>
      </c>
      <c r="G231" t="s">
        <v>4413</v>
      </c>
      <c r="H231">
        <v>26.2</v>
      </c>
      <c r="I231" t="s">
        <v>1140</v>
      </c>
      <c r="J231">
        <v>60.9</v>
      </c>
      <c r="L231">
        <v>3.6</v>
      </c>
      <c r="M231" t="s">
        <v>4414</v>
      </c>
      <c r="N231" t="s">
        <v>4429</v>
      </c>
      <c r="P231" t="s">
        <v>4416</v>
      </c>
      <c r="S231" s="56">
        <f t="shared" si="4"/>
        <v>60.9</v>
      </c>
      <c r="U231" s="5">
        <v>60.2</v>
      </c>
      <c r="V231" s="5">
        <v>0.4</v>
      </c>
      <c r="W231" s="5">
        <v>0.3</v>
      </c>
      <c r="X231" s="56" t="str">
        <f>GHGFY20[[#This Row],[Data Source (scope 1)]]</f>
        <v>NGER (Measurement) Determination 2008 2019versions pg 321 - Part 4 Fuel combustion - 66</v>
      </c>
      <c r="Y231" s="65" t="s">
        <v>4416</v>
      </c>
      <c r="AB231" s="3">
        <f>(S231-GHGFY20[[#This Row],[Scope 1 Emission factor]])/GHGFY20[[#This Row],[Scope 1 Emission factor]]</f>
        <v>0</v>
      </c>
      <c r="AC231" s="3" t="e">
        <f>(T231-GHGFY20[[#This Row],[Scope 2 Emission factor]])/GHGFY20[[#This Row],[Scope 2 Emission factor]]</f>
        <v>#DIV/0!</v>
      </c>
      <c r="AD231" s="3">
        <f>(U231-GHGFY20[[#This Row],[Scope 3 Emission factor]])/GHGFY20[[#This Row],[Scope 3 Emission factor]]</f>
        <v>15.722222222222221</v>
      </c>
      <c r="AH231" t="b">
        <f>GHGFY20[[#This Row],[Reporting Alias]]=GHGFY207[[#This Row],[Reporting Alias]]</f>
        <v>1</v>
      </c>
    </row>
    <row r="232" spans="1:34" ht="69">
      <c r="A232" t="s">
        <v>864</v>
      </c>
      <c r="B232" t="s">
        <v>4212</v>
      </c>
      <c r="C232" t="s">
        <v>4420</v>
      </c>
      <c r="D232" t="s">
        <v>1192</v>
      </c>
      <c r="E232" t="s">
        <v>673</v>
      </c>
      <c r="F232">
        <v>1E-3</v>
      </c>
      <c r="G232" t="s">
        <v>4413</v>
      </c>
      <c r="H232">
        <v>26.2</v>
      </c>
      <c r="I232" t="s">
        <v>1140</v>
      </c>
      <c r="J232">
        <v>60.9</v>
      </c>
      <c r="L232">
        <v>3.6</v>
      </c>
      <c r="M232" t="s">
        <v>4414</v>
      </c>
      <c r="N232" t="s">
        <v>4429</v>
      </c>
      <c r="P232" t="s">
        <v>4416</v>
      </c>
      <c r="S232" s="56">
        <f t="shared" si="4"/>
        <v>60.9</v>
      </c>
      <c r="U232" s="5">
        <v>60.2</v>
      </c>
      <c r="V232" s="5">
        <v>0.4</v>
      </c>
      <c r="W232" s="5">
        <v>0.3</v>
      </c>
      <c r="X232" s="56" t="str">
        <f>GHGFY20[[#This Row],[Data Source (scope 1)]]</f>
        <v>NGER (Measurement) Determination 2008 2019versions pg 321 - Part 4 Fuel combustion - 66</v>
      </c>
      <c r="Y232" s="65" t="s">
        <v>4416</v>
      </c>
      <c r="AB232" s="3">
        <f>(S232-GHGFY20[[#This Row],[Scope 1 Emission factor]])/GHGFY20[[#This Row],[Scope 1 Emission factor]]</f>
        <v>0</v>
      </c>
      <c r="AC232" s="3" t="e">
        <f>(T232-GHGFY20[[#This Row],[Scope 2 Emission factor]])/GHGFY20[[#This Row],[Scope 2 Emission factor]]</f>
        <v>#DIV/0!</v>
      </c>
      <c r="AD232" s="3">
        <f>(U232-GHGFY20[[#This Row],[Scope 3 Emission factor]])/GHGFY20[[#This Row],[Scope 3 Emission factor]]</f>
        <v>15.722222222222221</v>
      </c>
      <c r="AH232" t="b">
        <f>GHGFY20[[#This Row],[Reporting Alias]]=GHGFY207[[#This Row],[Reporting Alias]]</f>
        <v>1</v>
      </c>
    </row>
    <row r="233" spans="1:34" ht="69">
      <c r="A233" t="s">
        <v>867</v>
      </c>
      <c r="B233" t="s">
        <v>4212</v>
      </c>
      <c r="C233" t="s">
        <v>4420</v>
      </c>
      <c r="D233" t="s">
        <v>1189</v>
      </c>
      <c r="E233" t="s">
        <v>673</v>
      </c>
      <c r="F233">
        <v>1E-3</v>
      </c>
      <c r="G233" t="s">
        <v>4413</v>
      </c>
      <c r="H233">
        <v>26.2</v>
      </c>
      <c r="I233" t="s">
        <v>1140</v>
      </c>
      <c r="J233">
        <v>60.9</v>
      </c>
      <c r="L233">
        <v>3.6</v>
      </c>
      <c r="M233" t="s">
        <v>4414</v>
      </c>
      <c r="N233" t="s">
        <v>4429</v>
      </c>
      <c r="P233" t="s">
        <v>4416</v>
      </c>
      <c r="S233" s="56">
        <f t="shared" si="4"/>
        <v>60.9</v>
      </c>
      <c r="U233" s="5">
        <v>60.2</v>
      </c>
      <c r="V233" s="5">
        <v>0.4</v>
      </c>
      <c r="W233" s="5">
        <v>0.3</v>
      </c>
      <c r="X233" s="56" t="str">
        <f>GHGFY20[[#This Row],[Data Source (scope 1)]]</f>
        <v>NGER (Measurement) Determination 2008 2019versions pg 321 - Part 4 Fuel combustion - 66</v>
      </c>
      <c r="Y233" s="65" t="s">
        <v>4416</v>
      </c>
      <c r="AB233" s="3">
        <f>(S233-GHGFY20[[#This Row],[Scope 1 Emission factor]])/GHGFY20[[#This Row],[Scope 1 Emission factor]]</f>
        <v>0</v>
      </c>
      <c r="AC233" s="3" t="e">
        <f>(T233-GHGFY20[[#This Row],[Scope 2 Emission factor]])/GHGFY20[[#This Row],[Scope 2 Emission factor]]</f>
        <v>#DIV/0!</v>
      </c>
      <c r="AD233" s="3">
        <f>(U233-GHGFY20[[#This Row],[Scope 3 Emission factor]])/GHGFY20[[#This Row],[Scope 3 Emission factor]]</f>
        <v>15.722222222222221</v>
      </c>
      <c r="AH233" t="b">
        <f>GHGFY20[[#This Row],[Reporting Alias]]=GHGFY207[[#This Row],[Reporting Alias]]</f>
        <v>1</v>
      </c>
    </row>
    <row r="234" spans="1:34" ht="69">
      <c r="A234" t="s">
        <v>865</v>
      </c>
      <c r="B234" t="s">
        <v>4212</v>
      </c>
      <c r="C234" t="s">
        <v>4420</v>
      </c>
      <c r="D234" t="s">
        <v>1210</v>
      </c>
      <c r="E234" t="s">
        <v>673</v>
      </c>
      <c r="F234">
        <v>1E-3</v>
      </c>
      <c r="G234" t="s">
        <v>4413</v>
      </c>
      <c r="H234">
        <v>26.2</v>
      </c>
      <c r="I234" t="s">
        <v>1140</v>
      </c>
      <c r="J234">
        <v>60.9</v>
      </c>
      <c r="L234">
        <v>3.6</v>
      </c>
      <c r="M234" t="s">
        <v>4414</v>
      </c>
      <c r="N234" t="s">
        <v>4429</v>
      </c>
      <c r="P234" t="s">
        <v>4416</v>
      </c>
      <c r="S234" s="56">
        <f t="shared" si="4"/>
        <v>60.9</v>
      </c>
      <c r="U234" s="5">
        <v>60.2</v>
      </c>
      <c r="V234" s="5">
        <v>0.4</v>
      </c>
      <c r="W234" s="5">
        <v>0.3</v>
      </c>
      <c r="X234" s="56" t="str">
        <f>GHGFY20[[#This Row],[Data Source (scope 1)]]</f>
        <v>NGER (Measurement) Determination 2008 2019versions pg 321 - Part 4 Fuel combustion - 66</v>
      </c>
      <c r="Y234" s="65" t="s">
        <v>4416</v>
      </c>
      <c r="AB234" s="3">
        <f>(S234-GHGFY20[[#This Row],[Scope 1 Emission factor]])/GHGFY20[[#This Row],[Scope 1 Emission factor]]</f>
        <v>0</v>
      </c>
      <c r="AC234" s="3" t="e">
        <f>(T234-GHGFY20[[#This Row],[Scope 2 Emission factor]])/GHGFY20[[#This Row],[Scope 2 Emission factor]]</f>
        <v>#DIV/0!</v>
      </c>
      <c r="AD234" s="3">
        <f>(U234-GHGFY20[[#This Row],[Scope 3 Emission factor]])/GHGFY20[[#This Row],[Scope 3 Emission factor]]</f>
        <v>15.722222222222221</v>
      </c>
      <c r="AH234" t="b">
        <f>GHGFY20[[#This Row],[Reporting Alias]]=GHGFY207[[#This Row],[Reporting Alias]]</f>
        <v>1</v>
      </c>
    </row>
    <row r="235" spans="1:34" ht="69">
      <c r="A235" t="s">
        <v>4220</v>
      </c>
      <c r="B235" t="s">
        <v>4212</v>
      </c>
      <c r="C235" t="s">
        <v>4420</v>
      </c>
      <c r="D235" t="s">
        <v>1216</v>
      </c>
      <c r="E235" t="s">
        <v>673</v>
      </c>
      <c r="F235">
        <v>1E-3</v>
      </c>
      <c r="G235" t="s">
        <v>4413</v>
      </c>
      <c r="H235">
        <v>26.2</v>
      </c>
      <c r="I235" t="s">
        <v>1140</v>
      </c>
      <c r="J235">
        <v>60.9</v>
      </c>
      <c r="L235">
        <v>3.6</v>
      </c>
      <c r="M235" t="s">
        <v>4414</v>
      </c>
      <c r="N235" t="s">
        <v>4429</v>
      </c>
      <c r="P235" t="s">
        <v>4416</v>
      </c>
      <c r="S235" s="56">
        <f t="shared" si="4"/>
        <v>60.9</v>
      </c>
      <c r="U235" s="5">
        <v>60.2</v>
      </c>
      <c r="V235" s="5">
        <v>0.4</v>
      </c>
      <c r="W235" s="5">
        <v>0.3</v>
      </c>
      <c r="X235" s="56" t="str">
        <f>GHGFY20[[#This Row],[Data Source (scope 1)]]</f>
        <v>NGER (Measurement) Determination 2008 2019versions pg 321 - Part 4 Fuel combustion - 66</v>
      </c>
      <c r="Y235" s="65" t="s">
        <v>4416</v>
      </c>
      <c r="AB235" s="3">
        <f>(S235-GHGFY20[[#This Row],[Scope 1 Emission factor]])/GHGFY20[[#This Row],[Scope 1 Emission factor]]</f>
        <v>0</v>
      </c>
      <c r="AC235" s="3" t="e">
        <f>(T235-GHGFY20[[#This Row],[Scope 2 Emission factor]])/GHGFY20[[#This Row],[Scope 2 Emission factor]]</f>
        <v>#DIV/0!</v>
      </c>
      <c r="AD235" s="3">
        <f>(U235-GHGFY20[[#This Row],[Scope 3 Emission factor]])/GHGFY20[[#This Row],[Scope 3 Emission factor]]</f>
        <v>15.722222222222221</v>
      </c>
      <c r="AH235" t="b">
        <f>GHGFY20[[#This Row],[Reporting Alias]]=GHGFY207[[#This Row],[Reporting Alias]]</f>
        <v>1</v>
      </c>
    </row>
    <row r="236" spans="1:34" ht="69">
      <c r="A236" t="s">
        <v>866</v>
      </c>
      <c r="B236" t="s">
        <v>4212</v>
      </c>
      <c r="C236" t="s">
        <v>4420</v>
      </c>
      <c r="D236" t="s">
        <v>1193</v>
      </c>
      <c r="E236" t="s">
        <v>673</v>
      </c>
      <c r="F236">
        <v>1E-3</v>
      </c>
      <c r="G236" t="s">
        <v>4413</v>
      </c>
      <c r="H236">
        <v>26.2</v>
      </c>
      <c r="I236" t="s">
        <v>1140</v>
      </c>
      <c r="J236">
        <v>60.9</v>
      </c>
      <c r="L236">
        <v>3.6</v>
      </c>
      <c r="M236" t="s">
        <v>4414</v>
      </c>
      <c r="N236" t="s">
        <v>4429</v>
      </c>
      <c r="P236" t="s">
        <v>4416</v>
      </c>
      <c r="S236" s="56">
        <f t="shared" si="4"/>
        <v>60.9</v>
      </c>
      <c r="U236" s="5">
        <v>60.2</v>
      </c>
      <c r="V236" s="5">
        <v>0.4</v>
      </c>
      <c r="W236" s="5">
        <v>0.3</v>
      </c>
      <c r="X236" s="56" t="str">
        <f>GHGFY20[[#This Row],[Data Source (scope 1)]]</f>
        <v>NGER (Measurement) Determination 2008 2019versions pg 321 - Part 4 Fuel combustion - 66</v>
      </c>
      <c r="Y236" s="65" t="s">
        <v>4416</v>
      </c>
      <c r="AB236" s="3">
        <f>(S236-GHGFY20[[#This Row],[Scope 1 Emission factor]])/GHGFY20[[#This Row],[Scope 1 Emission factor]]</f>
        <v>0</v>
      </c>
      <c r="AC236" s="3" t="e">
        <f>(T236-GHGFY20[[#This Row],[Scope 2 Emission factor]])/GHGFY20[[#This Row],[Scope 2 Emission factor]]</f>
        <v>#DIV/0!</v>
      </c>
      <c r="AD236" s="3">
        <f>(U236-GHGFY20[[#This Row],[Scope 3 Emission factor]])/GHGFY20[[#This Row],[Scope 3 Emission factor]]</f>
        <v>15.722222222222221</v>
      </c>
      <c r="AH236" t="b">
        <f>GHGFY20[[#This Row],[Reporting Alias]]=GHGFY207[[#This Row],[Reporting Alias]]</f>
        <v>1</v>
      </c>
    </row>
    <row r="237" spans="1:34" ht="69">
      <c r="A237" t="s">
        <v>4219</v>
      </c>
      <c r="B237" t="s">
        <v>4212</v>
      </c>
      <c r="C237" t="s">
        <v>4420</v>
      </c>
      <c r="D237" t="s">
        <v>1213</v>
      </c>
      <c r="E237" t="s">
        <v>673</v>
      </c>
      <c r="F237">
        <v>1E-3</v>
      </c>
      <c r="G237" t="s">
        <v>4413</v>
      </c>
      <c r="H237">
        <v>26.2</v>
      </c>
      <c r="I237" t="s">
        <v>1140</v>
      </c>
      <c r="J237">
        <v>60.9</v>
      </c>
      <c r="L237">
        <v>3.6</v>
      </c>
      <c r="M237" t="s">
        <v>4414</v>
      </c>
      <c r="N237" t="s">
        <v>4429</v>
      </c>
      <c r="P237" t="s">
        <v>4416</v>
      </c>
      <c r="S237" s="56">
        <f t="shared" si="4"/>
        <v>60.9</v>
      </c>
      <c r="U237" s="5">
        <v>60.2</v>
      </c>
      <c r="V237" s="5">
        <v>0.4</v>
      </c>
      <c r="W237" s="5">
        <v>0.3</v>
      </c>
      <c r="X237" s="56" t="str">
        <f>GHGFY20[[#This Row],[Data Source (scope 1)]]</f>
        <v>NGER (Measurement) Determination 2008 2019versions pg 321 - Part 4 Fuel combustion - 66</v>
      </c>
      <c r="Y237" s="65" t="s">
        <v>4416</v>
      </c>
      <c r="AB237" s="3">
        <f>(S237-GHGFY20[[#This Row],[Scope 1 Emission factor]])/GHGFY20[[#This Row],[Scope 1 Emission factor]]</f>
        <v>0</v>
      </c>
      <c r="AC237" s="3" t="e">
        <f>(T237-GHGFY20[[#This Row],[Scope 2 Emission factor]])/GHGFY20[[#This Row],[Scope 2 Emission factor]]</f>
        <v>#DIV/0!</v>
      </c>
      <c r="AD237" s="3">
        <f>(U237-GHGFY20[[#This Row],[Scope 3 Emission factor]])/GHGFY20[[#This Row],[Scope 3 Emission factor]]</f>
        <v>15.722222222222221</v>
      </c>
      <c r="AH237" t="b">
        <f>GHGFY20[[#This Row],[Reporting Alias]]=GHGFY207[[#This Row],[Reporting Alias]]</f>
        <v>1</v>
      </c>
    </row>
    <row r="238" spans="1:34" ht="69">
      <c r="A238" t="s">
        <v>4218</v>
      </c>
      <c r="B238" t="s">
        <v>4212</v>
      </c>
      <c r="C238" t="s">
        <v>4420</v>
      </c>
      <c r="D238" t="s">
        <v>1208</v>
      </c>
      <c r="E238" t="s">
        <v>673</v>
      </c>
      <c r="F238">
        <v>1E-3</v>
      </c>
      <c r="G238" t="s">
        <v>4413</v>
      </c>
      <c r="H238">
        <v>26.2</v>
      </c>
      <c r="I238" t="s">
        <v>1140</v>
      </c>
      <c r="J238">
        <v>60.9</v>
      </c>
      <c r="L238">
        <v>3.6</v>
      </c>
      <c r="M238" t="s">
        <v>4414</v>
      </c>
      <c r="N238" t="s">
        <v>4429</v>
      </c>
      <c r="P238" t="s">
        <v>4416</v>
      </c>
      <c r="S238" s="56">
        <f t="shared" si="4"/>
        <v>60.9</v>
      </c>
      <c r="U238" s="5">
        <v>60.2</v>
      </c>
      <c r="V238" s="5">
        <v>0.4</v>
      </c>
      <c r="W238" s="5">
        <v>0.3</v>
      </c>
      <c r="X238" s="56" t="str">
        <f>GHGFY20[[#This Row],[Data Source (scope 1)]]</f>
        <v>NGER (Measurement) Determination 2008 2019versions pg 321 - Part 4 Fuel combustion - 66</v>
      </c>
      <c r="Y238" s="65" t="s">
        <v>4416</v>
      </c>
      <c r="AB238" s="3">
        <f>(S238-GHGFY20[[#This Row],[Scope 1 Emission factor]])/GHGFY20[[#This Row],[Scope 1 Emission factor]]</f>
        <v>0</v>
      </c>
      <c r="AC238" s="3" t="e">
        <f>(T238-GHGFY20[[#This Row],[Scope 2 Emission factor]])/GHGFY20[[#This Row],[Scope 2 Emission factor]]</f>
        <v>#DIV/0!</v>
      </c>
      <c r="AD238" s="3">
        <f>(U238-GHGFY20[[#This Row],[Scope 3 Emission factor]])/GHGFY20[[#This Row],[Scope 3 Emission factor]]</f>
        <v>15.722222222222221</v>
      </c>
      <c r="AH238" t="b">
        <f>GHGFY20[[#This Row],[Reporting Alias]]=GHGFY207[[#This Row],[Reporting Alias]]</f>
        <v>1</v>
      </c>
    </row>
    <row r="239" spans="1:34" ht="69">
      <c r="A239" t="s">
        <v>4228</v>
      </c>
      <c r="B239" t="s">
        <v>4229</v>
      </c>
      <c r="C239" t="s">
        <v>4412</v>
      </c>
      <c r="D239" t="s">
        <v>1190</v>
      </c>
      <c r="E239" t="s">
        <v>673</v>
      </c>
      <c r="F239">
        <v>1E-3</v>
      </c>
      <c r="G239" t="s">
        <v>4413</v>
      </c>
      <c r="H239">
        <v>38.6</v>
      </c>
      <c r="I239" t="s">
        <v>1140</v>
      </c>
      <c r="J239">
        <v>70.2</v>
      </c>
      <c r="L239">
        <v>3.6</v>
      </c>
      <c r="M239" t="s">
        <v>4414</v>
      </c>
      <c r="N239" t="s">
        <v>4415</v>
      </c>
      <c r="P239" t="s">
        <v>4416</v>
      </c>
      <c r="R239" t="s">
        <v>4430</v>
      </c>
      <c r="S239" s="64">
        <f>SUM(U239:W239)</f>
        <v>70.2</v>
      </c>
      <c r="U239" s="5">
        <v>69.900000000000006</v>
      </c>
      <c r="V239" s="5">
        <v>0.1</v>
      </c>
      <c r="W239" s="5">
        <v>0.2</v>
      </c>
      <c r="X239" s="56" t="str">
        <f>GHGFY20[[#This Row],[Data Source (scope 1)]]</f>
        <v>NGER (Measurement) Determination 2008 2019versions pg 318 - Part 3 Fuel combustion - 40</v>
      </c>
      <c r="Y239" s="65" t="s">
        <v>4416</v>
      </c>
      <c r="AB239" s="3">
        <f>(S239-GHGFY20[[#This Row],[Scope 1 Emission factor]])/GHGFY20[[#This Row],[Scope 1 Emission factor]]</f>
        <v>0</v>
      </c>
      <c r="AC239" s="3" t="e">
        <f>(T239-GHGFY20[[#This Row],[Scope 2 Emission factor]])/GHGFY20[[#This Row],[Scope 2 Emission factor]]</f>
        <v>#DIV/0!</v>
      </c>
      <c r="AD239" s="3">
        <f>(U239-GHGFY20[[#This Row],[Scope 3 Emission factor]])/GHGFY20[[#This Row],[Scope 3 Emission factor]]</f>
        <v>18.416666666666668</v>
      </c>
      <c r="AH239" t="b">
        <f>GHGFY20[[#This Row],[Reporting Alias]]=GHGFY207[[#This Row],[Reporting Alias]]</f>
        <v>1</v>
      </c>
    </row>
    <row r="240" spans="1:34" ht="69">
      <c r="A240" t="s">
        <v>880</v>
      </c>
      <c r="B240" t="s">
        <v>4229</v>
      </c>
      <c r="C240" t="s">
        <v>4412</v>
      </c>
      <c r="D240" t="s">
        <v>1192</v>
      </c>
      <c r="E240" t="s">
        <v>673</v>
      </c>
      <c r="F240">
        <v>1E-3</v>
      </c>
      <c r="G240" t="s">
        <v>4413</v>
      </c>
      <c r="H240">
        <v>38.6</v>
      </c>
      <c r="I240" t="s">
        <v>1140</v>
      </c>
      <c r="J240">
        <v>70.2</v>
      </c>
      <c r="L240">
        <v>3.6</v>
      </c>
      <c r="M240" t="s">
        <v>4414</v>
      </c>
      <c r="N240" t="s">
        <v>4415</v>
      </c>
      <c r="P240" t="s">
        <v>4416</v>
      </c>
      <c r="S240" s="64">
        <f t="shared" ref="S240:S297" si="5">SUM(U240:W240)</f>
        <v>70.2</v>
      </c>
      <c r="U240" s="5">
        <v>69.900000000000006</v>
      </c>
      <c r="V240" s="5">
        <v>0.1</v>
      </c>
      <c r="W240" s="5">
        <v>0.2</v>
      </c>
      <c r="X240" s="56" t="str">
        <f>GHGFY20[[#This Row],[Data Source (scope 1)]]</f>
        <v>NGER (Measurement) Determination 2008 2019versions pg 318 - Part 3 Fuel combustion - 40</v>
      </c>
      <c r="Y240" s="65" t="s">
        <v>4416</v>
      </c>
      <c r="AB240" s="3">
        <f>(S240-GHGFY20[[#This Row],[Scope 1 Emission factor]])/GHGFY20[[#This Row],[Scope 1 Emission factor]]</f>
        <v>0</v>
      </c>
      <c r="AC240" s="3" t="e">
        <f>(T240-GHGFY20[[#This Row],[Scope 2 Emission factor]])/GHGFY20[[#This Row],[Scope 2 Emission factor]]</f>
        <v>#DIV/0!</v>
      </c>
      <c r="AD240" s="3">
        <f>(U240-GHGFY20[[#This Row],[Scope 3 Emission factor]])/GHGFY20[[#This Row],[Scope 3 Emission factor]]</f>
        <v>18.416666666666668</v>
      </c>
      <c r="AH240" t="b">
        <f>GHGFY20[[#This Row],[Reporting Alias]]=GHGFY207[[#This Row],[Reporting Alias]]</f>
        <v>1</v>
      </c>
    </row>
    <row r="241" spans="1:34" ht="69">
      <c r="A241" t="s">
        <v>885</v>
      </c>
      <c r="B241" t="s">
        <v>4229</v>
      </c>
      <c r="C241" t="s">
        <v>4412</v>
      </c>
      <c r="D241" t="s">
        <v>1189</v>
      </c>
      <c r="E241" t="s">
        <v>673</v>
      </c>
      <c r="F241">
        <v>1E-3</v>
      </c>
      <c r="G241" t="s">
        <v>4413</v>
      </c>
      <c r="H241">
        <v>38.6</v>
      </c>
      <c r="I241" t="s">
        <v>1140</v>
      </c>
      <c r="J241">
        <v>70.2</v>
      </c>
      <c r="L241">
        <v>3.6</v>
      </c>
      <c r="M241" t="s">
        <v>4414</v>
      </c>
      <c r="N241" t="s">
        <v>4415</v>
      </c>
      <c r="P241" t="s">
        <v>4416</v>
      </c>
      <c r="S241" s="64">
        <f t="shared" si="5"/>
        <v>70.2</v>
      </c>
      <c r="U241" s="5">
        <v>69.900000000000006</v>
      </c>
      <c r="V241" s="5">
        <v>0.1</v>
      </c>
      <c r="W241" s="5">
        <v>0.2</v>
      </c>
      <c r="X241" s="56" t="str">
        <f>GHGFY20[[#This Row],[Data Source (scope 1)]]</f>
        <v>NGER (Measurement) Determination 2008 2019versions pg 318 - Part 3 Fuel combustion - 40</v>
      </c>
      <c r="Y241" s="65" t="s">
        <v>4416</v>
      </c>
      <c r="AB241" s="3">
        <f>(S241-GHGFY20[[#This Row],[Scope 1 Emission factor]])/GHGFY20[[#This Row],[Scope 1 Emission factor]]</f>
        <v>0</v>
      </c>
      <c r="AC241" s="3" t="e">
        <f>(T241-GHGFY20[[#This Row],[Scope 2 Emission factor]])/GHGFY20[[#This Row],[Scope 2 Emission factor]]</f>
        <v>#DIV/0!</v>
      </c>
      <c r="AD241" s="3">
        <f>(U241-GHGFY20[[#This Row],[Scope 3 Emission factor]])/GHGFY20[[#This Row],[Scope 3 Emission factor]]</f>
        <v>18.416666666666668</v>
      </c>
      <c r="AH241" t="b">
        <f>GHGFY20[[#This Row],[Reporting Alias]]=GHGFY207[[#This Row],[Reporting Alias]]</f>
        <v>1</v>
      </c>
    </row>
    <row r="242" spans="1:34" ht="69">
      <c r="A242" t="s">
        <v>882</v>
      </c>
      <c r="B242" t="s">
        <v>4229</v>
      </c>
      <c r="C242" t="s">
        <v>4412</v>
      </c>
      <c r="D242" t="s">
        <v>1210</v>
      </c>
      <c r="E242" t="s">
        <v>673</v>
      </c>
      <c r="F242">
        <v>1E-3</v>
      </c>
      <c r="G242" t="s">
        <v>4413</v>
      </c>
      <c r="H242">
        <v>38.6</v>
      </c>
      <c r="I242" t="s">
        <v>1140</v>
      </c>
      <c r="J242">
        <v>70.2</v>
      </c>
      <c r="L242">
        <v>3.6</v>
      </c>
      <c r="M242" t="s">
        <v>4414</v>
      </c>
      <c r="N242" t="s">
        <v>4415</v>
      </c>
      <c r="P242" t="s">
        <v>4416</v>
      </c>
      <c r="S242" s="64">
        <f t="shared" si="5"/>
        <v>70.2</v>
      </c>
      <c r="U242" s="5">
        <v>69.900000000000006</v>
      </c>
      <c r="V242" s="5">
        <v>0.1</v>
      </c>
      <c r="W242" s="5">
        <v>0.2</v>
      </c>
      <c r="X242" s="56" t="str">
        <f>GHGFY20[[#This Row],[Data Source (scope 1)]]</f>
        <v>NGER (Measurement) Determination 2008 2019versions pg 318 - Part 3 Fuel combustion - 40</v>
      </c>
      <c r="Y242" s="65" t="s">
        <v>4416</v>
      </c>
      <c r="AB242" s="3">
        <f>(S242-GHGFY20[[#This Row],[Scope 1 Emission factor]])/GHGFY20[[#This Row],[Scope 1 Emission factor]]</f>
        <v>0</v>
      </c>
      <c r="AC242" s="3" t="e">
        <f>(T242-GHGFY20[[#This Row],[Scope 2 Emission factor]])/GHGFY20[[#This Row],[Scope 2 Emission factor]]</f>
        <v>#DIV/0!</v>
      </c>
      <c r="AD242" s="3">
        <f>(U242-GHGFY20[[#This Row],[Scope 3 Emission factor]])/GHGFY20[[#This Row],[Scope 3 Emission factor]]</f>
        <v>18.416666666666668</v>
      </c>
      <c r="AH242" t="b">
        <f>GHGFY20[[#This Row],[Reporting Alias]]=GHGFY207[[#This Row],[Reporting Alias]]</f>
        <v>1</v>
      </c>
    </row>
    <row r="243" spans="1:34" ht="69">
      <c r="A243" t="s">
        <v>886</v>
      </c>
      <c r="B243" t="s">
        <v>4229</v>
      </c>
      <c r="C243" t="s">
        <v>4412</v>
      </c>
      <c r="D243" t="s">
        <v>1216</v>
      </c>
      <c r="E243" t="s">
        <v>673</v>
      </c>
      <c r="F243">
        <v>1E-3</v>
      </c>
      <c r="G243" t="s">
        <v>4413</v>
      </c>
      <c r="H243">
        <v>38.6</v>
      </c>
      <c r="I243" t="s">
        <v>1140</v>
      </c>
      <c r="J243">
        <v>70.2</v>
      </c>
      <c r="L243">
        <v>3.6</v>
      </c>
      <c r="M243" t="s">
        <v>4414</v>
      </c>
      <c r="N243" t="s">
        <v>4415</v>
      </c>
      <c r="P243" t="s">
        <v>4416</v>
      </c>
      <c r="S243" s="64">
        <f t="shared" si="5"/>
        <v>70.2</v>
      </c>
      <c r="U243" s="5">
        <v>69.900000000000006</v>
      </c>
      <c r="V243" s="5">
        <v>0.1</v>
      </c>
      <c r="W243" s="5">
        <v>0.2</v>
      </c>
      <c r="X243" s="56" t="str">
        <f>GHGFY20[[#This Row],[Data Source (scope 1)]]</f>
        <v>NGER (Measurement) Determination 2008 2019versions pg 318 - Part 3 Fuel combustion - 40</v>
      </c>
      <c r="Y243" s="65" t="s">
        <v>4416</v>
      </c>
      <c r="AB243" s="3">
        <f>(S243-GHGFY20[[#This Row],[Scope 1 Emission factor]])/GHGFY20[[#This Row],[Scope 1 Emission factor]]</f>
        <v>0</v>
      </c>
      <c r="AC243" s="3" t="e">
        <f>(T243-GHGFY20[[#This Row],[Scope 2 Emission factor]])/GHGFY20[[#This Row],[Scope 2 Emission factor]]</f>
        <v>#DIV/0!</v>
      </c>
      <c r="AD243" s="3">
        <f>(U243-GHGFY20[[#This Row],[Scope 3 Emission factor]])/GHGFY20[[#This Row],[Scope 3 Emission factor]]</f>
        <v>18.416666666666668</v>
      </c>
      <c r="AH243" t="b">
        <f>GHGFY20[[#This Row],[Reporting Alias]]=GHGFY207[[#This Row],[Reporting Alias]]</f>
        <v>1</v>
      </c>
    </row>
    <row r="244" spans="1:34" ht="69">
      <c r="A244" t="s">
        <v>883</v>
      </c>
      <c r="B244" t="s">
        <v>4229</v>
      </c>
      <c r="C244" t="s">
        <v>4412</v>
      </c>
      <c r="D244" t="s">
        <v>1193</v>
      </c>
      <c r="E244" t="s">
        <v>673</v>
      </c>
      <c r="F244">
        <v>1E-3</v>
      </c>
      <c r="G244" t="s">
        <v>4413</v>
      </c>
      <c r="H244">
        <v>38.6</v>
      </c>
      <c r="I244" t="s">
        <v>1140</v>
      </c>
      <c r="J244">
        <v>70.2</v>
      </c>
      <c r="L244">
        <v>3.6</v>
      </c>
      <c r="M244" t="s">
        <v>4414</v>
      </c>
      <c r="N244" t="s">
        <v>4415</v>
      </c>
      <c r="P244" t="s">
        <v>4416</v>
      </c>
      <c r="S244" s="64">
        <f t="shared" si="5"/>
        <v>70.2</v>
      </c>
      <c r="U244" s="5">
        <v>69.900000000000006</v>
      </c>
      <c r="V244" s="5">
        <v>0.1</v>
      </c>
      <c r="W244" s="5">
        <v>0.2</v>
      </c>
      <c r="X244" s="56" t="str">
        <f>GHGFY20[[#This Row],[Data Source (scope 1)]]</f>
        <v>NGER (Measurement) Determination 2008 2019versions pg 318 - Part 3 Fuel combustion - 40</v>
      </c>
      <c r="Y244" s="65" t="s">
        <v>4416</v>
      </c>
      <c r="AB244" s="3">
        <f>(S244-GHGFY20[[#This Row],[Scope 1 Emission factor]])/GHGFY20[[#This Row],[Scope 1 Emission factor]]</f>
        <v>0</v>
      </c>
      <c r="AC244" s="3" t="e">
        <f>(T244-GHGFY20[[#This Row],[Scope 2 Emission factor]])/GHGFY20[[#This Row],[Scope 2 Emission factor]]</f>
        <v>#DIV/0!</v>
      </c>
      <c r="AD244" s="3">
        <f>(U244-GHGFY20[[#This Row],[Scope 3 Emission factor]])/GHGFY20[[#This Row],[Scope 3 Emission factor]]</f>
        <v>18.416666666666668</v>
      </c>
      <c r="AH244" t="b">
        <f>GHGFY20[[#This Row],[Reporting Alias]]=GHGFY207[[#This Row],[Reporting Alias]]</f>
        <v>1</v>
      </c>
    </row>
    <row r="245" spans="1:34" ht="69">
      <c r="A245" t="s">
        <v>884</v>
      </c>
      <c r="B245" t="s">
        <v>4229</v>
      </c>
      <c r="C245" t="s">
        <v>4412</v>
      </c>
      <c r="D245" t="s">
        <v>1213</v>
      </c>
      <c r="E245" t="s">
        <v>673</v>
      </c>
      <c r="F245">
        <v>1E-3</v>
      </c>
      <c r="G245" t="s">
        <v>4413</v>
      </c>
      <c r="H245">
        <v>38.6</v>
      </c>
      <c r="I245" t="s">
        <v>1140</v>
      </c>
      <c r="J245">
        <v>70.2</v>
      </c>
      <c r="L245">
        <v>3.6</v>
      </c>
      <c r="M245" t="s">
        <v>4414</v>
      </c>
      <c r="N245" t="s">
        <v>4415</v>
      </c>
      <c r="P245" t="s">
        <v>4416</v>
      </c>
      <c r="S245" s="64">
        <f t="shared" si="5"/>
        <v>70.2</v>
      </c>
      <c r="U245" s="5">
        <v>69.900000000000006</v>
      </c>
      <c r="V245" s="5">
        <v>0.1</v>
      </c>
      <c r="W245" s="5">
        <v>0.2</v>
      </c>
      <c r="X245" s="56" t="str">
        <f>GHGFY20[[#This Row],[Data Source (scope 1)]]</f>
        <v>NGER (Measurement) Determination 2008 2019versions pg 318 - Part 3 Fuel combustion - 40</v>
      </c>
      <c r="Y245" s="65" t="s">
        <v>4416</v>
      </c>
      <c r="AB245" s="3">
        <f>(S245-GHGFY20[[#This Row],[Scope 1 Emission factor]])/GHGFY20[[#This Row],[Scope 1 Emission factor]]</f>
        <v>0</v>
      </c>
      <c r="AC245" s="3" t="e">
        <f>(T245-GHGFY20[[#This Row],[Scope 2 Emission factor]])/GHGFY20[[#This Row],[Scope 2 Emission factor]]</f>
        <v>#DIV/0!</v>
      </c>
      <c r="AD245" s="3">
        <f>(U245-GHGFY20[[#This Row],[Scope 3 Emission factor]])/GHGFY20[[#This Row],[Scope 3 Emission factor]]</f>
        <v>18.416666666666668</v>
      </c>
      <c r="AH245" t="b">
        <f>GHGFY20[[#This Row],[Reporting Alias]]=GHGFY207[[#This Row],[Reporting Alias]]</f>
        <v>1</v>
      </c>
    </row>
    <row r="246" spans="1:34" ht="69">
      <c r="A246" t="s">
        <v>881</v>
      </c>
      <c r="B246" t="s">
        <v>4229</v>
      </c>
      <c r="C246" t="s">
        <v>4412</v>
      </c>
      <c r="D246" t="s">
        <v>1208</v>
      </c>
      <c r="E246" t="s">
        <v>673</v>
      </c>
      <c r="F246">
        <v>1E-3</v>
      </c>
      <c r="G246" t="s">
        <v>4413</v>
      </c>
      <c r="H246">
        <v>38.6</v>
      </c>
      <c r="I246" t="s">
        <v>1140</v>
      </c>
      <c r="J246">
        <v>70.2</v>
      </c>
      <c r="L246">
        <v>3.6</v>
      </c>
      <c r="M246" t="s">
        <v>4414</v>
      </c>
      <c r="N246" t="s">
        <v>4415</v>
      </c>
      <c r="P246" t="s">
        <v>4416</v>
      </c>
      <c r="S246" s="64">
        <f t="shared" si="5"/>
        <v>70.2</v>
      </c>
      <c r="U246" s="5">
        <v>69.900000000000006</v>
      </c>
      <c r="V246" s="5">
        <v>0.1</v>
      </c>
      <c r="W246" s="5">
        <v>0.2</v>
      </c>
      <c r="X246" s="56" t="str">
        <f>GHGFY20[[#This Row],[Data Source (scope 1)]]</f>
        <v>NGER (Measurement) Determination 2008 2019versions pg 318 - Part 3 Fuel combustion - 40</v>
      </c>
      <c r="Y246" s="65" t="s">
        <v>4416</v>
      </c>
      <c r="AB246" s="3">
        <f>(S246-GHGFY20[[#This Row],[Scope 1 Emission factor]])/GHGFY20[[#This Row],[Scope 1 Emission factor]]</f>
        <v>0</v>
      </c>
      <c r="AC246" s="3" t="e">
        <f>(T246-GHGFY20[[#This Row],[Scope 2 Emission factor]])/GHGFY20[[#This Row],[Scope 2 Emission factor]]</f>
        <v>#DIV/0!</v>
      </c>
      <c r="AD246" s="3">
        <f>(U246-GHGFY20[[#This Row],[Scope 3 Emission factor]])/GHGFY20[[#This Row],[Scope 3 Emission factor]]</f>
        <v>18.416666666666668</v>
      </c>
      <c r="AH246" t="b">
        <f>GHGFY20[[#This Row],[Reporting Alias]]=GHGFY207[[#This Row],[Reporting Alias]]</f>
        <v>1</v>
      </c>
    </row>
    <row r="247" spans="1:34" ht="69">
      <c r="A247" t="s">
        <v>4230</v>
      </c>
      <c r="B247" t="s">
        <v>4229</v>
      </c>
      <c r="C247" t="s">
        <v>4412</v>
      </c>
      <c r="D247" t="s">
        <v>1190</v>
      </c>
      <c r="E247" t="s">
        <v>673</v>
      </c>
      <c r="F247">
        <v>1E-3</v>
      </c>
      <c r="G247" t="s">
        <v>4413</v>
      </c>
      <c r="H247">
        <v>25.7</v>
      </c>
      <c r="I247" t="s">
        <v>1140</v>
      </c>
      <c r="J247">
        <v>60.600000000000009</v>
      </c>
      <c r="L247">
        <v>3.6</v>
      </c>
      <c r="M247" t="s">
        <v>4414</v>
      </c>
      <c r="N247" t="s">
        <v>4418</v>
      </c>
      <c r="P247" t="s">
        <v>4416</v>
      </c>
      <c r="S247" s="64">
        <f t="shared" si="5"/>
        <v>60.600000000000009</v>
      </c>
      <c r="U247">
        <v>60.2</v>
      </c>
      <c r="V247">
        <v>0.2</v>
      </c>
      <c r="W247">
        <v>0.2</v>
      </c>
      <c r="X247" s="56" t="str">
        <f>GHGFY20[[#This Row],[Data Source (scope 1)]]</f>
        <v>NGER (Measurement) Determination 2008 2019versions pg 318 - Part 3 Fuel combustion - 44</v>
      </c>
      <c r="Y247" s="65" t="s">
        <v>4416</v>
      </c>
      <c r="AB247" s="3">
        <f>(S247-GHGFY20[[#This Row],[Scope 1 Emission factor]])/GHGFY20[[#This Row],[Scope 1 Emission factor]]</f>
        <v>0</v>
      </c>
      <c r="AC247" s="3" t="e">
        <f>(T247-GHGFY20[[#This Row],[Scope 2 Emission factor]])/GHGFY20[[#This Row],[Scope 2 Emission factor]]</f>
        <v>#DIV/0!</v>
      </c>
      <c r="AD247" s="3">
        <f>(U247-GHGFY20[[#This Row],[Scope 3 Emission factor]])/GHGFY20[[#This Row],[Scope 3 Emission factor]]</f>
        <v>15.722222222222221</v>
      </c>
      <c r="AH247" t="b">
        <f>GHGFY20[[#This Row],[Reporting Alias]]=GHGFY207[[#This Row],[Reporting Alias]]</f>
        <v>1</v>
      </c>
    </row>
    <row r="248" spans="1:34" ht="69">
      <c r="A248" t="s">
        <v>4231</v>
      </c>
      <c r="B248" t="s">
        <v>4229</v>
      </c>
      <c r="C248" t="s">
        <v>4412</v>
      </c>
      <c r="D248" t="s">
        <v>1192</v>
      </c>
      <c r="E248" t="s">
        <v>673</v>
      </c>
      <c r="F248">
        <v>1E-3</v>
      </c>
      <c r="G248" t="s">
        <v>4413</v>
      </c>
      <c r="H248">
        <v>25.7</v>
      </c>
      <c r="I248" t="s">
        <v>1140</v>
      </c>
      <c r="J248">
        <v>60.600000000000009</v>
      </c>
      <c r="L248">
        <v>3.6</v>
      </c>
      <c r="M248" t="s">
        <v>4414</v>
      </c>
      <c r="N248" t="s">
        <v>4418</v>
      </c>
      <c r="P248" t="s">
        <v>4416</v>
      </c>
      <c r="S248" s="64">
        <f t="shared" si="5"/>
        <v>60.600000000000009</v>
      </c>
      <c r="U248">
        <v>60.2</v>
      </c>
      <c r="V248">
        <v>0.2</v>
      </c>
      <c r="W248">
        <v>0.2</v>
      </c>
      <c r="X248" s="56" t="str">
        <f>GHGFY20[[#This Row],[Data Source (scope 1)]]</f>
        <v>NGER (Measurement) Determination 2008 2019versions pg 318 - Part 3 Fuel combustion - 44</v>
      </c>
      <c r="Y248" s="65" t="s">
        <v>4416</v>
      </c>
      <c r="AB248" s="3">
        <f>(S248-GHGFY20[[#This Row],[Scope 1 Emission factor]])/GHGFY20[[#This Row],[Scope 1 Emission factor]]</f>
        <v>0</v>
      </c>
      <c r="AC248" s="3" t="e">
        <f>(T248-GHGFY20[[#This Row],[Scope 2 Emission factor]])/GHGFY20[[#This Row],[Scope 2 Emission factor]]</f>
        <v>#DIV/0!</v>
      </c>
      <c r="AD248" s="3">
        <f>(U248-GHGFY20[[#This Row],[Scope 3 Emission factor]])/GHGFY20[[#This Row],[Scope 3 Emission factor]]</f>
        <v>15.722222222222221</v>
      </c>
      <c r="AH248" t="b">
        <f>GHGFY20[[#This Row],[Reporting Alias]]=GHGFY207[[#This Row],[Reporting Alias]]</f>
        <v>1</v>
      </c>
    </row>
    <row r="249" spans="1:34" ht="69">
      <c r="A249" t="s">
        <v>4232</v>
      </c>
      <c r="B249" t="s">
        <v>4229</v>
      </c>
      <c r="C249" t="s">
        <v>4412</v>
      </c>
      <c r="D249" t="s">
        <v>1189</v>
      </c>
      <c r="E249" t="s">
        <v>673</v>
      </c>
      <c r="F249">
        <v>1E-3</v>
      </c>
      <c r="G249" t="s">
        <v>4413</v>
      </c>
      <c r="H249">
        <v>25.7</v>
      </c>
      <c r="I249" t="s">
        <v>1140</v>
      </c>
      <c r="J249">
        <v>60.600000000000009</v>
      </c>
      <c r="L249">
        <v>3.6</v>
      </c>
      <c r="M249" t="s">
        <v>4414</v>
      </c>
      <c r="N249" t="s">
        <v>4418</v>
      </c>
      <c r="P249" t="s">
        <v>4416</v>
      </c>
      <c r="S249" s="64">
        <f t="shared" si="5"/>
        <v>60.600000000000009</v>
      </c>
      <c r="U249">
        <v>60.2</v>
      </c>
      <c r="V249">
        <v>0.2</v>
      </c>
      <c r="W249">
        <v>0.2</v>
      </c>
      <c r="X249" s="56" t="str">
        <f>GHGFY20[[#This Row],[Data Source (scope 1)]]</f>
        <v>NGER (Measurement) Determination 2008 2019versions pg 318 - Part 3 Fuel combustion - 44</v>
      </c>
      <c r="Y249" s="65" t="s">
        <v>4416</v>
      </c>
      <c r="AB249" s="3">
        <f>(S249-GHGFY20[[#This Row],[Scope 1 Emission factor]])/GHGFY20[[#This Row],[Scope 1 Emission factor]]</f>
        <v>0</v>
      </c>
      <c r="AC249" s="3" t="e">
        <f>(T249-GHGFY20[[#This Row],[Scope 2 Emission factor]])/GHGFY20[[#This Row],[Scope 2 Emission factor]]</f>
        <v>#DIV/0!</v>
      </c>
      <c r="AD249" s="3">
        <f>(U249-GHGFY20[[#This Row],[Scope 3 Emission factor]])/GHGFY20[[#This Row],[Scope 3 Emission factor]]</f>
        <v>15.722222222222221</v>
      </c>
      <c r="AH249" t="b">
        <f>GHGFY20[[#This Row],[Reporting Alias]]=GHGFY207[[#This Row],[Reporting Alias]]</f>
        <v>1</v>
      </c>
    </row>
    <row r="250" spans="1:34" ht="69">
      <c r="A250" t="s">
        <v>4233</v>
      </c>
      <c r="B250" t="s">
        <v>4229</v>
      </c>
      <c r="C250" t="s">
        <v>4412</v>
      </c>
      <c r="D250" t="s">
        <v>1210</v>
      </c>
      <c r="E250" t="s">
        <v>673</v>
      </c>
      <c r="F250">
        <v>1E-3</v>
      </c>
      <c r="G250" t="s">
        <v>4413</v>
      </c>
      <c r="H250">
        <v>25.7</v>
      </c>
      <c r="I250" t="s">
        <v>1140</v>
      </c>
      <c r="J250">
        <v>60.600000000000009</v>
      </c>
      <c r="L250">
        <v>3.6</v>
      </c>
      <c r="M250" t="s">
        <v>4414</v>
      </c>
      <c r="N250" t="s">
        <v>4418</v>
      </c>
      <c r="P250" t="s">
        <v>4416</v>
      </c>
      <c r="S250" s="64">
        <f t="shared" si="5"/>
        <v>60.600000000000009</v>
      </c>
      <c r="U250">
        <v>60.2</v>
      </c>
      <c r="V250">
        <v>0.2</v>
      </c>
      <c r="W250">
        <v>0.2</v>
      </c>
      <c r="X250" s="56" t="str">
        <f>GHGFY20[[#This Row],[Data Source (scope 1)]]</f>
        <v>NGER (Measurement) Determination 2008 2019versions pg 318 - Part 3 Fuel combustion - 44</v>
      </c>
      <c r="Y250" s="65" t="s">
        <v>4416</v>
      </c>
      <c r="AB250" s="3">
        <f>(S250-GHGFY20[[#This Row],[Scope 1 Emission factor]])/GHGFY20[[#This Row],[Scope 1 Emission factor]]</f>
        <v>0</v>
      </c>
      <c r="AC250" s="3" t="e">
        <f>(T250-GHGFY20[[#This Row],[Scope 2 Emission factor]])/GHGFY20[[#This Row],[Scope 2 Emission factor]]</f>
        <v>#DIV/0!</v>
      </c>
      <c r="AD250" s="3">
        <f>(U250-GHGFY20[[#This Row],[Scope 3 Emission factor]])/GHGFY20[[#This Row],[Scope 3 Emission factor]]</f>
        <v>15.722222222222221</v>
      </c>
      <c r="AH250" t="b">
        <f>GHGFY20[[#This Row],[Reporting Alias]]=GHGFY207[[#This Row],[Reporting Alias]]</f>
        <v>1</v>
      </c>
    </row>
    <row r="251" spans="1:34" ht="69">
      <c r="A251" t="s">
        <v>4234</v>
      </c>
      <c r="B251" t="s">
        <v>4229</v>
      </c>
      <c r="C251" t="s">
        <v>4412</v>
      </c>
      <c r="D251" t="s">
        <v>1216</v>
      </c>
      <c r="E251" t="s">
        <v>673</v>
      </c>
      <c r="F251">
        <v>1E-3</v>
      </c>
      <c r="G251" t="s">
        <v>4413</v>
      </c>
      <c r="H251">
        <v>25.7</v>
      </c>
      <c r="I251" t="s">
        <v>1140</v>
      </c>
      <c r="J251">
        <v>60.600000000000009</v>
      </c>
      <c r="L251">
        <v>3.6</v>
      </c>
      <c r="M251" t="s">
        <v>4414</v>
      </c>
      <c r="N251" t="s">
        <v>4418</v>
      </c>
      <c r="P251" t="s">
        <v>4416</v>
      </c>
      <c r="S251" s="64">
        <f t="shared" si="5"/>
        <v>60.600000000000009</v>
      </c>
      <c r="U251">
        <v>60.2</v>
      </c>
      <c r="V251">
        <v>0.2</v>
      </c>
      <c r="W251">
        <v>0.2</v>
      </c>
      <c r="X251" s="56" t="str">
        <f>GHGFY20[[#This Row],[Data Source (scope 1)]]</f>
        <v>NGER (Measurement) Determination 2008 2019versions pg 318 - Part 3 Fuel combustion - 44</v>
      </c>
      <c r="Y251" s="65" t="s">
        <v>4416</v>
      </c>
      <c r="AB251" s="3">
        <f>(S251-GHGFY20[[#This Row],[Scope 1 Emission factor]])/GHGFY20[[#This Row],[Scope 1 Emission factor]]</f>
        <v>0</v>
      </c>
      <c r="AC251" s="3" t="e">
        <f>(T251-GHGFY20[[#This Row],[Scope 2 Emission factor]])/GHGFY20[[#This Row],[Scope 2 Emission factor]]</f>
        <v>#DIV/0!</v>
      </c>
      <c r="AD251" s="3">
        <f>(U251-GHGFY20[[#This Row],[Scope 3 Emission factor]])/GHGFY20[[#This Row],[Scope 3 Emission factor]]</f>
        <v>15.722222222222221</v>
      </c>
      <c r="AH251" t="b">
        <f>GHGFY20[[#This Row],[Reporting Alias]]=GHGFY207[[#This Row],[Reporting Alias]]</f>
        <v>1</v>
      </c>
    </row>
    <row r="252" spans="1:34" ht="69">
      <c r="A252" t="s">
        <v>4235</v>
      </c>
      <c r="B252" t="s">
        <v>4229</v>
      </c>
      <c r="C252" t="s">
        <v>4412</v>
      </c>
      <c r="D252" t="s">
        <v>1193</v>
      </c>
      <c r="E252" t="s">
        <v>673</v>
      </c>
      <c r="F252">
        <v>1E-3</v>
      </c>
      <c r="G252" t="s">
        <v>4413</v>
      </c>
      <c r="H252">
        <v>25.7</v>
      </c>
      <c r="I252" t="s">
        <v>1140</v>
      </c>
      <c r="J252">
        <v>60.600000000000009</v>
      </c>
      <c r="L252">
        <v>3.6</v>
      </c>
      <c r="M252" t="s">
        <v>4414</v>
      </c>
      <c r="N252" t="s">
        <v>4418</v>
      </c>
      <c r="P252" t="s">
        <v>4416</v>
      </c>
      <c r="S252" s="64">
        <f t="shared" si="5"/>
        <v>60.600000000000009</v>
      </c>
      <c r="U252">
        <v>60.2</v>
      </c>
      <c r="V252">
        <v>0.2</v>
      </c>
      <c r="W252">
        <v>0.2</v>
      </c>
      <c r="X252" s="56" t="str">
        <f>GHGFY20[[#This Row],[Data Source (scope 1)]]</f>
        <v>NGER (Measurement) Determination 2008 2019versions pg 318 - Part 3 Fuel combustion - 44</v>
      </c>
      <c r="Y252" s="65" t="s">
        <v>4416</v>
      </c>
      <c r="AB252" s="3">
        <f>(S252-GHGFY20[[#This Row],[Scope 1 Emission factor]])/GHGFY20[[#This Row],[Scope 1 Emission factor]]</f>
        <v>0</v>
      </c>
      <c r="AC252" s="3" t="e">
        <f>(T252-GHGFY20[[#This Row],[Scope 2 Emission factor]])/GHGFY20[[#This Row],[Scope 2 Emission factor]]</f>
        <v>#DIV/0!</v>
      </c>
      <c r="AD252" s="3">
        <f>(U252-GHGFY20[[#This Row],[Scope 3 Emission factor]])/GHGFY20[[#This Row],[Scope 3 Emission factor]]</f>
        <v>15.722222222222221</v>
      </c>
      <c r="AH252" t="b">
        <f>GHGFY20[[#This Row],[Reporting Alias]]=GHGFY207[[#This Row],[Reporting Alias]]</f>
        <v>1</v>
      </c>
    </row>
    <row r="253" spans="1:34" ht="69">
      <c r="A253" t="s">
        <v>4236</v>
      </c>
      <c r="B253" t="s">
        <v>4229</v>
      </c>
      <c r="C253" t="s">
        <v>4412</v>
      </c>
      <c r="D253" t="s">
        <v>1213</v>
      </c>
      <c r="E253" t="s">
        <v>673</v>
      </c>
      <c r="F253">
        <v>1E-3</v>
      </c>
      <c r="G253" t="s">
        <v>4413</v>
      </c>
      <c r="H253">
        <v>25.7</v>
      </c>
      <c r="I253" t="s">
        <v>1140</v>
      </c>
      <c r="J253">
        <v>60.600000000000009</v>
      </c>
      <c r="L253">
        <v>3.6</v>
      </c>
      <c r="M253" t="s">
        <v>4414</v>
      </c>
      <c r="N253" t="s">
        <v>4418</v>
      </c>
      <c r="P253" t="s">
        <v>4416</v>
      </c>
      <c r="S253" s="64">
        <f t="shared" si="5"/>
        <v>60.600000000000009</v>
      </c>
      <c r="U253">
        <v>60.2</v>
      </c>
      <c r="V253">
        <v>0.2</v>
      </c>
      <c r="W253">
        <v>0.2</v>
      </c>
      <c r="X253" s="56" t="str">
        <f>GHGFY20[[#This Row],[Data Source (scope 1)]]</f>
        <v>NGER (Measurement) Determination 2008 2019versions pg 318 - Part 3 Fuel combustion - 44</v>
      </c>
      <c r="Y253" s="65" t="s">
        <v>4416</v>
      </c>
      <c r="AB253" s="3">
        <f>(S253-GHGFY20[[#This Row],[Scope 1 Emission factor]])/GHGFY20[[#This Row],[Scope 1 Emission factor]]</f>
        <v>0</v>
      </c>
      <c r="AC253" s="3" t="e">
        <f>(T253-GHGFY20[[#This Row],[Scope 2 Emission factor]])/GHGFY20[[#This Row],[Scope 2 Emission factor]]</f>
        <v>#DIV/0!</v>
      </c>
      <c r="AD253" s="3">
        <f>(U253-GHGFY20[[#This Row],[Scope 3 Emission factor]])/GHGFY20[[#This Row],[Scope 3 Emission factor]]</f>
        <v>15.722222222222221</v>
      </c>
      <c r="AH253" t="b">
        <f>GHGFY20[[#This Row],[Reporting Alias]]=GHGFY207[[#This Row],[Reporting Alias]]</f>
        <v>1</v>
      </c>
    </row>
    <row r="254" spans="1:34" ht="69">
      <c r="A254" t="s">
        <v>4237</v>
      </c>
      <c r="B254" t="s">
        <v>4229</v>
      </c>
      <c r="C254" t="s">
        <v>4412</v>
      </c>
      <c r="D254" t="s">
        <v>1208</v>
      </c>
      <c r="E254" t="s">
        <v>673</v>
      </c>
      <c r="F254">
        <v>1E-3</v>
      </c>
      <c r="G254" t="s">
        <v>4413</v>
      </c>
      <c r="H254">
        <v>25.7</v>
      </c>
      <c r="I254" t="s">
        <v>1140</v>
      </c>
      <c r="J254">
        <v>60.600000000000009</v>
      </c>
      <c r="L254">
        <v>3.6</v>
      </c>
      <c r="M254" t="s">
        <v>4414</v>
      </c>
      <c r="N254" t="s">
        <v>4418</v>
      </c>
      <c r="P254" t="s">
        <v>4416</v>
      </c>
      <c r="S254" s="64">
        <f t="shared" si="5"/>
        <v>60.600000000000009</v>
      </c>
      <c r="U254">
        <v>60.2</v>
      </c>
      <c r="V254">
        <v>0.2</v>
      </c>
      <c r="W254">
        <v>0.2</v>
      </c>
      <c r="X254" s="56" t="str">
        <f>GHGFY20[[#This Row],[Data Source (scope 1)]]</f>
        <v>NGER (Measurement) Determination 2008 2019versions pg 318 - Part 3 Fuel combustion - 44</v>
      </c>
      <c r="Y254" s="65" t="s">
        <v>4416</v>
      </c>
      <c r="AB254" s="3">
        <f>(S254-GHGFY20[[#This Row],[Scope 1 Emission factor]])/GHGFY20[[#This Row],[Scope 1 Emission factor]]</f>
        <v>0</v>
      </c>
      <c r="AC254" s="3" t="e">
        <f>(T254-GHGFY20[[#This Row],[Scope 2 Emission factor]])/GHGFY20[[#This Row],[Scope 2 Emission factor]]</f>
        <v>#DIV/0!</v>
      </c>
      <c r="AD254" s="3">
        <f>(U254-GHGFY20[[#This Row],[Scope 3 Emission factor]])/GHGFY20[[#This Row],[Scope 3 Emission factor]]</f>
        <v>15.722222222222221</v>
      </c>
      <c r="AH254" t="b">
        <f>GHGFY20[[#This Row],[Reporting Alias]]=GHGFY207[[#This Row],[Reporting Alias]]</f>
        <v>1</v>
      </c>
    </row>
    <row r="255" spans="1:34" ht="69">
      <c r="A255" t="s">
        <v>4238</v>
      </c>
      <c r="B255" t="s">
        <v>4229</v>
      </c>
      <c r="C255" t="s">
        <v>4412</v>
      </c>
      <c r="D255" t="s">
        <v>1190</v>
      </c>
      <c r="E255" t="s">
        <v>673</v>
      </c>
      <c r="F255">
        <v>1E-3</v>
      </c>
      <c r="G255" t="s">
        <v>4413</v>
      </c>
      <c r="H255">
        <v>34.200000000000003</v>
      </c>
      <c r="I255" t="s">
        <v>1140</v>
      </c>
      <c r="J255">
        <v>67.800000000000011</v>
      </c>
      <c r="L255">
        <v>3.6</v>
      </c>
      <c r="M255" t="s">
        <v>4414</v>
      </c>
      <c r="N255" t="s">
        <v>4419</v>
      </c>
      <c r="P255" t="s">
        <v>4416</v>
      </c>
      <c r="S255" s="64">
        <f t="shared" si="5"/>
        <v>67.800000000000011</v>
      </c>
      <c r="U255">
        <v>67.400000000000006</v>
      </c>
      <c r="V255">
        <v>0.2</v>
      </c>
      <c r="W255">
        <v>0.2</v>
      </c>
      <c r="X255" s="56" t="str">
        <f>GHGFY20[[#This Row],[Data Source (scope 1)]]</f>
        <v>NGER (Measurement) Determination 2008 2019versions pg 318 - Part 3 Fuel combustion - 35</v>
      </c>
      <c r="Y255" s="65" t="s">
        <v>4416</v>
      </c>
      <c r="AB255" s="3">
        <f>(S255-GHGFY20[[#This Row],[Scope 1 Emission factor]])/GHGFY20[[#This Row],[Scope 1 Emission factor]]</f>
        <v>0</v>
      </c>
      <c r="AC255" s="3" t="e">
        <f>(T255-GHGFY20[[#This Row],[Scope 2 Emission factor]])/GHGFY20[[#This Row],[Scope 2 Emission factor]]</f>
        <v>#DIV/0!</v>
      </c>
      <c r="AD255" s="3">
        <f>(U255-GHGFY20[[#This Row],[Scope 3 Emission factor]])/GHGFY20[[#This Row],[Scope 3 Emission factor]]</f>
        <v>17.722222222222221</v>
      </c>
      <c r="AH255" t="b">
        <f>GHGFY20[[#This Row],[Reporting Alias]]=GHGFY207[[#This Row],[Reporting Alias]]</f>
        <v>1</v>
      </c>
    </row>
    <row r="256" spans="1:34" ht="69">
      <c r="A256" t="s">
        <v>888</v>
      </c>
      <c r="B256" t="s">
        <v>4229</v>
      </c>
      <c r="C256" t="s">
        <v>4412</v>
      </c>
      <c r="D256" t="s">
        <v>1192</v>
      </c>
      <c r="E256" t="s">
        <v>673</v>
      </c>
      <c r="F256">
        <v>1E-3</v>
      </c>
      <c r="G256" t="s">
        <v>4413</v>
      </c>
      <c r="H256">
        <v>34.200000000000003</v>
      </c>
      <c r="I256" t="s">
        <v>1140</v>
      </c>
      <c r="J256">
        <v>67.800000000000011</v>
      </c>
      <c r="L256">
        <v>3.6</v>
      </c>
      <c r="M256" t="s">
        <v>4414</v>
      </c>
      <c r="N256" t="s">
        <v>4419</v>
      </c>
      <c r="P256" t="s">
        <v>4416</v>
      </c>
      <c r="S256" s="64">
        <f t="shared" si="5"/>
        <v>67.800000000000011</v>
      </c>
      <c r="U256">
        <v>67.400000000000006</v>
      </c>
      <c r="V256">
        <v>0.2</v>
      </c>
      <c r="W256">
        <v>0.2</v>
      </c>
      <c r="X256" s="56" t="str">
        <f>GHGFY20[[#This Row],[Data Source (scope 1)]]</f>
        <v>NGER (Measurement) Determination 2008 2019versions pg 318 - Part 3 Fuel combustion - 35</v>
      </c>
      <c r="Y256" s="65" t="s">
        <v>4416</v>
      </c>
      <c r="AB256" s="3">
        <f>(S256-GHGFY20[[#This Row],[Scope 1 Emission factor]])/GHGFY20[[#This Row],[Scope 1 Emission factor]]</f>
        <v>0</v>
      </c>
      <c r="AC256" s="3" t="e">
        <f>(T256-GHGFY20[[#This Row],[Scope 2 Emission factor]])/GHGFY20[[#This Row],[Scope 2 Emission factor]]</f>
        <v>#DIV/0!</v>
      </c>
      <c r="AD256" s="3">
        <f>(U256-GHGFY20[[#This Row],[Scope 3 Emission factor]])/GHGFY20[[#This Row],[Scope 3 Emission factor]]</f>
        <v>17.722222222222221</v>
      </c>
      <c r="AH256" t="b">
        <f>GHGFY20[[#This Row],[Reporting Alias]]=GHGFY207[[#This Row],[Reporting Alias]]</f>
        <v>1</v>
      </c>
    </row>
    <row r="257" spans="1:34" ht="69">
      <c r="A257" t="s">
        <v>891</v>
      </c>
      <c r="B257" t="s">
        <v>4229</v>
      </c>
      <c r="C257" t="s">
        <v>4412</v>
      </c>
      <c r="D257" t="s">
        <v>1189</v>
      </c>
      <c r="E257" t="s">
        <v>673</v>
      </c>
      <c r="F257">
        <v>1E-3</v>
      </c>
      <c r="G257" t="s">
        <v>4413</v>
      </c>
      <c r="H257">
        <v>34.200000000000003</v>
      </c>
      <c r="I257" t="s">
        <v>1140</v>
      </c>
      <c r="J257">
        <v>67.800000000000011</v>
      </c>
      <c r="L257">
        <v>3.6</v>
      </c>
      <c r="M257" t="s">
        <v>4414</v>
      </c>
      <c r="N257" t="s">
        <v>4419</v>
      </c>
      <c r="P257" t="s">
        <v>4416</v>
      </c>
      <c r="S257" s="64">
        <f t="shared" si="5"/>
        <v>67.800000000000011</v>
      </c>
      <c r="U257">
        <v>67.400000000000006</v>
      </c>
      <c r="V257">
        <v>0.2</v>
      </c>
      <c r="W257">
        <v>0.2</v>
      </c>
      <c r="X257" s="56" t="str">
        <f>GHGFY20[[#This Row],[Data Source (scope 1)]]</f>
        <v>NGER (Measurement) Determination 2008 2019versions pg 318 - Part 3 Fuel combustion - 35</v>
      </c>
      <c r="Y257" s="65" t="s">
        <v>4416</v>
      </c>
      <c r="AB257" s="3">
        <f>(S257-GHGFY20[[#This Row],[Scope 1 Emission factor]])/GHGFY20[[#This Row],[Scope 1 Emission factor]]</f>
        <v>0</v>
      </c>
      <c r="AC257" s="3" t="e">
        <f>(T257-GHGFY20[[#This Row],[Scope 2 Emission factor]])/GHGFY20[[#This Row],[Scope 2 Emission factor]]</f>
        <v>#DIV/0!</v>
      </c>
      <c r="AD257" s="3">
        <f>(U257-GHGFY20[[#This Row],[Scope 3 Emission factor]])/GHGFY20[[#This Row],[Scope 3 Emission factor]]</f>
        <v>17.722222222222221</v>
      </c>
      <c r="AH257" t="b">
        <f>GHGFY20[[#This Row],[Reporting Alias]]=GHGFY207[[#This Row],[Reporting Alias]]</f>
        <v>1</v>
      </c>
    </row>
    <row r="258" spans="1:34" ht="69">
      <c r="A258" t="s">
        <v>889</v>
      </c>
      <c r="B258" t="s">
        <v>4229</v>
      </c>
      <c r="C258" t="s">
        <v>4412</v>
      </c>
      <c r="D258" t="s">
        <v>1210</v>
      </c>
      <c r="E258" t="s">
        <v>673</v>
      </c>
      <c r="F258">
        <v>1E-3</v>
      </c>
      <c r="G258" t="s">
        <v>4413</v>
      </c>
      <c r="H258">
        <v>34.200000000000003</v>
      </c>
      <c r="I258" t="s">
        <v>1140</v>
      </c>
      <c r="J258">
        <v>67.800000000000011</v>
      </c>
      <c r="L258">
        <v>3.6</v>
      </c>
      <c r="M258" t="s">
        <v>4414</v>
      </c>
      <c r="N258" t="s">
        <v>4419</v>
      </c>
      <c r="P258" t="s">
        <v>4416</v>
      </c>
      <c r="S258" s="64">
        <f t="shared" si="5"/>
        <v>67.800000000000011</v>
      </c>
      <c r="U258">
        <v>67.400000000000006</v>
      </c>
      <c r="V258">
        <v>0.2</v>
      </c>
      <c r="W258">
        <v>0.2</v>
      </c>
      <c r="X258" s="56" t="str">
        <f>GHGFY20[[#This Row],[Data Source (scope 1)]]</f>
        <v>NGER (Measurement) Determination 2008 2019versions pg 318 - Part 3 Fuel combustion - 35</v>
      </c>
      <c r="Y258" s="65" t="s">
        <v>4416</v>
      </c>
      <c r="AB258" s="3">
        <f>(S258-GHGFY20[[#This Row],[Scope 1 Emission factor]])/GHGFY20[[#This Row],[Scope 1 Emission factor]]</f>
        <v>0</v>
      </c>
      <c r="AC258" s="3" t="e">
        <f>(T258-GHGFY20[[#This Row],[Scope 2 Emission factor]])/GHGFY20[[#This Row],[Scope 2 Emission factor]]</f>
        <v>#DIV/0!</v>
      </c>
      <c r="AD258" s="3">
        <f>(U258-GHGFY20[[#This Row],[Scope 3 Emission factor]])/GHGFY20[[#This Row],[Scope 3 Emission factor]]</f>
        <v>17.722222222222221</v>
      </c>
      <c r="AH258" t="b">
        <f>GHGFY20[[#This Row],[Reporting Alias]]=GHGFY207[[#This Row],[Reporting Alias]]</f>
        <v>1</v>
      </c>
    </row>
    <row r="259" spans="1:34" ht="69">
      <c r="A259" t="s">
        <v>4239</v>
      </c>
      <c r="B259" t="s">
        <v>4229</v>
      </c>
      <c r="C259" t="s">
        <v>4412</v>
      </c>
      <c r="D259" t="s">
        <v>1216</v>
      </c>
      <c r="E259" t="s">
        <v>673</v>
      </c>
      <c r="F259">
        <v>1E-3</v>
      </c>
      <c r="G259" t="s">
        <v>4413</v>
      </c>
      <c r="H259">
        <v>34.200000000000003</v>
      </c>
      <c r="I259" t="s">
        <v>1140</v>
      </c>
      <c r="J259">
        <v>67.800000000000011</v>
      </c>
      <c r="L259">
        <v>3.6</v>
      </c>
      <c r="M259" t="s">
        <v>4414</v>
      </c>
      <c r="N259" t="s">
        <v>4419</v>
      </c>
      <c r="P259" t="s">
        <v>4416</v>
      </c>
      <c r="S259" s="64">
        <f t="shared" si="5"/>
        <v>67.800000000000011</v>
      </c>
      <c r="U259">
        <v>67.400000000000006</v>
      </c>
      <c r="V259">
        <v>0.2</v>
      </c>
      <c r="W259">
        <v>0.2</v>
      </c>
      <c r="X259" s="56" t="str">
        <f>GHGFY20[[#This Row],[Data Source (scope 1)]]</f>
        <v>NGER (Measurement) Determination 2008 2019versions pg 318 - Part 3 Fuel combustion - 35</v>
      </c>
      <c r="Y259" s="65" t="s">
        <v>4416</v>
      </c>
      <c r="AB259" s="3">
        <f>(S259-GHGFY20[[#This Row],[Scope 1 Emission factor]])/GHGFY20[[#This Row],[Scope 1 Emission factor]]</f>
        <v>0</v>
      </c>
      <c r="AC259" s="3" t="e">
        <f>(T259-GHGFY20[[#This Row],[Scope 2 Emission factor]])/GHGFY20[[#This Row],[Scope 2 Emission factor]]</f>
        <v>#DIV/0!</v>
      </c>
      <c r="AD259" s="3">
        <f>(U259-GHGFY20[[#This Row],[Scope 3 Emission factor]])/GHGFY20[[#This Row],[Scope 3 Emission factor]]</f>
        <v>17.722222222222221</v>
      </c>
      <c r="AH259" t="b">
        <f>GHGFY20[[#This Row],[Reporting Alias]]=GHGFY207[[#This Row],[Reporting Alias]]</f>
        <v>1</v>
      </c>
    </row>
    <row r="260" spans="1:34" ht="69">
      <c r="A260" t="s">
        <v>4240</v>
      </c>
      <c r="B260" t="s">
        <v>4229</v>
      </c>
      <c r="C260" t="s">
        <v>4412</v>
      </c>
      <c r="D260" t="s">
        <v>1193</v>
      </c>
      <c r="E260" t="s">
        <v>673</v>
      </c>
      <c r="F260">
        <v>1E-3</v>
      </c>
      <c r="G260" t="s">
        <v>4413</v>
      </c>
      <c r="H260">
        <v>34.200000000000003</v>
      </c>
      <c r="I260" t="s">
        <v>1140</v>
      </c>
      <c r="J260">
        <v>67.800000000000011</v>
      </c>
      <c r="L260">
        <v>3.6</v>
      </c>
      <c r="M260" t="s">
        <v>4414</v>
      </c>
      <c r="N260" t="s">
        <v>4419</v>
      </c>
      <c r="P260" t="s">
        <v>4416</v>
      </c>
      <c r="S260" s="64">
        <f t="shared" si="5"/>
        <v>67.800000000000011</v>
      </c>
      <c r="U260">
        <v>67.400000000000006</v>
      </c>
      <c r="V260">
        <v>0.2</v>
      </c>
      <c r="W260">
        <v>0.2</v>
      </c>
      <c r="X260" s="56" t="str">
        <f>GHGFY20[[#This Row],[Data Source (scope 1)]]</f>
        <v>NGER (Measurement) Determination 2008 2019versions pg 318 - Part 3 Fuel combustion - 35</v>
      </c>
      <c r="Y260" s="65" t="s">
        <v>4416</v>
      </c>
      <c r="AB260" s="3">
        <f>(S260-GHGFY20[[#This Row],[Scope 1 Emission factor]])/GHGFY20[[#This Row],[Scope 1 Emission factor]]</f>
        <v>0</v>
      </c>
      <c r="AC260" s="3" t="e">
        <f>(T260-GHGFY20[[#This Row],[Scope 2 Emission factor]])/GHGFY20[[#This Row],[Scope 2 Emission factor]]</f>
        <v>#DIV/0!</v>
      </c>
      <c r="AD260" s="3">
        <f>(U260-GHGFY20[[#This Row],[Scope 3 Emission factor]])/GHGFY20[[#This Row],[Scope 3 Emission factor]]</f>
        <v>17.722222222222221</v>
      </c>
      <c r="AH260" t="b">
        <f>GHGFY20[[#This Row],[Reporting Alias]]=GHGFY207[[#This Row],[Reporting Alias]]</f>
        <v>1</v>
      </c>
    </row>
    <row r="261" spans="1:34" ht="69">
      <c r="A261" t="s">
        <v>890</v>
      </c>
      <c r="B261" t="s">
        <v>4229</v>
      </c>
      <c r="C261" t="s">
        <v>4412</v>
      </c>
      <c r="D261" t="s">
        <v>1213</v>
      </c>
      <c r="E261" t="s">
        <v>673</v>
      </c>
      <c r="F261">
        <v>1E-3</v>
      </c>
      <c r="G261" t="s">
        <v>4413</v>
      </c>
      <c r="H261">
        <v>34.200000000000003</v>
      </c>
      <c r="I261" t="s">
        <v>1140</v>
      </c>
      <c r="J261">
        <v>67.800000000000011</v>
      </c>
      <c r="L261">
        <v>3.6</v>
      </c>
      <c r="M261" t="s">
        <v>4414</v>
      </c>
      <c r="N261" t="s">
        <v>4419</v>
      </c>
      <c r="P261" t="s">
        <v>4416</v>
      </c>
      <c r="S261" s="64">
        <f t="shared" si="5"/>
        <v>67.800000000000011</v>
      </c>
      <c r="U261">
        <v>67.400000000000006</v>
      </c>
      <c r="V261">
        <v>0.2</v>
      </c>
      <c r="W261">
        <v>0.2</v>
      </c>
      <c r="X261" s="56" t="str">
        <f>GHGFY20[[#This Row],[Data Source (scope 1)]]</f>
        <v>NGER (Measurement) Determination 2008 2019versions pg 318 - Part 3 Fuel combustion - 35</v>
      </c>
      <c r="Y261" s="65" t="s">
        <v>4416</v>
      </c>
      <c r="AB261" s="3">
        <f>(S261-GHGFY20[[#This Row],[Scope 1 Emission factor]])/GHGFY20[[#This Row],[Scope 1 Emission factor]]</f>
        <v>0</v>
      </c>
      <c r="AC261" s="3" t="e">
        <f>(T261-GHGFY20[[#This Row],[Scope 2 Emission factor]])/GHGFY20[[#This Row],[Scope 2 Emission factor]]</f>
        <v>#DIV/0!</v>
      </c>
      <c r="AD261" s="3">
        <f>(U261-GHGFY20[[#This Row],[Scope 3 Emission factor]])/GHGFY20[[#This Row],[Scope 3 Emission factor]]</f>
        <v>17.722222222222221</v>
      </c>
      <c r="AH261" t="b">
        <f>GHGFY20[[#This Row],[Reporting Alias]]=GHGFY207[[#This Row],[Reporting Alias]]</f>
        <v>1</v>
      </c>
    </row>
    <row r="262" spans="1:34" ht="69">
      <c r="A262" t="s">
        <v>4241</v>
      </c>
      <c r="B262" t="s">
        <v>4229</v>
      </c>
      <c r="C262" t="s">
        <v>4412</v>
      </c>
      <c r="D262" t="s">
        <v>1208</v>
      </c>
      <c r="E262" t="s">
        <v>673</v>
      </c>
      <c r="F262">
        <v>1E-3</v>
      </c>
      <c r="G262" t="s">
        <v>4413</v>
      </c>
      <c r="H262">
        <v>34.200000000000003</v>
      </c>
      <c r="I262" t="s">
        <v>1140</v>
      </c>
      <c r="J262">
        <v>67.800000000000011</v>
      </c>
      <c r="L262">
        <v>3.6</v>
      </c>
      <c r="M262" t="s">
        <v>4414</v>
      </c>
      <c r="N262" t="s">
        <v>4419</v>
      </c>
      <c r="P262" t="s">
        <v>4416</v>
      </c>
      <c r="S262" s="64">
        <f t="shared" si="5"/>
        <v>67.800000000000011</v>
      </c>
      <c r="U262">
        <v>67.400000000000006</v>
      </c>
      <c r="V262">
        <v>0.2</v>
      </c>
      <c r="W262">
        <v>0.2</v>
      </c>
      <c r="X262" s="56" t="str">
        <f>GHGFY20[[#This Row],[Data Source (scope 1)]]</f>
        <v>NGER (Measurement) Determination 2008 2019versions pg 318 - Part 3 Fuel combustion - 35</v>
      </c>
      <c r="Y262" s="65" t="s">
        <v>4416</v>
      </c>
      <c r="AB262" s="3">
        <f>(S262-GHGFY20[[#This Row],[Scope 1 Emission factor]])/GHGFY20[[#This Row],[Scope 1 Emission factor]]</f>
        <v>0</v>
      </c>
      <c r="AC262" s="3" t="e">
        <f>(T262-GHGFY20[[#This Row],[Scope 2 Emission factor]])/GHGFY20[[#This Row],[Scope 2 Emission factor]]</f>
        <v>#DIV/0!</v>
      </c>
      <c r="AD262" s="3">
        <f>(U262-GHGFY20[[#This Row],[Scope 3 Emission factor]])/GHGFY20[[#This Row],[Scope 3 Emission factor]]</f>
        <v>17.722222222222221</v>
      </c>
      <c r="AH262" t="b">
        <f>GHGFY20[[#This Row],[Reporting Alias]]=GHGFY207[[#This Row],[Reporting Alias]]</f>
        <v>1</v>
      </c>
    </row>
    <row r="263" spans="1:34" ht="69">
      <c r="A263" t="s">
        <v>4242</v>
      </c>
      <c r="B263" t="s">
        <v>4229</v>
      </c>
      <c r="C263" t="s">
        <v>4412</v>
      </c>
      <c r="D263" t="s">
        <v>1190</v>
      </c>
      <c r="E263" t="s">
        <v>673</v>
      </c>
      <c r="F263">
        <v>1E-3</v>
      </c>
      <c r="G263" t="s">
        <v>4413</v>
      </c>
      <c r="H263">
        <v>23.4</v>
      </c>
      <c r="I263" t="s">
        <v>4431</v>
      </c>
      <c r="J263">
        <v>0.27</v>
      </c>
      <c r="L263">
        <v>0</v>
      </c>
      <c r="M263" t="s">
        <v>4414</v>
      </c>
      <c r="N263" t="s">
        <v>4432</v>
      </c>
      <c r="P263" t="s">
        <v>4416</v>
      </c>
      <c r="S263" s="64">
        <f t="shared" si="5"/>
        <v>0.27</v>
      </c>
      <c r="U263">
        <v>0</v>
      </c>
      <c r="V263">
        <v>7.0000000000000007E-2</v>
      </c>
      <c r="W263">
        <v>0.2</v>
      </c>
      <c r="X263" s="56" t="str">
        <f>GHGFY20[[#This Row],[Data Source (scope 1)]]</f>
        <v>NGER (Measurement) Determination 2008 2019versions pg 319 - Part 3 Fuel combustion - 51</v>
      </c>
      <c r="Y263" s="65" t="s">
        <v>4416</v>
      </c>
      <c r="AB263" s="3">
        <f>(S263-GHGFY20[[#This Row],[Scope 1 Emission factor]])/GHGFY20[[#This Row],[Scope 1 Emission factor]]</f>
        <v>0</v>
      </c>
      <c r="AC263" s="3" t="e">
        <f>(T263-GHGFY20[[#This Row],[Scope 2 Emission factor]])/GHGFY20[[#This Row],[Scope 2 Emission factor]]</f>
        <v>#DIV/0!</v>
      </c>
      <c r="AD263" s="3" t="e">
        <f>(U263-GHGFY20[[#This Row],[Scope 3 Emission factor]])/GHGFY20[[#This Row],[Scope 3 Emission factor]]</f>
        <v>#DIV/0!</v>
      </c>
      <c r="AH263" t="b">
        <f>GHGFY20[[#This Row],[Reporting Alias]]=GHGFY207[[#This Row],[Reporting Alias]]</f>
        <v>1</v>
      </c>
    </row>
    <row r="264" spans="1:34" ht="69">
      <c r="A264" t="s">
        <v>4243</v>
      </c>
      <c r="B264" t="s">
        <v>4229</v>
      </c>
      <c r="C264" t="s">
        <v>4412</v>
      </c>
      <c r="D264" t="s">
        <v>1192</v>
      </c>
      <c r="E264" t="s">
        <v>673</v>
      </c>
      <c r="F264">
        <v>1E-3</v>
      </c>
      <c r="G264" t="s">
        <v>4413</v>
      </c>
      <c r="H264">
        <v>23.4</v>
      </c>
      <c r="I264" t="s">
        <v>4431</v>
      </c>
      <c r="J264">
        <v>0.27</v>
      </c>
      <c r="L264">
        <v>0</v>
      </c>
      <c r="M264" t="s">
        <v>4414</v>
      </c>
      <c r="N264" t="s">
        <v>4432</v>
      </c>
      <c r="P264" t="s">
        <v>4416</v>
      </c>
      <c r="S264" s="64">
        <f t="shared" si="5"/>
        <v>0.27</v>
      </c>
      <c r="U264">
        <v>0</v>
      </c>
      <c r="V264">
        <v>7.0000000000000007E-2</v>
      </c>
      <c r="W264">
        <v>0.2</v>
      </c>
      <c r="X264" s="56" t="str">
        <f>GHGFY20[[#This Row],[Data Source (scope 1)]]</f>
        <v>NGER (Measurement) Determination 2008 2019versions pg 319 - Part 3 Fuel combustion - 51</v>
      </c>
      <c r="Y264" s="65" t="s">
        <v>4416</v>
      </c>
      <c r="AB264" s="3">
        <f>(S264-GHGFY20[[#This Row],[Scope 1 Emission factor]])/GHGFY20[[#This Row],[Scope 1 Emission factor]]</f>
        <v>0</v>
      </c>
      <c r="AC264" s="3" t="e">
        <f>(T264-GHGFY20[[#This Row],[Scope 2 Emission factor]])/GHGFY20[[#This Row],[Scope 2 Emission factor]]</f>
        <v>#DIV/0!</v>
      </c>
      <c r="AD264" s="3" t="e">
        <f>(U264-GHGFY20[[#This Row],[Scope 3 Emission factor]])/GHGFY20[[#This Row],[Scope 3 Emission factor]]</f>
        <v>#DIV/0!</v>
      </c>
      <c r="AH264" t="b">
        <f>GHGFY20[[#This Row],[Reporting Alias]]=GHGFY207[[#This Row],[Reporting Alias]]</f>
        <v>1</v>
      </c>
    </row>
    <row r="265" spans="1:34" ht="69">
      <c r="A265" t="s">
        <v>4244</v>
      </c>
      <c r="B265" t="s">
        <v>4229</v>
      </c>
      <c r="C265" t="s">
        <v>4412</v>
      </c>
      <c r="D265" t="s">
        <v>1189</v>
      </c>
      <c r="E265" t="s">
        <v>673</v>
      </c>
      <c r="F265">
        <v>1E-3</v>
      </c>
      <c r="G265" t="s">
        <v>4413</v>
      </c>
      <c r="H265">
        <v>23.4</v>
      </c>
      <c r="I265" t="s">
        <v>4431</v>
      </c>
      <c r="J265">
        <v>0.27</v>
      </c>
      <c r="L265">
        <v>0</v>
      </c>
      <c r="M265" t="s">
        <v>4414</v>
      </c>
      <c r="N265" t="s">
        <v>4432</v>
      </c>
      <c r="P265" t="s">
        <v>4416</v>
      </c>
      <c r="S265" s="64">
        <f t="shared" si="5"/>
        <v>0.27</v>
      </c>
      <c r="U265">
        <v>0</v>
      </c>
      <c r="V265">
        <v>7.0000000000000007E-2</v>
      </c>
      <c r="W265">
        <v>0.2</v>
      </c>
      <c r="X265" s="56" t="str">
        <f>GHGFY20[[#This Row],[Data Source (scope 1)]]</f>
        <v>NGER (Measurement) Determination 2008 2019versions pg 319 - Part 3 Fuel combustion - 51</v>
      </c>
      <c r="Y265" s="65" t="s">
        <v>4416</v>
      </c>
      <c r="AB265" s="3">
        <f>(S265-GHGFY20[[#This Row],[Scope 1 Emission factor]])/GHGFY20[[#This Row],[Scope 1 Emission factor]]</f>
        <v>0</v>
      </c>
      <c r="AC265" s="3" t="e">
        <f>(T265-GHGFY20[[#This Row],[Scope 2 Emission factor]])/GHGFY20[[#This Row],[Scope 2 Emission factor]]</f>
        <v>#DIV/0!</v>
      </c>
      <c r="AD265" s="3" t="e">
        <f>(U265-GHGFY20[[#This Row],[Scope 3 Emission factor]])/GHGFY20[[#This Row],[Scope 3 Emission factor]]</f>
        <v>#DIV/0!</v>
      </c>
      <c r="AH265" t="b">
        <f>GHGFY20[[#This Row],[Reporting Alias]]=GHGFY207[[#This Row],[Reporting Alias]]</f>
        <v>1</v>
      </c>
    </row>
    <row r="266" spans="1:34" ht="69">
      <c r="A266" t="s">
        <v>887</v>
      </c>
      <c r="B266" t="s">
        <v>4229</v>
      </c>
      <c r="C266" t="s">
        <v>4412</v>
      </c>
      <c r="D266" t="s">
        <v>1210</v>
      </c>
      <c r="E266" t="s">
        <v>673</v>
      </c>
      <c r="F266">
        <v>1E-3</v>
      </c>
      <c r="G266" t="s">
        <v>4413</v>
      </c>
      <c r="H266">
        <v>23.4</v>
      </c>
      <c r="I266" t="s">
        <v>4431</v>
      </c>
      <c r="J266">
        <v>0.27</v>
      </c>
      <c r="L266">
        <v>0</v>
      </c>
      <c r="M266" t="s">
        <v>4414</v>
      </c>
      <c r="N266" t="s">
        <v>4432</v>
      </c>
      <c r="P266" t="s">
        <v>4416</v>
      </c>
      <c r="S266" s="64">
        <f t="shared" si="5"/>
        <v>0.27</v>
      </c>
      <c r="U266">
        <v>0</v>
      </c>
      <c r="V266">
        <v>7.0000000000000007E-2</v>
      </c>
      <c r="W266">
        <v>0.2</v>
      </c>
      <c r="X266" s="56" t="str">
        <f>GHGFY20[[#This Row],[Data Source (scope 1)]]</f>
        <v>NGER (Measurement) Determination 2008 2019versions pg 319 - Part 3 Fuel combustion - 51</v>
      </c>
      <c r="Y266" s="65" t="s">
        <v>4416</v>
      </c>
      <c r="AB266" s="3">
        <f>(S266-GHGFY20[[#This Row],[Scope 1 Emission factor]])/GHGFY20[[#This Row],[Scope 1 Emission factor]]</f>
        <v>0</v>
      </c>
      <c r="AC266" s="3" t="e">
        <f>(T266-GHGFY20[[#This Row],[Scope 2 Emission factor]])/GHGFY20[[#This Row],[Scope 2 Emission factor]]</f>
        <v>#DIV/0!</v>
      </c>
      <c r="AD266" s="3" t="e">
        <f>(U266-GHGFY20[[#This Row],[Scope 3 Emission factor]])/GHGFY20[[#This Row],[Scope 3 Emission factor]]</f>
        <v>#DIV/0!</v>
      </c>
      <c r="AH266" t="b">
        <f>GHGFY20[[#This Row],[Reporting Alias]]=GHGFY207[[#This Row],[Reporting Alias]]</f>
        <v>1</v>
      </c>
    </row>
    <row r="267" spans="1:34" ht="69">
      <c r="A267" t="s">
        <v>4245</v>
      </c>
      <c r="B267" t="s">
        <v>4229</v>
      </c>
      <c r="C267" t="s">
        <v>4412</v>
      </c>
      <c r="D267" t="s">
        <v>1216</v>
      </c>
      <c r="E267" t="s">
        <v>673</v>
      </c>
      <c r="F267">
        <v>1E-3</v>
      </c>
      <c r="G267" t="s">
        <v>4413</v>
      </c>
      <c r="H267">
        <v>23.4</v>
      </c>
      <c r="I267" t="s">
        <v>4431</v>
      </c>
      <c r="J267">
        <v>0.27</v>
      </c>
      <c r="L267">
        <v>0</v>
      </c>
      <c r="M267" t="s">
        <v>4414</v>
      </c>
      <c r="N267" t="s">
        <v>4432</v>
      </c>
      <c r="P267" t="s">
        <v>4416</v>
      </c>
      <c r="S267" s="64">
        <f t="shared" si="5"/>
        <v>0.27</v>
      </c>
      <c r="U267">
        <v>0</v>
      </c>
      <c r="V267">
        <v>7.0000000000000007E-2</v>
      </c>
      <c r="W267">
        <v>0.2</v>
      </c>
      <c r="X267" s="56" t="str">
        <f>GHGFY20[[#This Row],[Data Source (scope 1)]]</f>
        <v>NGER (Measurement) Determination 2008 2019versions pg 319 - Part 3 Fuel combustion - 51</v>
      </c>
      <c r="Y267" s="65" t="s">
        <v>4416</v>
      </c>
      <c r="AB267" s="3">
        <f>(S267-GHGFY20[[#This Row],[Scope 1 Emission factor]])/GHGFY20[[#This Row],[Scope 1 Emission factor]]</f>
        <v>0</v>
      </c>
      <c r="AC267" s="3" t="e">
        <f>(T267-GHGFY20[[#This Row],[Scope 2 Emission factor]])/GHGFY20[[#This Row],[Scope 2 Emission factor]]</f>
        <v>#DIV/0!</v>
      </c>
      <c r="AD267" s="3" t="e">
        <f>(U267-GHGFY20[[#This Row],[Scope 3 Emission factor]])/GHGFY20[[#This Row],[Scope 3 Emission factor]]</f>
        <v>#DIV/0!</v>
      </c>
      <c r="AH267" t="b">
        <f>GHGFY20[[#This Row],[Reporting Alias]]=GHGFY207[[#This Row],[Reporting Alias]]</f>
        <v>1</v>
      </c>
    </row>
    <row r="268" spans="1:34" ht="69">
      <c r="A268" t="s">
        <v>4246</v>
      </c>
      <c r="B268" t="s">
        <v>4229</v>
      </c>
      <c r="C268" t="s">
        <v>4412</v>
      </c>
      <c r="D268" t="s">
        <v>1193</v>
      </c>
      <c r="E268" t="s">
        <v>673</v>
      </c>
      <c r="F268">
        <v>1E-3</v>
      </c>
      <c r="G268" t="s">
        <v>4413</v>
      </c>
      <c r="H268">
        <v>23.4</v>
      </c>
      <c r="I268" t="s">
        <v>4431</v>
      </c>
      <c r="J268">
        <v>0.27</v>
      </c>
      <c r="L268">
        <v>0</v>
      </c>
      <c r="M268" t="s">
        <v>4414</v>
      </c>
      <c r="N268" t="s">
        <v>4432</v>
      </c>
      <c r="P268" t="s">
        <v>4416</v>
      </c>
      <c r="S268" s="64">
        <f t="shared" si="5"/>
        <v>0.27</v>
      </c>
      <c r="U268">
        <v>0</v>
      </c>
      <c r="V268">
        <v>7.0000000000000007E-2</v>
      </c>
      <c r="W268">
        <v>0.2</v>
      </c>
      <c r="X268" s="56" t="str">
        <f>GHGFY20[[#This Row],[Data Source (scope 1)]]</f>
        <v>NGER (Measurement) Determination 2008 2019versions pg 319 - Part 3 Fuel combustion - 51</v>
      </c>
      <c r="Y268" s="65" t="s">
        <v>4416</v>
      </c>
      <c r="AB268" s="3">
        <f>(S268-GHGFY20[[#This Row],[Scope 1 Emission factor]])/GHGFY20[[#This Row],[Scope 1 Emission factor]]</f>
        <v>0</v>
      </c>
      <c r="AC268" s="3" t="e">
        <f>(T268-GHGFY20[[#This Row],[Scope 2 Emission factor]])/GHGFY20[[#This Row],[Scope 2 Emission factor]]</f>
        <v>#DIV/0!</v>
      </c>
      <c r="AD268" s="3" t="e">
        <f>(U268-GHGFY20[[#This Row],[Scope 3 Emission factor]])/GHGFY20[[#This Row],[Scope 3 Emission factor]]</f>
        <v>#DIV/0!</v>
      </c>
      <c r="AH268" t="b">
        <f>GHGFY20[[#This Row],[Reporting Alias]]=GHGFY207[[#This Row],[Reporting Alias]]</f>
        <v>1</v>
      </c>
    </row>
    <row r="269" spans="1:34" ht="69">
      <c r="A269" t="s">
        <v>4247</v>
      </c>
      <c r="B269" t="s">
        <v>4229</v>
      </c>
      <c r="C269" t="s">
        <v>4412</v>
      </c>
      <c r="D269" t="s">
        <v>1213</v>
      </c>
      <c r="E269" t="s">
        <v>673</v>
      </c>
      <c r="F269">
        <v>1E-3</v>
      </c>
      <c r="G269" t="s">
        <v>4413</v>
      </c>
      <c r="H269">
        <v>23.4</v>
      </c>
      <c r="I269" t="s">
        <v>4431</v>
      </c>
      <c r="J269">
        <v>0.27</v>
      </c>
      <c r="L269">
        <v>0</v>
      </c>
      <c r="M269" t="s">
        <v>4414</v>
      </c>
      <c r="N269" t="s">
        <v>4432</v>
      </c>
      <c r="P269" t="s">
        <v>4416</v>
      </c>
      <c r="S269" s="64">
        <f t="shared" si="5"/>
        <v>0.27</v>
      </c>
      <c r="U269">
        <v>0</v>
      </c>
      <c r="V269">
        <v>7.0000000000000007E-2</v>
      </c>
      <c r="W269">
        <v>0.2</v>
      </c>
      <c r="X269" s="56" t="str">
        <f>GHGFY20[[#This Row],[Data Source (scope 1)]]</f>
        <v>NGER (Measurement) Determination 2008 2019versions pg 319 - Part 3 Fuel combustion - 51</v>
      </c>
      <c r="Y269" s="65" t="s">
        <v>4416</v>
      </c>
      <c r="AB269" s="3">
        <f>(S269-GHGFY20[[#This Row],[Scope 1 Emission factor]])/GHGFY20[[#This Row],[Scope 1 Emission factor]]</f>
        <v>0</v>
      </c>
      <c r="AC269" s="3" t="e">
        <f>(T269-GHGFY20[[#This Row],[Scope 2 Emission factor]])/GHGFY20[[#This Row],[Scope 2 Emission factor]]</f>
        <v>#DIV/0!</v>
      </c>
      <c r="AD269" s="3" t="e">
        <f>(U269-GHGFY20[[#This Row],[Scope 3 Emission factor]])/GHGFY20[[#This Row],[Scope 3 Emission factor]]</f>
        <v>#DIV/0!</v>
      </c>
      <c r="AH269" t="b">
        <f>GHGFY20[[#This Row],[Reporting Alias]]=GHGFY207[[#This Row],[Reporting Alias]]</f>
        <v>1</v>
      </c>
    </row>
    <row r="270" spans="1:34" ht="69">
      <c r="A270" t="s">
        <v>4248</v>
      </c>
      <c r="B270" t="s">
        <v>4229</v>
      </c>
      <c r="C270" t="s">
        <v>4412</v>
      </c>
      <c r="D270" t="s">
        <v>1208</v>
      </c>
      <c r="E270" t="s">
        <v>673</v>
      </c>
      <c r="F270">
        <v>1E-3</v>
      </c>
      <c r="G270" t="s">
        <v>4413</v>
      </c>
      <c r="H270">
        <v>23.4</v>
      </c>
      <c r="I270" t="s">
        <v>4431</v>
      </c>
      <c r="J270">
        <v>0.27</v>
      </c>
      <c r="L270">
        <v>0</v>
      </c>
      <c r="M270" t="s">
        <v>4414</v>
      </c>
      <c r="N270" t="s">
        <v>4432</v>
      </c>
      <c r="P270" t="s">
        <v>4416</v>
      </c>
      <c r="S270" s="64">
        <f t="shared" si="5"/>
        <v>0.27</v>
      </c>
      <c r="U270">
        <v>0</v>
      </c>
      <c r="V270">
        <v>7.0000000000000007E-2</v>
      </c>
      <c r="W270">
        <v>0.2</v>
      </c>
      <c r="X270" s="56" t="str">
        <f>GHGFY20[[#This Row],[Data Source (scope 1)]]</f>
        <v>NGER (Measurement) Determination 2008 2019versions pg 319 - Part 3 Fuel combustion - 51</v>
      </c>
      <c r="Y270" s="65" t="s">
        <v>4416</v>
      </c>
      <c r="AB270" s="3">
        <f>(S270-GHGFY20[[#This Row],[Scope 1 Emission factor]])/GHGFY20[[#This Row],[Scope 1 Emission factor]]</f>
        <v>0</v>
      </c>
      <c r="AC270" s="3" t="e">
        <f>(T270-GHGFY20[[#This Row],[Scope 2 Emission factor]])/GHGFY20[[#This Row],[Scope 2 Emission factor]]</f>
        <v>#DIV/0!</v>
      </c>
      <c r="AD270" s="3" t="e">
        <f>(U270-GHGFY20[[#This Row],[Scope 3 Emission factor]])/GHGFY20[[#This Row],[Scope 3 Emission factor]]</f>
        <v>#DIV/0!</v>
      </c>
      <c r="AH270" t="b">
        <f>GHGFY20[[#This Row],[Reporting Alias]]=GHGFY207[[#This Row],[Reporting Alias]]</f>
        <v>1</v>
      </c>
    </row>
    <row r="271" spans="1:34" ht="69">
      <c r="A271" t="s">
        <v>1031</v>
      </c>
      <c r="B271" t="s">
        <v>4249</v>
      </c>
      <c r="C271" t="s">
        <v>4412</v>
      </c>
      <c r="D271" t="s">
        <v>1190</v>
      </c>
      <c r="E271" t="s">
        <v>673</v>
      </c>
      <c r="F271">
        <v>1E-3</v>
      </c>
      <c r="G271" t="s">
        <v>4413</v>
      </c>
      <c r="H271">
        <v>38.6</v>
      </c>
      <c r="I271" t="s">
        <v>1140</v>
      </c>
      <c r="J271">
        <v>70.2</v>
      </c>
      <c r="L271">
        <v>3.6</v>
      </c>
      <c r="M271" t="s">
        <v>4414</v>
      </c>
      <c r="N271" t="s">
        <v>4415</v>
      </c>
      <c r="P271" s="65" t="s">
        <v>4416</v>
      </c>
      <c r="S271" s="64">
        <f t="shared" si="5"/>
        <v>70.2</v>
      </c>
      <c r="U271" s="5">
        <v>69.900000000000006</v>
      </c>
      <c r="V271" s="5">
        <v>0.1</v>
      </c>
      <c r="W271" s="5">
        <v>0.2</v>
      </c>
      <c r="X271" s="56" t="str">
        <f>GHGFY20[[#This Row],[Data Source (scope 1)]]</f>
        <v>NGER (Measurement) Determination 2008 2019versions pg 318 - Part 3 Fuel combustion - 40</v>
      </c>
      <c r="Y271" s="65" t="s">
        <v>4416</v>
      </c>
      <c r="AB271" s="3"/>
      <c r="AC271" s="3" t="e">
        <f>(T271-GHGFY20[[#This Row],[Scope 2 Emission factor]])/GHGFY20[[#This Row],[Scope 2 Emission factor]]</f>
        <v>#DIV/0!</v>
      </c>
      <c r="AD271" s="3">
        <f>(U271-GHGFY20[[#This Row],[Scope 3 Emission factor]])/GHGFY20[[#This Row],[Scope 3 Emission factor]]</f>
        <v>18.416666666666668</v>
      </c>
      <c r="AH271" t="b">
        <f>GHGFY20[[#This Row],[Reporting Alias]]=GHGFY207[[#This Row],[Reporting Alias]]</f>
        <v>1</v>
      </c>
    </row>
    <row r="272" spans="1:34" ht="69">
      <c r="A272" t="s">
        <v>1034</v>
      </c>
      <c r="B272" t="s">
        <v>4249</v>
      </c>
      <c r="C272" t="s">
        <v>4412</v>
      </c>
      <c r="D272" t="s">
        <v>1192</v>
      </c>
      <c r="E272" t="s">
        <v>673</v>
      </c>
      <c r="F272">
        <v>1E-3</v>
      </c>
      <c r="G272" t="s">
        <v>4413</v>
      </c>
      <c r="H272">
        <v>38.6</v>
      </c>
      <c r="I272" t="s">
        <v>1140</v>
      </c>
      <c r="J272">
        <v>70.2</v>
      </c>
      <c r="L272">
        <v>3.6</v>
      </c>
      <c r="M272" t="s">
        <v>4414</v>
      </c>
      <c r="N272" t="s">
        <v>4415</v>
      </c>
      <c r="P272" s="65" t="s">
        <v>4416</v>
      </c>
      <c r="S272" s="64">
        <f t="shared" si="5"/>
        <v>70.2</v>
      </c>
      <c r="U272" s="5">
        <v>69.900000000000006</v>
      </c>
      <c r="V272" s="5">
        <v>0.1</v>
      </c>
      <c r="W272" s="5">
        <v>0.2</v>
      </c>
      <c r="X272" s="56" t="str">
        <f>GHGFY20[[#This Row],[Data Source (scope 1)]]</f>
        <v>NGER (Measurement) Determination 2008 2019versions pg 318 - Part 3 Fuel combustion - 40</v>
      </c>
      <c r="Y272" s="65" t="s">
        <v>4416</v>
      </c>
      <c r="AB272" s="3"/>
      <c r="AC272" s="3" t="e">
        <f>(T272-GHGFY20[[#This Row],[Scope 2 Emission factor]])/GHGFY20[[#This Row],[Scope 2 Emission factor]]</f>
        <v>#DIV/0!</v>
      </c>
      <c r="AD272" s="3">
        <f>(U272-GHGFY20[[#This Row],[Scope 3 Emission factor]])/GHGFY20[[#This Row],[Scope 3 Emission factor]]</f>
        <v>18.416666666666668</v>
      </c>
      <c r="AH272" t="b">
        <f>GHGFY20[[#This Row],[Reporting Alias]]=GHGFY207[[#This Row],[Reporting Alias]]</f>
        <v>1</v>
      </c>
    </row>
    <row r="273" spans="1:34" ht="69">
      <c r="A273" t="s">
        <v>1033</v>
      </c>
      <c r="B273" t="s">
        <v>4249</v>
      </c>
      <c r="C273" t="s">
        <v>4412</v>
      </c>
      <c r="D273" t="s">
        <v>1190</v>
      </c>
      <c r="E273" t="s">
        <v>673</v>
      </c>
      <c r="F273">
        <v>1E-3</v>
      </c>
      <c r="G273" t="s">
        <v>4413</v>
      </c>
      <c r="H273">
        <v>34.200000000000003</v>
      </c>
      <c r="I273" t="s">
        <v>1140</v>
      </c>
      <c r="J273">
        <v>67.800000000000011</v>
      </c>
      <c r="L273">
        <v>3.6</v>
      </c>
      <c r="M273" t="s">
        <v>4414</v>
      </c>
      <c r="N273" t="s">
        <v>4419</v>
      </c>
      <c r="P273" s="65" t="s">
        <v>4416</v>
      </c>
      <c r="S273" s="64"/>
      <c r="U273" s="5"/>
      <c r="V273" s="5"/>
      <c r="W273" s="5"/>
      <c r="X273" s="56" t="str">
        <f>GHGFY20[[#This Row],[Data Source (scope 1)]]</f>
        <v>NGER (Measurement) Determination 2008 2019versions pg 318 - Part 3 Fuel combustion - 35</v>
      </c>
      <c r="Y273" s="65"/>
      <c r="AB273" s="3"/>
      <c r="AC273" s="3"/>
      <c r="AD273" s="3"/>
      <c r="AH273" t="b">
        <f>GHGFY20[[#This Row],[Reporting Alias]]=GHGFY207[[#This Row],[Reporting Alias]]</f>
        <v>1</v>
      </c>
    </row>
    <row r="274" spans="1:34" ht="69">
      <c r="A274" t="s">
        <v>1037</v>
      </c>
      <c r="B274" t="s">
        <v>4249</v>
      </c>
      <c r="C274" t="s">
        <v>4412</v>
      </c>
      <c r="D274" t="s">
        <v>1192</v>
      </c>
      <c r="E274" t="s">
        <v>673</v>
      </c>
      <c r="F274">
        <v>1E-3</v>
      </c>
      <c r="G274" t="s">
        <v>4413</v>
      </c>
      <c r="H274">
        <v>34.200000000000003</v>
      </c>
      <c r="I274" t="s">
        <v>1140</v>
      </c>
      <c r="J274">
        <v>67.800000000000011</v>
      </c>
      <c r="L274">
        <v>3.6</v>
      </c>
      <c r="M274" t="s">
        <v>4414</v>
      </c>
      <c r="N274" t="s">
        <v>4419</v>
      </c>
      <c r="P274" s="65" t="s">
        <v>4416</v>
      </c>
      <c r="S274" s="64">
        <f t="shared" si="5"/>
        <v>67.800000000000011</v>
      </c>
      <c r="U274">
        <v>67.400000000000006</v>
      </c>
      <c r="V274">
        <v>0.2</v>
      </c>
      <c r="W274">
        <v>0.2</v>
      </c>
      <c r="X274" s="56" t="str">
        <f>GHGFY20[[#This Row],[Data Source (scope 1)]]</f>
        <v>NGER (Measurement) Determination 2008 2019versions pg 318 - Part 3 Fuel combustion - 35</v>
      </c>
      <c r="Y274" s="65" t="s">
        <v>4416</v>
      </c>
      <c r="AB274" s="3"/>
      <c r="AC274" s="3" t="e">
        <f>(T274-GHGFY20[[#This Row],[Scope 2 Emission factor]])/GHGFY20[[#This Row],[Scope 2 Emission factor]]</f>
        <v>#DIV/0!</v>
      </c>
      <c r="AD274" s="3">
        <f>(U274-GHGFY20[[#This Row],[Scope 3 Emission factor]])/GHGFY20[[#This Row],[Scope 3 Emission factor]]</f>
        <v>17.722222222222221</v>
      </c>
      <c r="AH274" t="b">
        <f>GHGFY20[[#This Row],[Reporting Alias]]=GHGFY207[[#This Row],[Reporting Alias]]</f>
        <v>1</v>
      </c>
    </row>
    <row r="275" spans="1:34" ht="69">
      <c r="A275" t="s">
        <v>1035</v>
      </c>
      <c r="B275" t="s">
        <v>4249</v>
      </c>
      <c r="C275" t="s">
        <v>4412</v>
      </c>
      <c r="D275" t="s">
        <v>1192</v>
      </c>
      <c r="E275" t="s">
        <v>673</v>
      </c>
      <c r="F275">
        <v>1E-3</v>
      </c>
      <c r="G275" t="s">
        <v>4413</v>
      </c>
      <c r="H275">
        <v>23.4</v>
      </c>
      <c r="I275" t="s">
        <v>4431</v>
      </c>
      <c r="J275">
        <v>0.27</v>
      </c>
      <c r="L275">
        <v>0</v>
      </c>
      <c r="M275" t="s">
        <v>4414</v>
      </c>
      <c r="N275" t="s">
        <v>4432</v>
      </c>
      <c r="P275" s="65" t="s">
        <v>4416</v>
      </c>
      <c r="S275" s="64">
        <f t="shared" si="5"/>
        <v>0.27</v>
      </c>
      <c r="U275">
        <v>0</v>
      </c>
      <c r="V275">
        <v>7.0000000000000007E-2</v>
      </c>
      <c r="W275">
        <v>0.2</v>
      </c>
      <c r="X275" s="56" t="str">
        <f>GHGFY20[[#This Row],[Data Source (scope 1)]]</f>
        <v>NGER (Measurement) Determination 2008 2019versions pg 319 - Part 3 Fuel combustion - 51</v>
      </c>
      <c r="Y275" s="65" t="s">
        <v>4416</v>
      </c>
      <c r="AB275" s="3"/>
      <c r="AC275" s="3" t="e">
        <f>(T275-GHGFY20[[#This Row],[Scope 2 Emission factor]])/GHGFY20[[#This Row],[Scope 2 Emission factor]]</f>
        <v>#DIV/0!</v>
      </c>
      <c r="AD275" s="3" t="e">
        <f>(U275-GHGFY20[[#This Row],[Scope 3 Emission factor]])/GHGFY20[[#This Row],[Scope 3 Emission factor]]</f>
        <v>#DIV/0!</v>
      </c>
      <c r="AH275" t="b">
        <f>GHGFY20[[#This Row],[Reporting Alias]]=GHGFY207[[#This Row],[Reporting Alias]]</f>
        <v>1</v>
      </c>
    </row>
    <row r="276" spans="1:34" ht="69">
      <c r="A276" t="s">
        <v>1038</v>
      </c>
      <c r="B276" t="s">
        <v>4249</v>
      </c>
      <c r="C276" t="s">
        <v>4412</v>
      </c>
      <c r="D276" t="s">
        <v>1208</v>
      </c>
      <c r="E276" t="s">
        <v>673</v>
      </c>
      <c r="F276">
        <v>1E-3</v>
      </c>
      <c r="G276" t="s">
        <v>4413</v>
      </c>
      <c r="H276">
        <v>38.6</v>
      </c>
      <c r="I276" t="s">
        <v>1140</v>
      </c>
      <c r="J276">
        <v>70.2</v>
      </c>
      <c r="L276">
        <v>3.6</v>
      </c>
      <c r="M276" t="s">
        <v>4414</v>
      </c>
      <c r="N276" t="s">
        <v>4415</v>
      </c>
      <c r="P276" s="65" t="s">
        <v>4416</v>
      </c>
      <c r="S276" s="64">
        <f t="shared" si="5"/>
        <v>70.2</v>
      </c>
      <c r="U276" s="5">
        <v>69.900000000000006</v>
      </c>
      <c r="V276" s="5">
        <v>0.1</v>
      </c>
      <c r="W276" s="5">
        <v>0.2</v>
      </c>
      <c r="X276" s="56" t="str">
        <f>GHGFY20[[#This Row],[Data Source (scope 1)]]</f>
        <v>NGER (Measurement) Determination 2008 2019versions pg 318 - Part 3 Fuel combustion - 40</v>
      </c>
      <c r="Y276" s="65" t="s">
        <v>4416</v>
      </c>
      <c r="AB276" s="3"/>
      <c r="AC276" s="3" t="e">
        <f>(T276-GHGFY20[[#This Row],[Scope 2 Emission factor]])/GHGFY20[[#This Row],[Scope 2 Emission factor]]</f>
        <v>#DIV/0!</v>
      </c>
      <c r="AD276" s="3">
        <f>(U276-GHGFY20[[#This Row],[Scope 3 Emission factor]])/GHGFY20[[#This Row],[Scope 3 Emission factor]]</f>
        <v>18.416666666666668</v>
      </c>
      <c r="AH276" t="b">
        <f>GHGFY20[[#This Row],[Reporting Alias]]=GHGFY207[[#This Row],[Reporting Alias]]</f>
        <v>1</v>
      </c>
    </row>
    <row r="277" spans="1:34" ht="69">
      <c r="A277" t="s">
        <v>1041</v>
      </c>
      <c r="B277" t="s">
        <v>4249</v>
      </c>
      <c r="C277" t="s">
        <v>4412</v>
      </c>
      <c r="D277" t="s">
        <v>1210</v>
      </c>
      <c r="E277" t="s">
        <v>673</v>
      </c>
      <c r="F277">
        <v>1E-3</v>
      </c>
      <c r="G277" t="s">
        <v>4413</v>
      </c>
      <c r="H277">
        <v>38.6</v>
      </c>
      <c r="I277" t="s">
        <v>1140</v>
      </c>
      <c r="J277">
        <v>70.2</v>
      </c>
      <c r="L277">
        <v>3.6</v>
      </c>
      <c r="M277" t="s">
        <v>4414</v>
      </c>
      <c r="N277" t="s">
        <v>4415</v>
      </c>
      <c r="P277" s="65" t="s">
        <v>4416</v>
      </c>
      <c r="S277" s="64">
        <f t="shared" si="5"/>
        <v>70.2</v>
      </c>
      <c r="U277" s="5">
        <v>69.900000000000006</v>
      </c>
      <c r="V277" s="5">
        <v>0.1</v>
      </c>
      <c r="W277" s="5">
        <v>0.2</v>
      </c>
      <c r="X277" s="56" t="str">
        <f>GHGFY20[[#This Row],[Data Source (scope 1)]]</f>
        <v>NGER (Measurement) Determination 2008 2019versions pg 318 - Part 3 Fuel combustion - 40</v>
      </c>
      <c r="Y277" s="65" t="s">
        <v>4416</v>
      </c>
      <c r="AB277" s="3"/>
      <c r="AC277" s="3" t="e">
        <f>(T277-GHGFY20[[#This Row],[Scope 2 Emission factor]])/GHGFY20[[#This Row],[Scope 2 Emission factor]]</f>
        <v>#DIV/0!</v>
      </c>
      <c r="AD277" s="3">
        <f>(U277-GHGFY20[[#This Row],[Scope 3 Emission factor]])/GHGFY20[[#This Row],[Scope 3 Emission factor]]</f>
        <v>18.416666666666668</v>
      </c>
      <c r="AH277" t="b">
        <f>GHGFY20[[#This Row],[Reporting Alias]]=GHGFY207[[#This Row],[Reporting Alias]]</f>
        <v>1</v>
      </c>
    </row>
    <row r="278" spans="1:34" ht="69">
      <c r="A278" t="s">
        <v>1040</v>
      </c>
      <c r="B278" t="s">
        <v>4249</v>
      </c>
      <c r="C278" t="s">
        <v>4412</v>
      </c>
      <c r="D278" t="s">
        <v>1208</v>
      </c>
      <c r="E278" t="s">
        <v>673</v>
      </c>
      <c r="F278">
        <v>1E-3</v>
      </c>
      <c r="G278" t="s">
        <v>4413</v>
      </c>
      <c r="H278">
        <v>34.200000000000003</v>
      </c>
      <c r="I278" t="s">
        <v>1140</v>
      </c>
      <c r="J278">
        <v>67.800000000000011</v>
      </c>
      <c r="L278">
        <v>3.6</v>
      </c>
      <c r="M278" t="s">
        <v>4414</v>
      </c>
      <c r="N278" t="s">
        <v>4419</v>
      </c>
      <c r="P278" s="65" t="s">
        <v>4416</v>
      </c>
      <c r="S278" s="64"/>
      <c r="U278" s="5"/>
      <c r="V278" s="5"/>
      <c r="W278" s="5"/>
      <c r="X278" s="56" t="str">
        <f>GHGFY20[[#This Row],[Data Source (scope 1)]]</f>
        <v>NGER (Measurement) Determination 2008 2019versions pg 318 - Part 3 Fuel combustion - 35</v>
      </c>
      <c r="Y278" s="65"/>
      <c r="AB278" s="3"/>
      <c r="AC278" s="3"/>
      <c r="AD278" s="3"/>
      <c r="AH278" t="b">
        <f>GHGFY20[[#This Row],[Reporting Alias]]=GHGFY207[[#This Row],[Reporting Alias]]</f>
        <v>1</v>
      </c>
    </row>
    <row r="279" spans="1:34" ht="69">
      <c r="A279" t="s">
        <v>1044</v>
      </c>
      <c r="B279" t="s">
        <v>4249</v>
      </c>
      <c r="C279" t="s">
        <v>4412</v>
      </c>
      <c r="D279" t="s">
        <v>1210</v>
      </c>
      <c r="E279" t="s">
        <v>673</v>
      </c>
      <c r="F279">
        <v>1E-3</v>
      </c>
      <c r="G279" t="s">
        <v>4413</v>
      </c>
      <c r="H279">
        <v>34.200000000000003</v>
      </c>
      <c r="I279" t="s">
        <v>1140</v>
      </c>
      <c r="J279">
        <v>67.800000000000011</v>
      </c>
      <c r="L279">
        <v>3.6</v>
      </c>
      <c r="M279" t="s">
        <v>4414</v>
      </c>
      <c r="N279" t="s">
        <v>4419</v>
      </c>
      <c r="P279" s="65" t="s">
        <v>4416</v>
      </c>
      <c r="S279" s="64">
        <f t="shared" si="5"/>
        <v>67.800000000000011</v>
      </c>
      <c r="U279">
        <v>67.400000000000006</v>
      </c>
      <c r="V279">
        <v>0.2</v>
      </c>
      <c r="W279">
        <v>0.2</v>
      </c>
      <c r="X279" s="56" t="str">
        <f>GHGFY20[[#This Row],[Data Source (scope 1)]]</f>
        <v>NGER (Measurement) Determination 2008 2019versions pg 318 - Part 3 Fuel combustion - 35</v>
      </c>
      <c r="Y279" s="65" t="s">
        <v>4416</v>
      </c>
      <c r="AB279" s="3"/>
      <c r="AC279" s="3" t="e">
        <f>(T279-GHGFY20[[#This Row],[Scope 2 Emission factor]])/GHGFY20[[#This Row],[Scope 2 Emission factor]]</f>
        <v>#DIV/0!</v>
      </c>
      <c r="AD279" s="3">
        <f>(U279-GHGFY20[[#This Row],[Scope 3 Emission factor]])/GHGFY20[[#This Row],[Scope 3 Emission factor]]</f>
        <v>17.722222222222221</v>
      </c>
      <c r="AH279" t="b">
        <f>GHGFY20[[#This Row],[Reporting Alias]]=GHGFY207[[#This Row],[Reporting Alias]]</f>
        <v>1</v>
      </c>
    </row>
    <row r="280" spans="1:34" ht="69">
      <c r="A280" t="s">
        <v>1032</v>
      </c>
      <c r="B280" t="s">
        <v>4249</v>
      </c>
      <c r="C280" t="s">
        <v>4412</v>
      </c>
      <c r="D280" t="s">
        <v>1190</v>
      </c>
      <c r="E280" t="s">
        <v>673</v>
      </c>
      <c r="F280">
        <v>1E-3</v>
      </c>
      <c r="G280" t="s">
        <v>4413</v>
      </c>
      <c r="H280">
        <v>25.7</v>
      </c>
      <c r="I280" t="s">
        <v>1140</v>
      </c>
      <c r="J280">
        <v>60.600000000000009</v>
      </c>
      <c r="L280">
        <v>3.6</v>
      </c>
      <c r="M280" t="s">
        <v>4414</v>
      </c>
      <c r="N280" t="s">
        <v>4418</v>
      </c>
      <c r="P280" s="65" t="s">
        <v>4416</v>
      </c>
      <c r="S280" s="64"/>
      <c r="X280" s="56" t="str">
        <f>GHGFY20[[#This Row],[Data Source (scope 1)]]</f>
        <v>NGER (Measurement) Determination 2008 2019versions pg 318 - Part 3 Fuel combustion - 44</v>
      </c>
      <c r="Y280" s="65"/>
      <c r="AB280" s="3"/>
      <c r="AC280" s="3"/>
      <c r="AD280" s="3"/>
      <c r="AH280" t="b">
        <f>GHGFY20[[#This Row],[Reporting Alias]]=GHGFY207[[#This Row],[Reporting Alias]]</f>
        <v>1</v>
      </c>
    </row>
    <row r="281" spans="1:34" ht="69">
      <c r="A281" t="s">
        <v>1036</v>
      </c>
      <c r="B281" t="s">
        <v>4249</v>
      </c>
      <c r="C281" t="s">
        <v>4412</v>
      </c>
      <c r="D281" t="s">
        <v>1192</v>
      </c>
      <c r="E281" t="s">
        <v>673</v>
      </c>
      <c r="F281">
        <v>1E-3</v>
      </c>
      <c r="G281" t="s">
        <v>4413</v>
      </c>
      <c r="H281">
        <v>25.7</v>
      </c>
      <c r="I281" t="s">
        <v>1140</v>
      </c>
      <c r="J281">
        <v>60.600000000000009</v>
      </c>
      <c r="L281">
        <v>3.6</v>
      </c>
      <c r="M281" t="s">
        <v>4414</v>
      </c>
      <c r="N281" t="s">
        <v>4418</v>
      </c>
      <c r="P281" s="65" t="s">
        <v>4416</v>
      </c>
      <c r="S281" s="64"/>
      <c r="X281" s="56" t="str">
        <f>GHGFY20[[#This Row],[Data Source (scope 1)]]</f>
        <v>NGER (Measurement) Determination 2008 2019versions pg 318 - Part 3 Fuel combustion - 44</v>
      </c>
      <c r="Y281" s="65"/>
      <c r="AB281" s="3"/>
      <c r="AC281" s="3"/>
      <c r="AD281" s="3"/>
      <c r="AH281" t="b">
        <f>GHGFY20[[#This Row],[Reporting Alias]]=GHGFY207[[#This Row],[Reporting Alias]]</f>
        <v>1</v>
      </c>
    </row>
    <row r="282" spans="1:34" ht="69">
      <c r="A282" t="s">
        <v>1039</v>
      </c>
      <c r="B282" t="s">
        <v>4249</v>
      </c>
      <c r="C282" t="s">
        <v>4412</v>
      </c>
      <c r="D282" t="s">
        <v>1208</v>
      </c>
      <c r="E282" t="s">
        <v>673</v>
      </c>
      <c r="F282">
        <v>1E-3</v>
      </c>
      <c r="G282" t="s">
        <v>4413</v>
      </c>
      <c r="H282">
        <v>25.7</v>
      </c>
      <c r="I282" t="s">
        <v>1140</v>
      </c>
      <c r="J282">
        <v>60.600000000000009</v>
      </c>
      <c r="L282">
        <v>3.6</v>
      </c>
      <c r="M282" t="s">
        <v>4414</v>
      </c>
      <c r="N282" t="s">
        <v>4418</v>
      </c>
      <c r="P282" s="65" t="s">
        <v>4416</v>
      </c>
      <c r="S282" s="64"/>
      <c r="X282" s="56" t="str">
        <f>GHGFY20[[#This Row],[Data Source (scope 1)]]</f>
        <v>NGER (Measurement) Determination 2008 2019versions pg 318 - Part 3 Fuel combustion - 44</v>
      </c>
      <c r="Y282" s="65"/>
      <c r="AB282" s="3"/>
      <c r="AC282" s="3"/>
      <c r="AD282" s="3"/>
      <c r="AH282" t="b">
        <f>GHGFY20[[#This Row],[Reporting Alias]]=GHGFY207[[#This Row],[Reporting Alias]]</f>
        <v>1</v>
      </c>
    </row>
    <row r="283" spans="1:34" ht="69">
      <c r="A283" t="s">
        <v>1043</v>
      </c>
      <c r="B283" t="s">
        <v>4249</v>
      </c>
      <c r="C283" t="s">
        <v>4412</v>
      </c>
      <c r="D283" t="s">
        <v>1210</v>
      </c>
      <c r="E283" t="s">
        <v>673</v>
      </c>
      <c r="F283">
        <v>1E-3</v>
      </c>
      <c r="G283" t="s">
        <v>4413</v>
      </c>
      <c r="H283">
        <v>25.7</v>
      </c>
      <c r="I283" t="s">
        <v>1140</v>
      </c>
      <c r="J283">
        <v>60.600000000000009</v>
      </c>
      <c r="L283">
        <v>3.6</v>
      </c>
      <c r="M283" t="s">
        <v>4414</v>
      </c>
      <c r="N283" t="s">
        <v>4418</v>
      </c>
      <c r="P283" s="65" t="s">
        <v>4416</v>
      </c>
      <c r="S283" s="64"/>
      <c r="X283" s="56" t="str">
        <f>GHGFY20[[#This Row],[Data Source (scope 1)]]</f>
        <v>NGER (Measurement) Determination 2008 2019versions pg 318 - Part 3 Fuel combustion - 44</v>
      </c>
      <c r="Y283" s="65"/>
      <c r="AB283" s="3"/>
      <c r="AC283" s="3"/>
      <c r="AD283" s="3"/>
      <c r="AH283" t="b">
        <f>GHGFY20[[#This Row],[Reporting Alias]]=GHGFY207[[#This Row],[Reporting Alias]]</f>
        <v>1</v>
      </c>
    </row>
    <row r="284" spans="1:34" ht="69">
      <c r="A284" t="s">
        <v>1046</v>
      </c>
      <c r="B284" t="s">
        <v>4249</v>
      </c>
      <c r="C284" t="s">
        <v>4412</v>
      </c>
      <c r="D284" t="s">
        <v>1193</v>
      </c>
      <c r="E284" t="s">
        <v>673</v>
      </c>
      <c r="F284">
        <v>1E-3</v>
      </c>
      <c r="G284" t="s">
        <v>4413</v>
      </c>
      <c r="H284">
        <v>25.7</v>
      </c>
      <c r="I284" t="s">
        <v>1140</v>
      </c>
      <c r="J284">
        <v>60.600000000000009</v>
      </c>
      <c r="L284">
        <v>3.6</v>
      </c>
      <c r="M284" t="s">
        <v>4414</v>
      </c>
      <c r="N284" t="s">
        <v>4418</v>
      </c>
      <c r="P284" s="65" t="s">
        <v>4416</v>
      </c>
      <c r="S284" s="64"/>
      <c r="X284" s="56" t="str">
        <f>GHGFY20[[#This Row],[Data Source (scope 1)]]</f>
        <v>NGER (Measurement) Determination 2008 2019versions pg 318 - Part 3 Fuel combustion - 44</v>
      </c>
      <c r="Y284" s="65"/>
      <c r="AB284" s="3"/>
      <c r="AC284" s="3"/>
      <c r="AD284" s="3"/>
      <c r="AH284" t="b">
        <f>GHGFY20[[#This Row],[Reporting Alias]]=GHGFY207[[#This Row],[Reporting Alias]]</f>
        <v>1</v>
      </c>
    </row>
    <row r="285" spans="1:34" ht="69">
      <c r="A285" t="s">
        <v>1049</v>
      </c>
      <c r="B285" t="s">
        <v>4249</v>
      </c>
      <c r="C285" t="s">
        <v>4412</v>
      </c>
      <c r="D285" t="s">
        <v>1213</v>
      </c>
      <c r="E285" t="s">
        <v>673</v>
      </c>
      <c r="F285">
        <v>1E-3</v>
      </c>
      <c r="G285" t="s">
        <v>4413</v>
      </c>
      <c r="H285">
        <v>25.7</v>
      </c>
      <c r="I285" t="s">
        <v>1140</v>
      </c>
      <c r="J285">
        <v>60.600000000000009</v>
      </c>
      <c r="L285">
        <v>3.6</v>
      </c>
      <c r="M285" t="s">
        <v>4414</v>
      </c>
      <c r="N285" t="s">
        <v>4418</v>
      </c>
      <c r="P285" s="65" t="s">
        <v>4416</v>
      </c>
      <c r="S285" s="64"/>
      <c r="X285" s="56" t="str">
        <f>GHGFY20[[#This Row],[Data Source (scope 1)]]</f>
        <v>NGER (Measurement) Determination 2008 2019versions pg 318 - Part 3 Fuel combustion - 44</v>
      </c>
      <c r="Y285" s="65"/>
      <c r="AB285" s="3"/>
      <c r="AC285" s="3"/>
      <c r="AD285" s="3"/>
      <c r="AH285" t="b">
        <f>GHGFY20[[#This Row],[Reporting Alias]]=GHGFY207[[#This Row],[Reporting Alias]]</f>
        <v>1</v>
      </c>
    </row>
    <row r="286" spans="1:34" ht="69">
      <c r="A286" t="s">
        <v>1052</v>
      </c>
      <c r="B286" t="s">
        <v>4249</v>
      </c>
      <c r="C286" t="s">
        <v>4412</v>
      </c>
      <c r="D286" t="s">
        <v>1189</v>
      </c>
      <c r="E286" t="s">
        <v>673</v>
      </c>
      <c r="F286">
        <v>1E-3</v>
      </c>
      <c r="G286" t="s">
        <v>4413</v>
      </c>
      <c r="H286">
        <v>25.7</v>
      </c>
      <c r="I286" t="s">
        <v>1140</v>
      </c>
      <c r="J286">
        <v>60.600000000000009</v>
      </c>
      <c r="L286">
        <v>3.6</v>
      </c>
      <c r="M286" t="s">
        <v>4414</v>
      </c>
      <c r="N286" t="s">
        <v>4418</v>
      </c>
      <c r="P286" s="65" t="s">
        <v>4416</v>
      </c>
      <c r="S286" s="64"/>
      <c r="X286" s="56" t="str">
        <f>GHGFY20[[#This Row],[Data Source (scope 1)]]</f>
        <v>NGER (Measurement) Determination 2008 2019versions pg 318 - Part 3 Fuel combustion - 44</v>
      </c>
      <c r="Y286" s="65"/>
      <c r="AB286" s="3"/>
      <c r="AC286" s="3"/>
      <c r="AD286" s="3"/>
      <c r="AH286" t="b">
        <f>GHGFY20[[#This Row],[Reporting Alias]]=GHGFY207[[#This Row],[Reporting Alias]]</f>
        <v>1</v>
      </c>
    </row>
    <row r="287" spans="1:34" ht="69">
      <c r="A287" t="s">
        <v>1055</v>
      </c>
      <c r="B287" t="s">
        <v>4249</v>
      </c>
      <c r="C287" t="s">
        <v>4412</v>
      </c>
      <c r="D287" t="s">
        <v>1216</v>
      </c>
      <c r="E287" t="s">
        <v>673</v>
      </c>
      <c r="F287">
        <v>1E-3</v>
      </c>
      <c r="G287" t="s">
        <v>4413</v>
      </c>
      <c r="H287">
        <v>25.7</v>
      </c>
      <c r="I287" t="s">
        <v>1140</v>
      </c>
      <c r="J287">
        <v>60.600000000000009</v>
      </c>
      <c r="L287">
        <v>3.6</v>
      </c>
      <c r="M287" t="s">
        <v>4414</v>
      </c>
      <c r="N287" t="s">
        <v>4418</v>
      </c>
      <c r="P287" s="65" t="s">
        <v>4416</v>
      </c>
      <c r="S287" s="64">
        <f t="shared" si="5"/>
        <v>60.600000000000009</v>
      </c>
      <c r="U287">
        <v>60.2</v>
      </c>
      <c r="V287">
        <v>0.2</v>
      </c>
      <c r="W287">
        <v>0.2</v>
      </c>
      <c r="X287" s="56" t="str">
        <f>GHGFY20[[#This Row],[Data Source (scope 1)]]</f>
        <v>NGER (Measurement) Determination 2008 2019versions pg 318 - Part 3 Fuel combustion - 44</v>
      </c>
      <c r="Y287" s="65" t="s">
        <v>4416</v>
      </c>
      <c r="AB287" s="3"/>
      <c r="AC287" s="3" t="e">
        <f>(T287-GHGFY20[[#This Row],[Scope 2 Emission factor]])/GHGFY20[[#This Row],[Scope 2 Emission factor]]</f>
        <v>#DIV/0!</v>
      </c>
      <c r="AD287" s="3">
        <f>(U287-GHGFY20[[#This Row],[Scope 3 Emission factor]])/GHGFY20[[#This Row],[Scope 3 Emission factor]]</f>
        <v>15.722222222222221</v>
      </c>
      <c r="AH287" t="b">
        <f>GHGFY20[[#This Row],[Reporting Alias]]=GHGFY207[[#This Row],[Reporting Alias]]</f>
        <v>1</v>
      </c>
    </row>
    <row r="288" spans="1:34" ht="69">
      <c r="A288" t="s">
        <v>1042</v>
      </c>
      <c r="B288" t="s">
        <v>4249</v>
      </c>
      <c r="C288" t="s">
        <v>4412</v>
      </c>
      <c r="D288" t="s">
        <v>1210</v>
      </c>
      <c r="E288" t="s">
        <v>673</v>
      </c>
      <c r="F288">
        <v>1E-3</v>
      </c>
      <c r="G288" t="s">
        <v>4413</v>
      </c>
      <c r="H288">
        <v>23.4</v>
      </c>
      <c r="I288" t="s">
        <v>4431</v>
      </c>
      <c r="J288">
        <v>0.27</v>
      </c>
      <c r="L288">
        <v>0</v>
      </c>
      <c r="M288" t="s">
        <v>4414</v>
      </c>
      <c r="N288" t="s">
        <v>4432</v>
      </c>
      <c r="P288" s="65" t="s">
        <v>4416</v>
      </c>
      <c r="S288" s="64">
        <f t="shared" si="5"/>
        <v>0.27</v>
      </c>
      <c r="U288">
        <v>0</v>
      </c>
      <c r="V288">
        <v>7.0000000000000007E-2</v>
      </c>
      <c r="W288">
        <v>0.2</v>
      </c>
      <c r="X288" s="56" t="str">
        <f>GHGFY20[[#This Row],[Data Source (scope 1)]]</f>
        <v>NGER (Measurement) Determination 2008 2019versions pg 319 - Part 3 Fuel combustion - 51</v>
      </c>
      <c r="Y288" s="65" t="s">
        <v>4416</v>
      </c>
      <c r="AB288" s="3"/>
      <c r="AC288" s="3" t="e">
        <f>(T288-GHGFY20[[#This Row],[Scope 2 Emission factor]])/GHGFY20[[#This Row],[Scope 2 Emission factor]]</f>
        <v>#DIV/0!</v>
      </c>
      <c r="AD288" s="3" t="e">
        <f>(U288-GHGFY20[[#This Row],[Scope 3 Emission factor]])/GHGFY20[[#This Row],[Scope 3 Emission factor]]</f>
        <v>#DIV/0!</v>
      </c>
      <c r="AH288" t="b">
        <f>GHGFY20[[#This Row],[Reporting Alias]]=GHGFY207[[#This Row],[Reporting Alias]]</f>
        <v>1</v>
      </c>
    </row>
    <row r="289" spans="1:34">
      <c r="A289" t="s">
        <v>1067</v>
      </c>
      <c r="B289" t="s">
        <v>4249</v>
      </c>
      <c r="C289" t="s">
        <v>4412</v>
      </c>
      <c r="D289" t="s">
        <v>1189</v>
      </c>
      <c r="E289" t="s">
        <v>673</v>
      </c>
      <c r="F289">
        <v>1E-3</v>
      </c>
      <c r="G289" t="s">
        <v>4413</v>
      </c>
      <c r="H289">
        <v>23.4</v>
      </c>
      <c r="I289" t="s">
        <v>4431</v>
      </c>
      <c r="J289">
        <v>0.27</v>
      </c>
      <c r="L289">
        <v>0</v>
      </c>
      <c r="M289" t="s">
        <v>4414</v>
      </c>
      <c r="N289" t="s">
        <v>4432</v>
      </c>
      <c r="P289" s="65" t="s">
        <v>4416</v>
      </c>
      <c r="S289" s="64"/>
      <c r="Y289" s="65"/>
      <c r="AB289" s="3"/>
      <c r="AC289" s="3"/>
      <c r="AD289" s="3"/>
    </row>
    <row r="290" spans="1:34" ht="69">
      <c r="A290" t="s">
        <v>1045</v>
      </c>
      <c r="B290" t="s">
        <v>4249</v>
      </c>
      <c r="C290" t="s">
        <v>4412</v>
      </c>
      <c r="D290" t="s">
        <v>1193</v>
      </c>
      <c r="E290" t="s">
        <v>673</v>
      </c>
      <c r="F290">
        <v>1E-3</v>
      </c>
      <c r="G290" t="s">
        <v>4413</v>
      </c>
      <c r="H290">
        <v>38.6</v>
      </c>
      <c r="I290" t="s">
        <v>1140</v>
      </c>
      <c r="J290">
        <v>70.2</v>
      </c>
      <c r="L290">
        <v>3.6</v>
      </c>
      <c r="M290" t="s">
        <v>4414</v>
      </c>
      <c r="N290" t="s">
        <v>4415</v>
      </c>
      <c r="P290" s="65" t="s">
        <v>4416</v>
      </c>
      <c r="S290" s="64">
        <f t="shared" si="5"/>
        <v>70.2</v>
      </c>
      <c r="U290" s="5">
        <v>69.900000000000006</v>
      </c>
      <c r="V290" s="5">
        <v>0.1</v>
      </c>
      <c r="W290" s="5">
        <v>0.2</v>
      </c>
      <c r="X290" s="56" t="str">
        <f>GHGFY20[[#This Row],[Data Source (scope 1)]]</f>
        <v>NGER (Measurement) Determination 2008 2019versions pg 318 - Part 3 Fuel combustion - 40</v>
      </c>
      <c r="Y290" s="65" t="s">
        <v>4416</v>
      </c>
      <c r="AB290" s="3"/>
      <c r="AC290" s="3" t="e">
        <f>(T290-GHGFY20[[#This Row],[Scope 2 Emission factor]])/GHGFY20[[#This Row],[Scope 2 Emission factor]]</f>
        <v>#DIV/0!</v>
      </c>
      <c r="AD290" s="3">
        <f>(U290-GHGFY20[[#This Row],[Scope 3 Emission factor]])/GHGFY20[[#This Row],[Scope 3 Emission factor]]</f>
        <v>18.416666666666668</v>
      </c>
      <c r="AH290" t="b">
        <f>GHGFY20[[#This Row],[Reporting Alias]]=GHGFY207[[#This Row],[Reporting Alias]]</f>
        <v>0</v>
      </c>
    </row>
    <row r="291" spans="1:34" ht="69">
      <c r="A291" t="s">
        <v>1047</v>
      </c>
      <c r="B291" t="s">
        <v>4249</v>
      </c>
      <c r="C291" t="s">
        <v>4412</v>
      </c>
      <c r="D291" t="s">
        <v>1193</v>
      </c>
      <c r="E291" t="s">
        <v>673</v>
      </c>
      <c r="F291">
        <v>1E-3</v>
      </c>
      <c r="G291" t="s">
        <v>4413</v>
      </c>
      <c r="H291">
        <v>34.200000000000003</v>
      </c>
      <c r="I291" t="s">
        <v>1140</v>
      </c>
      <c r="J291">
        <v>67.800000000000011</v>
      </c>
      <c r="L291">
        <v>3.6</v>
      </c>
      <c r="M291" t="s">
        <v>4414</v>
      </c>
      <c r="N291" t="s">
        <v>4419</v>
      </c>
      <c r="P291" s="65" t="s">
        <v>4416</v>
      </c>
      <c r="S291" s="64">
        <f t="shared" si="5"/>
        <v>67.800000000000011</v>
      </c>
      <c r="U291">
        <v>67.400000000000006</v>
      </c>
      <c r="V291">
        <v>0.2</v>
      </c>
      <c r="W291">
        <v>0.2</v>
      </c>
      <c r="X291" s="56" t="str">
        <f>GHGFY20[[#This Row],[Data Source (scope 1)]]</f>
        <v>NGER (Measurement) Determination 2008 2019versions pg 318 - Part 3 Fuel combustion - 35</v>
      </c>
      <c r="Y291" s="65" t="s">
        <v>4416</v>
      </c>
      <c r="AB291" s="3"/>
      <c r="AC291" s="3" t="e">
        <f>(T291-GHGFY20[[#This Row],[Scope 2 Emission factor]])/GHGFY20[[#This Row],[Scope 2 Emission factor]]</f>
        <v>#DIV/0!</v>
      </c>
      <c r="AD291" s="3">
        <f>(U291-GHGFY20[[#This Row],[Scope 3 Emission factor]])/GHGFY20[[#This Row],[Scope 3 Emission factor]]</f>
        <v>17.722222222222221</v>
      </c>
      <c r="AH291" t="b">
        <f>GHGFY20[[#This Row],[Reporting Alias]]=GHGFY207[[#This Row],[Reporting Alias]]</f>
        <v>0</v>
      </c>
    </row>
    <row r="292" spans="1:34" ht="69">
      <c r="A292" t="s">
        <v>1048</v>
      </c>
      <c r="B292" t="s">
        <v>4249</v>
      </c>
      <c r="C292" t="s">
        <v>4412</v>
      </c>
      <c r="D292" t="s">
        <v>1213</v>
      </c>
      <c r="E292" t="s">
        <v>673</v>
      </c>
      <c r="F292">
        <v>1E-3</v>
      </c>
      <c r="G292" t="s">
        <v>4413</v>
      </c>
      <c r="H292">
        <v>38.6</v>
      </c>
      <c r="I292" t="s">
        <v>1140</v>
      </c>
      <c r="J292">
        <v>70.2</v>
      </c>
      <c r="L292">
        <v>3.6</v>
      </c>
      <c r="M292" t="s">
        <v>4414</v>
      </c>
      <c r="N292" t="s">
        <v>4415</v>
      </c>
      <c r="P292" s="65" t="s">
        <v>4416</v>
      </c>
      <c r="S292" s="64">
        <f t="shared" si="5"/>
        <v>70.2</v>
      </c>
      <c r="U292" s="5">
        <v>69.900000000000006</v>
      </c>
      <c r="V292" s="5">
        <v>0.1</v>
      </c>
      <c r="W292" s="5">
        <v>0.2</v>
      </c>
      <c r="X292" s="56" t="str">
        <f>GHGFY20[[#This Row],[Data Source (scope 1)]]</f>
        <v>NGER (Measurement) Determination 2008 2019versions pg 318 - Part 3 Fuel combustion - 40</v>
      </c>
      <c r="Y292" s="65" t="s">
        <v>4416</v>
      </c>
      <c r="AB292" s="3"/>
      <c r="AC292" s="3" t="e">
        <f>(T292-GHGFY20[[#This Row],[Scope 2 Emission factor]])/GHGFY20[[#This Row],[Scope 2 Emission factor]]</f>
        <v>#DIV/0!</v>
      </c>
      <c r="AD292" s="3">
        <f>(U292-GHGFY20[[#This Row],[Scope 3 Emission factor]])/GHGFY20[[#This Row],[Scope 3 Emission factor]]</f>
        <v>18.416666666666668</v>
      </c>
      <c r="AH292" t="b">
        <f>GHGFY20[[#This Row],[Reporting Alias]]=GHGFY207[[#This Row],[Reporting Alias]]</f>
        <v>0</v>
      </c>
    </row>
    <row r="293" spans="1:34" ht="69">
      <c r="A293" t="s">
        <v>1051</v>
      </c>
      <c r="B293" t="s">
        <v>4249</v>
      </c>
      <c r="C293" t="s">
        <v>4412</v>
      </c>
      <c r="D293" t="s">
        <v>1189</v>
      </c>
      <c r="E293" t="s">
        <v>673</v>
      </c>
      <c r="F293">
        <v>1E-3</v>
      </c>
      <c r="G293" t="s">
        <v>4413</v>
      </c>
      <c r="H293">
        <v>38.6</v>
      </c>
      <c r="I293" t="s">
        <v>1140</v>
      </c>
      <c r="J293">
        <v>70.2</v>
      </c>
      <c r="L293">
        <v>3.6</v>
      </c>
      <c r="M293" t="s">
        <v>4414</v>
      </c>
      <c r="N293" t="s">
        <v>4415</v>
      </c>
      <c r="P293" s="65" t="s">
        <v>4416</v>
      </c>
      <c r="S293" s="64">
        <f t="shared" si="5"/>
        <v>70.2</v>
      </c>
      <c r="U293" s="5">
        <v>69.900000000000006</v>
      </c>
      <c r="V293" s="5">
        <v>0.1</v>
      </c>
      <c r="W293" s="5">
        <v>0.2</v>
      </c>
      <c r="X293" s="56" t="str">
        <f>GHGFY20[[#This Row],[Data Source (scope 1)]]</f>
        <v>NGER (Measurement) Determination 2008 2019versions pg 318 - Part 3 Fuel combustion - 40</v>
      </c>
      <c r="Y293" s="65" t="s">
        <v>4416</v>
      </c>
      <c r="AB293" s="3"/>
      <c r="AC293" s="3" t="e">
        <f>(T293-GHGFY20[[#This Row],[Scope 2 Emission factor]])/GHGFY20[[#This Row],[Scope 2 Emission factor]]</f>
        <v>#DIV/0!</v>
      </c>
      <c r="AD293" s="3">
        <f>(U293-GHGFY20[[#This Row],[Scope 3 Emission factor]])/GHGFY20[[#This Row],[Scope 3 Emission factor]]</f>
        <v>18.416666666666668</v>
      </c>
      <c r="AH293" t="b">
        <f>GHGFY20[[#This Row],[Reporting Alias]]=GHGFY207[[#This Row],[Reporting Alias]]</f>
        <v>0</v>
      </c>
    </row>
    <row r="294" spans="1:34" ht="69">
      <c r="A294" t="s">
        <v>1050</v>
      </c>
      <c r="B294" t="s">
        <v>4249</v>
      </c>
      <c r="C294" t="s">
        <v>4412</v>
      </c>
      <c r="D294" t="s">
        <v>1213</v>
      </c>
      <c r="E294" t="s">
        <v>673</v>
      </c>
      <c r="F294">
        <v>1E-3</v>
      </c>
      <c r="G294" t="s">
        <v>4413</v>
      </c>
      <c r="H294">
        <v>34.200000000000003</v>
      </c>
      <c r="I294" t="s">
        <v>1140</v>
      </c>
      <c r="J294">
        <v>67.800000000000011</v>
      </c>
      <c r="L294">
        <v>3.6</v>
      </c>
      <c r="M294" t="s">
        <v>4414</v>
      </c>
      <c r="N294" t="s">
        <v>4419</v>
      </c>
      <c r="P294" s="65" t="s">
        <v>4416</v>
      </c>
      <c r="S294" s="64"/>
      <c r="U294" s="5"/>
      <c r="V294" s="5"/>
      <c r="W294" s="5"/>
      <c r="X294" s="56" t="str">
        <f>GHGFY20[[#This Row],[Data Source (scope 1)]]</f>
        <v>NGER (Measurement) Determination 2008 2019versions pg 318 - Part 3 Fuel combustion - 35</v>
      </c>
      <c r="Y294" s="65"/>
      <c r="AB294" s="3"/>
      <c r="AC294" s="3"/>
      <c r="AD294" s="3"/>
      <c r="AH294" t="b">
        <f>GHGFY20[[#This Row],[Reporting Alias]]=GHGFY207[[#This Row],[Reporting Alias]]</f>
        <v>0</v>
      </c>
    </row>
    <row r="295" spans="1:34" ht="69">
      <c r="A295" t="s">
        <v>1053</v>
      </c>
      <c r="B295" t="s">
        <v>4249</v>
      </c>
      <c r="C295" t="s">
        <v>4412</v>
      </c>
      <c r="D295" t="s">
        <v>1189</v>
      </c>
      <c r="E295" t="s">
        <v>673</v>
      </c>
      <c r="F295">
        <v>1E-3</v>
      </c>
      <c r="G295" t="s">
        <v>4413</v>
      </c>
      <c r="H295">
        <v>34.200000000000003</v>
      </c>
      <c r="I295" t="s">
        <v>1140</v>
      </c>
      <c r="J295">
        <v>67.800000000000011</v>
      </c>
      <c r="L295">
        <v>3.6</v>
      </c>
      <c r="M295" t="s">
        <v>4414</v>
      </c>
      <c r="N295" t="s">
        <v>4419</v>
      </c>
      <c r="P295" s="65" t="s">
        <v>4416</v>
      </c>
      <c r="S295" s="64">
        <f t="shared" si="5"/>
        <v>67.800000000000011</v>
      </c>
      <c r="U295">
        <v>67.400000000000006</v>
      </c>
      <c r="V295">
        <v>0.2</v>
      </c>
      <c r="W295">
        <v>0.2</v>
      </c>
      <c r="X295" s="56" t="str">
        <f>GHGFY20[[#This Row],[Data Source (scope 1)]]</f>
        <v>NGER (Measurement) Determination 2008 2019versions pg 318 - Part 3 Fuel combustion - 35</v>
      </c>
      <c r="Y295" s="65" t="s">
        <v>4416</v>
      </c>
      <c r="AB295" s="3"/>
      <c r="AC295" s="3" t="e">
        <f>(T295-GHGFY20[[#This Row],[Scope 2 Emission factor]])/GHGFY20[[#This Row],[Scope 2 Emission factor]]</f>
        <v>#DIV/0!</v>
      </c>
      <c r="AD295" s="3">
        <f>(U295-GHGFY20[[#This Row],[Scope 3 Emission factor]])/GHGFY20[[#This Row],[Scope 3 Emission factor]]</f>
        <v>17.722222222222221</v>
      </c>
      <c r="AH295" t="b">
        <f>GHGFY20[[#This Row],[Reporting Alias]]=GHGFY207[[#This Row],[Reporting Alias]]</f>
        <v>0</v>
      </c>
    </row>
    <row r="296" spans="1:34" ht="69">
      <c r="A296" t="s">
        <v>1054</v>
      </c>
      <c r="B296" t="s">
        <v>4249</v>
      </c>
      <c r="C296" t="s">
        <v>4412</v>
      </c>
      <c r="D296" t="s">
        <v>1216</v>
      </c>
      <c r="E296" t="s">
        <v>673</v>
      </c>
      <c r="F296">
        <v>1E-3</v>
      </c>
      <c r="G296" t="s">
        <v>4413</v>
      </c>
      <c r="H296">
        <v>38.6</v>
      </c>
      <c r="I296" t="s">
        <v>1140</v>
      </c>
      <c r="J296">
        <v>70.2</v>
      </c>
      <c r="L296">
        <v>3.6</v>
      </c>
      <c r="M296" t="s">
        <v>4414</v>
      </c>
      <c r="N296" t="s">
        <v>4415</v>
      </c>
      <c r="P296" s="65" t="s">
        <v>4416</v>
      </c>
      <c r="S296" s="64">
        <f t="shared" si="5"/>
        <v>70.2</v>
      </c>
      <c r="U296" s="5">
        <v>69.900000000000006</v>
      </c>
      <c r="V296" s="5">
        <v>0.1</v>
      </c>
      <c r="W296" s="5">
        <v>0.2</v>
      </c>
      <c r="X296" s="56" t="str">
        <f>GHGFY20[[#This Row],[Data Source (scope 1)]]</f>
        <v>NGER (Measurement) Determination 2008 2019versions pg 318 - Part 3 Fuel combustion - 40</v>
      </c>
      <c r="Y296" s="65" t="s">
        <v>4416</v>
      </c>
      <c r="AB296" s="3"/>
      <c r="AC296" s="3" t="e">
        <f>(T296-GHGFY20[[#This Row],[Scope 2 Emission factor]])/GHGFY20[[#This Row],[Scope 2 Emission factor]]</f>
        <v>#DIV/0!</v>
      </c>
      <c r="AD296" s="3">
        <f>(U296-GHGFY20[[#This Row],[Scope 3 Emission factor]])/GHGFY20[[#This Row],[Scope 3 Emission factor]]</f>
        <v>18.416666666666668</v>
      </c>
      <c r="AH296" t="b">
        <f>GHGFY20[[#This Row],[Reporting Alias]]=GHGFY207[[#This Row],[Reporting Alias]]</f>
        <v>0</v>
      </c>
    </row>
    <row r="297" spans="1:34" ht="69">
      <c r="A297" t="s">
        <v>1056</v>
      </c>
      <c r="B297" t="s">
        <v>4249</v>
      </c>
      <c r="C297" t="s">
        <v>4412</v>
      </c>
      <c r="D297" t="s">
        <v>1216</v>
      </c>
      <c r="E297" t="s">
        <v>673</v>
      </c>
      <c r="F297">
        <v>1E-3</v>
      </c>
      <c r="G297" t="s">
        <v>4413</v>
      </c>
      <c r="H297">
        <v>34.200000000000003</v>
      </c>
      <c r="I297" t="s">
        <v>1140</v>
      </c>
      <c r="J297">
        <v>67.800000000000011</v>
      </c>
      <c r="L297">
        <v>3.6</v>
      </c>
      <c r="M297" t="s">
        <v>4414</v>
      </c>
      <c r="N297" t="s">
        <v>4419</v>
      </c>
      <c r="P297" s="65" t="s">
        <v>4416</v>
      </c>
      <c r="S297" s="64">
        <f t="shared" si="5"/>
        <v>67.800000000000011</v>
      </c>
      <c r="U297">
        <v>67.400000000000006</v>
      </c>
      <c r="V297">
        <v>0.2</v>
      </c>
      <c r="W297">
        <v>0.2</v>
      </c>
      <c r="X297" s="56" t="str">
        <f>GHGFY20[[#This Row],[Data Source (scope 1)]]</f>
        <v>NGER (Measurement) Determination 2008 2019versions pg 318 - Part 3 Fuel combustion - 35</v>
      </c>
      <c r="Y297" s="65" t="s">
        <v>4416</v>
      </c>
      <c r="AB297" s="3"/>
      <c r="AC297" s="3" t="e">
        <f>(T297-GHGFY20[[#This Row],[Scope 2 Emission factor]])/GHGFY20[[#This Row],[Scope 2 Emission factor]]</f>
        <v>#DIV/0!</v>
      </c>
      <c r="AD297" s="3">
        <f>(U297-GHGFY20[[#This Row],[Scope 3 Emission factor]])/GHGFY20[[#This Row],[Scope 3 Emission factor]]</f>
        <v>17.722222222222221</v>
      </c>
      <c r="AH297" t="b">
        <f>GHGFY20[[#This Row],[Reporting Alias]]=GHGFY207[[#This Row],[Reporting Alias]]</f>
        <v>0</v>
      </c>
    </row>
    <row r="298" spans="1:34">
      <c r="S298" s="64"/>
      <c r="Y298" s="65"/>
      <c r="AB298" s="3"/>
      <c r="AC298" s="3"/>
      <c r="AD298" s="3"/>
    </row>
    <row r="299" spans="1:34" ht="69">
      <c r="A299" t="s">
        <v>4250</v>
      </c>
      <c r="B299" t="s">
        <v>4249</v>
      </c>
      <c r="C299" t="s">
        <v>4424</v>
      </c>
      <c r="D299" t="s">
        <v>1190</v>
      </c>
      <c r="E299" t="s">
        <v>673</v>
      </c>
      <c r="F299">
        <v>1E-3</v>
      </c>
      <c r="G299" t="s">
        <v>4413</v>
      </c>
      <c r="H299">
        <v>34.200000000000003</v>
      </c>
      <c r="I299" t="s">
        <v>1140</v>
      </c>
      <c r="J299">
        <v>69.7</v>
      </c>
      <c r="L299">
        <v>3.6</v>
      </c>
      <c r="M299" t="s">
        <v>4414</v>
      </c>
      <c r="N299" t="s">
        <v>4426</v>
      </c>
      <c r="P299" t="s">
        <v>4416</v>
      </c>
      <c r="S299" s="64"/>
      <c r="X299" s="56" t="str">
        <f>GHGFY20[[#This Row],[Data Source (scope 1)]]</f>
        <v>NGER (Measurement) Determination 2008 2019versions pg 320 - Part 4 Fuel combustion - 53</v>
      </c>
      <c r="Y299" s="65"/>
      <c r="AB299" s="3"/>
      <c r="AC299" s="3"/>
      <c r="AD299" s="3"/>
      <c r="AH299" t="b">
        <f>GHGFY20[[#This Row],[Reporting Alias]]=GHGFY207[[#This Row],[Reporting Alias]]</f>
        <v>0</v>
      </c>
    </row>
    <row r="300" spans="1:34" ht="69">
      <c r="A300" t="s">
        <v>4251</v>
      </c>
      <c r="B300" t="s">
        <v>4249</v>
      </c>
      <c r="C300" t="s">
        <v>4424</v>
      </c>
      <c r="D300" t="s">
        <v>1192</v>
      </c>
      <c r="E300" t="s">
        <v>673</v>
      </c>
      <c r="F300">
        <v>1E-3</v>
      </c>
      <c r="G300" t="s">
        <v>4413</v>
      </c>
      <c r="H300">
        <v>34.200000000000003</v>
      </c>
      <c r="I300" t="s">
        <v>1140</v>
      </c>
      <c r="J300">
        <v>69.7</v>
      </c>
      <c r="L300">
        <v>3.6</v>
      </c>
      <c r="M300" t="s">
        <v>4414</v>
      </c>
      <c r="N300" t="s">
        <v>4426</v>
      </c>
      <c r="P300" t="s">
        <v>4416</v>
      </c>
      <c r="S300" s="64"/>
      <c r="X300" s="56" t="str">
        <f>GHGFY20[[#This Row],[Data Source (scope 1)]]</f>
        <v>NGER (Measurement) Determination 2008 2019versions pg 320 - Part 4 Fuel combustion - 53</v>
      </c>
      <c r="Y300" s="65"/>
      <c r="AB300" s="3"/>
      <c r="AC300" s="3"/>
      <c r="AD300" s="3"/>
      <c r="AH300" t="b">
        <f>GHGFY20[[#This Row],[Reporting Alias]]=GHGFY207[[#This Row],[Reporting Alias]]</f>
        <v>0</v>
      </c>
    </row>
    <row r="301" spans="1:34" ht="69">
      <c r="A301" t="s">
        <v>4252</v>
      </c>
      <c r="B301" t="s">
        <v>4249</v>
      </c>
      <c r="C301" t="s">
        <v>4424</v>
      </c>
      <c r="D301" t="s">
        <v>1208</v>
      </c>
      <c r="E301" t="s">
        <v>673</v>
      </c>
      <c r="F301">
        <v>1E-3</v>
      </c>
      <c r="G301" t="s">
        <v>4413</v>
      </c>
      <c r="H301">
        <v>34.200000000000003</v>
      </c>
      <c r="I301" t="s">
        <v>1140</v>
      </c>
      <c r="J301">
        <v>69.7</v>
      </c>
      <c r="L301">
        <v>3.6</v>
      </c>
      <c r="M301" t="s">
        <v>4414</v>
      </c>
      <c r="N301" t="s">
        <v>4426</v>
      </c>
      <c r="P301" t="s">
        <v>4416</v>
      </c>
      <c r="S301" s="64"/>
      <c r="X301" s="56" t="str">
        <f>GHGFY20[[#This Row],[Data Source (scope 1)]]</f>
        <v>NGER (Measurement) Determination 2008 2019versions pg 320 - Part 4 Fuel combustion - 53</v>
      </c>
      <c r="Y301" s="65"/>
      <c r="AB301" s="3"/>
      <c r="AC301" s="3"/>
      <c r="AD301" s="3"/>
      <c r="AH301" t="b">
        <f>GHGFY20[[#This Row],[Reporting Alias]]=GHGFY207[[#This Row],[Reporting Alias]]</f>
        <v>0</v>
      </c>
    </row>
    <row r="302" spans="1:34" ht="69">
      <c r="A302" t="s">
        <v>4253</v>
      </c>
      <c r="B302" t="s">
        <v>4249</v>
      </c>
      <c r="C302" t="s">
        <v>4424</v>
      </c>
      <c r="D302" t="s">
        <v>1210</v>
      </c>
      <c r="E302" t="s">
        <v>673</v>
      </c>
      <c r="F302">
        <v>1E-3</v>
      </c>
      <c r="G302" t="s">
        <v>4413</v>
      </c>
      <c r="H302">
        <v>34.200000000000003</v>
      </c>
      <c r="I302" t="s">
        <v>1140</v>
      </c>
      <c r="J302">
        <v>69.7</v>
      </c>
      <c r="L302">
        <v>3.6</v>
      </c>
      <c r="M302" t="s">
        <v>4414</v>
      </c>
      <c r="N302" t="s">
        <v>4426</v>
      </c>
      <c r="P302" t="s">
        <v>4416</v>
      </c>
      <c r="S302" s="64"/>
      <c r="X302" s="56" t="str">
        <f>GHGFY20[[#This Row],[Data Source (scope 1)]]</f>
        <v>NGER (Measurement) Determination 2008 2019versions pg 320 - Part 4 Fuel combustion - 53</v>
      </c>
      <c r="Y302" s="65"/>
      <c r="AB302" s="3"/>
      <c r="AC302" s="3"/>
      <c r="AD302" s="3"/>
      <c r="AH302" t="b">
        <f>GHGFY20[[#This Row],[Reporting Alias]]=GHGFY207[[#This Row],[Reporting Alias]]</f>
        <v>0</v>
      </c>
    </row>
    <row r="303" spans="1:34" ht="69">
      <c r="A303" t="s">
        <v>4254</v>
      </c>
      <c r="B303" t="s">
        <v>4249</v>
      </c>
      <c r="C303" t="s">
        <v>4424</v>
      </c>
      <c r="D303" t="s">
        <v>1193</v>
      </c>
      <c r="E303" t="s">
        <v>673</v>
      </c>
      <c r="F303">
        <v>1E-3</v>
      </c>
      <c r="G303" t="s">
        <v>4413</v>
      </c>
      <c r="H303">
        <v>34.200000000000003</v>
      </c>
      <c r="I303" t="s">
        <v>1140</v>
      </c>
      <c r="J303">
        <v>69.7</v>
      </c>
      <c r="L303">
        <v>3.6</v>
      </c>
      <c r="M303" t="s">
        <v>4414</v>
      </c>
      <c r="N303" t="s">
        <v>4426</v>
      </c>
      <c r="P303" t="s">
        <v>4416</v>
      </c>
      <c r="S303" s="64"/>
      <c r="X303" s="56" t="str">
        <f>GHGFY20[[#This Row],[Data Source (scope 1)]]</f>
        <v>NGER (Measurement) Determination 2008 2019versions pg 320 - Part 4 Fuel combustion - 53</v>
      </c>
      <c r="Y303" s="65"/>
      <c r="AB303" s="3"/>
      <c r="AC303" s="3"/>
      <c r="AD303" s="3"/>
      <c r="AH303" t="b">
        <f>GHGFY20[[#This Row],[Reporting Alias]]=GHGFY207[[#This Row],[Reporting Alias]]</f>
        <v>0</v>
      </c>
    </row>
    <row r="304" spans="1:34" ht="69">
      <c r="A304" t="s">
        <v>4255</v>
      </c>
      <c r="B304" t="s">
        <v>4249</v>
      </c>
      <c r="C304" t="s">
        <v>4424</v>
      </c>
      <c r="D304" t="s">
        <v>1213</v>
      </c>
      <c r="E304" t="s">
        <v>673</v>
      </c>
      <c r="F304">
        <v>1E-3</v>
      </c>
      <c r="G304" t="s">
        <v>4413</v>
      </c>
      <c r="H304">
        <v>34.200000000000003</v>
      </c>
      <c r="I304" t="s">
        <v>1140</v>
      </c>
      <c r="J304">
        <v>69.7</v>
      </c>
      <c r="L304">
        <v>3.6</v>
      </c>
      <c r="M304" t="s">
        <v>4414</v>
      </c>
      <c r="N304" t="s">
        <v>4426</v>
      </c>
      <c r="P304" t="s">
        <v>4416</v>
      </c>
      <c r="S304" s="64"/>
      <c r="X304" s="56" t="str">
        <f>GHGFY20[[#This Row],[Data Source (scope 1)]]</f>
        <v>NGER (Measurement) Determination 2008 2019versions pg 320 - Part 4 Fuel combustion - 53</v>
      </c>
      <c r="Y304" s="65"/>
      <c r="AB304" s="3"/>
      <c r="AC304" s="3"/>
      <c r="AD304" s="3"/>
      <c r="AH304" t="b">
        <f>GHGFY20[[#This Row],[Reporting Alias]]=GHGFY207[[#This Row],[Reporting Alias]]</f>
        <v>0</v>
      </c>
    </row>
    <row r="305" spans="1:34" ht="69">
      <c r="A305" t="s">
        <v>4256</v>
      </c>
      <c r="B305" t="s">
        <v>4249</v>
      </c>
      <c r="C305" t="s">
        <v>4424</v>
      </c>
      <c r="D305" t="s">
        <v>1189</v>
      </c>
      <c r="E305" t="s">
        <v>673</v>
      </c>
      <c r="F305">
        <v>1E-3</v>
      </c>
      <c r="G305" t="s">
        <v>4413</v>
      </c>
      <c r="H305">
        <v>34.200000000000003</v>
      </c>
      <c r="I305" t="s">
        <v>1140</v>
      </c>
      <c r="J305">
        <v>69.7</v>
      </c>
      <c r="L305">
        <v>3.6</v>
      </c>
      <c r="M305" t="s">
        <v>4414</v>
      </c>
      <c r="N305" t="s">
        <v>4426</v>
      </c>
      <c r="P305" t="s">
        <v>4416</v>
      </c>
      <c r="S305" s="64"/>
      <c r="X305" s="56" t="str">
        <f>GHGFY20[[#This Row],[Data Source (scope 1)]]</f>
        <v>NGER (Measurement) Determination 2008 2019versions pg 320 - Part 4 Fuel combustion - 53</v>
      </c>
      <c r="Y305" s="65"/>
      <c r="AB305" s="3"/>
      <c r="AC305" s="3"/>
      <c r="AD305" s="3"/>
      <c r="AH305" t="b">
        <f>GHGFY20[[#This Row],[Reporting Alias]]=GHGFY207[[#This Row],[Reporting Alias]]</f>
        <v>0</v>
      </c>
    </row>
    <row r="306" spans="1:34" ht="69">
      <c r="A306" t="s">
        <v>4257</v>
      </c>
      <c r="B306" t="s">
        <v>4249</v>
      </c>
      <c r="C306" t="s">
        <v>4424</v>
      </c>
      <c r="D306" t="s">
        <v>1216</v>
      </c>
      <c r="E306" t="s">
        <v>673</v>
      </c>
      <c r="F306">
        <v>1E-3</v>
      </c>
      <c r="G306" t="s">
        <v>4413</v>
      </c>
      <c r="H306">
        <v>34.200000000000003</v>
      </c>
      <c r="I306" t="s">
        <v>1140</v>
      </c>
      <c r="J306">
        <v>69.7</v>
      </c>
      <c r="L306">
        <v>3.6</v>
      </c>
      <c r="M306" t="s">
        <v>4414</v>
      </c>
      <c r="N306" t="s">
        <v>4426</v>
      </c>
      <c r="P306" t="s">
        <v>4416</v>
      </c>
      <c r="S306" s="64"/>
      <c r="X306" s="56" t="str">
        <f>GHGFY20[[#This Row],[Data Source (scope 1)]]</f>
        <v>NGER (Measurement) Determination 2008 2019versions pg 320 - Part 4 Fuel combustion - 53</v>
      </c>
      <c r="Y306" s="65"/>
      <c r="AB306" s="3"/>
      <c r="AC306" s="3"/>
      <c r="AD306" s="3"/>
      <c r="AH306" t="b">
        <f>GHGFY20[[#This Row],[Reporting Alias]]=GHGFY207[[#This Row],[Reporting Alias]]</f>
        <v>0</v>
      </c>
    </row>
    <row r="307" spans="1:34" ht="69">
      <c r="A307" t="s">
        <v>963</v>
      </c>
      <c r="B307" t="s">
        <v>1235</v>
      </c>
      <c r="C307" t="s">
        <v>4412</v>
      </c>
      <c r="D307" t="s">
        <v>1190</v>
      </c>
      <c r="E307" t="s">
        <v>673</v>
      </c>
      <c r="F307">
        <v>1E-3</v>
      </c>
      <c r="G307" t="s">
        <v>4413</v>
      </c>
      <c r="H307">
        <v>38.6</v>
      </c>
      <c r="I307" t="s">
        <v>1140</v>
      </c>
      <c r="J307">
        <v>70.2</v>
      </c>
      <c r="L307">
        <v>3.6</v>
      </c>
      <c r="M307" t="s">
        <v>4414</v>
      </c>
      <c r="N307" t="s">
        <v>4415</v>
      </c>
      <c r="P307" s="65" t="s">
        <v>4416</v>
      </c>
      <c r="R307" t="s">
        <v>4433</v>
      </c>
      <c r="S307" s="64">
        <f t="shared" ref="S307" si="6">SUM(U307:W307)</f>
        <v>70.2</v>
      </c>
      <c r="U307" s="5">
        <v>69.900000000000006</v>
      </c>
      <c r="V307" s="5">
        <v>0.1</v>
      </c>
      <c r="W307" s="5">
        <v>0.2</v>
      </c>
      <c r="X307" s="56" t="str">
        <f>GHGFY20[[#This Row],[Data Source (scope 1)]]</f>
        <v>NGER (Measurement) Determination 2008 2019versions pg 318 - Part 3 Fuel combustion - 40</v>
      </c>
      <c r="Y307" s="65" t="s">
        <v>4416</v>
      </c>
      <c r="AB307" s="3">
        <f>(S307-GHGFY20[[#This Row],[Scope 1 Emission factor]])/GHGFY20[[#This Row],[Scope 1 Emission factor]]</f>
        <v>0</v>
      </c>
      <c r="AC307" s="3" t="e">
        <f>(T307-GHGFY20[[#This Row],[Scope 2 Emission factor]])/GHGFY20[[#This Row],[Scope 2 Emission factor]]</f>
        <v>#DIV/0!</v>
      </c>
      <c r="AD307" s="3">
        <f>(U307-GHGFY20[[#This Row],[Scope 3 Emission factor]])/GHGFY20[[#This Row],[Scope 3 Emission factor]]</f>
        <v>18.416666666666668</v>
      </c>
      <c r="AH307" t="b">
        <f>GHGFY20[[#This Row],[Reporting Alias]]=GHGFY207[[#This Row],[Reporting Alias]]</f>
        <v>0</v>
      </c>
    </row>
    <row r="308" spans="1:34" ht="69">
      <c r="A308" t="s">
        <v>964</v>
      </c>
      <c r="B308" t="s">
        <v>1235</v>
      </c>
      <c r="C308" t="s">
        <v>4412</v>
      </c>
      <c r="D308" t="s">
        <v>1192</v>
      </c>
      <c r="E308" t="s">
        <v>673</v>
      </c>
      <c r="F308">
        <v>1E-3</v>
      </c>
      <c r="G308" t="s">
        <v>4413</v>
      </c>
      <c r="H308">
        <v>38.6</v>
      </c>
      <c r="I308" t="s">
        <v>1140</v>
      </c>
      <c r="J308">
        <v>70.2</v>
      </c>
      <c r="L308">
        <v>3.6</v>
      </c>
      <c r="M308" t="s">
        <v>4414</v>
      </c>
      <c r="N308" t="s">
        <v>4415</v>
      </c>
      <c r="P308" s="65" t="s">
        <v>4416</v>
      </c>
      <c r="S308" s="64">
        <f t="shared" ref="S308:S343" si="7">SUM(U308:W308)</f>
        <v>70.2</v>
      </c>
      <c r="U308" s="5">
        <v>69.900000000000006</v>
      </c>
      <c r="V308" s="5">
        <v>0.1</v>
      </c>
      <c r="W308" s="5">
        <v>0.2</v>
      </c>
      <c r="X308" s="56" t="str">
        <f>GHGFY20[[#This Row],[Data Source (scope 1)]]</f>
        <v>NGER (Measurement) Determination 2008 2019versions pg 318 - Part 3 Fuel combustion - 40</v>
      </c>
      <c r="Y308" s="65" t="s">
        <v>4416</v>
      </c>
      <c r="AB308" s="3">
        <f>(S308-GHGFY20[[#This Row],[Scope 1 Emission factor]])/GHGFY20[[#This Row],[Scope 1 Emission factor]]</f>
        <v>0</v>
      </c>
      <c r="AC308" s="3" t="e">
        <f>(T308-GHGFY20[[#This Row],[Scope 2 Emission factor]])/GHGFY20[[#This Row],[Scope 2 Emission factor]]</f>
        <v>#DIV/0!</v>
      </c>
      <c r="AD308" s="3">
        <f>(U308-GHGFY20[[#This Row],[Scope 3 Emission factor]])/GHGFY20[[#This Row],[Scope 3 Emission factor]]</f>
        <v>18.416666666666668</v>
      </c>
      <c r="AH308" t="b">
        <f>GHGFY20[[#This Row],[Reporting Alias]]=GHGFY207[[#This Row],[Reporting Alias]]</f>
        <v>0</v>
      </c>
    </row>
    <row r="309" spans="1:34" ht="69">
      <c r="A309" t="s">
        <v>968</v>
      </c>
      <c r="B309" t="s">
        <v>1235</v>
      </c>
      <c r="C309" t="s">
        <v>4412</v>
      </c>
      <c r="D309" t="s">
        <v>1189</v>
      </c>
      <c r="E309" t="s">
        <v>673</v>
      </c>
      <c r="F309">
        <v>1E-3</v>
      </c>
      <c r="G309" t="s">
        <v>4413</v>
      </c>
      <c r="H309">
        <v>38.6</v>
      </c>
      <c r="I309" t="s">
        <v>1140</v>
      </c>
      <c r="J309">
        <v>70.2</v>
      </c>
      <c r="L309">
        <v>3.6</v>
      </c>
      <c r="M309" t="s">
        <v>4414</v>
      </c>
      <c r="N309" t="s">
        <v>4415</v>
      </c>
      <c r="P309" s="65" t="s">
        <v>4416</v>
      </c>
      <c r="S309" s="64">
        <f t="shared" si="7"/>
        <v>70.2</v>
      </c>
      <c r="U309" s="5">
        <v>69.900000000000006</v>
      </c>
      <c r="V309" s="5">
        <v>0.1</v>
      </c>
      <c r="W309" s="5">
        <v>0.2</v>
      </c>
      <c r="X309" s="56" t="str">
        <f>GHGFY20[[#This Row],[Data Source (scope 1)]]</f>
        <v>NGER (Measurement) Determination 2008 2019versions pg 318 - Part 3 Fuel combustion - 40</v>
      </c>
      <c r="Y309" s="65" t="s">
        <v>4416</v>
      </c>
      <c r="AB309" s="3">
        <f>(S309-GHGFY20[[#This Row],[Scope 1 Emission factor]])/GHGFY20[[#This Row],[Scope 1 Emission factor]]</f>
        <v>0</v>
      </c>
      <c r="AC309" s="3" t="e">
        <f>(T309-GHGFY20[[#This Row],[Scope 2 Emission factor]])/GHGFY20[[#This Row],[Scope 2 Emission factor]]</f>
        <v>#DIV/0!</v>
      </c>
      <c r="AD309" s="3">
        <f>(U309-GHGFY20[[#This Row],[Scope 3 Emission factor]])/GHGFY20[[#This Row],[Scope 3 Emission factor]]</f>
        <v>18.416666666666668</v>
      </c>
      <c r="AH309" t="b">
        <f>GHGFY20[[#This Row],[Reporting Alias]]=GHGFY207[[#This Row],[Reporting Alias]]</f>
        <v>0</v>
      </c>
    </row>
    <row r="310" spans="1:34" ht="69">
      <c r="A310" t="s">
        <v>966</v>
      </c>
      <c r="B310" t="s">
        <v>1235</v>
      </c>
      <c r="C310" t="s">
        <v>4412</v>
      </c>
      <c r="D310" t="s">
        <v>1210</v>
      </c>
      <c r="E310" t="s">
        <v>673</v>
      </c>
      <c r="F310">
        <v>1E-3</v>
      </c>
      <c r="G310" t="s">
        <v>4413</v>
      </c>
      <c r="H310">
        <v>38.6</v>
      </c>
      <c r="I310" t="s">
        <v>1140</v>
      </c>
      <c r="J310">
        <v>70.2</v>
      </c>
      <c r="L310">
        <v>3.6</v>
      </c>
      <c r="M310" t="s">
        <v>4414</v>
      </c>
      <c r="N310" t="s">
        <v>4415</v>
      </c>
      <c r="P310" s="65" t="s">
        <v>4416</v>
      </c>
      <c r="S310" s="64">
        <f t="shared" si="7"/>
        <v>70.2</v>
      </c>
      <c r="U310" s="5">
        <v>69.900000000000006</v>
      </c>
      <c r="V310" s="5">
        <v>0.1</v>
      </c>
      <c r="W310" s="5">
        <v>0.2</v>
      </c>
      <c r="X310" s="56" t="str">
        <f>GHGFY20[[#This Row],[Data Source (scope 1)]]</f>
        <v>NGER (Measurement) Determination 2008 2019versions pg 318 - Part 3 Fuel combustion - 40</v>
      </c>
      <c r="Y310" s="65" t="s">
        <v>4416</v>
      </c>
      <c r="AB310" s="3">
        <f>(S310-GHGFY20[[#This Row],[Scope 1 Emission factor]])/GHGFY20[[#This Row],[Scope 1 Emission factor]]</f>
        <v>0</v>
      </c>
      <c r="AC310" s="3" t="e">
        <f>(T310-GHGFY20[[#This Row],[Scope 2 Emission factor]])/GHGFY20[[#This Row],[Scope 2 Emission factor]]</f>
        <v>#DIV/0!</v>
      </c>
      <c r="AD310" s="3">
        <f>(U310-GHGFY20[[#This Row],[Scope 3 Emission factor]])/GHGFY20[[#This Row],[Scope 3 Emission factor]]</f>
        <v>18.416666666666668</v>
      </c>
      <c r="AH310" t="b">
        <f>GHGFY20[[#This Row],[Reporting Alias]]=GHGFY207[[#This Row],[Reporting Alias]]</f>
        <v>0</v>
      </c>
    </row>
    <row r="311" spans="1:34" ht="69">
      <c r="A311" t="s">
        <v>969</v>
      </c>
      <c r="B311" t="s">
        <v>1235</v>
      </c>
      <c r="C311" t="s">
        <v>4412</v>
      </c>
      <c r="D311" t="s">
        <v>1216</v>
      </c>
      <c r="E311" t="s">
        <v>673</v>
      </c>
      <c r="F311">
        <v>1E-3</v>
      </c>
      <c r="G311" t="s">
        <v>4413</v>
      </c>
      <c r="H311">
        <v>38.6</v>
      </c>
      <c r="I311" t="s">
        <v>1140</v>
      </c>
      <c r="J311">
        <v>70.2</v>
      </c>
      <c r="L311">
        <v>3.6</v>
      </c>
      <c r="M311" t="s">
        <v>4414</v>
      </c>
      <c r="N311" t="s">
        <v>4415</v>
      </c>
      <c r="P311" s="65" t="s">
        <v>4416</v>
      </c>
      <c r="S311" s="64">
        <f t="shared" si="7"/>
        <v>70.2</v>
      </c>
      <c r="U311" s="5">
        <v>69.900000000000006</v>
      </c>
      <c r="V311" s="5">
        <v>0.1</v>
      </c>
      <c r="W311" s="5">
        <v>0.2</v>
      </c>
      <c r="X311" s="56" t="str">
        <f>GHGFY20[[#This Row],[Data Source (scope 1)]]</f>
        <v>NGER (Measurement) Determination 2008 2019versions pg 318 - Part 3 Fuel combustion - 40</v>
      </c>
      <c r="Y311" s="65" t="s">
        <v>4416</v>
      </c>
      <c r="AB311" s="3">
        <f>(S311-GHGFY20[[#This Row],[Scope 1 Emission factor]])/GHGFY20[[#This Row],[Scope 1 Emission factor]]</f>
        <v>0</v>
      </c>
      <c r="AC311" s="3" t="e">
        <f>(T311-GHGFY20[[#This Row],[Scope 2 Emission factor]])/GHGFY20[[#This Row],[Scope 2 Emission factor]]</f>
        <v>#DIV/0!</v>
      </c>
      <c r="AD311" s="3">
        <f>(U311-GHGFY20[[#This Row],[Scope 3 Emission factor]])/GHGFY20[[#This Row],[Scope 3 Emission factor]]</f>
        <v>18.416666666666668</v>
      </c>
      <c r="AH311" t="b">
        <f>GHGFY20[[#This Row],[Reporting Alias]]=GHGFY207[[#This Row],[Reporting Alias]]</f>
        <v>0</v>
      </c>
    </row>
    <row r="312" spans="1:34" ht="69">
      <c r="A312" t="s">
        <v>967</v>
      </c>
      <c r="B312" t="s">
        <v>1235</v>
      </c>
      <c r="C312" t="s">
        <v>4412</v>
      </c>
      <c r="D312" t="s">
        <v>1193</v>
      </c>
      <c r="E312" t="s">
        <v>673</v>
      </c>
      <c r="F312">
        <v>1E-3</v>
      </c>
      <c r="G312" t="s">
        <v>4413</v>
      </c>
      <c r="H312">
        <v>38.6</v>
      </c>
      <c r="I312" t="s">
        <v>1140</v>
      </c>
      <c r="J312">
        <v>70.2</v>
      </c>
      <c r="L312">
        <v>3.6</v>
      </c>
      <c r="M312" t="s">
        <v>4414</v>
      </c>
      <c r="N312" t="s">
        <v>4415</v>
      </c>
      <c r="P312" s="65" t="s">
        <v>4416</v>
      </c>
      <c r="S312" s="64">
        <f t="shared" si="7"/>
        <v>70.2</v>
      </c>
      <c r="U312" s="5">
        <v>69.900000000000006</v>
      </c>
      <c r="V312" s="5">
        <v>0.1</v>
      </c>
      <c r="W312" s="5">
        <v>0.2</v>
      </c>
      <c r="X312" s="56" t="str">
        <f>GHGFY20[[#This Row],[Data Source (scope 1)]]</f>
        <v>NGER (Measurement) Determination 2008 2019versions pg 318 - Part 3 Fuel combustion - 40</v>
      </c>
      <c r="Y312" s="65" t="s">
        <v>4416</v>
      </c>
      <c r="AB312" s="3">
        <f>(S312-GHGFY20[[#This Row],[Scope 1 Emission factor]])/GHGFY20[[#This Row],[Scope 1 Emission factor]]</f>
        <v>0</v>
      </c>
      <c r="AC312" s="3" t="e">
        <f>(T312-GHGFY20[[#This Row],[Scope 2 Emission factor]])/GHGFY20[[#This Row],[Scope 2 Emission factor]]</f>
        <v>#DIV/0!</v>
      </c>
      <c r="AD312" s="3">
        <f>(U312-GHGFY20[[#This Row],[Scope 3 Emission factor]])/GHGFY20[[#This Row],[Scope 3 Emission factor]]</f>
        <v>18.416666666666668</v>
      </c>
      <c r="AH312" t="b">
        <f>GHGFY20[[#This Row],[Reporting Alias]]=GHGFY207[[#This Row],[Reporting Alias]]</f>
        <v>0</v>
      </c>
    </row>
    <row r="313" spans="1:34" ht="69">
      <c r="A313" t="s">
        <v>4258</v>
      </c>
      <c r="B313" t="s">
        <v>1235</v>
      </c>
      <c r="C313" t="s">
        <v>4412</v>
      </c>
      <c r="D313" t="s">
        <v>1213</v>
      </c>
      <c r="E313" t="s">
        <v>673</v>
      </c>
      <c r="F313">
        <v>1E-3</v>
      </c>
      <c r="G313" t="s">
        <v>4413</v>
      </c>
      <c r="H313">
        <v>38.6</v>
      </c>
      <c r="I313" t="s">
        <v>1140</v>
      </c>
      <c r="J313">
        <v>70.2</v>
      </c>
      <c r="L313">
        <v>3.6</v>
      </c>
      <c r="M313" t="s">
        <v>4414</v>
      </c>
      <c r="N313" t="s">
        <v>4415</v>
      </c>
      <c r="P313" s="65" t="s">
        <v>4416</v>
      </c>
      <c r="S313" s="64">
        <f t="shared" si="7"/>
        <v>70.2</v>
      </c>
      <c r="U313" s="5">
        <v>69.900000000000006</v>
      </c>
      <c r="V313" s="5">
        <v>0.1</v>
      </c>
      <c r="W313" s="5">
        <v>0.2</v>
      </c>
      <c r="X313" s="56" t="str">
        <f>GHGFY20[[#This Row],[Data Source (scope 1)]]</f>
        <v>NGER (Measurement) Determination 2008 2019versions pg 318 - Part 3 Fuel combustion - 40</v>
      </c>
      <c r="Y313" s="65" t="s">
        <v>4416</v>
      </c>
      <c r="AB313" s="3">
        <f>(S313-GHGFY20[[#This Row],[Scope 1 Emission factor]])/GHGFY20[[#This Row],[Scope 1 Emission factor]]</f>
        <v>0</v>
      </c>
      <c r="AC313" s="3" t="e">
        <f>(T313-GHGFY20[[#This Row],[Scope 2 Emission factor]])/GHGFY20[[#This Row],[Scope 2 Emission factor]]</f>
        <v>#DIV/0!</v>
      </c>
      <c r="AD313" s="3">
        <f>(U313-GHGFY20[[#This Row],[Scope 3 Emission factor]])/GHGFY20[[#This Row],[Scope 3 Emission factor]]</f>
        <v>18.416666666666668</v>
      </c>
      <c r="AH313" t="b">
        <f>GHGFY20[[#This Row],[Reporting Alias]]=GHGFY207[[#This Row],[Reporting Alias]]</f>
        <v>0</v>
      </c>
    </row>
    <row r="314" spans="1:34" ht="69">
      <c r="A314" t="s">
        <v>965</v>
      </c>
      <c r="B314" t="s">
        <v>1235</v>
      </c>
      <c r="C314" t="s">
        <v>4412</v>
      </c>
      <c r="D314" t="s">
        <v>1208</v>
      </c>
      <c r="E314" t="s">
        <v>673</v>
      </c>
      <c r="F314">
        <v>1E-3</v>
      </c>
      <c r="G314" t="s">
        <v>4413</v>
      </c>
      <c r="H314">
        <v>38.6</v>
      </c>
      <c r="I314" t="s">
        <v>1140</v>
      </c>
      <c r="J314">
        <v>70.2</v>
      </c>
      <c r="L314">
        <v>3.6</v>
      </c>
      <c r="M314" t="s">
        <v>4414</v>
      </c>
      <c r="N314" t="s">
        <v>4415</v>
      </c>
      <c r="P314" s="65" t="s">
        <v>4416</v>
      </c>
      <c r="S314" s="64">
        <f t="shared" si="7"/>
        <v>70.2</v>
      </c>
      <c r="U314" s="5">
        <v>69.900000000000006</v>
      </c>
      <c r="V314" s="5">
        <v>0.1</v>
      </c>
      <c r="W314" s="5">
        <v>0.2</v>
      </c>
      <c r="X314" s="56" t="str">
        <f>GHGFY20[[#This Row],[Data Source (scope 1)]]</f>
        <v>NGER (Measurement) Determination 2008 2019versions pg 318 - Part 3 Fuel combustion - 40</v>
      </c>
      <c r="Y314" s="65" t="s">
        <v>4416</v>
      </c>
      <c r="AB314" s="3">
        <f>(S314-GHGFY20[[#This Row],[Scope 1 Emission factor]])/GHGFY20[[#This Row],[Scope 1 Emission factor]]</f>
        <v>0</v>
      </c>
      <c r="AC314" s="3" t="e">
        <f>(T314-GHGFY20[[#This Row],[Scope 2 Emission factor]])/GHGFY20[[#This Row],[Scope 2 Emission factor]]</f>
        <v>#DIV/0!</v>
      </c>
      <c r="AD314" s="3">
        <f>(U314-GHGFY20[[#This Row],[Scope 3 Emission factor]])/GHGFY20[[#This Row],[Scope 3 Emission factor]]</f>
        <v>18.416666666666668</v>
      </c>
      <c r="AH314" t="b">
        <f>GHGFY20[[#This Row],[Reporting Alias]]=GHGFY207[[#This Row],[Reporting Alias]]</f>
        <v>0</v>
      </c>
    </row>
    <row r="315" spans="1:34" ht="69">
      <c r="A315" t="s">
        <v>4267</v>
      </c>
      <c r="B315" t="s">
        <v>1235</v>
      </c>
      <c r="C315" t="s">
        <v>4412</v>
      </c>
      <c r="D315" t="s">
        <v>1190</v>
      </c>
      <c r="E315" t="s">
        <v>673</v>
      </c>
      <c r="F315">
        <v>1E-3</v>
      </c>
      <c r="G315" t="s">
        <v>4413</v>
      </c>
      <c r="H315">
        <v>25.7</v>
      </c>
      <c r="I315" t="s">
        <v>1140</v>
      </c>
      <c r="J315">
        <v>60.600000000000009</v>
      </c>
      <c r="L315">
        <v>3.6</v>
      </c>
      <c r="M315" t="s">
        <v>4414</v>
      </c>
      <c r="N315" t="s">
        <v>4418</v>
      </c>
      <c r="P315" s="65" t="s">
        <v>4416</v>
      </c>
      <c r="S315" s="64">
        <f t="shared" si="7"/>
        <v>60.600000000000009</v>
      </c>
      <c r="U315">
        <v>60.2</v>
      </c>
      <c r="V315">
        <v>0.2</v>
      </c>
      <c r="W315">
        <v>0.2</v>
      </c>
      <c r="X315" s="56" t="str">
        <f>GHGFY20[[#This Row],[Data Source (scope 1)]]</f>
        <v>NGER (Measurement) Determination 2008 2019versions pg 318 - Part 3 Fuel combustion - 44</v>
      </c>
      <c r="Y315" s="65" t="s">
        <v>4416</v>
      </c>
      <c r="AB315" s="3">
        <f>(S315-GHGFY20[[#This Row],[Scope 1 Emission factor]])/GHGFY20[[#This Row],[Scope 1 Emission factor]]</f>
        <v>0</v>
      </c>
      <c r="AC315" s="3" t="e">
        <f>(T315-GHGFY20[[#This Row],[Scope 2 Emission factor]])/GHGFY20[[#This Row],[Scope 2 Emission factor]]</f>
        <v>#DIV/0!</v>
      </c>
      <c r="AD315" s="3">
        <f>(U315-GHGFY20[[#This Row],[Scope 3 Emission factor]])/GHGFY20[[#This Row],[Scope 3 Emission factor]]</f>
        <v>15.722222222222221</v>
      </c>
      <c r="AH315" t="b">
        <f>GHGFY20[[#This Row],[Reporting Alias]]=GHGFY207[[#This Row],[Reporting Alias]]</f>
        <v>0</v>
      </c>
    </row>
    <row r="316" spans="1:34" ht="69">
      <c r="A316" t="s">
        <v>4268</v>
      </c>
      <c r="B316" t="s">
        <v>1235</v>
      </c>
      <c r="C316" t="s">
        <v>4412</v>
      </c>
      <c r="D316" t="s">
        <v>1192</v>
      </c>
      <c r="E316" t="s">
        <v>673</v>
      </c>
      <c r="F316">
        <v>1E-3</v>
      </c>
      <c r="G316" t="s">
        <v>4413</v>
      </c>
      <c r="H316">
        <v>25.7</v>
      </c>
      <c r="I316" t="s">
        <v>1140</v>
      </c>
      <c r="J316">
        <v>60.600000000000009</v>
      </c>
      <c r="L316">
        <v>3.6</v>
      </c>
      <c r="M316" t="s">
        <v>4414</v>
      </c>
      <c r="N316" t="s">
        <v>4418</v>
      </c>
      <c r="P316" s="65" t="s">
        <v>4416</v>
      </c>
      <c r="S316" s="64">
        <f t="shared" si="7"/>
        <v>60.600000000000009</v>
      </c>
      <c r="U316">
        <v>60.2</v>
      </c>
      <c r="V316">
        <v>0.2</v>
      </c>
      <c r="W316">
        <v>0.2</v>
      </c>
      <c r="X316" s="56" t="str">
        <f>GHGFY20[[#This Row],[Data Source (scope 1)]]</f>
        <v>NGER (Measurement) Determination 2008 2019versions pg 318 - Part 3 Fuel combustion - 44</v>
      </c>
      <c r="Y316" s="65" t="s">
        <v>4416</v>
      </c>
      <c r="AB316" s="3">
        <f>(S316-GHGFY20[[#This Row],[Scope 1 Emission factor]])/GHGFY20[[#This Row],[Scope 1 Emission factor]]</f>
        <v>0</v>
      </c>
      <c r="AC316" s="3" t="e">
        <f>(T316-GHGFY20[[#This Row],[Scope 2 Emission factor]])/GHGFY20[[#This Row],[Scope 2 Emission factor]]</f>
        <v>#DIV/0!</v>
      </c>
      <c r="AD316" s="3">
        <f>(U316-GHGFY20[[#This Row],[Scope 3 Emission factor]])/GHGFY20[[#This Row],[Scope 3 Emission factor]]</f>
        <v>15.722222222222221</v>
      </c>
      <c r="AH316" t="b">
        <f>GHGFY20[[#This Row],[Reporting Alias]]=GHGFY207[[#This Row],[Reporting Alias]]</f>
        <v>0</v>
      </c>
    </row>
    <row r="317" spans="1:34" ht="69">
      <c r="A317" t="s">
        <v>4273</v>
      </c>
      <c r="B317" t="s">
        <v>1235</v>
      </c>
      <c r="C317" t="s">
        <v>4412</v>
      </c>
      <c r="D317" t="s">
        <v>1189</v>
      </c>
      <c r="E317" t="s">
        <v>673</v>
      </c>
      <c r="F317">
        <v>1E-3</v>
      </c>
      <c r="G317" t="s">
        <v>4413</v>
      </c>
      <c r="H317">
        <v>25.7</v>
      </c>
      <c r="I317" t="s">
        <v>1140</v>
      </c>
      <c r="J317">
        <v>60.600000000000009</v>
      </c>
      <c r="L317">
        <v>3.6</v>
      </c>
      <c r="M317" t="s">
        <v>4414</v>
      </c>
      <c r="N317" t="s">
        <v>4418</v>
      </c>
      <c r="P317" s="65" t="s">
        <v>4416</v>
      </c>
      <c r="S317" s="64">
        <f t="shared" si="7"/>
        <v>60.600000000000009</v>
      </c>
      <c r="U317">
        <v>60.2</v>
      </c>
      <c r="V317">
        <v>0.2</v>
      </c>
      <c r="W317">
        <v>0.2</v>
      </c>
      <c r="X317" s="56" t="str">
        <f>GHGFY20[[#This Row],[Data Source (scope 1)]]</f>
        <v>NGER (Measurement) Determination 2008 2019versions pg 318 - Part 3 Fuel combustion - 44</v>
      </c>
      <c r="Y317" s="65" t="s">
        <v>4416</v>
      </c>
      <c r="AB317" s="3">
        <f>(S317-GHGFY20[[#This Row],[Scope 1 Emission factor]])/GHGFY20[[#This Row],[Scope 1 Emission factor]]</f>
        <v>0</v>
      </c>
      <c r="AC317" s="3" t="e">
        <f>(T317-GHGFY20[[#This Row],[Scope 2 Emission factor]])/GHGFY20[[#This Row],[Scope 2 Emission factor]]</f>
        <v>#DIV/0!</v>
      </c>
      <c r="AD317" s="3">
        <f>(U317-GHGFY20[[#This Row],[Scope 3 Emission factor]])/GHGFY20[[#This Row],[Scope 3 Emission factor]]</f>
        <v>15.722222222222221</v>
      </c>
      <c r="AH317" t="b">
        <f>GHGFY20[[#This Row],[Reporting Alias]]=GHGFY207[[#This Row],[Reporting Alias]]</f>
        <v>0</v>
      </c>
    </row>
    <row r="318" spans="1:34" ht="69">
      <c r="A318" t="s">
        <v>4270</v>
      </c>
      <c r="B318" t="s">
        <v>1235</v>
      </c>
      <c r="C318" t="s">
        <v>4412</v>
      </c>
      <c r="D318" t="s">
        <v>1210</v>
      </c>
      <c r="E318" t="s">
        <v>673</v>
      </c>
      <c r="F318">
        <v>1E-3</v>
      </c>
      <c r="G318" t="s">
        <v>4413</v>
      </c>
      <c r="H318">
        <v>25.7</v>
      </c>
      <c r="I318" t="s">
        <v>1140</v>
      </c>
      <c r="J318">
        <v>60.600000000000009</v>
      </c>
      <c r="L318">
        <v>3.6</v>
      </c>
      <c r="M318" t="s">
        <v>4414</v>
      </c>
      <c r="N318" t="s">
        <v>4418</v>
      </c>
      <c r="P318" s="65" t="s">
        <v>4416</v>
      </c>
      <c r="S318" s="64">
        <f t="shared" si="7"/>
        <v>60.600000000000009</v>
      </c>
      <c r="U318">
        <v>60.2</v>
      </c>
      <c r="V318">
        <v>0.2</v>
      </c>
      <c r="W318">
        <v>0.2</v>
      </c>
      <c r="X318" s="56" t="str">
        <f>GHGFY20[[#This Row],[Data Source (scope 1)]]</f>
        <v>NGER (Measurement) Determination 2008 2019versions pg 318 - Part 3 Fuel combustion - 44</v>
      </c>
      <c r="Y318" s="65" t="s">
        <v>4416</v>
      </c>
      <c r="AB318" s="3">
        <f>(S318-GHGFY20[[#This Row],[Scope 1 Emission factor]])/GHGFY20[[#This Row],[Scope 1 Emission factor]]</f>
        <v>0</v>
      </c>
      <c r="AC318" s="3" t="e">
        <f>(T318-GHGFY20[[#This Row],[Scope 2 Emission factor]])/GHGFY20[[#This Row],[Scope 2 Emission factor]]</f>
        <v>#DIV/0!</v>
      </c>
      <c r="AD318" s="3">
        <f>(U318-GHGFY20[[#This Row],[Scope 3 Emission factor]])/GHGFY20[[#This Row],[Scope 3 Emission factor]]</f>
        <v>15.722222222222221</v>
      </c>
      <c r="AH318" t="b">
        <f>GHGFY20[[#This Row],[Reporting Alias]]=GHGFY207[[#This Row],[Reporting Alias]]</f>
        <v>0</v>
      </c>
    </row>
    <row r="319" spans="1:34" ht="69">
      <c r="A319" t="s">
        <v>4274</v>
      </c>
      <c r="B319" t="s">
        <v>1235</v>
      </c>
      <c r="C319" t="s">
        <v>4412</v>
      </c>
      <c r="D319" t="s">
        <v>1216</v>
      </c>
      <c r="E319" t="s">
        <v>673</v>
      </c>
      <c r="F319">
        <v>1E-3</v>
      </c>
      <c r="G319" t="s">
        <v>4413</v>
      </c>
      <c r="H319">
        <v>25.7</v>
      </c>
      <c r="I319" t="s">
        <v>1140</v>
      </c>
      <c r="J319">
        <v>60.600000000000009</v>
      </c>
      <c r="L319">
        <v>3.6</v>
      </c>
      <c r="M319" t="s">
        <v>4414</v>
      </c>
      <c r="N319" t="s">
        <v>4418</v>
      </c>
      <c r="P319" s="65" t="s">
        <v>4416</v>
      </c>
      <c r="S319" s="64">
        <f t="shared" si="7"/>
        <v>60.600000000000009</v>
      </c>
      <c r="U319">
        <v>60.2</v>
      </c>
      <c r="V319">
        <v>0.2</v>
      </c>
      <c r="W319">
        <v>0.2</v>
      </c>
      <c r="X319" s="56" t="str">
        <f>GHGFY20[[#This Row],[Data Source (scope 1)]]</f>
        <v>NGER (Measurement) Determination 2008 2019versions pg 318 - Part 3 Fuel combustion - 44</v>
      </c>
      <c r="Y319" s="65" t="s">
        <v>4416</v>
      </c>
      <c r="AB319" s="3">
        <f>(S319-GHGFY20[[#This Row],[Scope 1 Emission factor]])/GHGFY20[[#This Row],[Scope 1 Emission factor]]</f>
        <v>0</v>
      </c>
      <c r="AC319" s="3" t="e">
        <f>(T319-GHGFY20[[#This Row],[Scope 2 Emission factor]])/GHGFY20[[#This Row],[Scope 2 Emission factor]]</f>
        <v>#DIV/0!</v>
      </c>
      <c r="AD319" s="3">
        <f>(U319-GHGFY20[[#This Row],[Scope 3 Emission factor]])/GHGFY20[[#This Row],[Scope 3 Emission factor]]</f>
        <v>15.722222222222221</v>
      </c>
      <c r="AH319" t="b">
        <f>GHGFY20[[#This Row],[Reporting Alias]]=GHGFY207[[#This Row],[Reporting Alias]]</f>
        <v>0</v>
      </c>
    </row>
    <row r="320" spans="1:34" ht="69">
      <c r="A320" t="s">
        <v>4271</v>
      </c>
      <c r="B320" t="s">
        <v>1235</v>
      </c>
      <c r="C320" t="s">
        <v>4412</v>
      </c>
      <c r="D320" t="s">
        <v>1193</v>
      </c>
      <c r="E320" t="s">
        <v>673</v>
      </c>
      <c r="F320">
        <v>1E-3</v>
      </c>
      <c r="G320" t="s">
        <v>4413</v>
      </c>
      <c r="H320">
        <v>25.7</v>
      </c>
      <c r="I320" t="s">
        <v>1140</v>
      </c>
      <c r="J320">
        <v>60.600000000000009</v>
      </c>
      <c r="L320">
        <v>3.6</v>
      </c>
      <c r="M320" t="s">
        <v>4414</v>
      </c>
      <c r="N320" t="s">
        <v>4418</v>
      </c>
      <c r="P320" s="65" t="s">
        <v>4416</v>
      </c>
      <c r="S320" s="64">
        <f t="shared" si="7"/>
        <v>60.600000000000009</v>
      </c>
      <c r="U320">
        <v>60.2</v>
      </c>
      <c r="V320">
        <v>0.2</v>
      </c>
      <c r="W320">
        <v>0.2</v>
      </c>
      <c r="X320" s="56" t="str">
        <f>GHGFY20[[#This Row],[Data Source (scope 1)]]</f>
        <v>NGER (Measurement) Determination 2008 2019versions pg 318 - Part 3 Fuel combustion - 44</v>
      </c>
      <c r="Y320" s="65" t="s">
        <v>4416</v>
      </c>
      <c r="AB320" s="3">
        <f>(S320-GHGFY20[[#This Row],[Scope 1 Emission factor]])/GHGFY20[[#This Row],[Scope 1 Emission factor]]</f>
        <v>0</v>
      </c>
      <c r="AC320" s="3" t="e">
        <f>(T320-GHGFY20[[#This Row],[Scope 2 Emission factor]])/GHGFY20[[#This Row],[Scope 2 Emission factor]]</f>
        <v>#DIV/0!</v>
      </c>
      <c r="AD320" s="3">
        <f>(U320-GHGFY20[[#This Row],[Scope 3 Emission factor]])/GHGFY20[[#This Row],[Scope 3 Emission factor]]</f>
        <v>15.722222222222221</v>
      </c>
      <c r="AH320" t="b">
        <f>GHGFY20[[#This Row],[Reporting Alias]]=GHGFY207[[#This Row],[Reporting Alias]]</f>
        <v>0</v>
      </c>
    </row>
    <row r="321" spans="1:34" ht="69">
      <c r="A321" t="s">
        <v>4272</v>
      </c>
      <c r="B321" t="s">
        <v>1235</v>
      </c>
      <c r="C321" t="s">
        <v>4412</v>
      </c>
      <c r="D321" t="s">
        <v>1213</v>
      </c>
      <c r="E321" t="s">
        <v>673</v>
      </c>
      <c r="F321">
        <v>1E-3</v>
      </c>
      <c r="G321" t="s">
        <v>4413</v>
      </c>
      <c r="H321">
        <v>25.7</v>
      </c>
      <c r="I321" t="s">
        <v>1140</v>
      </c>
      <c r="J321">
        <v>60.600000000000009</v>
      </c>
      <c r="L321">
        <v>3.6</v>
      </c>
      <c r="M321" t="s">
        <v>4414</v>
      </c>
      <c r="N321" t="s">
        <v>4418</v>
      </c>
      <c r="P321" s="65" t="s">
        <v>4416</v>
      </c>
      <c r="S321" s="64">
        <f t="shared" si="7"/>
        <v>60.600000000000009</v>
      </c>
      <c r="U321">
        <v>60.2</v>
      </c>
      <c r="V321">
        <v>0.2</v>
      </c>
      <c r="W321">
        <v>0.2</v>
      </c>
      <c r="X321" s="56" t="str">
        <f>GHGFY20[[#This Row],[Data Source (scope 1)]]</f>
        <v>NGER (Measurement) Determination 2008 2019versions pg 318 - Part 3 Fuel combustion - 44</v>
      </c>
      <c r="Y321" s="65" t="s">
        <v>4416</v>
      </c>
      <c r="AB321" s="3">
        <f>(S321-GHGFY20[[#This Row],[Scope 1 Emission factor]])/GHGFY20[[#This Row],[Scope 1 Emission factor]]</f>
        <v>0</v>
      </c>
      <c r="AC321" s="3" t="e">
        <f>(T321-GHGFY20[[#This Row],[Scope 2 Emission factor]])/GHGFY20[[#This Row],[Scope 2 Emission factor]]</f>
        <v>#DIV/0!</v>
      </c>
      <c r="AD321" s="3">
        <f>(U321-GHGFY20[[#This Row],[Scope 3 Emission factor]])/GHGFY20[[#This Row],[Scope 3 Emission factor]]</f>
        <v>15.722222222222221</v>
      </c>
      <c r="AH321" t="b">
        <f>GHGFY20[[#This Row],[Reporting Alias]]=GHGFY207[[#This Row],[Reporting Alias]]</f>
        <v>0</v>
      </c>
    </row>
    <row r="322" spans="1:34" ht="69">
      <c r="A322" t="s">
        <v>4269</v>
      </c>
      <c r="B322" t="s">
        <v>1235</v>
      </c>
      <c r="C322" t="s">
        <v>4412</v>
      </c>
      <c r="D322" t="s">
        <v>1208</v>
      </c>
      <c r="E322" t="s">
        <v>673</v>
      </c>
      <c r="F322">
        <v>1E-3</v>
      </c>
      <c r="G322" t="s">
        <v>4413</v>
      </c>
      <c r="H322">
        <v>25.7</v>
      </c>
      <c r="I322" t="s">
        <v>1140</v>
      </c>
      <c r="J322">
        <v>60.600000000000009</v>
      </c>
      <c r="L322">
        <v>3.6</v>
      </c>
      <c r="M322" t="s">
        <v>4414</v>
      </c>
      <c r="N322" t="s">
        <v>4418</v>
      </c>
      <c r="P322" s="65" t="s">
        <v>4416</v>
      </c>
      <c r="S322" s="64">
        <f t="shared" si="7"/>
        <v>60.600000000000009</v>
      </c>
      <c r="U322">
        <v>60.2</v>
      </c>
      <c r="V322">
        <v>0.2</v>
      </c>
      <c r="W322">
        <v>0.2</v>
      </c>
      <c r="X322" s="56" t="str">
        <f>GHGFY20[[#This Row],[Data Source (scope 1)]]</f>
        <v>NGER (Measurement) Determination 2008 2019versions pg 318 - Part 3 Fuel combustion - 44</v>
      </c>
      <c r="Y322" s="65" t="s">
        <v>4416</v>
      </c>
      <c r="AB322" s="3">
        <f>(S322-GHGFY20[[#This Row],[Scope 1 Emission factor]])/GHGFY20[[#This Row],[Scope 1 Emission factor]]</f>
        <v>0</v>
      </c>
      <c r="AC322" s="3" t="e">
        <f>(T322-GHGFY20[[#This Row],[Scope 2 Emission factor]])/GHGFY20[[#This Row],[Scope 2 Emission factor]]</f>
        <v>#DIV/0!</v>
      </c>
      <c r="AD322" s="3">
        <f>(U322-GHGFY20[[#This Row],[Scope 3 Emission factor]])/GHGFY20[[#This Row],[Scope 3 Emission factor]]</f>
        <v>15.722222222222221</v>
      </c>
      <c r="AH322" t="b">
        <f>GHGFY20[[#This Row],[Reporting Alias]]=GHGFY207[[#This Row],[Reporting Alias]]</f>
        <v>0</v>
      </c>
    </row>
    <row r="323" spans="1:34" ht="69">
      <c r="A323" t="s">
        <v>970</v>
      </c>
      <c r="B323" t="s">
        <v>1235</v>
      </c>
      <c r="C323" t="s">
        <v>4412</v>
      </c>
      <c r="D323" t="s">
        <v>1190</v>
      </c>
      <c r="E323" t="s">
        <v>673</v>
      </c>
      <c r="F323">
        <v>1E-3</v>
      </c>
      <c r="G323" t="s">
        <v>4413</v>
      </c>
      <c r="H323">
        <v>34.200000000000003</v>
      </c>
      <c r="I323" t="s">
        <v>1140</v>
      </c>
      <c r="J323">
        <v>67.800000000000011</v>
      </c>
      <c r="L323">
        <v>3.6</v>
      </c>
      <c r="M323" t="s">
        <v>4414</v>
      </c>
      <c r="N323" t="s">
        <v>4419</v>
      </c>
      <c r="P323" s="65" t="s">
        <v>4416</v>
      </c>
      <c r="S323" s="64">
        <f t="shared" si="7"/>
        <v>67.800000000000011</v>
      </c>
      <c r="U323">
        <v>67.400000000000006</v>
      </c>
      <c r="V323">
        <v>0.2</v>
      </c>
      <c r="W323">
        <v>0.2</v>
      </c>
      <c r="X323" s="56" t="str">
        <f>GHGFY20[[#This Row],[Data Source (scope 1)]]</f>
        <v>NGER (Measurement) Determination 2008 2019versions pg 318 - Part 3 Fuel combustion - 35</v>
      </c>
      <c r="Y323" s="65" t="s">
        <v>4416</v>
      </c>
      <c r="AB323" s="3">
        <f>(S323-GHGFY20[[#This Row],[Scope 1 Emission factor]])/GHGFY20[[#This Row],[Scope 1 Emission factor]]</f>
        <v>0</v>
      </c>
      <c r="AC323" s="3" t="e">
        <f>(T323-GHGFY20[[#This Row],[Scope 2 Emission factor]])/GHGFY20[[#This Row],[Scope 2 Emission factor]]</f>
        <v>#DIV/0!</v>
      </c>
      <c r="AD323" s="3">
        <f>(U323-GHGFY20[[#This Row],[Scope 3 Emission factor]])/GHGFY20[[#This Row],[Scope 3 Emission factor]]</f>
        <v>17.722222222222221</v>
      </c>
      <c r="AH323" t="b">
        <f>GHGFY20[[#This Row],[Reporting Alias]]=GHGFY207[[#This Row],[Reporting Alias]]</f>
        <v>0</v>
      </c>
    </row>
    <row r="324" spans="1:34" ht="69">
      <c r="A324" t="s">
        <v>971</v>
      </c>
      <c r="B324" t="s">
        <v>1235</v>
      </c>
      <c r="C324" t="s">
        <v>4412</v>
      </c>
      <c r="D324" t="s">
        <v>1192</v>
      </c>
      <c r="E324" t="s">
        <v>673</v>
      </c>
      <c r="F324">
        <v>1E-3</v>
      </c>
      <c r="G324" t="s">
        <v>4413</v>
      </c>
      <c r="H324">
        <v>34.200000000000003</v>
      </c>
      <c r="I324" t="s">
        <v>1140</v>
      </c>
      <c r="J324">
        <v>67.800000000000011</v>
      </c>
      <c r="L324">
        <v>3.6</v>
      </c>
      <c r="M324" t="s">
        <v>4414</v>
      </c>
      <c r="N324" t="s">
        <v>4419</v>
      </c>
      <c r="P324" s="65" t="s">
        <v>4416</v>
      </c>
      <c r="S324" s="64">
        <f t="shared" si="7"/>
        <v>67.800000000000011</v>
      </c>
      <c r="U324">
        <v>67.400000000000006</v>
      </c>
      <c r="V324">
        <v>0.2</v>
      </c>
      <c r="W324">
        <v>0.2</v>
      </c>
      <c r="X324" s="56" t="str">
        <f>GHGFY20[[#This Row],[Data Source (scope 1)]]</f>
        <v>NGER (Measurement) Determination 2008 2019versions pg 318 - Part 3 Fuel combustion - 35</v>
      </c>
      <c r="Y324" s="65" t="s">
        <v>4416</v>
      </c>
      <c r="AB324" s="3">
        <f>(S324-GHGFY20[[#This Row],[Scope 1 Emission factor]])/GHGFY20[[#This Row],[Scope 1 Emission factor]]</f>
        <v>0</v>
      </c>
      <c r="AC324" s="3" t="e">
        <f>(T324-GHGFY20[[#This Row],[Scope 2 Emission factor]])/GHGFY20[[#This Row],[Scope 2 Emission factor]]</f>
        <v>#DIV/0!</v>
      </c>
      <c r="AD324" s="3">
        <f>(U324-GHGFY20[[#This Row],[Scope 3 Emission factor]])/GHGFY20[[#This Row],[Scope 3 Emission factor]]</f>
        <v>17.722222222222221</v>
      </c>
      <c r="AH324" t="b">
        <f>GHGFY20[[#This Row],[Reporting Alias]]=GHGFY207[[#This Row],[Reporting Alias]]</f>
        <v>0</v>
      </c>
    </row>
    <row r="325" spans="1:34" ht="69">
      <c r="A325" t="s">
        <v>976</v>
      </c>
      <c r="B325" t="s">
        <v>1235</v>
      </c>
      <c r="C325" t="s">
        <v>4412</v>
      </c>
      <c r="D325" t="s">
        <v>1189</v>
      </c>
      <c r="E325" t="s">
        <v>673</v>
      </c>
      <c r="F325">
        <v>1E-3</v>
      </c>
      <c r="G325" t="s">
        <v>4413</v>
      </c>
      <c r="H325">
        <v>34.200000000000003</v>
      </c>
      <c r="I325" t="s">
        <v>1140</v>
      </c>
      <c r="J325">
        <v>67.800000000000011</v>
      </c>
      <c r="L325">
        <v>3.6</v>
      </c>
      <c r="M325" t="s">
        <v>4414</v>
      </c>
      <c r="N325" t="s">
        <v>4419</v>
      </c>
      <c r="P325" s="65" t="s">
        <v>4416</v>
      </c>
      <c r="S325" s="64">
        <f t="shared" si="7"/>
        <v>67.800000000000011</v>
      </c>
      <c r="U325">
        <v>67.400000000000006</v>
      </c>
      <c r="V325">
        <v>0.2</v>
      </c>
      <c r="W325">
        <v>0.2</v>
      </c>
      <c r="X325" s="56" t="str">
        <f>GHGFY20[[#This Row],[Data Source (scope 1)]]</f>
        <v>NGER (Measurement) Determination 2008 2019versions pg 318 - Part 3 Fuel combustion - 35</v>
      </c>
      <c r="Y325" s="65" t="s">
        <v>4416</v>
      </c>
      <c r="AB325" s="3">
        <f>(S325-GHGFY20[[#This Row],[Scope 1 Emission factor]])/GHGFY20[[#This Row],[Scope 1 Emission factor]]</f>
        <v>0</v>
      </c>
      <c r="AC325" s="3" t="e">
        <f>(T325-GHGFY20[[#This Row],[Scope 2 Emission factor]])/GHGFY20[[#This Row],[Scope 2 Emission factor]]</f>
        <v>#DIV/0!</v>
      </c>
      <c r="AD325" s="3">
        <f>(U325-GHGFY20[[#This Row],[Scope 3 Emission factor]])/GHGFY20[[#This Row],[Scope 3 Emission factor]]</f>
        <v>17.722222222222221</v>
      </c>
      <c r="AH325" t="b">
        <f>GHGFY20[[#This Row],[Reporting Alias]]=GHGFY207[[#This Row],[Reporting Alias]]</f>
        <v>0</v>
      </c>
    </row>
    <row r="326" spans="1:34" ht="69">
      <c r="A326" t="s">
        <v>973</v>
      </c>
      <c r="B326" t="s">
        <v>1235</v>
      </c>
      <c r="C326" t="s">
        <v>4412</v>
      </c>
      <c r="D326" t="s">
        <v>1210</v>
      </c>
      <c r="E326" t="s">
        <v>673</v>
      </c>
      <c r="F326">
        <v>1E-3</v>
      </c>
      <c r="G326" t="s">
        <v>4413</v>
      </c>
      <c r="H326">
        <v>34.200000000000003</v>
      </c>
      <c r="I326" t="s">
        <v>1140</v>
      </c>
      <c r="J326">
        <v>67.800000000000011</v>
      </c>
      <c r="L326">
        <v>3.6</v>
      </c>
      <c r="M326" t="s">
        <v>4414</v>
      </c>
      <c r="N326" t="s">
        <v>4419</v>
      </c>
      <c r="P326" s="65" t="s">
        <v>4416</v>
      </c>
      <c r="S326" s="64">
        <f t="shared" si="7"/>
        <v>67.800000000000011</v>
      </c>
      <c r="U326">
        <v>67.400000000000006</v>
      </c>
      <c r="V326">
        <v>0.2</v>
      </c>
      <c r="W326">
        <v>0.2</v>
      </c>
      <c r="X326" s="56" t="str">
        <f>GHGFY20[[#This Row],[Data Source (scope 1)]]</f>
        <v>NGER (Measurement) Determination 2008 2019versions pg 318 - Part 3 Fuel combustion - 35</v>
      </c>
      <c r="Y326" s="65" t="s">
        <v>4416</v>
      </c>
      <c r="AB326" s="3">
        <f>(S326-GHGFY20[[#This Row],[Scope 1 Emission factor]])/GHGFY20[[#This Row],[Scope 1 Emission factor]]</f>
        <v>0</v>
      </c>
      <c r="AC326" s="3" t="e">
        <f>(T326-GHGFY20[[#This Row],[Scope 2 Emission factor]])/GHGFY20[[#This Row],[Scope 2 Emission factor]]</f>
        <v>#DIV/0!</v>
      </c>
      <c r="AD326" s="3">
        <f>(U326-GHGFY20[[#This Row],[Scope 3 Emission factor]])/GHGFY20[[#This Row],[Scope 3 Emission factor]]</f>
        <v>17.722222222222221</v>
      </c>
      <c r="AH326" t="b">
        <f>GHGFY20[[#This Row],[Reporting Alias]]=GHGFY207[[#This Row],[Reporting Alias]]</f>
        <v>0</v>
      </c>
    </row>
    <row r="327" spans="1:34" ht="69">
      <c r="A327" t="s">
        <v>977</v>
      </c>
      <c r="B327" t="s">
        <v>1235</v>
      </c>
      <c r="C327" t="s">
        <v>4412</v>
      </c>
      <c r="D327" t="s">
        <v>1216</v>
      </c>
      <c r="E327" t="s">
        <v>673</v>
      </c>
      <c r="F327">
        <v>1E-3</v>
      </c>
      <c r="G327" t="s">
        <v>4413</v>
      </c>
      <c r="H327">
        <v>34.200000000000003</v>
      </c>
      <c r="I327" t="s">
        <v>1140</v>
      </c>
      <c r="J327">
        <v>67.800000000000011</v>
      </c>
      <c r="L327">
        <v>3.6</v>
      </c>
      <c r="M327" t="s">
        <v>4414</v>
      </c>
      <c r="N327" t="s">
        <v>4419</v>
      </c>
      <c r="P327" s="65" t="s">
        <v>4416</v>
      </c>
      <c r="S327" s="64">
        <f t="shared" si="7"/>
        <v>67.800000000000011</v>
      </c>
      <c r="U327">
        <v>67.400000000000006</v>
      </c>
      <c r="V327">
        <v>0.2</v>
      </c>
      <c r="W327">
        <v>0.2</v>
      </c>
      <c r="X327" s="56" t="str">
        <f>GHGFY20[[#This Row],[Data Source (scope 1)]]</f>
        <v>NGER (Measurement) Determination 2008 2019versions pg 318 - Part 3 Fuel combustion - 35</v>
      </c>
      <c r="Y327" s="65" t="s">
        <v>4416</v>
      </c>
      <c r="AB327" s="3">
        <f>(S327-GHGFY20[[#This Row],[Scope 1 Emission factor]])/GHGFY20[[#This Row],[Scope 1 Emission factor]]</f>
        <v>0</v>
      </c>
      <c r="AC327" s="3" t="e">
        <f>(T327-GHGFY20[[#This Row],[Scope 2 Emission factor]])/GHGFY20[[#This Row],[Scope 2 Emission factor]]</f>
        <v>#DIV/0!</v>
      </c>
      <c r="AD327" s="3">
        <f>(U327-GHGFY20[[#This Row],[Scope 3 Emission factor]])/GHGFY20[[#This Row],[Scope 3 Emission factor]]</f>
        <v>17.722222222222221</v>
      </c>
      <c r="AH327" t="b">
        <f>GHGFY20[[#This Row],[Reporting Alias]]=GHGFY207[[#This Row],[Reporting Alias]]</f>
        <v>0</v>
      </c>
    </row>
    <row r="328" spans="1:34" ht="69">
      <c r="A328" t="s">
        <v>974</v>
      </c>
      <c r="B328" t="s">
        <v>1235</v>
      </c>
      <c r="C328" t="s">
        <v>4412</v>
      </c>
      <c r="D328" t="s">
        <v>1193</v>
      </c>
      <c r="E328" t="s">
        <v>673</v>
      </c>
      <c r="F328">
        <v>1E-3</v>
      </c>
      <c r="G328" t="s">
        <v>4413</v>
      </c>
      <c r="H328">
        <v>34.200000000000003</v>
      </c>
      <c r="I328" t="s">
        <v>1140</v>
      </c>
      <c r="J328">
        <v>67.800000000000011</v>
      </c>
      <c r="L328">
        <v>3.6</v>
      </c>
      <c r="M328" t="s">
        <v>4414</v>
      </c>
      <c r="N328" t="s">
        <v>4419</v>
      </c>
      <c r="P328" s="65" t="s">
        <v>4416</v>
      </c>
      <c r="S328" s="64">
        <f t="shared" si="7"/>
        <v>67.800000000000011</v>
      </c>
      <c r="U328">
        <v>67.400000000000006</v>
      </c>
      <c r="V328">
        <v>0.2</v>
      </c>
      <c r="W328">
        <v>0.2</v>
      </c>
      <c r="X328" s="56" t="str">
        <f>GHGFY20[[#This Row],[Data Source (scope 1)]]</f>
        <v>NGER (Measurement) Determination 2008 2019versions pg 318 - Part 3 Fuel combustion - 35</v>
      </c>
      <c r="Y328" s="65" t="s">
        <v>4416</v>
      </c>
      <c r="AB328" s="3">
        <f>(S328-GHGFY20[[#This Row],[Scope 1 Emission factor]])/GHGFY20[[#This Row],[Scope 1 Emission factor]]</f>
        <v>0</v>
      </c>
      <c r="AC328" s="3" t="e">
        <f>(T328-GHGFY20[[#This Row],[Scope 2 Emission factor]])/GHGFY20[[#This Row],[Scope 2 Emission factor]]</f>
        <v>#DIV/0!</v>
      </c>
      <c r="AD328" s="3">
        <f>(U328-GHGFY20[[#This Row],[Scope 3 Emission factor]])/GHGFY20[[#This Row],[Scope 3 Emission factor]]</f>
        <v>17.722222222222221</v>
      </c>
      <c r="AH328" t="b">
        <f>GHGFY20[[#This Row],[Reporting Alias]]=GHGFY207[[#This Row],[Reporting Alias]]</f>
        <v>0</v>
      </c>
    </row>
    <row r="329" spans="1:34" ht="69">
      <c r="A329" t="s">
        <v>975</v>
      </c>
      <c r="B329" t="s">
        <v>1235</v>
      </c>
      <c r="C329" t="s">
        <v>4412</v>
      </c>
      <c r="D329" t="s">
        <v>1213</v>
      </c>
      <c r="E329" t="s">
        <v>673</v>
      </c>
      <c r="F329">
        <v>1E-3</v>
      </c>
      <c r="G329" t="s">
        <v>4413</v>
      </c>
      <c r="H329">
        <v>34.200000000000003</v>
      </c>
      <c r="I329" t="s">
        <v>1140</v>
      </c>
      <c r="J329">
        <v>67.800000000000011</v>
      </c>
      <c r="L329">
        <v>3.6</v>
      </c>
      <c r="M329" t="s">
        <v>4414</v>
      </c>
      <c r="N329" t="s">
        <v>4419</v>
      </c>
      <c r="P329" s="65" t="s">
        <v>4416</v>
      </c>
      <c r="S329" s="64">
        <f t="shared" si="7"/>
        <v>67.800000000000011</v>
      </c>
      <c r="U329">
        <v>67.400000000000006</v>
      </c>
      <c r="V329">
        <v>0.2</v>
      </c>
      <c r="W329">
        <v>0.2</v>
      </c>
      <c r="X329" s="56" t="str">
        <f>GHGFY20[[#This Row],[Data Source (scope 1)]]</f>
        <v>NGER (Measurement) Determination 2008 2019versions pg 318 - Part 3 Fuel combustion - 35</v>
      </c>
      <c r="Y329" s="65" t="s">
        <v>4416</v>
      </c>
      <c r="AB329" s="3">
        <f>(S329-GHGFY20[[#This Row],[Scope 1 Emission factor]])/GHGFY20[[#This Row],[Scope 1 Emission factor]]</f>
        <v>0</v>
      </c>
      <c r="AC329" s="3" t="e">
        <f>(T329-GHGFY20[[#This Row],[Scope 2 Emission factor]])/GHGFY20[[#This Row],[Scope 2 Emission factor]]</f>
        <v>#DIV/0!</v>
      </c>
      <c r="AD329" s="3">
        <f>(U329-GHGFY20[[#This Row],[Scope 3 Emission factor]])/GHGFY20[[#This Row],[Scope 3 Emission factor]]</f>
        <v>17.722222222222221</v>
      </c>
      <c r="AH329" t="b">
        <f>GHGFY20[[#This Row],[Reporting Alias]]=GHGFY207[[#This Row],[Reporting Alias]]</f>
        <v>0</v>
      </c>
    </row>
    <row r="330" spans="1:34" ht="69">
      <c r="A330" t="s">
        <v>972</v>
      </c>
      <c r="B330" t="s">
        <v>1235</v>
      </c>
      <c r="C330" t="s">
        <v>4412</v>
      </c>
      <c r="D330" t="s">
        <v>1208</v>
      </c>
      <c r="E330" t="s">
        <v>673</v>
      </c>
      <c r="F330">
        <v>1E-3</v>
      </c>
      <c r="G330" t="s">
        <v>4413</v>
      </c>
      <c r="H330">
        <v>34.200000000000003</v>
      </c>
      <c r="I330" t="s">
        <v>1140</v>
      </c>
      <c r="J330">
        <v>67.800000000000011</v>
      </c>
      <c r="L330">
        <v>3.6</v>
      </c>
      <c r="M330" t="s">
        <v>4414</v>
      </c>
      <c r="N330" t="s">
        <v>4419</v>
      </c>
      <c r="P330" s="65" t="s">
        <v>4416</v>
      </c>
      <c r="S330" s="64">
        <f t="shared" si="7"/>
        <v>67.800000000000011</v>
      </c>
      <c r="U330">
        <v>67.400000000000006</v>
      </c>
      <c r="V330">
        <v>0.2</v>
      </c>
      <c r="W330">
        <v>0.2</v>
      </c>
      <c r="X330" s="56" t="str">
        <f>GHGFY20[[#This Row],[Data Source (scope 1)]]</f>
        <v>NGER (Measurement) Determination 2008 2019versions pg 318 - Part 3 Fuel combustion - 35</v>
      </c>
      <c r="Y330" s="65" t="s">
        <v>4416</v>
      </c>
      <c r="AB330" s="3">
        <f>(S330-GHGFY20[[#This Row],[Scope 1 Emission factor]])/GHGFY20[[#This Row],[Scope 1 Emission factor]]</f>
        <v>0</v>
      </c>
      <c r="AC330" s="3" t="e">
        <f>(T330-GHGFY20[[#This Row],[Scope 2 Emission factor]])/GHGFY20[[#This Row],[Scope 2 Emission factor]]</f>
        <v>#DIV/0!</v>
      </c>
      <c r="AD330" s="3">
        <f>(U330-GHGFY20[[#This Row],[Scope 3 Emission factor]])/GHGFY20[[#This Row],[Scope 3 Emission factor]]</f>
        <v>17.722222222222221</v>
      </c>
      <c r="AH330" t="b">
        <f>GHGFY20[[#This Row],[Reporting Alias]]=GHGFY207[[#This Row],[Reporting Alias]]</f>
        <v>0</v>
      </c>
    </row>
    <row r="331" spans="1:34" ht="69">
      <c r="A331" t="s">
        <v>4259</v>
      </c>
      <c r="B331" t="s">
        <v>1235</v>
      </c>
      <c r="C331" t="s">
        <v>4412</v>
      </c>
      <c r="D331" t="s">
        <v>1190</v>
      </c>
      <c r="E331" t="s">
        <v>673</v>
      </c>
      <c r="F331">
        <v>1E-3</v>
      </c>
      <c r="G331" t="s">
        <v>4413</v>
      </c>
      <c r="H331">
        <v>23.4</v>
      </c>
      <c r="I331" t="s">
        <v>4431</v>
      </c>
      <c r="J331">
        <v>0.27</v>
      </c>
      <c r="L331">
        <v>0</v>
      </c>
      <c r="M331" t="s">
        <v>4414</v>
      </c>
      <c r="N331" t="s">
        <v>4432</v>
      </c>
      <c r="P331" s="65" t="s">
        <v>4416</v>
      </c>
      <c r="S331" s="64">
        <f t="shared" si="7"/>
        <v>0.27</v>
      </c>
      <c r="U331">
        <v>0</v>
      </c>
      <c r="V331">
        <v>7.0000000000000007E-2</v>
      </c>
      <c r="W331">
        <v>0.2</v>
      </c>
      <c r="X331" s="56" t="str">
        <f>GHGFY20[[#This Row],[Data Source (scope 1)]]</f>
        <v>NGER (Measurement) Determination 2008 2019versions pg 319 - Part 3 Fuel combustion - 51</v>
      </c>
      <c r="Y331" s="65" t="s">
        <v>4416</v>
      </c>
      <c r="AB331" s="3">
        <f>(S331-GHGFY20[[#This Row],[Scope 1 Emission factor]])/GHGFY20[[#This Row],[Scope 1 Emission factor]]</f>
        <v>0</v>
      </c>
      <c r="AC331" s="3" t="e">
        <f>(T331-GHGFY20[[#This Row],[Scope 2 Emission factor]])/GHGFY20[[#This Row],[Scope 2 Emission factor]]</f>
        <v>#DIV/0!</v>
      </c>
      <c r="AD331" s="3" t="e">
        <f>(U331-GHGFY20[[#This Row],[Scope 3 Emission factor]])/GHGFY20[[#This Row],[Scope 3 Emission factor]]</f>
        <v>#DIV/0!</v>
      </c>
      <c r="AH331" t="b">
        <f>GHGFY20[[#This Row],[Reporting Alias]]=GHGFY207[[#This Row],[Reporting Alias]]</f>
        <v>0</v>
      </c>
    </row>
    <row r="332" spans="1:34" ht="69">
      <c r="A332" t="s">
        <v>4260</v>
      </c>
      <c r="B332" t="s">
        <v>1235</v>
      </c>
      <c r="C332" t="s">
        <v>4412</v>
      </c>
      <c r="D332" t="s">
        <v>1192</v>
      </c>
      <c r="E332" t="s">
        <v>673</v>
      </c>
      <c r="F332">
        <v>1E-3</v>
      </c>
      <c r="G332" t="s">
        <v>4413</v>
      </c>
      <c r="H332">
        <v>23.4</v>
      </c>
      <c r="I332" t="s">
        <v>4431</v>
      </c>
      <c r="J332">
        <v>0.27</v>
      </c>
      <c r="L332">
        <v>0</v>
      </c>
      <c r="M332" t="s">
        <v>4414</v>
      </c>
      <c r="N332" t="s">
        <v>4432</v>
      </c>
      <c r="P332" s="65" t="s">
        <v>4416</v>
      </c>
      <c r="S332" s="64">
        <f t="shared" si="7"/>
        <v>0.27</v>
      </c>
      <c r="U332">
        <v>0</v>
      </c>
      <c r="V332">
        <v>7.0000000000000007E-2</v>
      </c>
      <c r="W332">
        <v>0.2</v>
      </c>
      <c r="X332" s="56" t="str">
        <f>GHGFY20[[#This Row],[Data Source (scope 1)]]</f>
        <v>NGER (Measurement) Determination 2008 2019versions pg 319 - Part 3 Fuel combustion - 51</v>
      </c>
      <c r="Y332" s="65" t="s">
        <v>4416</v>
      </c>
      <c r="AB332" s="3">
        <f>(S332-GHGFY20[[#This Row],[Scope 1 Emission factor]])/GHGFY20[[#This Row],[Scope 1 Emission factor]]</f>
        <v>0</v>
      </c>
      <c r="AC332" s="3" t="e">
        <f>(T332-GHGFY20[[#This Row],[Scope 2 Emission factor]])/GHGFY20[[#This Row],[Scope 2 Emission factor]]</f>
        <v>#DIV/0!</v>
      </c>
      <c r="AD332" s="3" t="e">
        <f>(U332-GHGFY20[[#This Row],[Scope 3 Emission factor]])/GHGFY20[[#This Row],[Scope 3 Emission factor]]</f>
        <v>#DIV/0!</v>
      </c>
      <c r="AH332" t="b">
        <f>GHGFY20[[#This Row],[Reporting Alias]]=GHGFY207[[#This Row],[Reporting Alias]]</f>
        <v>0</v>
      </c>
    </row>
    <row r="333" spans="1:34" ht="69">
      <c r="A333" t="s">
        <v>4265</v>
      </c>
      <c r="B333" t="s">
        <v>1235</v>
      </c>
      <c r="C333" t="s">
        <v>4412</v>
      </c>
      <c r="D333" t="s">
        <v>1189</v>
      </c>
      <c r="E333" t="s">
        <v>673</v>
      </c>
      <c r="F333">
        <v>1E-3</v>
      </c>
      <c r="G333" t="s">
        <v>4413</v>
      </c>
      <c r="H333">
        <v>23.4</v>
      </c>
      <c r="I333" t="s">
        <v>4431</v>
      </c>
      <c r="J333">
        <v>0.27</v>
      </c>
      <c r="L333">
        <v>0</v>
      </c>
      <c r="M333" t="s">
        <v>4414</v>
      </c>
      <c r="N333" t="s">
        <v>4432</v>
      </c>
      <c r="P333" s="65" t="s">
        <v>4416</v>
      </c>
      <c r="S333" s="64">
        <f t="shared" si="7"/>
        <v>0.27</v>
      </c>
      <c r="U333">
        <v>0</v>
      </c>
      <c r="V333">
        <v>7.0000000000000007E-2</v>
      </c>
      <c r="W333">
        <v>0.2</v>
      </c>
      <c r="X333" s="56" t="str">
        <f>GHGFY20[[#This Row],[Data Source (scope 1)]]</f>
        <v>NGER (Measurement) Determination 2008 2019versions pg 319 - Part 3 Fuel combustion - 51</v>
      </c>
      <c r="Y333" s="65" t="s">
        <v>4416</v>
      </c>
      <c r="AB333" s="3">
        <f>(S333-GHGFY20[[#This Row],[Scope 1 Emission factor]])/GHGFY20[[#This Row],[Scope 1 Emission factor]]</f>
        <v>0</v>
      </c>
      <c r="AC333" s="3" t="e">
        <f>(T333-GHGFY20[[#This Row],[Scope 2 Emission factor]])/GHGFY20[[#This Row],[Scope 2 Emission factor]]</f>
        <v>#DIV/0!</v>
      </c>
      <c r="AD333" s="3" t="e">
        <f>(U333-GHGFY20[[#This Row],[Scope 3 Emission factor]])/GHGFY20[[#This Row],[Scope 3 Emission factor]]</f>
        <v>#DIV/0!</v>
      </c>
      <c r="AH333" t="b">
        <f>GHGFY20[[#This Row],[Reporting Alias]]=GHGFY207[[#This Row],[Reporting Alias]]</f>
        <v>0</v>
      </c>
    </row>
    <row r="334" spans="1:34" ht="69">
      <c r="A334" t="s">
        <v>4262</v>
      </c>
      <c r="B334" t="s">
        <v>1235</v>
      </c>
      <c r="C334" t="s">
        <v>4412</v>
      </c>
      <c r="D334" t="s">
        <v>1210</v>
      </c>
      <c r="E334" t="s">
        <v>673</v>
      </c>
      <c r="F334">
        <v>1E-3</v>
      </c>
      <c r="G334" t="s">
        <v>4413</v>
      </c>
      <c r="H334">
        <v>23.4</v>
      </c>
      <c r="I334" t="s">
        <v>4431</v>
      </c>
      <c r="J334">
        <v>0.27</v>
      </c>
      <c r="L334">
        <v>0</v>
      </c>
      <c r="M334" t="s">
        <v>4414</v>
      </c>
      <c r="N334" t="s">
        <v>4432</v>
      </c>
      <c r="P334" s="65" t="s">
        <v>4416</v>
      </c>
      <c r="S334" s="64">
        <f t="shared" si="7"/>
        <v>0.27</v>
      </c>
      <c r="U334">
        <v>0</v>
      </c>
      <c r="V334">
        <v>7.0000000000000007E-2</v>
      </c>
      <c r="W334">
        <v>0.2</v>
      </c>
      <c r="X334" s="56" t="str">
        <f>GHGFY20[[#This Row],[Data Source (scope 1)]]</f>
        <v>NGER (Measurement) Determination 2008 2019versions pg 319 - Part 3 Fuel combustion - 51</v>
      </c>
      <c r="Y334" s="65" t="s">
        <v>4416</v>
      </c>
      <c r="AB334" s="3">
        <f>(S334-GHGFY20[[#This Row],[Scope 1 Emission factor]])/GHGFY20[[#This Row],[Scope 1 Emission factor]]</f>
        <v>0</v>
      </c>
      <c r="AC334" s="3" t="e">
        <f>(T334-GHGFY20[[#This Row],[Scope 2 Emission factor]])/GHGFY20[[#This Row],[Scope 2 Emission factor]]</f>
        <v>#DIV/0!</v>
      </c>
      <c r="AD334" s="3" t="e">
        <f>(U334-GHGFY20[[#This Row],[Scope 3 Emission factor]])/GHGFY20[[#This Row],[Scope 3 Emission factor]]</f>
        <v>#DIV/0!</v>
      </c>
      <c r="AH334" t="b">
        <f>GHGFY20[[#This Row],[Reporting Alias]]=GHGFY207[[#This Row],[Reporting Alias]]</f>
        <v>0</v>
      </c>
    </row>
    <row r="335" spans="1:34" ht="69">
      <c r="A335" t="s">
        <v>4266</v>
      </c>
      <c r="B335" t="s">
        <v>1235</v>
      </c>
      <c r="C335" t="s">
        <v>4412</v>
      </c>
      <c r="D335" t="s">
        <v>1216</v>
      </c>
      <c r="E335" t="s">
        <v>673</v>
      </c>
      <c r="F335">
        <v>1E-3</v>
      </c>
      <c r="G335" t="s">
        <v>4413</v>
      </c>
      <c r="H335">
        <v>23.4</v>
      </c>
      <c r="I335" t="s">
        <v>4431</v>
      </c>
      <c r="J335">
        <v>0.27</v>
      </c>
      <c r="L335">
        <v>0</v>
      </c>
      <c r="M335" t="s">
        <v>4414</v>
      </c>
      <c r="N335" t="s">
        <v>4432</v>
      </c>
      <c r="P335" s="65" t="s">
        <v>4416</v>
      </c>
      <c r="S335" s="64">
        <f t="shared" si="7"/>
        <v>0.27</v>
      </c>
      <c r="U335">
        <v>0</v>
      </c>
      <c r="V335">
        <v>7.0000000000000007E-2</v>
      </c>
      <c r="W335">
        <v>0.2</v>
      </c>
      <c r="X335" s="56" t="str">
        <f>GHGFY20[[#This Row],[Data Source (scope 1)]]</f>
        <v>NGER (Measurement) Determination 2008 2019versions pg 319 - Part 3 Fuel combustion - 51</v>
      </c>
      <c r="Y335" s="65" t="s">
        <v>4416</v>
      </c>
      <c r="AB335" s="3">
        <f>(S335-GHGFY20[[#This Row],[Scope 1 Emission factor]])/GHGFY20[[#This Row],[Scope 1 Emission factor]]</f>
        <v>0</v>
      </c>
      <c r="AC335" s="3" t="e">
        <f>(T335-GHGFY20[[#This Row],[Scope 2 Emission factor]])/GHGFY20[[#This Row],[Scope 2 Emission factor]]</f>
        <v>#DIV/0!</v>
      </c>
      <c r="AD335" s="3" t="e">
        <f>(U335-GHGFY20[[#This Row],[Scope 3 Emission factor]])/GHGFY20[[#This Row],[Scope 3 Emission factor]]</f>
        <v>#DIV/0!</v>
      </c>
      <c r="AH335" t="b">
        <f>GHGFY20[[#This Row],[Reporting Alias]]=GHGFY207[[#This Row],[Reporting Alias]]</f>
        <v>0</v>
      </c>
    </row>
    <row r="336" spans="1:34" ht="69">
      <c r="A336" t="s">
        <v>4263</v>
      </c>
      <c r="B336" t="s">
        <v>1235</v>
      </c>
      <c r="C336" t="s">
        <v>4412</v>
      </c>
      <c r="D336" t="s">
        <v>1193</v>
      </c>
      <c r="E336" t="s">
        <v>673</v>
      </c>
      <c r="F336">
        <v>1E-3</v>
      </c>
      <c r="G336" t="s">
        <v>4413</v>
      </c>
      <c r="H336">
        <v>23.4</v>
      </c>
      <c r="I336" t="s">
        <v>4431</v>
      </c>
      <c r="J336">
        <v>0.27</v>
      </c>
      <c r="L336">
        <v>0</v>
      </c>
      <c r="M336" t="s">
        <v>4414</v>
      </c>
      <c r="N336" t="s">
        <v>4432</v>
      </c>
      <c r="P336" s="65" t="s">
        <v>4416</v>
      </c>
      <c r="S336" s="64">
        <f t="shared" si="7"/>
        <v>0.27</v>
      </c>
      <c r="U336">
        <v>0</v>
      </c>
      <c r="V336">
        <v>7.0000000000000007E-2</v>
      </c>
      <c r="W336">
        <v>0.2</v>
      </c>
      <c r="X336" s="56" t="str">
        <f>GHGFY20[[#This Row],[Data Source (scope 1)]]</f>
        <v>NGER (Measurement) Determination 2008 2019versions pg 319 - Part 3 Fuel combustion - 51</v>
      </c>
      <c r="Y336" s="65" t="s">
        <v>4416</v>
      </c>
      <c r="AB336" s="3">
        <f>(S336-GHGFY20[[#This Row],[Scope 1 Emission factor]])/GHGFY20[[#This Row],[Scope 1 Emission factor]]</f>
        <v>0</v>
      </c>
      <c r="AC336" s="3" t="e">
        <f>(T336-GHGFY20[[#This Row],[Scope 2 Emission factor]])/GHGFY20[[#This Row],[Scope 2 Emission factor]]</f>
        <v>#DIV/0!</v>
      </c>
      <c r="AD336" s="3" t="e">
        <f>(U336-GHGFY20[[#This Row],[Scope 3 Emission factor]])/GHGFY20[[#This Row],[Scope 3 Emission factor]]</f>
        <v>#DIV/0!</v>
      </c>
      <c r="AH336" t="b">
        <f>GHGFY20[[#This Row],[Reporting Alias]]=GHGFY207[[#This Row],[Reporting Alias]]</f>
        <v>0</v>
      </c>
    </row>
    <row r="337" spans="1:34" ht="69">
      <c r="A337" t="s">
        <v>4264</v>
      </c>
      <c r="B337" t="s">
        <v>1235</v>
      </c>
      <c r="C337" t="s">
        <v>4412</v>
      </c>
      <c r="D337" t="s">
        <v>1213</v>
      </c>
      <c r="E337" t="s">
        <v>673</v>
      </c>
      <c r="F337">
        <v>1E-3</v>
      </c>
      <c r="G337" t="s">
        <v>4413</v>
      </c>
      <c r="H337">
        <v>23.4</v>
      </c>
      <c r="I337" t="s">
        <v>4431</v>
      </c>
      <c r="J337">
        <v>0.27</v>
      </c>
      <c r="L337">
        <v>0</v>
      </c>
      <c r="M337" t="s">
        <v>4414</v>
      </c>
      <c r="N337" t="s">
        <v>4432</v>
      </c>
      <c r="P337" s="65" t="s">
        <v>4416</v>
      </c>
      <c r="S337" s="64">
        <f t="shared" si="7"/>
        <v>0.27</v>
      </c>
      <c r="U337">
        <v>0</v>
      </c>
      <c r="V337">
        <v>7.0000000000000007E-2</v>
      </c>
      <c r="W337">
        <v>0.2</v>
      </c>
      <c r="X337" s="56" t="str">
        <f>GHGFY20[[#This Row],[Data Source (scope 1)]]</f>
        <v>NGER (Measurement) Determination 2008 2019versions pg 319 - Part 3 Fuel combustion - 51</v>
      </c>
      <c r="Y337" s="65" t="s">
        <v>4416</v>
      </c>
      <c r="AB337" s="3">
        <f>(S337-GHGFY20[[#This Row],[Scope 1 Emission factor]])/GHGFY20[[#This Row],[Scope 1 Emission factor]]</f>
        <v>0</v>
      </c>
      <c r="AC337" s="3" t="e">
        <f>(T337-GHGFY20[[#This Row],[Scope 2 Emission factor]])/GHGFY20[[#This Row],[Scope 2 Emission factor]]</f>
        <v>#DIV/0!</v>
      </c>
      <c r="AD337" s="3" t="e">
        <f>(U337-GHGFY20[[#This Row],[Scope 3 Emission factor]])/GHGFY20[[#This Row],[Scope 3 Emission factor]]</f>
        <v>#DIV/0!</v>
      </c>
      <c r="AH337" t="b">
        <f>GHGFY20[[#This Row],[Reporting Alias]]=GHGFY207[[#This Row],[Reporting Alias]]</f>
        <v>0</v>
      </c>
    </row>
    <row r="338" spans="1:34">
      <c r="A338" t="s">
        <v>1068</v>
      </c>
      <c r="B338" t="s">
        <v>1235</v>
      </c>
      <c r="C338" t="s">
        <v>4412</v>
      </c>
      <c r="D338" t="s">
        <v>1210</v>
      </c>
      <c r="E338" t="s">
        <v>673</v>
      </c>
      <c r="F338">
        <v>1E-3</v>
      </c>
      <c r="G338" t="s">
        <v>4413</v>
      </c>
      <c r="H338">
        <v>34.200000000000003</v>
      </c>
      <c r="I338" t="s">
        <v>4431</v>
      </c>
      <c r="J338">
        <v>67.800000000000011</v>
      </c>
      <c r="L338">
        <v>3.6</v>
      </c>
      <c r="M338" t="s">
        <v>4414</v>
      </c>
      <c r="N338" t="s">
        <v>4419</v>
      </c>
      <c r="P338" s="65" t="s">
        <v>4416</v>
      </c>
      <c r="S338" s="64"/>
      <c r="Y338" s="65"/>
      <c r="AB338" s="3"/>
      <c r="AC338" s="3"/>
      <c r="AD338" s="3"/>
    </row>
    <row r="339" spans="1:34">
      <c r="A339" t="s">
        <v>1069</v>
      </c>
      <c r="B339" t="s">
        <v>1235</v>
      </c>
      <c r="C339" t="s">
        <v>4412</v>
      </c>
      <c r="D339" t="s">
        <v>1216</v>
      </c>
      <c r="E339" t="s">
        <v>673</v>
      </c>
      <c r="F339">
        <v>1E-3</v>
      </c>
      <c r="G339" t="s">
        <v>4413</v>
      </c>
      <c r="H339">
        <v>34.200000000000003</v>
      </c>
      <c r="I339" t="s">
        <v>4431</v>
      </c>
      <c r="J339">
        <v>67.800000000000011</v>
      </c>
      <c r="L339">
        <v>3.6</v>
      </c>
      <c r="M339" t="s">
        <v>4414</v>
      </c>
      <c r="N339" t="s">
        <v>4419</v>
      </c>
      <c r="P339" s="65" t="s">
        <v>4416</v>
      </c>
      <c r="S339" s="64"/>
      <c r="Y339" s="65"/>
      <c r="AB339" s="3"/>
      <c r="AC339" s="3"/>
      <c r="AD339" s="3"/>
    </row>
    <row r="340" spans="1:34" ht="69">
      <c r="A340" t="s">
        <v>1063</v>
      </c>
      <c r="B340" t="s">
        <v>1235</v>
      </c>
      <c r="C340" t="s">
        <v>4412</v>
      </c>
      <c r="D340" t="s">
        <v>1208</v>
      </c>
      <c r="E340" t="s">
        <v>673</v>
      </c>
      <c r="F340">
        <v>1E-3</v>
      </c>
      <c r="G340" t="s">
        <v>4413</v>
      </c>
      <c r="H340">
        <v>34.200000000000003</v>
      </c>
      <c r="I340" t="s">
        <v>4431</v>
      </c>
      <c r="J340">
        <v>67.800000000000011</v>
      </c>
      <c r="L340">
        <v>3.6</v>
      </c>
      <c r="M340" t="s">
        <v>4414</v>
      </c>
      <c r="N340" t="s">
        <v>4419</v>
      </c>
      <c r="P340" s="65" t="s">
        <v>4416</v>
      </c>
      <c r="S340" s="64"/>
      <c r="X340" s="56" t="str">
        <f>GHGFY20[[#This Row],[Data Source (scope 1)]]</f>
        <v>NGER (Measurement) Determination 2008 2019versions pg 318 - Part 3 Fuel combustion - 35</v>
      </c>
      <c r="Y340" s="65"/>
      <c r="AB340" s="3"/>
      <c r="AC340" s="3"/>
      <c r="AD340" s="3"/>
      <c r="AH340" t="b">
        <f>GHGFY20[[#This Row],[Reporting Alias]]=GHGFY207[[#This Row],[Reporting Alias]]</f>
        <v>0</v>
      </c>
    </row>
    <row r="341" spans="1:34" ht="69">
      <c r="A341" t="s">
        <v>1064</v>
      </c>
      <c r="B341" t="s">
        <v>1235</v>
      </c>
      <c r="C341" t="s">
        <v>4412</v>
      </c>
      <c r="D341" t="s">
        <v>1210</v>
      </c>
      <c r="E341" t="s">
        <v>673</v>
      </c>
      <c r="F341">
        <v>1E-3</v>
      </c>
      <c r="G341" t="s">
        <v>4413</v>
      </c>
      <c r="H341">
        <v>34.200000000000003</v>
      </c>
      <c r="I341" t="s">
        <v>4431</v>
      </c>
      <c r="J341">
        <v>67.800000000000011</v>
      </c>
      <c r="L341">
        <v>3.6</v>
      </c>
      <c r="M341" t="s">
        <v>4414</v>
      </c>
      <c r="N341" t="s">
        <v>4419</v>
      </c>
      <c r="P341" s="65" t="s">
        <v>4416</v>
      </c>
      <c r="S341" s="64"/>
      <c r="X341" s="56" t="str">
        <f>GHGFY20[[#This Row],[Data Source (scope 1)]]</f>
        <v>NGER (Measurement) Determination 2008 2019versions pg 318 - Part 3 Fuel combustion - 35</v>
      </c>
      <c r="Y341" s="65"/>
      <c r="AB341" s="3"/>
      <c r="AC341" s="3"/>
      <c r="AD341" s="3"/>
      <c r="AH341" t="b">
        <f>GHGFY20[[#This Row],[Reporting Alias]]=GHGFY207[[#This Row],[Reporting Alias]]</f>
        <v>0</v>
      </c>
    </row>
    <row r="342" spans="1:34" ht="69">
      <c r="A342" t="s">
        <v>1065</v>
      </c>
      <c r="B342" t="s">
        <v>1235</v>
      </c>
      <c r="C342" t="s">
        <v>4412</v>
      </c>
      <c r="D342" t="s">
        <v>1216</v>
      </c>
      <c r="E342" t="s">
        <v>673</v>
      </c>
      <c r="F342">
        <v>1E-3</v>
      </c>
      <c r="G342" t="s">
        <v>4413</v>
      </c>
      <c r="H342">
        <v>34.200000000000003</v>
      </c>
      <c r="I342" t="s">
        <v>4431</v>
      </c>
      <c r="J342">
        <v>67.800000000000011</v>
      </c>
      <c r="L342">
        <v>3.6</v>
      </c>
      <c r="M342" t="s">
        <v>4414</v>
      </c>
      <c r="N342" t="s">
        <v>4419</v>
      </c>
      <c r="P342" s="65" t="s">
        <v>4416</v>
      </c>
      <c r="S342" s="64"/>
      <c r="X342" s="56" t="str">
        <f>GHGFY20[[#This Row],[Data Source (scope 1)]]</f>
        <v>NGER (Measurement) Determination 2008 2019versions pg 318 - Part 3 Fuel combustion - 35</v>
      </c>
      <c r="Y342" s="65"/>
      <c r="AB342" s="3"/>
      <c r="AC342" s="3"/>
      <c r="AD342" s="3"/>
      <c r="AH342" t="b">
        <f>GHGFY20[[#This Row],[Reporting Alias]]=GHGFY207[[#This Row],[Reporting Alias]]</f>
        <v>0</v>
      </c>
    </row>
    <row r="343" spans="1:34" ht="69">
      <c r="A343" t="s">
        <v>4261</v>
      </c>
      <c r="B343" t="s">
        <v>1235</v>
      </c>
      <c r="C343" t="s">
        <v>4412</v>
      </c>
      <c r="D343" t="s">
        <v>1208</v>
      </c>
      <c r="E343" t="s">
        <v>673</v>
      </c>
      <c r="F343">
        <v>1E-3</v>
      </c>
      <c r="G343" t="s">
        <v>4413</v>
      </c>
      <c r="H343">
        <v>23.4</v>
      </c>
      <c r="I343" t="s">
        <v>4431</v>
      </c>
      <c r="J343">
        <v>0.27</v>
      </c>
      <c r="L343">
        <v>0</v>
      </c>
      <c r="M343" t="s">
        <v>4414</v>
      </c>
      <c r="N343" t="s">
        <v>4432</v>
      </c>
      <c r="P343" s="65" t="s">
        <v>4416</v>
      </c>
      <c r="S343" s="64">
        <f t="shared" si="7"/>
        <v>0.27</v>
      </c>
      <c r="U343">
        <v>0</v>
      </c>
      <c r="V343">
        <v>7.0000000000000007E-2</v>
      </c>
      <c r="W343">
        <v>0.2</v>
      </c>
      <c r="X343" s="56" t="str">
        <f>GHGFY20[[#This Row],[Data Source (scope 1)]]</f>
        <v>NGER (Measurement) Determination 2008 2019versions pg 319 - Part 3 Fuel combustion - 51</v>
      </c>
      <c r="Y343" s="65" t="s">
        <v>4416</v>
      </c>
      <c r="AB343" s="3">
        <f>(S343-GHGFY20[[#This Row],[Scope 1 Emission factor]])/GHGFY20[[#This Row],[Scope 1 Emission factor]]</f>
        <v>0</v>
      </c>
      <c r="AC343" s="3" t="e">
        <f>(T343-GHGFY20[[#This Row],[Scope 2 Emission factor]])/GHGFY20[[#This Row],[Scope 2 Emission factor]]</f>
        <v>#DIV/0!</v>
      </c>
      <c r="AD343" s="3" t="e">
        <f>(U343-GHGFY20[[#This Row],[Scope 3 Emission factor]])/GHGFY20[[#This Row],[Scope 3 Emission factor]]</f>
        <v>#DIV/0!</v>
      </c>
      <c r="AH343" t="b">
        <f>GHGFY20[[#This Row],[Reporting Alias]]=GHGFY207[[#This Row],[Reporting Alias]]</f>
        <v>0</v>
      </c>
    </row>
    <row r="344" spans="1:34" ht="69">
      <c r="A344" t="s">
        <v>956</v>
      </c>
      <c r="B344" t="s">
        <v>4275</v>
      </c>
      <c r="C344" t="s">
        <v>4412</v>
      </c>
      <c r="D344" t="s">
        <v>1192</v>
      </c>
      <c r="E344" t="s">
        <v>673</v>
      </c>
      <c r="F344">
        <v>1E-3</v>
      </c>
      <c r="G344" t="s">
        <v>4413</v>
      </c>
      <c r="H344">
        <v>38.6</v>
      </c>
      <c r="I344" t="s">
        <v>1140</v>
      </c>
      <c r="J344">
        <v>70.2</v>
      </c>
      <c r="L344">
        <v>3.6</v>
      </c>
      <c r="M344" t="s">
        <v>4414</v>
      </c>
      <c r="N344" t="s">
        <v>4415</v>
      </c>
      <c r="P344" s="65" t="s">
        <v>4416</v>
      </c>
      <c r="S344" s="64">
        <f>SUM(U344:W344)</f>
        <v>70.2</v>
      </c>
      <c r="U344" s="5">
        <v>69.900000000000006</v>
      </c>
      <c r="V344" s="5">
        <v>0.1</v>
      </c>
      <c r="W344" s="5">
        <v>0.2</v>
      </c>
      <c r="X344" s="56" t="str">
        <f>GHGFY20[[#This Row],[Data Source (scope 1)]]</f>
        <v>NGER (Measurement) Determination 2008 2019versions pg 318 - Part 3 Fuel combustion - 40</v>
      </c>
      <c r="Y344" s="65" t="s">
        <v>4416</v>
      </c>
      <c r="AB344" s="3">
        <f>(S344-GHGFY20[[#This Row],[Scope 1 Emission factor]])/GHGFY20[[#This Row],[Scope 1 Emission factor]]</f>
        <v>0</v>
      </c>
      <c r="AC344" s="3" t="e">
        <f>(T344-GHGFY20[[#This Row],[Scope 2 Emission factor]])/GHGFY20[[#This Row],[Scope 2 Emission factor]]</f>
        <v>#DIV/0!</v>
      </c>
      <c r="AD344" s="3">
        <f>(U344-GHGFY20[[#This Row],[Scope 3 Emission factor]])/GHGFY20[[#This Row],[Scope 3 Emission factor]]</f>
        <v>18.416666666666668</v>
      </c>
      <c r="AH344" t="b">
        <f>GHGFY20[[#This Row],[Reporting Alias]]=GHGFY207[[#This Row],[Reporting Alias]]</f>
        <v>0</v>
      </c>
    </row>
    <row r="345" spans="1:34" ht="69">
      <c r="A345" t="s">
        <v>958</v>
      </c>
      <c r="B345" t="s">
        <v>4275</v>
      </c>
      <c r="C345" t="s">
        <v>4412</v>
      </c>
      <c r="D345" t="s">
        <v>1210</v>
      </c>
      <c r="E345" t="s">
        <v>673</v>
      </c>
      <c r="F345">
        <v>1E-3</v>
      </c>
      <c r="G345" t="s">
        <v>4413</v>
      </c>
      <c r="H345">
        <v>38.6</v>
      </c>
      <c r="I345" t="s">
        <v>1140</v>
      </c>
      <c r="J345">
        <v>70.2</v>
      </c>
      <c r="L345">
        <v>3.6</v>
      </c>
      <c r="M345" t="s">
        <v>4414</v>
      </c>
      <c r="N345" t="s">
        <v>4415</v>
      </c>
      <c r="P345" s="65" t="s">
        <v>4416</v>
      </c>
      <c r="R345" t="s">
        <v>4434</v>
      </c>
      <c r="S345" s="64">
        <f t="shared" ref="S345:S350" si="8">SUM(U345:W345)</f>
        <v>70.2</v>
      </c>
      <c r="U345" s="5">
        <v>69.900000000000006</v>
      </c>
      <c r="V345" s="5">
        <v>0.1</v>
      </c>
      <c r="W345" s="5">
        <v>0.2</v>
      </c>
      <c r="X345" s="56" t="str">
        <f>GHGFY20[[#This Row],[Data Source (scope 1)]]</f>
        <v>NGER (Measurement) Determination 2008 2019versions pg 318 - Part 3 Fuel combustion - 40</v>
      </c>
      <c r="Y345" s="65" t="s">
        <v>4416</v>
      </c>
      <c r="AB345" s="3">
        <f>(S345-GHGFY20[[#This Row],[Scope 1 Emission factor]])/GHGFY20[[#This Row],[Scope 1 Emission factor]]</f>
        <v>0</v>
      </c>
      <c r="AC345" s="3" t="e">
        <f>(T345-GHGFY20[[#This Row],[Scope 2 Emission factor]])/GHGFY20[[#This Row],[Scope 2 Emission factor]]</f>
        <v>#DIV/0!</v>
      </c>
      <c r="AD345" s="3">
        <f>(U345-GHGFY20[[#This Row],[Scope 3 Emission factor]])/GHGFY20[[#This Row],[Scope 3 Emission factor]]</f>
        <v>18.416666666666668</v>
      </c>
      <c r="AH345" t="b">
        <f>GHGFY20[[#This Row],[Reporting Alias]]=GHGFY207[[#This Row],[Reporting Alias]]</f>
        <v>0</v>
      </c>
    </row>
    <row r="346" spans="1:34" ht="69">
      <c r="A346" t="s">
        <v>959</v>
      </c>
      <c r="B346" t="s">
        <v>4275</v>
      </c>
      <c r="C346" t="s">
        <v>4412</v>
      </c>
      <c r="D346" t="s">
        <v>1193</v>
      </c>
      <c r="E346" t="s">
        <v>673</v>
      </c>
      <c r="F346">
        <v>1E-3</v>
      </c>
      <c r="G346" t="s">
        <v>4413</v>
      </c>
      <c r="H346">
        <v>38.6</v>
      </c>
      <c r="I346" t="s">
        <v>1140</v>
      </c>
      <c r="J346">
        <v>70.2</v>
      </c>
      <c r="L346">
        <v>3.6</v>
      </c>
      <c r="M346" t="s">
        <v>4414</v>
      </c>
      <c r="N346" t="s">
        <v>4415</v>
      </c>
      <c r="P346" s="65" t="s">
        <v>4416</v>
      </c>
      <c r="S346" s="64">
        <f t="shared" si="8"/>
        <v>70.2</v>
      </c>
      <c r="U346" s="5">
        <v>69.900000000000006</v>
      </c>
      <c r="V346" s="5">
        <v>0.1</v>
      </c>
      <c r="W346" s="5">
        <v>0.2</v>
      </c>
      <c r="X346" s="56" t="str">
        <f>GHGFY20[[#This Row],[Data Source (scope 1)]]</f>
        <v>NGER (Measurement) Determination 2008 2019versions pg 318 - Part 3 Fuel combustion - 40</v>
      </c>
      <c r="Y346" s="65" t="s">
        <v>4416</v>
      </c>
      <c r="AB346" s="3">
        <f>(S346-GHGFY20[[#This Row],[Scope 1 Emission factor]])/GHGFY20[[#This Row],[Scope 1 Emission factor]]</f>
        <v>0</v>
      </c>
      <c r="AC346" s="3" t="e">
        <f>(T346-GHGFY20[[#This Row],[Scope 2 Emission factor]])/GHGFY20[[#This Row],[Scope 2 Emission factor]]</f>
        <v>#DIV/0!</v>
      </c>
      <c r="AD346" s="3">
        <f>(U346-GHGFY20[[#This Row],[Scope 3 Emission factor]])/GHGFY20[[#This Row],[Scope 3 Emission factor]]</f>
        <v>18.416666666666668</v>
      </c>
      <c r="AH346" t="b">
        <f>GHGFY20[[#This Row],[Reporting Alias]]=GHGFY207[[#This Row],[Reporting Alias]]</f>
        <v>0</v>
      </c>
    </row>
    <row r="347" spans="1:34" ht="69">
      <c r="A347" t="s">
        <v>960</v>
      </c>
      <c r="B347" t="s">
        <v>4275</v>
      </c>
      <c r="C347" t="s">
        <v>4412</v>
      </c>
      <c r="D347" t="s">
        <v>1213</v>
      </c>
      <c r="E347" t="s">
        <v>673</v>
      </c>
      <c r="F347">
        <v>1E-3</v>
      </c>
      <c r="G347" t="s">
        <v>4413</v>
      </c>
      <c r="H347">
        <v>38.6</v>
      </c>
      <c r="I347" t="s">
        <v>1140</v>
      </c>
      <c r="J347">
        <v>70.2</v>
      </c>
      <c r="L347">
        <v>3.6</v>
      </c>
      <c r="M347" t="s">
        <v>4414</v>
      </c>
      <c r="N347" t="s">
        <v>4415</v>
      </c>
      <c r="P347" s="65" t="s">
        <v>4416</v>
      </c>
      <c r="S347" s="64">
        <f t="shared" si="8"/>
        <v>70.2</v>
      </c>
      <c r="U347" s="5">
        <v>69.900000000000006</v>
      </c>
      <c r="V347" s="5">
        <v>0.1</v>
      </c>
      <c r="W347" s="5">
        <v>0.2</v>
      </c>
      <c r="X347" s="56" t="str">
        <f>GHGFY20[[#This Row],[Data Source (scope 1)]]</f>
        <v>NGER (Measurement) Determination 2008 2019versions pg 318 - Part 3 Fuel combustion - 40</v>
      </c>
      <c r="Y347" s="65" t="s">
        <v>4416</v>
      </c>
      <c r="AB347" s="3">
        <f>(S347-GHGFY20[[#This Row],[Scope 1 Emission factor]])/GHGFY20[[#This Row],[Scope 1 Emission factor]]</f>
        <v>0</v>
      </c>
      <c r="AC347" s="3" t="e">
        <f>(T347-GHGFY20[[#This Row],[Scope 2 Emission factor]])/GHGFY20[[#This Row],[Scope 2 Emission factor]]</f>
        <v>#DIV/0!</v>
      </c>
      <c r="AD347" s="3">
        <f>(U347-GHGFY20[[#This Row],[Scope 3 Emission factor]])/GHGFY20[[#This Row],[Scope 3 Emission factor]]</f>
        <v>18.416666666666668</v>
      </c>
      <c r="AH347" t="b">
        <f>GHGFY20[[#This Row],[Reporting Alias]]=GHGFY207[[#This Row],[Reporting Alias]]</f>
        <v>0</v>
      </c>
    </row>
    <row r="348" spans="1:34" ht="69">
      <c r="A348" t="s">
        <v>961</v>
      </c>
      <c r="B348" t="s">
        <v>4275</v>
      </c>
      <c r="C348" t="s">
        <v>4412</v>
      </c>
      <c r="D348" t="s">
        <v>1189</v>
      </c>
      <c r="E348" t="s">
        <v>673</v>
      </c>
      <c r="F348">
        <v>1E-3</v>
      </c>
      <c r="G348" t="s">
        <v>4413</v>
      </c>
      <c r="H348">
        <v>38.6</v>
      </c>
      <c r="I348" t="s">
        <v>1140</v>
      </c>
      <c r="J348">
        <v>70.2</v>
      </c>
      <c r="L348">
        <v>3.6</v>
      </c>
      <c r="M348" t="s">
        <v>4414</v>
      </c>
      <c r="N348" t="s">
        <v>4415</v>
      </c>
      <c r="P348" s="65" t="s">
        <v>4416</v>
      </c>
      <c r="S348" s="64">
        <f t="shared" si="8"/>
        <v>70.2</v>
      </c>
      <c r="U348" s="5">
        <v>69.900000000000006</v>
      </c>
      <c r="V348" s="5">
        <v>0.1</v>
      </c>
      <c r="W348" s="5">
        <v>0.2</v>
      </c>
      <c r="X348" s="56" t="str">
        <f>GHGFY20[[#This Row],[Data Source (scope 1)]]</f>
        <v>NGER (Measurement) Determination 2008 2019versions pg 318 - Part 3 Fuel combustion - 40</v>
      </c>
      <c r="Y348" s="65" t="s">
        <v>4416</v>
      </c>
      <c r="AB348" s="3">
        <f>(S348-GHGFY20[[#This Row],[Scope 1 Emission factor]])/GHGFY20[[#This Row],[Scope 1 Emission factor]]</f>
        <v>0</v>
      </c>
      <c r="AC348" s="3" t="e">
        <f>(T348-GHGFY20[[#This Row],[Scope 2 Emission factor]])/GHGFY20[[#This Row],[Scope 2 Emission factor]]</f>
        <v>#DIV/0!</v>
      </c>
      <c r="AD348" s="3">
        <f>(U348-GHGFY20[[#This Row],[Scope 3 Emission factor]])/GHGFY20[[#This Row],[Scope 3 Emission factor]]</f>
        <v>18.416666666666668</v>
      </c>
      <c r="AH348" t="b">
        <f>GHGFY20[[#This Row],[Reporting Alias]]=GHGFY207[[#This Row],[Reporting Alias]]</f>
        <v>0</v>
      </c>
    </row>
    <row r="349" spans="1:34" ht="69">
      <c r="A349" t="s">
        <v>962</v>
      </c>
      <c r="B349" t="s">
        <v>4275</v>
      </c>
      <c r="C349" t="s">
        <v>4412</v>
      </c>
      <c r="D349" t="s">
        <v>1216</v>
      </c>
      <c r="E349" t="s">
        <v>673</v>
      </c>
      <c r="F349">
        <v>1E-3</v>
      </c>
      <c r="G349" t="s">
        <v>4413</v>
      </c>
      <c r="H349">
        <v>38.6</v>
      </c>
      <c r="I349" t="s">
        <v>1140</v>
      </c>
      <c r="J349">
        <v>70.2</v>
      </c>
      <c r="L349">
        <v>3.6</v>
      </c>
      <c r="M349" t="s">
        <v>4414</v>
      </c>
      <c r="N349" t="s">
        <v>4415</v>
      </c>
      <c r="P349" s="65" t="s">
        <v>4416</v>
      </c>
      <c r="S349" s="64">
        <f t="shared" si="8"/>
        <v>70.2</v>
      </c>
      <c r="U349" s="5">
        <v>69.900000000000006</v>
      </c>
      <c r="V349" s="5">
        <v>0.1</v>
      </c>
      <c r="W349" s="5">
        <v>0.2</v>
      </c>
      <c r="X349" s="56" t="str">
        <f>GHGFY20[[#This Row],[Data Source (scope 1)]]</f>
        <v>NGER (Measurement) Determination 2008 2019versions pg 318 - Part 3 Fuel combustion - 40</v>
      </c>
      <c r="Y349" s="65" t="s">
        <v>4416</v>
      </c>
      <c r="AB349" s="3">
        <f>(S349-GHGFY20[[#This Row],[Scope 1 Emission factor]])/GHGFY20[[#This Row],[Scope 1 Emission factor]]</f>
        <v>0</v>
      </c>
      <c r="AC349" s="3" t="e">
        <f>(T349-GHGFY20[[#This Row],[Scope 2 Emission factor]])/GHGFY20[[#This Row],[Scope 2 Emission factor]]</f>
        <v>#DIV/0!</v>
      </c>
      <c r="AD349" s="3">
        <f>(U349-GHGFY20[[#This Row],[Scope 3 Emission factor]])/GHGFY20[[#This Row],[Scope 3 Emission factor]]</f>
        <v>18.416666666666668</v>
      </c>
      <c r="AH349" t="b">
        <f>GHGFY20[[#This Row],[Reporting Alias]]=GHGFY207[[#This Row],[Reporting Alias]]</f>
        <v>0</v>
      </c>
    </row>
    <row r="350" spans="1:34" ht="69">
      <c r="A350" t="s">
        <v>957</v>
      </c>
      <c r="B350" t="s">
        <v>4275</v>
      </c>
      <c r="C350" t="s">
        <v>4412</v>
      </c>
      <c r="D350" t="s">
        <v>1208</v>
      </c>
      <c r="E350" t="s">
        <v>673</v>
      </c>
      <c r="F350">
        <v>1E-3</v>
      </c>
      <c r="G350" t="s">
        <v>4413</v>
      </c>
      <c r="H350">
        <v>38.6</v>
      </c>
      <c r="I350" t="s">
        <v>1140</v>
      </c>
      <c r="J350">
        <v>70.2</v>
      </c>
      <c r="L350">
        <v>3.6</v>
      </c>
      <c r="M350" t="s">
        <v>4414</v>
      </c>
      <c r="N350" t="s">
        <v>4415</v>
      </c>
      <c r="P350" s="65" t="s">
        <v>4416</v>
      </c>
      <c r="S350" s="66">
        <f t="shared" si="8"/>
        <v>70.2</v>
      </c>
      <c r="U350" s="5">
        <v>69.900000000000006</v>
      </c>
      <c r="V350" s="5">
        <v>0.1</v>
      </c>
      <c r="W350" s="5">
        <v>0.2</v>
      </c>
      <c r="X350" s="56" t="str">
        <f>GHGFY20[[#This Row],[Data Source (scope 1)]]</f>
        <v>NGER (Measurement) Determination 2008 2019versions pg 318 - Part 3 Fuel combustion - 40</v>
      </c>
      <c r="Y350" s="65" t="s">
        <v>4416</v>
      </c>
      <c r="AB350" s="3">
        <f>(S350-GHGFY20[[#This Row],[Scope 1 Emission factor]])/GHGFY20[[#This Row],[Scope 1 Emission factor]]</f>
        <v>0</v>
      </c>
      <c r="AC350" s="3" t="e">
        <f>(T350-GHGFY20[[#This Row],[Scope 2 Emission factor]])/GHGFY20[[#This Row],[Scope 2 Emission factor]]</f>
        <v>#DIV/0!</v>
      </c>
      <c r="AD350" s="3">
        <f>(U350-GHGFY20[[#This Row],[Scope 3 Emission factor]])/GHGFY20[[#This Row],[Scope 3 Emission factor]]</f>
        <v>18.416666666666668</v>
      </c>
      <c r="AH350" t="b">
        <f>GHGFY20[[#This Row],[Reporting Alias]]=GHGFY207[[#This Row],[Reporting Alias]]</f>
        <v>0</v>
      </c>
    </row>
    <row r="351" spans="1:34">
      <c r="A351" t="s">
        <v>978</v>
      </c>
      <c r="B351" t="s">
        <v>4276</v>
      </c>
      <c r="C351" t="s">
        <v>4402</v>
      </c>
      <c r="D351" t="s">
        <v>1190</v>
      </c>
      <c r="E351" t="s">
        <v>663</v>
      </c>
      <c r="H351">
        <v>3.5999999999999999E-3</v>
      </c>
      <c r="I351" t="s">
        <v>1137</v>
      </c>
      <c r="J351">
        <v>0</v>
      </c>
      <c r="K351">
        <v>0</v>
      </c>
      <c r="L351">
        <v>0</v>
      </c>
      <c r="M351" t="s">
        <v>4403</v>
      </c>
      <c r="S351" s="66"/>
      <c r="U351" s="5"/>
      <c r="V351" s="5"/>
      <c r="W351" s="5"/>
      <c r="Y351" s="65"/>
      <c r="AB351" s="3"/>
      <c r="AC351" s="3" t="e">
        <f>(T351-GHGFY20[[#This Row],[Scope 2 Emission factor]])/GHGFY20[[#This Row],[Scope 2 Emission factor]]</f>
        <v>#DIV/0!</v>
      </c>
      <c r="AD351" s="3" t="e">
        <f>(U351-GHGFY20[[#This Row],[Scope 3 Emission factor]])/GHGFY20[[#This Row],[Scope 3 Emission factor]]</f>
        <v>#DIV/0!</v>
      </c>
      <c r="AH351" t="b">
        <f>GHGFY20[[#This Row],[Reporting Alias]]=GHGFY207[[#This Row],[Reporting Alias]]</f>
        <v>0</v>
      </c>
    </row>
    <row r="352" spans="1:34">
      <c r="A352" t="s">
        <v>979</v>
      </c>
      <c r="B352" t="s">
        <v>4276</v>
      </c>
      <c r="C352" t="s">
        <v>4402</v>
      </c>
      <c r="D352" t="s">
        <v>1192</v>
      </c>
      <c r="E352" t="s">
        <v>663</v>
      </c>
      <c r="H352">
        <v>3.5999999999999999E-3</v>
      </c>
      <c r="I352" t="s">
        <v>1137</v>
      </c>
      <c r="J352">
        <v>0</v>
      </c>
      <c r="K352">
        <v>0</v>
      </c>
      <c r="L352">
        <v>0</v>
      </c>
      <c r="M352" t="s">
        <v>4403</v>
      </c>
      <c r="S352" s="66"/>
      <c r="U352" s="5"/>
      <c r="V352" s="5"/>
      <c r="W352" s="5"/>
      <c r="Y352" s="65"/>
      <c r="AB352" s="3"/>
      <c r="AC352" s="3" t="e">
        <f>(T352-GHGFY20[[#This Row],[Scope 2 Emission factor]])/GHGFY20[[#This Row],[Scope 2 Emission factor]]</f>
        <v>#DIV/0!</v>
      </c>
      <c r="AD352" s="3" t="e">
        <f>(U352-GHGFY20[[#This Row],[Scope 3 Emission factor]])/GHGFY20[[#This Row],[Scope 3 Emission factor]]</f>
        <v>#DIV/0!</v>
      </c>
      <c r="AH352" t="b">
        <f>GHGFY20[[#This Row],[Reporting Alias]]=GHGFY207[[#This Row],[Reporting Alias]]</f>
        <v>0</v>
      </c>
    </row>
    <row r="353" spans="1:34">
      <c r="A353" t="s">
        <v>980</v>
      </c>
      <c r="B353" t="s">
        <v>4276</v>
      </c>
      <c r="C353" t="s">
        <v>4402</v>
      </c>
      <c r="D353" t="s">
        <v>1208</v>
      </c>
      <c r="E353" t="s">
        <v>663</v>
      </c>
      <c r="H353">
        <v>3.5999999999999999E-3</v>
      </c>
      <c r="I353" t="s">
        <v>1137</v>
      </c>
      <c r="J353">
        <v>0</v>
      </c>
      <c r="K353">
        <v>0</v>
      </c>
      <c r="L353">
        <v>0</v>
      </c>
      <c r="M353" t="s">
        <v>4403</v>
      </c>
      <c r="S353" s="66"/>
      <c r="U353" s="5"/>
      <c r="V353" s="5"/>
      <c r="W353" s="5"/>
      <c r="Y353" s="65"/>
      <c r="AB353" s="3"/>
      <c r="AC353" s="3" t="e">
        <f>(T353-GHGFY20[[#This Row],[Scope 2 Emission factor]])/GHGFY20[[#This Row],[Scope 2 Emission factor]]</f>
        <v>#DIV/0!</v>
      </c>
      <c r="AD353" s="3" t="e">
        <f>(U353-GHGFY20[[#This Row],[Scope 3 Emission factor]])/GHGFY20[[#This Row],[Scope 3 Emission factor]]</f>
        <v>#DIV/0!</v>
      </c>
      <c r="AH353" t="b">
        <f>GHGFY20[[#This Row],[Reporting Alias]]=GHGFY207[[#This Row],[Reporting Alias]]</f>
        <v>0</v>
      </c>
    </row>
    <row r="354" spans="1:34">
      <c r="A354" t="s">
        <v>981</v>
      </c>
      <c r="B354" t="s">
        <v>4276</v>
      </c>
      <c r="C354" t="s">
        <v>4402</v>
      </c>
      <c r="D354" t="s">
        <v>1210</v>
      </c>
      <c r="E354" t="s">
        <v>663</v>
      </c>
      <c r="H354">
        <v>3.5999999999999999E-3</v>
      </c>
      <c r="I354" t="s">
        <v>1137</v>
      </c>
      <c r="J354">
        <v>0</v>
      </c>
      <c r="K354">
        <v>0</v>
      </c>
      <c r="L354">
        <v>0</v>
      </c>
      <c r="M354" t="s">
        <v>4403</v>
      </c>
      <c r="S354" s="66"/>
      <c r="U354" s="5"/>
      <c r="V354" s="5"/>
      <c r="W354" s="5"/>
      <c r="Y354" s="65"/>
      <c r="AB354" s="3"/>
      <c r="AC354" s="3" t="e">
        <f>(T354-GHGFY20[[#This Row],[Scope 2 Emission factor]])/GHGFY20[[#This Row],[Scope 2 Emission factor]]</f>
        <v>#DIV/0!</v>
      </c>
      <c r="AD354" s="3" t="e">
        <f>(U354-GHGFY20[[#This Row],[Scope 3 Emission factor]])/GHGFY20[[#This Row],[Scope 3 Emission factor]]</f>
        <v>#DIV/0!</v>
      </c>
      <c r="AH354" t="b">
        <f>GHGFY20[[#This Row],[Reporting Alias]]=GHGFY207[[#This Row],[Reporting Alias]]</f>
        <v>0</v>
      </c>
    </row>
    <row r="355" spans="1:34">
      <c r="A355" t="s">
        <v>982</v>
      </c>
      <c r="B355" t="s">
        <v>4276</v>
      </c>
      <c r="C355" t="s">
        <v>4402</v>
      </c>
      <c r="D355" t="s">
        <v>1193</v>
      </c>
      <c r="E355" t="s">
        <v>663</v>
      </c>
      <c r="H355">
        <v>3.5999999999999999E-3</v>
      </c>
      <c r="I355" t="s">
        <v>1137</v>
      </c>
      <c r="J355">
        <v>0</v>
      </c>
      <c r="K355">
        <v>0</v>
      </c>
      <c r="L355">
        <v>0</v>
      </c>
      <c r="M355" t="s">
        <v>4403</v>
      </c>
      <c r="S355" s="66"/>
      <c r="U355" s="5"/>
      <c r="V355" s="5"/>
      <c r="W355" s="5"/>
      <c r="Y355" s="65"/>
      <c r="AB355" s="3"/>
      <c r="AC355" s="3" t="e">
        <f>(T355-GHGFY20[[#This Row],[Scope 2 Emission factor]])/GHGFY20[[#This Row],[Scope 2 Emission factor]]</f>
        <v>#DIV/0!</v>
      </c>
      <c r="AD355" s="3" t="e">
        <f>(U355-GHGFY20[[#This Row],[Scope 3 Emission factor]])/GHGFY20[[#This Row],[Scope 3 Emission factor]]</f>
        <v>#DIV/0!</v>
      </c>
      <c r="AH355" t="b">
        <f>GHGFY20[[#This Row],[Reporting Alias]]=GHGFY207[[#This Row],[Reporting Alias]]</f>
        <v>0</v>
      </c>
    </row>
    <row r="356" spans="1:34">
      <c r="A356" t="s">
        <v>983</v>
      </c>
      <c r="B356" t="s">
        <v>4276</v>
      </c>
      <c r="C356" t="s">
        <v>4402</v>
      </c>
      <c r="D356" t="s">
        <v>1213</v>
      </c>
      <c r="E356" t="s">
        <v>663</v>
      </c>
      <c r="H356">
        <v>3.5999999999999999E-3</v>
      </c>
      <c r="I356" t="s">
        <v>1137</v>
      </c>
      <c r="J356">
        <v>0</v>
      </c>
      <c r="K356">
        <v>0</v>
      </c>
      <c r="L356">
        <v>0</v>
      </c>
      <c r="M356" t="s">
        <v>4403</v>
      </c>
      <c r="S356" s="66"/>
      <c r="U356" s="5"/>
      <c r="V356" s="5"/>
      <c r="W356" s="5"/>
      <c r="Y356" s="65"/>
      <c r="AB356" s="3"/>
      <c r="AC356" s="3" t="e">
        <f>(T356-GHGFY20[[#This Row],[Scope 2 Emission factor]])/GHGFY20[[#This Row],[Scope 2 Emission factor]]</f>
        <v>#DIV/0!</v>
      </c>
      <c r="AD356" s="3" t="e">
        <f>(U356-GHGFY20[[#This Row],[Scope 3 Emission factor]])/GHGFY20[[#This Row],[Scope 3 Emission factor]]</f>
        <v>#DIV/0!</v>
      </c>
      <c r="AH356" t="b">
        <f>GHGFY20[[#This Row],[Reporting Alias]]=GHGFY207[[#This Row],[Reporting Alias]]</f>
        <v>0</v>
      </c>
    </row>
    <row r="357" spans="1:34">
      <c r="A357" t="s">
        <v>984</v>
      </c>
      <c r="B357" t="s">
        <v>4276</v>
      </c>
      <c r="C357" t="s">
        <v>4402</v>
      </c>
      <c r="D357" t="s">
        <v>1189</v>
      </c>
      <c r="E357" t="s">
        <v>663</v>
      </c>
      <c r="H357">
        <v>3.5999999999999999E-3</v>
      </c>
      <c r="I357" t="s">
        <v>1137</v>
      </c>
      <c r="J357">
        <v>0</v>
      </c>
      <c r="K357">
        <v>0</v>
      </c>
      <c r="L357">
        <v>0</v>
      </c>
      <c r="M357" t="s">
        <v>4403</v>
      </c>
      <c r="S357" s="66"/>
      <c r="U357" s="5"/>
      <c r="V357" s="5"/>
      <c r="W357" s="5"/>
      <c r="Y357" s="65"/>
      <c r="AB357" s="3"/>
      <c r="AC357" s="3" t="e">
        <f>(T357-GHGFY20[[#This Row],[Scope 2 Emission factor]])/GHGFY20[[#This Row],[Scope 2 Emission factor]]</f>
        <v>#DIV/0!</v>
      </c>
      <c r="AD357" s="3" t="e">
        <f>(U357-GHGFY20[[#This Row],[Scope 3 Emission factor]])/GHGFY20[[#This Row],[Scope 3 Emission factor]]</f>
        <v>#DIV/0!</v>
      </c>
      <c r="AH357" t="b">
        <f>GHGFY20[[#This Row],[Reporting Alias]]=GHGFY207[[#This Row],[Reporting Alias]]</f>
        <v>0</v>
      </c>
    </row>
    <row r="358" spans="1:34">
      <c r="A358" t="s">
        <v>985</v>
      </c>
      <c r="B358" t="s">
        <v>4276</v>
      </c>
      <c r="C358" t="s">
        <v>4402</v>
      </c>
      <c r="D358" t="s">
        <v>1216</v>
      </c>
      <c r="E358" t="s">
        <v>663</v>
      </c>
      <c r="H358">
        <v>3.5999999999999999E-3</v>
      </c>
      <c r="I358" t="s">
        <v>1137</v>
      </c>
      <c r="J358">
        <v>0</v>
      </c>
      <c r="K358">
        <v>0</v>
      </c>
      <c r="L358">
        <v>0</v>
      </c>
      <c r="M358" t="s">
        <v>4403</v>
      </c>
      <c r="S358" s="66"/>
      <c r="U358" s="5"/>
      <c r="V358" s="5"/>
      <c r="W358" s="5"/>
      <c r="Y358" s="65"/>
      <c r="AB358" s="3"/>
      <c r="AC358" s="3" t="e">
        <f>(T358-GHGFY20[[#This Row],[Scope 2 Emission factor]])/GHGFY20[[#This Row],[Scope 2 Emission factor]]</f>
        <v>#DIV/0!</v>
      </c>
      <c r="AD358" s="3" t="e">
        <f>(U358-GHGFY20[[#This Row],[Scope 3 Emission factor]])/GHGFY20[[#This Row],[Scope 3 Emission factor]]</f>
        <v>#DIV/0!</v>
      </c>
      <c r="AH358" t="b">
        <f>GHGFY20[[#This Row],[Reporting Alias]]=GHGFY207[[#This Row],[Reporting Alias]]</f>
        <v>0</v>
      </c>
    </row>
    <row r="359" spans="1:34">
      <c r="A359" t="s">
        <v>4435</v>
      </c>
      <c r="B359" t="s">
        <v>4276</v>
      </c>
      <c r="C359" t="s">
        <v>4402</v>
      </c>
      <c r="D359" t="s">
        <v>1190</v>
      </c>
      <c r="E359" t="s">
        <v>663</v>
      </c>
      <c r="H359">
        <v>3.5999999999999999E-3</v>
      </c>
      <c r="I359" t="s">
        <v>1137</v>
      </c>
      <c r="J359">
        <v>0</v>
      </c>
      <c r="K359">
        <v>0</v>
      </c>
      <c r="L359">
        <v>0</v>
      </c>
      <c r="M359" t="s">
        <v>4403</v>
      </c>
      <c r="Y359" s="65"/>
      <c r="AC359" s="3" t="e">
        <f>(T359-GHGFY20[[#This Row],[Scope 2 Emission factor]])/GHGFY20[[#This Row],[Scope 2 Emission factor]]</f>
        <v>#DIV/0!</v>
      </c>
      <c r="AD359" s="3" t="e">
        <f>(U359-GHGFY20[[#This Row],[Scope 3 Emission factor]])/GHGFY20[[#This Row],[Scope 3 Emission factor]]</f>
        <v>#DIV/0!</v>
      </c>
      <c r="AH359" t="b">
        <f>GHGFY20[[#This Row],[Reporting Alias]]=GHGFY207[[#This Row],[Reporting Alias]]</f>
        <v>0</v>
      </c>
    </row>
    <row r="360" spans="1:34">
      <c r="A360" t="s">
        <v>4436</v>
      </c>
      <c r="B360" t="s">
        <v>4276</v>
      </c>
      <c r="C360" t="s">
        <v>4402</v>
      </c>
      <c r="D360" t="s">
        <v>1192</v>
      </c>
      <c r="E360" t="s">
        <v>663</v>
      </c>
      <c r="H360">
        <v>3.5999999999999999E-3</v>
      </c>
      <c r="I360" t="s">
        <v>1137</v>
      </c>
      <c r="J360">
        <v>0</v>
      </c>
      <c r="K360">
        <v>0</v>
      </c>
      <c r="L360">
        <v>0</v>
      </c>
      <c r="M360" t="s">
        <v>4403</v>
      </c>
      <c r="Y360" s="65"/>
      <c r="AC360" s="3" t="e">
        <f>(T360-GHGFY20[[#This Row],[Scope 2 Emission factor]])/GHGFY20[[#This Row],[Scope 2 Emission factor]]</f>
        <v>#DIV/0!</v>
      </c>
      <c r="AD360" s="3" t="e">
        <f>(U360-GHGFY20[[#This Row],[Scope 3 Emission factor]])/GHGFY20[[#This Row],[Scope 3 Emission factor]]</f>
        <v>#DIV/0!</v>
      </c>
      <c r="AH360" t="b">
        <f>GHGFY20[[#This Row],[Reporting Alias]]=GHGFY207[[#This Row],[Reporting Alias]]</f>
        <v>0</v>
      </c>
    </row>
    <row r="361" spans="1:34">
      <c r="A361" t="s">
        <v>4437</v>
      </c>
      <c r="B361" t="s">
        <v>4276</v>
      </c>
      <c r="C361" t="s">
        <v>4402</v>
      </c>
      <c r="D361" t="s">
        <v>1208</v>
      </c>
      <c r="E361" t="s">
        <v>663</v>
      </c>
      <c r="H361">
        <v>3.5999999999999999E-3</v>
      </c>
      <c r="I361" t="s">
        <v>1137</v>
      </c>
      <c r="J361">
        <v>0</v>
      </c>
      <c r="K361">
        <v>0</v>
      </c>
      <c r="L361">
        <v>0</v>
      </c>
      <c r="M361" t="s">
        <v>4403</v>
      </c>
      <c r="Y361" s="65"/>
      <c r="AC361" s="3" t="e">
        <f>(T361-GHGFY20[[#This Row],[Scope 2 Emission factor]])/GHGFY20[[#This Row],[Scope 2 Emission factor]]</f>
        <v>#DIV/0!</v>
      </c>
      <c r="AD361" s="3" t="e">
        <f>(U361-GHGFY20[[#This Row],[Scope 3 Emission factor]])/GHGFY20[[#This Row],[Scope 3 Emission factor]]</f>
        <v>#DIV/0!</v>
      </c>
      <c r="AH361" t="b">
        <f>GHGFY20[[#This Row],[Reporting Alias]]=GHGFY207[[#This Row],[Reporting Alias]]</f>
        <v>0</v>
      </c>
    </row>
    <row r="362" spans="1:34">
      <c r="A362" t="s">
        <v>4438</v>
      </c>
      <c r="B362" t="s">
        <v>4276</v>
      </c>
      <c r="C362" t="s">
        <v>4402</v>
      </c>
      <c r="D362" t="s">
        <v>1210</v>
      </c>
      <c r="E362" t="s">
        <v>663</v>
      </c>
      <c r="H362">
        <v>3.5999999999999999E-3</v>
      </c>
      <c r="I362" t="s">
        <v>1137</v>
      </c>
      <c r="J362">
        <v>0</v>
      </c>
      <c r="K362">
        <v>0</v>
      </c>
      <c r="L362">
        <v>0</v>
      </c>
      <c r="M362" t="s">
        <v>4403</v>
      </c>
      <c r="Y362" s="65"/>
      <c r="AC362" s="3" t="e">
        <f>(T362-GHGFY20[[#This Row],[Scope 2 Emission factor]])/GHGFY20[[#This Row],[Scope 2 Emission factor]]</f>
        <v>#DIV/0!</v>
      </c>
      <c r="AD362" s="3" t="e">
        <f>(U362-GHGFY20[[#This Row],[Scope 3 Emission factor]])/GHGFY20[[#This Row],[Scope 3 Emission factor]]</f>
        <v>#DIV/0!</v>
      </c>
      <c r="AH362" t="b">
        <f>GHGFY20[[#This Row],[Reporting Alias]]=GHGFY207[[#This Row],[Reporting Alias]]</f>
        <v>0</v>
      </c>
    </row>
    <row r="363" spans="1:34">
      <c r="A363" t="s">
        <v>4439</v>
      </c>
      <c r="B363" t="s">
        <v>4276</v>
      </c>
      <c r="C363" t="s">
        <v>4402</v>
      </c>
      <c r="D363" t="s">
        <v>1193</v>
      </c>
      <c r="E363" t="s">
        <v>663</v>
      </c>
      <c r="H363">
        <v>3.5999999999999999E-3</v>
      </c>
      <c r="I363" t="s">
        <v>1137</v>
      </c>
      <c r="J363">
        <v>0</v>
      </c>
      <c r="K363">
        <v>0</v>
      </c>
      <c r="L363">
        <v>0</v>
      </c>
      <c r="M363" t="s">
        <v>4403</v>
      </c>
      <c r="Y363" s="65"/>
      <c r="AC363" s="3" t="e">
        <f>(T363-GHGFY20[[#This Row],[Scope 2 Emission factor]])/GHGFY20[[#This Row],[Scope 2 Emission factor]]</f>
        <v>#DIV/0!</v>
      </c>
      <c r="AD363" s="3" t="e">
        <f>(U363-GHGFY20[[#This Row],[Scope 3 Emission factor]])/GHGFY20[[#This Row],[Scope 3 Emission factor]]</f>
        <v>#DIV/0!</v>
      </c>
      <c r="AH363" t="b">
        <f>GHGFY20[[#This Row],[Reporting Alias]]=GHGFY207[[#This Row],[Reporting Alias]]</f>
        <v>0</v>
      </c>
    </row>
    <row r="364" spans="1:34">
      <c r="A364" t="s">
        <v>4440</v>
      </c>
      <c r="B364" t="s">
        <v>4276</v>
      </c>
      <c r="C364" t="s">
        <v>4402</v>
      </c>
      <c r="D364" t="s">
        <v>1213</v>
      </c>
      <c r="E364" t="s">
        <v>663</v>
      </c>
      <c r="H364">
        <v>3.5999999999999999E-3</v>
      </c>
      <c r="I364" t="s">
        <v>1137</v>
      </c>
      <c r="J364">
        <v>0</v>
      </c>
      <c r="K364">
        <v>0</v>
      </c>
      <c r="L364">
        <v>0</v>
      </c>
      <c r="M364" t="s">
        <v>4403</v>
      </c>
      <c r="Y364" s="65"/>
      <c r="AC364" s="3" t="e">
        <f>(T364-GHGFY20[[#This Row],[Scope 2 Emission factor]])/GHGFY20[[#This Row],[Scope 2 Emission factor]]</f>
        <v>#DIV/0!</v>
      </c>
      <c r="AD364" s="3" t="e">
        <f>(U364-GHGFY20[[#This Row],[Scope 3 Emission factor]])/GHGFY20[[#This Row],[Scope 3 Emission factor]]</f>
        <v>#DIV/0!</v>
      </c>
      <c r="AH364" t="b">
        <f>GHGFY20[[#This Row],[Reporting Alias]]=GHGFY207[[#This Row],[Reporting Alias]]</f>
        <v>0</v>
      </c>
    </row>
    <row r="365" spans="1:34">
      <c r="A365" t="s">
        <v>4441</v>
      </c>
      <c r="B365" t="s">
        <v>4276</v>
      </c>
      <c r="C365" t="s">
        <v>4402</v>
      </c>
      <c r="D365" t="s">
        <v>1189</v>
      </c>
      <c r="E365" t="s">
        <v>663</v>
      </c>
      <c r="H365">
        <v>3.5999999999999999E-3</v>
      </c>
      <c r="I365" t="s">
        <v>1137</v>
      </c>
      <c r="J365">
        <v>0</v>
      </c>
      <c r="K365">
        <v>0</v>
      </c>
      <c r="L365">
        <v>0</v>
      </c>
      <c r="M365" t="s">
        <v>4403</v>
      </c>
      <c r="Y365" s="65"/>
      <c r="AC365" s="3" t="e">
        <f>(T365-GHGFY20[[#This Row],[Scope 2 Emission factor]])/GHGFY20[[#This Row],[Scope 2 Emission factor]]</f>
        <v>#DIV/0!</v>
      </c>
      <c r="AD365" s="3" t="e">
        <f>(U365-GHGFY20[[#This Row],[Scope 3 Emission factor]])/GHGFY20[[#This Row],[Scope 3 Emission factor]]</f>
        <v>#DIV/0!</v>
      </c>
      <c r="AH365" t="b">
        <f>GHGFY20[[#This Row],[Reporting Alias]]=GHGFY207[[#This Row],[Reporting Alias]]</f>
        <v>0</v>
      </c>
    </row>
    <row r="366" spans="1:34">
      <c r="A366" t="s">
        <v>4442</v>
      </c>
      <c r="B366" t="s">
        <v>4276</v>
      </c>
      <c r="C366" t="s">
        <v>4402</v>
      </c>
      <c r="D366" t="s">
        <v>1216</v>
      </c>
      <c r="E366" t="s">
        <v>663</v>
      </c>
      <c r="H366">
        <v>3.5999999999999999E-3</v>
      </c>
      <c r="I366" t="s">
        <v>1137</v>
      </c>
      <c r="J366">
        <v>0</v>
      </c>
      <c r="K366">
        <v>0</v>
      </c>
      <c r="L366">
        <v>0</v>
      </c>
      <c r="M366" t="s">
        <v>4403</v>
      </c>
      <c r="Y366" s="65"/>
      <c r="AC366" s="3" t="e">
        <f>(T366-GHGFY20[[#This Row],[Scope 2 Emission factor]])/GHGFY20[[#This Row],[Scope 2 Emission factor]]</f>
        <v>#DIV/0!</v>
      </c>
      <c r="AD366" s="3" t="e">
        <f>(U366-GHGFY20[[#This Row],[Scope 3 Emission factor]])/GHGFY20[[#This Row],[Scope 3 Emission factor]]</f>
        <v>#DIV/0!</v>
      </c>
      <c r="AH366" t="b">
        <f>GHGFY20[[#This Row],[Reporting Alias]]=GHGFY207[[#This Row],[Reporting Alias]]</f>
        <v>0</v>
      </c>
    </row>
    <row r="367" spans="1:34" ht="69">
      <c r="A367" t="s">
        <v>826</v>
      </c>
      <c r="B367" t="s">
        <v>4278</v>
      </c>
      <c r="C367" t="s">
        <v>4409</v>
      </c>
      <c r="D367" t="s">
        <v>1189</v>
      </c>
      <c r="E367" t="s">
        <v>670</v>
      </c>
      <c r="F367">
        <v>1E-3</v>
      </c>
      <c r="G367" t="s">
        <v>4410</v>
      </c>
      <c r="H367">
        <v>1</v>
      </c>
      <c r="J367">
        <v>51.53</v>
      </c>
      <c r="L367">
        <v>3.9</v>
      </c>
      <c r="M367" t="s">
        <v>4411</v>
      </c>
      <c r="N367" t="s">
        <v>4460</v>
      </c>
      <c r="P367" t="s">
        <v>4443</v>
      </c>
      <c r="R367" t="s">
        <v>4444</v>
      </c>
      <c r="S367" s="64">
        <f>SUM(U367:W367)</f>
        <v>51.53</v>
      </c>
      <c r="U367" s="5">
        <v>51.4</v>
      </c>
      <c r="V367" s="5">
        <v>0.1</v>
      </c>
      <c r="W367" s="5">
        <v>0.03</v>
      </c>
      <c r="X367" s="56" t="str">
        <f>GHGFY20[[#This Row],[Data Source (scope 1)]]</f>
        <v>NGER (Measurement) Determination 2008 2019versions pg 317 - Part 2 Fuel combustion - 17</v>
      </c>
      <c r="Y367" s="65" t="s">
        <v>4443</v>
      </c>
      <c r="AB367" s="3">
        <f>(S367-GHGFY20[[#This Row],[Scope 1 Emission factor]])/GHGFY20[[#This Row],[Scope 1 Emission factor]]</f>
        <v>0</v>
      </c>
      <c r="AC367" s="3" t="e">
        <f>(T367-GHGFY20[[#This Row],[Scope 2 Emission factor]])/GHGFY20[[#This Row],[Scope 2 Emission factor]]</f>
        <v>#DIV/0!</v>
      </c>
      <c r="AD367" s="3">
        <f>(U367-GHGFY20[[#This Row],[Scope 3 Emission factor]])/GHGFY20[[#This Row],[Scope 3 Emission factor]]</f>
        <v>12.179487179487181</v>
      </c>
      <c r="AH367" t="b">
        <f>GHGFY20[[#This Row],[Reporting Alias]]=GHGFY207[[#This Row],[Reporting Alias]]</f>
        <v>0</v>
      </c>
    </row>
    <row r="368" spans="1:34" ht="69">
      <c r="A368" t="s">
        <v>4445</v>
      </c>
      <c r="B368" t="s">
        <v>1227</v>
      </c>
      <c r="C368" t="s">
        <v>4412</v>
      </c>
      <c r="D368" t="s">
        <v>1192</v>
      </c>
      <c r="E368" t="s">
        <v>787</v>
      </c>
      <c r="F368">
        <v>1E-3</v>
      </c>
      <c r="G368" t="s">
        <v>4413</v>
      </c>
      <c r="H368">
        <v>38.6</v>
      </c>
      <c r="I368" t="s">
        <v>1140</v>
      </c>
      <c r="J368">
        <v>70.2</v>
      </c>
      <c r="L368">
        <v>3.6</v>
      </c>
      <c r="M368" t="s">
        <v>4414</v>
      </c>
      <c r="N368" t="s">
        <v>4415</v>
      </c>
      <c r="P368" t="s">
        <v>4416</v>
      </c>
      <c r="S368" s="64">
        <f>SUM(U368:W368)</f>
        <v>70.2</v>
      </c>
      <c r="U368" s="5">
        <v>69.900000000000006</v>
      </c>
      <c r="V368" s="5">
        <v>0.1</v>
      </c>
      <c r="W368" s="5">
        <v>0.2</v>
      </c>
      <c r="X368" s="56" t="str">
        <f>GHGFY20[[#This Row],[Data Source (scope 1)]]</f>
        <v>NGER (Measurement) Determination 2008 2019versions pg 318 - Part 3 Fuel combustion - 40</v>
      </c>
      <c r="Y368" s="65" t="s">
        <v>4416</v>
      </c>
      <c r="AB368" s="3">
        <f>(S368-GHGFY20[[#This Row],[Scope 1 Emission factor]])/GHGFY20[[#This Row],[Scope 1 Emission factor]]</f>
        <v>0</v>
      </c>
      <c r="AC368" s="3" t="e">
        <f>(T368-GHGFY20[[#This Row],[Scope 2 Emission factor]])/GHGFY20[[#This Row],[Scope 2 Emission factor]]</f>
        <v>#DIV/0!</v>
      </c>
      <c r="AD368" s="3">
        <f>(U368-GHGFY20[[#This Row],[Scope 3 Emission factor]])/GHGFY20[[#This Row],[Scope 3 Emission factor]]</f>
        <v>18.416666666666668</v>
      </c>
      <c r="AH368" t="b">
        <f>GHGFY20[[#This Row],[Reporting Alias]]=GHGFY207[[#This Row],[Reporting Alias]]</f>
        <v>0</v>
      </c>
    </row>
    <row r="369" spans="1:34" ht="69">
      <c r="A369" s="9" t="s">
        <v>827</v>
      </c>
      <c r="B369" s="9" t="s">
        <v>1227</v>
      </c>
      <c r="C369" s="9" t="s">
        <v>4412</v>
      </c>
      <c r="D369" t="s">
        <v>1192</v>
      </c>
      <c r="E369" t="s">
        <v>787</v>
      </c>
      <c r="F369">
        <v>1E-3</v>
      </c>
      <c r="G369" t="s">
        <v>4413</v>
      </c>
      <c r="H369">
        <v>38.6</v>
      </c>
      <c r="I369" t="s">
        <v>1140</v>
      </c>
      <c r="J369">
        <v>70.2</v>
      </c>
      <c r="L369">
        <v>3.6</v>
      </c>
      <c r="M369" t="s">
        <v>4414</v>
      </c>
      <c r="N369" t="s">
        <v>4415</v>
      </c>
      <c r="P369" t="s">
        <v>4416</v>
      </c>
      <c r="S369" s="64">
        <f>SUM(U369:W369)</f>
        <v>70.2</v>
      </c>
      <c r="U369" s="5">
        <v>69.900000000000006</v>
      </c>
      <c r="V369" s="5">
        <v>0.1</v>
      </c>
      <c r="W369" s="5">
        <v>0.2</v>
      </c>
      <c r="X369" s="56" t="str">
        <f>GHGFY20[[#This Row],[Data Source (scope 1)]]</f>
        <v>NGER (Measurement) Determination 2008 2019versions pg 318 - Part 3 Fuel combustion - 40</v>
      </c>
      <c r="Y369" s="65" t="s">
        <v>4416</v>
      </c>
      <c r="AB369" s="3"/>
      <c r="AC369" s="3" t="e">
        <f>(T369-GHGFY20[[#This Row],[Scope 2 Emission factor]])/GHGFY20[[#This Row],[Scope 2 Emission factor]]</f>
        <v>#DIV/0!</v>
      </c>
      <c r="AD369" s="3">
        <f>(U369-GHGFY20[[#This Row],[Scope 3 Emission factor]])/GHGFY20[[#This Row],[Scope 3 Emission factor]]</f>
        <v>18.416666666666668</v>
      </c>
      <c r="AH369" t="b">
        <f>GHGFY20[[#This Row],[Reporting Alias]]=GHGFY207[[#This Row],[Reporting Alias]]</f>
        <v>0</v>
      </c>
    </row>
    <row r="370" spans="1:34" ht="69">
      <c r="A370" t="s">
        <v>786</v>
      </c>
      <c r="B370" t="s">
        <v>4280</v>
      </c>
      <c r="C370" t="s">
        <v>4420</v>
      </c>
      <c r="D370" t="s">
        <v>1190</v>
      </c>
      <c r="E370" t="s">
        <v>787</v>
      </c>
      <c r="F370">
        <v>1E-3</v>
      </c>
      <c r="G370" t="s">
        <v>4413</v>
      </c>
      <c r="H370">
        <v>38.6</v>
      </c>
      <c r="I370" t="s">
        <v>1140</v>
      </c>
      <c r="J370">
        <v>70.510000000000005</v>
      </c>
      <c r="L370">
        <v>3.6</v>
      </c>
      <c r="M370" t="s">
        <v>4414</v>
      </c>
      <c r="N370" t="s">
        <v>4421</v>
      </c>
      <c r="P370" t="s">
        <v>4416</v>
      </c>
      <c r="R370" t="s">
        <v>4446</v>
      </c>
      <c r="S370" s="64">
        <f>SUM(U370:W370)</f>
        <v>70.510000000000005</v>
      </c>
      <c r="U370" s="5">
        <v>69.900000000000006</v>
      </c>
      <c r="V370" s="5">
        <v>0.01</v>
      </c>
      <c r="W370" s="5">
        <v>0.6</v>
      </c>
      <c r="X370" s="56" t="str">
        <f>GHGFY20[[#This Row],[Data Source (scope 1)]]</f>
        <v>NGER (Measurement) Determination 2008 2019versions pg 321 - Part 4 Fuel combustion - 65</v>
      </c>
      <c r="Y370" t="s">
        <v>4416</v>
      </c>
      <c r="AB370" s="3">
        <f>(S370-GHGFY20[[#This Row],[Scope 1 Emission factor]])/GHGFY20[[#This Row],[Scope 1 Emission factor]]</f>
        <v>0</v>
      </c>
      <c r="AC370" s="3" t="e">
        <f>(T370-GHGFY20[[#This Row],[Scope 2 Emission factor]])/GHGFY20[[#This Row],[Scope 2 Emission factor]]</f>
        <v>#DIV/0!</v>
      </c>
      <c r="AD370" s="3">
        <f>(U370-GHGFY20[[#This Row],[Scope 3 Emission factor]])/GHGFY20[[#This Row],[Scope 3 Emission factor]]</f>
        <v>18.416666666666668</v>
      </c>
      <c r="AH370" t="b">
        <f>GHGFY20[[#This Row],[Reporting Alias]]=GHGFY207[[#This Row],[Reporting Alias]]</f>
        <v>0</v>
      </c>
    </row>
    <row r="371" spans="1:34" ht="69">
      <c r="A371" t="s">
        <v>788</v>
      </c>
      <c r="B371" t="s">
        <v>4280</v>
      </c>
      <c r="C371" t="s">
        <v>4420</v>
      </c>
      <c r="D371" t="s">
        <v>1192</v>
      </c>
      <c r="E371" t="s">
        <v>787</v>
      </c>
      <c r="F371">
        <v>1E-3</v>
      </c>
      <c r="G371" t="s">
        <v>4413</v>
      </c>
      <c r="H371">
        <v>38.6</v>
      </c>
      <c r="I371" t="s">
        <v>1140</v>
      </c>
      <c r="J371">
        <v>70.510000000000005</v>
      </c>
      <c r="L371">
        <v>3.6</v>
      </c>
      <c r="M371" t="s">
        <v>4414</v>
      </c>
      <c r="N371" t="s">
        <v>4421</v>
      </c>
      <c r="P371" t="s">
        <v>4416</v>
      </c>
      <c r="S371" s="64">
        <f t="shared" ref="S371:S379" si="9">SUM(U371:W371)</f>
        <v>70.510000000000005</v>
      </c>
      <c r="U371" s="5">
        <v>69.900000000000006</v>
      </c>
      <c r="V371" s="5">
        <v>0.01</v>
      </c>
      <c r="W371" s="5">
        <v>0.6</v>
      </c>
      <c r="X371" s="56" t="str">
        <f>GHGFY20[[#This Row],[Data Source (scope 1)]]</f>
        <v>NGER (Measurement) Determination 2008 2019versions pg 321 - Part 4 Fuel combustion - 65</v>
      </c>
      <c r="Y371" t="s">
        <v>4416</v>
      </c>
      <c r="AB371" s="3">
        <f>(S371-GHGFY20[[#This Row],[Scope 1 Emission factor]])/GHGFY20[[#This Row],[Scope 1 Emission factor]]</f>
        <v>0</v>
      </c>
      <c r="AC371" s="3" t="e">
        <f>(T371-GHGFY20[[#This Row],[Scope 2 Emission factor]])/GHGFY20[[#This Row],[Scope 2 Emission factor]]</f>
        <v>#DIV/0!</v>
      </c>
      <c r="AD371" s="3">
        <f>(U371-GHGFY20[[#This Row],[Scope 3 Emission factor]])/GHGFY20[[#This Row],[Scope 3 Emission factor]]</f>
        <v>18.416666666666668</v>
      </c>
      <c r="AH371" t="b">
        <f>GHGFY20[[#This Row],[Reporting Alias]]=GHGFY207[[#This Row],[Reporting Alias]]</f>
        <v>0</v>
      </c>
    </row>
    <row r="372" spans="1:34" ht="69">
      <c r="A372" t="s">
        <v>789</v>
      </c>
      <c r="B372" t="s">
        <v>4280</v>
      </c>
      <c r="C372" t="s">
        <v>4420</v>
      </c>
      <c r="D372" t="s">
        <v>1210</v>
      </c>
      <c r="E372" t="s">
        <v>787</v>
      </c>
      <c r="F372">
        <v>1E-3</v>
      </c>
      <c r="G372" t="s">
        <v>4413</v>
      </c>
      <c r="H372">
        <v>38.6</v>
      </c>
      <c r="I372" t="s">
        <v>1140</v>
      </c>
      <c r="J372">
        <v>70.510000000000005</v>
      </c>
      <c r="L372">
        <v>3.6</v>
      </c>
      <c r="M372" t="s">
        <v>4414</v>
      </c>
      <c r="N372" t="s">
        <v>4421</v>
      </c>
      <c r="P372" t="s">
        <v>4416</v>
      </c>
      <c r="S372" s="64">
        <f t="shared" si="9"/>
        <v>70.510000000000005</v>
      </c>
      <c r="U372" s="5">
        <v>69.900000000000006</v>
      </c>
      <c r="V372" s="5">
        <v>0.01</v>
      </c>
      <c r="W372" s="5">
        <v>0.6</v>
      </c>
      <c r="X372" s="56" t="str">
        <f>GHGFY20[[#This Row],[Data Source (scope 1)]]</f>
        <v>NGER (Measurement) Determination 2008 2019versions pg 321 - Part 4 Fuel combustion - 65</v>
      </c>
      <c r="Y372" t="s">
        <v>4416</v>
      </c>
      <c r="AB372" s="3">
        <f>(S372-GHGFY20[[#This Row],[Scope 1 Emission factor]])/GHGFY20[[#This Row],[Scope 1 Emission factor]]</f>
        <v>0</v>
      </c>
      <c r="AC372" s="3" t="e">
        <f>(T372-GHGFY20[[#This Row],[Scope 2 Emission factor]])/GHGFY20[[#This Row],[Scope 2 Emission factor]]</f>
        <v>#DIV/0!</v>
      </c>
      <c r="AD372" s="3">
        <f>(U372-GHGFY20[[#This Row],[Scope 3 Emission factor]])/GHGFY20[[#This Row],[Scope 3 Emission factor]]</f>
        <v>18.416666666666668</v>
      </c>
      <c r="AH372" t="b">
        <f>GHGFY20[[#This Row],[Reporting Alias]]=GHGFY207[[#This Row],[Reporting Alias]]</f>
        <v>0</v>
      </c>
    </row>
    <row r="373" spans="1:34" ht="69">
      <c r="A373" t="s">
        <v>790</v>
      </c>
      <c r="B373" t="s">
        <v>4280</v>
      </c>
      <c r="C373" t="s">
        <v>4420</v>
      </c>
      <c r="D373" t="s">
        <v>1189</v>
      </c>
      <c r="E373" t="s">
        <v>787</v>
      </c>
      <c r="F373">
        <v>1E-3</v>
      </c>
      <c r="G373" t="s">
        <v>4413</v>
      </c>
      <c r="H373">
        <v>38.6</v>
      </c>
      <c r="I373" t="s">
        <v>1140</v>
      </c>
      <c r="J373">
        <v>70.510000000000005</v>
      </c>
      <c r="L373">
        <v>3.6</v>
      </c>
      <c r="M373" t="s">
        <v>4414</v>
      </c>
      <c r="N373" t="s">
        <v>4421</v>
      </c>
      <c r="P373" t="s">
        <v>4416</v>
      </c>
      <c r="S373" s="64">
        <f t="shared" si="9"/>
        <v>70.510000000000005</v>
      </c>
      <c r="U373" s="5">
        <v>69.900000000000006</v>
      </c>
      <c r="V373" s="5">
        <v>0.01</v>
      </c>
      <c r="W373" s="5">
        <v>0.6</v>
      </c>
      <c r="X373" s="56" t="str">
        <f>GHGFY20[[#This Row],[Data Source (scope 1)]]</f>
        <v>NGER (Measurement) Determination 2008 2019versions pg 321 - Part 4 Fuel combustion - 65</v>
      </c>
      <c r="Y373" t="s">
        <v>4416</v>
      </c>
      <c r="AB373" s="3">
        <f>(S373-GHGFY20[[#This Row],[Scope 1 Emission factor]])/GHGFY20[[#This Row],[Scope 1 Emission factor]]</f>
        <v>0</v>
      </c>
      <c r="AC373" s="3" t="e">
        <f>(T373-GHGFY20[[#This Row],[Scope 2 Emission factor]])/GHGFY20[[#This Row],[Scope 2 Emission factor]]</f>
        <v>#DIV/0!</v>
      </c>
      <c r="AD373" s="3">
        <f>(U373-GHGFY20[[#This Row],[Scope 3 Emission factor]])/GHGFY20[[#This Row],[Scope 3 Emission factor]]</f>
        <v>18.416666666666668</v>
      </c>
      <c r="AH373" t="b">
        <f>GHGFY20[[#This Row],[Reporting Alias]]=GHGFY207[[#This Row],[Reporting Alias]]</f>
        <v>0</v>
      </c>
    </row>
    <row r="374" spans="1:34" ht="69">
      <c r="A374" t="s">
        <v>791</v>
      </c>
      <c r="B374" t="s">
        <v>4280</v>
      </c>
      <c r="C374" t="s">
        <v>4420</v>
      </c>
      <c r="D374" t="s">
        <v>1216</v>
      </c>
      <c r="E374" t="s">
        <v>787</v>
      </c>
      <c r="F374">
        <v>1E-3</v>
      </c>
      <c r="G374" t="s">
        <v>4413</v>
      </c>
      <c r="H374">
        <v>38.6</v>
      </c>
      <c r="I374" t="s">
        <v>1140</v>
      </c>
      <c r="J374">
        <v>70.510000000000005</v>
      </c>
      <c r="L374">
        <v>3.6</v>
      </c>
      <c r="M374" t="s">
        <v>4414</v>
      </c>
      <c r="N374" t="s">
        <v>4421</v>
      </c>
      <c r="P374" t="s">
        <v>4416</v>
      </c>
      <c r="S374" s="64">
        <f t="shared" si="9"/>
        <v>70.510000000000005</v>
      </c>
      <c r="U374" s="5">
        <v>69.900000000000006</v>
      </c>
      <c r="V374" s="5">
        <v>0.01</v>
      </c>
      <c r="W374" s="5">
        <v>0.6</v>
      </c>
      <c r="X374" s="56" t="str">
        <f>GHGFY20[[#This Row],[Data Source (scope 1)]]</f>
        <v>NGER (Measurement) Determination 2008 2019versions pg 321 - Part 4 Fuel combustion - 65</v>
      </c>
      <c r="Y374" t="s">
        <v>4416</v>
      </c>
      <c r="AB374" s="3">
        <f>(S374-GHGFY20[[#This Row],[Scope 1 Emission factor]])/GHGFY20[[#This Row],[Scope 1 Emission factor]]</f>
        <v>0</v>
      </c>
      <c r="AC374" s="3" t="e">
        <f>(T374-GHGFY20[[#This Row],[Scope 2 Emission factor]])/GHGFY20[[#This Row],[Scope 2 Emission factor]]</f>
        <v>#DIV/0!</v>
      </c>
      <c r="AD374" s="3">
        <f>(U374-GHGFY20[[#This Row],[Scope 3 Emission factor]])/GHGFY20[[#This Row],[Scope 3 Emission factor]]</f>
        <v>18.416666666666668</v>
      </c>
      <c r="AH374" t="b">
        <f>GHGFY20[[#This Row],[Reporting Alias]]=GHGFY207[[#This Row],[Reporting Alias]]</f>
        <v>0</v>
      </c>
    </row>
    <row r="375" spans="1:34" ht="69">
      <c r="A375" t="s">
        <v>4281</v>
      </c>
      <c r="B375" t="s">
        <v>4280</v>
      </c>
      <c r="C375" t="s">
        <v>4424</v>
      </c>
      <c r="D375" t="s">
        <v>1192</v>
      </c>
      <c r="E375" t="s">
        <v>787</v>
      </c>
      <c r="F375">
        <v>1E-3</v>
      </c>
      <c r="G375" t="s">
        <v>4413</v>
      </c>
      <c r="H375">
        <v>23.4</v>
      </c>
      <c r="I375" t="s">
        <v>1140</v>
      </c>
      <c r="J375">
        <v>0.4</v>
      </c>
      <c r="L375">
        <v>0</v>
      </c>
      <c r="M375" t="s">
        <v>4414</v>
      </c>
      <c r="N375" t="s">
        <v>4428</v>
      </c>
      <c r="P375" t="s">
        <v>4416</v>
      </c>
      <c r="S375" s="64">
        <f t="shared" si="9"/>
        <v>0.4</v>
      </c>
      <c r="U375" s="5">
        <v>0</v>
      </c>
      <c r="V375" s="5">
        <v>0.2</v>
      </c>
      <c r="W375" s="5">
        <v>0.2</v>
      </c>
      <c r="X375" s="56" t="str">
        <f>GHGFY20[[#This Row],[Data Source (scope 1)]]</f>
        <v>NGER (Measurement) Determination 2008 2019versions pg 321 - Part 4 Fuel combustion - 67</v>
      </c>
      <c r="Y375" t="s">
        <v>4416</v>
      </c>
      <c r="AB375" s="3">
        <f>(S375-GHGFY20[[#This Row],[Scope 1 Emission factor]])/GHGFY20[[#This Row],[Scope 1 Emission factor]]</f>
        <v>0</v>
      </c>
      <c r="AC375" s="3" t="e">
        <f>(T375-GHGFY20[[#This Row],[Scope 2 Emission factor]])/GHGFY20[[#This Row],[Scope 2 Emission factor]]</f>
        <v>#DIV/0!</v>
      </c>
      <c r="AD375" s="3" t="e">
        <f>(U375-GHGFY20[[#This Row],[Scope 3 Emission factor]])/GHGFY20[[#This Row],[Scope 3 Emission factor]]</f>
        <v>#DIV/0!</v>
      </c>
      <c r="AH375" t="b">
        <f>GHGFY20[[#This Row],[Reporting Alias]]=GHGFY207[[#This Row],[Reporting Alias]]</f>
        <v>0</v>
      </c>
    </row>
    <row r="376" spans="1:34" ht="69">
      <c r="A376" t="s">
        <v>792</v>
      </c>
      <c r="B376" t="s">
        <v>4280</v>
      </c>
      <c r="C376" t="s">
        <v>4420</v>
      </c>
      <c r="D376" t="s">
        <v>1192</v>
      </c>
      <c r="E376" t="s">
        <v>787</v>
      </c>
      <c r="F376">
        <v>1E-3</v>
      </c>
      <c r="G376" t="s">
        <v>4413</v>
      </c>
      <c r="H376">
        <v>34.200000000000003</v>
      </c>
      <c r="I376" t="s">
        <v>1140</v>
      </c>
      <c r="J376">
        <v>67.62</v>
      </c>
      <c r="L376">
        <v>3.6</v>
      </c>
      <c r="M376" t="s">
        <v>4414</v>
      </c>
      <c r="N376" t="s">
        <v>4423</v>
      </c>
      <c r="P376" t="s">
        <v>4416</v>
      </c>
      <c r="S376" s="64">
        <f t="shared" si="9"/>
        <v>67.62</v>
      </c>
      <c r="U376" s="5">
        <v>67.400000000000006</v>
      </c>
      <c r="V376" s="5">
        <v>0.02</v>
      </c>
      <c r="W376" s="5">
        <v>0.2</v>
      </c>
      <c r="X376" s="56" t="str">
        <f>GHGFY20[[#This Row],[Data Source (scope 1)]]</f>
        <v>NGER (Measurement) Determination 2008 2019versions pg 321 - Part 4 Fuel combustion - 64</v>
      </c>
      <c r="Y376" t="s">
        <v>4416</v>
      </c>
      <c r="AB376" s="3">
        <f>(S376-GHGFY20[[#This Row],[Scope 1 Emission factor]])/GHGFY20[[#This Row],[Scope 1 Emission factor]]</f>
        <v>0</v>
      </c>
      <c r="AC376" s="3" t="e">
        <f>(T376-GHGFY20[[#This Row],[Scope 2 Emission factor]])/GHGFY20[[#This Row],[Scope 2 Emission factor]]</f>
        <v>#DIV/0!</v>
      </c>
      <c r="AD376" s="3">
        <f>(U376-GHGFY20[[#This Row],[Scope 3 Emission factor]])/GHGFY20[[#This Row],[Scope 3 Emission factor]]</f>
        <v>17.722222222222221</v>
      </c>
      <c r="AH376" t="b">
        <f>GHGFY20[[#This Row],[Reporting Alias]]=GHGFY207[[#This Row],[Reporting Alias]]</f>
        <v>0</v>
      </c>
    </row>
    <row r="377" spans="1:34" ht="69">
      <c r="A377" t="s">
        <v>793</v>
      </c>
      <c r="B377" t="s">
        <v>4280</v>
      </c>
      <c r="C377" t="s">
        <v>4420</v>
      </c>
      <c r="D377" t="s">
        <v>1210</v>
      </c>
      <c r="E377" t="s">
        <v>787</v>
      </c>
      <c r="F377">
        <v>1E-3</v>
      </c>
      <c r="G377" t="s">
        <v>4413</v>
      </c>
      <c r="H377">
        <v>34.200000000000003</v>
      </c>
      <c r="I377" t="s">
        <v>1140</v>
      </c>
      <c r="J377">
        <v>67.62</v>
      </c>
      <c r="L377">
        <v>3.6</v>
      </c>
      <c r="M377" t="s">
        <v>4414</v>
      </c>
      <c r="N377" t="s">
        <v>4423</v>
      </c>
      <c r="P377" t="s">
        <v>4416</v>
      </c>
      <c r="S377" s="64">
        <f t="shared" si="9"/>
        <v>67.62</v>
      </c>
      <c r="U377" s="5">
        <v>67.400000000000006</v>
      </c>
      <c r="V377" s="5">
        <v>0.02</v>
      </c>
      <c r="W377" s="5">
        <v>0.2</v>
      </c>
      <c r="X377" s="56" t="str">
        <f>GHGFY20[[#This Row],[Data Source (scope 1)]]</f>
        <v>NGER (Measurement) Determination 2008 2019versions pg 321 - Part 4 Fuel combustion - 64</v>
      </c>
      <c r="Y377" t="s">
        <v>4416</v>
      </c>
      <c r="AB377" s="3">
        <f>(S377-GHGFY20[[#This Row],[Scope 1 Emission factor]])/GHGFY20[[#This Row],[Scope 1 Emission factor]]</f>
        <v>0</v>
      </c>
      <c r="AC377" s="3" t="e">
        <f>(T377-GHGFY20[[#This Row],[Scope 2 Emission factor]])/GHGFY20[[#This Row],[Scope 2 Emission factor]]</f>
        <v>#DIV/0!</v>
      </c>
      <c r="AD377" s="3">
        <f>(U377-GHGFY20[[#This Row],[Scope 3 Emission factor]])/GHGFY20[[#This Row],[Scope 3 Emission factor]]</f>
        <v>17.722222222222221</v>
      </c>
      <c r="AH377" t="b">
        <f>GHGFY20[[#This Row],[Reporting Alias]]=GHGFY207[[#This Row],[Reporting Alias]]</f>
        <v>0</v>
      </c>
    </row>
    <row r="378" spans="1:34" ht="69">
      <c r="A378" t="s">
        <v>794</v>
      </c>
      <c r="B378" t="s">
        <v>4280</v>
      </c>
      <c r="C378" t="s">
        <v>4420</v>
      </c>
      <c r="D378" t="s">
        <v>1189</v>
      </c>
      <c r="E378" t="s">
        <v>787</v>
      </c>
      <c r="F378">
        <v>1E-3</v>
      </c>
      <c r="G378" t="s">
        <v>4413</v>
      </c>
      <c r="H378">
        <v>34.200000000000003</v>
      </c>
      <c r="I378" t="s">
        <v>1140</v>
      </c>
      <c r="J378">
        <v>67.62</v>
      </c>
      <c r="L378">
        <v>3.6</v>
      </c>
      <c r="M378" t="s">
        <v>4414</v>
      </c>
      <c r="N378" t="s">
        <v>4423</v>
      </c>
      <c r="P378" t="s">
        <v>4416</v>
      </c>
      <c r="S378" s="64">
        <f t="shared" si="9"/>
        <v>67.62</v>
      </c>
      <c r="U378" s="5">
        <v>67.400000000000006</v>
      </c>
      <c r="V378" s="5">
        <v>0.02</v>
      </c>
      <c r="W378" s="5">
        <v>0.2</v>
      </c>
      <c r="X378" s="56" t="str">
        <f>GHGFY20[[#This Row],[Data Source (scope 1)]]</f>
        <v>NGER (Measurement) Determination 2008 2019versions pg 321 - Part 4 Fuel combustion - 64</v>
      </c>
      <c r="Y378" t="s">
        <v>4416</v>
      </c>
      <c r="AB378" s="3">
        <f>(S378-GHGFY20[[#This Row],[Scope 1 Emission factor]])/GHGFY20[[#This Row],[Scope 1 Emission factor]]</f>
        <v>0</v>
      </c>
      <c r="AC378" s="3" t="e">
        <f>(T378-GHGFY20[[#This Row],[Scope 2 Emission factor]])/GHGFY20[[#This Row],[Scope 2 Emission factor]]</f>
        <v>#DIV/0!</v>
      </c>
      <c r="AD378" s="3">
        <f>(U378-GHGFY20[[#This Row],[Scope 3 Emission factor]])/GHGFY20[[#This Row],[Scope 3 Emission factor]]</f>
        <v>17.722222222222221</v>
      </c>
      <c r="AH378" t="b">
        <f>GHGFY20[[#This Row],[Reporting Alias]]=GHGFY207[[#This Row],[Reporting Alias]]</f>
        <v>0</v>
      </c>
    </row>
    <row r="379" spans="1:34" ht="69">
      <c r="A379" t="s">
        <v>795</v>
      </c>
      <c r="B379" t="s">
        <v>4280</v>
      </c>
      <c r="C379" t="s">
        <v>4420</v>
      </c>
      <c r="D379" t="s">
        <v>1216</v>
      </c>
      <c r="E379" t="s">
        <v>787</v>
      </c>
      <c r="F379">
        <v>1E-3</v>
      </c>
      <c r="G379" t="s">
        <v>4413</v>
      </c>
      <c r="H379">
        <v>34.200000000000003</v>
      </c>
      <c r="I379" t="s">
        <v>1140</v>
      </c>
      <c r="J379">
        <v>67.62</v>
      </c>
      <c r="L379">
        <v>3.6</v>
      </c>
      <c r="M379" t="s">
        <v>4414</v>
      </c>
      <c r="N379" t="s">
        <v>4423</v>
      </c>
      <c r="P379" t="s">
        <v>4416</v>
      </c>
      <c r="S379" s="66">
        <f t="shared" si="9"/>
        <v>67.62</v>
      </c>
      <c r="U379" s="5">
        <v>67.400000000000006</v>
      </c>
      <c r="V379" s="5">
        <v>0.02</v>
      </c>
      <c r="W379" s="5">
        <v>0.2</v>
      </c>
      <c r="X379" s="56" t="str">
        <f>GHGFY20[[#This Row],[Data Source (scope 1)]]</f>
        <v>NGER (Measurement) Determination 2008 2019versions pg 321 - Part 4 Fuel combustion - 64</v>
      </c>
      <c r="Y379" t="s">
        <v>4416</v>
      </c>
      <c r="AB379" s="3">
        <f>(S379-GHGFY20[[#This Row],[Scope 1 Emission factor]])/GHGFY20[[#This Row],[Scope 1 Emission factor]]</f>
        <v>0</v>
      </c>
      <c r="AC379" s="3" t="e">
        <f>(T379-GHGFY20[[#This Row],[Scope 2 Emission factor]])/GHGFY20[[#This Row],[Scope 2 Emission factor]]</f>
        <v>#DIV/0!</v>
      </c>
      <c r="AD379" s="3">
        <f>(U379-GHGFY20[[#This Row],[Scope 3 Emission factor]])/GHGFY20[[#This Row],[Scope 3 Emission factor]]</f>
        <v>17.722222222222221</v>
      </c>
      <c r="AH379" t="b">
        <f>GHGFY20[[#This Row],[Reporting Alias]]=GHGFY207[[#This Row],[Reporting Alias]]</f>
        <v>0</v>
      </c>
    </row>
    <row r="380" spans="1:34" ht="27.6">
      <c r="A380" t="s">
        <v>1066</v>
      </c>
      <c r="B380" t="s">
        <v>155</v>
      </c>
      <c r="C380" t="s">
        <v>4402</v>
      </c>
      <c r="D380" t="s">
        <v>1192</v>
      </c>
      <c r="E380" t="s">
        <v>663</v>
      </c>
      <c r="H380">
        <v>3.5999999999999999E-3</v>
      </c>
      <c r="I380" t="s">
        <v>1137</v>
      </c>
      <c r="J380">
        <v>0</v>
      </c>
      <c r="K380">
        <v>0.81</v>
      </c>
      <c r="L380">
        <v>0.09</v>
      </c>
      <c r="M380" t="s">
        <v>4403</v>
      </c>
      <c r="O380" t="s">
        <v>4405</v>
      </c>
      <c r="P380" s="1" t="s">
        <v>4405</v>
      </c>
      <c r="T380">
        <v>0.81</v>
      </c>
      <c r="U380">
        <v>0.09</v>
      </c>
      <c r="X380" s="56" t="s">
        <v>4405</v>
      </c>
      <c r="AC380" s="3">
        <f>(T380-GHGFY20[[#This Row],[Scope 2 Emission factor]])/GHGFY20[[#This Row],[Scope 2 Emission factor]]</f>
        <v>0</v>
      </c>
      <c r="AD380" s="3">
        <f>(U380-GHGFY20[[#This Row],[Scope 3 Emission factor]])/GHGFY20[[#This Row],[Scope 3 Emission factor]]</f>
        <v>0</v>
      </c>
      <c r="AE380" s="3"/>
      <c r="AH380" t="b">
        <f>GHGFY20[[#This Row],[Reporting Alias]]=GHGFY207[[#This Row],[Reporting Alias]]</f>
        <v>0</v>
      </c>
    </row>
    <row r="381" spans="1:34" ht="27.6">
      <c r="A381" t="s">
        <v>4299</v>
      </c>
      <c r="B381" t="s">
        <v>155</v>
      </c>
      <c r="C381" t="s">
        <v>4402</v>
      </c>
      <c r="D381" t="s">
        <v>1189</v>
      </c>
      <c r="E381" t="s">
        <v>663</v>
      </c>
      <c r="H381">
        <v>3.5999999999999999E-3</v>
      </c>
      <c r="I381" t="s">
        <v>1137</v>
      </c>
      <c r="J381">
        <v>0</v>
      </c>
      <c r="K381">
        <v>1.02</v>
      </c>
      <c r="L381">
        <v>0.1</v>
      </c>
      <c r="M381" t="s">
        <v>4403</v>
      </c>
      <c r="O381" t="s">
        <v>4407</v>
      </c>
      <c r="P381" s="1" t="s">
        <v>4407</v>
      </c>
      <c r="T381" s="9">
        <v>1.02</v>
      </c>
      <c r="U381" s="9">
        <v>0.1</v>
      </c>
      <c r="X381" s="56" t="s">
        <v>4407</v>
      </c>
      <c r="AC381" s="3">
        <f>(T381-GHGFY20[[#This Row],[Scope 2 Emission factor]])/GHGFY20[[#This Row],[Scope 2 Emission factor]]</f>
        <v>0</v>
      </c>
      <c r="AD381" s="3">
        <f>(U381-GHGFY20[[#This Row],[Scope 3 Emission factor]])/GHGFY20[[#This Row],[Scope 3 Emission factor]]</f>
        <v>0</v>
      </c>
      <c r="AH381" t="b">
        <f>GHGFY20[[#This Row],[Reporting Alias]]=GHGFY207[[#This Row],[Reporting Alias]]</f>
        <v>0</v>
      </c>
    </row>
    <row r="382" spans="1:34" ht="27.6">
      <c r="A382" t="s">
        <v>1321</v>
      </c>
      <c r="B382" t="s">
        <v>1091</v>
      </c>
      <c r="C382" t="s">
        <v>1091</v>
      </c>
      <c r="D382" t="s">
        <v>4447</v>
      </c>
      <c r="E382" t="s">
        <v>1402</v>
      </c>
      <c r="L382">
        <v>1.2</v>
      </c>
      <c r="M382" t="s">
        <v>4448</v>
      </c>
      <c r="P382" t="s">
        <v>4449</v>
      </c>
      <c r="U382" s="67">
        <v>1.2</v>
      </c>
      <c r="X382" s="56" t="s">
        <v>4449</v>
      </c>
      <c r="AC382" s="3" t="e">
        <f>(T382-GHGFY20[[#This Row],[Scope 2 Emission factor]])/GHGFY20[[#This Row],[Scope 2 Emission factor]]</f>
        <v>#DIV/0!</v>
      </c>
      <c r="AD382" s="3">
        <f>(U382-GHGFY20[[#This Row],[Scope 3 Emission factor]])/GHGFY20[[#This Row],[Scope 3 Emission factor]]</f>
        <v>0</v>
      </c>
      <c r="AH382" t="b">
        <f>GHGFY20[[#This Row],[Reporting Alias]]=GHGFY207[[#This Row],[Reporting Alias]]</f>
        <v>0</v>
      </c>
    </row>
    <row r="383" spans="1:34" ht="27.6">
      <c r="A383" t="s">
        <v>1330</v>
      </c>
      <c r="B383" t="s">
        <v>1091</v>
      </c>
      <c r="C383" t="s">
        <v>1091</v>
      </c>
      <c r="D383" t="s">
        <v>4447</v>
      </c>
      <c r="E383" t="s">
        <v>1402</v>
      </c>
      <c r="L383">
        <v>0</v>
      </c>
      <c r="M383" t="s">
        <v>4448</v>
      </c>
      <c r="P383" t="s">
        <v>4449</v>
      </c>
      <c r="U383" s="67">
        <v>0</v>
      </c>
      <c r="X383" s="56" t="s">
        <v>4449</v>
      </c>
      <c r="AC383" s="3" t="e">
        <f>(T383-GHGFY20[[#This Row],[Scope 2 Emission factor]])/GHGFY20[[#This Row],[Scope 2 Emission factor]]</f>
        <v>#DIV/0!</v>
      </c>
      <c r="AD383" s="3" t="e">
        <f>(U383-GHGFY20[[#This Row],[Scope 3 Emission factor]])/GHGFY20[[#This Row],[Scope 3 Emission factor]]</f>
        <v>#DIV/0!</v>
      </c>
      <c r="AH383" t="b">
        <f>GHGFY20[[#This Row],[Reporting Alias]]=GHGFY207[[#This Row],[Reporting Alias]]</f>
        <v>0</v>
      </c>
    </row>
    <row r="384" spans="1:34" ht="27.6">
      <c r="A384" t="s">
        <v>4450</v>
      </c>
      <c r="B384" t="s">
        <v>4451</v>
      </c>
      <c r="C384" t="s">
        <v>4451</v>
      </c>
      <c r="D384" t="s">
        <v>1190</v>
      </c>
      <c r="E384" t="s">
        <v>663</v>
      </c>
      <c r="H384">
        <v>3.5999999999999999E-3</v>
      </c>
      <c r="I384" t="s">
        <v>1137</v>
      </c>
      <c r="J384">
        <v>0</v>
      </c>
      <c r="K384">
        <v>0.81</v>
      </c>
      <c r="L384">
        <v>0.09</v>
      </c>
      <c r="M384" t="s">
        <v>4403</v>
      </c>
      <c r="O384" t="s">
        <v>4405</v>
      </c>
      <c r="P384" t="s">
        <v>4405</v>
      </c>
      <c r="R384" t="s">
        <v>1109</v>
      </c>
      <c r="T384">
        <v>0.79</v>
      </c>
      <c r="U384">
        <v>0.09</v>
      </c>
      <c r="X384" s="56" t="s">
        <v>4406</v>
      </c>
      <c r="AC384" s="3">
        <f>(T384-GHGFY20[[#This Row],[Scope 2 Emission factor]])/GHGFY20[[#This Row],[Scope 2 Emission factor]]</f>
        <v>-2.4691358024691377E-2</v>
      </c>
      <c r="AD384" s="3">
        <f>(U384-GHGFY20[[#This Row],[Scope 3 Emission factor]])/GHGFY20[[#This Row],[Scope 3 Emission factor]]</f>
        <v>0</v>
      </c>
      <c r="AH384" t="b">
        <f>GHGFY20[[#This Row],[Reporting Alias]]=GHGFY207[[#This Row],[Reporting Alias]]</f>
        <v>0</v>
      </c>
    </row>
    <row r="385" spans="1:34" ht="27.6">
      <c r="A385" t="s">
        <v>4452</v>
      </c>
      <c r="B385" t="s">
        <v>4451</v>
      </c>
      <c r="C385" t="s">
        <v>4451</v>
      </c>
      <c r="D385" t="s">
        <v>1192</v>
      </c>
      <c r="E385" t="s">
        <v>663</v>
      </c>
      <c r="H385">
        <v>3.5999999999999999E-3</v>
      </c>
      <c r="I385" t="s">
        <v>1137</v>
      </c>
      <c r="J385">
        <v>0</v>
      </c>
      <c r="K385">
        <v>0.81</v>
      </c>
      <c r="L385">
        <v>0.09</v>
      </c>
      <c r="M385" t="s">
        <v>4403</v>
      </c>
      <c r="O385" t="s">
        <v>4405</v>
      </c>
      <c r="P385" t="s">
        <v>4405</v>
      </c>
      <c r="T385">
        <v>0.81</v>
      </c>
      <c r="U385">
        <v>0.09</v>
      </c>
      <c r="X385" s="56" t="s">
        <v>4405</v>
      </c>
      <c r="AC385" s="3">
        <f>(T385-GHGFY20[[#This Row],[Scope 2 Emission factor]])/GHGFY20[[#This Row],[Scope 2 Emission factor]]</f>
        <v>0</v>
      </c>
      <c r="AD385" s="3">
        <f>(U385-GHGFY20[[#This Row],[Scope 3 Emission factor]])/GHGFY20[[#This Row],[Scope 3 Emission factor]]</f>
        <v>0</v>
      </c>
      <c r="AH385" t="b">
        <f>GHGFY20[[#This Row],[Reporting Alias]]=GHGFY207[[#This Row],[Reporting Alias]]</f>
        <v>0</v>
      </c>
    </row>
    <row r="386" spans="1:34" ht="27.6">
      <c r="A386" t="s">
        <v>4453</v>
      </c>
      <c r="B386" t="s">
        <v>4451</v>
      </c>
      <c r="C386" t="s">
        <v>4451</v>
      </c>
      <c r="D386" t="s">
        <v>1208</v>
      </c>
      <c r="E386" t="s">
        <v>663</v>
      </c>
      <c r="H386">
        <v>3.5999999999999999E-3</v>
      </c>
      <c r="I386" t="s">
        <v>1137</v>
      </c>
      <c r="J386">
        <v>0</v>
      </c>
      <c r="K386">
        <v>0.63</v>
      </c>
      <c r="L386">
        <v>0.08</v>
      </c>
      <c r="M386" t="s">
        <v>4403</v>
      </c>
      <c r="O386" t="s">
        <v>4406</v>
      </c>
      <c r="P386" t="s">
        <v>4406</v>
      </c>
      <c r="T386">
        <v>0.63</v>
      </c>
      <c r="U386">
        <v>0.08</v>
      </c>
      <c r="X386" s="56" t="s">
        <v>4406</v>
      </c>
      <c r="AC386" s="3">
        <f>(T386-GHGFY20[[#This Row],[Scope 2 Emission factor]])/GHGFY20[[#This Row],[Scope 2 Emission factor]]</f>
        <v>0</v>
      </c>
      <c r="AD386" s="3">
        <f>(U386-GHGFY20[[#This Row],[Scope 3 Emission factor]])/GHGFY20[[#This Row],[Scope 3 Emission factor]]</f>
        <v>0</v>
      </c>
      <c r="AH386" t="b">
        <f>GHGFY20[[#This Row],[Reporting Alias]]=GHGFY207[[#This Row],[Reporting Alias]]</f>
        <v>0</v>
      </c>
    </row>
    <row r="387" spans="1:34" ht="27.6">
      <c r="A387" t="s">
        <v>4454</v>
      </c>
      <c r="B387" t="s">
        <v>4451</v>
      </c>
      <c r="C387" t="s">
        <v>4451</v>
      </c>
      <c r="D387" t="s">
        <v>1210</v>
      </c>
      <c r="E387" t="s">
        <v>663</v>
      </c>
      <c r="H387">
        <v>3.5999999999999999E-3</v>
      </c>
      <c r="I387" t="s">
        <v>1137</v>
      </c>
      <c r="J387">
        <v>0</v>
      </c>
      <c r="K387">
        <v>0.81</v>
      </c>
      <c r="L387">
        <v>0.12</v>
      </c>
      <c r="M387" t="s">
        <v>4403</v>
      </c>
      <c r="O387" t="s">
        <v>4407</v>
      </c>
      <c r="P387" t="s">
        <v>4407</v>
      </c>
      <c r="T387">
        <v>0.81</v>
      </c>
      <c r="U387">
        <v>0.12</v>
      </c>
      <c r="X387" s="56" t="s">
        <v>4407</v>
      </c>
      <c r="AC387" s="3">
        <f>(T387-GHGFY20[[#This Row],[Scope 2 Emission factor]])/GHGFY20[[#This Row],[Scope 2 Emission factor]]</f>
        <v>0</v>
      </c>
      <c r="AD387" s="3">
        <f>(U387-GHGFY20[[#This Row],[Scope 3 Emission factor]])/GHGFY20[[#This Row],[Scope 3 Emission factor]]</f>
        <v>0</v>
      </c>
      <c r="AH387" t="b">
        <f>GHGFY20[[#This Row],[Reporting Alias]]=GHGFY207[[#This Row],[Reporting Alias]]</f>
        <v>0</v>
      </c>
    </row>
    <row r="388" spans="1:34" ht="27.6">
      <c r="A388" t="s">
        <v>4455</v>
      </c>
      <c r="B388" t="s">
        <v>4451</v>
      </c>
      <c r="C388" t="s">
        <v>4451</v>
      </c>
      <c r="D388" t="s">
        <v>1193</v>
      </c>
      <c r="E388" t="s">
        <v>663</v>
      </c>
      <c r="H388">
        <v>3.5999999999999999E-3</v>
      </c>
      <c r="I388" t="s">
        <v>1137</v>
      </c>
      <c r="J388">
        <v>0</v>
      </c>
      <c r="K388">
        <v>0.44</v>
      </c>
      <c r="L388">
        <v>0.1</v>
      </c>
      <c r="M388" t="s">
        <v>4403</v>
      </c>
      <c r="O388" t="s">
        <v>4408</v>
      </c>
      <c r="P388" t="s">
        <v>4408</v>
      </c>
      <c r="T388">
        <v>0.44</v>
      </c>
      <c r="U388">
        <v>0.1</v>
      </c>
      <c r="X388" s="56" t="s">
        <v>4408</v>
      </c>
      <c r="AC388" s="3">
        <f>(T388-GHGFY20[[#This Row],[Scope 2 Emission factor]])/GHGFY20[[#This Row],[Scope 2 Emission factor]]</f>
        <v>0</v>
      </c>
      <c r="AD388" s="3">
        <f>(U388-GHGFY20[[#This Row],[Scope 3 Emission factor]])/GHGFY20[[#This Row],[Scope 3 Emission factor]]</f>
        <v>0</v>
      </c>
      <c r="AH388" t="b">
        <f>GHGFY20[[#This Row],[Reporting Alias]]=GHGFY207[[#This Row],[Reporting Alias]]</f>
        <v>0</v>
      </c>
    </row>
    <row r="389" spans="1:34" ht="27.6">
      <c r="A389" t="s">
        <v>4456</v>
      </c>
      <c r="B389" t="s">
        <v>4451</v>
      </c>
      <c r="C389" t="s">
        <v>4451</v>
      </c>
      <c r="D389" t="s">
        <v>1213</v>
      </c>
      <c r="E389" t="s">
        <v>663</v>
      </c>
      <c r="H389">
        <v>3.5999999999999999E-3</v>
      </c>
      <c r="I389" t="s">
        <v>1137</v>
      </c>
      <c r="J389">
        <v>0</v>
      </c>
      <c r="K389">
        <v>0.15</v>
      </c>
      <c r="L389">
        <v>0.02</v>
      </c>
      <c r="M389" t="s">
        <v>4403</v>
      </c>
      <c r="O389" t="s">
        <v>4406</v>
      </c>
      <c r="P389" t="s">
        <v>4406</v>
      </c>
      <c r="T389">
        <v>0.15</v>
      </c>
      <c r="U389">
        <v>0.02</v>
      </c>
      <c r="X389" s="56" t="s">
        <v>4406</v>
      </c>
      <c r="AC389" s="3">
        <f>(T389-GHGFY20[[#This Row],[Scope 2 Emission factor]])/GHGFY20[[#This Row],[Scope 2 Emission factor]]</f>
        <v>0</v>
      </c>
      <c r="AD389" s="3">
        <f>(U389-GHGFY20[[#This Row],[Scope 3 Emission factor]])/GHGFY20[[#This Row],[Scope 3 Emission factor]]</f>
        <v>0</v>
      </c>
      <c r="AH389" t="b">
        <f>GHGFY20[[#This Row],[Reporting Alias]]=GHGFY207[[#This Row],[Reporting Alias]]</f>
        <v>0</v>
      </c>
    </row>
    <row r="390" spans="1:34" ht="27.6">
      <c r="A390" t="s">
        <v>4457</v>
      </c>
      <c r="B390" t="s">
        <v>4451</v>
      </c>
      <c r="C390" t="s">
        <v>4451</v>
      </c>
      <c r="D390" t="s">
        <v>1189</v>
      </c>
      <c r="E390" t="s">
        <v>663</v>
      </c>
      <c r="H390">
        <v>3.5999999999999999E-3</v>
      </c>
      <c r="I390" t="s">
        <v>1137</v>
      </c>
      <c r="J390">
        <v>0</v>
      </c>
      <c r="K390">
        <v>1.02</v>
      </c>
      <c r="L390">
        <v>0.1</v>
      </c>
      <c r="M390" t="s">
        <v>4403</v>
      </c>
      <c r="O390" t="s">
        <v>4407</v>
      </c>
      <c r="P390" t="s">
        <v>4407</v>
      </c>
      <c r="T390">
        <v>1.02</v>
      </c>
      <c r="U390">
        <v>0.1</v>
      </c>
      <c r="X390" s="56" t="s">
        <v>4407</v>
      </c>
      <c r="AC390" s="3">
        <f>(T390-GHGFY20[[#This Row],[Scope 2 Emission factor]])/GHGFY20[[#This Row],[Scope 2 Emission factor]]</f>
        <v>0</v>
      </c>
      <c r="AD390" s="3">
        <f>(U390-GHGFY20[[#This Row],[Scope 3 Emission factor]])/GHGFY20[[#This Row],[Scope 3 Emission factor]]</f>
        <v>0</v>
      </c>
      <c r="AH390" t="b">
        <f>GHGFY20[[#This Row],[Reporting Alias]]=GHGFY207[[#This Row],[Reporting Alias]]</f>
        <v>0</v>
      </c>
    </row>
    <row r="391" spans="1:34" ht="27.6">
      <c r="A391" t="s">
        <v>4458</v>
      </c>
      <c r="B391" t="s">
        <v>4451</v>
      </c>
      <c r="C391" t="s">
        <v>4451</v>
      </c>
      <c r="D391" t="s">
        <v>1216</v>
      </c>
      <c r="E391" t="s">
        <v>663</v>
      </c>
      <c r="H391">
        <v>3.5999999999999999E-3</v>
      </c>
      <c r="I391" t="s">
        <v>1137</v>
      </c>
      <c r="J391">
        <v>0</v>
      </c>
      <c r="K391">
        <v>0.69</v>
      </c>
      <c r="L391">
        <v>0.04</v>
      </c>
      <c r="M391" t="s">
        <v>4403</v>
      </c>
      <c r="O391" t="s">
        <v>4408</v>
      </c>
      <c r="P391" t="s">
        <v>4408</v>
      </c>
      <c r="T391" s="9">
        <v>0.69</v>
      </c>
      <c r="U391" s="9">
        <v>0.04</v>
      </c>
      <c r="X391" s="56" t="s">
        <v>4408</v>
      </c>
      <c r="AC391" s="3">
        <f>(T391-GHGFY20[[#This Row],[Scope 2 Emission factor]])/GHGFY20[[#This Row],[Scope 2 Emission factor]]</f>
        <v>0</v>
      </c>
      <c r="AD391" s="3">
        <f>(U391-GHGFY20[[#This Row],[Scope 3 Emission factor]])/GHGFY20[[#This Row],[Scope 3 Emission factor]]</f>
        <v>0</v>
      </c>
      <c r="AH391" t="b">
        <f>GHGFY20[[#This Row],[Reporting Alias]]=GHGFY207[[#This Row],[Reporting Alias]]</f>
        <v>0</v>
      </c>
    </row>
  </sheetData>
  <autoFilter ref="S4:X272" xr:uid="{A1C1B598-1356-4B96-865F-D3B6A6655240}"/>
  <mergeCells count="3">
    <mergeCell ref="S1:U1"/>
    <mergeCell ref="U2:W2"/>
    <mergeCell ref="AD2:AF2"/>
  </mergeCells>
  <phoneticPr fontId="353"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75E9-6C8C-824C-B439-C95383CD7DD5}">
  <sheetPr codeName="Sheet42">
    <pageSetUpPr fitToPage="1"/>
  </sheetPr>
  <dimension ref="A1:AH180"/>
  <sheetViews>
    <sheetView showGridLines="0" topLeftCell="B1" zoomScale="125" zoomScaleNormal="125" workbookViewId="0">
      <selection activeCell="B1" sqref="A1:XFD1048576"/>
    </sheetView>
  </sheetViews>
  <sheetFormatPr defaultColWidth="6.5" defaultRowHeight="13.8"/>
  <cols>
    <col min="1" max="1" width="8.5" style="914" customWidth="1"/>
    <col min="2" max="2" width="9.5" style="914" customWidth="1"/>
    <col min="3" max="3" width="14.5" style="914" customWidth="1"/>
    <col min="4" max="8" width="18.5" style="914" customWidth="1"/>
    <col min="9" max="9" width="43.5" style="914" customWidth="1"/>
    <col min="10" max="10" width="18.5" style="912" customWidth="1"/>
    <col min="11" max="11" width="9.5" style="912" customWidth="1"/>
    <col min="12" max="16" width="8.09765625" style="912" customWidth="1"/>
    <col min="17" max="34" width="6.5" style="912"/>
    <col min="35" max="16384" width="6.5" style="914"/>
  </cols>
  <sheetData>
    <row r="1" spans="1:9" s="912" customFormat="1" ht="242.1" customHeight="1">
      <c r="A1" s="911"/>
      <c r="B1" s="911"/>
      <c r="C1" s="1929"/>
      <c r="D1" s="1930"/>
      <c r="E1" s="1930"/>
      <c r="F1" s="1930"/>
      <c r="G1" s="1930"/>
      <c r="H1" s="1930"/>
      <c r="I1" s="1931"/>
    </row>
    <row r="2" spans="1:9" s="912" customFormat="1">
      <c r="A2" s="911"/>
      <c r="B2" s="911"/>
      <c r="C2" s="913"/>
      <c r="D2" s="914"/>
      <c r="E2" s="914"/>
      <c r="F2" s="914"/>
      <c r="G2" s="914"/>
      <c r="H2" s="914"/>
      <c r="I2" s="915"/>
    </row>
    <row r="3" spans="1:9" s="912" customFormat="1">
      <c r="A3" s="911"/>
      <c r="B3" s="911"/>
      <c r="C3" s="913"/>
      <c r="D3" s="916"/>
      <c r="E3" s="911"/>
      <c r="F3" s="911"/>
      <c r="G3" s="911"/>
      <c r="H3" s="911"/>
      <c r="I3" s="917"/>
    </row>
    <row r="4" spans="1:9" s="912" customFormat="1" ht="17.399999999999999">
      <c r="A4" s="911"/>
      <c r="B4" s="911"/>
      <c r="C4" s="918"/>
      <c r="D4" s="919" t="s">
        <v>295</v>
      </c>
      <c r="E4" s="911"/>
      <c r="F4" s="911"/>
      <c r="G4" s="911"/>
      <c r="H4" s="911"/>
      <c r="I4" s="920"/>
    </row>
    <row r="5" spans="1:9" s="912" customFormat="1" ht="17.399999999999999">
      <c r="A5" s="911"/>
      <c r="B5" s="911"/>
      <c r="C5" s="918"/>
      <c r="D5" s="921" t="s">
        <v>296</v>
      </c>
      <c r="E5" s="911"/>
      <c r="F5" s="911"/>
      <c r="G5" s="911"/>
      <c r="H5" s="911"/>
      <c r="I5" s="920"/>
    </row>
    <row r="6" spans="1:9" s="912" customFormat="1" ht="17.399999999999999">
      <c r="A6" s="911"/>
      <c r="B6" s="911"/>
      <c r="C6" s="918"/>
      <c r="D6" s="921" t="s">
        <v>297</v>
      </c>
      <c r="E6" s="911"/>
      <c r="F6" s="911"/>
      <c r="G6" s="911"/>
      <c r="H6" s="911"/>
      <c r="I6" s="920"/>
    </row>
    <row r="7" spans="1:9" s="912" customFormat="1" ht="17.399999999999999">
      <c r="A7" s="911"/>
      <c r="B7" s="911"/>
      <c r="C7" s="918"/>
      <c r="D7" s="921" t="s">
        <v>298</v>
      </c>
      <c r="E7" s="911"/>
      <c r="F7" s="911"/>
      <c r="G7" s="911"/>
      <c r="H7" s="911"/>
      <c r="I7" s="920"/>
    </row>
    <row r="8" spans="1:9" s="912" customFormat="1" ht="17.399999999999999">
      <c r="A8" s="911"/>
      <c r="B8" s="911"/>
      <c r="C8" s="918"/>
      <c r="D8" s="921" t="s">
        <v>299</v>
      </c>
      <c r="E8" s="911"/>
      <c r="F8" s="911"/>
      <c r="G8" s="911"/>
      <c r="H8" s="911"/>
      <c r="I8" s="920"/>
    </row>
    <row r="9" spans="1:9" s="912" customFormat="1" ht="17.399999999999999">
      <c r="A9" s="911"/>
      <c r="B9" s="911"/>
      <c r="C9" s="918"/>
      <c r="D9" s="921" t="s">
        <v>300</v>
      </c>
      <c r="E9" s="911"/>
      <c r="F9" s="911"/>
      <c r="G9" s="911"/>
      <c r="H9" s="911"/>
      <c r="I9" s="920"/>
    </row>
    <row r="10" spans="1:9" s="912" customFormat="1" ht="17.399999999999999">
      <c r="A10" s="911"/>
      <c r="B10" s="911"/>
      <c r="C10" s="918"/>
      <c r="D10" s="921" t="s">
        <v>301</v>
      </c>
      <c r="E10" s="911"/>
      <c r="F10" s="911"/>
      <c r="G10" s="911"/>
      <c r="H10" s="911"/>
      <c r="I10" s="920"/>
    </row>
    <row r="11" spans="1:9" s="912" customFormat="1" ht="17.399999999999999">
      <c r="A11" s="911"/>
      <c r="B11" s="911"/>
      <c r="C11" s="918"/>
      <c r="D11" s="921" t="s">
        <v>302</v>
      </c>
      <c r="E11" s="911"/>
      <c r="F11" s="911"/>
      <c r="G11" s="911"/>
      <c r="H11" s="911"/>
      <c r="I11" s="920"/>
    </row>
    <row r="12" spans="1:9" s="912" customFormat="1" ht="17.399999999999999">
      <c r="A12" s="911"/>
      <c r="B12" s="911"/>
      <c r="C12" s="918"/>
      <c r="D12" s="921" t="s">
        <v>303</v>
      </c>
      <c r="E12" s="911"/>
      <c r="F12" s="911"/>
      <c r="G12" s="911"/>
      <c r="H12" s="911"/>
      <c r="I12" s="920"/>
    </row>
    <row r="13" spans="1:9" s="912" customFormat="1" ht="17.399999999999999">
      <c r="A13" s="911"/>
      <c r="B13" s="911"/>
      <c r="C13" s="918"/>
      <c r="D13" s="921" t="s">
        <v>304</v>
      </c>
      <c r="E13" s="911"/>
      <c r="F13" s="911"/>
      <c r="G13" s="911"/>
      <c r="H13" s="911"/>
      <c r="I13" s="920"/>
    </row>
    <row r="14" spans="1:9" s="912" customFormat="1" ht="17.399999999999999">
      <c r="A14" s="911"/>
      <c r="B14" s="911"/>
      <c r="C14" s="918"/>
      <c r="D14" s="921" t="s">
        <v>305</v>
      </c>
      <c r="E14" s="911"/>
      <c r="F14" s="911"/>
      <c r="G14" s="911"/>
      <c r="H14" s="911"/>
      <c r="I14" s="920"/>
    </row>
    <row r="15" spans="1:9" s="912" customFormat="1" ht="17.399999999999999">
      <c r="A15" s="911"/>
      <c r="B15" s="911"/>
      <c r="C15" s="918"/>
      <c r="D15" s="921" t="s">
        <v>306</v>
      </c>
      <c r="E15" s="911"/>
      <c r="F15" s="911"/>
      <c r="G15" s="911"/>
      <c r="H15" s="911"/>
      <c r="I15" s="920"/>
    </row>
    <row r="16" spans="1:9" s="912" customFormat="1" ht="17.399999999999999">
      <c r="A16" s="911"/>
      <c r="B16" s="911"/>
      <c r="C16" s="918"/>
      <c r="D16" s="922" t="s">
        <v>307</v>
      </c>
      <c r="E16" s="911"/>
      <c r="F16" s="911"/>
      <c r="G16" s="911"/>
      <c r="H16" s="911"/>
      <c r="I16" s="920"/>
    </row>
    <row r="17" spans="1:9" s="912" customFormat="1" ht="17.399999999999999">
      <c r="A17" s="911"/>
      <c r="B17" s="911"/>
      <c r="C17" s="918"/>
      <c r="D17" s="922" t="s">
        <v>308</v>
      </c>
      <c r="E17" s="911"/>
      <c r="G17" s="911"/>
      <c r="H17" s="911"/>
      <c r="I17" s="920"/>
    </row>
    <row r="18" spans="1:9" s="912" customFormat="1" ht="17.399999999999999">
      <c r="A18" s="911"/>
      <c r="B18" s="911"/>
      <c r="C18" s="918"/>
      <c r="D18" s="922" t="s">
        <v>309</v>
      </c>
      <c r="E18" s="911"/>
      <c r="F18" s="911"/>
      <c r="G18" s="911"/>
      <c r="H18" s="911"/>
      <c r="I18" s="920"/>
    </row>
    <row r="19" spans="1:9" s="912" customFormat="1" ht="17.399999999999999">
      <c r="A19" s="911"/>
      <c r="B19" s="911"/>
      <c r="C19" s="918"/>
      <c r="D19" s="921" t="s">
        <v>310</v>
      </c>
      <c r="E19" s="911"/>
      <c r="F19" s="911"/>
      <c r="G19" s="911"/>
      <c r="H19" s="911"/>
      <c r="I19" s="920"/>
    </row>
    <row r="20" spans="1:9" s="912" customFormat="1" ht="17.399999999999999">
      <c r="A20" s="911"/>
      <c r="B20" s="911"/>
      <c r="C20" s="918"/>
      <c r="D20" s="921" t="s">
        <v>311</v>
      </c>
      <c r="E20" s="911"/>
      <c r="F20" s="911"/>
      <c r="G20" s="911"/>
      <c r="H20" s="911"/>
      <c r="I20" s="920"/>
    </row>
    <row r="21" spans="1:9" s="912" customFormat="1" ht="17.399999999999999">
      <c r="A21" s="911"/>
      <c r="B21" s="911"/>
      <c r="C21" s="918"/>
      <c r="D21" s="921" t="s">
        <v>312</v>
      </c>
      <c r="E21" s="923"/>
      <c r="F21" s="911"/>
      <c r="G21" s="911"/>
      <c r="H21" s="911"/>
      <c r="I21" s="920"/>
    </row>
    <row r="22" spans="1:9" s="912" customFormat="1" ht="17.399999999999999">
      <c r="A22" s="911"/>
      <c r="B22" s="911"/>
      <c r="C22" s="918"/>
      <c r="D22" s="921" t="s">
        <v>313</v>
      </c>
      <c r="E22" s="911"/>
      <c r="F22" s="911"/>
      <c r="G22" s="911"/>
      <c r="H22" s="911"/>
      <c r="I22" s="920"/>
    </row>
    <row r="23" spans="1:9" s="912" customFormat="1" ht="17.399999999999999">
      <c r="A23" s="911"/>
      <c r="B23" s="911"/>
      <c r="C23" s="918"/>
      <c r="D23" s="924" t="s">
        <v>314</v>
      </c>
      <c r="E23" s="911"/>
      <c r="F23" s="911"/>
      <c r="G23" s="911"/>
      <c r="H23" s="911"/>
      <c r="I23" s="920"/>
    </row>
    <row r="24" spans="1:9" s="912" customFormat="1" ht="17.399999999999999">
      <c r="A24" s="911"/>
      <c r="B24" s="911"/>
      <c r="C24" s="918"/>
      <c r="D24" s="922" t="s">
        <v>315</v>
      </c>
      <c r="E24" s="911"/>
      <c r="F24" s="911"/>
      <c r="G24" s="911"/>
      <c r="H24" s="911"/>
      <c r="I24" s="920"/>
    </row>
    <row r="25" spans="1:9" s="912" customFormat="1" ht="17.399999999999999">
      <c r="A25" s="911"/>
      <c r="B25" s="911"/>
      <c r="C25" s="918"/>
      <c r="D25" s="922" t="s">
        <v>316</v>
      </c>
      <c r="E25" s="911"/>
      <c r="F25" s="911"/>
      <c r="G25" s="911"/>
      <c r="H25" s="911"/>
      <c r="I25" s="920"/>
    </row>
    <row r="26" spans="1:9" s="912" customFormat="1" ht="17.399999999999999">
      <c r="A26" s="911"/>
      <c r="B26" s="911"/>
      <c r="C26" s="918"/>
      <c r="D26" s="922" t="s">
        <v>317</v>
      </c>
      <c r="E26" s="911"/>
      <c r="F26" s="911"/>
      <c r="G26" s="911"/>
      <c r="H26" s="911"/>
      <c r="I26" s="920"/>
    </row>
    <row r="27" spans="1:9" s="912" customFormat="1" ht="17.399999999999999">
      <c r="A27" s="911"/>
      <c r="B27" s="911"/>
      <c r="C27" s="918"/>
      <c r="D27" s="922" t="s">
        <v>318</v>
      </c>
      <c r="E27" s="911"/>
      <c r="F27" s="911"/>
      <c r="G27" s="911"/>
      <c r="H27" s="911"/>
      <c r="I27" s="920"/>
    </row>
    <row r="28" spans="1:9" s="912" customFormat="1" ht="17.399999999999999">
      <c r="A28" s="911"/>
      <c r="B28" s="911"/>
      <c r="C28" s="918"/>
      <c r="D28" s="922" t="s">
        <v>319</v>
      </c>
      <c r="E28" s="911"/>
      <c r="F28" s="911"/>
      <c r="G28" s="911"/>
      <c r="H28" s="911"/>
      <c r="I28" s="920"/>
    </row>
    <row r="29" spans="1:9" s="912" customFormat="1" ht="17.399999999999999">
      <c r="A29" s="911"/>
      <c r="B29" s="911"/>
      <c r="C29" s="918"/>
      <c r="D29" s="925"/>
      <c r="E29" s="911"/>
      <c r="F29" s="911"/>
      <c r="G29" s="911"/>
      <c r="H29" s="911"/>
      <c r="I29" s="920"/>
    </row>
    <row r="30" spans="1:9" s="912" customFormat="1" ht="17.399999999999999">
      <c r="A30" s="911"/>
      <c r="B30" s="911"/>
      <c r="C30" s="918"/>
      <c r="D30" s="919" t="s">
        <v>320</v>
      </c>
      <c r="E30" s="911"/>
      <c r="F30" s="911"/>
      <c r="G30" s="911"/>
      <c r="H30" s="911"/>
      <c r="I30" s="920"/>
    </row>
    <row r="31" spans="1:9" s="912" customFormat="1" ht="17.399999999999999">
      <c r="A31" s="911"/>
      <c r="B31" s="911"/>
      <c r="C31" s="918"/>
      <c r="D31" s="926" t="s">
        <v>321</v>
      </c>
      <c r="E31" s="911"/>
      <c r="F31" s="911"/>
      <c r="G31" s="911"/>
      <c r="H31" s="911"/>
      <c r="I31" s="920"/>
    </row>
    <row r="32" spans="1:9" s="912" customFormat="1" ht="17.399999999999999">
      <c r="A32" s="911"/>
      <c r="B32" s="911"/>
      <c r="C32" s="918"/>
      <c r="D32" s="926" t="s">
        <v>322</v>
      </c>
      <c r="E32" s="911"/>
      <c r="F32" s="911"/>
      <c r="G32" s="911"/>
      <c r="H32" s="911"/>
      <c r="I32" s="920"/>
    </row>
    <row r="33" spans="1:9" s="912" customFormat="1" ht="17.399999999999999">
      <c r="A33" s="911"/>
      <c r="B33" s="911"/>
      <c r="C33" s="918"/>
      <c r="D33" s="926" t="s">
        <v>323</v>
      </c>
      <c r="E33" s="911"/>
      <c r="F33" s="911"/>
      <c r="G33" s="911"/>
      <c r="H33" s="911"/>
      <c r="I33" s="920"/>
    </row>
    <row r="34" spans="1:9" s="912" customFormat="1" ht="17.399999999999999">
      <c r="A34" s="911"/>
      <c r="B34" s="911"/>
      <c r="C34" s="918"/>
      <c r="D34" s="926" t="s">
        <v>324</v>
      </c>
      <c r="E34" s="911"/>
      <c r="F34" s="911"/>
      <c r="G34" s="911"/>
      <c r="H34" s="911"/>
      <c r="I34" s="920"/>
    </row>
    <row r="35" spans="1:9" s="912" customFormat="1" ht="17.399999999999999">
      <c r="A35" s="911"/>
      <c r="B35" s="911"/>
      <c r="C35" s="918"/>
      <c r="D35" s="925"/>
      <c r="E35" s="911"/>
      <c r="F35" s="911"/>
      <c r="G35" s="911"/>
      <c r="H35" s="911"/>
      <c r="I35" s="920"/>
    </row>
    <row r="36" spans="1:9" s="912" customFormat="1" ht="17.399999999999999">
      <c r="A36" s="911"/>
      <c r="B36" s="911"/>
      <c r="C36" s="918"/>
      <c r="D36" s="919" t="s">
        <v>325</v>
      </c>
      <c r="E36" s="911"/>
      <c r="F36" s="911"/>
      <c r="G36" s="911"/>
      <c r="H36" s="911"/>
      <c r="I36" s="920"/>
    </row>
    <row r="37" spans="1:9" s="912" customFormat="1" ht="17.399999999999999">
      <c r="A37" s="911"/>
      <c r="B37" s="911"/>
      <c r="C37" s="918"/>
      <c r="D37" s="922" t="s">
        <v>326</v>
      </c>
      <c r="E37" s="911"/>
      <c r="F37" s="911"/>
      <c r="G37" s="911"/>
      <c r="H37" s="911"/>
      <c r="I37" s="920"/>
    </row>
    <row r="38" spans="1:9" s="912" customFormat="1" ht="17.399999999999999">
      <c r="A38" s="911"/>
      <c r="B38" s="911"/>
      <c r="C38" s="918"/>
      <c r="D38" s="924" t="s">
        <v>327</v>
      </c>
      <c r="E38" s="911"/>
      <c r="F38" s="911"/>
      <c r="G38" s="911"/>
      <c r="H38" s="911"/>
      <c r="I38" s="920"/>
    </row>
    <row r="39" spans="1:9" s="912" customFormat="1" ht="17.399999999999999">
      <c r="A39" s="911"/>
      <c r="B39" s="911"/>
      <c r="C39" s="918"/>
      <c r="D39" s="926" t="s">
        <v>131</v>
      </c>
      <c r="E39" s="911"/>
      <c r="F39" s="911"/>
      <c r="G39" s="911"/>
      <c r="H39" s="911"/>
      <c r="I39" s="920"/>
    </row>
    <row r="40" spans="1:9" s="912" customFormat="1" ht="17.399999999999999">
      <c r="A40" s="911"/>
      <c r="B40" s="911"/>
      <c r="C40" s="918"/>
      <c r="D40" s="926" t="s">
        <v>149</v>
      </c>
      <c r="E40" s="911"/>
      <c r="F40" s="911"/>
      <c r="G40" s="911"/>
      <c r="H40" s="911"/>
      <c r="I40" s="920"/>
    </row>
    <row r="41" spans="1:9" s="912" customFormat="1" ht="17.399999999999999">
      <c r="A41" s="911"/>
      <c r="B41" s="911"/>
      <c r="C41" s="918"/>
      <c r="D41" s="926" t="s">
        <v>161</v>
      </c>
      <c r="E41" s="911"/>
      <c r="F41" s="911"/>
      <c r="G41" s="911"/>
      <c r="H41" s="911"/>
      <c r="I41" s="920"/>
    </row>
    <row r="42" spans="1:9" s="912" customFormat="1" ht="17.399999999999999">
      <c r="A42" s="911"/>
      <c r="B42" s="911"/>
      <c r="C42" s="918"/>
      <c r="D42" s="926" t="s">
        <v>328</v>
      </c>
      <c r="E42" s="911"/>
      <c r="F42" s="911"/>
      <c r="G42" s="911"/>
      <c r="H42" s="911"/>
      <c r="I42" s="920"/>
    </row>
    <row r="43" spans="1:9" s="912" customFormat="1" ht="17.399999999999999">
      <c r="A43" s="911"/>
      <c r="B43" s="911"/>
      <c r="C43" s="918"/>
      <c r="D43" s="926" t="s">
        <v>329</v>
      </c>
      <c r="E43" s="911"/>
      <c r="F43" s="911"/>
      <c r="G43" s="911"/>
      <c r="H43" s="911"/>
      <c r="I43" s="920"/>
    </row>
    <row r="44" spans="1:9" s="912" customFormat="1" ht="17.399999999999999">
      <c r="A44" s="911"/>
      <c r="B44" s="911"/>
      <c r="C44" s="918"/>
      <c r="D44" s="926" t="s">
        <v>199</v>
      </c>
      <c r="E44" s="911"/>
      <c r="F44" s="911"/>
      <c r="G44" s="911"/>
      <c r="H44" s="911"/>
      <c r="I44" s="920"/>
    </row>
    <row r="45" spans="1:9" s="912" customFormat="1" ht="17.399999999999999">
      <c r="A45" s="911"/>
      <c r="B45" s="911"/>
      <c r="C45" s="918"/>
      <c r="D45" s="926" t="s">
        <v>205</v>
      </c>
      <c r="E45" s="911"/>
      <c r="F45" s="911"/>
      <c r="G45" s="911"/>
      <c r="H45" s="911"/>
      <c r="I45" s="920"/>
    </row>
    <row r="46" spans="1:9" s="912" customFormat="1" ht="17.399999999999999">
      <c r="A46" s="911"/>
      <c r="B46" s="911"/>
      <c r="C46" s="918"/>
      <c r="D46" s="926" t="s">
        <v>233</v>
      </c>
      <c r="E46" s="911"/>
      <c r="F46" s="911"/>
      <c r="G46" s="911"/>
      <c r="H46" s="911"/>
      <c r="I46" s="920"/>
    </row>
    <row r="47" spans="1:9" s="912" customFormat="1" ht="17.399999999999999">
      <c r="A47" s="911"/>
      <c r="B47" s="911"/>
      <c r="C47" s="918"/>
      <c r="D47" s="926" t="s">
        <v>238</v>
      </c>
      <c r="E47" s="911"/>
      <c r="F47" s="911"/>
      <c r="G47" s="911"/>
      <c r="H47" s="911"/>
      <c r="I47" s="920"/>
    </row>
    <row r="48" spans="1:9" s="912" customFormat="1" ht="17.399999999999999">
      <c r="A48" s="911"/>
      <c r="B48" s="911"/>
      <c r="C48" s="918"/>
      <c r="D48" s="927" t="s">
        <v>247</v>
      </c>
      <c r="E48" s="911"/>
      <c r="F48" s="911"/>
      <c r="G48" s="911"/>
      <c r="H48" s="911"/>
      <c r="I48" s="920"/>
    </row>
    <row r="49" spans="1:9" s="912" customFormat="1" ht="17.399999999999999">
      <c r="A49" s="911"/>
      <c r="B49" s="911"/>
      <c r="C49" s="918"/>
      <c r="D49" s="928"/>
      <c r="E49" s="911"/>
      <c r="F49" s="911"/>
      <c r="G49" s="911"/>
      <c r="H49" s="911"/>
      <c r="I49" s="920"/>
    </row>
    <row r="50" spans="1:9" s="912" customFormat="1" ht="17.399999999999999">
      <c r="A50" s="911"/>
      <c r="B50" s="911"/>
      <c r="C50" s="918"/>
      <c r="D50" s="919" t="s">
        <v>330</v>
      </c>
      <c r="E50" s="911"/>
      <c r="F50" s="911"/>
      <c r="G50" s="911"/>
      <c r="H50" s="911"/>
      <c r="I50" s="920"/>
    </row>
    <row r="51" spans="1:9" s="912" customFormat="1" ht="17.399999999999999">
      <c r="A51" s="911"/>
      <c r="B51" s="911"/>
      <c r="C51" s="918"/>
      <c r="D51" s="929" t="s">
        <v>331</v>
      </c>
      <c r="E51" s="930"/>
      <c r="F51" s="930"/>
      <c r="G51" s="911"/>
      <c r="H51" s="911"/>
      <c r="I51" s="920"/>
    </row>
    <row r="52" spans="1:9" s="912" customFormat="1" ht="17.399999999999999">
      <c r="A52" s="911"/>
      <c r="B52" s="911"/>
      <c r="C52" s="918"/>
      <c r="D52" s="929" t="s">
        <v>332</v>
      </c>
      <c r="E52" s="914"/>
      <c r="F52" s="914"/>
      <c r="G52" s="911"/>
      <c r="H52" s="911"/>
      <c r="I52" s="920"/>
    </row>
    <row r="53" spans="1:9" s="912" customFormat="1" ht="17.399999999999999">
      <c r="A53" s="911"/>
      <c r="B53" s="911"/>
      <c r="C53" s="918"/>
      <c r="D53" s="931" t="s">
        <v>333</v>
      </c>
      <c r="E53" s="930"/>
      <c r="F53" s="930"/>
      <c r="G53" s="911"/>
      <c r="H53" s="911"/>
      <c r="I53" s="920"/>
    </row>
    <row r="54" spans="1:9" s="912" customFormat="1" ht="17.399999999999999">
      <c r="A54" s="911"/>
      <c r="B54" s="911"/>
      <c r="C54" s="918"/>
      <c r="D54" s="929" t="s">
        <v>334</v>
      </c>
      <c r="E54" s="930"/>
      <c r="F54" s="930"/>
      <c r="G54" s="911"/>
      <c r="H54" s="911"/>
      <c r="I54" s="920"/>
    </row>
    <row r="55" spans="1:9" s="912" customFormat="1" ht="17.399999999999999">
      <c r="A55" s="911"/>
      <c r="B55" s="911"/>
      <c r="C55" s="918"/>
      <c r="D55" s="931" t="s">
        <v>335</v>
      </c>
      <c r="E55" s="911"/>
      <c r="F55" s="911"/>
      <c r="G55" s="911"/>
      <c r="H55" s="911"/>
      <c r="I55" s="920"/>
    </row>
    <row r="56" spans="1:9" s="912" customFormat="1" ht="17.399999999999999">
      <c r="A56" s="911"/>
      <c r="B56" s="911"/>
      <c r="C56" s="918"/>
      <c r="D56" s="926"/>
      <c r="E56" s="911"/>
      <c r="F56" s="911"/>
      <c r="G56" s="911"/>
      <c r="H56" s="911"/>
      <c r="I56" s="920"/>
    </row>
    <row r="57" spans="1:9" s="912" customFormat="1" ht="17.399999999999999">
      <c r="A57" s="911"/>
      <c r="B57" s="911"/>
      <c r="C57" s="918"/>
      <c r="D57" s="926"/>
      <c r="E57" s="911"/>
      <c r="F57" s="911"/>
      <c r="G57" s="911"/>
      <c r="H57" s="911"/>
      <c r="I57" s="920"/>
    </row>
    <row r="58" spans="1:9" s="912" customFormat="1">
      <c r="A58" s="911"/>
      <c r="B58" s="911"/>
      <c r="C58" s="932"/>
      <c r="D58" s="926"/>
      <c r="E58" s="911"/>
      <c r="F58" s="911"/>
      <c r="G58" s="911"/>
      <c r="H58" s="911"/>
      <c r="I58" s="920"/>
    </row>
    <row r="59" spans="1:9" s="912" customFormat="1">
      <c r="A59" s="911"/>
      <c r="B59" s="911"/>
      <c r="C59" s="1932"/>
      <c r="D59" s="1933"/>
      <c r="E59" s="911"/>
      <c r="F59" s="911"/>
      <c r="G59" s="911"/>
      <c r="H59" s="911"/>
      <c r="I59" s="920"/>
    </row>
    <row r="60" spans="1:9" s="912" customFormat="1">
      <c r="C60" s="933"/>
      <c r="D60" s="934"/>
      <c r="E60" s="934"/>
      <c r="F60" s="934"/>
      <c r="G60" s="934"/>
      <c r="H60" s="934"/>
      <c r="I60" s="935" t="s">
        <v>336</v>
      </c>
    </row>
    <row r="61" spans="1:9" s="912" customFormat="1"/>
    <row r="62" spans="1:9" s="912" customFormat="1"/>
    <row r="63" spans="1:9" s="912" customFormat="1"/>
    <row r="64" spans="1:9" s="912" customFormat="1"/>
    <row r="65" s="912" customFormat="1"/>
    <row r="66" s="912" customFormat="1"/>
    <row r="67" s="912" customFormat="1"/>
    <row r="68" s="912" customFormat="1"/>
    <row r="69" s="912" customFormat="1"/>
    <row r="70" s="912" customFormat="1"/>
    <row r="71" s="912" customFormat="1"/>
    <row r="72" s="912" customFormat="1"/>
    <row r="73" s="912" customFormat="1"/>
    <row r="74" s="912" customFormat="1"/>
    <row r="75" s="912" customFormat="1"/>
    <row r="76" s="912" customFormat="1"/>
    <row r="77" s="912" customFormat="1"/>
    <row r="78" s="912" customFormat="1"/>
    <row r="79" s="912" customFormat="1"/>
    <row r="80" s="912" customFormat="1"/>
    <row r="81" s="912" customFormat="1"/>
    <row r="82" s="912" customFormat="1"/>
    <row r="83" s="912" customFormat="1"/>
    <row r="84" s="912" customFormat="1"/>
    <row r="85" s="912" customFormat="1"/>
    <row r="86" s="912" customFormat="1"/>
    <row r="87" s="912" customFormat="1"/>
    <row r="88" s="912" customFormat="1"/>
    <row r="89" s="912" customFormat="1"/>
    <row r="90" s="912" customFormat="1"/>
    <row r="91" s="912" customFormat="1"/>
    <row r="92" s="912" customFormat="1"/>
    <row r="93" s="912" customFormat="1"/>
    <row r="94" s="912" customFormat="1"/>
    <row r="95" s="912" customFormat="1"/>
    <row r="96" s="912" customFormat="1"/>
    <row r="97" s="912" customFormat="1"/>
    <row r="98" s="912" customFormat="1"/>
    <row r="99" s="912" customFormat="1"/>
    <row r="100" s="912" customFormat="1"/>
    <row r="101" s="912" customFormat="1"/>
    <row r="102" s="912" customFormat="1"/>
    <row r="103" s="912" customFormat="1"/>
    <row r="104" s="912" customFormat="1"/>
    <row r="105" s="912" customFormat="1"/>
    <row r="106" s="912" customFormat="1"/>
    <row r="107" s="912" customFormat="1"/>
    <row r="108" s="912" customFormat="1"/>
    <row r="109" s="912" customFormat="1"/>
    <row r="110" s="912" customFormat="1"/>
    <row r="111" s="912" customFormat="1"/>
    <row r="112" s="912" customFormat="1"/>
    <row r="113" s="912" customFormat="1"/>
    <row r="114" s="912" customFormat="1"/>
    <row r="115" s="912" customFormat="1"/>
    <row r="116" s="912" customFormat="1"/>
    <row r="117" s="912" customFormat="1"/>
    <row r="118" s="912" customFormat="1"/>
    <row r="119" s="912" customFormat="1"/>
    <row r="120" s="912" customFormat="1"/>
    <row r="121" s="912" customFormat="1"/>
    <row r="122" s="912" customFormat="1"/>
    <row r="123" s="912" customFormat="1"/>
    <row r="124" s="912" customFormat="1"/>
    <row r="125" s="912" customFormat="1"/>
    <row r="126" s="912" customFormat="1"/>
    <row r="127" s="912" customFormat="1"/>
    <row r="128" s="912" customFormat="1"/>
    <row r="129" s="912" customFormat="1"/>
    <row r="130" s="912" customFormat="1"/>
    <row r="131" s="912" customFormat="1"/>
    <row r="132" s="912" customFormat="1"/>
    <row r="133" s="912" customFormat="1"/>
    <row r="134" s="912" customFormat="1"/>
    <row r="135" s="912" customFormat="1"/>
    <row r="136" s="912" customFormat="1"/>
    <row r="137" s="912" customFormat="1"/>
    <row r="138" s="912" customFormat="1"/>
    <row r="139" s="912" customFormat="1"/>
    <row r="140" s="912" customFormat="1"/>
    <row r="141" s="912" customFormat="1"/>
    <row r="142" s="912" customFormat="1"/>
    <row r="143" s="912" customFormat="1"/>
    <row r="144" s="912" customFormat="1"/>
    <row r="145" s="912" customFormat="1"/>
    <row r="146" s="912" customFormat="1"/>
    <row r="147" s="912" customFormat="1"/>
    <row r="148" s="912" customFormat="1"/>
    <row r="149" s="912" customFormat="1"/>
    <row r="150" s="912" customFormat="1"/>
    <row r="151" s="912" customFormat="1"/>
    <row r="152" s="912" customFormat="1"/>
    <row r="153" s="912" customFormat="1"/>
    <row r="154" s="912" customFormat="1"/>
    <row r="155" s="912" customFormat="1"/>
    <row r="156" s="912" customFormat="1"/>
    <row r="157" s="912" customFormat="1"/>
    <row r="158" s="912" customFormat="1"/>
    <row r="159" s="912" customFormat="1"/>
    <row r="160" s="912" customFormat="1"/>
    <row r="161" s="912" customFormat="1"/>
    <row r="162" s="912" customFormat="1"/>
    <row r="163" s="912" customFormat="1"/>
    <row r="164" s="912" customFormat="1"/>
    <row r="165" s="912" customFormat="1"/>
    <row r="166" s="912" customFormat="1"/>
    <row r="167" s="912" customFormat="1"/>
    <row r="168" s="912" customFormat="1"/>
    <row r="169" s="912" customFormat="1"/>
    <row r="170" s="912" customFormat="1"/>
    <row r="171" s="912" customFormat="1"/>
    <row r="172" s="912" customFormat="1"/>
    <row r="173" s="912" customFormat="1"/>
    <row r="174" s="912" customFormat="1"/>
    <row r="175" s="912" customFormat="1"/>
    <row r="176" s="912" customFormat="1"/>
    <row r="177" s="912" customFormat="1"/>
    <row r="178" s="912" customFormat="1"/>
    <row r="179" s="912" customFormat="1"/>
    <row r="180" s="912" customFormat="1"/>
  </sheetData>
  <mergeCells count="2">
    <mergeCell ref="C1:I1"/>
    <mergeCell ref="C59:D59"/>
  </mergeCells>
  <hyperlinks>
    <hyperlink ref="D51" r:id="rId1" display="Bigger Picture 2020 Sustainability Report" xr:uid="{87836EFB-CEC7-524A-9AED-5B2C0270B13F}"/>
    <hyperlink ref="D52" r:id="rId2" display="2020 Sustainability Report Assurance Statement" xr:uid="{3C1C65BB-9CA8-6048-8F68-95A1481EA4A1}"/>
    <hyperlink ref="D53" r:id="rId3" display="2020 Sustainability Report Glossary" xr:uid="{3846ABAF-588E-514D-890B-CB7FCF0850EA}"/>
    <hyperlink ref="D54" r:id="rId4" display="2020 Sustainability Report GRI Content Index" xr:uid="{132985CA-7042-644D-B443-F6690DA5231F}"/>
    <hyperlink ref="D55" r:id="rId5" display="2021 Sustainability Report TCFD Appendices" xr:uid="{A7412436-352C-C94E-8F8A-AE95968E4E86}"/>
  </hyperlinks>
  <pageMargins left="0.7" right="0.7" top="0.75" bottom="0.75" header="0.3" footer="0.3"/>
  <pageSetup paperSize="8" scale="81"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CFDC8-0184-6E49-A56F-73690EE47172}">
  <sheetPr codeName="Sheet45">
    <tabColor rgb="FF031E82"/>
  </sheetPr>
  <dimension ref="A1:Q396"/>
  <sheetViews>
    <sheetView showGridLines="0" zoomScaleNormal="100" workbookViewId="0">
      <selection sqref="A1:XFD1048576"/>
    </sheetView>
  </sheetViews>
  <sheetFormatPr defaultColWidth="8.8984375" defaultRowHeight="13.8"/>
  <cols>
    <col min="1" max="1" width="8.3984375" style="944" customWidth="1"/>
    <col min="2" max="2" width="8.3984375" style="936" customWidth="1"/>
    <col min="3" max="3" width="37.5" style="944" customWidth="1"/>
    <col min="4" max="5" width="11.5" style="1071" customWidth="1"/>
    <col min="6" max="12" width="11.5" style="944" customWidth="1"/>
    <col min="13" max="13" width="11.5" style="936" customWidth="1"/>
    <col min="14" max="14" width="11.09765625" style="944" customWidth="1"/>
    <col min="15" max="16384" width="8.8984375" style="944"/>
  </cols>
  <sheetData>
    <row r="1" spans="3:14" s="936" customFormat="1" ht="234.9" customHeight="1">
      <c r="C1" s="1950"/>
      <c r="D1" s="1951"/>
      <c r="E1" s="1951"/>
      <c r="F1" s="1951"/>
      <c r="G1" s="1951"/>
      <c r="H1" s="1951"/>
      <c r="I1" s="1951"/>
      <c r="J1" s="1951"/>
      <c r="K1" s="1951"/>
      <c r="L1" s="1951"/>
      <c r="M1" s="1952"/>
    </row>
    <row r="2" spans="3:14" s="936" customFormat="1">
      <c r="C2" s="937"/>
      <c r="D2" s="938"/>
      <c r="E2" s="938"/>
      <c r="F2" s="938"/>
      <c r="G2" s="938"/>
      <c r="H2" s="938"/>
      <c r="I2" s="938"/>
      <c r="J2" s="938"/>
      <c r="K2" s="938"/>
      <c r="L2" s="938"/>
      <c r="M2" s="939"/>
    </row>
    <row r="3" spans="3:14" s="936" customFormat="1">
      <c r="C3" s="940"/>
      <c r="D3" s="938"/>
      <c r="E3" s="938"/>
      <c r="M3" s="941"/>
    </row>
    <row r="4" spans="3:14" s="936" customFormat="1">
      <c r="C4" s="942" t="s">
        <v>337</v>
      </c>
      <c r="D4" s="938"/>
      <c r="E4" s="938"/>
      <c r="M4" s="941"/>
    </row>
    <row r="5" spans="3:14" s="936" customFormat="1">
      <c r="C5" s="943" t="s">
        <v>338</v>
      </c>
      <c r="D5" s="938"/>
      <c r="E5" s="938"/>
      <c r="I5" s="944"/>
      <c r="J5" s="944"/>
      <c r="K5" s="944"/>
      <c r="L5" s="944"/>
      <c r="M5" s="945"/>
    </row>
    <row r="6" spans="3:14" s="936" customFormat="1">
      <c r="C6" s="943" t="s">
        <v>339</v>
      </c>
      <c r="D6" s="938"/>
      <c r="E6" s="938"/>
      <c r="I6" s="944"/>
      <c r="J6" s="944"/>
      <c r="K6" s="944"/>
      <c r="L6" s="944"/>
      <c r="M6" s="945"/>
    </row>
    <row r="7" spans="3:14" s="936" customFormat="1">
      <c r="C7" s="943" t="s">
        <v>340</v>
      </c>
      <c r="D7" s="938"/>
      <c r="E7" s="938"/>
      <c r="I7" s="944"/>
      <c r="J7" s="944"/>
      <c r="K7" s="944"/>
      <c r="L7" s="944"/>
      <c r="M7" s="945"/>
    </row>
    <row r="8" spans="3:14" s="936" customFormat="1">
      <c r="C8" s="943" t="s">
        <v>341</v>
      </c>
      <c r="D8" s="938"/>
      <c r="E8" s="938"/>
      <c r="I8" s="944"/>
      <c r="J8" s="944"/>
      <c r="K8" s="944"/>
      <c r="L8" s="944"/>
      <c r="M8" s="945"/>
    </row>
    <row r="9" spans="3:14" s="936" customFormat="1">
      <c r="C9" s="943" t="s">
        <v>342</v>
      </c>
      <c r="D9" s="938"/>
      <c r="E9" s="938"/>
      <c r="I9" s="944"/>
      <c r="J9" s="944"/>
      <c r="K9" s="944"/>
      <c r="L9" s="944"/>
      <c r="M9" s="945"/>
    </row>
    <row r="10" spans="3:14" s="936" customFormat="1">
      <c r="C10" s="943" t="s">
        <v>343</v>
      </c>
      <c r="D10" s="938"/>
      <c r="E10" s="938"/>
      <c r="I10" s="944"/>
      <c r="J10" s="944"/>
      <c r="K10" s="944"/>
      <c r="L10" s="944"/>
      <c r="M10" s="945"/>
    </row>
    <row r="11" spans="3:14" s="936" customFormat="1">
      <c r="C11" s="943" t="s">
        <v>344</v>
      </c>
      <c r="D11" s="938"/>
      <c r="E11" s="938"/>
      <c r="M11" s="941"/>
    </row>
    <row r="12" spans="3:14" s="936" customFormat="1" ht="24.9" customHeight="1">
      <c r="C12" s="940"/>
      <c r="D12" s="938"/>
      <c r="E12" s="938"/>
      <c r="M12" s="941"/>
    </row>
    <row r="13" spans="3:14" s="936" customFormat="1" ht="24.9" customHeight="1">
      <c r="C13" s="946" t="s">
        <v>345</v>
      </c>
      <c r="D13" s="938"/>
      <c r="E13" s="938"/>
      <c r="M13" s="941"/>
    </row>
    <row r="14" spans="3:14" s="936" customFormat="1">
      <c r="C14" s="940"/>
      <c r="D14" s="938"/>
      <c r="E14" s="938"/>
      <c r="J14" s="947"/>
      <c r="K14" s="947"/>
      <c r="L14" s="948"/>
      <c r="M14" s="949" t="s">
        <v>346</v>
      </c>
    </row>
    <row r="15" spans="3:14" ht="19.2">
      <c r="C15" s="950" t="s">
        <v>347</v>
      </c>
      <c r="D15" s="951"/>
      <c r="E15" s="951"/>
      <c r="F15" s="952"/>
      <c r="G15" s="952"/>
      <c r="H15" s="953"/>
      <c r="I15" s="953"/>
      <c r="J15" s="953"/>
      <c r="K15" s="953"/>
      <c r="L15" s="953"/>
      <c r="M15" s="941"/>
      <c r="N15" s="936"/>
    </row>
    <row r="16" spans="3:14" ht="15" customHeight="1">
      <c r="C16" s="954"/>
      <c r="D16" s="955"/>
      <c r="E16" s="955"/>
      <c r="F16" s="956"/>
      <c r="G16" s="956"/>
      <c r="H16" s="957"/>
      <c r="I16" s="958" t="s">
        <v>348</v>
      </c>
      <c r="J16" s="959"/>
      <c r="K16" s="959"/>
      <c r="L16" s="959"/>
      <c r="M16" s="941"/>
    </row>
    <row r="17" spans="1:15" ht="27" customHeight="1">
      <c r="C17" s="960"/>
      <c r="D17" s="961" t="s">
        <v>91</v>
      </c>
      <c r="E17" s="962" t="s">
        <v>3</v>
      </c>
      <c r="F17" s="962" t="s">
        <v>92</v>
      </c>
      <c r="G17" s="962" t="s">
        <v>93</v>
      </c>
      <c r="H17" s="962" t="s">
        <v>94</v>
      </c>
      <c r="I17" s="963" t="s">
        <v>349</v>
      </c>
      <c r="J17" s="964"/>
      <c r="K17" s="964"/>
      <c r="L17" s="964"/>
      <c r="M17" s="941"/>
    </row>
    <row r="18" spans="1:15" ht="24.9" customHeight="1">
      <c r="C18" s="965" t="s">
        <v>350</v>
      </c>
      <c r="D18" s="966">
        <v>27015</v>
      </c>
      <c r="E18" s="967">
        <v>28959.294900000001</v>
      </c>
      <c r="F18" s="967">
        <v>29769</v>
      </c>
      <c r="G18" s="967">
        <v>34624</v>
      </c>
      <c r="H18" s="967">
        <f>35217-619.4</f>
        <v>34597.599999999999</v>
      </c>
      <c r="I18" s="968">
        <f>(D18-E18)/E18</f>
        <v>-6.7138889490020032E-2</v>
      </c>
      <c r="J18" s="969"/>
      <c r="K18" s="969"/>
      <c r="L18" s="970"/>
      <c r="M18" s="941"/>
      <c r="N18" s="971"/>
      <c r="O18" s="971"/>
    </row>
    <row r="19" spans="1:15" ht="24.9" customHeight="1">
      <c r="C19" s="972" t="s">
        <v>351</v>
      </c>
      <c r="D19" s="973">
        <v>25936</v>
      </c>
      <c r="E19" s="974">
        <v>27335.294900000001</v>
      </c>
      <c r="F19" s="974">
        <v>28194</v>
      </c>
      <c r="G19" s="974">
        <f>32796.0212071144-503.4</f>
        <v>32292.621207114396</v>
      </c>
      <c r="H19" s="974">
        <f>32912-619.4</f>
        <v>32292.6</v>
      </c>
      <c r="I19" s="975">
        <f>(D19-E19)/E19</f>
        <v>-5.1190042219006783E-2</v>
      </c>
      <c r="J19" s="969"/>
      <c r="K19" s="969"/>
      <c r="L19" s="970"/>
      <c r="M19" s="941"/>
      <c r="N19" s="971"/>
    </row>
    <row r="20" spans="1:15" ht="24.75" customHeight="1">
      <c r="A20" s="976"/>
      <c r="B20" s="976"/>
      <c r="C20" s="965" t="s">
        <v>352</v>
      </c>
      <c r="D20" s="966">
        <v>20177</v>
      </c>
      <c r="E20" s="967">
        <v>20635</v>
      </c>
      <c r="F20" s="967">
        <f>22448-419</f>
        <v>22029</v>
      </c>
      <c r="G20" s="967">
        <v>26001</v>
      </c>
      <c r="H20" s="967">
        <f>27450-644</f>
        <v>26806</v>
      </c>
      <c r="I20" s="968">
        <f>(D20-E20)/E20</f>
        <v>-2.2195299248849044E-2</v>
      </c>
      <c r="J20" s="969"/>
      <c r="K20" s="969"/>
      <c r="L20" s="970"/>
      <c r="M20" s="941"/>
      <c r="N20" s="971"/>
    </row>
    <row r="21" spans="1:15" ht="24.9" customHeight="1">
      <c r="A21" s="976"/>
      <c r="B21" s="976"/>
      <c r="C21" s="972" t="s">
        <v>353</v>
      </c>
      <c r="D21" s="973">
        <v>27610</v>
      </c>
      <c r="E21" s="974">
        <v>29762</v>
      </c>
      <c r="F21" s="974">
        <v>30300</v>
      </c>
      <c r="G21" s="974">
        <v>35925</v>
      </c>
      <c r="H21" s="974">
        <v>36651</v>
      </c>
      <c r="I21" s="975">
        <f>(D21-E21)/E21</f>
        <v>-7.2306968617700418E-2</v>
      </c>
      <c r="J21" s="969"/>
      <c r="K21" s="969"/>
      <c r="L21" s="970"/>
      <c r="M21" s="941"/>
      <c r="N21" s="971"/>
    </row>
    <row r="22" spans="1:15" ht="24.75" customHeight="1">
      <c r="B22" s="977"/>
      <c r="C22" s="965" t="s">
        <v>354</v>
      </c>
      <c r="D22" s="978">
        <v>29722</v>
      </c>
      <c r="E22" s="967">
        <v>37294</v>
      </c>
      <c r="F22" s="967">
        <v>46135</v>
      </c>
      <c r="G22" s="967" t="s">
        <v>355</v>
      </c>
      <c r="H22" s="967" t="s">
        <v>355</v>
      </c>
      <c r="I22" s="968">
        <f>(D22-E22)/E22</f>
        <v>-0.20303534080549149</v>
      </c>
      <c r="J22" s="969"/>
      <c r="K22" s="969"/>
      <c r="L22" s="970"/>
      <c r="M22" s="941"/>
      <c r="N22" s="971"/>
    </row>
    <row r="23" spans="1:15">
      <c r="C23" s="979"/>
      <c r="D23" s="980" t="s">
        <v>356</v>
      </c>
      <c r="E23" s="981"/>
      <c r="F23" s="982"/>
      <c r="G23" s="982"/>
      <c r="H23" s="953"/>
      <c r="I23" s="953"/>
      <c r="J23" s="953"/>
      <c r="K23" s="953"/>
      <c r="L23" s="953"/>
      <c r="M23" s="941"/>
      <c r="N23" s="971"/>
    </row>
    <row r="24" spans="1:15" ht="15" customHeight="1">
      <c r="C24" s="983" t="s">
        <v>127</v>
      </c>
      <c r="D24" s="984"/>
      <c r="E24" s="984"/>
      <c r="F24" s="985"/>
      <c r="G24" s="985"/>
      <c r="H24" s="985"/>
      <c r="I24" s="985"/>
      <c r="J24" s="985"/>
      <c r="K24" s="985"/>
      <c r="L24" s="985"/>
      <c r="M24" s="941"/>
    </row>
    <row r="25" spans="1:15" ht="27" customHeight="1">
      <c r="C25" s="1946" t="s">
        <v>357</v>
      </c>
      <c r="D25" s="1947"/>
      <c r="E25" s="1947"/>
      <c r="F25" s="1947"/>
      <c r="G25" s="1947"/>
      <c r="H25" s="1947"/>
      <c r="I25" s="1947"/>
      <c r="J25" s="1947"/>
      <c r="K25" s="1947"/>
      <c r="L25" s="1947"/>
      <c r="M25" s="941"/>
    </row>
    <row r="26" spans="1:15">
      <c r="C26" s="986" t="s">
        <v>358</v>
      </c>
      <c r="D26" s="987"/>
      <c r="E26" s="987"/>
      <c r="F26" s="987"/>
      <c r="G26" s="987"/>
      <c r="H26" s="987"/>
      <c r="I26" s="987"/>
      <c r="J26" s="987"/>
      <c r="K26" s="987"/>
      <c r="L26" s="987"/>
      <c r="M26" s="941"/>
    </row>
    <row r="27" spans="1:15">
      <c r="C27" s="986" t="s">
        <v>359</v>
      </c>
      <c r="D27" s="987"/>
      <c r="E27" s="987"/>
      <c r="F27" s="987"/>
      <c r="G27" s="987"/>
      <c r="H27" s="987"/>
      <c r="I27" s="987"/>
      <c r="J27" s="987"/>
      <c r="K27" s="987"/>
      <c r="L27" s="988"/>
      <c r="M27" s="941"/>
    </row>
    <row r="28" spans="1:15">
      <c r="C28" s="983" t="s">
        <v>360</v>
      </c>
      <c r="D28" s="989"/>
      <c r="E28" s="989"/>
      <c r="F28" s="989"/>
      <c r="G28" s="989"/>
      <c r="H28" s="989"/>
      <c r="I28" s="989"/>
      <c r="J28" s="989"/>
      <c r="K28" s="989"/>
      <c r="L28" s="989"/>
      <c r="M28" s="941"/>
    </row>
    <row r="29" spans="1:15" ht="14.4">
      <c r="C29" s="990"/>
      <c r="D29" s="991"/>
      <c r="E29" s="991"/>
      <c r="F29" s="992"/>
      <c r="G29" s="992"/>
      <c r="H29" s="953"/>
      <c r="I29" s="953"/>
      <c r="K29" s="947"/>
      <c r="L29" s="948"/>
      <c r="M29" s="949" t="s">
        <v>361</v>
      </c>
    </row>
    <row r="30" spans="1:15" ht="19.2">
      <c r="C30" s="950" t="s">
        <v>362</v>
      </c>
      <c r="D30" s="951"/>
      <c r="E30" s="951"/>
      <c r="F30" s="952"/>
      <c r="G30" s="952"/>
      <c r="H30" s="953"/>
      <c r="I30" s="953"/>
      <c r="J30" s="953"/>
      <c r="K30" s="953"/>
      <c r="L30" s="953"/>
      <c r="M30" s="941"/>
    </row>
    <row r="31" spans="1:15">
      <c r="C31" s="993" t="s">
        <v>363</v>
      </c>
      <c r="D31" s="994"/>
      <c r="E31" s="994"/>
      <c r="F31" s="995"/>
      <c r="G31" s="995"/>
      <c r="H31" s="996"/>
      <c r="I31" s="953"/>
      <c r="J31" s="959"/>
      <c r="K31" s="959"/>
      <c r="L31" s="959"/>
      <c r="M31" s="941"/>
    </row>
    <row r="32" spans="1:15" ht="27" customHeight="1">
      <c r="C32" s="960"/>
      <c r="D32" s="961" t="s">
        <v>91</v>
      </c>
      <c r="E32" s="997" t="s">
        <v>3</v>
      </c>
      <c r="F32" s="997" t="s">
        <v>92</v>
      </c>
      <c r="G32" s="997" t="s">
        <v>93</v>
      </c>
      <c r="H32" s="997" t="s">
        <v>94</v>
      </c>
      <c r="I32" s="953"/>
      <c r="J32" s="998"/>
      <c r="K32" s="998"/>
      <c r="L32" s="998"/>
      <c r="M32" s="941"/>
    </row>
    <row r="33" spans="2:13">
      <c r="B33" s="936" t="s">
        <v>356</v>
      </c>
      <c r="C33" s="999" t="s">
        <v>52</v>
      </c>
      <c r="D33" s="1000">
        <v>85.2</v>
      </c>
      <c r="E33" s="1001">
        <v>84.6</v>
      </c>
      <c r="F33" s="1001">
        <v>83.931665396077406</v>
      </c>
      <c r="G33" s="1002">
        <v>86.1</v>
      </c>
      <c r="H33" s="1002">
        <v>87.8</v>
      </c>
      <c r="I33" s="953"/>
      <c r="J33" s="1003"/>
      <c r="K33" s="1003"/>
      <c r="L33" s="1003"/>
      <c r="M33" s="941"/>
    </row>
    <row r="34" spans="2:13">
      <c r="C34" s="999" t="s">
        <v>15</v>
      </c>
      <c r="D34" s="1004">
        <v>1.5</v>
      </c>
      <c r="E34" s="1002">
        <v>1.7</v>
      </c>
      <c r="F34" s="1002">
        <v>2.4</v>
      </c>
      <c r="G34" s="1002">
        <v>2.7</v>
      </c>
      <c r="H34" s="1002">
        <v>2.4</v>
      </c>
      <c r="I34" s="953"/>
      <c r="J34" s="1003"/>
      <c r="K34" s="1003"/>
      <c r="L34" s="1003"/>
      <c r="M34" s="941"/>
    </row>
    <row r="35" spans="2:13">
      <c r="C35" s="1005" t="s">
        <v>22</v>
      </c>
      <c r="D35" s="1006">
        <v>6</v>
      </c>
      <c r="E35" s="1007">
        <v>7.8</v>
      </c>
      <c r="F35" s="1007">
        <v>6.1</v>
      </c>
      <c r="G35" s="1007">
        <v>5</v>
      </c>
      <c r="H35" s="1007">
        <v>4.79</v>
      </c>
      <c r="I35" s="953"/>
      <c r="J35" s="1003"/>
      <c r="K35" s="1003"/>
      <c r="L35" s="1003"/>
      <c r="M35" s="941"/>
    </row>
    <row r="36" spans="2:13">
      <c r="C36" s="999" t="s">
        <v>364</v>
      </c>
      <c r="D36" s="1004">
        <v>3.7</v>
      </c>
      <c r="E36" s="1002">
        <v>2.2000000000000002</v>
      </c>
      <c r="F36" s="1002" t="s">
        <v>355</v>
      </c>
      <c r="G36" s="1002" t="s">
        <v>355</v>
      </c>
      <c r="H36" s="1002" t="s">
        <v>355</v>
      </c>
      <c r="I36" s="953"/>
      <c r="J36" s="1003"/>
      <c r="K36" s="1003"/>
      <c r="L36" s="1003"/>
      <c r="M36" s="941"/>
    </row>
    <row r="37" spans="2:13">
      <c r="C37" s="1005" t="s">
        <v>365</v>
      </c>
      <c r="D37" s="1008">
        <v>3.6</v>
      </c>
      <c r="E37" s="1007">
        <v>3.7</v>
      </c>
      <c r="F37" s="1007">
        <v>7.5</v>
      </c>
      <c r="G37" s="1007">
        <v>6.1</v>
      </c>
      <c r="H37" s="1007">
        <v>5.0999999999999996</v>
      </c>
      <c r="I37" s="953"/>
      <c r="J37" s="1003"/>
      <c r="K37" s="1003"/>
      <c r="L37" s="1003"/>
      <c r="M37" s="941"/>
    </row>
    <row r="38" spans="2:13">
      <c r="C38" s="1009"/>
      <c r="D38" s="1010"/>
      <c r="E38" s="1011"/>
      <c r="F38" s="1012"/>
      <c r="G38" s="1013"/>
      <c r="H38" s="1014"/>
      <c r="I38" s="953"/>
      <c r="J38" s="1015"/>
      <c r="K38" s="1015"/>
      <c r="L38" s="1015"/>
      <c r="M38" s="941"/>
    </row>
    <row r="39" spans="2:13" ht="15" customHeight="1">
      <c r="C39" s="983" t="s">
        <v>127</v>
      </c>
      <c r="D39" s="1016"/>
      <c r="E39" s="1016"/>
      <c r="F39" s="1017"/>
      <c r="G39" s="1017"/>
      <c r="H39" s="1018"/>
      <c r="I39" s="1019"/>
      <c r="J39" s="1019"/>
      <c r="K39" s="1019"/>
      <c r="L39" s="1015"/>
      <c r="M39" s="941"/>
    </row>
    <row r="40" spans="2:13">
      <c r="C40" s="1954" t="s">
        <v>366</v>
      </c>
      <c r="D40" s="1955"/>
      <c r="E40" s="1955"/>
      <c r="F40" s="1955"/>
      <c r="G40" s="1955"/>
      <c r="H40" s="1955"/>
      <c r="I40" s="1955"/>
      <c r="J40" s="1955"/>
      <c r="K40" s="1955"/>
      <c r="L40" s="1015"/>
      <c r="M40" s="941"/>
    </row>
    <row r="41" spans="2:13">
      <c r="C41" s="983" t="s">
        <v>367</v>
      </c>
      <c r="D41" s="1016"/>
      <c r="E41" s="1016"/>
      <c r="F41" s="1017"/>
      <c r="G41" s="1017"/>
      <c r="H41" s="1017"/>
      <c r="I41" s="1017"/>
      <c r="J41" s="1017"/>
      <c r="K41" s="1017"/>
      <c r="L41" s="953"/>
      <c r="M41" s="941"/>
    </row>
    <row r="42" spans="2:13" s="1020" customFormat="1">
      <c r="C42" s="1021" t="s">
        <v>368</v>
      </c>
      <c r="D42" s="1022"/>
      <c r="E42" s="1022"/>
      <c r="F42" s="1023"/>
      <c r="G42" s="1023"/>
      <c r="H42" s="1023"/>
      <c r="I42" s="1023"/>
      <c r="J42" s="1023"/>
      <c r="K42" s="1023"/>
      <c r="L42" s="1024"/>
      <c r="M42" s="1025"/>
    </row>
    <row r="43" spans="2:13">
      <c r="C43" s="1026"/>
      <c r="D43" s="1027"/>
      <c r="E43" s="1027"/>
      <c r="F43" s="1028"/>
      <c r="G43" s="1028"/>
      <c r="H43" s="953"/>
      <c r="I43" s="953"/>
      <c r="J43" s="953"/>
      <c r="K43" s="953"/>
      <c r="L43" s="953"/>
      <c r="M43" s="941"/>
    </row>
    <row r="44" spans="2:13" ht="19.2">
      <c r="C44" s="950" t="s">
        <v>369</v>
      </c>
      <c r="D44" s="951"/>
      <c r="E44" s="951"/>
      <c r="F44" s="952"/>
      <c r="G44" s="952"/>
      <c r="H44" s="953"/>
      <c r="I44" s="953"/>
      <c r="K44" s="947"/>
      <c r="L44" s="948"/>
      <c r="M44" s="949" t="s">
        <v>346</v>
      </c>
    </row>
    <row r="45" spans="2:13">
      <c r="C45" s="993" t="s">
        <v>370</v>
      </c>
      <c r="D45" s="994"/>
      <c r="E45" s="994"/>
      <c r="F45" s="995"/>
      <c r="G45" s="995"/>
      <c r="H45" s="953"/>
      <c r="I45" s="953"/>
      <c r="J45" s="959"/>
      <c r="K45" s="959"/>
      <c r="L45" s="959"/>
      <c r="M45" s="941"/>
    </row>
    <row r="46" spans="2:13" ht="27" customHeight="1">
      <c r="C46" s="960"/>
      <c r="D46" s="961" t="s">
        <v>91</v>
      </c>
      <c r="E46" s="997" t="s">
        <v>3</v>
      </c>
      <c r="F46" s="997" t="s">
        <v>92</v>
      </c>
      <c r="G46" s="997" t="s">
        <v>93</v>
      </c>
      <c r="H46" s="997" t="s">
        <v>94</v>
      </c>
      <c r="I46" s="953"/>
      <c r="J46" s="998"/>
      <c r="K46" s="998"/>
      <c r="L46" s="998"/>
      <c r="M46" s="941"/>
    </row>
    <row r="47" spans="2:13" ht="21">
      <c r="C47" s="1029" t="s">
        <v>371</v>
      </c>
      <c r="D47" s="1030">
        <v>0.58298674060644839</v>
      </c>
      <c r="E47" s="1031">
        <v>0.6</v>
      </c>
      <c r="F47" s="1032">
        <v>0.6</v>
      </c>
      <c r="G47" s="1033">
        <v>0.69973395531907134</v>
      </c>
      <c r="H47" s="1032">
        <v>0.77</v>
      </c>
      <c r="I47" s="953"/>
      <c r="J47" s="1003"/>
      <c r="K47" s="1003"/>
      <c r="L47" s="1003"/>
      <c r="M47" s="941"/>
    </row>
    <row r="48" spans="2:13" ht="21">
      <c r="C48" s="1034" t="s">
        <v>372</v>
      </c>
      <c r="D48" s="1035">
        <v>34.4</v>
      </c>
      <c r="E48" s="1036">
        <v>32.643702676762295</v>
      </c>
      <c r="F48" s="1037">
        <v>35.700000000000003</v>
      </c>
      <c r="G48" s="1037">
        <v>34.6</v>
      </c>
      <c r="H48" s="1037">
        <v>33.6</v>
      </c>
      <c r="I48" s="953"/>
      <c r="J48" s="1003"/>
      <c r="K48" s="1003"/>
      <c r="L48" s="1003"/>
      <c r="M48" s="941"/>
    </row>
    <row r="49" spans="3:13" ht="21">
      <c r="C49" s="1038" t="s">
        <v>373</v>
      </c>
      <c r="D49" s="1039">
        <v>61.4</v>
      </c>
      <c r="E49" s="1031">
        <v>63.168746223027973</v>
      </c>
      <c r="F49" s="1032">
        <v>63.7</v>
      </c>
      <c r="G49" s="1032">
        <v>64.7</v>
      </c>
      <c r="H49" s="1032">
        <v>65.599999999999994</v>
      </c>
      <c r="I49" s="953"/>
      <c r="J49" s="1003"/>
      <c r="K49" s="1003"/>
      <c r="L49" s="1003"/>
      <c r="M49" s="941"/>
    </row>
    <row r="50" spans="3:13">
      <c r="C50" s="1040"/>
      <c r="D50" s="1041" t="s">
        <v>356</v>
      </c>
      <c r="E50" s="1042"/>
      <c r="F50" s="1043"/>
      <c r="G50" s="953"/>
      <c r="H50" s="953"/>
      <c r="I50" s="953"/>
      <c r="J50" s="953"/>
      <c r="K50" s="953"/>
      <c r="L50" s="953"/>
      <c r="M50" s="941"/>
    </row>
    <row r="51" spans="3:13">
      <c r="C51" s="983" t="s">
        <v>127</v>
      </c>
      <c r="D51" s="1044"/>
      <c r="E51" s="981"/>
      <c r="F51" s="982"/>
      <c r="G51" s="953"/>
      <c r="H51" s="953"/>
      <c r="I51" s="953"/>
      <c r="J51" s="953"/>
      <c r="K51" s="953"/>
      <c r="L51" s="953"/>
      <c r="M51" s="941"/>
    </row>
    <row r="52" spans="3:13">
      <c r="C52" s="1045" t="s">
        <v>366</v>
      </c>
      <c r="D52" s="1046"/>
      <c r="E52" s="1046"/>
      <c r="F52" s="1046"/>
      <c r="G52" s="1046"/>
      <c r="H52" s="1046"/>
      <c r="I52" s="1046"/>
      <c r="J52" s="1046"/>
      <c r="K52" s="1046"/>
      <c r="L52" s="1047"/>
      <c r="M52" s="941"/>
    </row>
    <row r="53" spans="3:13">
      <c r="C53" s="983" t="s">
        <v>374</v>
      </c>
      <c r="D53" s="1048"/>
      <c r="E53" s="1048"/>
      <c r="F53" s="1048"/>
      <c r="G53" s="1048"/>
      <c r="H53" s="1048"/>
      <c r="I53" s="1048"/>
      <c r="J53" s="1048"/>
      <c r="K53" s="1048"/>
      <c r="L53" s="1048"/>
      <c r="M53" s="941"/>
    </row>
    <row r="54" spans="3:13">
      <c r="C54" s="999"/>
      <c r="D54" s="1044"/>
      <c r="E54" s="981"/>
      <c r="F54" s="982"/>
      <c r="G54" s="953"/>
      <c r="H54" s="953"/>
      <c r="I54" s="953"/>
      <c r="J54" s="953"/>
      <c r="K54" s="953"/>
      <c r="L54" s="953"/>
      <c r="M54" s="941"/>
    </row>
    <row r="55" spans="3:13" ht="19.2">
      <c r="C55" s="950" t="s">
        <v>375</v>
      </c>
      <c r="D55" s="951"/>
      <c r="E55" s="951"/>
      <c r="F55" s="952"/>
      <c r="G55" s="953"/>
      <c r="H55" s="953"/>
      <c r="I55" s="953"/>
      <c r="K55" s="947"/>
      <c r="L55" s="948"/>
      <c r="M55" s="949" t="s">
        <v>346</v>
      </c>
    </row>
    <row r="56" spans="3:13">
      <c r="C56" s="993" t="s">
        <v>370</v>
      </c>
      <c r="D56" s="994"/>
      <c r="E56" s="994"/>
      <c r="F56" s="995"/>
      <c r="G56" s="953"/>
      <c r="H56" s="953"/>
      <c r="I56" s="953"/>
      <c r="J56" s="959"/>
      <c r="K56" s="959"/>
      <c r="L56" s="959"/>
      <c r="M56" s="941"/>
    </row>
    <row r="57" spans="3:13" ht="27" customHeight="1">
      <c r="C57" s="960"/>
      <c r="D57" s="961" t="s">
        <v>91</v>
      </c>
      <c r="E57" s="997" t="s">
        <v>3</v>
      </c>
      <c r="F57" s="997" t="s">
        <v>92</v>
      </c>
      <c r="G57" s="997" t="s">
        <v>93</v>
      </c>
      <c r="H57" s="997" t="s">
        <v>94</v>
      </c>
      <c r="I57" s="953"/>
      <c r="J57" s="998"/>
      <c r="K57" s="998"/>
      <c r="L57" s="998"/>
      <c r="M57" s="941"/>
    </row>
    <row r="58" spans="3:13">
      <c r="C58" s="1005" t="s">
        <v>376</v>
      </c>
      <c r="D58" s="1049">
        <v>95.4</v>
      </c>
      <c r="E58" s="1050">
        <v>94.2</v>
      </c>
      <c r="F58" s="1050">
        <v>93.068424803991448</v>
      </c>
      <c r="G58" s="1050">
        <v>91.244864885237249</v>
      </c>
      <c r="H58" s="1050">
        <v>90.6</v>
      </c>
      <c r="I58" s="953"/>
      <c r="J58" s="1003"/>
      <c r="K58" s="1003"/>
      <c r="L58" s="1003"/>
      <c r="M58" s="941"/>
    </row>
    <row r="59" spans="3:13">
      <c r="C59" s="1051" t="s">
        <v>377</v>
      </c>
      <c r="D59" s="1049">
        <v>66.3</v>
      </c>
      <c r="E59" s="1050">
        <v>65.711623573258791</v>
      </c>
      <c r="F59" s="1050">
        <v>69.084105488239487</v>
      </c>
      <c r="G59" s="1050">
        <v>67.500848000603014</v>
      </c>
      <c r="H59" s="1050">
        <v>65.8</v>
      </c>
      <c r="I59" s="953"/>
      <c r="J59" s="1003"/>
      <c r="K59" s="1003"/>
      <c r="L59" s="1003"/>
      <c r="M59" s="941"/>
    </row>
    <row r="60" spans="3:13">
      <c r="C60" s="1051" t="s">
        <v>378</v>
      </c>
      <c r="D60" s="1049">
        <v>28.5</v>
      </c>
      <c r="E60" s="1050">
        <v>27.863188135724826</v>
      </c>
      <c r="F60" s="1050">
        <v>23.984319315751961</v>
      </c>
      <c r="G60" s="1050">
        <v>23.744016884634227</v>
      </c>
      <c r="H60" s="1050">
        <v>24.9</v>
      </c>
      <c r="I60" s="953"/>
      <c r="J60" s="1003"/>
      <c r="K60" s="1003"/>
      <c r="L60" s="1003"/>
      <c r="M60" s="941"/>
    </row>
    <row r="61" spans="3:13">
      <c r="C61" s="1052" t="s">
        <v>379</v>
      </c>
      <c r="D61" s="1053">
        <v>3.7</v>
      </c>
      <c r="E61" s="1054">
        <v>3.5</v>
      </c>
      <c r="F61" s="1054">
        <v>4.4101924447612264</v>
      </c>
      <c r="G61" s="1055">
        <v>4.8731767987035015</v>
      </c>
      <c r="H61" s="1056">
        <v>4.5999999999999996</v>
      </c>
      <c r="I61" s="953"/>
      <c r="J61" s="1003"/>
      <c r="K61" s="1003"/>
      <c r="L61" s="1003"/>
      <c r="M61" s="941"/>
    </row>
    <row r="62" spans="3:13">
      <c r="C62" s="1052" t="s">
        <v>377</v>
      </c>
      <c r="D62" s="1053">
        <v>0.8</v>
      </c>
      <c r="E62" s="1054">
        <v>0.66775370758599273</v>
      </c>
      <c r="F62" s="1054">
        <v>0.792943692088382</v>
      </c>
      <c r="G62" s="1055">
        <v>0.93091621754042131</v>
      </c>
      <c r="H62" s="1056">
        <v>1.1000000000000001</v>
      </c>
      <c r="I62" s="953"/>
      <c r="J62" s="1003"/>
      <c r="K62" s="1003"/>
      <c r="L62" s="1003"/>
      <c r="M62" s="941"/>
    </row>
    <row r="63" spans="3:13">
      <c r="C63" s="1052" t="s">
        <v>378</v>
      </c>
      <c r="D63" s="1053">
        <v>2.9</v>
      </c>
      <c r="E63" s="1054">
        <v>2.7719543442813883</v>
      </c>
      <c r="F63" s="1054">
        <v>3.6172487526728441</v>
      </c>
      <c r="G63" s="1055">
        <v>3.9422605811630795</v>
      </c>
      <c r="H63" s="1056">
        <v>3.5</v>
      </c>
      <c r="I63" s="953"/>
      <c r="J63" s="1003"/>
      <c r="K63" s="1003"/>
      <c r="L63" s="1003"/>
      <c r="M63" s="941"/>
    </row>
    <row r="64" spans="3:13">
      <c r="C64" s="1051" t="s">
        <v>380</v>
      </c>
      <c r="D64" s="1049">
        <v>0.8</v>
      </c>
      <c r="E64" s="1050">
        <v>2.2999999999999998</v>
      </c>
      <c r="F64" s="1050">
        <v>2.4100142551674981</v>
      </c>
      <c r="G64" s="1050">
        <v>3.7538160027136018</v>
      </c>
      <c r="H64" s="1050">
        <v>2.8</v>
      </c>
      <c r="I64" s="953"/>
      <c r="J64" s="1003"/>
      <c r="K64" s="1003"/>
      <c r="L64" s="1003"/>
      <c r="M64" s="941"/>
    </row>
    <row r="65" spans="3:13">
      <c r="C65" s="1051" t="s">
        <v>377</v>
      </c>
      <c r="D65" s="1049">
        <v>0.5</v>
      </c>
      <c r="E65" s="1050">
        <v>1.3510365711623573</v>
      </c>
      <c r="F65" s="1050">
        <v>1.6304347826086956</v>
      </c>
      <c r="G65" s="1050">
        <v>2.7512908453623792</v>
      </c>
      <c r="H65" s="1050">
        <v>1.9</v>
      </c>
      <c r="I65" s="953"/>
      <c r="J65" s="1003"/>
      <c r="K65" s="1003"/>
      <c r="L65" s="1003"/>
      <c r="M65" s="941"/>
    </row>
    <row r="66" spans="3:13">
      <c r="C66" s="1051" t="s">
        <v>378</v>
      </c>
      <c r="D66" s="1049">
        <v>0.3</v>
      </c>
      <c r="E66" s="1050">
        <v>0.91233791443435053</v>
      </c>
      <c r="F66" s="1050">
        <v>0.77957947255880256</v>
      </c>
      <c r="G66" s="1050">
        <v>1.0025251573512231</v>
      </c>
      <c r="H66" s="1050">
        <v>0.8</v>
      </c>
      <c r="I66" s="953"/>
      <c r="J66" s="1003"/>
      <c r="K66" s="1003"/>
      <c r="L66" s="1003"/>
      <c r="M66" s="941"/>
    </row>
    <row r="67" spans="3:13">
      <c r="C67" s="1052" t="s">
        <v>381</v>
      </c>
      <c r="D67" s="1053">
        <v>0.1</v>
      </c>
      <c r="E67" s="1054" t="s">
        <v>382</v>
      </c>
      <c r="F67" s="1054">
        <v>0.11136849607982895</v>
      </c>
      <c r="G67" s="1055">
        <v>0.12814231334564505</v>
      </c>
      <c r="H67" s="1056">
        <v>0.1</v>
      </c>
      <c r="I67" s="953"/>
      <c r="J67" s="1003"/>
      <c r="K67" s="1003"/>
      <c r="L67" s="1003"/>
      <c r="M67" s="941"/>
    </row>
    <row r="68" spans="3:13">
      <c r="C68" s="1052" t="s">
        <v>377</v>
      </c>
      <c r="D68" s="1053" t="s">
        <v>382</v>
      </c>
      <c r="E68" s="1054" t="s">
        <v>382</v>
      </c>
      <c r="F68" s="1054" t="s">
        <v>382</v>
      </c>
      <c r="G68" s="1054">
        <v>6.0302265103832964E-2</v>
      </c>
      <c r="H68" s="1056" t="s">
        <v>382</v>
      </c>
      <c r="I68" s="953"/>
      <c r="J68" s="1003"/>
      <c r="K68" s="1003"/>
      <c r="L68" s="1003"/>
      <c r="M68" s="941"/>
    </row>
    <row r="69" spans="3:13">
      <c r="C69" s="1052" t="s">
        <v>378</v>
      </c>
      <c r="D69" s="1057" t="s">
        <v>382</v>
      </c>
      <c r="E69" s="1054">
        <v>6.2116623961487691E-2</v>
      </c>
      <c r="F69" s="1054">
        <v>6.6821097647897371E-2</v>
      </c>
      <c r="G69" s="1055">
        <v>6.7840048241812084E-2</v>
      </c>
      <c r="H69" s="1056">
        <v>0.1</v>
      </c>
      <c r="I69" s="953"/>
      <c r="J69" s="1037"/>
      <c r="K69" s="1037"/>
      <c r="L69" s="1037"/>
      <c r="M69" s="941"/>
    </row>
    <row r="70" spans="3:13">
      <c r="C70" s="1009"/>
      <c r="D70" s="1010" t="s">
        <v>356</v>
      </c>
      <c r="E70" s="1058"/>
      <c r="F70" s="1013"/>
      <c r="G70" s="1013"/>
      <c r="H70" s="1014"/>
      <c r="I70" s="953"/>
      <c r="J70" s="1015"/>
      <c r="K70" s="1015"/>
      <c r="L70" s="1015"/>
      <c r="M70" s="941"/>
    </row>
    <row r="71" spans="3:13">
      <c r="C71" s="1045" t="s">
        <v>127</v>
      </c>
      <c r="D71" s="1058"/>
      <c r="E71" s="1058"/>
      <c r="F71" s="1013"/>
      <c r="G71" s="1013"/>
      <c r="H71" s="1014"/>
      <c r="I71" s="1015"/>
      <c r="J71" s="1015"/>
      <c r="K71" s="1015"/>
      <c r="L71" s="1015"/>
      <c r="M71" s="941"/>
    </row>
    <row r="72" spans="3:13" ht="26.25" customHeight="1">
      <c r="C72" s="1956" t="s">
        <v>383</v>
      </c>
      <c r="D72" s="1957"/>
      <c r="E72" s="1957"/>
      <c r="F72" s="1957"/>
      <c r="G72" s="1957"/>
      <c r="H72" s="1957"/>
      <c r="I72" s="1957"/>
      <c r="J72" s="1957"/>
      <c r="K72" s="1957"/>
      <c r="L72" s="1957"/>
      <c r="M72" s="941"/>
    </row>
    <row r="73" spans="3:13">
      <c r="C73" s="983" t="s">
        <v>384</v>
      </c>
      <c r="D73" s="1027"/>
      <c r="E73" s="1027"/>
      <c r="F73" s="1028"/>
      <c r="G73" s="1028"/>
      <c r="H73" s="953"/>
      <c r="I73" s="953"/>
      <c r="J73" s="953"/>
      <c r="K73" s="953"/>
      <c r="L73" s="953"/>
      <c r="M73" s="941"/>
    </row>
    <row r="74" spans="3:13">
      <c r="C74" s="983" t="s">
        <v>385</v>
      </c>
      <c r="D74" s="1027"/>
      <c r="E74" s="1027"/>
      <c r="F74" s="1028"/>
      <c r="G74" s="1028"/>
      <c r="H74" s="953"/>
      <c r="I74" s="953"/>
      <c r="J74" s="953"/>
      <c r="K74" s="953"/>
      <c r="L74" s="953"/>
      <c r="M74" s="941"/>
    </row>
    <row r="75" spans="3:13">
      <c r="C75" s="1059"/>
      <c r="D75" s="1027"/>
      <c r="E75" s="1027"/>
      <c r="F75" s="1028"/>
      <c r="G75" s="1028"/>
      <c r="H75" s="953"/>
      <c r="I75" s="953"/>
      <c r="J75" s="953"/>
      <c r="K75" s="953"/>
      <c r="L75" s="953"/>
      <c r="M75" s="941"/>
    </row>
    <row r="76" spans="3:13" ht="17.399999999999999">
      <c r="C76" s="1060" t="s">
        <v>300</v>
      </c>
      <c r="D76" s="951"/>
      <c r="E76" s="951"/>
      <c r="F76" s="952"/>
      <c r="G76" s="952"/>
      <c r="H76" s="953"/>
      <c r="I76" s="953"/>
      <c r="K76" s="947"/>
      <c r="L76" s="948"/>
      <c r="M76" s="949" t="s">
        <v>386</v>
      </c>
    </row>
    <row r="77" spans="3:13" ht="14.1" customHeight="1">
      <c r="C77" s="993" t="s">
        <v>370</v>
      </c>
      <c r="D77" s="994"/>
      <c r="E77" s="994"/>
      <c r="F77" s="995"/>
      <c r="G77" s="995"/>
      <c r="H77" s="953"/>
      <c r="I77" s="953"/>
      <c r="J77" s="959"/>
      <c r="K77" s="959"/>
      <c r="L77" s="959"/>
      <c r="M77" s="941"/>
    </row>
    <row r="78" spans="3:13" ht="27" customHeight="1">
      <c r="C78" s="960"/>
      <c r="D78" s="961" t="s">
        <v>91</v>
      </c>
      <c r="E78" s="997" t="s">
        <v>3</v>
      </c>
      <c r="F78" s="997" t="s">
        <v>92</v>
      </c>
      <c r="G78" s="997" t="s">
        <v>93</v>
      </c>
      <c r="H78" s="997" t="s">
        <v>94</v>
      </c>
      <c r="I78" s="953"/>
      <c r="J78" s="998"/>
      <c r="K78" s="998"/>
      <c r="L78" s="998"/>
      <c r="M78" s="941"/>
    </row>
    <row r="79" spans="3:13">
      <c r="C79" s="1034" t="s">
        <v>387</v>
      </c>
      <c r="D79" s="1061">
        <v>22</v>
      </c>
      <c r="E79" s="1062">
        <v>22.5078793336335</v>
      </c>
      <c r="F79" s="1037">
        <v>26</v>
      </c>
      <c r="G79" s="1037">
        <v>27</v>
      </c>
      <c r="H79" s="1037">
        <v>27</v>
      </c>
      <c r="I79" s="953"/>
      <c r="J79" s="1003"/>
      <c r="K79" s="1003"/>
      <c r="L79" s="1003"/>
      <c r="M79" s="941"/>
    </row>
    <row r="80" spans="3:13">
      <c r="C80" s="1038" t="s">
        <v>388</v>
      </c>
      <c r="D80" s="1063">
        <v>78</v>
      </c>
      <c r="E80" s="1064">
        <v>77.492120666366503</v>
      </c>
      <c r="F80" s="1032">
        <v>74</v>
      </c>
      <c r="G80" s="1032">
        <v>73</v>
      </c>
      <c r="H80" s="1032">
        <v>73</v>
      </c>
      <c r="I80" s="953"/>
      <c r="J80" s="1003"/>
      <c r="K80" s="1003"/>
      <c r="L80" s="1003"/>
      <c r="M80" s="941"/>
    </row>
    <row r="81" spans="2:13" ht="14.25" customHeight="1">
      <c r="C81" s="1009"/>
      <c r="D81" s="1058"/>
      <c r="E81" s="1058"/>
      <c r="F81" s="1013"/>
      <c r="G81" s="1013"/>
      <c r="H81" s="1015"/>
      <c r="I81" s="953"/>
      <c r="J81" s="1015"/>
      <c r="K81" s="1015"/>
      <c r="L81" s="1015"/>
      <c r="M81" s="941"/>
    </row>
    <row r="82" spans="2:13" ht="15.9" customHeight="1">
      <c r="C82" s="1065" t="s">
        <v>127</v>
      </c>
      <c r="D82" s="1066"/>
      <c r="E82" s="1066"/>
      <c r="F82" s="1066"/>
      <c r="G82" s="1066"/>
      <c r="H82" s="1067"/>
      <c r="I82" s="1067"/>
      <c r="J82" s="1067"/>
      <c r="K82" s="1067"/>
      <c r="L82" s="1067"/>
      <c r="M82" s="941"/>
    </row>
    <row r="83" spans="2:13">
      <c r="C83" s="983" t="s">
        <v>389</v>
      </c>
      <c r="D83" s="985"/>
      <c r="E83" s="985"/>
      <c r="F83" s="985"/>
      <c r="G83" s="985"/>
      <c r="H83" s="1068"/>
      <c r="I83" s="1068"/>
      <c r="J83" s="1068"/>
      <c r="K83" s="1068"/>
      <c r="L83" s="1068"/>
      <c r="M83" s="941"/>
    </row>
    <row r="84" spans="2:13">
      <c r="C84" s="1069" t="s">
        <v>390</v>
      </c>
      <c r="D84" s="985"/>
      <c r="E84" s="985"/>
      <c r="F84" s="985"/>
      <c r="G84" s="985"/>
      <c r="H84" s="1070"/>
      <c r="I84" s="1070"/>
      <c r="J84" s="1070"/>
      <c r="K84" s="1070"/>
      <c r="L84" s="1070"/>
      <c r="M84" s="941"/>
    </row>
    <row r="85" spans="2:13">
      <c r="C85" s="1026"/>
      <c r="D85" s="1027"/>
      <c r="E85" s="1027"/>
      <c r="F85" s="1028"/>
      <c r="G85" s="1028"/>
      <c r="H85" s="953"/>
      <c r="I85" s="953"/>
      <c r="J85" s="953"/>
      <c r="K85" s="953"/>
      <c r="L85" s="953"/>
      <c r="M85" s="941"/>
    </row>
    <row r="86" spans="2:13">
      <c r="B86" s="944"/>
      <c r="C86" s="1040"/>
      <c r="D86" s="1042"/>
      <c r="E86" s="1042"/>
      <c r="F86" s="1043"/>
      <c r="G86" s="1043"/>
      <c r="H86" s="953"/>
      <c r="I86" s="953"/>
      <c r="J86" s="953"/>
      <c r="K86" s="953"/>
      <c r="L86" s="953"/>
      <c r="M86" s="941"/>
    </row>
    <row r="87" spans="2:13" ht="24.9" customHeight="1">
      <c r="C87" s="946" t="s">
        <v>391</v>
      </c>
      <c r="M87" s="941"/>
    </row>
    <row r="88" spans="2:13">
      <c r="C88" s="1072"/>
      <c r="M88" s="941"/>
    </row>
    <row r="89" spans="2:13" ht="19.2">
      <c r="C89" s="950" t="s">
        <v>392</v>
      </c>
      <c r="D89" s="952"/>
      <c r="E89" s="952"/>
      <c r="F89" s="952"/>
      <c r="G89" s="952"/>
      <c r="H89" s="953"/>
      <c r="I89" s="953"/>
      <c r="K89" s="947"/>
      <c r="M89" s="949" t="s">
        <v>393</v>
      </c>
    </row>
    <row r="90" spans="2:13" ht="14.1" customHeight="1">
      <c r="C90" s="1073"/>
      <c r="D90" s="952"/>
      <c r="E90" s="952"/>
      <c r="F90" s="952"/>
      <c r="G90" s="952"/>
      <c r="H90" s="953"/>
      <c r="I90" s="953"/>
      <c r="J90" s="1074"/>
      <c r="K90" s="1074"/>
      <c r="L90" s="1074"/>
      <c r="M90" s="941"/>
    </row>
    <row r="91" spans="2:13" ht="27" customHeight="1">
      <c r="C91" s="960"/>
      <c r="D91" s="961" t="s">
        <v>91</v>
      </c>
      <c r="E91" s="997" t="s">
        <v>3</v>
      </c>
      <c r="F91" s="997" t="s">
        <v>92</v>
      </c>
      <c r="G91" s="997" t="s">
        <v>93</v>
      </c>
      <c r="H91" s="997" t="s">
        <v>94</v>
      </c>
      <c r="I91" s="953"/>
      <c r="J91" s="998"/>
      <c r="K91" s="998"/>
      <c r="L91" s="998"/>
      <c r="M91" s="945"/>
    </row>
    <row r="92" spans="2:13">
      <c r="C92" s="1034" t="s">
        <v>394</v>
      </c>
      <c r="D92" s="1075">
        <v>2721</v>
      </c>
      <c r="E92" s="1076">
        <v>3767</v>
      </c>
      <c r="F92" s="1076">
        <v>2585</v>
      </c>
      <c r="G92" s="1076">
        <v>3509</v>
      </c>
      <c r="H92" s="1077">
        <v>2797</v>
      </c>
      <c r="I92" s="953"/>
      <c r="J92" s="970"/>
      <c r="K92" s="970"/>
      <c r="L92" s="970"/>
      <c r="M92" s="945"/>
    </row>
    <row r="93" spans="2:13">
      <c r="C93" s="1038" t="s">
        <v>395</v>
      </c>
      <c r="D93" s="1078">
        <f>D92/24887</f>
        <v>0.10933419054124643</v>
      </c>
      <c r="E93" s="1079">
        <f>E92/25758</f>
        <v>0.14624582653932758</v>
      </c>
      <c r="F93" s="1079">
        <f>F92/29967</f>
        <v>8.6261554376480795E-2</v>
      </c>
      <c r="G93" s="1079">
        <v>0.13090352906065805</v>
      </c>
      <c r="H93" s="1080">
        <v>9.4E-2</v>
      </c>
      <c r="I93" s="953"/>
      <c r="J93" s="1003"/>
      <c r="K93" s="1003"/>
      <c r="L93" s="1003"/>
      <c r="M93" s="945"/>
    </row>
    <row r="94" spans="2:13">
      <c r="C94" s="1040"/>
      <c r="D94" s="1043"/>
      <c r="E94" s="1043"/>
      <c r="F94" s="1043"/>
      <c r="G94" s="1043"/>
      <c r="H94" s="953"/>
      <c r="I94" s="953"/>
      <c r="J94" s="953"/>
      <c r="K94" s="953"/>
      <c r="L94" s="953"/>
      <c r="M94" s="941"/>
    </row>
    <row r="95" spans="2:13">
      <c r="C95" s="983" t="s">
        <v>127</v>
      </c>
      <c r="D95" s="1043"/>
      <c r="E95" s="1043"/>
      <c r="F95" s="1043"/>
      <c r="G95" s="1043"/>
      <c r="H95" s="953"/>
      <c r="I95" s="953"/>
      <c r="J95" s="953"/>
      <c r="K95" s="953"/>
      <c r="L95" s="953"/>
      <c r="M95" s="941"/>
    </row>
    <row r="96" spans="2:13">
      <c r="C96" s="1045" t="s">
        <v>396</v>
      </c>
      <c r="D96" s="1081"/>
      <c r="E96" s="1081"/>
      <c r="F96" s="1081"/>
      <c r="G96" s="1081"/>
      <c r="H96" s="1081"/>
      <c r="I96" s="1081"/>
      <c r="J96" s="1081"/>
      <c r="K96" s="1081"/>
      <c r="L96" s="1081"/>
      <c r="M96" s="1082"/>
    </row>
    <row r="97" spans="3:13">
      <c r="C97" s="1045"/>
      <c r="D97" s="1028"/>
      <c r="E97" s="1028"/>
      <c r="F97" s="1028"/>
      <c r="G97" s="1028"/>
      <c r="H97" s="953"/>
      <c r="I97" s="953"/>
      <c r="J97" s="953"/>
      <c r="K97" s="953"/>
      <c r="L97" s="953"/>
      <c r="M97" s="1083"/>
    </row>
    <row r="98" spans="3:13">
      <c r="C98" s="1084"/>
      <c r="D98" s="1028"/>
      <c r="E98" s="1028"/>
      <c r="F98" s="1028"/>
      <c r="G98" s="1028"/>
      <c r="H98" s="953"/>
      <c r="I98" s="953"/>
      <c r="J98" s="953"/>
      <c r="K98" s="953"/>
      <c r="L98" s="953"/>
      <c r="M98" s="1083"/>
    </row>
    <row r="99" spans="3:13" ht="19.2">
      <c r="C99" s="1085" t="s">
        <v>397</v>
      </c>
      <c r="D99" s="1086"/>
      <c r="E99" s="1086"/>
      <c r="F99" s="1086"/>
      <c r="G99" s="1086"/>
      <c r="H99" s="953"/>
      <c r="I99" s="953"/>
      <c r="K99" s="947"/>
      <c r="M99" s="949" t="s">
        <v>393</v>
      </c>
    </row>
    <row r="100" spans="3:13">
      <c r="C100" s="993" t="s">
        <v>394</v>
      </c>
      <c r="D100" s="995"/>
      <c r="E100" s="995"/>
      <c r="F100" s="995"/>
      <c r="G100" s="995"/>
      <c r="H100" s="953"/>
      <c r="I100" s="953"/>
      <c r="J100" s="953"/>
      <c r="K100" s="953"/>
      <c r="L100" s="953"/>
      <c r="M100" s="1083"/>
    </row>
    <row r="101" spans="3:13" ht="27" customHeight="1">
      <c r="C101" s="1087"/>
      <c r="D101" s="961" t="s">
        <v>91</v>
      </c>
      <c r="E101" s="997" t="s">
        <v>3</v>
      </c>
      <c r="F101" s="997" t="s">
        <v>92</v>
      </c>
      <c r="G101" s="997" t="s">
        <v>93</v>
      </c>
      <c r="H101" s="997" t="s">
        <v>94</v>
      </c>
      <c r="I101" s="997" t="s">
        <v>349</v>
      </c>
      <c r="J101" s="998"/>
      <c r="K101" s="998"/>
      <c r="L101" s="998"/>
      <c r="M101" s="1083"/>
    </row>
    <row r="102" spans="3:13">
      <c r="C102" s="1051" t="s">
        <v>377</v>
      </c>
      <c r="D102" s="1088">
        <v>1638</v>
      </c>
      <c r="E102" s="1089">
        <v>2231</v>
      </c>
      <c r="F102" s="1089">
        <v>1621</v>
      </c>
      <c r="G102" s="1089">
        <v>2125</v>
      </c>
      <c r="H102" s="1090">
        <v>1683</v>
      </c>
      <c r="I102" s="1091">
        <f>(D102-E102)/E102</f>
        <v>-0.26580008964589869</v>
      </c>
      <c r="J102" s="970"/>
      <c r="K102" s="970"/>
      <c r="L102" s="970"/>
      <c r="M102" s="1092"/>
    </row>
    <row r="103" spans="3:13">
      <c r="C103" s="1052" t="s">
        <v>378</v>
      </c>
      <c r="D103" s="1093">
        <v>1076</v>
      </c>
      <c r="E103" s="1094">
        <v>1451</v>
      </c>
      <c r="F103" s="1094">
        <v>964</v>
      </c>
      <c r="G103" s="1094">
        <v>1384</v>
      </c>
      <c r="H103" s="1095">
        <v>1114</v>
      </c>
      <c r="I103" s="1096">
        <f>(D103-E103)/E103</f>
        <v>-0.25844245348035838</v>
      </c>
      <c r="J103" s="970"/>
      <c r="K103" s="970"/>
      <c r="L103" s="970"/>
      <c r="M103" s="1097"/>
    </row>
    <row r="104" spans="3:13" ht="6" customHeight="1">
      <c r="C104" s="1098"/>
      <c r="D104" s="1099"/>
      <c r="E104" s="1100"/>
      <c r="F104" s="1100"/>
      <c r="G104" s="1100"/>
      <c r="H104" s="1101"/>
      <c r="I104" s="1102"/>
      <c r="J104" s="1103"/>
      <c r="K104" s="1103"/>
      <c r="L104" s="1103"/>
      <c r="M104" s="1097"/>
    </row>
    <row r="105" spans="3:13">
      <c r="C105" s="1051" t="s">
        <v>398</v>
      </c>
      <c r="D105" s="1088">
        <v>491</v>
      </c>
      <c r="E105" s="1089">
        <v>609</v>
      </c>
      <c r="F105" s="1089">
        <v>483</v>
      </c>
      <c r="G105" s="1089">
        <v>604</v>
      </c>
      <c r="H105" s="1090">
        <v>619</v>
      </c>
      <c r="I105" s="1091">
        <f>(D105-E105)/E105</f>
        <v>-0.19376026272577998</v>
      </c>
      <c r="J105" s="970"/>
      <c r="K105" s="970"/>
      <c r="L105" s="970"/>
      <c r="M105" s="1097"/>
    </row>
    <row r="106" spans="3:13">
      <c r="C106" s="1051" t="s">
        <v>377</v>
      </c>
      <c r="D106" s="1088">
        <v>251</v>
      </c>
      <c r="E106" s="1089">
        <v>312</v>
      </c>
      <c r="F106" s="1089">
        <v>263</v>
      </c>
      <c r="G106" s="1089">
        <v>360</v>
      </c>
      <c r="H106" s="1090">
        <v>343</v>
      </c>
      <c r="I106" s="1104"/>
      <c r="J106" s="970"/>
      <c r="K106" s="970"/>
      <c r="L106" s="970"/>
      <c r="M106" s="1097"/>
    </row>
    <row r="107" spans="3:13">
      <c r="C107" s="1051" t="s">
        <v>378</v>
      </c>
      <c r="D107" s="1088">
        <v>238</v>
      </c>
      <c r="E107" s="1089">
        <v>291</v>
      </c>
      <c r="F107" s="1089">
        <v>220</v>
      </c>
      <c r="G107" s="1089">
        <v>244</v>
      </c>
      <c r="H107" s="1090">
        <v>276</v>
      </c>
      <c r="I107" s="1105"/>
      <c r="J107" s="970"/>
      <c r="K107" s="970"/>
      <c r="L107" s="970"/>
      <c r="M107" s="1097"/>
    </row>
    <row r="108" spans="3:13">
      <c r="C108" s="1052" t="s">
        <v>399</v>
      </c>
      <c r="D108" s="1093">
        <v>1174</v>
      </c>
      <c r="E108" s="1094">
        <v>1445</v>
      </c>
      <c r="F108" s="1094">
        <v>955</v>
      </c>
      <c r="G108" s="1094">
        <v>1311</v>
      </c>
      <c r="H108" s="1095">
        <v>1008</v>
      </c>
      <c r="I108" s="1096">
        <f>(D108-E108)/E108</f>
        <v>-0.1875432525951557</v>
      </c>
      <c r="J108" s="970"/>
      <c r="K108" s="970"/>
      <c r="L108" s="970"/>
      <c r="M108" s="1097"/>
    </row>
    <row r="109" spans="3:13">
      <c r="C109" s="1052" t="s">
        <v>377</v>
      </c>
      <c r="D109" s="1093">
        <v>689</v>
      </c>
      <c r="E109" s="1094">
        <v>804</v>
      </c>
      <c r="F109" s="1094">
        <v>593</v>
      </c>
      <c r="G109" s="1094">
        <v>750</v>
      </c>
      <c r="H109" s="1095">
        <v>588</v>
      </c>
      <c r="I109" s="1106"/>
      <c r="J109" s="970"/>
      <c r="K109" s="970"/>
      <c r="L109" s="970"/>
      <c r="M109" s="1097"/>
    </row>
    <row r="110" spans="3:13">
      <c r="C110" s="1052" t="s">
        <v>378</v>
      </c>
      <c r="D110" s="1093">
        <v>480</v>
      </c>
      <c r="E110" s="1094">
        <v>624</v>
      </c>
      <c r="F110" s="1094">
        <v>362</v>
      </c>
      <c r="G110" s="1094">
        <v>561</v>
      </c>
      <c r="H110" s="1095">
        <v>420</v>
      </c>
      <c r="I110" s="1106"/>
      <c r="J110" s="970"/>
      <c r="K110" s="970"/>
      <c r="L110" s="970"/>
      <c r="M110" s="1097"/>
    </row>
    <row r="111" spans="3:13">
      <c r="C111" s="1051" t="s">
        <v>400</v>
      </c>
      <c r="D111" s="1088">
        <v>683</v>
      </c>
      <c r="E111" s="1089">
        <v>828</v>
      </c>
      <c r="F111" s="1089">
        <v>685</v>
      </c>
      <c r="G111" s="1089">
        <v>907</v>
      </c>
      <c r="H111" s="1090">
        <v>706</v>
      </c>
      <c r="I111" s="1091">
        <f>(D111-E111)/E111</f>
        <v>-0.1751207729468599</v>
      </c>
      <c r="J111" s="970"/>
      <c r="K111" s="970"/>
      <c r="L111" s="970"/>
      <c r="M111" s="1097"/>
    </row>
    <row r="112" spans="3:13">
      <c r="C112" s="1051" t="s">
        <v>377</v>
      </c>
      <c r="D112" s="1088">
        <v>457</v>
      </c>
      <c r="E112" s="1089">
        <v>557</v>
      </c>
      <c r="F112" s="1089">
        <v>453</v>
      </c>
      <c r="G112" s="1089">
        <v>544</v>
      </c>
      <c r="H112" s="1090">
        <v>434</v>
      </c>
      <c r="I112" s="1104"/>
      <c r="J112" s="970"/>
      <c r="K112" s="970"/>
      <c r="L112" s="970"/>
      <c r="M112" s="1097"/>
    </row>
    <row r="113" spans="1:15">
      <c r="C113" s="1107" t="s">
        <v>378</v>
      </c>
      <c r="D113" s="1108">
        <v>226</v>
      </c>
      <c r="E113" s="1109">
        <v>268</v>
      </c>
      <c r="F113" s="1109">
        <v>232</v>
      </c>
      <c r="G113" s="1109">
        <v>363</v>
      </c>
      <c r="H113" s="1110">
        <v>272</v>
      </c>
      <c r="I113" s="1111"/>
      <c r="J113" s="970"/>
      <c r="K113" s="970"/>
      <c r="L113" s="970"/>
      <c r="M113" s="1097"/>
    </row>
    <row r="114" spans="1:15">
      <c r="C114" s="1052" t="s">
        <v>401</v>
      </c>
      <c r="D114" s="1093">
        <v>267</v>
      </c>
      <c r="E114" s="1094">
        <v>316</v>
      </c>
      <c r="F114" s="1094">
        <v>291</v>
      </c>
      <c r="G114" s="1094">
        <v>410</v>
      </c>
      <c r="H114" s="1095">
        <v>271</v>
      </c>
      <c r="I114" s="1096">
        <f>(D114-E114)/E114</f>
        <v>-0.1550632911392405</v>
      </c>
      <c r="J114" s="970"/>
      <c r="K114" s="970"/>
      <c r="L114" s="970"/>
      <c r="M114" s="1112"/>
    </row>
    <row r="115" spans="1:15">
      <c r="C115" s="1052" t="s">
        <v>377</v>
      </c>
      <c r="D115" s="1093">
        <v>167</v>
      </c>
      <c r="E115" s="1094">
        <v>203</v>
      </c>
      <c r="F115" s="1094">
        <v>201</v>
      </c>
      <c r="G115" s="1094">
        <v>277</v>
      </c>
      <c r="H115" s="1095">
        <v>194</v>
      </c>
      <c r="I115" s="1113"/>
      <c r="J115" s="970"/>
      <c r="K115" s="970"/>
      <c r="L115" s="970"/>
      <c r="M115" s="1112"/>
    </row>
    <row r="116" spans="1:15">
      <c r="C116" s="1052" t="s">
        <v>378</v>
      </c>
      <c r="D116" s="1093">
        <v>100</v>
      </c>
      <c r="E116" s="1094">
        <v>112</v>
      </c>
      <c r="F116" s="1094">
        <v>90</v>
      </c>
      <c r="G116" s="1094">
        <v>133</v>
      </c>
      <c r="H116" s="1095">
        <v>77</v>
      </c>
      <c r="I116" s="1113"/>
      <c r="J116" s="970"/>
      <c r="K116" s="970"/>
      <c r="L116" s="970"/>
      <c r="M116" s="1112"/>
    </row>
    <row r="117" spans="1:15">
      <c r="C117" s="1051" t="s">
        <v>402</v>
      </c>
      <c r="D117" s="1088">
        <v>106</v>
      </c>
      <c r="E117" s="1089">
        <v>100</v>
      </c>
      <c r="F117" s="1089">
        <v>171</v>
      </c>
      <c r="G117" s="1089">
        <v>277</v>
      </c>
      <c r="H117" s="1090">
        <v>193</v>
      </c>
      <c r="I117" s="1091">
        <f>(D117-E117)/E117</f>
        <v>0.06</v>
      </c>
      <c r="J117" s="970"/>
      <c r="K117" s="970"/>
      <c r="L117" s="970"/>
      <c r="M117" s="1097"/>
    </row>
    <row r="118" spans="1:15">
      <c r="C118" s="1051" t="s">
        <v>377</v>
      </c>
      <c r="D118" s="1088">
        <v>74</v>
      </c>
      <c r="E118" s="1089">
        <v>69</v>
      </c>
      <c r="F118" s="1089">
        <v>111</v>
      </c>
      <c r="G118" s="1089">
        <v>194</v>
      </c>
      <c r="H118" s="1090">
        <v>124</v>
      </c>
      <c r="I118" s="1114"/>
      <c r="J118" s="970"/>
      <c r="K118" s="970"/>
      <c r="L118" s="970"/>
      <c r="M118" s="1097"/>
    </row>
    <row r="119" spans="1:15">
      <c r="C119" s="1051" t="s">
        <v>378</v>
      </c>
      <c r="D119" s="1088">
        <v>32</v>
      </c>
      <c r="E119" s="1089">
        <v>30</v>
      </c>
      <c r="F119" s="1089">
        <v>60</v>
      </c>
      <c r="G119" s="1089">
        <v>83</v>
      </c>
      <c r="H119" s="1090">
        <v>69</v>
      </c>
      <c r="I119" s="1114"/>
      <c r="J119" s="970"/>
      <c r="K119" s="970"/>
      <c r="L119" s="970"/>
      <c r="M119" s="1097"/>
    </row>
    <row r="120" spans="1:15" ht="6" customHeight="1">
      <c r="C120" s="1098"/>
      <c r="D120" s="1115"/>
      <c r="E120" s="1116"/>
      <c r="F120" s="1116"/>
      <c r="G120" s="1116"/>
      <c r="H120" s="1116"/>
      <c r="I120" s="1117"/>
      <c r="J120" s="1118"/>
      <c r="K120" s="1118"/>
      <c r="L120" s="1118"/>
      <c r="M120" s="1119"/>
    </row>
    <row r="121" spans="1:15">
      <c r="C121" s="1052" t="s">
        <v>52</v>
      </c>
      <c r="D121" s="1120">
        <v>1909</v>
      </c>
      <c r="E121" s="1121">
        <v>2337</v>
      </c>
      <c r="F121" s="1121">
        <v>1710</v>
      </c>
      <c r="G121" s="1121">
        <v>2854</v>
      </c>
      <c r="H121" s="1122">
        <v>2178</v>
      </c>
      <c r="I121" s="1123"/>
      <c r="J121" s="1124"/>
      <c r="K121" s="1124"/>
      <c r="L121" s="1124"/>
      <c r="M121" s="1125"/>
    </row>
    <row r="122" spans="1:15">
      <c r="C122" s="1126" t="s">
        <v>15</v>
      </c>
      <c r="D122" s="1127">
        <v>17</v>
      </c>
      <c r="E122" s="1128">
        <v>40</v>
      </c>
      <c r="F122" s="1128">
        <v>25</v>
      </c>
      <c r="G122" s="1128">
        <v>68</v>
      </c>
      <c r="H122" s="1129">
        <f>57+16</f>
        <v>73</v>
      </c>
      <c r="I122" s="1123"/>
      <c r="J122" s="1124"/>
      <c r="K122" s="1124"/>
      <c r="L122" s="1124"/>
      <c r="M122" s="1125"/>
    </row>
    <row r="123" spans="1:15">
      <c r="A123" s="1934"/>
      <c r="B123" s="1934"/>
      <c r="C123" s="1130" t="s">
        <v>22</v>
      </c>
      <c r="D123" s="1131">
        <v>283</v>
      </c>
      <c r="E123" s="1132">
        <v>723</v>
      </c>
      <c r="F123" s="1132">
        <v>363</v>
      </c>
      <c r="G123" s="1132">
        <v>330</v>
      </c>
      <c r="H123" s="1133">
        <v>338</v>
      </c>
      <c r="I123" s="1134"/>
      <c r="J123" s="1124"/>
      <c r="K123" s="1124"/>
      <c r="L123" s="1124"/>
      <c r="M123" s="1125"/>
    </row>
    <row r="124" spans="1:15" ht="15" customHeight="1">
      <c r="A124" s="1135"/>
      <c r="B124" s="1135"/>
      <c r="C124" s="1052" t="s">
        <v>403</v>
      </c>
      <c r="D124" s="1120">
        <v>467</v>
      </c>
      <c r="E124" s="1136">
        <v>488</v>
      </c>
      <c r="F124" s="1136" t="s">
        <v>404</v>
      </c>
      <c r="G124" s="1136" t="s">
        <v>404</v>
      </c>
      <c r="H124" s="1122" t="s">
        <v>404</v>
      </c>
      <c r="I124" s="1123"/>
      <c r="J124" s="1124"/>
      <c r="K124" s="1124"/>
      <c r="L124" s="1124"/>
      <c r="M124" s="1125"/>
    </row>
    <row r="125" spans="1:15">
      <c r="A125" s="1135"/>
      <c r="B125" s="1135"/>
      <c r="C125" s="1051" t="s">
        <v>405</v>
      </c>
      <c r="D125" s="1137">
        <v>45</v>
      </c>
      <c r="E125" s="1138">
        <v>179</v>
      </c>
      <c r="F125" s="1138">
        <v>483</v>
      </c>
      <c r="G125" s="1138">
        <v>245</v>
      </c>
      <c r="H125" s="1139">
        <f>188+15</f>
        <v>203</v>
      </c>
      <c r="I125" s="1134"/>
      <c r="J125" s="1124"/>
      <c r="K125" s="1124"/>
      <c r="L125" s="1124"/>
      <c r="M125" s="1125"/>
    </row>
    <row r="126" spans="1:15">
      <c r="C126" s="1140"/>
      <c r="D126" s="1141"/>
      <c r="E126" s="1141"/>
      <c r="F126" s="1141"/>
      <c r="G126" s="1141"/>
      <c r="H126" s="1141"/>
      <c r="I126" s="1142"/>
      <c r="J126" s="1142"/>
      <c r="K126" s="1142"/>
      <c r="L126" s="1142"/>
      <c r="M126" s="1083"/>
    </row>
    <row r="127" spans="1:15">
      <c r="C127" s="983" t="s">
        <v>127</v>
      </c>
      <c r="D127" s="1141"/>
      <c r="E127" s="1141"/>
      <c r="F127" s="1141"/>
      <c r="G127" s="1141"/>
      <c r="H127" s="1141"/>
      <c r="I127" s="1142"/>
      <c r="J127" s="1142"/>
      <c r="K127" s="1142"/>
      <c r="L127" s="1142"/>
      <c r="M127" s="1143"/>
      <c r="N127" s="1083"/>
      <c r="O127" s="1072"/>
    </row>
    <row r="128" spans="1:15">
      <c r="C128" s="983" t="s">
        <v>406</v>
      </c>
      <c r="D128" s="1144"/>
      <c r="E128" s="1144"/>
      <c r="F128" s="1144"/>
      <c r="G128" s="1144"/>
      <c r="H128" s="953"/>
      <c r="I128" s="953"/>
      <c r="J128" s="953"/>
      <c r="K128" s="953"/>
      <c r="L128" s="953"/>
      <c r="M128" s="1083"/>
    </row>
    <row r="129" spans="3:13">
      <c r="C129" s="983" t="s">
        <v>407</v>
      </c>
      <c r="D129" s="1144"/>
      <c r="E129" s="1144"/>
      <c r="F129" s="1144"/>
      <c r="G129" s="1144"/>
      <c r="H129" s="953"/>
      <c r="I129" s="953"/>
      <c r="J129" s="953"/>
      <c r="K129" s="953"/>
      <c r="L129" s="953"/>
      <c r="M129" s="1083"/>
    </row>
    <row r="130" spans="3:13">
      <c r="C130" s="983" t="s">
        <v>408</v>
      </c>
      <c r="D130" s="1144"/>
      <c r="E130" s="1144"/>
      <c r="F130" s="1144"/>
      <c r="G130" s="1144"/>
      <c r="H130" s="953"/>
      <c r="I130" s="953"/>
      <c r="J130" s="953"/>
      <c r="K130" s="953"/>
      <c r="L130" s="953"/>
      <c r="M130" s="1083"/>
    </row>
    <row r="131" spans="3:13">
      <c r="C131" s="983" t="s">
        <v>409</v>
      </c>
      <c r="D131" s="1141"/>
      <c r="E131" s="1141"/>
      <c r="F131" s="1141"/>
      <c r="G131" s="1141"/>
      <c r="H131" s="1141"/>
      <c r="I131" s="1142"/>
      <c r="J131" s="1142"/>
      <c r="K131" s="1142"/>
      <c r="L131" s="1142"/>
      <c r="M131" s="1083"/>
    </row>
    <row r="132" spans="3:13" s="944" customFormat="1">
      <c r="C132" s="1021" t="s">
        <v>410</v>
      </c>
      <c r="D132" s="1145"/>
      <c r="E132" s="1146"/>
      <c r="F132" s="1146"/>
      <c r="G132" s="1147"/>
      <c r="H132" s="1124"/>
      <c r="I132" s="1124"/>
      <c r="J132" s="1124"/>
      <c r="K132" s="1124"/>
      <c r="L132" s="1124"/>
      <c r="M132" s="1125"/>
    </row>
    <row r="133" spans="3:13">
      <c r="C133" s="1026"/>
      <c r="D133" s="1028"/>
      <c r="E133" s="1028"/>
      <c r="F133" s="1028"/>
      <c r="G133" s="1028"/>
      <c r="H133" s="953"/>
      <c r="I133" s="953"/>
      <c r="J133" s="953"/>
      <c r="K133" s="953"/>
      <c r="L133" s="953"/>
      <c r="M133" s="1083"/>
    </row>
    <row r="134" spans="3:13" ht="19.2">
      <c r="C134" s="950" t="s">
        <v>411</v>
      </c>
      <c r="D134" s="952"/>
      <c r="E134" s="952"/>
      <c r="F134" s="952"/>
      <c r="G134" s="952"/>
      <c r="H134" s="953"/>
      <c r="I134" s="953"/>
      <c r="K134" s="947"/>
      <c r="M134" s="949" t="s">
        <v>393</v>
      </c>
    </row>
    <row r="135" spans="3:13" ht="14.1" customHeight="1">
      <c r="C135" s="1073"/>
      <c r="D135" s="952"/>
      <c r="E135" s="952"/>
      <c r="F135" s="952"/>
      <c r="G135" s="952"/>
      <c r="H135" s="953"/>
      <c r="I135" s="953"/>
      <c r="J135" s="1148"/>
      <c r="K135" s="1148"/>
      <c r="L135" s="1148"/>
      <c r="M135" s="1083"/>
    </row>
    <row r="136" spans="3:13" ht="27" customHeight="1">
      <c r="C136" s="960"/>
      <c r="D136" s="961" t="s">
        <v>91</v>
      </c>
      <c r="E136" s="997" t="s">
        <v>3</v>
      </c>
      <c r="F136" s="997" t="s">
        <v>92</v>
      </c>
      <c r="G136" s="997" t="s">
        <v>93</v>
      </c>
      <c r="H136" s="997" t="s">
        <v>94</v>
      </c>
      <c r="I136" s="953"/>
      <c r="J136" s="998"/>
      <c r="K136" s="998"/>
      <c r="L136" s="998"/>
      <c r="M136" s="1083"/>
    </row>
    <row r="137" spans="3:13">
      <c r="C137" s="1034" t="s">
        <v>394</v>
      </c>
      <c r="D137" s="1075">
        <v>4432</v>
      </c>
      <c r="E137" s="1076">
        <v>3926</v>
      </c>
      <c r="F137" s="1076">
        <f>SUM(F147:F148)</f>
        <v>6432</v>
      </c>
      <c r="G137" s="1076">
        <v>3972</v>
      </c>
      <c r="H137" s="1077">
        <v>5106</v>
      </c>
      <c r="I137" s="953"/>
      <c r="J137" s="970"/>
      <c r="K137" s="970"/>
      <c r="L137" s="970"/>
      <c r="M137" s="1149"/>
    </row>
    <row r="138" spans="3:13">
      <c r="C138" s="1038" t="s">
        <v>395</v>
      </c>
      <c r="D138" s="1078">
        <f>D137/24887</f>
        <v>0.17808494394663882</v>
      </c>
      <c r="E138" s="1079">
        <f>E137/25758</f>
        <v>0.15241866604550042</v>
      </c>
      <c r="F138" s="1079">
        <f>F137/29967</f>
        <v>0.21463609970968064</v>
      </c>
      <c r="G138" s="1079">
        <v>0.14817578154144595</v>
      </c>
      <c r="H138" s="1150">
        <v>17.2</v>
      </c>
      <c r="I138" s="953"/>
      <c r="J138" s="1003"/>
      <c r="K138" s="1003"/>
      <c r="L138" s="1003"/>
      <c r="M138" s="1149"/>
    </row>
    <row r="139" spans="3:13">
      <c r="C139" s="1040"/>
      <c r="D139" s="1043"/>
      <c r="E139" s="1043"/>
      <c r="F139" s="1043"/>
      <c r="G139" s="1043"/>
      <c r="H139" s="953"/>
      <c r="I139" s="953"/>
      <c r="J139" s="953"/>
      <c r="K139" s="953"/>
      <c r="L139" s="953"/>
      <c r="M139" s="1083"/>
    </row>
    <row r="140" spans="3:13">
      <c r="C140" s="983" t="s">
        <v>127</v>
      </c>
      <c r="D140" s="1043"/>
      <c r="E140" s="1043"/>
      <c r="F140" s="1043"/>
      <c r="G140" s="1043"/>
      <c r="H140" s="953"/>
      <c r="I140" s="953"/>
      <c r="J140" s="953"/>
      <c r="K140" s="953"/>
      <c r="L140" s="953"/>
      <c r="M140" s="1083"/>
    </row>
    <row r="141" spans="3:13">
      <c r="C141" s="983" t="s">
        <v>412</v>
      </c>
      <c r="D141" s="1144"/>
      <c r="E141" s="1144"/>
      <c r="F141" s="1144"/>
      <c r="G141" s="1144"/>
      <c r="H141" s="953"/>
      <c r="I141" s="953"/>
      <c r="J141" s="953"/>
      <c r="K141" s="953"/>
      <c r="L141" s="953"/>
      <c r="M141" s="1083"/>
    </row>
    <row r="142" spans="3:13">
      <c r="C142" s="983" t="s">
        <v>413</v>
      </c>
      <c r="D142" s="1043"/>
      <c r="E142" s="1043"/>
      <c r="F142" s="1043"/>
      <c r="G142" s="1043"/>
      <c r="H142" s="953"/>
      <c r="I142" s="953"/>
      <c r="J142" s="953"/>
      <c r="K142" s="953"/>
      <c r="L142" s="953"/>
      <c r="M142" s="1083"/>
    </row>
    <row r="143" spans="3:13">
      <c r="C143" s="1040"/>
      <c r="D143" s="1043"/>
      <c r="E143" s="1043"/>
      <c r="F143" s="1043"/>
      <c r="G143" s="1043"/>
      <c r="H143" s="953"/>
      <c r="I143" s="953"/>
      <c r="J143" s="953"/>
      <c r="K143" s="953"/>
      <c r="L143" s="953"/>
      <c r="M143" s="1083"/>
    </row>
    <row r="144" spans="3:13" ht="19.2">
      <c r="C144" s="950" t="s">
        <v>414</v>
      </c>
      <c r="D144" s="952"/>
      <c r="E144" s="952"/>
      <c r="F144" s="952"/>
      <c r="G144" s="952"/>
      <c r="H144" s="953"/>
      <c r="I144" s="953"/>
      <c r="K144" s="947"/>
      <c r="M144" s="949" t="s">
        <v>393</v>
      </c>
    </row>
    <row r="145" spans="3:13">
      <c r="C145" s="993" t="s">
        <v>394</v>
      </c>
      <c r="D145" s="995"/>
      <c r="E145" s="995"/>
      <c r="F145" s="995"/>
      <c r="G145" s="995"/>
      <c r="H145" s="953"/>
      <c r="I145" s="953"/>
      <c r="J145" s="1148"/>
      <c r="K145" s="1148"/>
      <c r="L145" s="1148"/>
      <c r="M145" s="1083"/>
    </row>
    <row r="146" spans="3:13" ht="27" customHeight="1">
      <c r="C146" s="1151"/>
      <c r="D146" s="1152" t="s">
        <v>91</v>
      </c>
      <c r="E146" s="1153" t="s">
        <v>3</v>
      </c>
      <c r="F146" s="1153" t="s">
        <v>92</v>
      </c>
      <c r="G146" s="1153" t="s">
        <v>93</v>
      </c>
      <c r="H146" s="1153" t="s">
        <v>94</v>
      </c>
      <c r="I146" s="953"/>
      <c r="J146" s="998"/>
      <c r="K146" s="998"/>
      <c r="L146" s="998"/>
      <c r="M146" s="1083"/>
    </row>
    <row r="147" spans="3:13">
      <c r="C147" s="1107" t="s">
        <v>377</v>
      </c>
      <c r="D147" s="1154">
        <v>2728</v>
      </c>
      <c r="E147" s="1155">
        <v>2586</v>
      </c>
      <c r="F147" s="1155">
        <v>4299</v>
      </c>
      <c r="G147" s="1155">
        <v>2686</v>
      </c>
      <c r="H147" s="1110">
        <v>3131</v>
      </c>
      <c r="I147" s="953"/>
      <c r="J147" s="970"/>
      <c r="K147" s="970"/>
      <c r="L147" s="970"/>
      <c r="M147" s="1083"/>
    </row>
    <row r="148" spans="3:13">
      <c r="C148" s="1052" t="s">
        <v>378</v>
      </c>
      <c r="D148" s="1156">
        <v>1683</v>
      </c>
      <c r="E148" s="1157">
        <v>1093</v>
      </c>
      <c r="F148" s="1157">
        <v>2133</v>
      </c>
      <c r="G148" s="1157">
        <v>1286</v>
      </c>
      <c r="H148" s="1095">
        <v>1975</v>
      </c>
      <c r="I148" s="953"/>
      <c r="J148" s="970"/>
      <c r="K148" s="970"/>
      <c r="L148" s="970"/>
      <c r="M148" s="1083"/>
    </row>
    <row r="149" spans="3:13" ht="6" customHeight="1">
      <c r="C149" s="1098"/>
      <c r="D149" s="1158"/>
      <c r="E149" s="1159"/>
      <c r="F149" s="1159"/>
      <c r="G149" s="1159"/>
      <c r="H149" s="1160"/>
      <c r="I149" s="953"/>
      <c r="J149" s="1161"/>
      <c r="K149" s="1161"/>
      <c r="L149" s="1161"/>
      <c r="M149" s="1083"/>
    </row>
    <row r="150" spans="3:13">
      <c r="C150" s="1051" t="s">
        <v>398</v>
      </c>
      <c r="D150" s="1162">
        <v>280</v>
      </c>
      <c r="E150" s="1163">
        <v>222</v>
      </c>
      <c r="F150" s="1163">
        <v>315</v>
      </c>
      <c r="G150" s="1163">
        <v>226</v>
      </c>
      <c r="H150" s="1090">
        <v>450</v>
      </c>
      <c r="I150" s="953"/>
      <c r="J150" s="970"/>
      <c r="K150" s="970"/>
      <c r="L150" s="970"/>
      <c r="M150" s="1083"/>
    </row>
    <row r="151" spans="3:13">
      <c r="C151" s="1051" t="s">
        <v>377</v>
      </c>
      <c r="D151" s="1162">
        <v>128</v>
      </c>
      <c r="E151" s="1163">
        <v>116</v>
      </c>
      <c r="F151" s="1163">
        <v>184</v>
      </c>
      <c r="G151" s="1163">
        <v>145</v>
      </c>
      <c r="H151" s="1090">
        <v>242</v>
      </c>
      <c r="I151" s="953"/>
      <c r="J151" s="970"/>
      <c r="K151" s="970"/>
      <c r="L151" s="970"/>
      <c r="M151" s="1083"/>
    </row>
    <row r="152" spans="3:13">
      <c r="C152" s="1107" t="s">
        <v>378</v>
      </c>
      <c r="D152" s="1154">
        <v>151</v>
      </c>
      <c r="E152" s="1155">
        <v>89</v>
      </c>
      <c r="F152" s="1155">
        <v>131</v>
      </c>
      <c r="G152" s="1155">
        <v>81</v>
      </c>
      <c r="H152" s="1110">
        <v>208</v>
      </c>
      <c r="I152" s="953"/>
      <c r="J152" s="970"/>
      <c r="K152" s="970"/>
      <c r="L152" s="970"/>
      <c r="M152" s="1083"/>
    </row>
    <row r="153" spans="3:13">
      <c r="C153" s="1052" t="s">
        <v>399</v>
      </c>
      <c r="D153" s="1156">
        <v>1250</v>
      </c>
      <c r="E153" s="1157">
        <v>1010</v>
      </c>
      <c r="F153" s="1157">
        <v>1346</v>
      </c>
      <c r="G153" s="1157">
        <v>978</v>
      </c>
      <c r="H153" s="1095">
        <v>1377</v>
      </c>
      <c r="I153" s="953"/>
      <c r="J153" s="970"/>
      <c r="K153" s="970"/>
      <c r="L153" s="970"/>
      <c r="M153" s="1083"/>
    </row>
    <row r="154" spans="3:13">
      <c r="C154" s="1052" t="s">
        <v>377</v>
      </c>
      <c r="D154" s="1156">
        <v>625</v>
      </c>
      <c r="E154" s="1157">
        <v>560</v>
      </c>
      <c r="F154" s="1157">
        <v>773</v>
      </c>
      <c r="G154" s="1157">
        <v>559</v>
      </c>
      <c r="H154" s="1095">
        <v>579</v>
      </c>
      <c r="I154" s="953"/>
      <c r="J154" s="970"/>
      <c r="K154" s="970"/>
      <c r="L154" s="970"/>
      <c r="M154" s="1083"/>
    </row>
    <row r="155" spans="3:13">
      <c r="C155" s="1052" t="s">
        <v>378</v>
      </c>
      <c r="D155" s="1156">
        <v>620</v>
      </c>
      <c r="E155" s="1157">
        <v>367</v>
      </c>
      <c r="F155" s="1157">
        <v>573</v>
      </c>
      <c r="G155" s="1157">
        <v>419</v>
      </c>
      <c r="H155" s="1095">
        <v>798</v>
      </c>
      <c r="I155" s="953"/>
      <c r="J155" s="970"/>
      <c r="K155" s="970"/>
      <c r="L155" s="970"/>
      <c r="M155" s="1083"/>
    </row>
    <row r="156" spans="3:13">
      <c r="C156" s="1051" t="s">
        <v>400</v>
      </c>
      <c r="D156" s="1162">
        <v>1069</v>
      </c>
      <c r="E156" s="1163">
        <v>977</v>
      </c>
      <c r="F156" s="1163">
        <v>1692</v>
      </c>
      <c r="G156" s="1163">
        <v>986</v>
      </c>
      <c r="H156" s="1090">
        <v>1337</v>
      </c>
      <c r="I156" s="953"/>
      <c r="J156" s="970"/>
      <c r="K156" s="970"/>
      <c r="L156" s="970"/>
      <c r="M156" s="1083"/>
    </row>
    <row r="157" spans="3:13">
      <c r="C157" s="1051" t="s">
        <v>377</v>
      </c>
      <c r="D157" s="1162">
        <v>638</v>
      </c>
      <c r="E157" s="1163">
        <v>611</v>
      </c>
      <c r="F157" s="1163">
        <v>1023</v>
      </c>
      <c r="G157" s="1163">
        <v>604</v>
      </c>
      <c r="H157" s="1090">
        <v>553</v>
      </c>
      <c r="I157" s="953"/>
      <c r="J157" s="970"/>
      <c r="K157" s="970"/>
      <c r="L157" s="970"/>
      <c r="M157" s="1083"/>
    </row>
    <row r="158" spans="3:13">
      <c r="C158" s="1107" t="s">
        <v>378</v>
      </c>
      <c r="D158" s="1154">
        <v>424</v>
      </c>
      <c r="E158" s="1155">
        <v>293</v>
      </c>
      <c r="F158" s="1155">
        <v>669</v>
      </c>
      <c r="G158" s="1155">
        <v>382</v>
      </c>
      <c r="H158" s="1110">
        <v>784</v>
      </c>
      <c r="I158" s="953"/>
      <c r="J158" s="970"/>
      <c r="K158" s="970"/>
      <c r="L158" s="970"/>
      <c r="M158" s="1083"/>
    </row>
    <row r="159" spans="3:13">
      <c r="C159" s="1052" t="s">
        <v>401</v>
      </c>
      <c r="D159" s="1156">
        <v>770</v>
      </c>
      <c r="E159" s="1157">
        <v>804</v>
      </c>
      <c r="F159" s="1157">
        <v>1392</v>
      </c>
      <c r="G159" s="1157">
        <v>765</v>
      </c>
      <c r="H159" s="1095">
        <v>920</v>
      </c>
      <c r="I159" s="953"/>
      <c r="J159" s="970"/>
      <c r="K159" s="970"/>
      <c r="L159" s="970"/>
      <c r="M159" s="1083"/>
    </row>
    <row r="160" spans="3:13">
      <c r="C160" s="1052" t="s">
        <v>377</v>
      </c>
      <c r="D160" s="1156">
        <v>517</v>
      </c>
      <c r="E160" s="1157">
        <v>547</v>
      </c>
      <c r="F160" s="1157">
        <v>937</v>
      </c>
      <c r="G160" s="1157">
        <v>536</v>
      </c>
      <c r="H160" s="1095">
        <v>337</v>
      </c>
      <c r="I160" s="953"/>
      <c r="J160" s="970"/>
      <c r="K160" s="970"/>
      <c r="L160" s="970"/>
      <c r="M160" s="1083"/>
    </row>
    <row r="161" spans="1:13">
      <c r="C161" s="1126" t="s">
        <v>378</v>
      </c>
      <c r="D161" s="1164">
        <v>249</v>
      </c>
      <c r="E161" s="1165">
        <v>213</v>
      </c>
      <c r="F161" s="1165">
        <v>455</v>
      </c>
      <c r="G161" s="1165">
        <v>229</v>
      </c>
      <c r="H161" s="1166">
        <v>583</v>
      </c>
      <c r="I161" s="953"/>
      <c r="J161" s="970"/>
      <c r="K161" s="970"/>
      <c r="L161" s="970"/>
      <c r="M161" s="1083"/>
    </row>
    <row r="162" spans="1:13">
      <c r="C162" s="1051" t="s">
        <v>402</v>
      </c>
      <c r="D162" s="1162">
        <v>781</v>
      </c>
      <c r="E162" s="1163">
        <v>896</v>
      </c>
      <c r="F162" s="1163">
        <v>1687</v>
      </c>
      <c r="G162" s="1163">
        <v>1017</v>
      </c>
      <c r="H162" s="1090">
        <v>1022</v>
      </c>
      <c r="I162" s="953"/>
      <c r="J162" s="970"/>
      <c r="K162" s="970"/>
      <c r="L162" s="970"/>
      <c r="M162" s="1083"/>
    </row>
    <row r="163" spans="1:13">
      <c r="C163" s="1051" t="s">
        <v>377</v>
      </c>
      <c r="D163" s="1162">
        <v>637</v>
      </c>
      <c r="E163" s="1163">
        <v>752</v>
      </c>
      <c r="F163" s="1163">
        <v>1382</v>
      </c>
      <c r="G163" s="1163">
        <v>842</v>
      </c>
      <c r="H163" s="1090">
        <v>264</v>
      </c>
      <c r="I163" s="953"/>
      <c r="J163" s="970"/>
      <c r="K163" s="970"/>
      <c r="L163" s="970"/>
      <c r="M163" s="1083"/>
    </row>
    <row r="164" spans="1:13">
      <c r="C164" s="1051" t="s">
        <v>378</v>
      </c>
      <c r="D164" s="1162">
        <v>140</v>
      </c>
      <c r="E164" s="1163">
        <v>131</v>
      </c>
      <c r="F164" s="1163">
        <v>305</v>
      </c>
      <c r="G164" s="1163">
        <v>175</v>
      </c>
      <c r="H164" s="1090">
        <v>758</v>
      </c>
      <c r="I164" s="953"/>
      <c r="J164" s="970"/>
      <c r="K164" s="970"/>
      <c r="L164" s="970"/>
      <c r="M164" s="1083"/>
    </row>
    <row r="165" spans="1:13" ht="6" customHeight="1">
      <c r="C165" s="1167"/>
      <c r="D165" s="1168"/>
      <c r="E165" s="1169"/>
      <c r="F165" s="1169"/>
      <c r="G165" s="1169"/>
      <c r="H165" s="1170"/>
      <c r="I165" s="953"/>
      <c r="J165" s="1161"/>
      <c r="K165" s="1161"/>
      <c r="L165" s="1161"/>
      <c r="M165" s="1083"/>
    </row>
    <row r="166" spans="1:13">
      <c r="C166" s="1052" t="s">
        <v>52</v>
      </c>
      <c r="D166" s="1171">
        <v>3124</v>
      </c>
      <c r="E166" s="1172">
        <v>3354</v>
      </c>
      <c r="F166" s="1172">
        <v>5779</v>
      </c>
      <c r="G166" s="1172">
        <v>3581</v>
      </c>
      <c r="H166" s="1095">
        <v>4532</v>
      </c>
      <c r="I166" s="953"/>
      <c r="J166" s="1124"/>
      <c r="K166" s="1124"/>
      <c r="L166" s="1124"/>
      <c r="M166" s="1083"/>
    </row>
    <row r="167" spans="1:13">
      <c r="C167" s="1052" t="s">
        <v>15</v>
      </c>
      <c r="D167" s="1171">
        <v>76</v>
      </c>
      <c r="E167" s="1172">
        <v>21</v>
      </c>
      <c r="F167" s="1172">
        <v>123</v>
      </c>
      <c r="G167" s="1172">
        <v>73</v>
      </c>
      <c r="H167" s="1095">
        <v>121</v>
      </c>
      <c r="I167" s="953"/>
      <c r="J167" s="1124"/>
      <c r="K167" s="1124"/>
      <c r="L167" s="1124"/>
      <c r="M167" s="1083"/>
    </row>
    <row r="168" spans="1:13">
      <c r="C168" s="1107" t="s">
        <v>22</v>
      </c>
      <c r="D168" s="1173">
        <v>887</v>
      </c>
      <c r="E168" s="1174">
        <v>193</v>
      </c>
      <c r="F168" s="1174">
        <v>171</v>
      </c>
      <c r="G168" s="1174">
        <v>201</v>
      </c>
      <c r="H168" s="1110">
        <v>198</v>
      </c>
      <c r="I168" s="953"/>
      <c r="J168" s="1124"/>
      <c r="K168" s="1124"/>
      <c r="L168" s="1124"/>
      <c r="M168" s="1083"/>
    </row>
    <row r="169" spans="1:13">
      <c r="A169" s="1135"/>
      <c r="B169" s="1135"/>
      <c r="C169" s="1052" t="s">
        <v>403</v>
      </c>
      <c r="D169" s="1171">
        <v>104</v>
      </c>
      <c r="E169" s="1172">
        <v>62</v>
      </c>
      <c r="F169" s="1172"/>
      <c r="G169" s="1172"/>
      <c r="H169" s="1095"/>
      <c r="I169" s="953"/>
      <c r="J169" s="1124"/>
      <c r="K169" s="1124"/>
      <c r="L169" s="1124"/>
      <c r="M169" s="1083"/>
    </row>
    <row r="170" spans="1:13">
      <c r="A170" s="1135"/>
      <c r="B170" s="1135"/>
      <c r="C170" s="1051" t="s">
        <v>405</v>
      </c>
      <c r="D170" s="1175">
        <v>241</v>
      </c>
      <c r="E170" s="1176">
        <v>295</v>
      </c>
      <c r="F170" s="1176">
        <v>353</v>
      </c>
      <c r="G170" s="1176">
        <v>108</v>
      </c>
      <c r="H170" s="1090">
        <v>239</v>
      </c>
      <c r="I170" s="953"/>
      <c r="J170" s="1124"/>
      <c r="K170" s="1124"/>
      <c r="L170" s="1124"/>
      <c r="M170" s="1083"/>
    </row>
    <row r="171" spans="1:13">
      <c r="C171" s="1177"/>
      <c r="D171" s="1178"/>
      <c r="E171" s="1178"/>
      <c r="F171" s="1178"/>
      <c r="G171" s="1179"/>
      <c r="H171" s="1180"/>
      <c r="I171" s="953"/>
      <c r="J171" s="1180"/>
      <c r="K171" s="1180"/>
      <c r="L171" s="1180"/>
      <c r="M171" s="1181"/>
    </row>
    <row r="172" spans="1:13">
      <c r="C172" s="983" t="s">
        <v>127</v>
      </c>
      <c r="D172" s="1182"/>
      <c r="E172" s="1182"/>
      <c r="F172" s="1182"/>
      <c r="G172" s="1183"/>
      <c r="H172" s="1184"/>
      <c r="I172" s="1184"/>
      <c r="J172" s="1184"/>
      <c r="K172" s="1184"/>
      <c r="L172" s="1184"/>
      <c r="M172" s="1185"/>
    </row>
    <row r="173" spans="1:13">
      <c r="C173" s="983" t="s">
        <v>415</v>
      </c>
      <c r="D173" s="985"/>
      <c r="E173" s="985"/>
      <c r="F173" s="985"/>
      <c r="G173" s="985"/>
      <c r="H173" s="985"/>
      <c r="I173" s="985"/>
      <c r="J173" s="985"/>
      <c r="K173" s="985"/>
      <c r="L173" s="1186"/>
      <c r="M173" s="1187"/>
    </row>
    <row r="174" spans="1:13">
      <c r="C174" s="983" t="s">
        <v>416</v>
      </c>
      <c r="D174" s="1186"/>
      <c r="E174" s="1186"/>
      <c r="F174" s="1186"/>
      <c r="G174" s="1186"/>
      <c r="H174" s="1186"/>
      <c r="I174" s="1186"/>
      <c r="J174" s="1186"/>
      <c r="K174" s="1186"/>
      <c r="L174" s="1186"/>
      <c r="M174" s="1187"/>
    </row>
    <row r="175" spans="1:13">
      <c r="C175" s="983" t="s">
        <v>417</v>
      </c>
      <c r="D175" s="1188"/>
      <c r="E175" s="1188"/>
      <c r="F175" s="1188"/>
      <c r="G175" s="1188"/>
      <c r="H175" s="1189"/>
      <c r="I175" s="1189"/>
      <c r="J175" s="1189"/>
      <c r="K175" s="1189"/>
      <c r="L175" s="1189"/>
      <c r="M175" s="1190"/>
    </row>
    <row r="176" spans="1:13">
      <c r="C176" s="983" t="s">
        <v>418</v>
      </c>
      <c r="D176" s="1191"/>
      <c r="E176" s="1192"/>
      <c r="F176" s="1192"/>
      <c r="G176" s="1192"/>
      <c r="H176" s="1193"/>
      <c r="I176" s="1193"/>
      <c r="J176" s="1193"/>
      <c r="K176" s="1193"/>
      <c r="L176" s="1193"/>
      <c r="M176" s="1194"/>
    </row>
    <row r="177" spans="3:13" s="944" customFormat="1">
      <c r="C177" s="1021" t="s">
        <v>419</v>
      </c>
      <c r="D177" s="1195"/>
      <c r="E177" s="1196"/>
      <c r="F177" s="1196"/>
      <c r="G177" s="1196"/>
      <c r="H177" s="1068"/>
      <c r="I177" s="1068"/>
      <c r="J177" s="1068"/>
      <c r="K177" s="1068"/>
      <c r="L177" s="1068"/>
      <c r="M177" s="1197"/>
    </row>
    <row r="178" spans="3:13">
      <c r="C178" s="1198"/>
      <c r="D178" s="1199"/>
      <c r="E178" s="1199"/>
      <c r="F178" s="1199"/>
      <c r="G178" s="1199"/>
      <c r="H178" s="1200"/>
      <c r="I178" s="1200"/>
      <c r="J178" s="1200"/>
      <c r="K178" s="1200"/>
      <c r="L178" s="1200"/>
      <c r="M178" s="1201"/>
    </row>
    <row r="179" spans="3:13" ht="19.2">
      <c r="C179" s="950" t="s">
        <v>420</v>
      </c>
      <c r="D179" s="952"/>
      <c r="E179" s="952"/>
      <c r="F179" s="952"/>
      <c r="G179" s="952"/>
      <c r="H179" s="953"/>
      <c r="I179" s="953"/>
      <c r="K179" s="947"/>
      <c r="M179" s="949" t="s">
        <v>421</v>
      </c>
    </row>
    <row r="180" spans="3:13">
      <c r="C180" s="1202"/>
      <c r="D180" s="953"/>
      <c r="E180" s="953"/>
      <c r="F180" s="953"/>
      <c r="G180" s="953"/>
      <c r="H180" s="953"/>
      <c r="I180" s="953"/>
      <c r="J180" s="1148"/>
      <c r="K180" s="1148"/>
      <c r="L180" s="1148"/>
      <c r="M180" s="1083"/>
    </row>
    <row r="181" spans="3:13" ht="27" customHeight="1">
      <c r="C181" s="960"/>
      <c r="D181" s="961" t="s">
        <v>91</v>
      </c>
      <c r="E181" s="997" t="s">
        <v>3</v>
      </c>
      <c r="F181" s="997" t="s">
        <v>92</v>
      </c>
      <c r="G181" s="997" t="s">
        <v>93</v>
      </c>
      <c r="H181" s="997" t="s">
        <v>94</v>
      </c>
      <c r="I181" s="953"/>
      <c r="J181" s="998"/>
      <c r="K181" s="953"/>
      <c r="L181" s="953"/>
      <c r="M181" s="1083"/>
    </row>
    <row r="182" spans="3:13" s="944" customFormat="1">
      <c r="C182" s="1203" t="s">
        <v>52</v>
      </c>
      <c r="D182" s="1204">
        <v>2.8000000000000001E-2</v>
      </c>
      <c r="E182" s="1205">
        <v>2.9712433441994493E-2</v>
      </c>
      <c r="F182" s="1205">
        <v>3.2909229483813654E-2</v>
      </c>
      <c r="G182" s="1205">
        <v>3.5439195168628805E-2</v>
      </c>
      <c r="H182" s="1206">
        <v>3.39E-2</v>
      </c>
      <c r="I182" s="1207"/>
      <c r="J182" s="1208"/>
      <c r="K182" s="1207"/>
      <c r="L182" s="1207"/>
      <c r="M182" s="1125"/>
    </row>
    <row r="183" spans="3:13">
      <c r="C183" s="1009"/>
      <c r="D183" s="1013"/>
      <c r="E183" s="1013"/>
      <c r="F183" s="1013"/>
      <c r="G183" s="1013"/>
      <c r="H183" s="1209"/>
      <c r="I183" s="953"/>
      <c r="J183" s="1209"/>
      <c r="K183" s="953"/>
      <c r="L183" s="953"/>
      <c r="M183" s="1083"/>
    </row>
    <row r="184" spans="3:13">
      <c r="C184" s="983" t="s">
        <v>127</v>
      </c>
      <c r="D184" s="1210"/>
      <c r="E184" s="1210"/>
      <c r="F184" s="1210"/>
      <c r="G184" s="1210"/>
      <c r="H184" s="1210"/>
      <c r="I184" s="1210"/>
      <c r="J184" s="1210"/>
      <c r="K184" s="1210"/>
      <c r="L184" s="1210"/>
      <c r="M184" s="1211"/>
    </row>
    <row r="185" spans="3:13" ht="15" customHeight="1">
      <c r="C185" s="1021" t="s">
        <v>422</v>
      </c>
      <c r="D185" s="1066"/>
      <c r="E185" s="1066"/>
      <c r="F185" s="1066"/>
      <c r="G185" s="1066"/>
      <c r="H185" s="1066"/>
      <c r="I185" s="1066"/>
      <c r="J185" s="1066"/>
      <c r="K185" s="1066"/>
      <c r="L185" s="1066"/>
      <c r="M185" s="1212"/>
    </row>
    <row r="186" spans="3:13">
      <c r="C186" s="983" t="s">
        <v>423</v>
      </c>
      <c r="D186" s="985"/>
      <c r="E186" s="985"/>
      <c r="F186" s="985"/>
      <c r="G186" s="985"/>
      <c r="H186" s="1193"/>
      <c r="I186" s="1193"/>
      <c r="J186" s="1193"/>
      <c r="K186" s="1193"/>
      <c r="L186" s="1193"/>
      <c r="M186" s="1194"/>
    </row>
    <row r="187" spans="3:13">
      <c r="C187" s="999"/>
      <c r="D187" s="1144"/>
      <c r="E187" s="1144"/>
      <c r="F187" s="1144"/>
      <c r="G187" s="1144"/>
      <c r="H187" s="1144"/>
      <c r="I187" s="1144"/>
      <c r="J187" s="1144"/>
      <c r="K187" s="1144"/>
      <c r="L187" s="1144"/>
      <c r="M187" s="1213"/>
    </row>
    <row r="188" spans="3:13" ht="19.2">
      <c r="C188" s="950" t="s">
        <v>424</v>
      </c>
      <c r="D188" s="1214"/>
      <c r="E188" s="1215"/>
      <c r="F188" s="1215"/>
      <c r="G188" s="1215"/>
      <c r="H188" s="1215"/>
      <c r="I188" s="1215"/>
      <c r="J188" s="1215"/>
      <c r="K188" s="1215"/>
      <c r="L188" s="1215"/>
      <c r="M188" s="1216"/>
    </row>
    <row r="189" spans="3:13">
      <c r="C189" s="1217" t="s">
        <v>394</v>
      </c>
      <c r="D189" s="1218"/>
      <c r="E189" s="1215"/>
      <c r="F189" s="1215"/>
      <c r="G189" s="1215"/>
      <c r="H189" s="1215"/>
      <c r="I189" s="1215"/>
      <c r="K189" s="947"/>
      <c r="M189" s="949" t="s">
        <v>425</v>
      </c>
    </row>
    <row r="190" spans="3:13">
      <c r="C190" s="940"/>
      <c r="D190" s="936"/>
      <c r="E190" s="1215"/>
      <c r="F190" s="1215"/>
      <c r="G190" s="1215"/>
      <c r="H190" s="1215"/>
      <c r="I190" s="1215"/>
      <c r="J190" s="1148"/>
      <c r="K190" s="1148"/>
      <c r="L190" s="1148"/>
      <c r="M190" s="1216"/>
    </row>
    <row r="191" spans="3:13" ht="27" customHeight="1">
      <c r="C191" s="960"/>
      <c r="D191" s="961" t="s">
        <v>91</v>
      </c>
      <c r="E191" s="997" t="s">
        <v>3</v>
      </c>
      <c r="F191" s="997" t="s">
        <v>92</v>
      </c>
      <c r="G191" s="997" t="s">
        <v>93</v>
      </c>
      <c r="H191" s="997" t="s">
        <v>94</v>
      </c>
      <c r="I191" s="1215"/>
      <c r="J191" s="998"/>
      <c r="K191" s="998"/>
      <c r="L191" s="998"/>
      <c r="M191" s="1216"/>
    </row>
    <row r="192" spans="3:13">
      <c r="C192" s="1219" t="s">
        <v>377</v>
      </c>
      <c r="D192" s="1220">
        <v>884</v>
      </c>
      <c r="E192" s="1221">
        <v>879</v>
      </c>
      <c r="F192" s="1221">
        <v>610</v>
      </c>
      <c r="G192" s="1221">
        <v>605</v>
      </c>
      <c r="H192" s="1222">
        <v>718</v>
      </c>
      <c r="I192" s="1215"/>
      <c r="J192" s="970"/>
      <c r="K192" s="970"/>
      <c r="L192" s="970"/>
      <c r="M192" s="1216"/>
    </row>
    <row r="193" spans="3:13">
      <c r="C193" s="1223" t="s">
        <v>378</v>
      </c>
      <c r="D193" s="1224">
        <v>411</v>
      </c>
      <c r="E193" s="1225">
        <v>557</v>
      </c>
      <c r="F193" s="1225">
        <v>684</v>
      </c>
      <c r="G193" s="1225">
        <v>707</v>
      </c>
      <c r="H193" s="1226">
        <v>823</v>
      </c>
      <c r="I193" s="1215"/>
      <c r="J193" s="974"/>
      <c r="K193" s="974"/>
      <c r="L193" s="974"/>
      <c r="M193" s="1216"/>
    </row>
    <row r="194" spans="3:13">
      <c r="C194" s="1227"/>
      <c r="D194" s="1215"/>
      <c r="E194" s="1215"/>
      <c r="F194" s="1215"/>
      <c r="G194" s="1215"/>
      <c r="H194" s="1215"/>
      <c r="I194" s="1215"/>
      <c r="J194" s="1215"/>
      <c r="K194" s="1215"/>
      <c r="L194" s="1215"/>
      <c r="M194" s="1216"/>
    </row>
    <row r="195" spans="3:13">
      <c r="C195" s="1228" t="s">
        <v>127</v>
      </c>
      <c r="D195" s="1229"/>
      <c r="E195" s="1229"/>
      <c r="F195" s="1229"/>
      <c r="G195" s="1229"/>
      <c r="H195" s="1229"/>
      <c r="I195" s="1215"/>
      <c r="J195" s="1229"/>
      <c r="K195" s="1229"/>
      <c r="L195" s="1229"/>
      <c r="M195" s="1230"/>
    </row>
    <row r="196" spans="3:13" ht="24" customHeight="1">
      <c r="C196" s="1948" t="s">
        <v>426</v>
      </c>
      <c r="D196" s="1949"/>
      <c r="E196" s="1949"/>
      <c r="F196" s="1949"/>
      <c r="G196" s="1949"/>
      <c r="H196" s="1949"/>
      <c r="I196" s="1949"/>
      <c r="J196" s="1949"/>
      <c r="K196" s="1949"/>
      <c r="L196" s="1949"/>
      <c r="M196" s="1231"/>
    </row>
    <row r="197" spans="3:13">
      <c r="C197" s="983" t="s">
        <v>427</v>
      </c>
      <c r="D197" s="1232"/>
      <c r="E197" s="1232"/>
      <c r="F197" s="1232"/>
      <c r="G197" s="1232"/>
      <c r="H197" s="1232"/>
      <c r="I197" s="1232"/>
      <c r="J197" s="1232"/>
      <c r="K197" s="1232"/>
      <c r="L197" s="1232"/>
      <c r="M197" s="1233"/>
    </row>
    <row r="198" spans="3:13">
      <c r="C198" s="1072"/>
      <c r="D198" s="944"/>
      <c r="E198" s="1215"/>
      <c r="F198" s="1215"/>
      <c r="G198" s="1215"/>
      <c r="H198" s="1215"/>
      <c r="I198" s="1215"/>
      <c r="J198" s="1215"/>
      <c r="K198" s="1215"/>
      <c r="L198" s="1215"/>
      <c r="M198" s="1216"/>
    </row>
    <row r="199" spans="3:13" ht="19.2">
      <c r="C199" s="950" t="s">
        <v>428</v>
      </c>
      <c r="D199" s="1234"/>
      <c r="E199" s="1215"/>
      <c r="F199" s="1215"/>
      <c r="G199" s="1215"/>
      <c r="H199" s="1215"/>
      <c r="I199" s="1215"/>
      <c r="J199" s="1215"/>
      <c r="K199" s="1215"/>
      <c r="L199" s="1215"/>
      <c r="M199" s="1216"/>
    </row>
    <row r="200" spans="3:13">
      <c r="C200" s="1235" t="s">
        <v>394</v>
      </c>
      <c r="D200" s="1236"/>
      <c r="E200" s="1237"/>
      <c r="F200" s="1237"/>
      <c r="G200" s="1237"/>
      <c r="H200" s="1237"/>
      <c r="I200" s="1215"/>
      <c r="K200" s="947"/>
      <c r="M200" s="949" t="s">
        <v>425</v>
      </c>
    </row>
    <row r="201" spans="3:13">
      <c r="C201" s="1227"/>
      <c r="D201" s="1215"/>
      <c r="E201" s="1215"/>
      <c r="F201" s="1215"/>
      <c r="G201" s="1215"/>
      <c r="H201" s="1215"/>
      <c r="I201" s="1215"/>
      <c r="J201" s="1148"/>
      <c r="K201" s="1148"/>
      <c r="L201" s="1148"/>
      <c r="M201" s="1216"/>
    </row>
    <row r="202" spans="3:13" ht="27" customHeight="1">
      <c r="C202" s="960"/>
      <c r="D202" s="961" t="s">
        <v>91</v>
      </c>
      <c r="E202" s="997" t="s">
        <v>3</v>
      </c>
      <c r="F202" s="997" t="s">
        <v>92</v>
      </c>
      <c r="G202" s="997" t="s">
        <v>93</v>
      </c>
      <c r="H202" s="997" t="s">
        <v>94</v>
      </c>
      <c r="I202" s="1215"/>
      <c r="J202" s="998"/>
      <c r="K202" s="998"/>
      <c r="L202" s="998"/>
      <c r="M202" s="1216"/>
    </row>
    <row r="203" spans="3:13">
      <c r="C203" s="1219" t="s">
        <v>377</v>
      </c>
      <c r="D203" s="1220">
        <v>877</v>
      </c>
      <c r="E203" s="1221">
        <v>877</v>
      </c>
      <c r="F203" s="1221">
        <v>602</v>
      </c>
      <c r="G203" s="1221">
        <v>599</v>
      </c>
      <c r="H203" s="1222">
        <v>705</v>
      </c>
      <c r="I203" s="1215"/>
      <c r="J203" s="970"/>
      <c r="K203" s="970"/>
      <c r="L203" s="970"/>
      <c r="M203" s="1216"/>
    </row>
    <row r="204" spans="3:13">
      <c r="C204" s="1223" t="s">
        <v>378</v>
      </c>
      <c r="D204" s="1224">
        <v>409</v>
      </c>
      <c r="E204" s="1225">
        <v>548</v>
      </c>
      <c r="F204" s="1225">
        <v>631</v>
      </c>
      <c r="G204" s="1225">
        <v>668</v>
      </c>
      <c r="H204" s="1226">
        <v>759</v>
      </c>
      <c r="I204" s="1215"/>
      <c r="J204" s="974"/>
      <c r="K204" s="974"/>
      <c r="L204" s="974"/>
      <c r="M204" s="1216"/>
    </row>
    <row r="205" spans="3:13">
      <c r="C205" s="1227"/>
      <c r="D205" s="1215"/>
      <c r="E205" s="1215"/>
      <c r="F205" s="1215"/>
      <c r="G205" s="1215"/>
      <c r="H205" s="1215"/>
      <c r="I205" s="1215"/>
      <c r="J205" s="1215"/>
      <c r="K205" s="1215"/>
      <c r="L205" s="1215"/>
      <c r="M205" s="1216"/>
    </row>
    <row r="206" spans="3:13">
      <c r="C206" s="1238" t="s">
        <v>127</v>
      </c>
      <c r="D206" s="1210"/>
      <c r="E206" s="1210"/>
      <c r="F206" s="1210"/>
      <c r="G206" s="1210"/>
      <c r="H206" s="1210"/>
      <c r="I206" s="1210"/>
      <c r="J206" s="1210"/>
      <c r="K206" s="1210"/>
      <c r="L206" s="1210"/>
      <c r="M206" s="1216"/>
    </row>
    <row r="207" spans="3:13" ht="15" customHeight="1">
      <c r="C207" s="983" t="s">
        <v>429</v>
      </c>
      <c r="D207" s="1239"/>
      <c r="E207" s="1239"/>
      <c r="F207" s="1239"/>
      <c r="G207" s="1239"/>
      <c r="H207" s="1239"/>
      <c r="I207" s="1239"/>
      <c r="J207" s="1239"/>
      <c r="K207" s="1239"/>
      <c r="L207" s="1239"/>
      <c r="M207" s="1240"/>
    </row>
    <row r="208" spans="3:13">
      <c r="C208" s="1241"/>
      <c r="D208" s="1242"/>
      <c r="E208" s="1242"/>
      <c r="F208" s="1242"/>
      <c r="G208" s="1242"/>
      <c r="H208" s="1242"/>
      <c r="I208" s="1242"/>
      <c r="J208" s="1242"/>
      <c r="K208" s="1242"/>
      <c r="L208" s="1242"/>
      <c r="M208" s="1243"/>
    </row>
    <row r="209" spans="2:13" ht="19.2">
      <c r="C209" s="950" t="s">
        <v>430</v>
      </c>
      <c r="D209" s="1234"/>
      <c r="E209" s="1215"/>
      <c r="F209" s="1215"/>
      <c r="G209" s="1215"/>
      <c r="H209" s="1215"/>
      <c r="I209" s="1215"/>
      <c r="J209" s="1215"/>
      <c r="K209" s="1215"/>
      <c r="L209" s="1215"/>
      <c r="M209" s="1216"/>
    </row>
    <row r="210" spans="2:13">
      <c r="C210" s="1217" t="s">
        <v>431</v>
      </c>
      <c r="D210" s="1218"/>
      <c r="E210" s="1215"/>
      <c r="F210" s="1215"/>
      <c r="G210" s="1215"/>
      <c r="H210" s="1215"/>
      <c r="I210" s="1215"/>
      <c r="K210" s="947"/>
      <c r="M210" s="949" t="s">
        <v>425</v>
      </c>
    </row>
    <row r="211" spans="2:13">
      <c r="C211" s="1244"/>
      <c r="D211" s="1218"/>
      <c r="E211" s="1215"/>
      <c r="F211" s="1215"/>
      <c r="G211" s="1215"/>
      <c r="H211" s="1215"/>
      <c r="I211" s="1215"/>
      <c r="J211" s="1148"/>
      <c r="K211" s="1148"/>
      <c r="L211" s="1148"/>
      <c r="M211" s="1216"/>
    </row>
    <row r="212" spans="2:13" ht="27" customHeight="1">
      <c r="C212" s="960"/>
      <c r="D212" s="961" t="s">
        <v>91</v>
      </c>
      <c r="E212" s="997" t="s">
        <v>3</v>
      </c>
      <c r="F212" s="997" t="s">
        <v>92</v>
      </c>
      <c r="G212" s="997" t="s">
        <v>93</v>
      </c>
      <c r="H212" s="997" t="s">
        <v>94</v>
      </c>
      <c r="I212" s="1215"/>
      <c r="J212" s="998"/>
      <c r="K212" s="998"/>
      <c r="L212" s="998"/>
      <c r="M212" s="1216"/>
    </row>
    <row r="213" spans="2:13">
      <c r="C213" s="1223" t="s">
        <v>377</v>
      </c>
      <c r="D213" s="1245">
        <f t="shared" ref="D213:F214" si="0">D203/D192</f>
        <v>0.99208144796380093</v>
      </c>
      <c r="E213" s="1079">
        <f t="shared" si="0"/>
        <v>0.99772468714448237</v>
      </c>
      <c r="F213" s="1079">
        <f t="shared" si="0"/>
        <v>0.9868852459016394</v>
      </c>
      <c r="G213" s="1079">
        <v>0.99008264462809914</v>
      </c>
      <c r="H213" s="1246">
        <v>0.98189415041782702</v>
      </c>
      <c r="I213" s="1215"/>
      <c r="J213" s="970"/>
      <c r="K213" s="970"/>
      <c r="L213" s="970"/>
      <c r="M213" s="1216"/>
    </row>
    <row r="214" spans="2:13">
      <c r="C214" s="1247" t="s">
        <v>378</v>
      </c>
      <c r="D214" s="1248">
        <f t="shared" si="0"/>
        <v>0.99513381995133821</v>
      </c>
      <c r="E214" s="1205">
        <f t="shared" si="0"/>
        <v>0.98384201077199285</v>
      </c>
      <c r="F214" s="1205">
        <f t="shared" si="0"/>
        <v>0.92251461988304095</v>
      </c>
      <c r="G214" s="1205">
        <v>0.94483734087694482</v>
      </c>
      <c r="H214" s="1206">
        <v>0.92223572296476297</v>
      </c>
      <c r="I214" s="1215"/>
      <c r="J214" s="974"/>
      <c r="K214" s="974"/>
      <c r="L214" s="974"/>
      <c r="M214" s="1216"/>
    </row>
    <row r="215" spans="2:13">
      <c r="C215" s="1249" t="s">
        <v>234</v>
      </c>
      <c r="D215" s="1250">
        <v>0.99299999999999999</v>
      </c>
      <c r="E215" s="1251">
        <v>0.99199999999999999</v>
      </c>
      <c r="F215" s="1251">
        <v>0.95</v>
      </c>
      <c r="G215" s="1251">
        <v>0.96570121951219512</v>
      </c>
      <c r="H215" s="1252">
        <v>0.95003244646333596</v>
      </c>
      <c r="I215" s="1215"/>
      <c r="J215" s="1215"/>
      <c r="K215" s="1215"/>
      <c r="L215" s="1215"/>
      <c r="M215" s="1216"/>
    </row>
    <row r="216" spans="2:13">
      <c r="C216" s="1227"/>
      <c r="D216" s="1215"/>
      <c r="E216" s="1253"/>
      <c r="F216" s="1253"/>
      <c r="G216" s="1215"/>
      <c r="H216" s="1215"/>
      <c r="I216" s="1215"/>
      <c r="J216" s="1215"/>
      <c r="K216" s="1215"/>
      <c r="L216" s="1215"/>
      <c r="M216" s="1216"/>
    </row>
    <row r="217" spans="2:13">
      <c r="C217" s="983" t="s">
        <v>127</v>
      </c>
      <c r="D217" s="985"/>
      <c r="E217" s="985"/>
      <c r="F217" s="985"/>
      <c r="G217" s="985"/>
      <c r="H217" s="985"/>
      <c r="I217" s="985"/>
      <c r="J217" s="985"/>
      <c r="K217" s="985"/>
      <c r="L217" s="985"/>
      <c r="M217" s="1230"/>
    </row>
    <row r="218" spans="2:13">
      <c r="C218" s="983" t="s">
        <v>432</v>
      </c>
      <c r="D218" s="985"/>
      <c r="E218" s="985"/>
      <c r="F218" s="985"/>
      <c r="G218" s="985"/>
      <c r="H218" s="985"/>
      <c r="I218" s="985"/>
      <c r="J218" s="985"/>
      <c r="K218" s="985"/>
      <c r="L218" s="985"/>
      <c r="M218" s="1254"/>
    </row>
    <row r="219" spans="2:13">
      <c r="C219" s="983" t="s">
        <v>433</v>
      </c>
      <c r="D219" s="985"/>
      <c r="E219" s="985"/>
      <c r="F219" s="985"/>
      <c r="G219" s="985"/>
      <c r="H219" s="985"/>
      <c r="I219" s="985"/>
      <c r="J219" s="985"/>
      <c r="K219" s="985"/>
      <c r="L219" s="985"/>
      <c r="M219" s="1211"/>
    </row>
    <row r="220" spans="2:13">
      <c r="C220" s="940"/>
      <c r="D220" s="936"/>
      <c r="E220" s="936"/>
      <c r="F220" s="936"/>
      <c r="G220" s="936"/>
      <c r="H220" s="936"/>
      <c r="I220" s="936"/>
      <c r="J220" s="936"/>
      <c r="K220" s="936"/>
      <c r="L220" s="936"/>
      <c r="M220" s="941"/>
    </row>
    <row r="221" spans="2:13">
      <c r="C221" s="1072"/>
      <c r="M221" s="941"/>
    </row>
    <row r="222" spans="2:13" ht="24.9" customHeight="1">
      <c r="C222" s="946" t="s">
        <v>434</v>
      </c>
      <c r="M222" s="941"/>
    </row>
    <row r="223" spans="2:13">
      <c r="C223" s="1072"/>
      <c r="M223" s="941"/>
    </row>
    <row r="224" spans="2:13" ht="19.2">
      <c r="B224" s="944"/>
      <c r="C224" s="950" t="s">
        <v>435</v>
      </c>
      <c r="D224" s="1255"/>
      <c r="E224" s="1255"/>
      <c r="F224" s="1255" t="s">
        <v>436</v>
      </c>
      <c r="G224" s="1255" t="s">
        <v>436</v>
      </c>
      <c r="H224" s="1255" t="s">
        <v>436</v>
      </c>
      <c r="I224" s="1255"/>
      <c r="J224" s="1256"/>
      <c r="K224" s="1257"/>
      <c r="L224" s="1940" t="s">
        <v>437</v>
      </c>
      <c r="M224" s="1941"/>
    </row>
    <row r="225" spans="2:13">
      <c r="B225" s="944"/>
      <c r="C225" s="1258"/>
      <c r="D225" s="1259" t="s">
        <v>436</v>
      </c>
      <c r="E225" s="1259" t="s">
        <v>436</v>
      </c>
      <c r="F225" s="1259" t="s">
        <v>436</v>
      </c>
      <c r="G225" s="1259" t="s">
        <v>436</v>
      </c>
      <c r="H225" s="1200" t="s">
        <v>436</v>
      </c>
      <c r="I225" s="1260" t="s">
        <v>438</v>
      </c>
      <c r="J225" s="1260"/>
      <c r="K225" s="1260"/>
      <c r="L225" s="1260"/>
      <c r="M225" s="1201" t="s">
        <v>436</v>
      </c>
    </row>
    <row r="226" spans="2:13" ht="27" customHeight="1">
      <c r="B226" s="944"/>
      <c r="C226" s="960" t="s">
        <v>436</v>
      </c>
      <c r="D226" s="1261" t="s">
        <v>91</v>
      </c>
      <c r="E226" s="997" t="s">
        <v>3</v>
      </c>
      <c r="F226" s="1259" t="s">
        <v>436</v>
      </c>
      <c r="G226" s="1259" t="s">
        <v>436</v>
      </c>
      <c r="H226" s="1200" t="s">
        <v>436</v>
      </c>
      <c r="I226" s="1262"/>
      <c r="J226" s="1262"/>
      <c r="K226" s="1262"/>
      <c r="L226" s="1262"/>
      <c r="M226" s="1201" t="s">
        <v>436</v>
      </c>
    </row>
    <row r="227" spans="2:13" ht="21">
      <c r="B227" s="944"/>
      <c r="C227" s="1263" t="s">
        <v>371</v>
      </c>
      <c r="D227" s="1264">
        <v>5.48</v>
      </c>
      <c r="E227" s="1265">
        <v>11.86</v>
      </c>
      <c r="F227" s="1259" t="s">
        <v>436</v>
      </c>
      <c r="G227" s="1259" t="s">
        <v>436</v>
      </c>
      <c r="H227" s="1200" t="s">
        <v>436</v>
      </c>
      <c r="I227" s="1266"/>
      <c r="J227" s="1266"/>
      <c r="K227" s="1266"/>
      <c r="L227" s="1266"/>
      <c r="M227" s="1201" t="s">
        <v>436</v>
      </c>
    </row>
    <row r="228" spans="2:13">
      <c r="B228" s="944"/>
      <c r="C228" s="1223" t="s">
        <v>377</v>
      </c>
      <c r="D228" s="1267">
        <v>5.38</v>
      </c>
      <c r="E228" s="1268">
        <v>12.06</v>
      </c>
      <c r="F228" s="1259" t="s">
        <v>436</v>
      </c>
      <c r="G228" s="1259" t="s">
        <v>436</v>
      </c>
      <c r="H228" s="1200" t="s">
        <v>436</v>
      </c>
      <c r="I228" s="1266"/>
      <c r="J228" s="1266"/>
      <c r="K228" s="1266"/>
      <c r="L228" s="1266"/>
      <c r="M228" s="1201"/>
    </row>
    <row r="229" spans="2:13">
      <c r="B229" s="944"/>
      <c r="C229" s="1269" t="s">
        <v>378</v>
      </c>
      <c r="D229" s="1267">
        <v>5.67</v>
      </c>
      <c r="E229" s="1270">
        <v>11.43</v>
      </c>
      <c r="F229" s="1259" t="s">
        <v>436</v>
      </c>
      <c r="G229" s="1259" t="s">
        <v>436</v>
      </c>
      <c r="H229" s="1200" t="s">
        <v>436</v>
      </c>
      <c r="I229" s="1266"/>
      <c r="J229" s="1266"/>
      <c r="K229" s="1266"/>
      <c r="L229" s="1266"/>
      <c r="M229" s="1201"/>
    </row>
    <row r="230" spans="2:13">
      <c r="B230" s="944"/>
      <c r="C230" s="1034" t="s">
        <v>439</v>
      </c>
      <c r="D230" s="1271">
        <v>14.37</v>
      </c>
      <c r="E230" s="1272">
        <v>11.24</v>
      </c>
      <c r="F230" s="1259" t="s">
        <v>436</v>
      </c>
      <c r="G230" s="1259" t="s">
        <v>436</v>
      </c>
      <c r="H230" s="1200" t="s">
        <v>436</v>
      </c>
      <c r="I230" s="1266"/>
      <c r="J230" s="1266"/>
      <c r="K230" s="1266"/>
      <c r="L230" s="1266"/>
      <c r="M230" s="1201" t="s">
        <v>436</v>
      </c>
    </row>
    <row r="231" spans="2:13">
      <c r="B231" s="944"/>
      <c r="C231" s="1034" t="s">
        <v>377</v>
      </c>
      <c r="D231" s="1273">
        <v>15.04</v>
      </c>
      <c r="E231" s="1274">
        <v>10.97</v>
      </c>
      <c r="F231" s="1259" t="s">
        <v>436</v>
      </c>
      <c r="G231" s="1259" t="s">
        <v>436</v>
      </c>
      <c r="H231" s="1200" t="s">
        <v>436</v>
      </c>
      <c r="I231" s="1266"/>
      <c r="J231" s="1266"/>
      <c r="K231" s="1266"/>
      <c r="L231" s="1266"/>
      <c r="M231" s="1201" t="s">
        <v>436</v>
      </c>
    </row>
    <row r="232" spans="2:13">
      <c r="B232" s="944"/>
      <c r="C232" s="1034" t="s">
        <v>378</v>
      </c>
      <c r="D232" s="1273">
        <v>12.75</v>
      </c>
      <c r="E232" s="1274">
        <v>11.95</v>
      </c>
      <c r="F232" s="1259" t="s">
        <v>436</v>
      </c>
      <c r="G232" s="1259" t="s">
        <v>436</v>
      </c>
      <c r="H232" s="1200" t="s">
        <v>436</v>
      </c>
      <c r="I232" s="1200" t="s">
        <v>436</v>
      </c>
      <c r="J232" s="1200" t="s">
        <v>436</v>
      </c>
      <c r="K232" s="1200" t="s">
        <v>436</v>
      </c>
      <c r="L232" s="1200" t="s">
        <v>436</v>
      </c>
      <c r="M232" s="1201" t="s">
        <v>436</v>
      </c>
    </row>
    <row r="233" spans="2:13">
      <c r="B233" s="944"/>
      <c r="C233" s="1034" t="s">
        <v>440</v>
      </c>
      <c r="D233" s="1273">
        <v>11.29</v>
      </c>
      <c r="E233" s="1274">
        <v>11.32</v>
      </c>
      <c r="F233" s="1259" t="s">
        <v>436</v>
      </c>
      <c r="G233" s="1259" t="s">
        <v>436</v>
      </c>
      <c r="H233" s="1200" t="s">
        <v>436</v>
      </c>
      <c r="I233" s="1200"/>
      <c r="J233" s="1200"/>
      <c r="K233" s="1200"/>
      <c r="L233" s="1200"/>
      <c r="M233" s="1201"/>
    </row>
    <row r="234" spans="2:13">
      <c r="B234" s="944"/>
      <c r="C234" s="1038" t="s">
        <v>441</v>
      </c>
      <c r="D234" s="1264">
        <v>16.850000000000001</v>
      </c>
      <c r="E234" s="1265">
        <v>12.69</v>
      </c>
      <c r="F234" s="1259" t="s">
        <v>436</v>
      </c>
      <c r="G234" s="1259" t="s">
        <v>436</v>
      </c>
      <c r="H234" s="1200" t="s">
        <v>436</v>
      </c>
      <c r="I234" s="1200" t="s">
        <v>436</v>
      </c>
      <c r="J234" s="1200" t="s">
        <v>436</v>
      </c>
      <c r="K234" s="1200" t="s">
        <v>436</v>
      </c>
      <c r="L234" s="1200" t="s">
        <v>436</v>
      </c>
      <c r="M234" s="1201" t="s">
        <v>436</v>
      </c>
    </row>
    <row r="235" spans="2:13">
      <c r="B235" s="944"/>
      <c r="C235" s="1223" t="s">
        <v>377</v>
      </c>
      <c r="D235" s="1267">
        <v>17.329999999999998</v>
      </c>
      <c r="E235" s="1268">
        <v>13.87</v>
      </c>
      <c r="F235" s="1259" t="s">
        <v>436</v>
      </c>
      <c r="G235" s="1259" t="s">
        <v>436</v>
      </c>
      <c r="H235" s="1200" t="s">
        <v>436</v>
      </c>
      <c r="I235" s="1266"/>
      <c r="J235" s="1266"/>
      <c r="K235" s="1266"/>
      <c r="L235" s="1266"/>
      <c r="M235" s="1201"/>
    </row>
    <row r="236" spans="2:13">
      <c r="B236" s="944"/>
      <c r="C236" s="1223" t="s">
        <v>378</v>
      </c>
      <c r="D236" s="1267">
        <v>15.75</v>
      </c>
      <c r="E236" s="1268">
        <v>10.47</v>
      </c>
      <c r="F236" s="1259" t="s">
        <v>436</v>
      </c>
      <c r="G236" s="1259" t="s">
        <v>436</v>
      </c>
      <c r="H236" s="1200" t="s">
        <v>436</v>
      </c>
      <c r="I236" s="1266"/>
      <c r="J236" s="1266"/>
      <c r="K236" s="1266"/>
      <c r="L236" s="1266"/>
      <c r="M236" s="1201"/>
    </row>
    <row r="237" spans="2:13">
      <c r="B237" s="944"/>
      <c r="C237" s="1223" t="s">
        <v>440</v>
      </c>
      <c r="D237" s="1267">
        <v>28.49</v>
      </c>
      <c r="E237" s="1268">
        <v>10.97</v>
      </c>
      <c r="F237" s="1259" t="s">
        <v>436</v>
      </c>
      <c r="G237" s="1259" t="s">
        <v>436</v>
      </c>
      <c r="H237" s="1200" t="s">
        <v>436</v>
      </c>
      <c r="I237" s="1266"/>
      <c r="J237" s="1266"/>
      <c r="K237" s="1266"/>
      <c r="L237" s="1266"/>
      <c r="M237" s="1201"/>
    </row>
    <row r="238" spans="2:13" ht="15" customHeight="1">
      <c r="B238" s="944"/>
      <c r="C238" s="1275" t="s">
        <v>442</v>
      </c>
      <c r="D238" s="1276">
        <v>15.77</v>
      </c>
      <c r="E238" s="1272">
        <v>11.96</v>
      </c>
      <c r="F238" s="1259" t="s">
        <v>436</v>
      </c>
      <c r="G238" s="1259" t="s">
        <v>436</v>
      </c>
      <c r="H238" s="1200" t="s">
        <v>436</v>
      </c>
      <c r="I238" s="988"/>
      <c r="J238" s="988"/>
      <c r="K238" s="988"/>
      <c r="L238" s="988"/>
      <c r="M238" s="1201" t="s">
        <v>436</v>
      </c>
    </row>
    <row r="239" spans="2:13" ht="15" customHeight="1">
      <c r="B239" s="944"/>
      <c r="C239" s="1275"/>
      <c r="D239" s="1277"/>
      <c r="E239" s="1277"/>
      <c r="F239" s="1259"/>
      <c r="G239" s="1259"/>
      <c r="H239" s="1200"/>
      <c r="I239" s="988"/>
      <c r="J239" s="988"/>
      <c r="K239" s="988"/>
      <c r="L239" s="988"/>
      <c r="M239" s="1201"/>
    </row>
    <row r="240" spans="2:13" ht="15" customHeight="1">
      <c r="B240" s="944"/>
      <c r="C240" s="1065" t="s">
        <v>127</v>
      </c>
      <c r="D240" s="1278" t="s">
        <v>436</v>
      </c>
      <c r="E240" s="1278" t="s">
        <v>436</v>
      </c>
      <c r="F240" s="1278" t="s">
        <v>436</v>
      </c>
      <c r="G240" s="1278" t="s">
        <v>436</v>
      </c>
      <c r="H240" s="1278" t="s">
        <v>436</v>
      </c>
      <c r="I240" s="988" t="s">
        <v>436</v>
      </c>
      <c r="J240" s="988" t="s">
        <v>436</v>
      </c>
      <c r="K240" s="1278" t="s">
        <v>436</v>
      </c>
      <c r="L240" s="1278" t="s">
        <v>436</v>
      </c>
      <c r="M240" s="1201" t="s">
        <v>436</v>
      </c>
    </row>
    <row r="241" spans="1:13" ht="27" customHeight="1">
      <c r="B241" s="944"/>
      <c r="C241" s="1938" t="s">
        <v>443</v>
      </c>
      <c r="D241" s="1939"/>
      <c r="E241" s="1939"/>
      <c r="F241" s="1939"/>
      <c r="G241" s="1939"/>
      <c r="H241" s="1939"/>
      <c r="I241" s="1939"/>
      <c r="J241" s="1939"/>
      <c r="K241" s="1939"/>
      <c r="L241" s="1939"/>
      <c r="M241" s="1201" t="s">
        <v>436</v>
      </c>
    </row>
    <row r="242" spans="1:13" ht="27" customHeight="1">
      <c r="B242" s="944"/>
      <c r="C242" s="1944" t="s">
        <v>444</v>
      </c>
      <c r="D242" s="1945"/>
      <c r="E242" s="1945"/>
      <c r="F242" s="1945"/>
      <c r="G242" s="1945"/>
      <c r="H242" s="1945"/>
      <c r="I242" s="1945"/>
      <c r="J242" s="1945"/>
      <c r="K242" s="1945"/>
      <c r="L242" s="1945"/>
      <c r="M242" s="1201" t="s">
        <v>436</v>
      </c>
    </row>
    <row r="243" spans="1:13" ht="24" customHeight="1">
      <c r="B243" s="944"/>
      <c r="C243" s="1938" t="s">
        <v>445</v>
      </c>
      <c r="D243" s="1939"/>
      <c r="E243" s="1939"/>
      <c r="F243" s="1939"/>
      <c r="G243" s="1939"/>
      <c r="H243" s="1939"/>
      <c r="I243" s="1939"/>
      <c r="J243" s="1939"/>
      <c r="K243" s="1939"/>
      <c r="L243" s="1939"/>
      <c r="M243" s="1201"/>
    </row>
    <row r="244" spans="1:13">
      <c r="B244" s="944"/>
      <c r="C244" s="1942"/>
      <c r="D244" s="1943" t="s">
        <v>436</v>
      </c>
      <c r="E244" s="1943" t="s">
        <v>436</v>
      </c>
      <c r="F244" s="1943" t="s">
        <v>436</v>
      </c>
      <c r="G244" s="1943" t="s">
        <v>436</v>
      </c>
      <c r="H244" s="1943" t="s">
        <v>436</v>
      </c>
      <c r="I244" s="1943" t="s">
        <v>436</v>
      </c>
      <c r="J244" s="1943"/>
      <c r="M244" s="1201" t="s">
        <v>436</v>
      </c>
    </row>
    <row r="245" spans="1:13">
      <c r="C245" s="1084"/>
      <c r="D245" s="1028"/>
      <c r="E245" s="1028"/>
      <c r="F245" s="1028"/>
      <c r="G245" s="1028"/>
      <c r="H245" s="953"/>
      <c r="I245" s="953"/>
      <c r="J245" s="953"/>
      <c r="K245" s="953"/>
      <c r="L245" s="953"/>
      <c r="M245" s="1201" t="s">
        <v>436</v>
      </c>
    </row>
    <row r="246" spans="1:13" ht="24.9" customHeight="1">
      <c r="C246" s="946" t="s">
        <v>446</v>
      </c>
      <c r="M246" s="1201" t="s">
        <v>436</v>
      </c>
    </row>
    <row r="247" spans="1:13">
      <c r="C247" s="1072"/>
      <c r="M247" s="941"/>
    </row>
    <row r="248" spans="1:13" ht="17.399999999999999">
      <c r="C248" s="950" t="s">
        <v>310</v>
      </c>
      <c r="D248" s="1279"/>
      <c r="E248" s="1279"/>
      <c r="F248" s="1279"/>
      <c r="G248" s="1279"/>
      <c r="H248" s="1280"/>
      <c r="I248" s="1280"/>
      <c r="K248" s="947"/>
      <c r="M248" s="949" t="s">
        <v>447</v>
      </c>
    </row>
    <row r="249" spans="1:13">
      <c r="C249" s="993" t="s">
        <v>448</v>
      </c>
      <c r="D249" s="995"/>
      <c r="E249" s="995"/>
      <c r="F249" s="995"/>
      <c r="G249" s="995"/>
      <c r="H249" s="953"/>
      <c r="I249" s="953"/>
      <c r="J249" s="953"/>
      <c r="K249" s="953"/>
      <c r="L249" s="953"/>
      <c r="M249" s="941"/>
    </row>
    <row r="250" spans="1:13" ht="27" customHeight="1">
      <c r="C250" s="960"/>
      <c r="D250" s="1935" t="s">
        <v>91</v>
      </c>
      <c r="E250" s="1936"/>
      <c r="F250" s="1937" t="s">
        <v>3</v>
      </c>
      <c r="G250" s="1937"/>
      <c r="H250" s="1937" t="s">
        <v>92</v>
      </c>
      <c r="I250" s="1937"/>
      <c r="J250" s="1937" t="s">
        <v>93</v>
      </c>
      <c r="K250" s="1937"/>
      <c r="L250" s="1937" t="s">
        <v>94</v>
      </c>
      <c r="M250" s="1953"/>
    </row>
    <row r="251" spans="1:13">
      <c r="A251" s="959"/>
      <c r="B251" s="959"/>
      <c r="C251" s="960"/>
      <c r="D251" s="1281" t="s">
        <v>449</v>
      </c>
      <c r="E251" s="1281" t="s">
        <v>450</v>
      </c>
      <c r="F251" s="1282" t="s">
        <v>449</v>
      </c>
      <c r="G251" s="1282" t="s">
        <v>450</v>
      </c>
      <c r="H251" s="1282" t="s">
        <v>449</v>
      </c>
      <c r="I251" s="1282" t="s">
        <v>450</v>
      </c>
      <c r="J251" s="1282" t="s">
        <v>449</v>
      </c>
      <c r="K251" s="1282" t="s">
        <v>450</v>
      </c>
      <c r="L251" s="1282" t="s">
        <v>449</v>
      </c>
      <c r="M251" s="1283" t="s">
        <v>450</v>
      </c>
    </row>
    <row r="252" spans="1:13" ht="22.2">
      <c r="A252" s="959" t="s">
        <v>451</v>
      </c>
      <c r="B252" s="959"/>
      <c r="C252" s="1029" t="s">
        <v>452</v>
      </c>
      <c r="D252" s="1284">
        <v>4</v>
      </c>
      <c r="E252" s="1285">
        <v>0.4</v>
      </c>
      <c r="F252" s="1225">
        <v>3</v>
      </c>
      <c r="G252" s="1286">
        <v>0.3</v>
      </c>
      <c r="H252" s="1225">
        <v>2</v>
      </c>
      <c r="I252" s="1287">
        <v>0.2</v>
      </c>
      <c r="J252" s="1225">
        <v>4</v>
      </c>
      <c r="K252" s="1286">
        <v>0.33300000000000002</v>
      </c>
      <c r="L252" s="1226">
        <v>4</v>
      </c>
      <c r="M252" s="1288">
        <v>0.44400000000000001</v>
      </c>
    </row>
    <row r="253" spans="1:13" ht="22.2">
      <c r="B253" s="1289"/>
      <c r="C253" s="1290" t="s">
        <v>453</v>
      </c>
      <c r="D253" s="1291">
        <v>56</v>
      </c>
      <c r="E253" s="1292">
        <v>0.34399999999999997</v>
      </c>
      <c r="F253" s="1293">
        <v>50</v>
      </c>
      <c r="G253" s="1294">
        <v>0.30487804878048802</v>
      </c>
      <c r="H253" s="1293">
        <v>50</v>
      </c>
      <c r="I253" s="1295">
        <v>0.29599999999999999</v>
      </c>
      <c r="J253" s="1293">
        <v>64</v>
      </c>
      <c r="K253" s="1294">
        <v>0.308</v>
      </c>
      <c r="L253" s="1296">
        <v>67</v>
      </c>
      <c r="M253" s="1297">
        <v>0.27700000000000002</v>
      </c>
    </row>
    <row r="254" spans="1:13" ht="22.2">
      <c r="C254" s="1029" t="s">
        <v>454</v>
      </c>
      <c r="D254" s="1298">
        <v>2603</v>
      </c>
      <c r="E254" s="1285">
        <v>0.28699999999999998</v>
      </c>
      <c r="F254" s="1299">
        <v>2591</v>
      </c>
      <c r="G254" s="1286">
        <v>0.28215180224327602</v>
      </c>
      <c r="H254" s="1299">
        <v>2652</v>
      </c>
      <c r="I254" s="1287">
        <v>0.27900000000000003</v>
      </c>
      <c r="J254" s="1299">
        <v>3028</v>
      </c>
      <c r="K254" s="1286">
        <f>0.286309411096383</f>
        <v>0.28630941109638303</v>
      </c>
      <c r="L254" s="1226">
        <v>2921</v>
      </c>
      <c r="M254" s="1288">
        <v>0.27900000000000003</v>
      </c>
    </row>
    <row r="255" spans="1:13" ht="22.2">
      <c r="C255" s="1290" t="s">
        <v>455</v>
      </c>
      <c r="D255" s="1300">
        <v>5584</v>
      </c>
      <c r="E255" s="1292">
        <v>0.34</v>
      </c>
      <c r="F255" s="1301">
        <v>5908</v>
      </c>
      <c r="G255" s="1294">
        <v>0.34763165636951998</v>
      </c>
      <c r="H255" s="1301">
        <v>5594</v>
      </c>
      <c r="I255" s="1295">
        <v>0.32900000000000001</v>
      </c>
      <c r="J255" s="1301">
        <v>6386</v>
      </c>
      <c r="K255" s="1294">
        <v>0.32300000000000001</v>
      </c>
      <c r="L255" s="1296">
        <v>6406</v>
      </c>
      <c r="M255" s="1297">
        <v>0.314</v>
      </c>
    </row>
    <row r="256" spans="1:13">
      <c r="C256" s="1302" t="s">
        <v>456</v>
      </c>
      <c r="D256" s="1303">
        <v>8243</v>
      </c>
      <c r="E256" s="1304">
        <v>0.32100000000000001</v>
      </c>
      <c r="F256" s="1305">
        <v>8839</v>
      </c>
      <c r="G256" s="1306">
        <v>0.32311010381634703</v>
      </c>
      <c r="H256" s="1305">
        <v>8300</v>
      </c>
      <c r="I256" s="1307">
        <v>0.311</v>
      </c>
      <c r="J256" s="1305">
        <v>9488</v>
      </c>
      <c r="K256" s="1306">
        <v>0.31</v>
      </c>
      <c r="L256" s="1308">
        <v>9398</v>
      </c>
      <c r="M256" s="1309">
        <v>0.30199999999999999</v>
      </c>
    </row>
    <row r="257" spans="3:13">
      <c r="C257" s="1310" t="s">
        <v>457</v>
      </c>
      <c r="D257" s="1311">
        <v>8454</v>
      </c>
      <c r="E257" s="1312">
        <v>0.32100000000000001</v>
      </c>
      <c r="F257" s="1313">
        <v>9083</v>
      </c>
      <c r="G257" s="1314">
        <v>0.32288222956880303</v>
      </c>
      <c r="H257" s="1313">
        <v>8972</v>
      </c>
      <c r="I257" s="1315">
        <v>0.31</v>
      </c>
      <c r="J257" s="1313">
        <v>10026</v>
      </c>
      <c r="K257" s="1314">
        <v>0.29799999999999999</v>
      </c>
      <c r="L257" s="1316">
        <v>10021</v>
      </c>
      <c r="M257" s="1317">
        <v>0.29699999999999999</v>
      </c>
    </row>
    <row r="258" spans="3:13">
      <c r="C258" s="1227"/>
      <c r="D258" s="1215"/>
      <c r="E258" s="1215"/>
      <c r="F258" s="1215"/>
      <c r="G258" s="1215"/>
      <c r="H258" s="1215"/>
      <c r="I258" s="1215"/>
      <c r="J258" s="1215"/>
      <c r="K258" s="1215"/>
      <c r="L258" s="1215"/>
      <c r="M258" s="941"/>
    </row>
    <row r="259" spans="3:13">
      <c r="C259" s="1045" t="s">
        <v>127</v>
      </c>
      <c r="D259" s="936"/>
      <c r="E259" s="936"/>
      <c r="F259" s="936"/>
      <c r="G259" s="936"/>
      <c r="H259" s="936"/>
      <c r="I259" s="936"/>
      <c r="J259" s="936"/>
      <c r="M259" s="941"/>
    </row>
    <row r="260" spans="3:13" ht="15" customHeight="1">
      <c r="C260" s="1021" t="s">
        <v>458</v>
      </c>
      <c r="D260" s="1318"/>
      <c r="E260" s="1318"/>
      <c r="F260" s="1318"/>
      <c r="G260" s="1318"/>
      <c r="H260" s="1318"/>
      <c r="I260" s="1318"/>
      <c r="J260" s="1318"/>
      <c r="K260" s="1318"/>
      <c r="L260" s="1318"/>
      <c r="M260" s="1319"/>
    </row>
    <row r="261" spans="3:13" ht="15" customHeight="1">
      <c r="C261" s="1021" t="s">
        <v>459</v>
      </c>
      <c r="D261" s="1318"/>
      <c r="E261" s="1318"/>
      <c r="F261" s="1318"/>
      <c r="G261" s="1318"/>
      <c r="H261" s="1318"/>
      <c r="I261" s="1318"/>
      <c r="J261" s="1318"/>
      <c r="K261" s="1318"/>
      <c r="L261" s="1318"/>
      <c r="M261" s="1319"/>
    </row>
    <row r="262" spans="3:13" ht="15" customHeight="1">
      <c r="C262" s="1320" t="s">
        <v>460</v>
      </c>
      <c r="D262" s="1321"/>
      <c r="E262" s="1321"/>
      <c r="F262" s="1321"/>
      <c r="G262" s="1321"/>
      <c r="H262" s="1321"/>
      <c r="I262" s="1321"/>
      <c r="J262" s="1321"/>
      <c r="K262" s="1321"/>
      <c r="L262" s="1321"/>
      <c r="M262" s="1322"/>
    </row>
    <row r="263" spans="3:13">
      <c r="C263" s="1021" t="s">
        <v>461</v>
      </c>
      <c r="D263" s="1323"/>
      <c r="E263" s="1323"/>
      <c r="F263" s="1323"/>
      <c r="G263" s="1323"/>
      <c r="H263" s="1323"/>
      <c r="I263" s="1323"/>
      <c r="J263" s="1323"/>
      <c r="K263" s="1323"/>
      <c r="L263" s="1323"/>
      <c r="M263" s="1324"/>
    </row>
    <row r="264" spans="3:13" ht="15" customHeight="1">
      <c r="C264" s="1021" t="s">
        <v>462</v>
      </c>
      <c r="D264" s="1323"/>
      <c r="E264" s="1323"/>
      <c r="F264" s="1323"/>
      <c r="G264" s="1323"/>
      <c r="H264" s="1323"/>
      <c r="I264" s="1323"/>
      <c r="J264" s="1323"/>
      <c r="K264" s="1323"/>
      <c r="L264" s="1323"/>
      <c r="M264" s="1324"/>
    </row>
    <row r="265" spans="3:13" ht="15" customHeight="1">
      <c r="C265" s="1021" t="s">
        <v>463</v>
      </c>
      <c r="D265" s="1323"/>
      <c r="E265" s="1323"/>
      <c r="F265" s="1323"/>
      <c r="G265" s="1323"/>
      <c r="H265" s="1323"/>
      <c r="I265" s="1323"/>
      <c r="J265" s="1323"/>
      <c r="K265" s="1323"/>
      <c r="L265" s="1323"/>
      <c r="M265" s="1324"/>
    </row>
    <row r="266" spans="3:13" ht="15" customHeight="1">
      <c r="C266" s="1021" t="s">
        <v>464</v>
      </c>
      <c r="D266" s="1323"/>
      <c r="E266" s="1323"/>
      <c r="F266" s="1323"/>
      <c r="G266" s="1323"/>
      <c r="H266" s="1323"/>
      <c r="I266" s="1323"/>
      <c r="J266" s="1323"/>
      <c r="K266" s="1323"/>
      <c r="L266" s="1323"/>
      <c r="M266" s="1324"/>
    </row>
    <row r="267" spans="3:13">
      <c r="C267" s="1325"/>
      <c r="D267" s="1326"/>
      <c r="E267" s="1326"/>
      <c r="F267" s="1326"/>
      <c r="G267" s="1326"/>
      <c r="H267" s="1326"/>
      <c r="I267" s="1326"/>
      <c r="J267" s="1326"/>
      <c r="K267" s="1326"/>
      <c r="L267" s="1326"/>
      <c r="M267" s="941"/>
    </row>
    <row r="268" spans="3:13" ht="17.399999999999999">
      <c r="C268" s="1060" t="s">
        <v>465</v>
      </c>
      <c r="D268" s="1327"/>
      <c r="E268" s="1328"/>
      <c r="F268" s="1328"/>
      <c r="G268" s="1328"/>
      <c r="H268" s="1328"/>
      <c r="I268" s="1328"/>
      <c r="J268" s="1328"/>
      <c r="K268" s="1328"/>
      <c r="L268" s="1329"/>
      <c r="M268" s="941"/>
    </row>
    <row r="269" spans="3:13">
      <c r="C269" s="993" t="s">
        <v>448</v>
      </c>
      <c r="D269" s="995"/>
      <c r="E269" s="1329"/>
      <c r="F269" s="1329"/>
      <c r="G269" s="1329"/>
      <c r="H269" s="1329"/>
      <c r="I269" s="1329"/>
      <c r="J269" s="1329"/>
      <c r="K269" s="1329"/>
      <c r="L269" s="1329"/>
      <c r="M269" s="941"/>
    </row>
    <row r="270" spans="3:13">
      <c r="C270" s="1330"/>
      <c r="D270" s="995"/>
      <c r="E270" s="1329"/>
      <c r="F270" s="1329"/>
      <c r="G270" s="1329"/>
      <c r="H270" s="1329"/>
      <c r="I270" s="1329"/>
      <c r="J270" s="1329"/>
      <c r="K270" s="1329"/>
      <c r="L270" s="1329"/>
      <c r="M270" s="941"/>
    </row>
    <row r="271" spans="3:13">
      <c r="C271" s="1331"/>
      <c r="D271" s="1935" t="s">
        <v>466</v>
      </c>
      <c r="E271" s="1936"/>
      <c r="F271" s="1937" t="s">
        <v>3</v>
      </c>
      <c r="G271" s="1937"/>
      <c r="H271" s="1937" t="s">
        <v>92</v>
      </c>
      <c r="I271" s="1937"/>
      <c r="J271" s="1937" t="s">
        <v>93</v>
      </c>
      <c r="K271" s="1937"/>
      <c r="L271" s="1329"/>
      <c r="M271" s="941"/>
    </row>
    <row r="272" spans="3:13">
      <c r="C272" s="1331"/>
      <c r="D272" s="1281" t="s">
        <v>449</v>
      </c>
      <c r="E272" s="1281" t="s">
        <v>450</v>
      </c>
      <c r="F272" s="1282" t="s">
        <v>449</v>
      </c>
      <c r="G272" s="1282" t="s">
        <v>450</v>
      </c>
      <c r="H272" s="1282" t="s">
        <v>449</v>
      </c>
      <c r="I272" s="1282" t="s">
        <v>450</v>
      </c>
      <c r="J272" s="1282" t="s">
        <v>449</v>
      </c>
      <c r="K272" s="1282" t="s">
        <v>450</v>
      </c>
      <c r="L272" s="1329"/>
      <c r="M272" s="941"/>
    </row>
    <row r="273" spans="1:13">
      <c r="A273" s="1135"/>
      <c r="B273" s="1135"/>
      <c r="C273" s="1332" t="s">
        <v>467</v>
      </c>
      <c r="D273" s="1333"/>
      <c r="E273" s="1334"/>
      <c r="F273" s="1335"/>
      <c r="G273" s="1335"/>
      <c r="H273" s="1335"/>
      <c r="I273" s="1335"/>
      <c r="J273" s="1335"/>
      <c r="K273" s="1335"/>
      <c r="L273" s="1329"/>
      <c r="M273" s="1216"/>
    </row>
    <row r="274" spans="1:13">
      <c r="A274" s="1135"/>
      <c r="B274" s="1135"/>
      <c r="C274" s="1336" t="s">
        <v>468</v>
      </c>
      <c r="D274" s="1337">
        <v>4</v>
      </c>
      <c r="E274" s="1338">
        <v>0.4</v>
      </c>
      <c r="F274" s="1339">
        <v>3</v>
      </c>
      <c r="G274" s="1340">
        <v>0.3</v>
      </c>
      <c r="H274" s="1339">
        <v>2</v>
      </c>
      <c r="I274" s="1340">
        <v>0.2</v>
      </c>
      <c r="J274" s="1339">
        <v>4</v>
      </c>
      <c r="K274" s="1340">
        <v>0.33300000000000002</v>
      </c>
      <c r="L274" s="1329"/>
      <c r="M274" s="1341"/>
    </row>
    <row r="275" spans="1:13">
      <c r="C275" s="1336" t="s">
        <v>469</v>
      </c>
      <c r="D275" s="1337">
        <v>56</v>
      </c>
      <c r="E275" s="1338">
        <v>0.34399999999999997</v>
      </c>
      <c r="F275" s="1339">
        <v>50</v>
      </c>
      <c r="G275" s="1340">
        <v>0.30499999999999999</v>
      </c>
      <c r="H275" s="1339">
        <v>50</v>
      </c>
      <c r="I275" s="1340">
        <v>0.29599999999999999</v>
      </c>
      <c r="J275" s="1339">
        <v>97</v>
      </c>
      <c r="K275" s="1340">
        <v>0.307</v>
      </c>
      <c r="L275" s="1329"/>
      <c r="M275" s="1341"/>
    </row>
    <row r="276" spans="1:13">
      <c r="C276" s="1336" t="s">
        <v>470</v>
      </c>
      <c r="D276" s="1337">
        <v>0</v>
      </c>
      <c r="E276" s="1338"/>
      <c r="F276" s="1339">
        <v>0</v>
      </c>
      <c r="G276" s="1340"/>
      <c r="H276" s="1339">
        <v>0</v>
      </c>
      <c r="I276" s="1340"/>
      <c r="J276" s="1339">
        <v>0</v>
      </c>
      <c r="K276" s="1340"/>
      <c r="L276" s="1329"/>
      <c r="M276" s="1341"/>
    </row>
    <row r="277" spans="1:13">
      <c r="C277" s="1336" t="s">
        <v>471</v>
      </c>
      <c r="D277" s="1337">
        <v>3</v>
      </c>
      <c r="E277" s="1338">
        <v>0.33300000000000002</v>
      </c>
      <c r="F277" s="1339">
        <v>3</v>
      </c>
      <c r="G277" s="1340">
        <v>0.3</v>
      </c>
      <c r="H277" s="1339">
        <v>4</v>
      </c>
      <c r="I277" s="1340">
        <v>0.36399999999999999</v>
      </c>
      <c r="J277" s="1339">
        <v>5</v>
      </c>
      <c r="K277" s="1340">
        <v>0.5</v>
      </c>
      <c r="L277" s="1329"/>
      <c r="M277" s="1341"/>
    </row>
    <row r="278" spans="1:13">
      <c r="C278" s="1336" t="s">
        <v>472</v>
      </c>
      <c r="D278" s="1337">
        <v>18</v>
      </c>
      <c r="E278" s="1338">
        <v>0.36</v>
      </c>
      <c r="F278" s="1339">
        <v>18</v>
      </c>
      <c r="G278" s="1340">
        <v>0.34599999999999997</v>
      </c>
      <c r="H278" s="1339">
        <v>16</v>
      </c>
      <c r="I278" s="1340">
        <v>0.32</v>
      </c>
      <c r="J278" s="1339">
        <v>13</v>
      </c>
      <c r="K278" s="1340">
        <v>0.25</v>
      </c>
      <c r="L278" s="1329"/>
      <c r="M278" s="1341"/>
    </row>
    <row r="279" spans="1:13">
      <c r="C279" s="1336" t="s">
        <v>473</v>
      </c>
      <c r="D279" s="1337">
        <v>35</v>
      </c>
      <c r="E279" s="1338">
        <v>0.33700000000000002</v>
      </c>
      <c r="F279" s="1339">
        <v>29</v>
      </c>
      <c r="G279" s="1340">
        <v>0.28399999999999997</v>
      </c>
      <c r="H279" s="1339">
        <v>30</v>
      </c>
      <c r="I279" s="1340">
        <v>0.27800000000000002</v>
      </c>
      <c r="J279" s="1339">
        <v>44</v>
      </c>
      <c r="K279" s="1340">
        <v>0.317</v>
      </c>
      <c r="L279" s="1329"/>
      <c r="M279" s="1341"/>
    </row>
    <row r="280" spans="1:13">
      <c r="C280" s="1336" t="s">
        <v>474</v>
      </c>
      <c r="D280" s="1342">
        <v>2603</v>
      </c>
      <c r="E280" s="1338">
        <v>0.28699999999999998</v>
      </c>
      <c r="F280" s="1343">
        <v>2591</v>
      </c>
      <c r="G280" s="1340">
        <v>0.28199999999999997</v>
      </c>
      <c r="H280" s="1343">
        <v>2652</v>
      </c>
      <c r="I280" s="1340">
        <v>0.27900000000000003</v>
      </c>
      <c r="J280" s="1343">
        <v>2993</v>
      </c>
      <c r="K280" s="1340">
        <v>0.28599999999999998</v>
      </c>
      <c r="L280" s="1329"/>
      <c r="M280" s="1341"/>
    </row>
    <row r="281" spans="1:13">
      <c r="C281" s="1344" t="s">
        <v>475</v>
      </c>
      <c r="D281" s="1342">
        <v>5525</v>
      </c>
      <c r="E281" s="1338">
        <v>0.34</v>
      </c>
      <c r="F281" s="1343">
        <v>6152</v>
      </c>
      <c r="G281" s="1340">
        <v>0.34599999999999997</v>
      </c>
      <c r="H281" s="1343">
        <v>5594</v>
      </c>
      <c r="I281" s="1340">
        <v>0.32900000000000001</v>
      </c>
      <c r="J281" s="1343">
        <v>6386</v>
      </c>
      <c r="K281" s="1340">
        <v>0.32300000000000001</v>
      </c>
      <c r="L281" s="1329"/>
      <c r="M281" s="1341"/>
    </row>
    <row r="282" spans="1:13">
      <c r="C282" s="1345" t="s">
        <v>476</v>
      </c>
      <c r="D282" s="1346">
        <v>8243</v>
      </c>
      <c r="E282" s="1347">
        <v>0.32100000000000001</v>
      </c>
      <c r="F282" s="1348">
        <v>9083</v>
      </c>
      <c r="G282" s="1349">
        <v>0.32300000000000001</v>
      </c>
      <c r="H282" s="1348">
        <v>8300</v>
      </c>
      <c r="I282" s="1349">
        <v>0.311</v>
      </c>
      <c r="J282" s="1348">
        <v>9488</v>
      </c>
      <c r="K282" s="1349">
        <v>0.31</v>
      </c>
      <c r="L282" s="969"/>
      <c r="M282" s="1341"/>
    </row>
    <row r="283" spans="1:13">
      <c r="C283" s="1331"/>
      <c r="D283" s="1329"/>
      <c r="E283" s="1329"/>
      <c r="F283" s="1329"/>
      <c r="G283" s="1329"/>
      <c r="H283" s="1329"/>
      <c r="I283" s="1329"/>
      <c r="J283" s="1329"/>
      <c r="K283" s="1329"/>
      <c r="L283" s="1329"/>
      <c r="M283" s="941"/>
    </row>
    <row r="284" spans="1:13" ht="15" customHeight="1">
      <c r="C284" s="1045" t="s">
        <v>127</v>
      </c>
      <c r="D284" s="1329"/>
      <c r="E284" s="1329"/>
      <c r="F284" s="1329"/>
      <c r="G284" s="1329"/>
      <c r="H284" s="1329"/>
      <c r="I284" s="1329"/>
      <c r="J284" s="1329"/>
      <c r="K284" s="1329"/>
      <c r="L284" s="1329"/>
      <c r="M284" s="941"/>
    </row>
    <row r="285" spans="1:13" ht="15" customHeight="1">
      <c r="C285" s="1021" t="s">
        <v>458</v>
      </c>
      <c r="D285" s="1318"/>
      <c r="E285" s="1318"/>
      <c r="F285" s="1318"/>
      <c r="G285" s="1318"/>
      <c r="H285" s="1318"/>
      <c r="I285" s="1318"/>
      <c r="J285" s="1318"/>
      <c r="K285" s="1318"/>
      <c r="L285" s="1318"/>
      <c r="M285" s="1319"/>
    </row>
    <row r="286" spans="1:13" ht="15" customHeight="1">
      <c r="C286" s="1021" t="s">
        <v>461</v>
      </c>
      <c r="D286" s="1318"/>
      <c r="E286" s="1318"/>
      <c r="F286" s="1318"/>
      <c r="G286" s="1318"/>
      <c r="H286" s="1318"/>
      <c r="I286" s="1318"/>
      <c r="J286" s="1318"/>
      <c r="K286" s="1318"/>
      <c r="L286" s="1318"/>
      <c r="M286" s="1319"/>
    </row>
    <row r="287" spans="1:13" ht="15" customHeight="1">
      <c r="C287" s="1021" t="s">
        <v>462</v>
      </c>
      <c r="D287" s="1318"/>
      <c r="E287" s="1318"/>
      <c r="F287" s="1318"/>
      <c r="G287" s="1318"/>
      <c r="H287" s="1318"/>
      <c r="I287" s="1318"/>
      <c r="J287" s="1318"/>
      <c r="K287" s="1318"/>
      <c r="L287" s="1318"/>
      <c r="M287" s="1319"/>
    </row>
    <row r="288" spans="1:13" ht="15" customHeight="1">
      <c r="C288" s="1021" t="s">
        <v>463</v>
      </c>
      <c r="D288" s="1318"/>
      <c r="E288" s="1318"/>
      <c r="F288" s="1318"/>
      <c r="G288" s="1318"/>
      <c r="H288" s="1318"/>
      <c r="I288" s="1318"/>
      <c r="J288" s="1318"/>
      <c r="K288" s="1318"/>
      <c r="L288" s="1318"/>
      <c r="M288" s="1319"/>
    </row>
    <row r="289" spans="3:13" ht="15" customHeight="1">
      <c r="C289" s="1021" t="s">
        <v>464</v>
      </c>
      <c r="D289" s="1318"/>
      <c r="E289" s="1318"/>
      <c r="F289" s="1318"/>
      <c r="G289" s="1318"/>
      <c r="H289" s="1318"/>
      <c r="I289" s="1318"/>
      <c r="J289" s="1318"/>
      <c r="K289" s="1318"/>
      <c r="L289" s="1318"/>
      <c r="M289" s="1319"/>
    </row>
    <row r="290" spans="3:13" ht="18" customHeight="1">
      <c r="C290" s="1331"/>
      <c r="D290" s="1329"/>
      <c r="E290" s="1329"/>
      <c r="F290" s="1329"/>
      <c r="G290" s="1329"/>
      <c r="H290" s="1329"/>
      <c r="I290" s="1329"/>
      <c r="J290" s="1329"/>
      <c r="K290" s="1329"/>
      <c r="M290" s="941"/>
    </row>
    <row r="291" spans="3:13" ht="18" customHeight="1">
      <c r="C291" s="950" t="s">
        <v>477</v>
      </c>
      <c r="D291" s="952"/>
      <c r="E291" s="952"/>
      <c r="F291" s="952"/>
      <c r="G291" s="952"/>
      <c r="H291" s="953"/>
      <c r="I291" s="953"/>
      <c r="M291" s="941"/>
    </row>
    <row r="292" spans="3:13">
      <c r="C292" s="993" t="s">
        <v>478</v>
      </c>
      <c r="D292" s="995"/>
      <c r="E292" s="995"/>
      <c r="F292" s="995"/>
      <c r="G292" s="995"/>
      <c r="H292" s="953"/>
      <c r="I292" s="1350"/>
      <c r="J292" s="1350"/>
      <c r="K292" s="1350"/>
      <c r="L292" s="1350"/>
      <c r="M292" s="945"/>
    </row>
    <row r="293" spans="3:13" ht="27" customHeight="1">
      <c r="C293" s="960"/>
      <c r="D293" s="961" t="s">
        <v>91</v>
      </c>
      <c r="E293" s="997" t="s">
        <v>3</v>
      </c>
      <c r="F293" s="997" t="s">
        <v>92</v>
      </c>
      <c r="G293" s="997" t="s">
        <v>93</v>
      </c>
      <c r="H293" s="997" t="s">
        <v>94</v>
      </c>
      <c r="I293" s="997" t="s">
        <v>95</v>
      </c>
      <c r="J293" s="1351"/>
      <c r="K293" s="1351"/>
      <c r="L293" s="1351"/>
      <c r="M293" s="941"/>
    </row>
    <row r="294" spans="3:13">
      <c r="C294" s="1038" t="s">
        <v>479</v>
      </c>
      <c r="D294" s="1352"/>
      <c r="E294" s="1353"/>
      <c r="F294" s="1353"/>
      <c r="G294" s="1353"/>
      <c r="H294" s="1354"/>
      <c r="I294" s="1032"/>
      <c r="J294" s="1355"/>
      <c r="K294" s="1355"/>
      <c r="L294" s="1355"/>
      <c r="M294" s="941"/>
    </row>
    <row r="295" spans="3:13">
      <c r="C295" s="1223" t="s">
        <v>377</v>
      </c>
      <c r="D295" s="1356">
        <v>1.01</v>
      </c>
      <c r="E295" s="1357">
        <v>0.98</v>
      </c>
      <c r="F295" s="1357">
        <v>1.01</v>
      </c>
      <c r="G295" s="1357">
        <v>1.01</v>
      </c>
      <c r="H295" s="1357">
        <v>1.01</v>
      </c>
      <c r="I295" s="1032">
        <v>1.04</v>
      </c>
      <c r="J295" s="1355"/>
      <c r="K295" s="1355"/>
      <c r="L295" s="1355"/>
      <c r="M295" s="941"/>
    </row>
    <row r="296" spans="3:13">
      <c r="C296" s="1223" t="s">
        <v>378</v>
      </c>
      <c r="D296" s="1356">
        <v>0.97</v>
      </c>
      <c r="E296" s="1357">
        <v>0.95</v>
      </c>
      <c r="F296" s="1357">
        <v>0.97</v>
      </c>
      <c r="G296" s="1357">
        <v>0.98</v>
      </c>
      <c r="H296" s="1357">
        <v>0.99</v>
      </c>
      <c r="I296" s="1033">
        <v>1</v>
      </c>
      <c r="J296" s="1355"/>
      <c r="K296" s="1355"/>
      <c r="L296" s="1355"/>
      <c r="M296" s="941"/>
    </row>
    <row r="297" spans="3:13">
      <c r="C297" s="1223" t="s">
        <v>480</v>
      </c>
      <c r="D297" s="1356" t="s">
        <v>481</v>
      </c>
      <c r="E297" s="1358">
        <v>3.5000000000000003E-2</v>
      </c>
      <c r="F297" s="1358">
        <v>3.4000000000000002E-2</v>
      </c>
      <c r="G297" s="1358">
        <v>2.3E-2</v>
      </c>
      <c r="H297" s="1358">
        <v>2.4E-2</v>
      </c>
      <c r="I297" s="1032">
        <v>3.5000000000000003E-2</v>
      </c>
      <c r="J297" s="1355"/>
      <c r="K297" s="1355"/>
      <c r="L297" s="1355"/>
      <c r="M297" s="941"/>
    </row>
    <row r="298" spans="3:13">
      <c r="C298" s="1247" t="s">
        <v>482</v>
      </c>
      <c r="D298" s="1359"/>
      <c r="E298" s="1360"/>
      <c r="F298" s="1360"/>
      <c r="G298" s="1360"/>
      <c r="H298" s="1360"/>
      <c r="I298" s="1361"/>
      <c r="J298" s="1355"/>
      <c r="K298" s="1355"/>
      <c r="L298" s="1355"/>
      <c r="M298" s="941"/>
    </row>
    <row r="299" spans="3:13">
      <c r="C299" s="1247" t="s">
        <v>377</v>
      </c>
      <c r="D299" s="1359">
        <v>0.98</v>
      </c>
      <c r="E299" s="1360">
        <v>0.93</v>
      </c>
      <c r="F299" s="1360">
        <v>0.96</v>
      </c>
      <c r="G299" s="1360">
        <v>0.97</v>
      </c>
      <c r="H299" s="1360">
        <v>0.98</v>
      </c>
      <c r="I299" s="1361">
        <v>0.99</v>
      </c>
      <c r="J299" s="1355"/>
      <c r="K299" s="1355"/>
      <c r="L299" s="1355"/>
      <c r="M299" s="941"/>
    </row>
    <row r="300" spans="3:13">
      <c r="C300" s="1247" t="s">
        <v>378</v>
      </c>
      <c r="D300" s="1359">
        <v>0.96</v>
      </c>
      <c r="E300" s="1360">
        <v>0.94</v>
      </c>
      <c r="F300" s="1360">
        <v>0.95</v>
      </c>
      <c r="G300" s="1360">
        <v>0.97</v>
      </c>
      <c r="H300" s="1360">
        <v>0.97</v>
      </c>
      <c r="I300" s="1361">
        <v>0.98</v>
      </c>
      <c r="J300" s="1355"/>
      <c r="K300" s="1355"/>
      <c r="L300" s="1355"/>
      <c r="M300" s="941"/>
    </row>
    <row r="301" spans="3:13">
      <c r="C301" s="1247" t="s">
        <v>480</v>
      </c>
      <c r="D301" s="1362">
        <v>2.5999999999999999E-2</v>
      </c>
      <c r="E301" s="1363">
        <v>1.4999999999999999E-2</v>
      </c>
      <c r="F301" s="1363">
        <v>1.0999999999999999E-2</v>
      </c>
      <c r="G301" s="1363">
        <v>0</v>
      </c>
      <c r="H301" s="1363">
        <v>6.0000000000000001E-3</v>
      </c>
      <c r="I301" s="1364">
        <v>1.0999999999999999E-2</v>
      </c>
      <c r="J301" s="1355"/>
      <c r="K301" s="1355"/>
      <c r="L301" s="1355"/>
      <c r="M301" s="941"/>
    </row>
    <row r="302" spans="3:13">
      <c r="C302" s="1009"/>
      <c r="D302" s="1013"/>
      <c r="E302" s="1013"/>
      <c r="F302" s="1013"/>
      <c r="G302" s="1013"/>
      <c r="H302" s="1013"/>
      <c r="I302" s="1365"/>
      <c r="J302" s="1015"/>
      <c r="K302" s="1015"/>
      <c r="L302" s="953"/>
      <c r="M302" s="941"/>
    </row>
    <row r="303" spans="3:13">
      <c r="C303" s="983" t="s">
        <v>127</v>
      </c>
      <c r="D303" s="1017"/>
      <c r="E303" s="1017"/>
      <c r="F303" s="1017"/>
      <c r="G303" s="1017"/>
      <c r="H303" s="1019"/>
      <c r="I303" s="1019"/>
      <c r="J303" s="1019"/>
      <c r="K303" s="1019"/>
      <c r="L303" s="1017"/>
      <c r="M303" s="1366"/>
    </row>
    <row r="304" spans="3:13" ht="27" customHeight="1">
      <c r="C304" s="1946" t="s">
        <v>483</v>
      </c>
      <c r="D304" s="1947"/>
      <c r="E304" s="1947"/>
      <c r="F304" s="1947"/>
      <c r="G304" s="1947"/>
      <c r="H304" s="1947"/>
      <c r="I304" s="1947"/>
      <c r="J304" s="1947"/>
      <c r="K304" s="1947"/>
      <c r="L304" s="1947"/>
      <c r="M304" s="1367"/>
    </row>
    <row r="305" spans="3:13">
      <c r="C305" s="1045" t="s">
        <v>484</v>
      </c>
      <c r="D305" s="1368"/>
      <c r="E305" s="1368"/>
      <c r="F305" s="1368"/>
      <c r="G305" s="1368"/>
      <c r="H305" s="1368"/>
      <c r="I305" s="1368"/>
      <c r="J305" s="1368"/>
      <c r="K305" s="1368"/>
      <c r="L305" s="1368"/>
      <c r="M305" s="1366"/>
    </row>
    <row r="306" spans="3:13">
      <c r="C306" s="1369"/>
      <c r="D306" s="1326"/>
      <c r="E306" s="1326"/>
      <c r="F306" s="1326"/>
      <c r="G306" s="1326"/>
      <c r="H306" s="1326"/>
      <c r="I306" s="1326"/>
      <c r="J306" s="1326"/>
      <c r="K306" s="1326"/>
      <c r="L306" s="1326"/>
      <c r="M306" s="941"/>
    </row>
    <row r="307" spans="3:13" ht="18" customHeight="1">
      <c r="C307" s="950" t="s">
        <v>485</v>
      </c>
      <c r="D307" s="952"/>
      <c r="E307" s="952"/>
      <c r="F307" s="952"/>
      <c r="G307" s="952"/>
      <c r="H307" s="953"/>
      <c r="I307" s="1326"/>
      <c r="K307" s="947"/>
      <c r="M307" s="949" t="s">
        <v>447</v>
      </c>
    </row>
    <row r="308" spans="3:13">
      <c r="C308" s="993" t="s">
        <v>370</v>
      </c>
      <c r="D308" s="995"/>
      <c r="E308" s="995"/>
      <c r="F308" s="995"/>
      <c r="G308" s="995"/>
      <c r="H308" s="953"/>
      <c r="I308" s="1326"/>
      <c r="J308" s="1350"/>
      <c r="K308" s="1350"/>
      <c r="L308" s="1350"/>
      <c r="M308" s="941"/>
    </row>
    <row r="309" spans="3:13" ht="27" customHeight="1">
      <c r="C309" s="1151"/>
      <c r="D309" s="961" t="s">
        <v>91</v>
      </c>
      <c r="E309" s="997" t="s">
        <v>3</v>
      </c>
      <c r="F309" s="997" t="s">
        <v>92</v>
      </c>
      <c r="G309" s="997" t="s">
        <v>93</v>
      </c>
      <c r="H309" s="997" t="s">
        <v>94</v>
      </c>
      <c r="I309" s="1326"/>
      <c r="J309" s="998"/>
      <c r="K309" s="998"/>
      <c r="L309" s="998"/>
      <c r="M309" s="941"/>
    </row>
    <row r="310" spans="3:13">
      <c r="C310" s="1051" t="s">
        <v>398</v>
      </c>
      <c r="D310" s="1370">
        <v>6.1</v>
      </c>
      <c r="E310" s="1371">
        <v>7.8718485082021354</v>
      </c>
      <c r="F310" s="1371">
        <v>6.9</v>
      </c>
      <c r="G310" s="1371">
        <v>4.2699999999999996</v>
      </c>
      <c r="H310" s="1371">
        <v>6</v>
      </c>
      <c r="I310" s="1326"/>
      <c r="J310" s="1003"/>
      <c r="K310" s="1003"/>
      <c r="L310" s="1003"/>
      <c r="M310" s="941"/>
    </row>
    <row r="311" spans="3:13">
      <c r="C311" s="1051" t="s">
        <v>378</v>
      </c>
      <c r="D311" s="1370"/>
      <c r="E311" s="1371"/>
      <c r="F311" s="1371"/>
      <c r="G311" s="1371"/>
      <c r="H311" s="1371"/>
      <c r="I311" s="1326"/>
      <c r="J311" s="1003"/>
      <c r="K311" s="1003"/>
      <c r="L311" s="1003"/>
      <c r="M311" s="941"/>
    </row>
    <row r="312" spans="3:13">
      <c r="C312" s="1052" t="s">
        <v>399</v>
      </c>
      <c r="D312" s="1372">
        <v>29.8</v>
      </c>
      <c r="E312" s="1373">
        <v>32.324121986127928</v>
      </c>
      <c r="F312" s="1373">
        <v>32</v>
      </c>
      <c r="G312" s="1373">
        <v>29.03</v>
      </c>
      <c r="H312" s="1373">
        <v>33.5</v>
      </c>
      <c r="I312" s="1326"/>
      <c r="J312" s="1003"/>
      <c r="K312" s="1003"/>
      <c r="L312" s="1003"/>
      <c r="M312" s="941"/>
    </row>
    <row r="313" spans="3:13">
      <c r="C313" s="1052" t="s">
        <v>378</v>
      </c>
      <c r="D313" s="1372"/>
      <c r="E313" s="1373"/>
      <c r="F313" s="1373"/>
      <c r="G313" s="1373"/>
      <c r="H313" s="1373"/>
      <c r="I313" s="1326"/>
      <c r="J313" s="1003"/>
      <c r="K313" s="1003"/>
      <c r="L313" s="1003"/>
      <c r="M313" s="941"/>
    </row>
    <row r="314" spans="3:13">
      <c r="C314" s="1051" t="s">
        <v>400</v>
      </c>
      <c r="D314" s="1370">
        <v>32.6</v>
      </c>
      <c r="E314" s="1371">
        <v>31.179125839480349</v>
      </c>
      <c r="F314" s="1371">
        <v>32.9</v>
      </c>
      <c r="G314" s="1371">
        <v>34.729999999999997</v>
      </c>
      <c r="H314" s="1371">
        <v>32.799999999999997</v>
      </c>
      <c r="I314" s="1326"/>
      <c r="J314" s="1003"/>
      <c r="K314" s="1003"/>
      <c r="L314" s="1003"/>
      <c r="M314" s="941"/>
    </row>
    <row r="315" spans="3:13">
      <c r="C315" s="1051" t="s">
        <v>378</v>
      </c>
      <c r="D315" s="1370"/>
      <c r="E315" s="1371"/>
      <c r="F315" s="1371"/>
      <c r="G315" s="1371"/>
      <c r="H315" s="1371"/>
      <c r="I315" s="1326"/>
      <c r="J315" s="1003"/>
      <c r="K315" s="1003"/>
      <c r="L315" s="1003"/>
      <c r="M315" s="941"/>
    </row>
    <row r="316" spans="3:13">
      <c r="C316" s="1052" t="s">
        <v>401</v>
      </c>
      <c r="D316" s="1372">
        <v>21.6</v>
      </c>
      <c r="E316" s="1373">
        <v>19.828250578002862</v>
      </c>
      <c r="F316" s="1373">
        <v>20.9</v>
      </c>
      <c r="G316" s="1373">
        <v>22.95</v>
      </c>
      <c r="H316" s="1373">
        <v>19.899999999999999</v>
      </c>
      <c r="I316" s="1326"/>
      <c r="J316" s="1003"/>
      <c r="K316" s="1003"/>
      <c r="L316" s="1003"/>
      <c r="M316" s="941"/>
    </row>
    <row r="317" spans="3:13">
      <c r="C317" s="1052" t="s">
        <v>378</v>
      </c>
      <c r="D317" s="1372"/>
      <c r="E317" s="1373"/>
      <c r="F317" s="1373"/>
      <c r="G317" s="1373"/>
      <c r="H317" s="1373"/>
      <c r="I317" s="1326"/>
      <c r="J317" s="1003"/>
      <c r="K317" s="1003"/>
      <c r="L317" s="1003"/>
      <c r="M317" s="941"/>
    </row>
    <row r="318" spans="3:13">
      <c r="C318" s="1051" t="s">
        <v>486</v>
      </c>
      <c r="D318" s="1370">
        <v>8.1999999999999993</v>
      </c>
      <c r="E318" s="1371">
        <v>7.1452163382142473</v>
      </c>
      <c r="F318" s="1371">
        <v>7.3</v>
      </c>
      <c r="G318" s="1371">
        <v>9.02</v>
      </c>
      <c r="H318" s="1371">
        <v>7.8</v>
      </c>
      <c r="I318" s="1326"/>
      <c r="J318" s="1003"/>
      <c r="K318" s="1003"/>
      <c r="L318" s="1003"/>
      <c r="M318" s="941"/>
    </row>
    <row r="319" spans="3:13">
      <c r="C319" s="1223" t="s">
        <v>378</v>
      </c>
      <c r="D319" s="1374"/>
      <c r="E319" s="1371"/>
      <c r="F319" s="1371"/>
      <c r="G319" s="1371"/>
      <c r="H319" s="1371"/>
      <c r="I319" s="1326"/>
      <c r="J319" s="1003"/>
      <c r="K319" s="1003"/>
      <c r="L319" s="1003"/>
      <c r="M319" s="941"/>
    </row>
    <row r="320" spans="3:13">
      <c r="C320" s="979"/>
      <c r="D320" s="1013"/>
      <c r="E320" s="1013"/>
      <c r="F320" s="1013"/>
      <c r="G320" s="1013"/>
      <c r="H320" s="1013"/>
      <c r="I320" s="1326"/>
      <c r="J320" s="1015"/>
      <c r="K320" s="1015"/>
      <c r="L320" s="953"/>
      <c r="M320" s="941"/>
    </row>
    <row r="321" spans="1:13">
      <c r="C321" s="983" t="s">
        <v>127</v>
      </c>
      <c r="D321" s="1144"/>
      <c r="E321" s="1144"/>
      <c r="F321" s="1144"/>
      <c r="G321" s="1144"/>
      <c r="H321" s="1014"/>
      <c r="I321" s="1015"/>
      <c r="J321" s="1015"/>
      <c r="K321" s="1015"/>
      <c r="L321" s="953"/>
      <c r="M321" s="941"/>
    </row>
    <row r="322" spans="1:13">
      <c r="C322" s="1045" t="s">
        <v>487</v>
      </c>
      <c r="D322" s="1326"/>
      <c r="E322" s="1326"/>
      <c r="F322" s="1326"/>
      <c r="G322" s="1326"/>
      <c r="H322" s="1326"/>
      <c r="I322" s="1326"/>
      <c r="J322" s="1326"/>
      <c r="K322" s="1326"/>
      <c r="L322" s="1326"/>
      <c r="M322" s="941"/>
    </row>
    <row r="323" spans="1:13">
      <c r="C323" s="983" t="s">
        <v>488</v>
      </c>
      <c r="D323" s="1326"/>
      <c r="E323" s="1326"/>
      <c r="F323" s="1326"/>
      <c r="G323" s="1326"/>
      <c r="H323" s="1326"/>
      <c r="I323" s="1326"/>
      <c r="J323" s="1326"/>
      <c r="K323" s="1326"/>
      <c r="L323" s="1326"/>
      <c r="M323" s="941"/>
    </row>
    <row r="324" spans="1:13">
      <c r="C324" s="1227"/>
      <c r="D324" s="1326"/>
      <c r="E324" s="1326"/>
      <c r="F324" s="1326"/>
      <c r="G324" s="1326"/>
      <c r="H324" s="1326"/>
      <c r="I324" s="1326"/>
      <c r="J324" s="1326"/>
      <c r="K324" s="1326"/>
      <c r="L324" s="1326"/>
      <c r="M324" s="941"/>
    </row>
    <row r="325" spans="1:13" ht="19.2">
      <c r="C325" s="950" t="s">
        <v>489</v>
      </c>
      <c r="D325" s="952"/>
      <c r="E325" s="1329"/>
      <c r="F325" s="1329"/>
      <c r="G325" s="1329"/>
      <c r="H325" s="1329"/>
      <c r="I325" s="1329"/>
      <c r="J325" s="1329"/>
      <c r="K325" s="1329"/>
      <c r="L325" s="1329"/>
      <c r="M325" s="941"/>
    </row>
    <row r="326" spans="1:13">
      <c r="C326" s="1330"/>
      <c r="D326" s="995"/>
      <c r="E326" s="936"/>
      <c r="G326" s="936"/>
      <c r="H326" s="936"/>
      <c r="I326" s="936"/>
      <c r="K326" s="936"/>
      <c r="L326" s="936"/>
      <c r="M326" s="941"/>
    </row>
    <row r="327" spans="1:13" ht="27" customHeight="1">
      <c r="C327" s="960"/>
      <c r="D327" s="961" t="s">
        <v>91</v>
      </c>
      <c r="E327" s="997" t="s">
        <v>3</v>
      </c>
      <c r="F327" s="997" t="s">
        <v>92</v>
      </c>
      <c r="I327" s="936"/>
      <c r="J327" s="936"/>
      <c r="K327" s="936"/>
      <c r="L327" s="936"/>
      <c r="M327" s="941"/>
    </row>
    <row r="328" spans="1:13" ht="27" customHeight="1">
      <c r="C328" s="1375" t="s">
        <v>490</v>
      </c>
      <c r="D328" s="1370">
        <v>5.4</v>
      </c>
      <c r="E328" s="1371" t="s">
        <v>491</v>
      </c>
      <c r="F328" s="1371">
        <v>1.7849999999999999</v>
      </c>
      <c r="I328" s="936"/>
      <c r="J328" s="936"/>
      <c r="K328" s="936"/>
      <c r="L328" s="936"/>
      <c r="M328" s="941"/>
    </row>
    <row r="329" spans="1:13" ht="27" customHeight="1">
      <c r="A329" s="1376"/>
      <c r="C329" s="1377" t="s">
        <v>492</v>
      </c>
      <c r="D329" s="1378">
        <v>0.01</v>
      </c>
      <c r="E329" s="1379">
        <v>8.8000000000000005E-3</v>
      </c>
      <c r="F329" s="1379">
        <v>8.9999999999999993E-3</v>
      </c>
      <c r="I329" s="936"/>
      <c r="J329" s="936"/>
      <c r="K329" s="936"/>
      <c r="L329" s="936"/>
      <c r="M329" s="941"/>
    </row>
    <row r="330" spans="1:13">
      <c r="C330" s="1380"/>
      <c r="D330" s="936"/>
      <c r="E330" s="936"/>
      <c r="F330" s="1381"/>
      <c r="G330" s="936"/>
      <c r="H330" s="936"/>
      <c r="I330" s="936"/>
      <c r="J330" s="936"/>
      <c r="K330" s="936"/>
      <c r="L330" s="936"/>
      <c r="M330" s="941"/>
    </row>
    <row r="331" spans="1:13">
      <c r="C331" s="983" t="s">
        <v>127</v>
      </c>
      <c r="D331" s="985"/>
      <c r="E331" s="985"/>
      <c r="F331" s="985"/>
      <c r="G331" s="985"/>
      <c r="H331" s="1382"/>
      <c r="I331" s="1383"/>
      <c r="J331" s="1383"/>
      <c r="K331" s="1383"/>
      <c r="L331" s="1193"/>
      <c r="M331" s="941"/>
    </row>
    <row r="332" spans="1:13">
      <c r="C332" s="1045" t="s">
        <v>493</v>
      </c>
      <c r="D332" s="1229"/>
      <c r="E332" s="1229"/>
      <c r="F332" s="1229"/>
      <c r="G332" s="1229"/>
      <c r="H332" s="1229"/>
      <c r="I332" s="1229"/>
      <c r="J332" s="1229"/>
      <c r="K332" s="1229"/>
      <c r="L332" s="1229"/>
      <c r="M332" s="941"/>
    </row>
    <row r="333" spans="1:13">
      <c r="C333" s="1227"/>
      <c r="D333" s="1329"/>
      <c r="E333" s="1329"/>
      <c r="F333" s="1329"/>
      <c r="G333" s="1329"/>
      <c r="H333" s="1329"/>
      <c r="I333" s="1329"/>
      <c r="J333" s="1329"/>
      <c r="K333" s="1329"/>
      <c r="M333" s="941"/>
    </row>
    <row r="334" spans="1:13" ht="24.9" customHeight="1">
      <c r="C334" s="1384" t="s">
        <v>494</v>
      </c>
      <c r="D334" s="1329"/>
      <c r="E334" s="1329"/>
      <c r="F334" s="1329"/>
      <c r="G334" s="1329"/>
      <c r="H334" s="1329"/>
      <c r="I334" s="1329"/>
      <c r="J334" s="1329"/>
      <c r="K334" s="1329"/>
      <c r="M334" s="941"/>
    </row>
    <row r="335" spans="1:13" ht="21">
      <c r="C335" s="946"/>
      <c r="D335" s="1329"/>
      <c r="E335" s="1329"/>
      <c r="F335" s="1329"/>
      <c r="G335" s="1329"/>
      <c r="H335" s="1329"/>
      <c r="I335" s="1329"/>
      <c r="J335" s="1329"/>
      <c r="K335" s="1329"/>
      <c r="M335" s="941"/>
    </row>
    <row r="336" spans="1:13" ht="19.2">
      <c r="C336" s="950" t="s">
        <v>495</v>
      </c>
      <c r="D336" s="952"/>
      <c r="E336" s="952"/>
      <c r="F336" s="952"/>
      <c r="G336" s="952"/>
      <c r="H336" s="953"/>
      <c r="J336" s="947"/>
      <c r="K336" s="947"/>
      <c r="M336" s="949" t="s">
        <v>421</v>
      </c>
    </row>
    <row r="337" spans="1:13">
      <c r="C337" s="993" t="s">
        <v>496</v>
      </c>
      <c r="D337" s="995"/>
      <c r="E337" s="995"/>
      <c r="F337" s="995"/>
      <c r="G337" s="995"/>
      <c r="H337" s="953"/>
      <c r="I337" s="1350" t="s">
        <v>497</v>
      </c>
      <c r="J337" s="1350"/>
      <c r="K337" s="1350"/>
      <c r="L337" s="1350"/>
      <c r="M337" s="941"/>
    </row>
    <row r="338" spans="1:13" ht="27" customHeight="1">
      <c r="C338" s="960"/>
      <c r="D338" s="961" t="s">
        <v>91</v>
      </c>
      <c r="E338" s="997" t="s">
        <v>3</v>
      </c>
      <c r="F338" s="997" t="s">
        <v>92</v>
      </c>
      <c r="G338" s="997" t="s">
        <v>93</v>
      </c>
      <c r="H338" s="997" t="s">
        <v>94</v>
      </c>
      <c r="I338" s="997" t="s">
        <v>349</v>
      </c>
      <c r="J338" s="1385"/>
      <c r="K338" s="1385"/>
      <c r="L338" s="998"/>
      <c r="M338" s="941"/>
    </row>
    <row r="339" spans="1:13">
      <c r="A339" s="959"/>
      <c r="B339" s="959"/>
      <c r="C339" s="1038" t="s">
        <v>498</v>
      </c>
      <c r="D339" s="1386">
        <v>146</v>
      </c>
      <c r="E339" s="1387">
        <v>186</v>
      </c>
      <c r="F339" s="1387">
        <v>211</v>
      </c>
      <c r="G339" s="1387">
        <v>252</v>
      </c>
      <c r="H339" s="1387">
        <v>297</v>
      </c>
      <c r="I339" s="1388">
        <f>(D339-E339)/E339</f>
        <v>-0.21505376344086022</v>
      </c>
      <c r="J339" s="1389"/>
      <c r="K339" s="1389"/>
      <c r="L339" s="1003"/>
      <c r="M339" s="941"/>
    </row>
    <row r="340" spans="1:13">
      <c r="B340" s="1289"/>
      <c r="C340" s="1223" t="s">
        <v>499</v>
      </c>
      <c r="D340" s="1386"/>
      <c r="E340" s="1387"/>
      <c r="F340" s="1387"/>
      <c r="G340" s="1387"/>
      <c r="H340" s="1387"/>
      <c r="I340" s="1390"/>
      <c r="J340" s="1389"/>
      <c r="K340" s="1389"/>
      <c r="L340" s="1003"/>
      <c r="M340" s="941"/>
    </row>
    <row r="341" spans="1:13">
      <c r="B341" s="944"/>
      <c r="C341" s="1247" t="s">
        <v>500</v>
      </c>
      <c r="D341" s="1391">
        <v>463</v>
      </c>
      <c r="E341" s="1392">
        <v>502</v>
      </c>
      <c r="F341" s="1392">
        <v>1019</v>
      </c>
      <c r="G341" s="1392">
        <v>966</v>
      </c>
      <c r="H341" s="1392">
        <v>1237</v>
      </c>
      <c r="I341" s="1393">
        <f>(D341-E341)/E341</f>
        <v>-7.7689243027888447E-2</v>
      </c>
      <c r="J341" s="1389"/>
      <c r="K341" s="1389"/>
      <c r="L341" s="1003"/>
      <c r="M341" s="941"/>
    </row>
    <row r="342" spans="1:13">
      <c r="C342" s="1247" t="s">
        <v>499</v>
      </c>
      <c r="D342" s="1391"/>
      <c r="E342" s="1392"/>
      <c r="F342" s="1392"/>
      <c r="G342" s="1392"/>
      <c r="H342" s="1392"/>
      <c r="I342" s="1394"/>
      <c r="J342" s="1389"/>
      <c r="K342" s="1389"/>
      <c r="L342" s="1003"/>
      <c r="M342" s="941"/>
    </row>
    <row r="343" spans="1:13">
      <c r="C343" s="1223" t="s">
        <v>501</v>
      </c>
      <c r="D343" s="1386">
        <v>0</v>
      </c>
      <c r="E343" s="1387">
        <v>0</v>
      </c>
      <c r="F343" s="1387">
        <v>0</v>
      </c>
      <c r="G343" s="1387">
        <v>0</v>
      </c>
      <c r="H343" s="1387">
        <v>0</v>
      </c>
      <c r="I343" s="1390"/>
      <c r="J343" s="1389"/>
      <c r="K343" s="1389"/>
      <c r="L343" s="1003"/>
      <c r="M343" s="941"/>
    </row>
    <row r="344" spans="1:13">
      <c r="C344" s="1223" t="s">
        <v>499</v>
      </c>
      <c r="D344" s="1395"/>
      <c r="E344" s="1396"/>
      <c r="F344" s="1396"/>
      <c r="G344" s="1371"/>
      <c r="H344" s="1371"/>
      <c r="I344" s="1390"/>
      <c r="J344" s="1389"/>
      <c r="K344" s="1389"/>
      <c r="L344" s="1003"/>
      <c r="M344" s="941"/>
    </row>
    <row r="345" spans="1:13">
      <c r="C345" s="1009"/>
      <c r="D345" s="1013"/>
      <c r="E345" s="1013"/>
      <c r="F345" s="1013"/>
      <c r="G345" s="1013"/>
      <c r="H345" s="1013"/>
      <c r="I345" s="1015"/>
      <c r="J345" s="1015"/>
      <c r="K345" s="1015"/>
      <c r="L345" s="953"/>
      <c r="M345" s="941"/>
    </row>
    <row r="346" spans="1:13">
      <c r="C346" s="983" t="s">
        <v>127</v>
      </c>
      <c r="D346" s="1144"/>
      <c r="E346" s="1144"/>
      <c r="F346" s="1144"/>
      <c r="G346" s="1144"/>
      <c r="H346" s="1014"/>
      <c r="I346" s="1015"/>
      <c r="J346" s="1015"/>
      <c r="K346" s="1015"/>
      <c r="L346" s="953"/>
      <c r="M346" s="941"/>
    </row>
    <row r="347" spans="1:13">
      <c r="C347" s="1045" t="s">
        <v>487</v>
      </c>
      <c r="D347" s="1326"/>
      <c r="E347" s="1326"/>
      <c r="F347" s="1326"/>
      <c r="G347" s="1326"/>
      <c r="H347" s="1326"/>
      <c r="I347" s="1326"/>
      <c r="J347" s="1326"/>
      <c r="K347" s="1326"/>
      <c r="L347" s="1326"/>
      <c r="M347" s="941"/>
    </row>
    <row r="348" spans="1:13">
      <c r="C348" s="1045" t="s">
        <v>502</v>
      </c>
      <c r="D348" s="1326"/>
      <c r="E348" s="1326"/>
      <c r="F348" s="1326"/>
      <c r="G348" s="1326"/>
      <c r="H348" s="1326"/>
      <c r="I348" s="1326"/>
      <c r="J348" s="1326"/>
      <c r="K348" s="1326"/>
      <c r="L348" s="1326"/>
      <c r="M348" s="941"/>
    </row>
    <row r="349" spans="1:13">
      <c r="C349" s="1045" t="s">
        <v>503</v>
      </c>
      <c r="D349" s="936"/>
      <c r="E349" s="936"/>
      <c r="F349" s="936"/>
      <c r="G349" s="936"/>
      <c r="H349" s="936"/>
      <c r="I349" s="936"/>
      <c r="J349" s="936"/>
      <c r="K349" s="936"/>
      <c r="L349" s="936"/>
      <c r="M349" s="941"/>
    </row>
    <row r="350" spans="1:13">
      <c r="C350" s="940"/>
      <c r="D350" s="936"/>
      <c r="E350" s="936"/>
      <c r="F350" s="936"/>
      <c r="G350" s="936"/>
      <c r="H350" s="936"/>
      <c r="I350" s="936"/>
      <c r="J350" s="936"/>
      <c r="K350" s="936"/>
      <c r="L350" s="936"/>
      <c r="M350" s="941"/>
    </row>
    <row r="351" spans="1:13" ht="19.2">
      <c r="C351" s="950" t="s">
        <v>504</v>
      </c>
      <c r="D351" s="952"/>
      <c r="E351" s="952"/>
      <c r="F351" s="952"/>
      <c r="G351" s="952"/>
      <c r="H351" s="953"/>
      <c r="I351" s="953"/>
      <c r="K351" s="947"/>
      <c r="M351" s="949" t="s">
        <v>421</v>
      </c>
    </row>
    <row r="352" spans="1:13">
      <c r="C352" s="993" t="s">
        <v>496</v>
      </c>
      <c r="D352" s="995"/>
      <c r="E352" s="995"/>
      <c r="F352" s="995"/>
      <c r="G352" s="995"/>
      <c r="H352" s="953"/>
      <c r="I352" s="953"/>
      <c r="J352" s="953"/>
      <c r="K352" s="953"/>
      <c r="L352" s="953"/>
      <c r="M352" s="941"/>
    </row>
    <row r="353" spans="1:13" ht="27" customHeight="1">
      <c r="C353" s="960"/>
      <c r="D353" s="1397" t="s">
        <v>91</v>
      </c>
      <c r="E353" s="997" t="s">
        <v>3</v>
      </c>
      <c r="F353" s="997" t="s">
        <v>92</v>
      </c>
      <c r="G353" s="997" t="s">
        <v>93</v>
      </c>
      <c r="H353" s="997" t="s">
        <v>94</v>
      </c>
      <c r="I353" s="997" t="s">
        <v>349</v>
      </c>
      <c r="J353" s="998"/>
      <c r="K353" s="998"/>
      <c r="L353" s="998"/>
      <c r="M353" s="941"/>
    </row>
    <row r="354" spans="1:13">
      <c r="C354" s="1038" t="s">
        <v>505</v>
      </c>
      <c r="D354" s="1398">
        <v>6.66</v>
      </c>
      <c r="E354" s="1371">
        <v>7.3</v>
      </c>
      <c r="F354" s="1371">
        <v>8.4</v>
      </c>
      <c r="G354" s="1371">
        <v>11.5</v>
      </c>
      <c r="H354" s="1371">
        <v>8.1</v>
      </c>
      <c r="I354" s="1390">
        <f>(D354-E354)/E354</f>
        <v>-8.7671232876712288E-2</v>
      </c>
      <c r="J354" s="1399"/>
      <c r="K354" s="1399"/>
      <c r="L354" s="1003"/>
      <c r="M354" s="941"/>
    </row>
    <row r="355" spans="1:13" ht="21">
      <c r="C355" s="1223" t="s">
        <v>506</v>
      </c>
      <c r="D355" s="1374"/>
      <c r="E355" s="1387"/>
      <c r="F355" s="1387"/>
      <c r="G355" s="1387"/>
      <c r="H355" s="1387"/>
      <c r="I355" s="1032"/>
      <c r="J355" s="1003"/>
      <c r="K355" s="1003"/>
      <c r="L355" s="1003"/>
      <c r="M355" s="941"/>
    </row>
    <row r="356" spans="1:13">
      <c r="C356" s="1009"/>
      <c r="D356" s="1013"/>
      <c r="E356" s="1013"/>
      <c r="F356" s="1013"/>
      <c r="G356" s="1013"/>
      <c r="H356" s="1013"/>
      <c r="I356" s="1015"/>
      <c r="J356" s="1015"/>
      <c r="K356" s="1015"/>
      <c r="L356" s="1400"/>
      <c r="M356" s="941"/>
    </row>
    <row r="357" spans="1:13">
      <c r="C357" s="983" t="s">
        <v>127</v>
      </c>
      <c r="D357" s="985"/>
      <c r="E357" s="985"/>
      <c r="F357" s="985"/>
      <c r="G357" s="985"/>
      <c r="H357" s="1382"/>
      <c r="I357" s="1383"/>
      <c r="J357" s="1383"/>
      <c r="K357" s="1383"/>
      <c r="L357" s="1193"/>
      <c r="M357" s="1366"/>
    </row>
    <row r="358" spans="1:13">
      <c r="C358" s="1045" t="s">
        <v>487</v>
      </c>
      <c r="D358" s="1401"/>
      <c r="E358" s="1401"/>
      <c r="F358" s="1401"/>
      <c r="G358" s="1401"/>
      <c r="H358" s="1401"/>
      <c r="I358" s="1401"/>
      <c r="J358" s="1401"/>
      <c r="K358" s="1401"/>
      <c r="L358" s="1401"/>
      <c r="M358" s="1366"/>
    </row>
    <row r="359" spans="1:13" ht="12.75" customHeight="1">
      <c r="C359" s="1045" t="s">
        <v>507</v>
      </c>
      <c r="D359" s="1068"/>
      <c r="E359" s="1068"/>
      <c r="F359" s="1068"/>
      <c r="G359" s="1068"/>
      <c r="H359" s="1068"/>
      <c r="I359" s="1068"/>
      <c r="J359" s="1068"/>
      <c r="K359" s="1068"/>
      <c r="L359" s="1068"/>
      <c r="M359" s="1197"/>
    </row>
    <row r="360" spans="1:13">
      <c r="C360" s="1045" t="s">
        <v>508</v>
      </c>
      <c r="D360" s="1402"/>
      <c r="E360" s="1402"/>
      <c r="F360" s="1402"/>
      <c r="G360" s="1402"/>
      <c r="H360" s="1402"/>
      <c r="I360" s="1402"/>
      <c r="J360" s="1402"/>
      <c r="K360" s="1402"/>
      <c r="L360" s="1402"/>
      <c r="M360" s="1366"/>
    </row>
    <row r="361" spans="1:13" ht="18.899999999999999" customHeight="1">
      <c r="C361" s="1403"/>
      <c r="D361" s="1329"/>
      <c r="E361" s="1329"/>
      <c r="F361" s="1329"/>
      <c r="G361" s="1329"/>
      <c r="H361" s="1329"/>
      <c r="I361" s="1329"/>
      <c r="J361" s="1329"/>
      <c r="K361" s="1329"/>
      <c r="M361" s="941"/>
    </row>
    <row r="362" spans="1:13" ht="19.2">
      <c r="C362" s="950" t="s">
        <v>509</v>
      </c>
      <c r="D362" s="952"/>
      <c r="E362" s="952"/>
      <c r="F362" s="952"/>
      <c r="G362" s="952"/>
      <c r="H362" s="953"/>
      <c r="I362" s="953"/>
      <c r="K362" s="947"/>
      <c r="M362" s="949" t="s">
        <v>421</v>
      </c>
    </row>
    <row r="363" spans="1:13">
      <c r="C363" s="993" t="s">
        <v>496</v>
      </c>
      <c r="D363" s="995"/>
      <c r="E363" s="995"/>
      <c r="F363" s="995"/>
      <c r="G363" s="995"/>
      <c r="H363" s="953"/>
      <c r="I363" s="953"/>
      <c r="J363" s="953"/>
      <c r="K363" s="953"/>
      <c r="L363" s="953"/>
      <c r="M363" s="941"/>
    </row>
    <row r="364" spans="1:13">
      <c r="B364" s="944"/>
      <c r="C364" s="1009"/>
      <c r="D364" s="1013"/>
      <c r="E364" s="1013"/>
      <c r="F364" s="1013"/>
      <c r="G364" s="1013"/>
      <c r="H364" s="1013"/>
      <c r="I364" s="1015"/>
      <c r="J364" s="1015"/>
      <c r="K364" s="1015"/>
      <c r="L364" s="1400"/>
      <c r="M364" s="941"/>
    </row>
    <row r="365" spans="1:13" ht="27" customHeight="1">
      <c r="A365" s="959"/>
      <c r="B365" s="959"/>
      <c r="C365" s="960"/>
      <c r="D365" s="1397" t="s">
        <v>91</v>
      </c>
      <c r="E365" s="962" t="s">
        <v>3</v>
      </c>
      <c r="F365" s="962" t="s">
        <v>92</v>
      </c>
      <c r="G365" s="962" t="s">
        <v>93</v>
      </c>
      <c r="H365" s="997" t="s">
        <v>349</v>
      </c>
      <c r="I365" s="953"/>
      <c r="J365" s="1404"/>
      <c r="K365" s="1405"/>
      <c r="L365" s="1406"/>
      <c r="M365" s="941"/>
    </row>
    <row r="366" spans="1:13">
      <c r="A366" s="959"/>
      <c r="B366" s="959"/>
      <c r="C366" s="1223" t="s">
        <v>510</v>
      </c>
      <c r="D366" s="1398">
        <v>2.67</v>
      </c>
      <c r="E366" s="1407">
        <v>2.2999999999999998</v>
      </c>
      <c r="F366" s="1407">
        <v>2.2999999999999998</v>
      </c>
      <c r="G366" s="1407">
        <v>2.8</v>
      </c>
      <c r="H366" s="1390">
        <f>(D366-E366)/E366</f>
        <v>0.16086956521739137</v>
      </c>
      <c r="I366" s="953"/>
      <c r="J366" s="1404"/>
      <c r="K366" s="1405"/>
      <c r="L366" s="1406"/>
      <c r="M366" s="941"/>
    </row>
    <row r="367" spans="1:13">
      <c r="A367" s="959"/>
      <c r="B367" s="959"/>
      <c r="C367" s="1223" t="s">
        <v>511</v>
      </c>
      <c r="D367" s="1374"/>
      <c r="E367" s="1408"/>
      <c r="F367" s="1408"/>
      <c r="G367" s="1408"/>
      <c r="H367" s="1032"/>
      <c r="I367" s="953"/>
      <c r="J367" s="1404"/>
      <c r="K367" s="1405"/>
      <c r="L367" s="1406"/>
      <c r="M367" s="941"/>
    </row>
    <row r="368" spans="1:13">
      <c r="A368" s="959"/>
      <c r="B368" s="959"/>
      <c r="C368" s="1247"/>
      <c r="D368" s="1409"/>
      <c r="E368" s="1410"/>
      <c r="F368" s="1392"/>
      <c r="G368" s="1037"/>
      <c r="H368" s="953"/>
      <c r="I368" s="1404"/>
      <c r="J368" s="1405"/>
      <c r="K368" s="1406"/>
      <c r="L368" s="1406"/>
      <c r="M368" s="941"/>
    </row>
    <row r="369" spans="3:13">
      <c r="C369" s="983" t="s">
        <v>127</v>
      </c>
      <c r="D369" s="1144"/>
      <c r="E369" s="1144"/>
      <c r="F369" s="1144"/>
      <c r="G369" s="1144"/>
      <c r="H369" s="1014"/>
      <c r="I369" s="1015"/>
      <c r="J369" s="1015"/>
      <c r="K369" s="1015"/>
      <c r="L369" s="953"/>
      <c r="M369" s="941"/>
    </row>
    <row r="370" spans="3:13">
      <c r="C370" s="1045" t="s">
        <v>487</v>
      </c>
      <c r="D370" s="1215"/>
      <c r="E370" s="1215"/>
      <c r="F370" s="1215"/>
      <c r="G370" s="1215"/>
      <c r="H370" s="1215"/>
      <c r="I370" s="1215"/>
      <c r="J370" s="1215"/>
      <c r="K370" s="1215"/>
      <c r="L370" s="1215"/>
      <c r="M370" s="941"/>
    </row>
    <row r="371" spans="3:13">
      <c r="C371" s="1045" t="s">
        <v>512</v>
      </c>
      <c r="D371" s="1215"/>
      <c r="E371" s="1215"/>
      <c r="F371" s="1215"/>
      <c r="G371" s="1215"/>
      <c r="H371" s="1215"/>
      <c r="I371" s="1215"/>
      <c r="J371" s="1215"/>
      <c r="K371" s="1215"/>
      <c r="L371" s="1215"/>
      <c r="M371" s="941"/>
    </row>
    <row r="372" spans="3:13">
      <c r="C372" s="1045" t="s">
        <v>513</v>
      </c>
      <c r="D372" s="1215"/>
      <c r="E372" s="1215"/>
      <c r="F372" s="1215"/>
      <c r="G372" s="1215"/>
      <c r="H372" s="1215"/>
      <c r="I372" s="1215"/>
      <c r="J372" s="1215"/>
      <c r="K372" s="1215"/>
      <c r="L372" s="1215"/>
      <c r="M372" s="941"/>
    </row>
    <row r="373" spans="3:13">
      <c r="C373" s="1411"/>
      <c r="D373" s="1215"/>
      <c r="E373" s="1215"/>
      <c r="F373" s="1215"/>
      <c r="G373" s="1215"/>
      <c r="H373" s="1215"/>
      <c r="I373" s="1215"/>
      <c r="J373" s="1215"/>
      <c r="K373" s="1215"/>
      <c r="L373" s="1215"/>
      <c r="M373" s="941"/>
    </row>
    <row r="374" spans="3:13">
      <c r="C374" s="1331"/>
      <c r="D374" s="1329"/>
      <c r="E374" s="1329"/>
      <c r="F374" s="1329"/>
      <c r="G374" s="1329"/>
      <c r="H374" s="1329"/>
      <c r="I374" s="1329"/>
      <c r="J374" s="1329"/>
      <c r="K374" s="1329"/>
      <c r="M374" s="941"/>
    </row>
    <row r="375" spans="3:13" ht="19.2">
      <c r="C375" s="1412" t="s">
        <v>514</v>
      </c>
      <c r="D375" s="952"/>
      <c r="E375" s="952"/>
      <c r="F375" s="952"/>
      <c r="G375" s="952"/>
      <c r="H375" s="953"/>
      <c r="I375" s="953"/>
      <c r="K375" s="947"/>
      <c r="M375" s="949" t="s">
        <v>515</v>
      </c>
    </row>
    <row r="376" spans="3:13">
      <c r="C376" s="1330"/>
      <c r="D376" s="995"/>
      <c r="E376" s="995"/>
      <c r="F376" s="995"/>
      <c r="G376" s="995"/>
      <c r="H376" s="953"/>
      <c r="I376" s="953"/>
      <c r="J376" s="953"/>
      <c r="K376" s="953"/>
      <c r="L376" s="953"/>
      <c r="M376" s="941"/>
    </row>
    <row r="377" spans="3:13" ht="27" customHeight="1">
      <c r="C377" s="960"/>
      <c r="D377" s="961" t="s">
        <v>91</v>
      </c>
      <c r="E377" s="997" t="s">
        <v>3</v>
      </c>
      <c r="F377" s="997" t="s">
        <v>92</v>
      </c>
      <c r="G377" s="997" t="s">
        <v>93</v>
      </c>
      <c r="H377" s="1351"/>
      <c r="I377" s="1351"/>
      <c r="J377" s="1413"/>
      <c r="K377" s="1413"/>
      <c r="L377" s="1351"/>
      <c r="M377" s="941"/>
    </row>
    <row r="378" spans="3:13">
      <c r="C378" s="1038" t="s">
        <v>516</v>
      </c>
      <c r="D378" s="1414">
        <v>12</v>
      </c>
      <c r="E378" s="1408">
        <v>5</v>
      </c>
      <c r="F378" s="1408">
        <v>11</v>
      </c>
      <c r="G378" s="1408">
        <v>19</v>
      </c>
      <c r="H378" s="1415"/>
      <c r="I378" s="1416"/>
      <c r="J378" s="1355"/>
      <c r="K378" s="1417"/>
      <c r="L378" s="1355"/>
      <c r="M378" s="941"/>
    </row>
    <row r="379" spans="3:13">
      <c r="C379" s="1247" t="s">
        <v>517</v>
      </c>
      <c r="D379" s="1391">
        <v>8</v>
      </c>
      <c r="E379" s="1392">
        <v>4</v>
      </c>
      <c r="F379" s="1392">
        <v>7</v>
      </c>
      <c r="G379" s="1392">
        <v>19</v>
      </c>
      <c r="H379" s="1418"/>
      <c r="I379" s="1355"/>
      <c r="J379" s="1355"/>
      <c r="K379" s="1355"/>
      <c r="L379" s="1355"/>
      <c r="M379" s="941"/>
    </row>
    <row r="380" spans="3:13">
      <c r="C380" s="1223" t="s">
        <v>518</v>
      </c>
      <c r="D380" s="1419">
        <v>4</v>
      </c>
      <c r="E380" s="1408">
        <v>1</v>
      </c>
      <c r="F380" s="1408">
        <v>4</v>
      </c>
      <c r="G380" s="1408">
        <v>0</v>
      </c>
      <c r="H380" s="1418"/>
      <c r="I380" s="1355"/>
      <c r="J380" s="1355"/>
      <c r="K380" s="1355"/>
      <c r="L380" s="1355"/>
      <c r="M380" s="941"/>
    </row>
    <row r="381" spans="3:13">
      <c r="C381" s="1009"/>
      <c r="D381" s="1013"/>
      <c r="E381" s="1013"/>
      <c r="F381" s="1013"/>
      <c r="G381" s="1013"/>
      <c r="H381" s="1013"/>
      <c r="I381" s="1015"/>
      <c r="J381" s="1015"/>
      <c r="K381" s="1015"/>
      <c r="L381" s="1400"/>
      <c r="M381" s="941"/>
    </row>
    <row r="382" spans="3:13">
      <c r="C382" s="983" t="s">
        <v>127</v>
      </c>
      <c r="D382" s="1144"/>
      <c r="E382" s="1144"/>
      <c r="F382" s="1144"/>
      <c r="G382" s="1144"/>
      <c r="H382" s="1014"/>
      <c r="I382" s="1015"/>
      <c r="J382" s="1015"/>
      <c r="K382" s="1015"/>
      <c r="L382" s="953"/>
      <c r="M382" s="941"/>
    </row>
    <row r="383" spans="3:13">
      <c r="C383" s="1045" t="s">
        <v>487</v>
      </c>
      <c r="D383" s="1326"/>
      <c r="E383" s="1326"/>
      <c r="F383" s="1326"/>
      <c r="G383" s="1326"/>
      <c r="H383" s="1326"/>
      <c r="I383" s="1326"/>
      <c r="J383" s="1326"/>
      <c r="K383" s="1326"/>
      <c r="L383" s="1326"/>
      <c r="M383" s="941"/>
    </row>
    <row r="384" spans="3:13">
      <c r="C384" s="1420"/>
      <c r="D384" s="1326"/>
      <c r="E384" s="1326"/>
      <c r="F384" s="1326"/>
      <c r="G384" s="1326"/>
      <c r="H384" s="1326"/>
      <c r="I384" s="1326"/>
      <c r="J384" s="1326"/>
      <c r="K384" s="1421"/>
      <c r="L384" s="1326"/>
      <c r="M384" s="941"/>
    </row>
    <row r="385" spans="3:17">
      <c r="C385" s="1072"/>
      <c r="M385" s="941"/>
    </row>
    <row r="386" spans="3:17" ht="19.2">
      <c r="C386" s="1422" t="s">
        <v>519</v>
      </c>
      <c r="D386" s="1423"/>
      <c r="E386" s="1423"/>
      <c r="F386" s="1423"/>
      <c r="M386" s="941"/>
    </row>
    <row r="387" spans="3:17" ht="14.4" thickBot="1">
      <c r="C387" s="1424"/>
      <c r="D387" s="1423"/>
      <c r="E387" s="1423"/>
      <c r="F387" s="1423"/>
      <c r="M387" s="941"/>
    </row>
    <row r="388" spans="3:17" ht="27" customHeight="1">
      <c r="C388" s="1424"/>
      <c r="D388" s="1425" t="s">
        <v>91</v>
      </c>
      <c r="E388" s="1426" t="s">
        <v>3</v>
      </c>
      <c r="F388" s="1426" t="s">
        <v>92</v>
      </c>
      <c r="G388" s="1426" t="s">
        <v>93</v>
      </c>
      <c r="M388" s="941"/>
    </row>
    <row r="389" spans="3:17">
      <c r="C389" s="1249" t="s">
        <v>520</v>
      </c>
      <c r="D389" s="1427">
        <v>12</v>
      </c>
      <c r="E389" s="1428">
        <v>15</v>
      </c>
      <c r="F389" s="1428">
        <v>15</v>
      </c>
      <c r="G389" s="1428">
        <v>21</v>
      </c>
      <c r="M389" s="941"/>
    </row>
    <row r="390" spans="3:17">
      <c r="C390" s="1429" t="s">
        <v>517</v>
      </c>
      <c r="D390" s="1430">
        <v>13</v>
      </c>
      <c r="E390" s="1431">
        <v>13</v>
      </c>
      <c r="F390" s="1431">
        <v>16</v>
      </c>
      <c r="G390" s="1431">
        <v>19</v>
      </c>
      <c r="M390" s="941"/>
    </row>
    <row r="391" spans="3:17">
      <c r="C391" s="1249" t="s">
        <v>518</v>
      </c>
      <c r="D391" s="1432">
        <v>2</v>
      </c>
      <c r="E391" s="1428">
        <v>3</v>
      </c>
      <c r="F391" s="1428">
        <v>1</v>
      </c>
      <c r="G391" s="1428">
        <v>2</v>
      </c>
      <c r="M391" s="941"/>
      <c r="Q391" s="1433"/>
    </row>
    <row r="392" spans="3:17">
      <c r="C392" s="1424"/>
      <c r="D392" s="1423"/>
      <c r="E392" s="1423"/>
      <c r="F392" s="1423"/>
      <c r="M392" s="941"/>
    </row>
    <row r="393" spans="3:17">
      <c r="C393" s="1434" t="s">
        <v>127</v>
      </c>
      <c r="D393" s="1423"/>
      <c r="E393" s="1423"/>
      <c r="F393" s="1423"/>
      <c r="M393" s="941"/>
    </row>
    <row r="394" spans="3:17">
      <c r="C394" s="1045" t="s">
        <v>487</v>
      </c>
      <c r="D394" s="1423"/>
      <c r="E394" s="1423"/>
      <c r="F394" s="1423"/>
      <c r="M394" s="941"/>
    </row>
    <row r="395" spans="3:17">
      <c r="C395" s="1434"/>
      <c r="D395" s="1423"/>
      <c r="E395" s="1423"/>
      <c r="F395" s="1423"/>
      <c r="M395" s="941"/>
    </row>
    <row r="396" spans="3:17">
      <c r="C396" s="1435"/>
      <c r="D396" s="1436"/>
      <c r="E396" s="1436"/>
      <c r="F396" s="1437"/>
      <c r="G396" s="1437"/>
      <c r="H396" s="1437"/>
      <c r="I396" s="1437"/>
      <c r="J396" s="1437"/>
      <c r="K396" s="1438"/>
      <c r="L396" s="1438"/>
      <c r="M396" s="1439" t="s">
        <v>336</v>
      </c>
    </row>
  </sheetData>
  <mergeCells count="21">
    <mergeCell ref="C304:L304"/>
    <mergeCell ref="C196:L196"/>
    <mergeCell ref="J271:K271"/>
    <mergeCell ref="C25:L25"/>
    <mergeCell ref="C1:M1"/>
    <mergeCell ref="L250:M250"/>
    <mergeCell ref="D271:E271"/>
    <mergeCell ref="F271:G271"/>
    <mergeCell ref="H271:I271"/>
    <mergeCell ref="C40:K40"/>
    <mergeCell ref="C72:L72"/>
    <mergeCell ref="A123:B123"/>
    <mergeCell ref="D250:E250"/>
    <mergeCell ref="F250:G250"/>
    <mergeCell ref="H250:I250"/>
    <mergeCell ref="J250:K250"/>
    <mergeCell ref="C243:L243"/>
    <mergeCell ref="L224:M224"/>
    <mergeCell ref="C241:L241"/>
    <mergeCell ref="C244:J244"/>
    <mergeCell ref="C242:L242"/>
  </mergeCells>
  <hyperlinks>
    <hyperlink ref="C5" location="'Trusted operations'!C13" display="General Workforce" xr:uid="{20A80262-ABC8-5944-B90B-C0055299574D}"/>
    <hyperlink ref="C6" location="'Trusted operations'!C87" display="Employee Attraction and Retention" xr:uid="{1F35B249-EBC7-534A-B001-850B4CC33888}"/>
    <hyperlink ref="C11" location="'Trusted operations'!C336" display="Health, Safety and Wellbeing" xr:uid="{3EC92B6F-2905-D644-BD8D-81325CA659AA}"/>
    <hyperlink ref="C8" location="'Trusted operations'!C246" display="Diversity and Inclusion" xr:uid="{2D85F328-4AC4-1649-8E64-0389DC61CF1B}"/>
    <hyperlink ref="C10" location="'Trusted operations'!C327" display="Reconciliation Action Plan" xr:uid="{89596E7A-C063-0D44-B448-5ABD879EFAEB}"/>
    <hyperlink ref="C9" location="'Trusted operations'!C293" display="Gender Pay Equity" xr:uid="{3A3CFA1D-74DC-8D4A-9715-BD66A142EF41}"/>
    <hyperlink ref="C7" location="'Trusted operations'!C222" display="Employee Learning and Capability Development" xr:uid="{F18E41FA-15B7-444B-BB04-15329F73BFB6}"/>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A36A-2158-2243-9322-2EB58E1F5A38}">
  <sheetPr codeName="Sheet46">
    <tabColor rgb="FF7030A0"/>
  </sheetPr>
  <dimension ref="A1:AH186"/>
  <sheetViews>
    <sheetView showGridLines="0" topLeftCell="A31" zoomScaleNormal="100" workbookViewId="0">
      <selection activeCell="A31" sqref="A1:XFD1048576"/>
    </sheetView>
  </sheetViews>
  <sheetFormatPr defaultColWidth="7.59765625" defaultRowHeight="13.8"/>
  <cols>
    <col min="1" max="2" width="8.3984375" style="1446" customWidth="1"/>
    <col min="3" max="3" width="38.5" style="1446" customWidth="1"/>
    <col min="4" max="8" width="18.5" style="1446" customWidth="1"/>
    <col min="9" max="9" width="18.5" style="1445" customWidth="1"/>
    <col min="10" max="10" width="9.59765625" style="1445" customWidth="1"/>
    <col min="11" max="15" width="8.09765625" style="1445" bestFit="1" customWidth="1"/>
    <col min="16" max="33" width="7.59765625" style="1445"/>
    <col min="34" max="16384" width="7.59765625" style="1446"/>
  </cols>
  <sheetData>
    <row r="1" spans="1:34" ht="239.1" customHeight="1">
      <c r="A1" s="1440"/>
      <c r="B1" s="1440"/>
      <c r="C1" s="1441"/>
      <c r="D1" s="1442"/>
      <c r="E1" s="1443"/>
      <c r="F1" s="1443"/>
      <c r="G1" s="1443"/>
      <c r="H1" s="1443"/>
      <c r="I1" s="1444"/>
    </row>
    <row r="2" spans="1:34">
      <c r="A2" s="1440"/>
      <c r="B2" s="1440"/>
      <c r="C2" s="1447"/>
      <c r="D2" s="1440"/>
      <c r="E2" s="1440"/>
      <c r="F2" s="1440"/>
      <c r="G2" s="1440"/>
      <c r="H2" s="1440"/>
      <c r="I2" s="1448"/>
    </row>
    <row r="3" spans="1:34">
      <c r="A3" s="1440"/>
      <c r="B3" s="1440"/>
      <c r="C3" s="1449"/>
      <c r="D3" s="1450"/>
      <c r="E3" s="1440"/>
      <c r="F3" s="1440"/>
      <c r="G3" s="1440"/>
      <c r="H3" s="1440"/>
      <c r="I3" s="1448"/>
    </row>
    <row r="4" spans="1:34" ht="19.2">
      <c r="A4" s="1440"/>
      <c r="B4" s="1440"/>
      <c r="C4" s="1451" t="s">
        <v>521</v>
      </c>
      <c r="D4" s="1452"/>
      <c r="E4" s="1440"/>
      <c r="F4" s="1440"/>
      <c r="G4" s="1440"/>
      <c r="H4" s="1440"/>
      <c r="I4" s="1453" t="s">
        <v>522</v>
      </c>
    </row>
    <row r="5" spans="1:34" ht="17.399999999999999">
      <c r="A5" s="1440"/>
      <c r="B5" s="1440"/>
      <c r="C5" s="1454" t="s">
        <v>523</v>
      </c>
      <c r="D5" s="1452"/>
      <c r="E5" s="1440"/>
      <c r="F5" s="1440"/>
      <c r="G5" s="1440"/>
      <c r="H5" s="1440"/>
      <c r="I5" s="1453"/>
    </row>
    <row r="6" spans="1:34" ht="27" customHeight="1">
      <c r="A6" s="1440"/>
      <c r="B6" s="1440"/>
      <c r="C6" s="1455" t="s">
        <v>524</v>
      </c>
      <c r="D6" s="1456" t="s">
        <v>525</v>
      </c>
      <c r="E6" s="1456"/>
      <c r="F6" s="1456"/>
      <c r="G6" s="1457" t="s">
        <v>526</v>
      </c>
      <c r="H6" s="1457" t="s">
        <v>527</v>
      </c>
      <c r="I6" s="1458"/>
      <c r="J6" s="1459"/>
      <c r="AH6" s="1445"/>
    </row>
    <row r="7" spans="1:34" ht="14.1" customHeight="1">
      <c r="A7" s="1440"/>
      <c r="B7" s="1440"/>
      <c r="C7" s="1460" t="s">
        <v>528</v>
      </c>
      <c r="D7" s="1960" t="s">
        <v>529</v>
      </c>
      <c r="E7" s="1960"/>
      <c r="F7" s="1960"/>
      <c r="G7" s="1461">
        <v>87.9</v>
      </c>
      <c r="H7" s="1462">
        <f>G7/G14</f>
        <v>0.69049489395129626</v>
      </c>
      <c r="I7" s="1458"/>
      <c r="J7" s="1463"/>
      <c r="AH7" s="1445"/>
    </row>
    <row r="8" spans="1:34">
      <c r="A8" s="1440"/>
      <c r="B8" s="1440"/>
      <c r="C8" s="1460"/>
      <c r="D8" s="1464" t="s">
        <v>530</v>
      </c>
      <c r="E8" s="1464"/>
      <c r="F8" s="1464"/>
      <c r="G8" s="1465">
        <v>69</v>
      </c>
      <c r="H8" s="1466"/>
      <c r="I8" s="1458"/>
      <c r="J8" s="1459"/>
      <c r="AH8" s="1445"/>
    </row>
    <row r="9" spans="1:34" ht="14.4" customHeight="1">
      <c r="A9" s="1440"/>
      <c r="B9" s="1440"/>
      <c r="C9" s="1460"/>
      <c r="D9" s="1467" t="s">
        <v>531</v>
      </c>
      <c r="E9" s="1464"/>
      <c r="F9" s="1464"/>
      <c r="G9" s="1465">
        <v>1.7</v>
      </c>
      <c r="H9" s="1466"/>
      <c r="I9" s="1458"/>
      <c r="J9" s="1459"/>
      <c r="AH9" s="1445"/>
    </row>
    <row r="10" spans="1:34">
      <c r="A10" s="1440"/>
      <c r="B10" s="1440"/>
      <c r="C10" s="1460"/>
      <c r="D10" s="1464" t="s">
        <v>532</v>
      </c>
      <c r="E10" s="1464"/>
      <c r="F10" s="1464"/>
      <c r="G10" s="1465">
        <v>17.100000000000001</v>
      </c>
      <c r="H10" s="1466"/>
      <c r="I10" s="1458"/>
      <c r="J10" s="1459"/>
      <c r="AH10" s="1445"/>
    </row>
    <row r="11" spans="1:34" ht="30" customHeight="1">
      <c r="A11" s="1440"/>
      <c r="B11" s="1440"/>
      <c r="C11" s="1468" t="s">
        <v>533</v>
      </c>
      <c r="D11" s="1961" t="s">
        <v>534</v>
      </c>
      <c r="E11" s="1961"/>
      <c r="F11" s="1962"/>
      <c r="G11" s="1469">
        <v>0.5</v>
      </c>
      <c r="H11" s="1470">
        <f>G11/G14</f>
        <v>3.927729772191673E-3</v>
      </c>
      <c r="I11" s="1458"/>
      <c r="J11" s="1459"/>
      <c r="AH11" s="1445"/>
    </row>
    <row r="12" spans="1:34" ht="30" customHeight="1">
      <c r="A12" s="1440"/>
      <c r="B12" s="1440"/>
      <c r="C12" s="1471" t="s">
        <v>535</v>
      </c>
      <c r="D12" s="1960" t="s">
        <v>536</v>
      </c>
      <c r="E12" s="1960"/>
      <c r="F12" s="1960"/>
      <c r="G12" s="1472">
        <v>7.8</v>
      </c>
      <c r="H12" s="1473">
        <f>G12/G14</f>
        <v>6.1272584446190104E-2</v>
      </c>
      <c r="I12" s="1458"/>
      <c r="J12" s="1459"/>
      <c r="AH12" s="1445"/>
    </row>
    <row r="13" spans="1:34" ht="30" customHeight="1">
      <c r="A13" s="1440"/>
      <c r="B13" s="1440"/>
      <c r="C13" s="1468" t="s">
        <v>537</v>
      </c>
      <c r="D13" s="1961" t="s">
        <v>538</v>
      </c>
      <c r="E13" s="1961"/>
      <c r="F13" s="1961"/>
      <c r="G13" s="1469">
        <v>31.2</v>
      </c>
      <c r="H13" s="1470">
        <f>G13/G14</f>
        <v>0.24509033778476041</v>
      </c>
      <c r="I13" s="1458"/>
      <c r="J13" s="1459"/>
      <c r="AH13" s="1445"/>
    </row>
    <row r="14" spans="1:34">
      <c r="A14" s="1440"/>
      <c r="B14" s="1440"/>
      <c r="C14" s="1460" t="s">
        <v>33</v>
      </c>
      <c r="D14" s="1474"/>
      <c r="E14" s="1474"/>
      <c r="F14" s="1464"/>
      <c r="G14" s="1475">
        <v>127.3</v>
      </c>
      <c r="H14" s="1476">
        <f>SUM(H7:H13)</f>
        <v>1.0007855459544386</v>
      </c>
      <c r="I14" s="1458"/>
      <c r="J14" s="1459"/>
      <c r="AH14" s="1445"/>
    </row>
    <row r="15" spans="1:34">
      <c r="A15" s="1440"/>
      <c r="B15" s="1440"/>
      <c r="C15" s="1477"/>
      <c r="D15" s="1478"/>
      <c r="E15" s="1478"/>
      <c r="F15" s="1478"/>
      <c r="G15" s="1479"/>
      <c r="H15" s="1479"/>
      <c r="I15" s="1448"/>
      <c r="J15" s="1459"/>
    </row>
    <row r="16" spans="1:34">
      <c r="A16" s="1440"/>
      <c r="B16" s="1440"/>
      <c r="C16" s="1480" t="s">
        <v>539</v>
      </c>
      <c r="D16" s="1481"/>
      <c r="E16" s="1440"/>
      <c r="F16" s="1440"/>
      <c r="G16" s="1440"/>
      <c r="H16" s="1440"/>
      <c r="I16" s="1448"/>
    </row>
    <row r="17" spans="1:34">
      <c r="A17" s="1440"/>
      <c r="B17" s="1440"/>
      <c r="C17" s="1482" t="s">
        <v>540</v>
      </c>
      <c r="D17" s="1483"/>
      <c r="F17" s="1484"/>
      <c r="G17" s="1440"/>
      <c r="H17" s="1440"/>
      <c r="I17" s="1448"/>
      <c r="J17" s="1484"/>
    </row>
    <row r="18" spans="1:34">
      <c r="A18" s="1440"/>
      <c r="B18" s="1440"/>
      <c r="C18" s="1449"/>
      <c r="D18" s="1450"/>
      <c r="E18" s="1440"/>
      <c r="F18" s="1440"/>
      <c r="G18" s="1440"/>
      <c r="H18" s="1440"/>
      <c r="I18" s="1448"/>
    </row>
    <row r="19" spans="1:34">
      <c r="A19" s="1440"/>
      <c r="B19" s="1440"/>
      <c r="C19" s="1449"/>
      <c r="D19" s="1450"/>
      <c r="E19" s="1440"/>
      <c r="F19" s="1440"/>
      <c r="G19" s="1440"/>
      <c r="H19" s="1440"/>
      <c r="I19" s="1448"/>
    </row>
    <row r="20" spans="1:34" ht="17.399999999999999">
      <c r="A20" s="1440"/>
      <c r="B20" s="1440"/>
      <c r="C20" s="1451" t="s">
        <v>322</v>
      </c>
      <c r="D20" s="1452"/>
      <c r="E20" s="1440"/>
      <c r="F20" s="1440"/>
      <c r="G20" s="1440"/>
      <c r="H20" s="1440"/>
      <c r="I20" s="1485" t="s">
        <v>541</v>
      </c>
    </row>
    <row r="21" spans="1:34">
      <c r="A21" s="1440"/>
      <c r="B21" s="1440"/>
      <c r="C21" s="1454" t="s">
        <v>523</v>
      </c>
      <c r="D21" s="1486"/>
      <c r="E21" s="1440"/>
      <c r="F21" s="1440"/>
      <c r="G21" s="1440"/>
      <c r="H21" s="1440"/>
      <c r="I21" s="1448"/>
    </row>
    <row r="22" spans="1:34" s="1493" customFormat="1" ht="27" customHeight="1">
      <c r="A22" s="1487"/>
      <c r="B22" s="1487"/>
      <c r="C22" s="1488"/>
      <c r="D22" s="1457" t="s">
        <v>91</v>
      </c>
      <c r="E22" s="1489" t="s">
        <v>3</v>
      </c>
      <c r="F22" s="1490" t="s">
        <v>93</v>
      </c>
      <c r="G22" s="1490" t="s">
        <v>93</v>
      </c>
      <c r="H22" s="1490" t="s">
        <v>94</v>
      </c>
      <c r="I22" s="1491"/>
      <c r="J22" s="1492"/>
      <c r="K22" s="1492"/>
      <c r="L22" s="1492"/>
      <c r="M22" s="1492"/>
      <c r="N22" s="1492"/>
      <c r="O22" s="1492"/>
      <c r="P22" s="1492"/>
      <c r="Q22" s="1492"/>
      <c r="R22" s="1492"/>
      <c r="S22" s="1492"/>
      <c r="T22" s="1492"/>
      <c r="U22" s="1492"/>
      <c r="V22" s="1492"/>
      <c r="W22" s="1492"/>
      <c r="X22" s="1492"/>
      <c r="Y22" s="1492"/>
      <c r="Z22" s="1492"/>
      <c r="AA22" s="1492"/>
      <c r="AB22" s="1492"/>
      <c r="AC22" s="1492"/>
      <c r="AD22" s="1492"/>
      <c r="AE22" s="1492"/>
      <c r="AF22" s="1492"/>
      <c r="AG22" s="1492"/>
      <c r="AH22" s="1492"/>
    </row>
    <row r="23" spans="1:34">
      <c r="A23" s="1440"/>
      <c r="B23" s="1440"/>
      <c r="C23" s="1471" t="s">
        <v>542</v>
      </c>
      <c r="D23" s="1494">
        <v>87.6</v>
      </c>
      <c r="E23" s="1494">
        <v>113.1</v>
      </c>
      <c r="F23" s="1495">
        <v>76</v>
      </c>
      <c r="G23" s="1495">
        <v>91.4</v>
      </c>
      <c r="H23" s="1495">
        <v>110.7</v>
      </c>
      <c r="I23" s="1458"/>
      <c r="AH23" s="1445"/>
    </row>
    <row r="24" spans="1:34" ht="38.1" customHeight="1">
      <c r="A24" s="1440"/>
      <c r="B24" s="1440"/>
      <c r="C24" s="1496" t="s">
        <v>543</v>
      </c>
      <c r="D24" s="1497"/>
      <c r="E24" s="1497"/>
      <c r="F24" s="1498"/>
      <c r="G24" s="1498"/>
      <c r="H24" s="1498"/>
      <c r="I24" s="1458"/>
      <c r="AH24" s="1445"/>
    </row>
    <row r="25" spans="1:34">
      <c r="A25" s="1440"/>
      <c r="B25" s="1440"/>
      <c r="C25" s="1499" t="s">
        <v>544</v>
      </c>
      <c r="D25" s="1500">
        <v>10.1</v>
      </c>
      <c r="E25" s="1500">
        <v>14.3</v>
      </c>
      <c r="F25" s="1501">
        <v>18.3</v>
      </c>
      <c r="G25" s="1501">
        <v>20.8</v>
      </c>
      <c r="H25" s="1501">
        <v>19.7</v>
      </c>
      <c r="I25" s="1458"/>
      <c r="AH25" s="1445"/>
    </row>
    <row r="26" spans="1:34">
      <c r="A26" s="1440"/>
      <c r="B26" s="1440"/>
      <c r="C26" s="1468"/>
      <c r="D26" s="1502"/>
      <c r="E26" s="1502"/>
      <c r="F26" s="1503"/>
      <c r="G26" s="1503"/>
      <c r="H26" s="1503"/>
      <c r="I26" s="1458"/>
      <c r="AH26" s="1445"/>
    </row>
    <row r="27" spans="1:34">
      <c r="A27" s="1440"/>
      <c r="B27" s="1440"/>
      <c r="C27" s="1460" t="s">
        <v>545</v>
      </c>
      <c r="D27" s="1494">
        <v>5.7</v>
      </c>
      <c r="E27" s="1494">
        <v>6.9</v>
      </c>
      <c r="F27" s="1495">
        <v>5.3</v>
      </c>
      <c r="G27" s="1495">
        <v>5.5</v>
      </c>
      <c r="H27" s="1495">
        <v>6.9</v>
      </c>
      <c r="I27" s="1458"/>
      <c r="AH27" s="1445"/>
    </row>
    <row r="28" spans="1:34" ht="24.9" customHeight="1">
      <c r="A28" s="1440"/>
      <c r="B28" s="1440"/>
      <c r="C28" s="1496" t="s">
        <v>546</v>
      </c>
      <c r="D28" s="1497"/>
      <c r="E28" s="1497"/>
      <c r="F28" s="1498"/>
      <c r="G28" s="1498"/>
      <c r="H28" s="1498"/>
      <c r="I28" s="1458"/>
      <c r="AH28" s="1445"/>
    </row>
    <row r="29" spans="1:34">
      <c r="A29" s="1440"/>
      <c r="B29" s="1440"/>
      <c r="C29" s="1499" t="s">
        <v>547</v>
      </c>
      <c r="D29" s="1502">
        <v>0.3</v>
      </c>
      <c r="E29" s="1502">
        <v>0.3</v>
      </c>
      <c r="F29" s="1503">
        <v>0.4</v>
      </c>
      <c r="G29" s="1503">
        <v>1.2</v>
      </c>
      <c r="H29" s="1503">
        <v>1.6</v>
      </c>
      <c r="I29" s="1458"/>
      <c r="AH29" s="1445"/>
    </row>
    <row r="30" spans="1:34" ht="24.9" customHeight="1">
      <c r="A30" s="1440"/>
      <c r="B30" s="1440"/>
      <c r="C30" s="1504" t="s">
        <v>548</v>
      </c>
      <c r="D30" s="1500"/>
      <c r="E30" s="1500"/>
      <c r="F30" s="1501"/>
      <c r="G30" s="1501"/>
      <c r="H30" s="1501"/>
      <c r="I30" s="1458"/>
      <c r="AH30" s="1445"/>
    </row>
    <row r="31" spans="1:34">
      <c r="A31" s="1440"/>
      <c r="B31" s="1440"/>
      <c r="C31" s="1460" t="s">
        <v>549</v>
      </c>
      <c r="D31" s="1505">
        <v>12.6</v>
      </c>
      <c r="E31" s="1505">
        <v>8.8000000000000007</v>
      </c>
      <c r="F31" s="1498">
        <v>8</v>
      </c>
      <c r="G31" s="1498">
        <v>8.6999999999999993</v>
      </c>
      <c r="H31" s="1498">
        <v>11.1</v>
      </c>
      <c r="I31" s="1506"/>
      <c r="AH31" s="1445"/>
    </row>
    <row r="32" spans="1:34" ht="26.1" customHeight="1">
      <c r="A32" s="1440"/>
      <c r="B32" s="1440"/>
      <c r="C32" s="1496" t="s">
        <v>550</v>
      </c>
      <c r="D32" s="1497"/>
      <c r="E32" s="1497"/>
      <c r="F32" s="1498"/>
      <c r="G32" s="1498"/>
      <c r="H32" s="1498"/>
      <c r="I32" s="1506"/>
      <c r="AH32" s="1445"/>
    </row>
    <row r="33" spans="1:34">
      <c r="A33" s="1440"/>
      <c r="B33" s="1440"/>
      <c r="C33" s="1468" t="s">
        <v>551</v>
      </c>
      <c r="D33" s="1502">
        <v>11</v>
      </c>
      <c r="E33" s="1502">
        <v>7.8</v>
      </c>
      <c r="F33" s="1503">
        <v>2.2000000000000002</v>
      </c>
      <c r="G33" s="1503">
        <v>2.2999999999999998</v>
      </c>
      <c r="H33" s="1503">
        <v>7.4</v>
      </c>
      <c r="I33" s="1506"/>
      <c r="AH33" s="1445"/>
    </row>
    <row r="34" spans="1:34" ht="30" customHeight="1">
      <c r="A34" s="1440"/>
      <c r="B34" s="1440"/>
      <c r="C34" s="1504" t="s">
        <v>552</v>
      </c>
      <c r="D34" s="1502"/>
      <c r="E34" s="1502"/>
      <c r="F34" s="1503"/>
      <c r="G34" s="1503"/>
      <c r="H34" s="1503"/>
      <c r="I34" s="1506"/>
      <c r="AH34" s="1445"/>
    </row>
    <row r="35" spans="1:34">
      <c r="A35" s="1440"/>
      <c r="B35" s="1440"/>
      <c r="C35" s="1507" t="s">
        <v>33</v>
      </c>
      <c r="D35" s="1508">
        <v>127.3</v>
      </c>
      <c r="E35" s="1508">
        <v>151.20000000000002</v>
      </c>
      <c r="F35" s="1498">
        <v>110.3</v>
      </c>
      <c r="G35" s="1498">
        <v>129.9</v>
      </c>
      <c r="H35" s="1498">
        <v>157.4</v>
      </c>
      <c r="I35" s="1506"/>
      <c r="AH35" s="1445"/>
    </row>
    <row r="36" spans="1:34">
      <c r="A36" s="1440"/>
      <c r="B36" s="1440"/>
      <c r="C36" s="1509"/>
      <c r="D36" s="1440"/>
      <c r="E36" s="1440"/>
      <c r="F36" s="1440"/>
      <c r="G36" s="1440"/>
      <c r="H36" s="1440"/>
      <c r="I36" s="1448"/>
    </row>
    <row r="37" spans="1:34">
      <c r="A37" s="1440"/>
      <c r="B37" s="1440"/>
      <c r="C37" s="1510"/>
      <c r="D37" s="1511"/>
      <c r="E37" s="1440"/>
      <c r="F37" s="1440"/>
      <c r="G37" s="1440"/>
      <c r="H37" s="1440"/>
      <c r="I37" s="1448"/>
    </row>
    <row r="38" spans="1:34" ht="19.2">
      <c r="A38" s="1440"/>
      <c r="B38" s="1440"/>
      <c r="C38" s="1512" t="s">
        <v>553</v>
      </c>
      <c r="D38" s="1440"/>
      <c r="E38" s="1440"/>
      <c r="F38" s="1440"/>
      <c r="G38" s="1440"/>
      <c r="H38" s="1440"/>
      <c r="I38" s="1453" t="s">
        <v>541</v>
      </c>
    </row>
    <row r="39" spans="1:34" ht="14.1" customHeight="1">
      <c r="A39" s="1440"/>
      <c r="B39" s="1440"/>
      <c r="C39" s="1454" t="s">
        <v>554</v>
      </c>
      <c r="D39" s="1440"/>
      <c r="E39" s="1440"/>
      <c r="F39" s="1440"/>
      <c r="G39" s="1440"/>
      <c r="H39" s="1440"/>
      <c r="I39" s="1448"/>
    </row>
    <row r="40" spans="1:34" ht="27" customHeight="1">
      <c r="A40" s="1440"/>
      <c r="B40" s="1440"/>
      <c r="C40" s="1447"/>
      <c r="D40" s="1457" t="s">
        <v>91</v>
      </c>
      <c r="E40" s="1513" t="s">
        <v>3</v>
      </c>
      <c r="F40" s="1514" t="s">
        <v>92</v>
      </c>
      <c r="G40" s="1440"/>
      <c r="I40" s="1448"/>
      <c r="AH40" s="1445"/>
    </row>
    <row r="41" spans="1:34">
      <c r="A41" s="1440"/>
      <c r="B41" s="1440"/>
      <c r="C41" s="1496" t="s">
        <v>555</v>
      </c>
      <c r="D41" s="1515">
        <v>11000</v>
      </c>
      <c r="E41" s="1516">
        <v>23000</v>
      </c>
      <c r="F41" s="1517">
        <v>36000</v>
      </c>
      <c r="G41" s="1440"/>
      <c r="I41" s="1448"/>
      <c r="AH41" s="1445"/>
    </row>
    <row r="42" spans="1:34">
      <c r="A42" s="1440"/>
      <c r="B42" s="1440"/>
      <c r="C42" s="1496" t="s">
        <v>556</v>
      </c>
      <c r="D42" s="1516">
        <v>13000</v>
      </c>
      <c r="E42" s="1516">
        <v>23000</v>
      </c>
      <c r="F42" s="1517">
        <v>120000</v>
      </c>
      <c r="G42" s="1440"/>
      <c r="I42" s="1448"/>
      <c r="AH42" s="1445"/>
    </row>
    <row r="43" spans="1:34">
      <c r="A43" s="1440"/>
      <c r="B43" s="1440"/>
      <c r="C43" s="1460" t="s">
        <v>557</v>
      </c>
      <c r="D43" s="1518">
        <f>SUM(D41:D42)</f>
        <v>24000</v>
      </c>
      <c r="E43" s="1518">
        <f>SUM(E41:E42)</f>
        <v>46000</v>
      </c>
      <c r="F43" s="1519">
        <f>SUM(F41:F42)</f>
        <v>156000</v>
      </c>
      <c r="G43" s="1440"/>
      <c r="I43" s="1448"/>
      <c r="AH43" s="1445"/>
    </row>
    <row r="44" spans="1:34">
      <c r="A44" s="1440"/>
      <c r="B44" s="1440"/>
      <c r="C44" s="1447"/>
      <c r="D44" s="1474"/>
      <c r="E44" s="1474"/>
      <c r="F44" s="1440"/>
      <c r="G44" s="1440"/>
      <c r="H44" s="1440"/>
      <c r="I44" s="1448"/>
      <c r="AH44" s="1445"/>
    </row>
    <row r="45" spans="1:34">
      <c r="A45" s="1440"/>
      <c r="B45" s="1440"/>
      <c r="C45" s="1520" t="s">
        <v>558</v>
      </c>
      <c r="D45" s="1521"/>
      <c r="E45" s="1521"/>
      <c r="F45" s="1521"/>
      <c r="G45" s="1521"/>
      <c r="H45" s="1521"/>
      <c r="I45" s="1448"/>
    </row>
    <row r="46" spans="1:34" ht="27" customHeight="1">
      <c r="C46" s="1963" t="s">
        <v>559</v>
      </c>
      <c r="D46" s="1964"/>
      <c r="E46" s="1964"/>
      <c r="F46" s="1964"/>
      <c r="G46" s="1964"/>
      <c r="H46" s="1964"/>
      <c r="I46" s="1522"/>
      <c r="J46" s="1523"/>
      <c r="K46" s="1446"/>
      <c r="L46" s="1446"/>
      <c r="M46" s="1446"/>
      <c r="N46" s="1446"/>
      <c r="O46" s="1446"/>
      <c r="P46" s="1446"/>
      <c r="Q46" s="1446"/>
      <c r="R46" s="1446"/>
      <c r="S46" s="1446"/>
      <c r="T46" s="1446"/>
      <c r="U46" s="1446"/>
      <c r="V46" s="1446"/>
      <c r="W46" s="1446"/>
      <c r="X46" s="1446"/>
      <c r="Y46" s="1446"/>
      <c r="Z46" s="1446"/>
      <c r="AA46" s="1446"/>
      <c r="AB46" s="1446"/>
      <c r="AC46" s="1446"/>
      <c r="AD46" s="1446"/>
      <c r="AE46" s="1446"/>
      <c r="AF46" s="1446"/>
      <c r="AG46" s="1446"/>
    </row>
    <row r="47" spans="1:34">
      <c r="A47" s="1440"/>
      <c r="B47" s="1440"/>
      <c r="C47" s="1524" t="s">
        <v>560</v>
      </c>
      <c r="D47" s="1525"/>
      <c r="E47" s="1525"/>
      <c r="F47" s="1525"/>
      <c r="G47" s="1525"/>
      <c r="H47" s="1525"/>
      <c r="I47" s="1526"/>
      <c r="J47" s="1484"/>
    </row>
    <row r="48" spans="1:34" ht="14.1" customHeight="1">
      <c r="A48" s="1440"/>
      <c r="B48" s="1440"/>
      <c r="C48" s="1509"/>
      <c r="D48" s="1440"/>
      <c r="E48" s="1440"/>
      <c r="F48" s="1440"/>
      <c r="G48" s="1440"/>
      <c r="H48" s="1440"/>
      <c r="I48" s="1448"/>
    </row>
    <row r="49" spans="1:34" ht="17.399999999999999">
      <c r="A49" s="1440"/>
      <c r="B49" s="1440"/>
      <c r="C49" s="1512" t="s">
        <v>324</v>
      </c>
      <c r="D49" s="1440"/>
      <c r="E49" s="1440"/>
      <c r="F49" s="1440"/>
      <c r="G49" s="1440"/>
      <c r="H49" s="1440"/>
      <c r="I49" s="1527"/>
    </row>
    <row r="50" spans="1:34" ht="14.1" customHeight="1">
      <c r="A50" s="1440"/>
      <c r="B50" s="1440"/>
      <c r="C50" s="1454" t="s">
        <v>561</v>
      </c>
      <c r="D50" s="1440"/>
      <c r="E50" s="1440"/>
      <c r="F50" s="1440"/>
      <c r="G50" s="1440"/>
      <c r="H50" s="1440"/>
      <c r="I50" s="1448"/>
    </row>
    <row r="51" spans="1:34" ht="27" customHeight="1">
      <c r="A51" s="1440"/>
      <c r="B51" s="1440"/>
      <c r="C51" s="1447"/>
      <c r="D51" s="1528" t="s">
        <v>91</v>
      </c>
      <c r="F51" s="1529"/>
      <c r="G51" s="1445"/>
      <c r="H51" s="1445"/>
      <c r="I51" s="1448"/>
      <c r="AH51" s="1445"/>
    </row>
    <row r="52" spans="1:34" ht="27" customHeight="1">
      <c r="A52" s="1440"/>
      <c r="B52" s="1440"/>
      <c r="C52" s="1496" t="s">
        <v>562</v>
      </c>
      <c r="D52" s="1530">
        <v>1000000</v>
      </c>
      <c r="F52" s="1531"/>
      <c r="G52" s="1445"/>
      <c r="H52" s="1445"/>
      <c r="I52" s="1448"/>
      <c r="AH52" s="1445"/>
    </row>
    <row r="53" spans="1:34">
      <c r="A53" s="1440"/>
      <c r="B53" s="1440"/>
      <c r="C53" s="1460"/>
      <c r="D53" s="1474"/>
      <c r="E53" s="1532"/>
      <c r="F53" s="1445"/>
      <c r="G53" s="1445"/>
      <c r="H53" s="1445"/>
      <c r="I53" s="1448"/>
      <c r="AH53" s="1445"/>
    </row>
    <row r="54" spans="1:34">
      <c r="A54" s="1440"/>
      <c r="B54" s="1440"/>
      <c r="C54" s="1533" t="s">
        <v>558</v>
      </c>
      <c r="D54" s="1534"/>
      <c r="E54" s="1535"/>
      <c r="F54" s="1535"/>
      <c r="G54" s="1535"/>
      <c r="H54" s="1535"/>
      <c r="I54" s="1448"/>
    </row>
    <row r="55" spans="1:34" ht="27" customHeight="1">
      <c r="A55" s="1440"/>
      <c r="B55" s="1440"/>
      <c r="C55" s="1958" t="s">
        <v>563</v>
      </c>
      <c r="D55" s="1959"/>
      <c r="E55" s="1959"/>
      <c r="F55" s="1959"/>
      <c r="G55" s="1959"/>
      <c r="H55" s="1959"/>
      <c r="I55" s="1536"/>
      <c r="J55" s="1484"/>
    </row>
    <row r="56" spans="1:34" ht="22.5" customHeight="1">
      <c r="C56" s="1958" t="s">
        <v>564</v>
      </c>
      <c r="D56" s="1959"/>
      <c r="E56" s="1959"/>
      <c r="F56" s="1959"/>
      <c r="G56" s="1959"/>
      <c r="H56" s="1959"/>
      <c r="I56" s="1536"/>
      <c r="J56" s="1523"/>
      <c r="K56" s="1446"/>
      <c r="L56" s="1446"/>
      <c r="M56" s="1446"/>
      <c r="N56" s="1446"/>
      <c r="O56" s="1446"/>
      <c r="P56" s="1446"/>
      <c r="Q56" s="1446"/>
      <c r="R56" s="1446"/>
      <c r="S56" s="1446"/>
      <c r="T56" s="1446"/>
      <c r="U56" s="1446"/>
      <c r="V56" s="1446"/>
      <c r="W56" s="1446"/>
      <c r="X56" s="1446"/>
      <c r="Y56" s="1446"/>
      <c r="Z56" s="1446"/>
      <c r="AA56" s="1446"/>
      <c r="AB56" s="1446"/>
      <c r="AC56" s="1446"/>
      <c r="AD56" s="1446"/>
      <c r="AE56" s="1446"/>
      <c r="AF56" s="1446"/>
      <c r="AG56" s="1446"/>
    </row>
    <row r="57" spans="1:34">
      <c r="A57" s="1445"/>
      <c r="B57" s="1445"/>
      <c r="C57" s="1537"/>
      <c r="D57" s="1538"/>
      <c r="E57" s="1538"/>
      <c r="F57" s="1538"/>
      <c r="G57" s="1538"/>
      <c r="H57" s="1539"/>
      <c r="I57" s="1540" t="s">
        <v>336</v>
      </c>
    </row>
    <row r="58" spans="1:34">
      <c r="A58" s="1445"/>
      <c r="B58" s="1445"/>
      <c r="C58" s="1445"/>
      <c r="D58" s="1445"/>
      <c r="E58" s="1445"/>
      <c r="F58" s="1445"/>
      <c r="G58" s="1445"/>
      <c r="H58" s="1445"/>
    </row>
    <row r="60" spans="1:34" s="1445" customFormat="1"/>
    <row r="61" spans="1:34" s="1445" customFormat="1"/>
    <row r="62" spans="1:34" s="1445" customFormat="1"/>
    <row r="63" spans="1:34" s="1445" customFormat="1"/>
    <row r="64" spans="1:34" s="1445" customFormat="1"/>
    <row r="65" spans="1:8" s="1445" customFormat="1">
      <c r="E65" s="1541"/>
    </row>
    <row r="66" spans="1:8" s="1445" customFormat="1"/>
    <row r="67" spans="1:8">
      <c r="A67" s="1445"/>
      <c r="B67" s="1445"/>
      <c r="C67" s="1445"/>
      <c r="D67" s="1445"/>
      <c r="E67" s="1445"/>
      <c r="F67" s="1445"/>
      <c r="G67" s="1445"/>
      <c r="H67" s="1445"/>
    </row>
    <row r="68" spans="1:8">
      <c r="A68" s="1445"/>
      <c r="B68" s="1445"/>
      <c r="C68" s="1445"/>
      <c r="D68" s="1445"/>
      <c r="E68" s="1445"/>
      <c r="F68" s="1445"/>
      <c r="G68" s="1445"/>
      <c r="H68" s="1445"/>
    </row>
    <row r="69" spans="1:8">
      <c r="A69" s="1445"/>
      <c r="B69" s="1445"/>
      <c r="C69" s="1445"/>
      <c r="D69" s="1445"/>
      <c r="E69" s="1445"/>
      <c r="F69" s="1445"/>
      <c r="G69" s="1445"/>
      <c r="H69" s="1445"/>
    </row>
    <row r="70" spans="1:8">
      <c r="A70" s="1445"/>
      <c r="B70" s="1445"/>
      <c r="C70" s="1445"/>
      <c r="D70" s="1445"/>
      <c r="E70" s="1445"/>
      <c r="F70" s="1445"/>
      <c r="G70" s="1445"/>
      <c r="H70" s="1445"/>
    </row>
    <row r="71" spans="1:8">
      <c r="A71" s="1445"/>
      <c r="B71" s="1445"/>
      <c r="C71" s="1445"/>
      <c r="D71" s="1445"/>
      <c r="E71" s="1445"/>
      <c r="F71" s="1445"/>
      <c r="G71" s="1445"/>
      <c r="H71" s="1445"/>
    </row>
    <row r="72" spans="1:8">
      <c r="A72" s="1445"/>
      <c r="B72" s="1445"/>
      <c r="C72" s="1445"/>
      <c r="D72" s="1445"/>
      <c r="E72" s="1445"/>
      <c r="F72" s="1445"/>
      <c r="G72" s="1445"/>
      <c r="H72" s="1445"/>
    </row>
    <row r="73" spans="1:8">
      <c r="A73" s="1445"/>
      <c r="B73" s="1445"/>
      <c r="C73" s="1445"/>
      <c r="D73" s="1445"/>
      <c r="E73" s="1445"/>
      <c r="F73" s="1445"/>
      <c r="G73" s="1445"/>
      <c r="H73" s="1445"/>
    </row>
    <row r="74" spans="1:8">
      <c r="A74" s="1445"/>
      <c r="B74" s="1445"/>
      <c r="C74" s="1445"/>
      <c r="D74" s="1445"/>
      <c r="E74" s="1445"/>
      <c r="F74" s="1445"/>
      <c r="G74" s="1445"/>
      <c r="H74" s="1445"/>
    </row>
    <row r="75" spans="1:8">
      <c r="A75" s="1445"/>
      <c r="B75" s="1445"/>
      <c r="C75" s="1445"/>
      <c r="D75" s="1445"/>
      <c r="E75" s="1445"/>
      <c r="F75" s="1445"/>
      <c r="G75" s="1445"/>
      <c r="H75" s="1445"/>
    </row>
    <row r="76" spans="1:8">
      <c r="A76" s="1445"/>
      <c r="B76" s="1445"/>
      <c r="C76" s="1445"/>
      <c r="D76" s="1445"/>
      <c r="E76" s="1445"/>
      <c r="F76" s="1445"/>
      <c r="G76" s="1445"/>
      <c r="H76" s="1445"/>
    </row>
    <row r="77" spans="1:8">
      <c r="A77" s="1445"/>
      <c r="B77" s="1445"/>
      <c r="C77" s="1445"/>
      <c r="D77" s="1445"/>
      <c r="E77" s="1445"/>
      <c r="F77" s="1445"/>
      <c r="G77" s="1445"/>
      <c r="H77" s="1445"/>
    </row>
    <row r="78" spans="1:8">
      <c r="A78" s="1445"/>
      <c r="B78" s="1445"/>
      <c r="C78" s="1445"/>
      <c r="D78" s="1445"/>
      <c r="E78" s="1445"/>
      <c r="F78" s="1445"/>
      <c r="G78" s="1445"/>
      <c r="H78" s="1445"/>
    </row>
    <row r="79" spans="1:8">
      <c r="A79" s="1445"/>
      <c r="B79" s="1445"/>
      <c r="C79" s="1445"/>
      <c r="D79" s="1445"/>
      <c r="E79" s="1445"/>
      <c r="F79" s="1445"/>
      <c r="G79" s="1445"/>
      <c r="H79" s="1445"/>
    </row>
    <row r="80" spans="1:8">
      <c r="A80" s="1445"/>
      <c r="B80" s="1445"/>
      <c r="C80" s="1445"/>
      <c r="D80" s="1445"/>
      <c r="E80" s="1445"/>
      <c r="F80" s="1445"/>
      <c r="G80" s="1445"/>
      <c r="H80" s="1445"/>
    </row>
    <row r="81" spans="1:8">
      <c r="A81" s="1445"/>
      <c r="B81" s="1445"/>
      <c r="C81" s="1445"/>
      <c r="D81" s="1445"/>
      <c r="E81" s="1445"/>
      <c r="F81" s="1445"/>
      <c r="G81" s="1445"/>
      <c r="H81" s="1445"/>
    </row>
    <row r="82" spans="1:8">
      <c r="A82" s="1445"/>
      <c r="B82" s="1445"/>
      <c r="C82" s="1445"/>
      <c r="D82" s="1445"/>
      <c r="E82" s="1445"/>
      <c r="F82" s="1445"/>
      <c r="G82" s="1445"/>
      <c r="H82" s="1445"/>
    </row>
    <row r="83" spans="1:8">
      <c r="A83" s="1445"/>
      <c r="B83" s="1445"/>
      <c r="C83" s="1445"/>
      <c r="D83" s="1445"/>
      <c r="E83" s="1445"/>
      <c r="F83" s="1445"/>
      <c r="G83" s="1445"/>
      <c r="H83" s="1445"/>
    </row>
    <row r="84" spans="1:8">
      <c r="A84" s="1445"/>
      <c r="B84" s="1445"/>
      <c r="C84" s="1445"/>
      <c r="D84" s="1445"/>
      <c r="E84" s="1445"/>
      <c r="F84" s="1445"/>
      <c r="G84" s="1445"/>
      <c r="H84" s="1445"/>
    </row>
    <row r="85" spans="1:8">
      <c r="A85" s="1445"/>
      <c r="B85" s="1445"/>
      <c r="C85" s="1445"/>
      <c r="D85" s="1445"/>
      <c r="E85" s="1445"/>
      <c r="F85" s="1445"/>
      <c r="G85" s="1445"/>
      <c r="H85" s="1445"/>
    </row>
    <row r="86" spans="1:8">
      <c r="A86" s="1445"/>
      <c r="B86" s="1445"/>
      <c r="C86" s="1445"/>
      <c r="D86" s="1445"/>
      <c r="E86" s="1445"/>
      <c r="F86" s="1445"/>
      <c r="G86" s="1445"/>
      <c r="H86" s="1445"/>
    </row>
    <row r="87" spans="1:8">
      <c r="A87" s="1445"/>
      <c r="B87" s="1445"/>
      <c r="C87" s="1445"/>
      <c r="D87" s="1445"/>
      <c r="E87" s="1445"/>
      <c r="F87" s="1445"/>
      <c r="G87" s="1445"/>
      <c r="H87" s="1445"/>
    </row>
    <row r="88" spans="1:8">
      <c r="A88" s="1445"/>
      <c r="B88" s="1445"/>
      <c r="C88" s="1445"/>
      <c r="D88" s="1445"/>
      <c r="E88" s="1445"/>
      <c r="F88" s="1445"/>
      <c r="G88" s="1445"/>
      <c r="H88" s="1445"/>
    </row>
    <row r="89" spans="1:8">
      <c r="A89" s="1445"/>
      <c r="B89" s="1445"/>
      <c r="C89" s="1445"/>
      <c r="D89" s="1445"/>
      <c r="E89" s="1445"/>
      <c r="F89" s="1445"/>
      <c r="G89" s="1445"/>
      <c r="H89" s="1445"/>
    </row>
    <row r="90" spans="1:8">
      <c r="A90" s="1445"/>
      <c r="B90" s="1445"/>
      <c r="C90" s="1445"/>
      <c r="D90" s="1445"/>
      <c r="E90" s="1445"/>
      <c r="F90" s="1445"/>
      <c r="G90" s="1445"/>
      <c r="H90" s="1445"/>
    </row>
    <row r="91" spans="1:8">
      <c r="A91" s="1445"/>
      <c r="B91" s="1445"/>
      <c r="C91" s="1445"/>
      <c r="D91" s="1445"/>
      <c r="E91" s="1445"/>
      <c r="F91" s="1445"/>
      <c r="G91" s="1445"/>
      <c r="H91" s="1445"/>
    </row>
    <row r="92" spans="1:8">
      <c r="A92" s="1445"/>
      <c r="B92" s="1445"/>
      <c r="C92" s="1445"/>
      <c r="D92" s="1445"/>
      <c r="E92" s="1445"/>
      <c r="F92" s="1445"/>
      <c r="G92" s="1445"/>
      <c r="H92" s="1445"/>
    </row>
    <row r="93" spans="1:8">
      <c r="A93" s="1445"/>
      <c r="B93" s="1445"/>
      <c r="C93" s="1445"/>
      <c r="D93" s="1445"/>
      <c r="E93" s="1445"/>
      <c r="F93" s="1445"/>
      <c r="G93" s="1445"/>
      <c r="H93" s="1445"/>
    </row>
    <row r="94" spans="1:8">
      <c r="A94" s="1445"/>
      <c r="B94" s="1445"/>
      <c r="C94" s="1445"/>
      <c r="D94" s="1445"/>
      <c r="E94" s="1445"/>
      <c r="F94" s="1445"/>
      <c r="G94" s="1445"/>
      <c r="H94" s="1445"/>
    </row>
    <row r="95" spans="1:8">
      <c r="A95" s="1445"/>
      <c r="B95" s="1445"/>
      <c r="C95" s="1445"/>
      <c r="D95" s="1445"/>
      <c r="E95" s="1445"/>
      <c r="F95" s="1445"/>
      <c r="G95" s="1445"/>
      <c r="H95" s="1445"/>
    </row>
    <row r="96" spans="1:8">
      <c r="A96" s="1445"/>
      <c r="B96" s="1445"/>
      <c r="C96" s="1445"/>
      <c r="D96" s="1445"/>
      <c r="E96" s="1445"/>
      <c r="F96" s="1445"/>
      <c r="G96" s="1445"/>
      <c r="H96" s="1445"/>
    </row>
    <row r="97" spans="1:8">
      <c r="A97" s="1445"/>
      <c r="B97" s="1445"/>
      <c r="C97" s="1445"/>
      <c r="D97" s="1445"/>
      <c r="E97" s="1445"/>
      <c r="F97" s="1445"/>
      <c r="G97" s="1445"/>
      <c r="H97" s="1445"/>
    </row>
    <row r="98" spans="1:8">
      <c r="A98" s="1445"/>
      <c r="B98" s="1445"/>
      <c r="C98" s="1445"/>
      <c r="D98" s="1445"/>
      <c r="E98" s="1445"/>
      <c r="F98" s="1445"/>
      <c r="G98" s="1445"/>
      <c r="H98" s="1445"/>
    </row>
    <row r="99" spans="1:8">
      <c r="A99" s="1445"/>
      <c r="B99" s="1445"/>
      <c r="C99" s="1445"/>
      <c r="D99" s="1445"/>
      <c r="E99" s="1445"/>
      <c r="F99" s="1445"/>
      <c r="G99" s="1445"/>
      <c r="H99" s="1445"/>
    </row>
    <row r="100" spans="1:8">
      <c r="A100" s="1445"/>
      <c r="B100" s="1445"/>
      <c r="C100" s="1445"/>
      <c r="D100" s="1445"/>
      <c r="E100" s="1445"/>
      <c r="F100" s="1445"/>
      <c r="G100" s="1445"/>
      <c r="H100" s="1445"/>
    </row>
    <row r="101" spans="1:8">
      <c r="A101" s="1445"/>
      <c r="B101" s="1445"/>
      <c r="C101" s="1445"/>
      <c r="D101" s="1445"/>
      <c r="E101" s="1445"/>
      <c r="F101" s="1445"/>
      <c r="G101" s="1445"/>
      <c r="H101" s="1445"/>
    </row>
    <row r="102" spans="1:8">
      <c r="A102" s="1445"/>
      <c r="B102" s="1445"/>
      <c r="C102" s="1445"/>
      <c r="D102" s="1445"/>
      <c r="E102" s="1445"/>
      <c r="F102" s="1445"/>
      <c r="G102" s="1445"/>
      <c r="H102" s="1445"/>
    </row>
    <row r="103" spans="1:8">
      <c r="A103" s="1445"/>
      <c r="B103" s="1445"/>
      <c r="C103" s="1445"/>
      <c r="D103" s="1445"/>
      <c r="E103" s="1445"/>
      <c r="F103" s="1445"/>
      <c r="G103" s="1445"/>
      <c r="H103" s="1445"/>
    </row>
    <row r="104" spans="1:8">
      <c r="A104" s="1445"/>
      <c r="B104" s="1445"/>
      <c r="C104" s="1445"/>
      <c r="D104" s="1445"/>
      <c r="E104" s="1445"/>
      <c r="F104" s="1445"/>
      <c r="G104" s="1445"/>
      <c r="H104" s="1445"/>
    </row>
    <row r="105" spans="1:8">
      <c r="A105" s="1445"/>
      <c r="B105" s="1445"/>
      <c r="C105" s="1445"/>
      <c r="D105" s="1445"/>
      <c r="E105" s="1445"/>
      <c r="F105" s="1445"/>
      <c r="G105" s="1445"/>
      <c r="H105" s="1445"/>
    </row>
    <row r="106" spans="1:8">
      <c r="A106" s="1445"/>
      <c r="B106" s="1445"/>
      <c r="C106" s="1445"/>
      <c r="D106" s="1445"/>
      <c r="E106" s="1445"/>
      <c r="F106" s="1445"/>
      <c r="G106" s="1445"/>
      <c r="H106" s="1445"/>
    </row>
    <row r="107" spans="1:8">
      <c r="A107" s="1445"/>
      <c r="B107" s="1445"/>
      <c r="C107" s="1445"/>
      <c r="D107" s="1445"/>
      <c r="E107" s="1445"/>
      <c r="F107" s="1445"/>
      <c r="G107" s="1445"/>
      <c r="H107" s="1445"/>
    </row>
    <row r="108" spans="1:8">
      <c r="A108" s="1445"/>
      <c r="B108" s="1445"/>
      <c r="C108" s="1445"/>
      <c r="D108" s="1445"/>
      <c r="E108" s="1445"/>
      <c r="F108" s="1445"/>
      <c r="G108" s="1445"/>
      <c r="H108" s="1445"/>
    </row>
    <row r="109" spans="1:8">
      <c r="A109" s="1445"/>
      <c r="B109" s="1445"/>
      <c r="C109" s="1445"/>
      <c r="D109" s="1445"/>
      <c r="E109" s="1445"/>
      <c r="F109" s="1445"/>
      <c r="G109" s="1445"/>
      <c r="H109" s="1445"/>
    </row>
    <row r="110" spans="1:8">
      <c r="A110" s="1445"/>
      <c r="B110" s="1445"/>
      <c r="C110" s="1445"/>
      <c r="D110" s="1445"/>
      <c r="E110" s="1445"/>
      <c r="F110" s="1445"/>
      <c r="G110" s="1445"/>
      <c r="H110" s="1445"/>
    </row>
    <row r="111" spans="1:8">
      <c r="A111" s="1445"/>
      <c r="B111" s="1445"/>
      <c r="C111" s="1445"/>
      <c r="D111" s="1445"/>
      <c r="E111" s="1445"/>
      <c r="F111" s="1445"/>
      <c r="G111" s="1445"/>
      <c r="H111" s="1445"/>
    </row>
    <row r="112" spans="1:8">
      <c r="A112" s="1445"/>
      <c r="B112" s="1445"/>
      <c r="C112" s="1445"/>
      <c r="D112" s="1445"/>
      <c r="E112" s="1445"/>
      <c r="F112" s="1445"/>
      <c r="G112" s="1445"/>
      <c r="H112" s="1445"/>
    </row>
    <row r="113" spans="1:8">
      <c r="A113" s="1445"/>
      <c r="B113" s="1445"/>
      <c r="C113" s="1445"/>
      <c r="D113" s="1445"/>
      <c r="E113" s="1445"/>
      <c r="F113" s="1445"/>
      <c r="G113" s="1445"/>
      <c r="H113" s="1445"/>
    </row>
    <row r="114" spans="1:8">
      <c r="A114" s="1445"/>
      <c r="B114" s="1445"/>
      <c r="C114" s="1445"/>
      <c r="D114" s="1445"/>
      <c r="E114" s="1445"/>
      <c r="F114" s="1445"/>
      <c r="G114" s="1445"/>
      <c r="H114" s="1445"/>
    </row>
    <row r="115" spans="1:8">
      <c r="A115" s="1445"/>
      <c r="B115" s="1445"/>
      <c r="C115" s="1445"/>
      <c r="D115" s="1445"/>
      <c r="E115" s="1445"/>
      <c r="F115" s="1445"/>
      <c r="G115" s="1445"/>
      <c r="H115" s="1445"/>
    </row>
    <row r="116" spans="1:8">
      <c r="A116" s="1445"/>
      <c r="B116" s="1445"/>
      <c r="C116" s="1445"/>
      <c r="D116" s="1445"/>
      <c r="E116" s="1445"/>
      <c r="F116" s="1445"/>
      <c r="G116" s="1445"/>
      <c r="H116" s="1445"/>
    </row>
    <row r="117" spans="1:8">
      <c r="A117" s="1445"/>
      <c r="B117" s="1445"/>
      <c r="C117" s="1445"/>
      <c r="D117" s="1445"/>
      <c r="E117" s="1445"/>
      <c r="F117" s="1445"/>
      <c r="G117" s="1445"/>
      <c r="H117" s="1445"/>
    </row>
    <row r="118" spans="1:8">
      <c r="A118" s="1445"/>
      <c r="B118" s="1445"/>
      <c r="C118" s="1445"/>
      <c r="D118" s="1445"/>
      <c r="E118" s="1445"/>
      <c r="F118" s="1445"/>
      <c r="G118" s="1445"/>
      <c r="H118" s="1445"/>
    </row>
    <row r="119" spans="1:8">
      <c r="A119" s="1445"/>
      <c r="B119" s="1445"/>
      <c r="C119" s="1445"/>
      <c r="D119" s="1445"/>
      <c r="E119" s="1445"/>
      <c r="F119" s="1445"/>
      <c r="G119" s="1445"/>
      <c r="H119" s="1445"/>
    </row>
    <row r="120" spans="1:8">
      <c r="A120" s="1445"/>
      <c r="B120" s="1445"/>
      <c r="C120" s="1445"/>
      <c r="D120" s="1445"/>
      <c r="E120" s="1445"/>
      <c r="F120" s="1445"/>
      <c r="G120" s="1445"/>
      <c r="H120" s="1445"/>
    </row>
    <row r="121" spans="1:8">
      <c r="A121" s="1445"/>
      <c r="B121" s="1445"/>
      <c r="C121" s="1445"/>
      <c r="D121" s="1445"/>
      <c r="E121" s="1445"/>
      <c r="F121" s="1445"/>
      <c r="G121" s="1445"/>
      <c r="H121" s="1445"/>
    </row>
    <row r="122" spans="1:8">
      <c r="A122" s="1445"/>
      <c r="B122" s="1445"/>
      <c r="C122" s="1445"/>
      <c r="D122" s="1445"/>
      <c r="E122" s="1445"/>
      <c r="F122" s="1445"/>
      <c r="G122" s="1445"/>
      <c r="H122" s="1445"/>
    </row>
    <row r="123" spans="1:8">
      <c r="A123" s="1445"/>
      <c r="B123" s="1445"/>
      <c r="C123" s="1445"/>
      <c r="D123" s="1445"/>
      <c r="E123" s="1445"/>
      <c r="F123" s="1445"/>
      <c r="G123" s="1445"/>
      <c r="H123" s="1445"/>
    </row>
    <row r="124" spans="1:8">
      <c r="A124" s="1445"/>
      <c r="B124" s="1445"/>
      <c r="C124" s="1445"/>
      <c r="D124" s="1445"/>
      <c r="E124" s="1445"/>
      <c r="F124" s="1445"/>
      <c r="G124" s="1445"/>
      <c r="H124" s="1445"/>
    </row>
    <row r="125" spans="1:8">
      <c r="A125" s="1445"/>
      <c r="B125" s="1445"/>
      <c r="C125" s="1445"/>
      <c r="D125" s="1445"/>
      <c r="E125" s="1445"/>
      <c r="F125" s="1445"/>
      <c r="G125" s="1445"/>
      <c r="H125" s="1445"/>
    </row>
    <row r="126" spans="1:8">
      <c r="A126" s="1445"/>
      <c r="B126" s="1445"/>
      <c r="C126" s="1445"/>
      <c r="D126" s="1445"/>
      <c r="E126" s="1445"/>
      <c r="F126" s="1445"/>
      <c r="G126" s="1445"/>
      <c r="H126" s="1445"/>
    </row>
    <row r="127" spans="1:8">
      <c r="A127" s="1445"/>
      <c r="B127" s="1445"/>
      <c r="C127" s="1445"/>
      <c r="D127" s="1445"/>
      <c r="E127" s="1445"/>
      <c r="F127" s="1445"/>
      <c r="G127" s="1445"/>
      <c r="H127" s="1445"/>
    </row>
    <row r="128" spans="1:8">
      <c r="A128" s="1445"/>
      <c r="B128" s="1445"/>
      <c r="C128" s="1445"/>
      <c r="D128" s="1445"/>
      <c r="E128" s="1445"/>
      <c r="F128" s="1445"/>
      <c r="G128" s="1445"/>
      <c r="H128" s="1445"/>
    </row>
    <row r="129" spans="1:8">
      <c r="A129" s="1445"/>
      <c r="B129" s="1445"/>
      <c r="C129" s="1445"/>
      <c r="D129" s="1445"/>
      <c r="E129" s="1445"/>
      <c r="F129" s="1445"/>
      <c r="G129" s="1445"/>
      <c r="H129" s="1445"/>
    </row>
    <row r="130" spans="1:8">
      <c r="A130" s="1445"/>
      <c r="B130" s="1445"/>
      <c r="C130" s="1445"/>
      <c r="D130" s="1445"/>
      <c r="E130" s="1445"/>
      <c r="F130" s="1445"/>
      <c r="G130" s="1445"/>
      <c r="H130" s="1445"/>
    </row>
    <row r="131" spans="1:8">
      <c r="A131" s="1445"/>
      <c r="B131" s="1445"/>
      <c r="C131" s="1445"/>
      <c r="D131" s="1445"/>
      <c r="E131" s="1445"/>
      <c r="F131" s="1445"/>
      <c r="G131" s="1445"/>
      <c r="H131" s="1445"/>
    </row>
    <row r="132" spans="1:8">
      <c r="A132" s="1445"/>
      <c r="B132" s="1445"/>
      <c r="C132" s="1445"/>
      <c r="D132" s="1445"/>
      <c r="E132" s="1445"/>
      <c r="F132" s="1445"/>
      <c r="G132" s="1445"/>
      <c r="H132" s="1445"/>
    </row>
    <row r="133" spans="1:8">
      <c r="A133" s="1445"/>
      <c r="B133" s="1445"/>
      <c r="C133" s="1445"/>
      <c r="D133" s="1445"/>
      <c r="E133" s="1445"/>
      <c r="F133" s="1445"/>
      <c r="G133" s="1445"/>
      <c r="H133" s="1445"/>
    </row>
    <row r="134" spans="1:8">
      <c r="A134" s="1445"/>
      <c r="B134" s="1445"/>
      <c r="C134" s="1445"/>
      <c r="D134" s="1445"/>
      <c r="E134" s="1445"/>
      <c r="F134" s="1445"/>
      <c r="G134" s="1445"/>
      <c r="H134" s="1445"/>
    </row>
    <row r="135" spans="1:8">
      <c r="A135" s="1445"/>
      <c r="B135" s="1445"/>
      <c r="C135" s="1445"/>
      <c r="D135" s="1445"/>
      <c r="E135" s="1445"/>
      <c r="F135" s="1445"/>
      <c r="G135" s="1445"/>
      <c r="H135" s="1445"/>
    </row>
    <row r="136" spans="1:8">
      <c r="A136" s="1445"/>
      <c r="B136" s="1445"/>
      <c r="C136" s="1445"/>
      <c r="D136" s="1445"/>
      <c r="E136" s="1445"/>
      <c r="F136" s="1445"/>
      <c r="G136" s="1445"/>
      <c r="H136" s="1445"/>
    </row>
    <row r="137" spans="1:8">
      <c r="A137" s="1445"/>
      <c r="B137" s="1445"/>
      <c r="C137" s="1445"/>
      <c r="D137" s="1445"/>
      <c r="E137" s="1445"/>
      <c r="F137" s="1445"/>
      <c r="G137" s="1445"/>
      <c r="H137" s="1445"/>
    </row>
    <row r="138" spans="1:8">
      <c r="A138" s="1445"/>
      <c r="B138" s="1445"/>
      <c r="C138" s="1445"/>
      <c r="D138" s="1445"/>
      <c r="E138" s="1445"/>
      <c r="F138" s="1445"/>
      <c r="G138" s="1445"/>
      <c r="H138" s="1445"/>
    </row>
    <row r="139" spans="1:8">
      <c r="A139" s="1445"/>
      <c r="B139" s="1445"/>
      <c r="C139" s="1445"/>
      <c r="D139" s="1445"/>
      <c r="E139" s="1445"/>
      <c r="F139" s="1445"/>
      <c r="G139" s="1445"/>
      <c r="H139" s="1445"/>
    </row>
    <row r="140" spans="1:8">
      <c r="A140" s="1445"/>
      <c r="B140" s="1445"/>
      <c r="C140" s="1445"/>
      <c r="D140" s="1445"/>
      <c r="E140" s="1445"/>
      <c r="F140" s="1445"/>
      <c r="G140" s="1445"/>
      <c r="H140" s="1445"/>
    </row>
    <row r="141" spans="1:8">
      <c r="A141" s="1445"/>
      <c r="B141" s="1445"/>
      <c r="C141" s="1445"/>
      <c r="D141" s="1445"/>
      <c r="E141" s="1445"/>
      <c r="F141" s="1445"/>
      <c r="G141" s="1445"/>
      <c r="H141" s="1445"/>
    </row>
    <row r="142" spans="1:8">
      <c r="A142" s="1445"/>
      <c r="B142" s="1445"/>
      <c r="C142" s="1445"/>
      <c r="D142" s="1445"/>
      <c r="E142" s="1445"/>
      <c r="F142" s="1445"/>
      <c r="G142" s="1445"/>
      <c r="H142" s="1445"/>
    </row>
    <row r="143" spans="1:8">
      <c r="A143" s="1445"/>
      <c r="B143" s="1445"/>
      <c r="C143" s="1445"/>
      <c r="D143" s="1445"/>
      <c r="E143" s="1445"/>
      <c r="F143" s="1445"/>
      <c r="G143" s="1445"/>
      <c r="H143" s="1445"/>
    </row>
    <row r="144" spans="1:8">
      <c r="A144" s="1445"/>
      <c r="B144" s="1445"/>
      <c r="C144" s="1445"/>
      <c r="D144" s="1445"/>
      <c r="E144" s="1445"/>
      <c r="F144" s="1445"/>
      <c r="G144" s="1445"/>
      <c r="H144" s="1445"/>
    </row>
    <row r="145" spans="1:8">
      <c r="A145" s="1445"/>
      <c r="B145" s="1445"/>
      <c r="C145" s="1445"/>
      <c r="D145" s="1445"/>
      <c r="E145" s="1445"/>
      <c r="F145" s="1445"/>
      <c r="G145" s="1445"/>
      <c r="H145" s="1445"/>
    </row>
    <row r="146" spans="1:8">
      <c r="A146" s="1445"/>
      <c r="B146" s="1445"/>
      <c r="C146" s="1445"/>
      <c r="D146" s="1445"/>
      <c r="E146" s="1445"/>
      <c r="F146" s="1445"/>
      <c r="G146" s="1445"/>
      <c r="H146" s="1445"/>
    </row>
    <row r="147" spans="1:8">
      <c r="A147" s="1445"/>
      <c r="B147" s="1445"/>
      <c r="C147" s="1445"/>
      <c r="D147" s="1445"/>
      <c r="E147" s="1445"/>
      <c r="F147" s="1445"/>
      <c r="G147" s="1445"/>
      <c r="H147" s="1445"/>
    </row>
    <row r="148" spans="1:8">
      <c r="A148" s="1445"/>
      <c r="B148" s="1445"/>
      <c r="C148" s="1445"/>
      <c r="D148" s="1445"/>
      <c r="E148" s="1445"/>
      <c r="F148" s="1445"/>
      <c r="G148" s="1445"/>
      <c r="H148" s="1445"/>
    </row>
    <row r="149" spans="1:8">
      <c r="A149" s="1445"/>
      <c r="B149" s="1445"/>
      <c r="C149" s="1445"/>
      <c r="D149" s="1445"/>
      <c r="E149" s="1445"/>
      <c r="F149" s="1445"/>
      <c r="G149" s="1445"/>
      <c r="H149" s="1445"/>
    </row>
    <row r="150" spans="1:8">
      <c r="A150" s="1445"/>
      <c r="B150" s="1445"/>
      <c r="C150" s="1445"/>
      <c r="D150" s="1445"/>
      <c r="E150" s="1445"/>
      <c r="F150" s="1445"/>
      <c r="G150" s="1445"/>
      <c r="H150" s="1445"/>
    </row>
    <row r="151" spans="1:8">
      <c r="A151" s="1445"/>
      <c r="B151" s="1445"/>
      <c r="C151" s="1445"/>
      <c r="D151" s="1445"/>
      <c r="E151" s="1445"/>
      <c r="F151" s="1445"/>
      <c r="G151" s="1445"/>
      <c r="H151" s="1445"/>
    </row>
    <row r="152" spans="1:8">
      <c r="A152" s="1445"/>
      <c r="B152" s="1445"/>
      <c r="C152" s="1445"/>
      <c r="D152" s="1445"/>
      <c r="E152" s="1445"/>
      <c r="F152" s="1445"/>
      <c r="G152" s="1445"/>
      <c r="H152" s="1445"/>
    </row>
    <row r="153" spans="1:8">
      <c r="A153" s="1445"/>
      <c r="B153" s="1445"/>
      <c r="C153" s="1445"/>
      <c r="D153" s="1445"/>
      <c r="E153" s="1445"/>
      <c r="F153" s="1445"/>
      <c r="G153" s="1445"/>
      <c r="H153" s="1445"/>
    </row>
    <row r="154" spans="1:8">
      <c r="A154" s="1445"/>
      <c r="B154" s="1445"/>
      <c r="C154" s="1445"/>
      <c r="D154" s="1445"/>
      <c r="E154" s="1445"/>
      <c r="F154" s="1445"/>
      <c r="G154" s="1445"/>
      <c r="H154" s="1445"/>
    </row>
    <row r="155" spans="1:8">
      <c r="A155" s="1445"/>
      <c r="B155" s="1445"/>
      <c r="C155" s="1445"/>
      <c r="D155" s="1445"/>
      <c r="E155" s="1445"/>
      <c r="F155" s="1445"/>
      <c r="G155" s="1445"/>
      <c r="H155" s="1445"/>
    </row>
    <row r="156" spans="1:8">
      <c r="A156" s="1445"/>
      <c r="B156" s="1445"/>
      <c r="C156" s="1445"/>
      <c r="D156" s="1445"/>
      <c r="E156" s="1445"/>
      <c r="F156" s="1445"/>
      <c r="G156" s="1445"/>
      <c r="H156" s="1445"/>
    </row>
    <row r="157" spans="1:8">
      <c r="A157" s="1445"/>
      <c r="B157" s="1445"/>
      <c r="C157" s="1445"/>
      <c r="D157" s="1445"/>
      <c r="E157" s="1445"/>
      <c r="F157" s="1445"/>
      <c r="G157" s="1445"/>
      <c r="H157" s="1445"/>
    </row>
    <row r="158" spans="1:8">
      <c r="A158" s="1445"/>
      <c r="B158" s="1445"/>
      <c r="C158" s="1445"/>
      <c r="D158" s="1445"/>
      <c r="E158" s="1445"/>
      <c r="F158" s="1445"/>
      <c r="G158" s="1445"/>
      <c r="H158" s="1445"/>
    </row>
    <row r="159" spans="1:8">
      <c r="A159" s="1445"/>
      <c r="B159" s="1445"/>
      <c r="C159" s="1445"/>
      <c r="D159" s="1445"/>
      <c r="E159" s="1445"/>
      <c r="F159" s="1445"/>
      <c r="G159" s="1445"/>
      <c r="H159" s="1445"/>
    </row>
    <row r="160" spans="1:8">
      <c r="A160" s="1445"/>
      <c r="B160" s="1445"/>
      <c r="C160" s="1445"/>
      <c r="D160" s="1445"/>
      <c r="E160" s="1445"/>
      <c r="F160" s="1445"/>
      <c r="G160" s="1445"/>
      <c r="H160" s="1445"/>
    </row>
    <row r="161" spans="1:8">
      <c r="A161" s="1445"/>
      <c r="B161" s="1445"/>
      <c r="C161" s="1445"/>
      <c r="D161" s="1445"/>
      <c r="E161" s="1445"/>
      <c r="F161" s="1445"/>
      <c r="G161" s="1445"/>
      <c r="H161" s="1445"/>
    </row>
    <row r="162" spans="1:8">
      <c r="A162" s="1445"/>
      <c r="B162" s="1445"/>
      <c r="C162" s="1445"/>
      <c r="D162" s="1445"/>
      <c r="E162" s="1445"/>
      <c r="F162" s="1445"/>
      <c r="G162" s="1445"/>
      <c r="H162" s="1445"/>
    </row>
    <row r="163" spans="1:8">
      <c r="A163" s="1445"/>
      <c r="B163" s="1445"/>
      <c r="C163" s="1445"/>
      <c r="D163" s="1445"/>
      <c r="E163" s="1445"/>
      <c r="F163" s="1445"/>
      <c r="G163" s="1445"/>
      <c r="H163" s="1445"/>
    </row>
    <row r="164" spans="1:8">
      <c r="A164" s="1445"/>
      <c r="B164" s="1445"/>
      <c r="C164" s="1445"/>
      <c r="D164" s="1445"/>
      <c r="E164" s="1445"/>
      <c r="F164" s="1445"/>
      <c r="G164" s="1445"/>
      <c r="H164" s="1445"/>
    </row>
    <row r="165" spans="1:8">
      <c r="A165" s="1445"/>
      <c r="B165" s="1445"/>
      <c r="C165" s="1445"/>
      <c r="D165" s="1445"/>
      <c r="E165" s="1445"/>
      <c r="F165" s="1445"/>
      <c r="G165" s="1445"/>
      <c r="H165" s="1445"/>
    </row>
    <row r="166" spans="1:8">
      <c r="A166" s="1445"/>
      <c r="B166" s="1445"/>
      <c r="C166" s="1445"/>
      <c r="D166" s="1445"/>
      <c r="E166" s="1445"/>
      <c r="F166" s="1445"/>
      <c r="G166" s="1445"/>
      <c r="H166" s="1445"/>
    </row>
    <row r="167" spans="1:8">
      <c r="A167" s="1445"/>
      <c r="B167" s="1445"/>
      <c r="C167" s="1445"/>
      <c r="D167" s="1445"/>
      <c r="E167" s="1445"/>
      <c r="F167" s="1445"/>
      <c r="G167" s="1445"/>
      <c r="H167" s="1445"/>
    </row>
    <row r="168" spans="1:8">
      <c r="A168" s="1445"/>
      <c r="B168" s="1445"/>
      <c r="C168" s="1445"/>
      <c r="D168" s="1445"/>
      <c r="E168" s="1445"/>
      <c r="F168" s="1445"/>
      <c r="G168" s="1445"/>
      <c r="H168" s="1445"/>
    </row>
    <row r="169" spans="1:8">
      <c r="A169" s="1445"/>
      <c r="B169" s="1445"/>
      <c r="C169" s="1445"/>
      <c r="D169" s="1445"/>
      <c r="E169" s="1445"/>
      <c r="F169" s="1445"/>
      <c r="G169" s="1445"/>
      <c r="H169" s="1445"/>
    </row>
    <row r="170" spans="1:8">
      <c r="A170" s="1445"/>
      <c r="B170" s="1445"/>
      <c r="C170" s="1445"/>
      <c r="D170" s="1445"/>
      <c r="E170" s="1445"/>
      <c r="F170" s="1445"/>
      <c r="G170" s="1445"/>
      <c r="H170" s="1445"/>
    </row>
    <row r="171" spans="1:8">
      <c r="A171" s="1445"/>
      <c r="B171" s="1445"/>
      <c r="C171" s="1445"/>
      <c r="D171" s="1445"/>
      <c r="E171" s="1445"/>
      <c r="F171" s="1445"/>
      <c r="G171" s="1445"/>
      <c r="H171" s="1445"/>
    </row>
    <row r="172" spans="1:8">
      <c r="A172" s="1445"/>
      <c r="B172" s="1445"/>
      <c r="C172" s="1445"/>
      <c r="D172" s="1445"/>
      <c r="E172" s="1445"/>
      <c r="F172" s="1445"/>
      <c r="G172" s="1445"/>
      <c r="H172" s="1445"/>
    </row>
    <row r="173" spans="1:8">
      <c r="A173" s="1445"/>
      <c r="B173" s="1445"/>
      <c r="C173" s="1445"/>
      <c r="D173" s="1445"/>
      <c r="E173" s="1445"/>
      <c r="F173" s="1445"/>
      <c r="G173" s="1445"/>
      <c r="H173" s="1445"/>
    </row>
    <row r="174" spans="1:8">
      <c r="A174" s="1445"/>
      <c r="B174" s="1445"/>
      <c r="C174" s="1445"/>
      <c r="D174" s="1445"/>
      <c r="E174" s="1445"/>
      <c r="F174" s="1445"/>
      <c r="G174" s="1445"/>
      <c r="H174" s="1445"/>
    </row>
    <row r="175" spans="1:8">
      <c r="A175" s="1445"/>
      <c r="B175" s="1445"/>
      <c r="C175" s="1445"/>
      <c r="D175" s="1445"/>
      <c r="E175" s="1445"/>
      <c r="F175" s="1445"/>
      <c r="G175" s="1445"/>
      <c r="H175" s="1445"/>
    </row>
    <row r="176" spans="1:8">
      <c r="A176" s="1445"/>
      <c r="B176" s="1445"/>
      <c r="C176" s="1445"/>
      <c r="D176" s="1445"/>
      <c r="E176" s="1445"/>
      <c r="F176" s="1445"/>
      <c r="G176" s="1445"/>
      <c r="H176" s="1445"/>
    </row>
    <row r="177" spans="1:8">
      <c r="A177" s="1445"/>
      <c r="B177" s="1445"/>
      <c r="C177" s="1445"/>
      <c r="D177" s="1445"/>
      <c r="E177" s="1445"/>
      <c r="F177" s="1445"/>
      <c r="G177" s="1445"/>
      <c r="H177" s="1445"/>
    </row>
    <row r="178" spans="1:8">
      <c r="A178" s="1445"/>
      <c r="B178" s="1445"/>
      <c r="C178" s="1445"/>
      <c r="D178" s="1445"/>
      <c r="E178" s="1445"/>
      <c r="F178" s="1445"/>
      <c r="G178" s="1445"/>
      <c r="H178" s="1445"/>
    </row>
    <row r="179" spans="1:8">
      <c r="A179" s="1445"/>
      <c r="B179" s="1445"/>
      <c r="C179" s="1445"/>
      <c r="D179" s="1445"/>
      <c r="E179" s="1445"/>
      <c r="F179" s="1445"/>
      <c r="G179" s="1445"/>
      <c r="H179" s="1445"/>
    </row>
    <row r="180" spans="1:8">
      <c r="A180" s="1445"/>
      <c r="B180" s="1445"/>
      <c r="C180" s="1445"/>
      <c r="D180" s="1445"/>
      <c r="E180" s="1445"/>
      <c r="F180" s="1445"/>
      <c r="G180" s="1445"/>
      <c r="H180" s="1445"/>
    </row>
    <row r="181" spans="1:8">
      <c r="A181" s="1445"/>
      <c r="B181" s="1445"/>
      <c r="C181" s="1445"/>
      <c r="D181" s="1445"/>
      <c r="E181" s="1445"/>
      <c r="F181" s="1445"/>
      <c r="G181" s="1445"/>
      <c r="H181" s="1445"/>
    </row>
    <row r="182" spans="1:8">
      <c r="A182" s="1445"/>
      <c r="B182" s="1445"/>
      <c r="C182" s="1445"/>
      <c r="D182" s="1445"/>
      <c r="E182" s="1445"/>
      <c r="F182" s="1445"/>
      <c r="G182" s="1445"/>
      <c r="H182" s="1445"/>
    </row>
    <row r="183" spans="1:8">
      <c r="A183" s="1445"/>
      <c r="B183" s="1445"/>
      <c r="C183" s="1445"/>
      <c r="D183" s="1445"/>
      <c r="E183" s="1445"/>
      <c r="F183" s="1445"/>
      <c r="G183" s="1445"/>
      <c r="H183" s="1445"/>
    </row>
    <row r="184" spans="1:8">
      <c r="A184" s="1445"/>
      <c r="B184" s="1445"/>
      <c r="C184" s="1445"/>
      <c r="D184" s="1445"/>
      <c r="E184" s="1445"/>
      <c r="F184" s="1445"/>
      <c r="G184" s="1445"/>
      <c r="H184" s="1445"/>
    </row>
    <row r="185" spans="1:8">
      <c r="A185" s="1445"/>
      <c r="B185" s="1445"/>
      <c r="C185" s="1445"/>
      <c r="D185" s="1445"/>
      <c r="E185" s="1445"/>
      <c r="F185" s="1445"/>
      <c r="G185" s="1445"/>
      <c r="H185" s="1445"/>
    </row>
    <row r="186" spans="1:8">
      <c r="A186" s="1445"/>
      <c r="B186" s="1445"/>
      <c r="C186" s="1445"/>
      <c r="D186" s="1445"/>
      <c r="E186" s="1445"/>
      <c r="F186" s="1445"/>
      <c r="G186" s="1445"/>
      <c r="H186" s="1445"/>
    </row>
  </sheetData>
  <mergeCells count="7">
    <mergeCell ref="C56:H56"/>
    <mergeCell ref="C55:H55"/>
    <mergeCell ref="D7:F7"/>
    <mergeCell ref="D11:F11"/>
    <mergeCell ref="D12:F12"/>
    <mergeCell ref="D13:F13"/>
    <mergeCell ref="C46:H46"/>
  </mergeCells>
  <hyperlinks>
    <hyperlink ref="C47" r:id="rId1" display="For more information see the Glossary" xr:uid="{CA9340E1-5E01-0348-9692-6D0FBDD62C34}"/>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FA1E-35ED-4204-8334-02F89BA1451D}">
  <sheetPr codeName="Sheet3">
    <tabColor theme="2"/>
  </sheetPr>
  <dimension ref="A1:R236"/>
  <sheetViews>
    <sheetView showGridLines="0" tabSelected="1" zoomScaleNormal="100" workbookViewId="0">
      <selection activeCell="M18" sqref="M18"/>
    </sheetView>
  </sheetViews>
  <sheetFormatPr defaultColWidth="6.59765625" defaultRowHeight="13.8"/>
  <cols>
    <col min="1" max="1" width="6.59765625" style="1446"/>
    <col min="2" max="2" width="7.59765625" style="1446" customWidth="1"/>
    <col min="3" max="3" width="27.59765625" style="1446" customWidth="1"/>
    <col min="4" max="4" width="18.8984375" style="1446" customWidth="1"/>
    <col min="5" max="11" width="16.59765625" style="1446" customWidth="1"/>
    <col min="12" max="12" width="13.3984375" style="1446" customWidth="1"/>
    <col min="13" max="13" width="12.09765625" style="1446" bestFit="1" customWidth="1"/>
    <col min="14" max="15" width="9.3984375" style="1446" bestFit="1" customWidth="1"/>
    <col min="16" max="16384" width="6.59765625" style="1446"/>
  </cols>
  <sheetData>
    <row r="1" spans="3:14" ht="263.10000000000002" customHeight="1">
      <c r="C1" s="1965"/>
      <c r="D1" s="1966"/>
      <c r="E1" s="1966"/>
      <c r="F1" s="1966"/>
      <c r="G1" s="1966"/>
      <c r="H1" s="1966"/>
      <c r="I1" s="1966"/>
      <c r="J1" s="1966"/>
      <c r="K1" s="1967"/>
      <c r="L1" s="1440"/>
    </row>
    <row r="2" spans="3:14">
      <c r="C2" s="1542"/>
      <c r="K2" s="1543"/>
      <c r="L2" s="1440"/>
    </row>
    <row r="3" spans="3:14">
      <c r="C3" s="1542"/>
      <c r="D3" s="1544"/>
      <c r="E3" s="1544"/>
      <c r="F3" s="1544"/>
      <c r="G3" s="1545"/>
      <c r="H3" s="1545"/>
      <c r="I3" s="1545"/>
      <c r="J3" s="1546"/>
      <c r="K3" s="1547"/>
      <c r="L3" s="1440"/>
    </row>
    <row r="4" spans="3:14" ht="24.9" customHeight="1">
      <c r="C4" s="1548" t="s">
        <v>565</v>
      </c>
      <c r="D4" s="1545"/>
      <c r="E4" s="1545"/>
      <c r="F4" s="1545"/>
      <c r="G4" s="1545"/>
      <c r="H4" s="1549"/>
      <c r="I4" s="1973"/>
      <c r="J4" s="1973"/>
      <c r="K4" s="1547"/>
      <c r="L4" s="1440"/>
    </row>
    <row r="5" spans="3:14">
      <c r="C5" s="1550"/>
      <c r="D5" s="1545"/>
      <c r="E5" s="1545"/>
      <c r="F5" s="1545"/>
      <c r="G5" s="1545"/>
      <c r="H5" s="1549"/>
      <c r="I5" s="1551"/>
      <c r="J5" s="1551"/>
      <c r="K5" s="1547"/>
      <c r="L5" s="1440"/>
    </row>
    <row r="6" spans="3:14" ht="19.2">
      <c r="C6" s="1552" t="s">
        <v>566</v>
      </c>
      <c r="D6" s="1553"/>
      <c r="E6" s="1553"/>
      <c r="F6" s="1554"/>
      <c r="G6" s="1555"/>
      <c r="H6" s="1556"/>
      <c r="I6" s="1440"/>
      <c r="J6" s="1557"/>
      <c r="K6" s="1558" t="s">
        <v>112</v>
      </c>
      <c r="L6" s="1440"/>
    </row>
    <row r="7" spans="3:14" ht="15" customHeight="1">
      <c r="C7" s="1968" t="s">
        <v>90</v>
      </c>
      <c r="D7" s="1968"/>
      <c r="E7" s="1979"/>
      <c r="F7" s="1979"/>
      <c r="G7" s="1979"/>
      <c r="H7" s="1559"/>
      <c r="I7" s="1440"/>
      <c r="J7" s="1440"/>
      <c r="K7" s="1448"/>
      <c r="L7" s="1440"/>
    </row>
    <row r="8" spans="3:14" ht="27" customHeight="1">
      <c r="C8" s="1560"/>
      <c r="D8" s="1561"/>
      <c r="E8" s="1562" t="s">
        <v>91</v>
      </c>
      <c r="F8" s="1490" t="s">
        <v>3</v>
      </c>
      <c r="G8" s="1563" t="s">
        <v>567</v>
      </c>
      <c r="H8" s="1490" t="s">
        <v>93</v>
      </c>
      <c r="I8" s="1490" t="s">
        <v>94</v>
      </c>
      <c r="J8" s="1564" t="s">
        <v>568</v>
      </c>
      <c r="K8" s="1565" t="s">
        <v>569</v>
      </c>
      <c r="L8" s="1440"/>
      <c r="M8" s="1440"/>
    </row>
    <row r="9" spans="3:14" ht="20.85" customHeight="1">
      <c r="C9" s="1566" t="s">
        <v>570</v>
      </c>
      <c r="D9" s="1567"/>
      <c r="E9" s="1568">
        <v>1163669.2822619507</v>
      </c>
      <c r="F9" s="1569">
        <f>F10+F11</f>
        <v>1247050.0392518968</v>
      </c>
      <c r="G9" s="1569">
        <f>G12+G15</f>
        <v>1306495.2542123878</v>
      </c>
      <c r="H9" s="1569">
        <f>H12+H15</f>
        <v>1264404.8087140413</v>
      </c>
      <c r="I9" s="1569">
        <f>I10</f>
        <v>1306142.9099660777</v>
      </c>
      <c r="J9" s="1570">
        <f t="shared" ref="J9:J17" si="0">E9/F9-1</f>
        <v>-6.6862398753434249E-2</v>
      </c>
      <c r="K9" s="1571">
        <f t="shared" ref="K9:K17" si="1">E9/G9-1</f>
        <v>-0.10931993169507448</v>
      </c>
      <c r="L9" s="1440"/>
      <c r="M9" s="1572"/>
      <c r="N9" s="1573"/>
    </row>
    <row r="10" spans="3:14" ht="15" customHeight="1">
      <c r="C10" s="1496" t="s">
        <v>52</v>
      </c>
      <c r="D10" s="1464"/>
      <c r="E10" s="1574">
        <v>1110879.2244522923</v>
      </c>
      <c r="F10" s="1575">
        <f>F13+F16</f>
        <v>1180531.1972992774</v>
      </c>
      <c r="G10" s="1575">
        <f>G13+G16</f>
        <v>1237451.7424092996</v>
      </c>
      <c r="H10" s="1575">
        <f>H13+H16</f>
        <v>1264404.8087140413</v>
      </c>
      <c r="I10" s="1576">
        <f>I13+I16</f>
        <v>1306142.9099660777</v>
      </c>
      <c r="J10" s="1577">
        <f t="shared" si="0"/>
        <v>-5.9000535526997688E-2</v>
      </c>
      <c r="K10" s="1578">
        <f t="shared" si="1"/>
        <v>-0.10228481129338629</v>
      </c>
      <c r="L10" s="1440"/>
      <c r="M10" s="1440"/>
      <c r="N10" s="1579"/>
    </row>
    <row r="11" spans="3:14" ht="15" customHeight="1">
      <c r="C11" s="1496" t="s">
        <v>571</v>
      </c>
      <c r="D11" s="1464"/>
      <c r="E11" s="1574">
        <v>52790.057809658261</v>
      </c>
      <c r="F11" s="1575">
        <f>F14+F17</f>
        <v>66518.841952619303</v>
      </c>
      <c r="G11" s="1575">
        <f>G14+G17</f>
        <v>69043.511803088317</v>
      </c>
      <c r="H11" s="1576" t="s">
        <v>104</v>
      </c>
      <c r="I11" s="1576" t="s">
        <v>104</v>
      </c>
      <c r="J11" s="1577">
        <f>E11/F11-1</f>
        <v>-0.20638940396376582</v>
      </c>
      <c r="K11" s="1578">
        <f t="shared" si="1"/>
        <v>-0.23540885405401757</v>
      </c>
      <c r="L11" s="1440"/>
      <c r="M11" s="1440"/>
      <c r="N11" s="1579"/>
    </row>
    <row r="12" spans="3:14" ht="20.85" customHeight="1">
      <c r="C12" s="1504" t="s">
        <v>98</v>
      </c>
      <c r="D12" s="1567"/>
      <c r="E12" s="1568">
        <v>33085.43798146156</v>
      </c>
      <c r="F12" s="1569">
        <f>F13+F14</f>
        <v>36904.755359448332</v>
      </c>
      <c r="G12" s="1569">
        <f>G13+G14</f>
        <v>47203.559411676804</v>
      </c>
      <c r="H12" s="1569">
        <f>H13</f>
        <v>55130.796186942534</v>
      </c>
      <c r="I12" s="1569">
        <f>I13</f>
        <v>52679.941165238975</v>
      </c>
      <c r="J12" s="1570">
        <f t="shared" si="0"/>
        <v>-0.10349119891967939</v>
      </c>
      <c r="K12" s="1571">
        <f t="shared" si="1"/>
        <v>-0.29909018739639426</v>
      </c>
      <c r="L12" s="1440"/>
      <c r="M12" s="1572"/>
      <c r="N12" s="1573"/>
    </row>
    <row r="13" spans="3:14" ht="15" customHeight="1">
      <c r="C13" s="1496" t="s">
        <v>52</v>
      </c>
      <c r="D13" s="1464"/>
      <c r="E13" s="1574">
        <v>32554.441937741616</v>
      </c>
      <c r="F13" s="1575">
        <v>36380.976833988025</v>
      </c>
      <c r="G13" s="1575">
        <v>46665.151100855452</v>
      </c>
      <c r="H13" s="1575">
        <v>55130.796186942534</v>
      </c>
      <c r="I13" s="1575">
        <v>52679.941165238975</v>
      </c>
      <c r="J13" s="1577">
        <f t="shared" si="0"/>
        <v>-0.10517955341626684</v>
      </c>
      <c r="K13" s="1578">
        <f t="shared" si="1"/>
        <v>-0.30238215949664338</v>
      </c>
      <c r="L13" s="1440"/>
      <c r="M13" s="1440"/>
      <c r="N13" s="1579"/>
    </row>
    <row r="14" spans="3:14" ht="15" customHeight="1">
      <c r="C14" s="1496" t="s">
        <v>571</v>
      </c>
      <c r="D14" s="1464"/>
      <c r="E14" s="1574">
        <v>530.9960437199469</v>
      </c>
      <c r="F14" s="1575">
        <v>523.77852546030567</v>
      </c>
      <c r="G14" s="1575">
        <v>538.40831082134957</v>
      </c>
      <c r="H14" s="1576" t="s">
        <v>104</v>
      </c>
      <c r="I14" s="1576" t="s">
        <v>104</v>
      </c>
      <c r="J14" s="1577">
        <f t="shared" si="0"/>
        <v>1.3779713960778261E-2</v>
      </c>
      <c r="K14" s="1578">
        <f t="shared" si="1"/>
        <v>-1.376699978886875E-2</v>
      </c>
      <c r="L14" s="1440"/>
      <c r="M14" s="1440"/>
      <c r="N14" s="1579"/>
    </row>
    <row r="15" spans="3:14" ht="18" customHeight="1">
      <c r="C15" s="1504" t="s">
        <v>99</v>
      </c>
      <c r="D15" s="1567"/>
      <c r="E15" s="1568">
        <v>1130583.844280489</v>
      </c>
      <c r="F15" s="1569">
        <f>F16+F17</f>
        <v>1210145.2838924485</v>
      </c>
      <c r="G15" s="1569">
        <f>G16+G17</f>
        <v>1259291.694800711</v>
      </c>
      <c r="H15" s="1569">
        <f>H16</f>
        <v>1209274.0125270986</v>
      </c>
      <c r="I15" s="1569">
        <f>I16</f>
        <v>1253462.9688008386</v>
      </c>
      <c r="J15" s="1570">
        <f t="shared" si="0"/>
        <v>-6.5745361875930386E-2</v>
      </c>
      <c r="K15" s="1571">
        <f t="shared" si="1"/>
        <v>-0.10220654281420527</v>
      </c>
      <c r="L15" s="1580"/>
      <c r="M15" s="1440"/>
      <c r="N15" s="1573"/>
    </row>
    <row r="16" spans="3:14" ht="15" customHeight="1">
      <c r="C16" s="1496" t="s">
        <v>52</v>
      </c>
      <c r="D16" s="1464"/>
      <c r="E16" s="1574">
        <v>1078324.7825145507</v>
      </c>
      <c r="F16" s="1575">
        <v>1144150.2204652894</v>
      </c>
      <c r="G16" s="1575">
        <v>1190786.591308444</v>
      </c>
      <c r="H16" s="1575">
        <v>1209274.0125270986</v>
      </c>
      <c r="I16" s="1575">
        <v>1253462.9688008386</v>
      </c>
      <c r="J16" s="1577">
        <f t="shared" si="0"/>
        <v>-5.7532163848178608E-2</v>
      </c>
      <c r="K16" s="1578">
        <f t="shared" si="1"/>
        <v>-9.4443294553996915E-2</v>
      </c>
      <c r="L16" s="1440"/>
      <c r="M16" s="1440"/>
      <c r="N16" s="1579"/>
    </row>
    <row r="17" spans="2:18" ht="15" customHeight="1">
      <c r="C17" s="1496" t="s">
        <v>571</v>
      </c>
      <c r="D17" s="1464"/>
      <c r="E17" s="1581">
        <v>52259.061765938313</v>
      </c>
      <c r="F17" s="1575">
        <v>65995.063427158995</v>
      </c>
      <c r="G17" s="1575">
        <v>68505.103492266964</v>
      </c>
      <c r="H17" s="1576" t="s">
        <v>104</v>
      </c>
      <c r="I17" s="1576" t="s">
        <v>104</v>
      </c>
      <c r="J17" s="1577">
        <f t="shared" si="0"/>
        <v>-0.20813680520788613</v>
      </c>
      <c r="K17" s="1578">
        <f t="shared" si="1"/>
        <v>-0.23715082378004937</v>
      </c>
      <c r="L17" s="1440"/>
      <c r="M17" s="1440"/>
      <c r="N17" s="1579"/>
    </row>
    <row r="18" spans="2:18" ht="14.25" customHeight="1">
      <c r="C18" s="1582"/>
      <c r="D18" s="1583"/>
      <c r="E18" s="1584"/>
      <c r="F18" s="1585"/>
      <c r="G18" s="1586"/>
      <c r="H18" s="1586"/>
      <c r="I18" s="1586"/>
      <c r="J18" s="1586"/>
      <c r="K18" s="1587"/>
    </row>
    <row r="19" spans="2:18" ht="17.100000000000001" customHeight="1">
      <c r="C19" s="1482" t="s">
        <v>539</v>
      </c>
      <c r="D19" s="1588"/>
      <c r="E19" s="1588"/>
      <c r="F19" s="1589"/>
      <c r="G19" s="1588"/>
      <c r="H19" s="1588"/>
      <c r="I19" s="1588"/>
      <c r="J19" s="1588"/>
      <c r="K19" s="1543"/>
      <c r="L19" s="1440"/>
    </row>
    <row r="20" spans="2:18" ht="17.100000000000001" customHeight="1">
      <c r="C20" s="1590" t="s">
        <v>572</v>
      </c>
      <c r="D20" s="1591"/>
      <c r="E20" s="1591"/>
      <c r="F20" s="1591"/>
      <c r="G20" s="1591"/>
      <c r="H20" s="1591"/>
      <c r="I20" s="1591"/>
      <c r="J20" s="1592"/>
      <c r="K20" s="1543"/>
      <c r="L20" s="1440"/>
    </row>
    <row r="21" spans="2:18" ht="27" customHeight="1">
      <c r="C21" s="1977" t="s">
        <v>107</v>
      </c>
      <c r="D21" s="1978"/>
      <c r="E21" s="1978"/>
      <c r="F21" s="1978"/>
      <c r="G21" s="1978"/>
      <c r="H21" s="1978"/>
      <c r="I21" s="1978"/>
      <c r="J21" s="1978"/>
      <c r="K21" s="1543"/>
      <c r="L21" s="1440"/>
    </row>
    <row r="22" spans="2:18" s="1445" customFormat="1">
      <c r="C22" s="1974"/>
      <c r="D22" s="1975"/>
      <c r="E22" s="1975"/>
      <c r="F22" s="1975"/>
      <c r="G22" s="1975"/>
      <c r="H22" s="1975"/>
      <c r="I22" s="1975"/>
      <c r="J22" s="1975"/>
      <c r="K22" s="1976"/>
    </row>
    <row r="23" spans="2:18" ht="19.2">
      <c r="B23" s="1980"/>
      <c r="C23" s="1552" t="s">
        <v>111</v>
      </c>
      <c r="D23" s="1553"/>
      <c r="E23" s="1553"/>
      <c r="F23" s="1553"/>
      <c r="G23" s="1593"/>
      <c r="H23" s="1594"/>
      <c r="I23" s="1595"/>
      <c r="J23" s="1595"/>
      <c r="K23" s="1596" t="s">
        <v>112</v>
      </c>
      <c r="L23" s="1440"/>
    </row>
    <row r="24" spans="2:18" ht="15" customHeight="1">
      <c r="B24" s="1980"/>
      <c r="C24" s="1968" t="s">
        <v>90</v>
      </c>
      <c r="D24" s="1968"/>
      <c r="E24" s="1968"/>
      <c r="F24" s="1968"/>
      <c r="G24" s="1968"/>
      <c r="H24" s="1968"/>
      <c r="I24" s="1440"/>
      <c r="J24" s="1440"/>
      <c r="K24" s="1448"/>
      <c r="L24" s="1440"/>
    </row>
    <row r="25" spans="2:18" ht="27" customHeight="1">
      <c r="B25" s="1980"/>
      <c r="C25" s="1597"/>
      <c r="D25" s="1598"/>
      <c r="E25" s="1599" t="s">
        <v>91</v>
      </c>
      <c r="F25" s="1600" t="s">
        <v>3</v>
      </c>
      <c r="G25" s="1600" t="s">
        <v>92</v>
      </c>
      <c r="H25" s="1564" t="s">
        <v>93</v>
      </c>
      <c r="I25" s="1564" t="s">
        <v>94</v>
      </c>
      <c r="J25" s="1564" t="s">
        <v>568</v>
      </c>
      <c r="K25" s="1565" t="s">
        <v>573</v>
      </c>
      <c r="L25" s="1440"/>
    </row>
    <row r="26" spans="2:18" ht="14.85" customHeight="1">
      <c r="B26" s="1980"/>
      <c r="C26" s="1601" t="s">
        <v>113</v>
      </c>
      <c r="D26" s="1602"/>
      <c r="E26" s="1603"/>
      <c r="F26" s="1604"/>
      <c r="G26" s="1604"/>
      <c r="H26" s="1605"/>
      <c r="I26" s="1605"/>
      <c r="J26" s="1605"/>
      <c r="K26" s="1606"/>
      <c r="L26" s="1440"/>
    </row>
    <row r="27" spans="2:18" ht="12.6" customHeight="1">
      <c r="B27" s="1980"/>
      <c r="C27" s="1607" t="s">
        <v>114</v>
      </c>
      <c r="D27" s="1608"/>
      <c r="E27" s="1609">
        <v>8088.3272176914934</v>
      </c>
      <c r="F27" s="1610">
        <f>SUM(F28:F32)</f>
        <v>7832.4913854941178</v>
      </c>
      <c r="G27" s="1611">
        <f>SUM(G28:G32)</f>
        <v>10172.027214355892</v>
      </c>
      <c r="H27" s="1611">
        <v>11815.744710832301</v>
      </c>
      <c r="I27" s="1611">
        <v>6247.5046084551441</v>
      </c>
      <c r="J27" s="1612">
        <f>E27/F27-1</f>
        <v>3.2663404222976533E-2</v>
      </c>
      <c r="K27" s="1612">
        <f>E27/G27-1</f>
        <v>-0.20484608945242011</v>
      </c>
      <c r="N27" s="1613"/>
      <c r="O27" s="1613"/>
      <c r="P27" s="1579"/>
      <c r="Q27" s="1613"/>
      <c r="R27" s="1613"/>
    </row>
    <row r="28" spans="2:18">
      <c r="B28" s="1980"/>
      <c r="C28" s="1614" t="s">
        <v>115</v>
      </c>
      <c r="D28" s="1615"/>
      <c r="E28" s="1616">
        <v>833.58189087450057</v>
      </c>
      <c r="F28" s="1617">
        <v>959.85058351226962</v>
      </c>
      <c r="G28" s="1618">
        <v>1279.9983936487802</v>
      </c>
      <c r="H28" s="1619">
        <v>971.75120178203065</v>
      </c>
      <c r="I28" s="1619">
        <v>863.14966511718069</v>
      </c>
      <c r="J28" s="1571">
        <f t="shared" ref="J28:J36" si="2">E28/F28-1</f>
        <v>-0.1315503629489172</v>
      </c>
      <c r="K28" s="1571">
        <f>E28/G28-1</f>
        <v>-0.34876333047709451</v>
      </c>
    </row>
    <row r="29" spans="2:18">
      <c r="B29" s="1980"/>
      <c r="C29" s="1614" t="s">
        <v>116</v>
      </c>
      <c r="D29" s="1615"/>
      <c r="E29" s="1620">
        <v>6900.4518186859141</v>
      </c>
      <c r="F29" s="1617">
        <v>6415.1385919052218</v>
      </c>
      <c r="G29" s="1618">
        <v>7964.95500545305</v>
      </c>
      <c r="H29" s="1619">
        <v>10272.078428480723</v>
      </c>
      <c r="I29" s="1619">
        <v>4910.1347196406277</v>
      </c>
      <c r="J29" s="1571">
        <f t="shared" si="2"/>
        <v>7.5651245850412607E-2</v>
      </c>
      <c r="K29" s="1571">
        <f t="shared" ref="K29:K31" si="3">E29/G29-1</f>
        <v>-0.13364836160886595</v>
      </c>
    </row>
    <row r="30" spans="2:18">
      <c r="B30" s="1980"/>
      <c r="C30" s="1614" t="s">
        <v>117</v>
      </c>
      <c r="D30" s="1615"/>
      <c r="E30" s="1620">
        <v>354.29350813107902</v>
      </c>
      <c r="F30" s="1617">
        <v>456.43197263046318</v>
      </c>
      <c r="G30" s="1618">
        <v>918.76453383557885</v>
      </c>
      <c r="H30" s="1619">
        <v>492.0271962137503</v>
      </c>
      <c r="I30" s="1619">
        <v>453.68227697013555</v>
      </c>
      <c r="J30" s="1571">
        <f t="shared" si="2"/>
        <v>-0.22377587597720194</v>
      </c>
      <c r="K30" s="1571">
        <f t="shared" si="3"/>
        <v>-0.61438051308749908</v>
      </c>
    </row>
    <row r="31" spans="2:18">
      <c r="C31" s="1614" t="s">
        <v>118</v>
      </c>
      <c r="D31" s="1615"/>
      <c r="E31" s="1568">
        <v>0</v>
      </c>
      <c r="F31" s="1621">
        <v>1.0702374461632453</v>
      </c>
      <c r="G31" s="1622">
        <v>8.3092814184815236</v>
      </c>
      <c r="H31" s="1619">
        <v>79.887884355798164</v>
      </c>
      <c r="I31" s="1619">
        <v>20.537946727200005</v>
      </c>
      <c r="J31" s="1571">
        <f t="shared" si="2"/>
        <v>-1</v>
      </c>
      <c r="K31" s="1571">
        <f t="shared" si="3"/>
        <v>-1</v>
      </c>
    </row>
    <row r="32" spans="2:18">
      <c r="C32" s="1614" t="s">
        <v>119</v>
      </c>
      <c r="D32" s="1615"/>
      <c r="E32" s="1623" t="s">
        <v>120</v>
      </c>
      <c r="F32" s="1624" t="s">
        <v>120</v>
      </c>
      <c r="G32" s="1624" t="s">
        <v>120</v>
      </c>
      <c r="H32" s="1625" t="s">
        <v>120</v>
      </c>
      <c r="I32" s="1625" t="s">
        <v>120</v>
      </c>
      <c r="J32" s="1571" t="s">
        <v>104</v>
      </c>
      <c r="K32" s="1571" t="s">
        <v>104</v>
      </c>
      <c r="M32" s="1613"/>
    </row>
    <row r="33" spans="3:18" ht="14.1" customHeight="1">
      <c r="C33" s="1626" t="s">
        <v>122</v>
      </c>
      <c r="D33" s="1608"/>
      <c r="E33" s="1627">
        <v>24994.805170637668</v>
      </c>
      <c r="F33" s="1610">
        <v>29072.06676457615</v>
      </c>
      <c r="G33" s="1611">
        <v>37031.519718766715</v>
      </c>
      <c r="H33" s="1611">
        <v>43315.051053126459</v>
      </c>
      <c r="I33" s="1611">
        <v>46432.436551514627</v>
      </c>
      <c r="J33" s="1612">
        <f t="shared" si="2"/>
        <v>-0.14024670577967158</v>
      </c>
      <c r="K33" s="1612">
        <f>E33/G33-1</f>
        <v>-0.32503971318328362</v>
      </c>
      <c r="N33" s="1613"/>
      <c r="O33" s="1613"/>
      <c r="P33" s="1613"/>
      <c r="Q33" s="1613"/>
      <c r="R33" s="1613"/>
    </row>
    <row r="34" spans="3:18">
      <c r="C34" s="1628" t="s">
        <v>116</v>
      </c>
      <c r="D34" s="1615"/>
      <c r="E34" s="1568">
        <v>23210.590254141283</v>
      </c>
      <c r="F34" s="1629">
        <v>26595.314356294515</v>
      </c>
      <c r="G34" s="1629">
        <v>32451.705975792625</v>
      </c>
      <c r="H34" s="1569">
        <v>36298.886999785231</v>
      </c>
      <c r="I34" s="1569">
        <v>37938.516843723046</v>
      </c>
      <c r="J34" s="1571">
        <f t="shared" si="2"/>
        <v>-0.12726768545798905</v>
      </c>
      <c r="K34" s="1571">
        <f>E34/G34-1</f>
        <v>-0.28476517470436713</v>
      </c>
    </row>
    <row r="35" spans="3:18">
      <c r="C35" s="1628" t="s">
        <v>117</v>
      </c>
      <c r="D35" s="1615"/>
      <c r="E35" s="1568">
        <v>1782.8165851509045</v>
      </c>
      <c r="F35" s="1629">
        <v>2473.148503647235</v>
      </c>
      <c r="G35" s="1629">
        <v>4474.0644309571308</v>
      </c>
      <c r="H35" s="1569">
        <v>6643.8332649018384</v>
      </c>
      <c r="I35" s="1569">
        <v>7677.1006094017821</v>
      </c>
      <c r="J35" s="1571">
        <f t="shared" si="2"/>
        <v>-0.27913079925377504</v>
      </c>
      <c r="K35" s="1571">
        <f t="shared" ref="K35:K36" si="4">E35/G35-1</f>
        <v>-0.60152192426752582</v>
      </c>
      <c r="L35" s="1440"/>
    </row>
    <row r="36" spans="3:18">
      <c r="C36" s="1628" t="s">
        <v>123</v>
      </c>
      <c r="D36" s="1615"/>
      <c r="E36" s="1568">
        <v>1.3983313454800002</v>
      </c>
      <c r="F36" s="1629">
        <v>3.6039046343999996</v>
      </c>
      <c r="G36" s="1629">
        <v>105.38448490079999</v>
      </c>
      <c r="H36" s="1569">
        <v>371.76205040939999</v>
      </c>
      <c r="I36" s="1569">
        <v>816.20677472460011</v>
      </c>
      <c r="J36" s="1571">
        <f t="shared" si="2"/>
        <v>-0.6119954639940679</v>
      </c>
      <c r="K36" s="1571">
        <f t="shared" si="4"/>
        <v>-0.98673114598608824</v>
      </c>
      <c r="L36" s="1440"/>
    </row>
    <row r="37" spans="3:18">
      <c r="C37" s="1628" t="s">
        <v>119</v>
      </c>
      <c r="D37" s="1615"/>
      <c r="E37" s="1623" t="s">
        <v>120</v>
      </c>
      <c r="F37" s="1630" t="s">
        <v>120</v>
      </c>
      <c r="G37" s="1631" t="s">
        <v>120</v>
      </c>
      <c r="H37" s="1501" t="s">
        <v>120</v>
      </c>
      <c r="I37" s="1501" t="s">
        <v>120</v>
      </c>
      <c r="J37" s="1571" t="s">
        <v>104</v>
      </c>
      <c r="K37" s="1571" t="s">
        <v>104</v>
      </c>
      <c r="L37" s="1440"/>
    </row>
    <row r="38" spans="3:18" ht="13.35" customHeight="1">
      <c r="C38" s="1632" t="s">
        <v>124</v>
      </c>
      <c r="D38" s="1602"/>
      <c r="E38" s="1633"/>
      <c r="F38" s="1634"/>
      <c r="G38" s="1634"/>
      <c r="H38" s="1635"/>
      <c r="I38" s="1635"/>
      <c r="J38" s="1635"/>
      <c r="K38" s="1636"/>
      <c r="L38" s="1440"/>
    </row>
    <row r="39" spans="3:18" ht="13.35" customHeight="1">
      <c r="C39" s="1626" t="s">
        <v>574</v>
      </c>
      <c r="D39" s="1608"/>
      <c r="E39" s="1637"/>
      <c r="F39" s="1638"/>
      <c r="G39" s="1638"/>
      <c r="H39" s="1639"/>
      <c r="I39" s="1639"/>
      <c r="J39" s="1639"/>
      <c r="K39" s="1640"/>
      <c r="L39" s="1440"/>
    </row>
    <row r="40" spans="3:18">
      <c r="C40" s="1628" t="s">
        <v>126</v>
      </c>
      <c r="D40" s="1615"/>
      <c r="E40" s="1641">
        <v>1130583.8422804889</v>
      </c>
      <c r="F40" s="1642">
        <v>1210145.283892449</v>
      </c>
      <c r="G40" s="1642">
        <v>1259291.694800707</v>
      </c>
      <c r="H40" s="1569">
        <v>1209274.0125270986</v>
      </c>
      <c r="I40" s="1569">
        <v>1253462.9688008386</v>
      </c>
      <c r="J40" s="1571">
        <f t="shared" ref="J40" si="5">E40/F40-1</f>
        <v>-6.5745363528624923E-2</v>
      </c>
      <c r="K40" s="1571">
        <f>E40/G40-1</f>
        <v>-0.10220654440239696</v>
      </c>
      <c r="L40" s="1643"/>
      <c r="M40" s="1644"/>
      <c r="N40" s="1645"/>
    </row>
    <row r="41" spans="3:18">
      <c r="C41" s="1646"/>
      <c r="K41" s="1647"/>
    </row>
    <row r="42" spans="3:18">
      <c r="C42" s="1480" t="s">
        <v>127</v>
      </c>
      <c r="D42" s="1481"/>
      <c r="E42" s="1481"/>
      <c r="F42" s="1481"/>
      <c r="G42" s="1481"/>
      <c r="H42" s="1481"/>
      <c r="I42" s="1481"/>
      <c r="J42" s="1481"/>
      <c r="K42" s="1647"/>
    </row>
    <row r="43" spans="3:18" ht="15" customHeight="1">
      <c r="C43" s="1482" t="s">
        <v>575</v>
      </c>
      <c r="D43" s="1648"/>
      <c r="E43" s="1648"/>
      <c r="F43" s="1648"/>
      <c r="G43" s="1648"/>
      <c r="H43" s="1648"/>
      <c r="I43" s="1648"/>
      <c r="J43" s="1648"/>
      <c r="K43" s="1649"/>
    </row>
    <row r="44" spans="3:18" ht="14.25" customHeight="1">
      <c r="C44" s="1482" t="s">
        <v>129</v>
      </c>
      <c r="D44" s="1648"/>
      <c r="E44" s="1648"/>
      <c r="F44" s="1648"/>
      <c r="G44" s="1648"/>
      <c r="H44" s="1648"/>
      <c r="I44" s="1648"/>
      <c r="J44" s="1648"/>
      <c r="K44" s="1649"/>
    </row>
    <row r="45" spans="3:18" ht="14.25" customHeight="1">
      <c r="C45" s="1482" t="s">
        <v>130</v>
      </c>
      <c r="D45" s="1483"/>
      <c r="E45" s="1483"/>
      <c r="F45" s="1483"/>
      <c r="G45" s="1483"/>
      <c r="H45" s="1483"/>
      <c r="I45" s="1483"/>
      <c r="J45" s="1483"/>
      <c r="K45" s="1650"/>
    </row>
    <row r="46" spans="3:18" ht="14.25" customHeight="1">
      <c r="C46" s="1597"/>
      <c r="D46" s="1651"/>
      <c r="E46" s="1651"/>
      <c r="F46" s="1651"/>
      <c r="G46" s="1651"/>
      <c r="H46" s="1651"/>
      <c r="I46" s="1651"/>
      <c r="J46" s="1651"/>
      <c r="K46" s="1652"/>
    </row>
    <row r="47" spans="3:18" ht="17.399999999999999">
      <c r="C47" s="1653" t="s">
        <v>131</v>
      </c>
      <c r="D47" s="1654"/>
      <c r="E47" s="1654"/>
      <c r="F47" s="1654"/>
      <c r="G47" s="1655"/>
      <c r="H47" s="1440"/>
      <c r="I47" s="1440"/>
      <c r="K47" s="1558" t="s">
        <v>132</v>
      </c>
    </row>
    <row r="48" spans="3:18" ht="20.100000000000001" customHeight="1">
      <c r="C48" s="1656" t="s">
        <v>133</v>
      </c>
      <c r="D48" s="1657"/>
      <c r="E48" s="1657"/>
      <c r="F48" s="1657"/>
      <c r="G48" s="1658"/>
      <c r="H48" s="1440"/>
      <c r="I48" s="1440"/>
      <c r="J48" s="1440"/>
      <c r="K48" s="1448"/>
    </row>
    <row r="49" spans="3:11" ht="27" customHeight="1">
      <c r="C49" s="1646"/>
      <c r="D49" s="1551"/>
      <c r="E49" s="1659" t="s">
        <v>91</v>
      </c>
      <c r="F49" s="1660" t="s">
        <v>3</v>
      </c>
      <c r="G49" s="1660" t="s">
        <v>576</v>
      </c>
      <c r="H49" s="1490" t="s">
        <v>93</v>
      </c>
      <c r="I49" s="1490" t="s">
        <v>94</v>
      </c>
      <c r="J49" s="1490" t="s">
        <v>568</v>
      </c>
      <c r="K49" s="1661" t="s">
        <v>577</v>
      </c>
    </row>
    <row r="50" spans="3:11">
      <c r="C50" s="1496" t="s">
        <v>134</v>
      </c>
      <c r="D50" s="1662"/>
      <c r="E50" s="1574">
        <v>6605632.4116550293</v>
      </c>
      <c r="F50" s="1663">
        <v>7045980.799503292</v>
      </c>
      <c r="G50" s="1663">
        <v>7421856.6827984564</v>
      </c>
      <c r="H50" s="1576">
        <v>6000983.8974163001</v>
      </c>
      <c r="I50" s="1576">
        <v>6094922.8586030072</v>
      </c>
      <c r="J50" s="1664">
        <f>E50/F50-1</f>
        <v>-6.249639338774593E-2</v>
      </c>
      <c r="K50" s="1665">
        <f>E50/G50-1</f>
        <v>-0.10997575216389988</v>
      </c>
    </row>
    <row r="51" spans="3:11">
      <c r="C51" s="1496" t="s">
        <v>114</v>
      </c>
      <c r="D51" s="1662"/>
      <c r="E51" s="1574">
        <v>6249216.7836657688</v>
      </c>
      <c r="F51" s="1576">
        <v>6631671.3787291143</v>
      </c>
      <c r="G51" s="1576">
        <v>6892807.9351268588</v>
      </c>
      <c r="H51" s="1576">
        <v>5380400.7095750347</v>
      </c>
      <c r="I51" s="1576">
        <v>5428398.4349270072</v>
      </c>
      <c r="J51" s="1664">
        <f t="shared" ref="J51:J69" si="6">E51/F51-1</f>
        <v>-5.7670920831520256E-2</v>
      </c>
      <c r="K51" s="1665">
        <f t="shared" ref="K51:K69" si="7">E51/G51-1</f>
        <v>-9.3371403572881539E-2</v>
      </c>
    </row>
    <row r="52" spans="3:11">
      <c r="C52" s="1666" t="s">
        <v>126</v>
      </c>
      <c r="D52" s="1615"/>
      <c r="E52" s="1620">
        <v>6078011.646090813</v>
      </c>
      <c r="F52" s="1642">
        <v>6457620.6489467397</v>
      </c>
      <c r="G52" s="1642">
        <v>6688347.5453127623</v>
      </c>
      <c r="H52" s="1569">
        <v>5176020.2627302445</v>
      </c>
      <c r="I52" s="1569">
        <v>5310228.204456971</v>
      </c>
      <c r="J52" s="1571">
        <f>E52/F52-1</f>
        <v>-5.8784655137313235E-2</v>
      </c>
      <c r="K52" s="1571">
        <f>E52/G52-1</f>
        <v>-9.1253616096800605E-2</v>
      </c>
    </row>
    <row r="53" spans="3:11">
      <c r="C53" s="1666" t="s">
        <v>578</v>
      </c>
      <c r="D53" s="1615"/>
      <c r="E53" s="1620">
        <v>4841292.2424850026</v>
      </c>
      <c r="F53" s="1642">
        <v>5052047.5765968598</v>
      </c>
      <c r="G53" s="1642">
        <v>5122210.1351703797</v>
      </c>
      <c r="H53" s="1569">
        <v>5176020.2627302445</v>
      </c>
      <c r="I53" s="1569">
        <v>5310228.204456971</v>
      </c>
      <c r="J53" s="1571">
        <f t="shared" ref="J53:J64" si="8">E53/F53-1</f>
        <v>-4.1716814997578733E-2</v>
      </c>
      <c r="K53" s="1571">
        <f t="shared" ref="K53:K64" si="9">E53/G53-1</f>
        <v>-5.4843101956423945E-2</v>
      </c>
    </row>
    <row r="54" spans="3:11">
      <c r="C54" s="1666" t="s">
        <v>579</v>
      </c>
      <c r="D54" s="1615"/>
      <c r="E54" s="1620">
        <v>1236719.4036058108</v>
      </c>
      <c r="F54" s="1642">
        <v>1405573.0723498797</v>
      </c>
      <c r="G54" s="1642">
        <v>1566137.4101423821</v>
      </c>
      <c r="H54" s="1569" t="s">
        <v>104</v>
      </c>
      <c r="I54" s="1569" t="s">
        <v>104</v>
      </c>
      <c r="J54" s="1571">
        <f t="shared" si="8"/>
        <v>-0.12013154781186453</v>
      </c>
      <c r="K54" s="1571">
        <f t="shared" si="9"/>
        <v>-0.21033786971899415</v>
      </c>
    </row>
    <row r="55" spans="3:11" ht="22.2">
      <c r="C55" s="1666" t="s">
        <v>135</v>
      </c>
      <c r="D55" s="1615"/>
      <c r="E55" s="1620">
        <v>37503.428181216121</v>
      </c>
      <c r="F55" s="1642">
        <v>39185.140726800157</v>
      </c>
      <c r="G55" s="1642">
        <v>33233.973233004261</v>
      </c>
      <c r="H55" s="1569">
        <v>30619.686337200234</v>
      </c>
      <c r="I55" s="1569">
        <v>24444.452764800139</v>
      </c>
      <c r="J55" s="1571">
        <f t="shared" si="8"/>
        <v>-4.2917098532552989E-2</v>
      </c>
      <c r="K55" s="1571">
        <f t="shared" si="9"/>
        <v>0.12846658202071115</v>
      </c>
    </row>
    <row r="56" spans="3:11">
      <c r="C56" s="1666" t="s">
        <v>115</v>
      </c>
      <c r="D56" s="1615"/>
      <c r="E56" s="1620">
        <v>19697.446041401545</v>
      </c>
      <c r="F56" s="1642">
        <v>22620.147901888286</v>
      </c>
      <c r="G56" s="1569">
        <v>29512.442668641619</v>
      </c>
      <c r="H56" s="1569">
        <v>18857.970149078803</v>
      </c>
      <c r="I56" s="1569">
        <v>16750.430140057844</v>
      </c>
      <c r="J56" s="1571">
        <f t="shared" si="8"/>
        <v>-0.12920790231626911</v>
      </c>
      <c r="K56" s="1571">
        <f t="shared" si="9"/>
        <v>-0.33257147629020145</v>
      </c>
    </row>
    <row r="57" spans="3:11">
      <c r="C57" s="1666" t="s">
        <v>578</v>
      </c>
      <c r="D57" s="1615"/>
      <c r="E57" s="1620">
        <v>14207.941839450963</v>
      </c>
      <c r="F57" s="1642">
        <v>16381.142300199999</v>
      </c>
      <c r="G57" s="1642">
        <v>22560.7300418792</v>
      </c>
      <c r="H57" s="1569">
        <v>18857.970149078803</v>
      </c>
      <c r="I57" s="1569">
        <v>16750.430140057844</v>
      </c>
      <c r="J57" s="1571">
        <f t="shared" si="8"/>
        <v>-0.13266476909381975</v>
      </c>
      <c r="K57" s="1571">
        <f t="shared" si="9"/>
        <v>-0.37023572317575992</v>
      </c>
    </row>
    <row r="58" spans="3:11">
      <c r="C58" s="1666" t="s">
        <v>579</v>
      </c>
      <c r="D58" s="1615"/>
      <c r="E58" s="1620">
        <v>5489.5042019505809</v>
      </c>
      <c r="F58" s="1642">
        <v>6239.0056016882854</v>
      </c>
      <c r="G58" s="1642">
        <v>6951.7126267624189</v>
      </c>
      <c r="H58" s="1569" t="s">
        <v>104</v>
      </c>
      <c r="I58" s="1569" t="s">
        <v>104</v>
      </c>
      <c r="J58" s="1571">
        <f t="shared" si="8"/>
        <v>-0.12013154781186419</v>
      </c>
      <c r="K58" s="1571">
        <f t="shared" si="9"/>
        <v>-0.21033786971899382</v>
      </c>
    </row>
    <row r="59" spans="3:11">
      <c r="C59" s="1666" t="s">
        <v>116</v>
      </c>
      <c r="D59" s="1615"/>
      <c r="E59" s="1620">
        <v>108756.37853995846</v>
      </c>
      <c r="F59" s="1642">
        <v>105493.83603520671</v>
      </c>
      <c r="G59" s="1642">
        <v>127979.54087093068</v>
      </c>
      <c r="H59" s="1569">
        <v>146325.90353961143</v>
      </c>
      <c r="I59" s="1569">
        <v>69944.939026219785</v>
      </c>
      <c r="J59" s="1571">
        <f t="shared" si="8"/>
        <v>3.092638041584661E-2</v>
      </c>
      <c r="K59" s="1571">
        <f t="shared" si="9"/>
        <v>-0.15020496401342054</v>
      </c>
    </row>
    <row r="60" spans="3:11">
      <c r="C60" s="1666" t="s">
        <v>578</v>
      </c>
      <c r="D60" s="1615"/>
      <c r="E60" s="1620">
        <v>92544.658923771523</v>
      </c>
      <c r="F60" s="1642">
        <v>85571.088137149301</v>
      </c>
      <c r="G60" s="1642">
        <v>107464.254547328</v>
      </c>
      <c r="H60" s="1569">
        <v>146325.90353961143</v>
      </c>
      <c r="I60" s="1569">
        <v>69944.939026219785</v>
      </c>
      <c r="J60" s="1571">
        <f>E60/F60-1</f>
        <v>8.1494473640972176E-2</v>
      </c>
      <c r="K60" s="1571">
        <f t="shared" si="9"/>
        <v>-0.13883310023786366</v>
      </c>
    </row>
    <row r="61" spans="3:11">
      <c r="C61" s="1666" t="s">
        <v>579</v>
      </c>
      <c r="D61" s="1615"/>
      <c r="E61" s="1620">
        <v>16211.719616186936</v>
      </c>
      <c r="F61" s="1642">
        <v>19922.747898057412</v>
      </c>
      <c r="G61" s="1642">
        <v>20515.286323602671</v>
      </c>
      <c r="H61" s="1569" t="s">
        <v>104</v>
      </c>
      <c r="I61" s="1569" t="s">
        <v>104</v>
      </c>
      <c r="J61" s="1571">
        <f t="shared" si="8"/>
        <v>-0.18627090504078125</v>
      </c>
      <c r="K61" s="1571">
        <f t="shared" si="9"/>
        <v>-0.20977366045652102</v>
      </c>
    </row>
    <row r="62" spans="3:11">
      <c r="C62" s="1666" t="s">
        <v>117</v>
      </c>
      <c r="D62" s="1615"/>
      <c r="E62" s="1620">
        <v>5216.9495443807527</v>
      </c>
      <c r="F62" s="1667">
        <v>6732.0349945496037</v>
      </c>
      <c r="G62" s="1667">
        <v>13551.099319108836</v>
      </c>
      <c r="H62" s="1668">
        <v>7257.0382922382041</v>
      </c>
      <c r="I62" s="1668">
        <v>6691.4790113589306</v>
      </c>
      <c r="J62" s="1571">
        <f t="shared" si="8"/>
        <v>-0.22505608651700348</v>
      </c>
      <c r="K62" s="1571">
        <f t="shared" si="9"/>
        <v>-0.6150165074043723</v>
      </c>
    </row>
    <row r="63" spans="3:11">
      <c r="C63" s="1614" t="s">
        <v>118</v>
      </c>
      <c r="D63" s="1615"/>
      <c r="E63" s="1620">
        <v>0</v>
      </c>
      <c r="F63" s="1667">
        <v>17.660683930086552</v>
      </c>
      <c r="G63" s="1667">
        <v>137.11685509045418</v>
      </c>
      <c r="H63" s="1668">
        <v>1318.2819200626759</v>
      </c>
      <c r="I63" s="1668">
        <v>338.91001200000005</v>
      </c>
      <c r="J63" s="1571">
        <f t="shared" si="8"/>
        <v>-1</v>
      </c>
      <c r="K63" s="1571">
        <f t="shared" si="9"/>
        <v>-1</v>
      </c>
    </row>
    <row r="64" spans="3:11">
      <c r="C64" s="1614" t="s">
        <v>119</v>
      </c>
      <c r="D64" s="1615"/>
      <c r="E64" s="1669">
        <v>30.935267999999997</v>
      </c>
      <c r="F64" s="1670">
        <v>1.9094399999999998</v>
      </c>
      <c r="G64" s="1670">
        <v>46.216867319999992</v>
      </c>
      <c r="H64" s="1671">
        <v>1.5666065999999998</v>
      </c>
      <c r="I64" s="1671" t="s">
        <v>120</v>
      </c>
      <c r="J64" s="1571">
        <f t="shared" si="8"/>
        <v>15.20122549019608</v>
      </c>
      <c r="K64" s="1571">
        <f t="shared" si="9"/>
        <v>-0.33064982994611147</v>
      </c>
    </row>
    <row r="65" spans="3:12" ht="14.1" customHeight="1">
      <c r="C65" s="1496" t="s">
        <v>136</v>
      </c>
      <c r="D65" s="1662"/>
      <c r="E65" s="1672">
        <v>356415.62798926065</v>
      </c>
      <c r="F65" s="1673">
        <v>414309.42077417724</v>
      </c>
      <c r="G65" s="1673">
        <v>529048.74767159717</v>
      </c>
      <c r="H65" s="1576">
        <v>620583.18784126523</v>
      </c>
      <c r="I65" s="1576">
        <v>666524.42367600009</v>
      </c>
      <c r="J65" s="1665">
        <f t="shared" si="6"/>
        <v>-0.13973564172578179</v>
      </c>
      <c r="K65" s="1665">
        <f t="shared" si="7"/>
        <v>-0.32630853100421131</v>
      </c>
    </row>
    <row r="66" spans="3:12">
      <c r="C66" s="1614" t="s">
        <v>116</v>
      </c>
      <c r="D66" s="1615"/>
      <c r="E66" s="1568">
        <v>329648.97841570002</v>
      </c>
      <c r="F66" s="1622">
        <v>377185.0956169081</v>
      </c>
      <c r="G66" s="1622">
        <v>460242.90128310648</v>
      </c>
      <c r="H66" s="1569">
        <v>514805.09406819806</v>
      </c>
      <c r="I66" s="1569">
        <v>538059.09798199998</v>
      </c>
      <c r="J66" s="1571">
        <f t="shared" si="6"/>
        <v>-0.12602862030765027</v>
      </c>
      <c r="K66" s="1571">
        <f t="shared" si="7"/>
        <v>-0.28374999919243726</v>
      </c>
      <c r="L66" s="1440"/>
    </row>
    <row r="67" spans="3:12">
      <c r="C67" s="1614" t="s">
        <v>117</v>
      </c>
      <c r="D67" s="1615"/>
      <c r="E67" s="1568">
        <v>26364.97990988064</v>
      </c>
      <c r="F67" s="1622">
        <v>36573.413168069135</v>
      </c>
      <c r="G67" s="1622">
        <v>66163.327286090658</v>
      </c>
      <c r="H67" s="1569">
        <v>98251.781532101697</v>
      </c>
      <c r="I67" s="1569">
        <v>113532.10643700004</v>
      </c>
      <c r="J67" s="1571">
        <f t="shared" si="6"/>
        <v>-0.27912169999766645</v>
      </c>
      <c r="K67" s="1571">
        <f t="shared" si="7"/>
        <v>-0.60151671641484572</v>
      </c>
      <c r="L67" s="1440"/>
    </row>
    <row r="68" spans="3:12">
      <c r="C68" s="1614" t="s">
        <v>118</v>
      </c>
      <c r="D68" s="1674"/>
      <c r="E68" s="1568">
        <v>22.923464680000002</v>
      </c>
      <c r="F68" s="1622">
        <v>59.177416000000001</v>
      </c>
      <c r="G68" s="1622">
        <v>1730.4513119999999</v>
      </c>
      <c r="H68" s="1569">
        <v>6104.4671660000004</v>
      </c>
      <c r="I68" s="1569">
        <v>13402.410093999999</v>
      </c>
      <c r="J68" s="1571">
        <f t="shared" si="6"/>
        <v>-0.61263153700391371</v>
      </c>
      <c r="K68" s="1571">
        <f t="shared" si="7"/>
        <v>-0.98675289820578316</v>
      </c>
      <c r="L68" s="1440"/>
    </row>
    <row r="69" spans="3:12">
      <c r="C69" s="1614" t="s">
        <v>119</v>
      </c>
      <c r="D69" s="1615"/>
      <c r="E69" s="1568">
        <v>378.74619900000005</v>
      </c>
      <c r="F69" s="1622">
        <v>491.73457320000006</v>
      </c>
      <c r="G69" s="1622">
        <v>912.06779040000004</v>
      </c>
      <c r="H69" s="1569">
        <v>1421.8450749653464</v>
      </c>
      <c r="I69" s="1569">
        <v>1530.8091630000001</v>
      </c>
      <c r="J69" s="1571">
        <f t="shared" si="6"/>
        <v>-0.22977512739183581</v>
      </c>
      <c r="K69" s="1571">
        <f t="shared" si="7"/>
        <v>-0.58473898213871189</v>
      </c>
      <c r="L69" s="1440"/>
    </row>
    <row r="70" spans="3:12">
      <c r="C70" s="1675" t="s">
        <v>580</v>
      </c>
      <c r="D70" s="1651"/>
      <c r="E70" s="1676">
        <v>2.1</v>
      </c>
      <c r="F70" s="1677">
        <v>2.1</v>
      </c>
      <c r="G70" s="1677">
        <v>2.1</v>
      </c>
      <c r="H70" s="1576"/>
      <c r="I70" s="1576"/>
      <c r="J70" s="1576"/>
      <c r="K70" s="1665"/>
    </row>
    <row r="71" spans="3:12">
      <c r="C71" s="1675" t="s">
        <v>581</v>
      </c>
      <c r="D71" s="1651"/>
      <c r="E71" s="1678">
        <v>5.6263199999999998</v>
      </c>
      <c r="F71" s="1677">
        <v>5.5</v>
      </c>
      <c r="G71" s="1677">
        <v>5.6</v>
      </c>
      <c r="H71" s="1576"/>
      <c r="I71" s="1576"/>
      <c r="J71" s="1576"/>
      <c r="K71" s="1665"/>
    </row>
    <row r="72" spans="3:12" ht="16.5" customHeight="1">
      <c r="C72" s="1510"/>
      <c r="D72" s="1679"/>
      <c r="E72" s="1679"/>
      <c r="F72" s="1679"/>
      <c r="G72" s="1680"/>
      <c r="H72" s="1679"/>
      <c r="I72" s="1440"/>
      <c r="J72" s="1681"/>
      <c r="K72" s="1682"/>
    </row>
    <row r="73" spans="3:12">
      <c r="C73" s="1480" t="s">
        <v>127</v>
      </c>
      <c r="D73" s="1481"/>
      <c r="E73" s="1481"/>
      <c r="F73" s="1481"/>
      <c r="G73" s="1481"/>
      <c r="H73" s="1481"/>
      <c r="I73" s="1481"/>
      <c r="J73" s="1481"/>
      <c r="K73" s="1647"/>
    </row>
    <row r="74" spans="3:12" ht="14.25" customHeight="1">
      <c r="C74" s="1482" t="s">
        <v>143</v>
      </c>
      <c r="D74" s="1483"/>
      <c r="E74" s="1483"/>
      <c r="F74" s="1483"/>
      <c r="G74" s="1483"/>
      <c r="H74" s="1483"/>
      <c r="I74" s="1483"/>
      <c r="J74" s="1483"/>
      <c r="K74" s="1650"/>
    </row>
    <row r="75" spans="3:12" ht="14.25" customHeight="1">
      <c r="C75" s="1482" t="s">
        <v>144</v>
      </c>
      <c r="D75" s="1483"/>
      <c r="E75" s="1483"/>
      <c r="F75" s="1483"/>
      <c r="G75" s="1483"/>
      <c r="H75" s="1483"/>
      <c r="I75" s="1483"/>
      <c r="J75" s="1483"/>
      <c r="K75" s="1650"/>
    </row>
    <row r="76" spans="3:12" ht="15" customHeight="1">
      <c r="C76" s="1482" t="s">
        <v>582</v>
      </c>
      <c r="D76" s="1648"/>
      <c r="E76" s="1648"/>
      <c r="F76" s="1648"/>
      <c r="G76" s="1648"/>
      <c r="H76" s="1648"/>
      <c r="I76" s="1648"/>
      <c r="J76" s="1648"/>
      <c r="K76" s="1649"/>
    </row>
    <row r="77" spans="3:12">
      <c r="C77" s="1482" t="s">
        <v>583</v>
      </c>
      <c r="D77" s="1483"/>
      <c r="E77" s="1483"/>
      <c r="F77" s="1483"/>
      <c r="G77" s="1648"/>
      <c r="H77" s="1648"/>
      <c r="I77" s="1648"/>
      <c r="J77" s="1648"/>
      <c r="K77" s="1649"/>
      <c r="L77" s="1440"/>
    </row>
    <row r="78" spans="3:12" ht="15" customHeight="1">
      <c r="C78" s="1683"/>
      <c r="D78" s="1440"/>
      <c r="E78" s="1440"/>
      <c r="F78" s="1440"/>
      <c r="G78" s="1440"/>
      <c r="H78" s="1440"/>
      <c r="I78" s="1440"/>
      <c r="J78" s="1440"/>
      <c r="K78" s="1448"/>
      <c r="L78" s="1440"/>
    </row>
    <row r="79" spans="3:12" ht="17.399999999999999">
      <c r="C79" s="1552" t="s">
        <v>149</v>
      </c>
      <c r="D79" s="1553"/>
      <c r="E79" s="1553"/>
      <c r="F79" s="1553"/>
      <c r="G79" s="1684"/>
      <c r="H79" s="1440"/>
      <c r="I79" s="1440"/>
      <c r="J79" s="1440"/>
      <c r="K79" s="1558" t="s">
        <v>112</v>
      </c>
      <c r="L79" s="1440"/>
    </row>
    <row r="80" spans="3:12" ht="15">
      <c r="C80" s="1656" t="s">
        <v>90</v>
      </c>
      <c r="D80" s="1685"/>
      <c r="E80" s="1685"/>
      <c r="F80" s="1685"/>
      <c r="G80" s="1685"/>
      <c r="H80" s="1685"/>
      <c r="I80" s="1440"/>
      <c r="J80" s="1440"/>
      <c r="K80" s="1448"/>
      <c r="L80" s="1440"/>
    </row>
    <row r="81" spans="2:12" ht="27" customHeight="1">
      <c r="C81" s="1686"/>
      <c r="D81" s="1687"/>
      <c r="E81" s="1970" t="s">
        <v>91</v>
      </c>
      <c r="F81" s="1971"/>
      <c r="G81" s="1972" t="s">
        <v>3</v>
      </c>
      <c r="H81" s="1972"/>
      <c r="I81" s="1688"/>
      <c r="J81" s="1440"/>
      <c r="K81" s="1448"/>
      <c r="L81" s="1440"/>
    </row>
    <row r="82" spans="2:12" ht="20.399999999999999">
      <c r="B82" s="1998"/>
      <c r="C82" s="1689" t="s">
        <v>150</v>
      </c>
      <c r="D82" s="1690" t="s">
        <v>151</v>
      </c>
      <c r="E82" s="1691" t="s">
        <v>152</v>
      </c>
      <c r="F82" s="1692" t="s">
        <v>153</v>
      </c>
      <c r="G82" s="1693" t="s">
        <v>152</v>
      </c>
      <c r="H82" s="1694" t="s">
        <v>153</v>
      </c>
      <c r="J82" s="1440"/>
      <c r="K82" s="1448"/>
      <c r="L82" s="1440"/>
    </row>
    <row r="83" spans="2:12" ht="16.350000000000001" customHeight="1">
      <c r="B83" s="1998"/>
      <c r="C83" s="1995" t="s">
        <v>584</v>
      </c>
      <c r="D83" s="1695" t="s">
        <v>155</v>
      </c>
      <c r="E83" s="1696">
        <v>964144.94403457851</v>
      </c>
      <c r="F83" s="1697">
        <v>0.82853862238286902</v>
      </c>
      <c r="G83" s="1698">
        <v>1009695.0202188299</v>
      </c>
      <c r="H83" s="1699">
        <v>0.80966680440870242</v>
      </c>
      <c r="J83" s="1440"/>
      <c r="K83" s="1448"/>
      <c r="L83" s="1440"/>
    </row>
    <row r="84" spans="2:12" ht="16.350000000000001" customHeight="1">
      <c r="B84" s="1998"/>
      <c r="C84" s="1995"/>
      <c r="D84" s="1695" t="s">
        <v>156</v>
      </c>
      <c r="E84" s="1696">
        <v>6915.2974415094104</v>
      </c>
      <c r="F84" s="1697">
        <v>5.942665624091575E-3</v>
      </c>
      <c r="G84" s="1698">
        <v>6589.3021063924007</v>
      </c>
      <c r="H84" s="1699">
        <v>5.2839115504501443E-3</v>
      </c>
      <c r="J84" s="1440"/>
      <c r="K84" s="1448"/>
      <c r="L84" s="1440"/>
    </row>
    <row r="85" spans="2:12" ht="16.350000000000001" customHeight="1">
      <c r="B85" s="1998"/>
      <c r="C85" s="1700" t="s">
        <v>157</v>
      </c>
      <c r="D85" s="1701" t="s">
        <v>155</v>
      </c>
      <c r="E85" s="1702">
        <v>39229.854248463191</v>
      </c>
      <c r="F85" s="1703">
        <v>3.3712202295318697E-2</v>
      </c>
      <c r="G85" s="1704">
        <v>53686.199673670875</v>
      </c>
      <c r="H85" s="1705">
        <v>4.3050557703263582E-2</v>
      </c>
      <c r="J85" s="1440"/>
      <c r="K85" s="1448"/>
      <c r="L85" s="1440"/>
    </row>
    <row r="86" spans="2:12" ht="16.350000000000001" customHeight="1">
      <c r="B86" s="1998"/>
      <c r="C86" s="1700"/>
      <c r="D86" s="1701" t="s">
        <v>156</v>
      </c>
      <c r="E86" s="1702">
        <v>611.56252749593762</v>
      </c>
      <c r="F86" s="1703">
        <v>5.2554667964352982E-4</v>
      </c>
      <c r="G86" s="1704">
        <v>767.28505069000039</v>
      </c>
      <c r="H86" s="1705">
        <v>6.1528008222532405E-4</v>
      </c>
      <c r="J86" s="1440"/>
      <c r="K86" s="1448"/>
      <c r="L86" s="1440"/>
    </row>
    <row r="87" spans="2:12" ht="16.350000000000001" customHeight="1">
      <c r="B87" s="1998"/>
      <c r="C87" s="1706" t="s">
        <v>158</v>
      </c>
      <c r="D87" s="1695" t="s">
        <v>155</v>
      </c>
      <c r="E87" s="1696">
        <v>127209.04499744732</v>
      </c>
      <c r="F87" s="1697">
        <v>0.10931718052243955</v>
      </c>
      <c r="G87" s="1698">
        <v>146764.06399994722</v>
      </c>
      <c r="H87" s="1699">
        <v>0.11768899352907346</v>
      </c>
      <c r="J87" s="1440"/>
      <c r="K87" s="1448"/>
      <c r="L87" s="1440"/>
    </row>
    <row r="88" spans="2:12" ht="16.350000000000001" customHeight="1">
      <c r="B88" s="1998"/>
      <c r="C88" s="1706"/>
      <c r="D88" s="1695" t="s">
        <v>156</v>
      </c>
      <c r="E88" s="1696">
        <v>563.62234333894605</v>
      </c>
      <c r="F88" s="1697">
        <v>4.8434924933600716E-4</v>
      </c>
      <c r="G88" s="1698">
        <v>475.90474396052088</v>
      </c>
      <c r="H88" s="1699">
        <v>3.8162441680849912E-4</v>
      </c>
      <c r="J88" s="1440"/>
      <c r="K88" s="1448"/>
      <c r="L88" s="1440"/>
    </row>
    <row r="89" spans="2:12" ht="16.350000000000001" customHeight="1">
      <c r="B89" s="1998"/>
      <c r="C89" s="1700" t="s">
        <v>159</v>
      </c>
      <c r="D89" s="1701" t="s">
        <v>156</v>
      </c>
      <c r="E89" s="1707">
        <v>24994.956669117266</v>
      </c>
      <c r="F89" s="1708">
        <v>2.1479433246301603E-2</v>
      </c>
      <c r="G89" s="1704">
        <v>29072.263458405432</v>
      </c>
      <c r="H89" s="1705">
        <v>2.3312828309476535E-2</v>
      </c>
      <c r="J89" s="1440"/>
      <c r="K89" s="1448"/>
      <c r="L89" s="1440"/>
    </row>
    <row r="90" spans="2:12" ht="16.350000000000001" customHeight="1">
      <c r="C90" s="1510"/>
      <c r="D90" s="1695"/>
      <c r="E90" s="1695"/>
      <c r="F90" s="1709"/>
      <c r="G90" s="1710"/>
      <c r="K90" s="1543"/>
    </row>
    <row r="91" spans="2:12" ht="16.350000000000001" customHeight="1">
      <c r="C91" s="1480" t="s">
        <v>127</v>
      </c>
      <c r="D91" s="1483"/>
      <c r="E91" s="1483"/>
      <c r="F91" s="1711"/>
      <c r="G91" s="1712"/>
      <c r="K91" s="1543"/>
    </row>
    <row r="92" spans="2:12">
      <c r="C92" s="1482" t="s">
        <v>160</v>
      </c>
      <c r="D92" s="1483"/>
      <c r="E92" s="1483"/>
      <c r="F92" s="1483"/>
      <c r="G92" s="1483"/>
      <c r="H92" s="1483"/>
      <c r="I92" s="1483"/>
      <c r="J92" s="1483"/>
      <c r="K92" s="1650"/>
      <c r="L92" s="1440"/>
    </row>
    <row r="93" spans="2:12" ht="16.350000000000001" customHeight="1">
      <c r="C93" s="1706"/>
      <c r="D93" s="1511"/>
      <c r="E93" s="1511"/>
      <c r="F93" s="1511"/>
      <c r="G93" s="1511"/>
      <c r="H93" s="1481"/>
      <c r="I93" s="1481"/>
      <c r="J93" s="1481"/>
      <c r="K93" s="1647"/>
      <c r="L93" s="1440"/>
    </row>
    <row r="94" spans="2:12" ht="19.2">
      <c r="B94" s="1980"/>
      <c r="C94" s="1713" t="s">
        <v>585</v>
      </c>
      <c r="D94" s="1714"/>
      <c r="E94" s="1714"/>
      <c r="F94" s="1714"/>
      <c r="G94" s="1714"/>
      <c r="H94" s="1483"/>
      <c r="I94" s="1483"/>
      <c r="J94" s="1483"/>
      <c r="K94" s="1596" t="s">
        <v>162</v>
      </c>
      <c r="L94" s="1440"/>
    </row>
    <row r="95" spans="2:12" ht="16.350000000000001" customHeight="1">
      <c r="B95" s="1980"/>
      <c r="C95" s="1968" t="s">
        <v>90</v>
      </c>
      <c r="D95" s="1968"/>
      <c r="E95" s="1715"/>
      <c r="F95" s="1648"/>
      <c r="G95" s="1648"/>
      <c r="H95" s="1483"/>
      <c r="I95" s="1483"/>
      <c r="J95" s="1483"/>
      <c r="K95" s="1650"/>
      <c r="L95" s="1440"/>
    </row>
    <row r="96" spans="2:12" ht="28.5" customHeight="1">
      <c r="B96" s="1980"/>
      <c r="C96" s="1716"/>
      <c r="E96" s="1562" t="s">
        <v>91</v>
      </c>
      <c r="F96" s="1717" t="s">
        <v>3</v>
      </c>
      <c r="G96" s="1717" t="s">
        <v>163</v>
      </c>
      <c r="H96" s="1717" t="s">
        <v>93</v>
      </c>
      <c r="I96" s="1717" t="s">
        <v>94</v>
      </c>
      <c r="J96" s="1718" t="s">
        <v>568</v>
      </c>
      <c r="K96" s="1718" t="s">
        <v>573</v>
      </c>
      <c r="L96" s="1440"/>
    </row>
    <row r="97" spans="2:14" ht="16.350000000000001" customHeight="1">
      <c r="B97" s="1980"/>
      <c r="C97" s="1716" t="s">
        <v>586</v>
      </c>
      <c r="E97" s="1719">
        <f>E98/E99</f>
        <v>68.625860901351814</v>
      </c>
      <c r="F97" s="1720">
        <f>F98/F99</f>
        <v>78.323197109525026</v>
      </c>
      <c r="G97" s="1720">
        <f>G98/G99</f>
        <v>104.31084983066546</v>
      </c>
      <c r="H97" s="1721">
        <v>142</v>
      </c>
      <c r="I97" s="1722">
        <v>187</v>
      </c>
      <c r="J97" s="1699">
        <f>E97/F97-1</f>
        <v>-0.12381180245505963</v>
      </c>
      <c r="K97" s="1723">
        <f>E97/G97-1</f>
        <v>-0.34210236986126941</v>
      </c>
      <c r="L97" s="1440"/>
    </row>
    <row r="98" spans="2:14">
      <c r="B98" s="1980"/>
      <c r="C98" s="1724" t="s">
        <v>587</v>
      </c>
      <c r="D98" s="1725"/>
      <c r="E98" s="1726">
        <v>1163669.2822619507</v>
      </c>
      <c r="F98" s="1727">
        <f>F12+F15</f>
        <v>1247050.0392518968</v>
      </c>
      <c r="G98" s="1727">
        <f>G12+G15</f>
        <v>1306495.2542123878</v>
      </c>
      <c r="H98" s="1728">
        <f>H10</f>
        <v>1264404.8087140413</v>
      </c>
      <c r="I98" s="1728">
        <f>I10</f>
        <v>1306142.9099660777</v>
      </c>
      <c r="J98" s="1729">
        <f t="shared" ref="J98" si="10">E98/F98-1</f>
        <v>-6.6862398753434249E-2</v>
      </c>
      <c r="K98" s="1729">
        <f>E98/G98-1</f>
        <v>-0.10931993169507448</v>
      </c>
      <c r="L98" s="1440"/>
    </row>
    <row r="99" spans="2:14">
      <c r="C99" s="1730" t="s">
        <v>588</v>
      </c>
      <c r="D99" s="1725"/>
      <c r="E99" s="1731">
        <v>16956.716709677421</v>
      </c>
      <c r="F99" s="1727">
        <v>15921.848</v>
      </c>
      <c r="G99" s="1727">
        <v>12525.017832117233</v>
      </c>
      <c r="H99" s="1727">
        <v>10191</v>
      </c>
      <c r="I99" s="1727">
        <v>8007</v>
      </c>
      <c r="J99" s="1729">
        <f>E99/F99-1</f>
        <v>6.4996771083194682E-2</v>
      </c>
      <c r="K99" s="1729">
        <f t="shared" ref="K99" si="11">E99/G99-1</f>
        <v>0.35382774994509147</v>
      </c>
      <c r="L99" s="1440"/>
    </row>
    <row r="100" spans="2:14" ht="13.5" customHeight="1">
      <c r="C100" s="1675"/>
      <c r="D100" s="1648"/>
      <c r="E100" s="1648"/>
      <c r="F100" s="1732"/>
      <c r="G100" s="1733"/>
      <c r="H100" s="1648"/>
      <c r="I100" s="1648"/>
      <c r="J100" s="1648"/>
      <c r="K100" s="1650"/>
      <c r="L100" s="1440"/>
    </row>
    <row r="101" spans="2:14" ht="18.899999999999999" customHeight="1">
      <c r="C101" s="1482" t="s">
        <v>539</v>
      </c>
      <c r="D101" s="1734"/>
      <c r="E101" s="1734"/>
      <c r="F101" s="1734"/>
      <c r="G101" s="1734"/>
      <c r="H101" s="1734"/>
      <c r="I101" s="1734"/>
      <c r="J101" s="1734"/>
      <c r="K101" s="1735"/>
      <c r="L101" s="1440"/>
    </row>
    <row r="102" spans="2:14" ht="15.75" customHeight="1">
      <c r="C102" s="1992" t="s">
        <v>589</v>
      </c>
      <c r="D102" s="1993"/>
      <c r="E102" s="1993"/>
      <c r="F102" s="1993"/>
      <c r="G102" s="1993"/>
      <c r="H102" s="1993"/>
      <c r="I102" s="1993"/>
      <c r="J102" s="1993"/>
      <c r="K102" s="1994"/>
      <c r="L102" s="1440"/>
    </row>
    <row r="103" spans="2:14">
      <c r="C103" s="1996" t="s">
        <v>590</v>
      </c>
      <c r="D103" s="1997"/>
      <c r="E103" s="1997"/>
      <c r="F103" s="1997"/>
      <c r="G103" s="1997"/>
      <c r="H103" s="1997"/>
      <c r="I103" s="1736"/>
      <c r="J103" s="1736"/>
      <c r="K103" s="1737"/>
      <c r="L103" s="1440"/>
    </row>
    <row r="104" spans="2:14" ht="27.9" customHeight="1">
      <c r="C104" s="1507"/>
      <c r="D104" s="1662"/>
      <c r="E104" s="1681"/>
      <c r="F104" s="1681"/>
      <c r="G104" s="1681"/>
      <c r="H104" s="1681"/>
      <c r="I104" s="1681"/>
      <c r="J104" s="1681"/>
      <c r="K104" s="1587"/>
      <c r="L104" s="1440"/>
      <c r="M104" s="1440"/>
      <c r="N104" s="1579"/>
    </row>
    <row r="105" spans="2:14" ht="19.2">
      <c r="B105" s="1980"/>
      <c r="C105" s="1738" t="s">
        <v>591</v>
      </c>
      <c r="D105" s="1714"/>
      <c r="E105" s="1714"/>
      <c r="F105" s="1714"/>
      <c r="G105" s="1714"/>
      <c r="H105" s="1483"/>
      <c r="I105" s="1483"/>
      <c r="J105" s="1483"/>
      <c r="K105" s="1596" t="s">
        <v>592</v>
      </c>
      <c r="L105" s="1440"/>
    </row>
    <row r="106" spans="2:14" ht="15" customHeight="1">
      <c r="B106" s="1980"/>
      <c r="C106" s="1968" t="s">
        <v>90</v>
      </c>
      <c r="D106" s="1968"/>
      <c r="E106" s="1715"/>
      <c r="F106" s="1648"/>
      <c r="G106" s="1648"/>
      <c r="H106" s="1483"/>
      <c r="I106" s="1483"/>
      <c r="J106" s="1483"/>
      <c r="K106" s="1650"/>
      <c r="L106" s="1440"/>
    </row>
    <row r="107" spans="2:14" ht="27" customHeight="1">
      <c r="B107" s="1980"/>
      <c r="C107" s="1716"/>
      <c r="E107" s="1739" t="s">
        <v>91</v>
      </c>
      <c r="F107" s="1717" t="s">
        <v>3</v>
      </c>
      <c r="G107" s="1717" t="s">
        <v>92</v>
      </c>
      <c r="H107" s="1717" t="s">
        <v>93</v>
      </c>
      <c r="I107" s="1717" t="s">
        <v>94</v>
      </c>
      <c r="J107" s="1490" t="s">
        <v>593</v>
      </c>
      <c r="K107" s="1661" t="s">
        <v>577</v>
      </c>
      <c r="L107" s="1440"/>
    </row>
    <row r="108" spans="2:14" ht="23.1" customHeight="1">
      <c r="B108" s="1980"/>
      <c r="C108" s="1969" t="s">
        <v>594</v>
      </c>
      <c r="D108" s="1969"/>
      <c r="E108" s="1740">
        <v>18537.051963180005</v>
      </c>
      <c r="F108" s="1741">
        <v>10406.846913000001</v>
      </c>
      <c r="G108" s="1741">
        <v>13747.313616000001</v>
      </c>
      <c r="H108" s="1741">
        <v>22761.969109109152</v>
      </c>
      <c r="I108" s="1741">
        <v>17345</v>
      </c>
      <c r="J108" s="1742">
        <f>E108/F108-1</f>
        <v>0.78123615328903639</v>
      </c>
      <c r="K108" s="1742">
        <f>E108/G108-1</f>
        <v>0.34841267763073369</v>
      </c>
      <c r="L108" s="1440"/>
      <c r="M108" s="1440"/>
    </row>
    <row r="109" spans="2:14" ht="26.4" customHeight="1">
      <c r="B109" s="1980"/>
      <c r="C109" s="1969" t="s">
        <v>595</v>
      </c>
      <c r="D109" s="1969"/>
      <c r="E109" s="1743">
        <v>22137.962926683485</v>
      </c>
      <c r="F109" s="1741">
        <v>29440.734945352531</v>
      </c>
      <c r="G109" s="1741">
        <v>16121.270896071104</v>
      </c>
      <c r="H109" s="1741">
        <v>26324.880000000001</v>
      </c>
      <c r="I109" s="1741">
        <v>42601.300524667116</v>
      </c>
      <c r="J109" s="1744">
        <f>E109/F109-1</f>
        <v>-0.24804992240256052</v>
      </c>
      <c r="K109" s="1744">
        <f>E109/G109-1</f>
        <v>0.37321449837299747</v>
      </c>
      <c r="L109" s="1440"/>
    </row>
    <row r="110" spans="2:14" ht="15.6" customHeight="1">
      <c r="B110" s="1980"/>
      <c r="C110" s="1510"/>
      <c r="D110" s="1511"/>
      <c r="E110" s="1511"/>
      <c r="F110" s="1511"/>
      <c r="G110" s="1511"/>
      <c r="H110" s="1481"/>
      <c r="I110" s="1481"/>
      <c r="J110" s="1481"/>
      <c r="K110" s="1647"/>
      <c r="L110" s="1440"/>
    </row>
    <row r="111" spans="2:14" ht="15.6" customHeight="1">
      <c r="B111" s="1980"/>
      <c r="C111" s="1482" t="s">
        <v>539</v>
      </c>
      <c r="D111" s="1734"/>
      <c r="E111" s="1745"/>
      <c r="F111" s="1745"/>
      <c r="G111" s="1745"/>
      <c r="H111" s="1745"/>
      <c r="I111" s="1745"/>
      <c r="K111" s="1587"/>
    </row>
    <row r="112" spans="2:14">
      <c r="B112" s="1980"/>
      <c r="C112" s="1986" t="s">
        <v>596</v>
      </c>
      <c r="D112" s="1987"/>
      <c r="E112" s="1987"/>
      <c r="F112" s="1987"/>
      <c r="G112" s="1987"/>
      <c r="H112" s="1987"/>
      <c r="I112" s="1987"/>
      <c r="K112" s="1587"/>
    </row>
    <row r="113" spans="1:13">
      <c r="B113" s="1746"/>
      <c r="C113" s="1999" t="s">
        <v>597</v>
      </c>
      <c r="D113" s="2000"/>
      <c r="E113" s="2000"/>
      <c r="F113" s="2000"/>
      <c r="G113" s="2000"/>
      <c r="H113" s="2000"/>
      <c r="I113" s="2000"/>
      <c r="J113" s="1747"/>
      <c r="K113" s="1587"/>
      <c r="L113" s="1747"/>
      <c r="M113" s="1747"/>
    </row>
    <row r="114" spans="1:13" ht="15.6" customHeight="1">
      <c r="C114" s="1999" t="s">
        <v>598</v>
      </c>
      <c r="D114" s="2000"/>
      <c r="E114" s="2000"/>
      <c r="F114" s="2000"/>
      <c r="G114" s="2000"/>
      <c r="H114" s="2000"/>
      <c r="I114" s="2000"/>
      <c r="J114" s="1747"/>
      <c r="K114" s="1587"/>
      <c r="L114" s="1440"/>
    </row>
    <row r="115" spans="1:13" ht="15.6" customHeight="1">
      <c r="C115" s="1748"/>
      <c r="D115" s="1747"/>
      <c r="E115" s="1747"/>
      <c r="F115" s="1747"/>
      <c r="G115" s="1747"/>
      <c r="H115" s="1747"/>
      <c r="I115" s="1747"/>
      <c r="J115" s="1747"/>
      <c r="K115" s="1587"/>
      <c r="L115" s="1440"/>
    </row>
    <row r="116" spans="1:13" ht="19.2">
      <c r="C116" s="1749" t="s">
        <v>599</v>
      </c>
      <c r="D116" s="1750"/>
      <c r="E116" s="1750"/>
      <c r="F116" s="1751"/>
      <c r="G116" s="1752"/>
      <c r="H116" s="1440"/>
      <c r="I116" s="1753"/>
      <c r="J116" s="1754"/>
      <c r="K116" s="1558" t="s">
        <v>177</v>
      </c>
      <c r="L116" s="1440"/>
    </row>
    <row r="117" spans="1:13" ht="15">
      <c r="C117" s="1755" t="s">
        <v>90</v>
      </c>
      <c r="D117" s="1756"/>
      <c r="E117" s="1756"/>
      <c r="F117" s="1756"/>
      <c r="G117" s="1756"/>
      <c r="H117" s="1756"/>
      <c r="I117" s="1753"/>
      <c r="J117" s="1754"/>
      <c r="K117" s="1448"/>
      <c r="L117" s="1440"/>
    </row>
    <row r="118" spans="1:13" ht="27" customHeight="1">
      <c r="A118" s="1523"/>
      <c r="B118" s="1523"/>
      <c r="C118" s="1984"/>
      <c r="D118" s="1985"/>
      <c r="E118" s="1757"/>
      <c r="F118" s="1562" t="s">
        <v>3</v>
      </c>
      <c r="G118" s="1758" t="s">
        <v>92</v>
      </c>
      <c r="H118" s="1661" t="s">
        <v>600</v>
      </c>
      <c r="I118" s="1753"/>
      <c r="J118" s="1759"/>
      <c r="K118" s="1448"/>
      <c r="L118" s="1440"/>
    </row>
    <row r="119" spans="1:13">
      <c r="C119" s="1760" t="s">
        <v>601</v>
      </c>
      <c r="D119" s="1615"/>
      <c r="E119" s="1615"/>
      <c r="F119" s="1620">
        <v>1175196.51</v>
      </c>
      <c r="G119" s="1619">
        <v>1598152</v>
      </c>
      <c r="H119" s="1761">
        <f>F119/G119-1</f>
        <v>-0.26465285529786908</v>
      </c>
      <c r="I119" s="1440"/>
      <c r="J119" s="1762"/>
      <c r="K119" s="1448"/>
      <c r="L119" s="1440"/>
    </row>
    <row r="120" spans="1:13">
      <c r="C120" s="1760" t="s">
        <v>181</v>
      </c>
      <c r="D120" s="1615"/>
      <c r="E120" s="1615"/>
      <c r="F120" s="1620">
        <v>363052.58</v>
      </c>
      <c r="G120" s="1619">
        <v>100359</v>
      </c>
      <c r="H120" s="1761">
        <f t="shared" ref="H120:H133" si="12">F120/G120-1</f>
        <v>2.6175388355802669</v>
      </c>
      <c r="I120" s="1440"/>
      <c r="J120" s="1762"/>
      <c r="K120" s="1448"/>
      <c r="L120" s="1440"/>
    </row>
    <row r="121" spans="1:13">
      <c r="C121" s="1760" t="s">
        <v>182</v>
      </c>
      <c r="D121" s="1615"/>
      <c r="E121" s="1615"/>
      <c r="F121" s="1620">
        <v>132883.62</v>
      </c>
      <c r="G121" s="1619">
        <v>138633</v>
      </c>
      <c r="H121" s="1761">
        <f t="shared" si="12"/>
        <v>-4.1471943909458853E-2</v>
      </c>
      <c r="I121" s="1440"/>
      <c r="J121" s="1440"/>
      <c r="K121" s="1448"/>
      <c r="L121" s="1440"/>
    </row>
    <row r="122" spans="1:13">
      <c r="C122" s="1760" t="s">
        <v>183</v>
      </c>
      <c r="D122" s="1615"/>
      <c r="E122" s="1615"/>
      <c r="F122" s="1620">
        <v>71057.259999999995</v>
      </c>
      <c r="G122" s="1619">
        <v>50349</v>
      </c>
      <c r="H122" s="1761">
        <f t="shared" si="12"/>
        <v>0.41129436532999653</v>
      </c>
      <c r="I122" s="1440"/>
      <c r="J122" s="1440"/>
      <c r="K122" s="1448"/>
      <c r="L122" s="1440"/>
    </row>
    <row r="123" spans="1:13">
      <c r="C123" s="1760" t="s">
        <v>184</v>
      </c>
      <c r="D123" s="1615"/>
      <c r="E123" s="1615"/>
      <c r="F123" s="1620">
        <v>4308.82</v>
      </c>
      <c r="G123" s="1619">
        <v>6239</v>
      </c>
      <c r="H123" s="1761">
        <f t="shared" si="12"/>
        <v>-0.30937329700272487</v>
      </c>
      <c r="I123" s="1440"/>
      <c r="J123" s="1440"/>
      <c r="K123" s="1448"/>
      <c r="L123" s="1440"/>
    </row>
    <row r="124" spans="1:13">
      <c r="C124" s="1760" t="s">
        <v>185</v>
      </c>
      <c r="D124" s="1615"/>
      <c r="E124" s="1615"/>
      <c r="F124" s="1620">
        <v>9697.33</v>
      </c>
      <c r="G124" s="1619">
        <v>15629</v>
      </c>
      <c r="H124" s="1761">
        <f>F124/G124-1</f>
        <v>-0.37952972039157973</v>
      </c>
      <c r="I124" s="1440"/>
      <c r="J124" s="1440"/>
      <c r="K124" s="1448"/>
      <c r="L124" s="1440"/>
    </row>
    <row r="125" spans="1:13">
      <c r="C125" s="1760" t="s">
        <v>186</v>
      </c>
      <c r="D125" s="1615"/>
      <c r="E125" s="1615"/>
      <c r="F125" s="1620">
        <v>40634.620000000003</v>
      </c>
      <c r="G125" s="1619">
        <v>85814</v>
      </c>
      <c r="H125" s="1761">
        <f t="shared" si="12"/>
        <v>-0.52648029459062617</v>
      </c>
      <c r="I125" s="1440"/>
      <c r="J125" s="1440"/>
      <c r="K125" s="1448"/>
      <c r="L125" s="1440"/>
    </row>
    <row r="126" spans="1:13">
      <c r="C126" s="1760" t="s">
        <v>187</v>
      </c>
      <c r="D126" s="1615"/>
      <c r="E126" s="1615"/>
      <c r="F126" s="1620">
        <v>115561.45</v>
      </c>
      <c r="G126" s="1619">
        <v>141299</v>
      </c>
      <c r="H126" s="1761">
        <f t="shared" si="12"/>
        <v>-0.18214955519855058</v>
      </c>
      <c r="I126" s="1440"/>
      <c r="J126" s="1440"/>
      <c r="K126" s="1448"/>
      <c r="L126" s="1440"/>
    </row>
    <row r="127" spans="1:13">
      <c r="C127" s="1760" t="s">
        <v>188</v>
      </c>
      <c r="D127" s="1615"/>
      <c r="E127" s="1615"/>
      <c r="F127" s="1620">
        <v>23765.95</v>
      </c>
      <c r="G127" s="1619">
        <v>20258</v>
      </c>
      <c r="H127" s="1761">
        <f t="shared" si="12"/>
        <v>0.17316368841938989</v>
      </c>
      <c r="I127" s="1440"/>
      <c r="J127" s="1440"/>
      <c r="K127" s="1448"/>
      <c r="L127" s="1440"/>
    </row>
    <row r="128" spans="1:13" ht="15" customHeight="1">
      <c r="C128" s="1760" t="s">
        <v>602</v>
      </c>
      <c r="D128" s="1615"/>
      <c r="E128" s="1615"/>
      <c r="F128" s="1620">
        <v>0</v>
      </c>
      <c r="G128" s="1619">
        <v>0</v>
      </c>
      <c r="H128" s="1761" t="s">
        <v>121</v>
      </c>
      <c r="I128" s="1440"/>
      <c r="J128" s="1440"/>
      <c r="K128" s="1448"/>
      <c r="L128" s="1440"/>
    </row>
    <row r="129" spans="2:12">
      <c r="C129" s="1760" t="s">
        <v>190</v>
      </c>
      <c r="D129" s="1615"/>
      <c r="E129" s="1615"/>
      <c r="F129" s="1620">
        <v>1344929.73</v>
      </c>
      <c r="G129" s="1619">
        <v>1454373</v>
      </c>
      <c r="H129" s="1761">
        <f t="shared" si="12"/>
        <v>-7.5251170091854003E-2</v>
      </c>
      <c r="I129" s="1440"/>
      <c r="J129" s="1440"/>
      <c r="K129" s="1448"/>
      <c r="L129" s="1440"/>
    </row>
    <row r="130" spans="2:12">
      <c r="C130" s="1760" t="s">
        <v>191</v>
      </c>
      <c r="D130" s="1615"/>
      <c r="E130" s="1615"/>
      <c r="F130" s="1620">
        <v>2242.59</v>
      </c>
      <c r="G130" s="1619">
        <v>3021</v>
      </c>
      <c r="H130" s="1761">
        <f t="shared" si="12"/>
        <v>-0.25766633565044683</v>
      </c>
      <c r="I130" s="1440"/>
      <c r="J130" s="1440"/>
      <c r="K130" s="1448"/>
      <c r="L130" s="1440"/>
    </row>
    <row r="131" spans="2:12">
      <c r="C131" s="1760" t="s">
        <v>603</v>
      </c>
      <c r="D131" s="1615"/>
      <c r="E131" s="1615"/>
      <c r="F131" s="1620">
        <v>0</v>
      </c>
      <c r="G131" s="1619">
        <v>0</v>
      </c>
      <c r="H131" s="1761" t="s">
        <v>121</v>
      </c>
      <c r="I131" s="1440"/>
      <c r="J131" s="1440"/>
      <c r="K131" s="1448"/>
      <c r="L131" s="1440"/>
    </row>
    <row r="132" spans="2:12">
      <c r="C132" s="1760" t="s">
        <v>604</v>
      </c>
      <c r="D132" s="1615"/>
      <c r="E132" s="1615"/>
      <c r="F132" s="1620">
        <v>0</v>
      </c>
      <c r="G132" s="1619">
        <v>0</v>
      </c>
      <c r="H132" s="1761" t="s">
        <v>121</v>
      </c>
      <c r="I132" s="1440"/>
      <c r="J132" s="1440"/>
      <c r="K132" s="1448"/>
    </row>
    <row r="133" spans="2:12" ht="17.100000000000001" customHeight="1">
      <c r="C133" s="1760" t="s">
        <v>194</v>
      </c>
      <c r="D133" s="1615"/>
      <c r="E133" s="1615"/>
      <c r="F133" s="1641">
        <v>173665.87</v>
      </c>
      <c r="G133" s="1619">
        <v>280320</v>
      </c>
      <c r="H133" s="1761">
        <f t="shared" si="12"/>
        <v>-0.38047278110730598</v>
      </c>
      <c r="I133" s="1440"/>
      <c r="J133" s="1440"/>
      <c r="K133" s="1448"/>
      <c r="L133" s="1440"/>
    </row>
    <row r="134" spans="2:12" ht="17.100000000000001" customHeight="1">
      <c r="C134" s="1981"/>
      <c r="D134" s="1982"/>
      <c r="E134" s="1982"/>
      <c r="F134" s="1982"/>
      <c r="G134" s="1982"/>
      <c r="H134" s="1982"/>
      <c r="I134" s="1982"/>
      <c r="J134" s="1982"/>
      <c r="K134" s="1983"/>
      <c r="L134" s="1440"/>
    </row>
    <row r="135" spans="2:12">
      <c r="C135" s="1482" t="s">
        <v>127</v>
      </c>
      <c r="D135" s="1763"/>
      <c r="E135" s="1763"/>
      <c r="F135" s="1763"/>
      <c r="G135" s="1763"/>
      <c r="H135" s="1763"/>
      <c r="I135" s="1763"/>
      <c r="J135" s="1763"/>
      <c r="K135" s="1764"/>
      <c r="L135" s="1440"/>
    </row>
    <row r="136" spans="2:12">
      <c r="C136" s="1482" t="s">
        <v>195</v>
      </c>
      <c r="D136" s="1765"/>
      <c r="E136" s="1765"/>
      <c r="F136" s="1765"/>
      <c r="G136" s="1765"/>
      <c r="H136" s="1765"/>
      <c r="I136" s="1765"/>
      <c r="J136" s="1765"/>
      <c r="K136" s="1766"/>
      <c r="L136" s="1440"/>
    </row>
    <row r="137" spans="2:12">
      <c r="C137" s="1482" t="s">
        <v>605</v>
      </c>
      <c r="D137" s="1483"/>
      <c r="E137" s="1483"/>
      <c r="F137" s="1483"/>
      <c r="G137" s="1483"/>
      <c r="H137" s="1483"/>
      <c r="I137" s="1483"/>
      <c r="J137" s="1483"/>
      <c r="K137" s="1650"/>
      <c r="L137" s="1440"/>
    </row>
    <row r="138" spans="2:12">
      <c r="C138" s="1767" t="s">
        <v>197</v>
      </c>
      <c r="D138" s="1768"/>
      <c r="E138" s="1768"/>
      <c r="F138" s="1768"/>
      <c r="G138" s="1768"/>
      <c r="H138" s="1768"/>
      <c r="I138" s="1768"/>
      <c r="J138" s="1768"/>
      <c r="K138" s="1769"/>
      <c r="L138" s="1440"/>
    </row>
    <row r="139" spans="2:12" ht="26.4" customHeight="1">
      <c r="C139" s="1770"/>
      <c r="D139" s="1679"/>
      <c r="E139" s="1679"/>
      <c r="F139" s="1679"/>
      <c r="G139" s="1679"/>
      <c r="H139" s="1679"/>
      <c r="I139" s="1440"/>
      <c r="J139" s="1440"/>
      <c r="K139" s="1448"/>
      <c r="L139" s="1440"/>
    </row>
    <row r="140" spans="2:12" ht="19.2">
      <c r="B140" s="1980"/>
      <c r="C140" s="1771" t="s">
        <v>606</v>
      </c>
      <c r="D140" s="1772"/>
      <c r="E140" s="1772"/>
      <c r="F140" s="1772"/>
      <c r="G140" s="1773"/>
      <c r="H140" s="1549"/>
      <c r="I140" s="1440"/>
      <c r="J140" s="1440"/>
      <c r="K140" s="1558"/>
      <c r="L140" s="1440"/>
    </row>
    <row r="141" spans="2:12">
      <c r="B141" s="1980"/>
      <c r="C141" s="1686" t="s">
        <v>200</v>
      </c>
      <c r="D141" s="1774"/>
      <c r="E141" s="1774"/>
      <c r="F141" s="1774"/>
      <c r="G141" s="1775"/>
      <c r="H141" s="1776"/>
      <c r="I141" s="1440"/>
      <c r="J141" s="1440"/>
      <c r="K141" s="1448"/>
      <c r="L141" s="1440"/>
    </row>
    <row r="142" spans="2:12" ht="27" customHeight="1">
      <c r="B142" s="1980"/>
      <c r="C142" s="1777"/>
      <c r="D142" s="1778"/>
      <c r="E142" s="1599" t="s">
        <v>91</v>
      </c>
      <c r="F142" s="1490" t="s">
        <v>3</v>
      </c>
      <c r="G142" s="1490" t="s">
        <v>92</v>
      </c>
      <c r="H142" s="1490" t="s">
        <v>93</v>
      </c>
      <c r="I142" s="1490" t="s">
        <v>94</v>
      </c>
      <c r="J142" s="1490" t="s">
        <v>607</v>
      </c>
      <c r="K142" s="1661" t="s">
        <v>577</v>
      </c>
      <c r="L142" s="1440"/>
    </row>
    <row r="143" spans="2:12">
      <c r="B143" s="1980"/>
      <c r="C143" s="1716" t="s">
        <v>201</v>
      </c>
      <c r="D143" s="1648"/>
      <c r="E143" s="1574">
        <f>E144+E145</f>
        <v>5572802.5293999976</v>
      </c>
      <c r="F143" s="1576">
        <f>F144+F145</f>
        <v>48574071.724797122</v>
      </c>
      <c r="G143" s="1576">
        <v>86567327.066097647</v>
      </c>
      <c r="H143" s="1576">
        <v>73908445.702636898</v>
      </c>
      <c r="I143" s="1576">
        <v>70142808.122068703</v>
      </c>
      <c r="J143" s="1664">
        <f>E143/F143-1</f>
        <v>-0.88527207352569792</v>
      </c>
      <c r="K143" s="1665">
        <f>E143/G143-1</f>
        <v>-0.93562464363552622</v>
      </c>
      <c r="L143" s="1440"/>
    </row>
    <row r="144" spans="2:12">
      <c r="B144" s="1980"/>
      <c r="C144" s="1779" t="s">
        <v>202</v>
      </c>
      <c r="D144" s="1780"/>
      <c r="E144" s="1568">
        <v>5032164.5434999978</v>
      </c>
      <c r="F144" s="1619">
        <v>29898666.694897123</v>
      </c>
      <c r="G144" s="1619">
        <v>51291684.617324896</v>
      </c>
      <c r="H144" s="1569">
        <v>46566282.933354303</v>
      </c>
      <c r="I144" s="1569">
        <v>43894274.957935318</v>
      </c>
      <c r="J144" s="1571">
        <f t="shared" ref="J144:J145" si="13">E144/F144-1</f>
        <v>-0.83169267730728447</v>
      </c>
      <c r="K144" s="1571">
        <f>E144/G144-1</f>
        <v>-0.90189122113957099</v>
      </c>
      <c r="L144" s="1440"/>
    </row>
    <row r="145" spans="2:13">
      <c r="B145" s="1980"/>
      <c r="C145" s="1779" t="s">
        <v>203</v>
      </c>
      <c r="D145" s="1780"/>
      <c r="E145" s="1781">
        <v>540637.98590000009</v>
      </c>
      <c r="F145" s="1569">
        <v>18675405.029899999</v>
      </c>
      <c r="G145" s="1569">
        <v>35275642.448772758</v>
      </c>
      <c r="H145" s="1569">
        <v>27342162.769282594</v>
      </c>
      <c r="I145" s="1569">
        <v>26248533.164133385</v>
      </c>
      <c r="J145" s="1571">
        <f t="shared" si="13"/>
        <v>-0.97105080264473953</v>
      </c>
      <c r="K145" s="1571">
        <f>E145/G145-1</f>
        <v>-0.98467390107252861</v>
      </c>
      <c r="L145" s="1440"/>
    </row>
    <row r="146" spans="2:13">
      <c r="B146" s="1980"/>
      <c r="C146" s="1782"/>
      <c r="D146" s="1783"/>
      <c r="E146" s="1783"/>
      <c r="F146" s="1783"/>
      <c r="G146" s="1440"/>
      <c r="H146" s="1440"/>
      <c r="I146" s="1440"/>
      <c r="J146" s="1440"/>
      <c r="K146" s="1448"/>
      <c r="L146" s="1440"/>
    </row>
    <row r="147" spans="2:13">
      <c r="B147" s="1980"/>
      <c r="C147" s="1482" t="s">
        <v>539</v>
      </c>
      <c r="D147" s="1783"/>
      <c r="E147" s="1783"/>
      <c r="F147" s="1783"/>
      <c r="G147" s="1440"/>
      <c r="H147" s="1440"/>
      <c r="I147" s="1440"/>
      <c r="J147" s="1440"/>
      <c r="K147" s="1448"/>
      <c r="L147" s="1440"/>
    </row>
    <row r="148" spans="2:13">
      <c r="B148" s="1980"/>
      <c r="C148" s="1482" t="s">
        <v>596</v>
      </c>
      <c r="D148" s="1783"/>
      <c r="E148" s="1783"/>
      <c r="F148" s="1783"/>
      <c r="G148" s="1440"/>
      <c r="H148" s="1440"/>
      <c r="I148" s="1440"/>
      <c r="J148" s="1440"/>
      <c r="K148" s="1448"/>
      <c r="L148" s="1440"/>
    </row>
    <row r="149" spans="2:13" ht="21" customHeight="1">
      <c r="B149" s="1746"/>
      <c r="C149" s="1706"/>
      <c r="D149" s="1783"/>
      <c r="E149" s="1783"/>
      <c r="F149" s="1783"/>
      <c r="G149" s="1440"/>
      <c r="H149" s="1440"/>
      <c r="I149" s="1440"/>
      <c r="J149" s="1440"/>
      <c r="K149" s="1448"/>
      <c r="L149" s="1440"/>
    </row>
    <row r="150" spans="2:13" ht="24.9" customHeight="1">
      <c r="C150" s="1548" t="s">
        <v>608</v>
      </c>
      <c r="D150" s="1440"/>
      <c r="E150" s="1440"/>
      <c r="F150" s="1440"/>
      <c r="G150" s="1440"/>
      <c r="H150" s="1440"/>
      <c r="I150" s="1440"/>
      <c r="J150" s="1440"/>
      <c r="K150" s="1448"/>
      <c r="L150" s="1440"/>
    </row>
    <row r="151" spans="2:13">
      <c r="C151" s="1784"/>
      <c r="D151" s="1440"/>
      <c r="E151" s="1440"/>
      <c r="F151" s="1440"/>
      <c r="G151" s="1440"/>
      <c r="H151" s="1440"/>
      <c r="I151" s="1440"/>
      <c r="J151" s="1440"/>
      <c r="K151" s="1448"/>
      <c r="L151" s="1440"/>
    </row>
    <row r="152" spans="2:13" ht="19.2">
      <c r="B152" s="1980"/>
      <c r="C152" s="1653" t="s">
        <v>609</v>
      </c>
      <c r="D152" s="1772"/>
      <c r="E152" s="1772"/>
      <c r="F152" s="1549"/>
      <c r="G152" s="1440"/>
      <c r="K152" s="1596" t="s">
        <v>610</v>
      </c>
      <c r="L152" s="1440"/>
    </row>
    <row r="153" spans="2:13">
      <c r="B153" s="1980"/>
      <c r="C153" s="1686" t="s">
        <v>207</v>
      </c>
      <c r="D153" s="1774"/>
      <c r="E153" s="1774"/>
      <c r="F153" s="1556"/>
      <c r="G153" s="1440"/>
      <c r="H153" s="1440"/>
      <c r="I153" s="1440"/>
      <c r="J153" s="1440"/>
      <c r="K153" s="1448"/>
      <c r="L153" s="1440"/>
    </row>
    <row r="154" spans="2:13" ht="27" customHeight="1">
      <c r="B154" s="1980"/>
      <c r="C154" s="1785"/>
      <c r="D154" s="1786"/>
      <c r="E154" s="1599" t="s">
        <v>91</v>
      </c>
      <c r="F154" s="1490" t="s">
        <v>3</v>
      </c>
      <c r="G154" s="1490" t="s">
        <v>567</v>
      </c>
      <c r="H154" s="1490" t="s">
        <v>607</v>
      </c>
      <c r="I154" s="1490" t="s">
        <v>573</v>
      </c>
      <c r="K154" s="1448"/>
    </row>
    <row r="155" spans="2:13">
      <c r="B155" s="1980"/>
      <c r="C155" s="1496" t="s">
        <v>611</v>
      </c>
      <c r="D155" s="1681"/>
      <c r="E155" s="1787">
        <v>7566.1090000000004</v>
      </c>
      <c r="F155" s="1788">
        <v>9699.3631000000314</v>
      </c>
      <c r="G155" s="1788">
        <v>9955.633300000005</v>
      </c>
      <c r="H155" s="1789">
        <f t="shared" ref="H155:H162" si="14">E155/F155-1</f>
        <v>-0.21993754414658673</v>
      </c>
      <c r="I155" s="1789">
        <f t="shared" ref="I155:I162" si="15">E155/G155-1</f>
        <v>-0.24001730758805706</v>
      </c>
      <c r="K155" s="1448"/>
    </row>
    <row r="156" spans="2:13" s="1794" customFormat="1" ht="14.4" customHeight="1">
      <c r="B156" s="1980"/>
      <c r="C156" s="1990" t="s">
        <v>209</v>
      </c>
      <c r="D156" s="1991"/>
      <c r="E156" s="1790">
        <v>4563.0681000000004</v>
      </c>
      <c r="F156" s="1791">
        <v>6060.2611999999926</v>
      </c>
      <c r="G156" s="1791">
        <v>5461.1953999999914</v>
      </c>
      <c r="H156" s="1792">
        <f t="shared" si="14"/>
        <v>-0.24705091919140287</v>
      </c>
      <c r="I156" s="1793">
        <f t="shared" si="15"/>
        <v>-0.16445617382597089</v>
      </c>
      <c r="K156" s="1448"/>
      <c r="L156" s="1446"/>
      <c r="M156" s="1446"/>
    </row>
    <row r="157" spans="2:13">
      <c r="B157" s="1980"/>
      <c r="C157" s="1795" t="s">
        <v>612</v>
      </c>
      <c r="D157" s="1796"/>
      <c r="E157" s="1797">
        <v>3745.5554999999999</v>
      </c>
      <c r="F157" s="1798">
        <v>5055.8382999999958</v>
      </c>
      <c r="G157" s="1798">
        <v>3767.3517999999922</v>
      </c>
      <c r="H157" s="1799">
        <f t="shared" si="14"/>
        <v>-0.25916232328870115</v>
      </c>
      <c r="I157" s="1800">
        <f>E157/G157-1</f>
        <v>-5.7855759581550981E-3</v>
      </c>
      <c r="K157" s="1448"/>
    </row>
    <row r="158" spans="2:13">
      <c r="B158" s="1980"/>
      <c r="C158" s="1795" t="s">
        <v>613</v>
      </c>
      <c r="D158" s="1796"/>
      <c r="E158" s="1801">
        <v>260.20300000000003</v>
      </c>
      <c r="F158" s="1802">
        <v>373.78999999999616</v>
      </c>
      <c r="G158" s="1802">
        <v>563.7432999999935</v>
      </c>
      <c r="H158" s="1799">
        <f t="shared" si="14"/>
        <v>-0.30387918349874876</v>
      </c>
      <c r="I158" s="1800">
        <f t="shared" si="15"/>
        <v>-0.5384370865250141</v>
      </c>
      <c r="K158" s="1448"/>
      <c r="L158" s="1644"/>
    </row>
    <row r="159" spans="2:13">
      <c r="B159" s="1980"/>
      <c r="C159" s="1795" t="s">
        <v>614</v>
      </c>
      <c r="D159" s="1796"/>
      <c r="E159" s="1801">
        <v>245.8545</v>
      </c>
      <c r="F159" s="1802">
        <v>1065.3100000000004</v>
      </c>
      <c r="G159" s="1802">
        <v>394.41560000000015</v>
      </c>
      <c r="H159" s="1799">
        <f>E159/F159-1</f>
        <v>-0.76921788024143212</v>
      </c>
      <c r="I159" s="1800">
        <f t="shared" si="15"/>
        <v>-0.37666131866995145</v>
      </c>
      <c r="K159" s="1448"/>
    </row>
    <row r="160" spans="2:13">
      <c r="C160" s="1795" t="s">
        <v>615</v>
      </c>
      <c r="D160" s="1796"/>
      <c r="E160" s="1801">
        <v>3238.83</v>
      </c>
      <c r="F160" s="1802">
        <v>3608.251299999999</v>
      </c>
      <c r="G160" s="1802">
        <v>2807.3288999999986</v>
      </c>
      <c r="H160" s="1799">
        <f t="shared" si="14"/>
        <v>-0.10238236455426464</v>
      </c>
      <c r="I160" s="1800">
        <f t="shared" si="15"/>
        <v>0.15370521779617685</v>
      </c>
      <c r="K160" s="1448"/>
    </row>
    <row r="161" spans="3:17">
      <c r="C161" s="1795" t="s">
        <v>213</v>
      </c>
      <c r="D161" s="1796"/>
      <c r="E161" s="1801">
        <v>0.66800000000000004</v>
      </c>
      <c r="F161" s="1802">
        <v>8.4870000000000001</v>
      </c>
      <c r="G161" s="1802">
        <v>1.8639999999999999</v>
      </c>
      <c r="H161" s="1799">
        <f t="shared" si="14"/>
        <v>-0.9212913868269117</v>
      </c>
      <c r="I161" s="1800">
        <f t="shared" si="15"/>
        <v>-0.64163090128755362</v>
      </c>
      <c r="K161" s="1448"/>
    </row>
    <row r="162" spans="3:17">
      <c r="C162" s="1795" t="s">
        <v>616</v>
      </c>
      <c r="D162" s="1796"/>
      <c r="E162" s="1797">
        <v>817.51260000000002</v>
      </c>
      <c r="F162" s="1798">
        <v>1004.4228999999971</v>
      </c>
      <c r="G162" s="1798">
        <v>1693.843599999999</v>
      </c>
      <c r="H162" s="1799">
        <f t="shared" si="14"/>
        <v>-0.18608725468126786</v>
      </c>
      <c r="I162" s="1800">
        <f t="shared" si="15"/>
        <v>-0.51736240583250992</v>
      </c>
      <c r="K162" s="1448"/>
      <c r="L162" s="1644"/>
      <c r="P162" s="1794"/>
      <c r="Q162" s="1794"/>
    </row>
    <row r="163" spans="3:17">
      <c r="C163" s="1795" t="s">
        <v>613</v>
      </c>
      <c r="D163" s="1796"/>
      <c r="E163" s="1801">
        <v>407.56729999999999</v>
      </c>
      <c r="F163" s="1802">
        <v>574.89669999999728</v>
      </c>
      <c r="G163" s="1802">
        <v>1049.9299999999992</v>
      </c>
      <c r="H163" s="1799">
        <f>E163/F163-1</f>
        <v>-0.29105994172517968</v>
      </c>
      <c r="I163" s="1800">
        <f>E163/G163-1</f>
        <v>-0.61181478765250985</v>
      </c>
      <c r="K163" s="1448"/>
      <c r="L163" s="1644"/>
      <c r="P163" s="1794"/>
      <c r="Q163" s="1794"/>
    </row>
    <row r="164" spans="3:17">
      <c r="C164" s="1795" t="s">
        <v>614</v>
      </c>
      <c r="D164" s="1796"/>
      <c r="E164" s="1801">
        <v>233.73609999999999</v>
      </c>
      <c r="F164" s="1802">
        <v>241.02760000000001</v>
      </c>
      <c r="G164" s="1802">
        <v>478.15409999999991</v>
      </c>
      <c r="H164" s="1799">
        <f>E164/F164-1</f>
        <v>-3.0251722209406751E-2</v>
      </c>
      <c r="I164" s="1800">
        <f>E164/G164-1</f>
        <v>-0.51116993454620585</v>
      </c>
      <c r="K164" s="1448"/>
      <c r="L164" s="1644"/>
      <c r="P164" s="1794"/>
      <c r="Q164" s="1794"/>
    </row>
    <row r="165" spans="3:17">
      <c r="C165" s="1795" t="s">
        <v>615</v>
      </c>
      <c r="D165" s="1803"/>
      <c r="E165" s="1801">
        <v>175.12360000000001</v>
      </c>
      <c r="F165" s="1802">
        <v>154.88789999999986</v>
      </c>
      <c r="G165" s="1802">
        <v>160.53299999999996</v>
      </c>
      <c r="H165" s="1799">
        <f>E165/F165-1</f>
        <v>0.13064739079037269</v>
      </c>
      <c r="I165" s="1800">
        <f>E165/G165-1</f>
        <v>9.0888477758467534E-2</v>
      </c>
      <c r="K165" s="1448"/>
      <c r="P165" s="1794"/>
      <c r="Q165" s="1794"/>
    </row>
    <row r="166" spans="3:17">
      <c r="C166" s="1795" t="s">
        <v>213</v>
      </c>
      <c r="D166" s="1796"/>
      <c r="E166" s="1801">
        <v>1.0855999999999999</v>
      </c>
      <c r="F166" s="1802">
        <v>33.610699999999987</v>
      </c>
      <c r="G166" s="1802">
        <v>5.2264999999999979</v>
      </c>
      <c r="H166" s="1804" t="s">
        <v>104</v>
      </c>
      <c r="I166" s="1804" t="s">
        <v>104</v>
      </c>
      <c r="K166" s="1448"/>
      <c r="P166" s="1794"/>
      <c r="Q166" s="1794"/>
    </row>
    <row r="167" spans="3:17">
      <c r="C167" s="1716" t="s">
        <v>219</v>
      </c>
      <c r="D167" s="1805"/>
      <c r="E167" s="1790">
        <v>3003.0409</v>
      </c>
      <c r="F167" s="1791">
        <v>3639.1019000000383</v>
      </c>
      <c r="G167" s="1791">
        <v>4494.4379000000126</v>
      </c>
      <c r="H167" s="1793">
        <f>E167/F167-1</f>
        <v>-0.17478515784348647</v>
      </c>
      <c r="I167" s="1793">
        <f>E167/G167-1</f>
        <v>-0.33183170691934771</v>
      </c>
      <c r="K167" s="1448"/>
      <c r="P167" s="1794"/>
      <c r="Q167" s="1794"/>
    </row>
    <row r="168" spans="3:17">
      <c r="C168" s="1795" t="s">
        <v>612</v>
      </c>
      <c r="D168" s="1796"/>
      <c r="E168" s="1797">
        <v>1981.8602000000001</v>
      </c>
      <c r="F168" s="1798">
        <v>2517.898100000039</v>
      </c>
      <c r="G168" s="1798">
        <v>2924.9124000000133</v>
      </c>
      <c r="H168" s="1799">
        <f>E168/F168-1</f>
        <v>-0.2128910220791026</v>
      </c>
      <c r="I168" s="1800">
        <f>E168/G168-1</f>
        <v>-0.32242066463255759</v>
      </c>
      <c r="K168" s="1448"/>
      <c r="P168" s="1794"/>
      <c r="Q168" s="1794"/>
    </row>
    <row r="169" spans="3:17">
      <c r="C169" s="1795" t="s">
        <v>613</v>
      </c>
      <c r="D169" s="1796"/>
      <c r="E169" s="1801">
        <v>1850.6302000000001</v>
      </c>
      <c r="F169" s="1802">
        <v>2309.2681000000389</v>
      </c>
      <c r="G169" s="1802">
        <v>2848.6394000000132</v>
      </c>
      <c r="H169" s="1799">
        <f>E169/F169-1</f>
        <v>-0.19860747221166353</v>
      </c>
      <c r="I169" s="1800">
        <f>E169/G169-1</f>
        <v>-0.35034592303961276</v>
      </c>
      <c r="K169" s="1448"/>
      <c r="P169" s="1794"/>
      <c r="Q169" s="1794"/>
    </row>
    <row r="170" spans="3:17">
      <c r="C170" s="1795" t="s">
        <v>614</v>
      </c>
      <c r="D170" s="1796"/>
      <c r="E170" s="1801">
        <v>131.22999999999999</v>
      </c>
      <c r="F170" s="1802">
        <v>208.63000000000002</v>
      </c>
      <c r="G170" s="1802">
        <v>76.272999999999968</v>
      </c>
      <c r="H170" s="1799">
        <f>E170/F170-1</f>
        <v>-0.37099170780808144</v>
      </c>
      <c r="I170" s="1800">
        <f>E170/G170-1</f>
        <v>0.72053020072633878</v>
      </c>
      <c r="K170" s="1448"/>
      <c r="P170" s="1794"/>
      <c r="Q170" s="1794"/>
    </row>
    <row r="171" spans="3:17">
      <c r="C171" s="1795" t="s">
        <v>213</v>
      </c>
      <c r="D171" s="1796"/>
      <c r="E171" s="1801">
        <v>0</v>
      </c>
      <c r="F171" s="1802">
        <v>0</v>
      </c>
      <c r="G171" s="1802">
        <v>0</v>
      </c>
      <c r="H171" s="1806" t="s">
        <v>121</v>
      </c>
      <c r="I171" s="1804" t="s">
        <v>121</v>
      </c>
      <c r="K171" s="1448"/>
      <c r="P171" s="1794"/>
      <c r="Q171" s="1794"/>
    </row>
    <row r="172" spans="3:17">
      <c r="C172" s="1795" t="s">
        <v>616</v>
      </c>
      <c r="D172" s="1796"/>
      <c r="E172" s="1807">
        <v>847.29020000000003</v>
      </c>
      <c r="F172" s="1798">
        <v>941.39959999999928</v>
      </c>
      <c r="G172" s="1798">
        <v>1468.5150999999992</v>
      </c>
      <c r="H172" s="1808">
        <f>E172/F172-1</f>
        <v>-9.9967537695999975E-2</v>
      </c>
      <c r="I172" s="1809">
        <f>E172/G172-1</f>
        <v>-0.42302928992694699</v>
      </c>
      <c r="K172" s="1448"/>
      <c r="P172" s="1794"/>
      <c r="Q172" s="1794"/>
    </row>
    <row r="173" spans="3:17">
      <c r="C173" s="1795" t="s">
        <v>613</v>
      </c>
      <c r="D173" s="1796"/>
      <c r="E173" s="1801">
        <v>840.77020000000005</v>
      </c>
      <c r="F173" s="1802">
        <v>911.67059999999924</v>
      </c>
      <c r="G173" s="1802">
        <v>1391.7700999999993</v>
      </c>
      <c r="H173" s="1808">
        <f>E173/F173-1</f>
        <v>-7.7769755874544266E-2</v>
      </c>
      <c r="I173" s="1809">
        <f>E173/G173-1</f>
        <v>-0.39589864734125235</v>
      </c>
      <c r="K173" s="1448"/>
      <c r="P173" s="1794"/>
      <c r="Q173" s="1794"/>
    </row>
    <row r="174" spans="3:17">
      <c r="C174" s="1795" t="s">
        <v>614</v>
      </c>
      <c r="D174" s="1796"/>
      <c r="E174" s="1801">
        <v>6.52</v>
      </c>
      <c r="F174" s="1802">
        <v>29.71</v>
      </c>
      <c r="G174" s="1802">
        <v>76.734999999999999</v>
      </c>
      <c r="H174" s="1808">
        <f>E174/F174-1</f>
        <v>-0.78054527095254123</v>
      </c>
      <c r="I174" s="1809">
        <f>E174/G174-1</f>
        <v>-0.91503225386068943</v>
      </c>
      <c r="K174" s="1448"/>
      <c r="P174" s="1794"/>
      <c r="Q174" s="1794"/>
    </row>
    <row r="175" spans="3:17">
      <c r="C175" s="1795" t="s">
        <v>213</v>
      </c>
      <c r="D175" s="1803"/>
      <c r="E175" s="1801">
        <v>0</v>
      </c>
      <c r="F175" s="1802">
        <v>1.9E-2</v>
      </c>
      <c r="G175" s="1802">
        <v>0.01</v>
      </c>
      <c r="H175" s="1804" t="s">
        <v>104</v>
      </c>
      <c r="I175" s="1804" t="s">
        <v>104</v>
      </c>
      <c r="K175" s="1448"/>
    </row>
    <row r="176" spans="3:17">
      <c r="C176" s="1795" t="s">
        <v>617</v>
      </c>
      <c r="D176" s="1803"/>
      <c r="E176" s="1797">
        <v>173.8905</v>
      </c>
      <c r="F176" s="1798">
        <v>179.80420000000018</v>
      </c>
      <c r="G176" s="1798">
        <v>101.01040000000003</v>
      </c>
      <c r="H176" s="1808">
        <f>E176/F176-1</f>
        <v>-3.2889665536178669E-2</v>
      </c>
      <c r="I176" s="1809">
        <f>E176/G176-1</f>
        <v>0.72151085432787077</v>
      </c>
      <c r="K176" s="1448"/>
    </row>
    <row r="177" spans="3:12">
      <c r="C177" s="1716" t="s">
        <v>224</v>
      </c>
      <c r="D177" s="1810"/>
      <c r="E177" s="1811">
        <v>0.60309309580393311</v>
      </c>
      <c r="F177" s="1793">
        <v>0.6248102207865559</v>
      </c>
      <c r="G177" s="1793">
        <v>0.54855328992480956</v>
      </c>
      <c r="H177" s="1793">
        <f>E177/F177-1</f>
        <v>-3.4757954111704015E-2</v>
      </c>
      <c r="I177" s="1793">
        <f>E177/G177-1</f>
        <v>9.9424808639101192E-2</v>
      </c>
      <c r="K177" s="1448"/>
    </row>
    <row r="178" spans="3:12" ht="17.25" customHeight="1">
      <c r="C178" s="1812" t="s">
        <v>618</v>
      </c>
      <c r="D178" s="1803"/>
      <c r="E178" s="1813">
        <v>0.65396955558857028</v>
      </c>
      <c r="F178" s="1800">
        <v>0.66754875440343719</v>
      </c>
      <c r="G178" s="1800">
        <v>0.56294128375864017</v>
      </c>
      <c r="H178" s="1799">
        <f>E178/F178-1</f>
        <v>-2.0341883233685465E-2</v>
      </c>
      <c r="I178" s="1800">
        <f>E178/G178-1</f>
        <v>0.16170118350914597</v>
      </c>
      <c r="J178" s="1814"/>
      <c r="K178" s="1448"/>
    </row>
    <row r="179" spans="3:12">
      <c r="C179" s="1812" t="s">
        <v>619</v>
      </c>
      <c r="D179" s="1803"/>
      <c r="E179" s="1813">
        <v>0.49105671854948829</v>
      </c>
      <c r="F179" s="1800">
        <v>0.51619451414504613</v>
      </c>
      <c r="G179" s="1800">
        <v>0.53562665108167529</v>
      </c>
      <c r="H179" s="1799">
        <f>E179/F179-1</f>
        <v>-4.8698300556705099E-2</v>
      </c>
      <c r="I179" s="1800">
        <f>E179/G179-1</f>
        <v>-8.3210819405979741E-2</v>
      </c>
      <c r="K179" s="1448"/>
    </row>
    <row r="180" spans="3:12">
      <c r="C180" s="1815" t="s">
        <v>620</v>
      </c>
      <c r="D180" s="1816"/>
      <c r="E180" s="1801">
        <v>392229</v>
      </c>
      <c r="F180" s="1817" t="s">
        <v>104</v>
      </c>
      <c r="G180" s="1817" t="s">
        <v>104</v>
      </c>
      <c r="H180" s="1804" t="s">
        <v>104</v>
      </c>
      <c r="I180" s="1804" t="s">
        <v>104</v>
      </c>
      <c r="J180" s="1818"/>
      <c r="K180" s="1448"/>
    </row>
    <row r="181" spans="3:12">
      <c r="C181" s="1812" t="s">
        <v>621</v>
      </c>
      <c r="D181" s="1816"/>
      <c r="E181" s="1819">
        <v>349800</v>
      </c>
      <c r="F181" s="1817" t="s">
        <v>104</v>
      </c>
      <c r="G181" s="1817" t="s">
        <v>104</v>
      </c>
      <c r="H181" s="1804" t="s">
        <v>104</v>
      </c>
      <c r="I181" s="1804" t="s">
        <v>104</v>
      </c>
      <c r="J181" s="1820"/>
      <c r="K181" s="1448"/>
    </row>
    <row r="182" spans="3:12">
      <c r="C182" s="1812" t="s">
        <v>622</v>
      </c>
      <c r="D182" s="1816"/>
      <c r="E182" s="1819">
        <v>19834</v>
      </c>
      <c r="F182" s="1817" t="s">
        <v>104</v>
      </c>
      <c r="G182" s="1817" t="s">
        <v>104</v>
      </c>
      <c r="H182" s="1804" t="s">
        <v>104</v>
      </c>
      <c r="I182" s="1804" t="s">
        <v>104</v>
      </c>
      <c r="J182" s="1820"/>
      <c r="K182" s="1448"/>
    </row>
    <row r="183" spans="3:12">
      <c r="C183" s="1812" t="s">
        <v>623</v>
      </c>
      <c r="D183" s="1816"/>
      <c r="E183" s="1821">
        <v>22595</v>
      </c>
      <c r="F183" s="1817" t="s">
        <v>104</v>
      </c>
      <c r="G183" s="1817" t="s">
        <v>104</v>
      </c>
      <c r="H183" s="1804" t="s">
        <v>104</v>
      </c>
      <c r="I183" s="1804" t="s">
        <v>104</v>
      </c>
      <c r="J183" s="1818"/>
      <c r="K183" s="1448"/>
    </row>
    <row r="184" spans="3:12">
      <c r="C184" s="1822"/>
      <c r="D184" s="1783"/>
      <c r="E184" s="1783"/>
      <c r="F184" s="1783"/>
      <c r="G184" s="1783"/>
      <c r="H184" s="1818"/>
      <c r="I184" s="1818"/>
      <c r="J184" s="1818"/>
      <c r="K184" s="1448"/>
    </row>
    <row r="185" spans="3:12">
      <c r="C185" s="1482" t="s">
        <v>127</v>
      </c>
      <c r="D185" s="1695"/>
      <c r="E185" s="1695"/>
      <c r="F185" s="1695"/>
      <c r="G185" s="1695"/>
      <c r="H185" s="1699"/>
      <c r="I185" s="1699"/>
      <c r="J185" s="1699"/>
      <c r="K185" s="1448"/>
      <c r="L185" s="1440"/>
    </row>
    <row r="186" spans="3:12">
      <c r="C186" s="1482" t="s">
        <v>624</v>
      </c>
      <c r="D186" s="1483"/>
      <c r="E186" s="1483"/>
      <c r="F186" s="1483"/>
      <c r="G186" s="1483"/>
      <c r="H186" s="1483"/>
      <c r="I186" s="1483"/>
      <c r="J186" s="1483"/>
      <c r="K186" s="1448"/>
      <c r="L186" s="1440"/>
    </row>
    <row r="187" spans="3:12">
      <c r="C187" s="1482" t="s">
        <v>229</v>
      </c>
      <c r="D187" s="1483"/>
      <c r="E187" s="1483"/>
      <c r="F187" s="1483"/>
      <c r="G187" s="1483"/>
      <c r="H187" s="1483"/>
      <c r="I187" s="1483"/>
      <c r="J187" s="1483"/>
      <c r="K187" s="1448"/>
      <c r="L187" s="1440"/>
    </row>
    <row r="188" spans="3:12">
      <c r="C188" s="1482" t="s">
        <v>230</v>
      </c>
      <c r="D188" s="1483"/>
      <c r="E188" s="1483"/>
      <c r="F188" s="1483"/>
      <c r="G188" s="1483"/>
      <c r="H188" s="1483"/>
      <c r="I188" s="1483"/>
      <c r="J188" s="1483"/>
      <c r="K188" s="1448"/>
      <c r="L188" s="1440"/>
    </row>
    <row r="189" spans="3:12">
      <c r="C189" s="1482" t="s">
        <v>625</v>
      </c>
      <c r="D189" s="1483"/>
      <c r="E189" s="1483"/>
      <c r="F189" s="1483"/>
      <c r="G189" s="1483"/>
      <c r="H189" s="1483"/>
      <c r="I189" s="1483"/>
      <c r="J189" s="1483"/>
      <c r="K189" s="1650"/>
      <c r="L189" s="1440"/>
    </row>
    <row r="190" spans="3:12">
      <c r="C190" s="1482" t="s">
        <v>626</v>
      </c>
      <c r="D190" s="1483"/>
      <c r="E190" s="1483"/>
      <c r="F190" s="1483"/>
      <c r="G190" s="1483"/>
      <c r="H190" s="1483"/>
      <c r="I190" s="1483"/>
      <c r="J190" s="1483"/>
      <c r="K190" s="1650"/>
      <c r="L190" s="1440"/>
    </row>
    <row r="191" spans="3:12">
      <c r="C191" s="1782"/>
      <c r="D191" s="1440"/>
      <c r="E191" s="1440"/>
      <c r="F191" s="1440"/>
      <c r="G191" s="1440"/>
      <c r="H191" s="1440"/>
      <c r="I191" s="1440"/>
      <c r="J191" s="1440"/>
      <c r="K191" s="1448"/>
      <c r="L191" s="1440"/>
    </row>
    <row r="192" spans="3:12" ht="19.2">
      <c r="C192" s="1653" t="s">
        <v>627</v>
      </c>
      <c r="D192" s="1772"/>
      <c r="E192" s="1772"/>
      <c r="F192" s="1772"/>
      <c r="G192" s="1773"/>
      <c r="H192" s="1549"/>
      <c r="I192" s="1440"/>
      <c r="J192" s="1440"/>
      <c r="K192" s="1823"/>
      <c r="L192" s="1440"/>
    </row>
    <row r="193" spans="3:12">
      <c r="C193" s="1656" t="s">
        <v>207</v>
      </c>
      <c r="D193" s="1824"/>
      <c r="E193" s="1824"/>
      <c r="F193" s="1824"/>
      <c r="G193" s="1561"/>
      <c r="H193" s="1556"/>
      <c r="I193" s="1440"/>
      <c r="J193" s="1440"/>
      <c r="K193" s="1448"/>
      <c r="L193" s="1440"/>
    </row>
    <row r="194" spans="3:12" ht="26.1" customHeight="1">
      <c r="C194" s="1785"/>
      <c r="D194" s="1786"/>
      <c r="E194" s="1599" t="s">
        <v>91</v>
      </c>
      <c r="F194" s="1490" t="s">
        <v>3</v>
      </c>
      <c r="G194" s="1490" t="s">
        <v>92</v>
      </c>
      <c r="H194" s="1490" t="s">
        <v>93</v>
      </c>
      <c r="I194" s="1490" t="s">
        <v>94</v>
      </c>
      <c r="J194" s="1564" t="s">
        <v>568</v>
      </c>
      <c r="K194" s="1565" t="s">
        <v>577</v>
      </c>
      <c r="L194" s="1440"/>
    </row>
    <row r="195" spans="3:12">
      <c r="C195" s="1496" t="s">
        <v>234</v>
      </c>
      <c r="D195" s="1662"/>
      <c r="E195" s="1672">
        <f>SUM(E196:E198)</f>
        <v>1432.0016000000001</v>
      </c>
      <c r="F195" s="1825">
        <f>SUM(F196:F198)</f>
        <v>1137.7931000000001</v>
      </c>
      <c r="G195" s="1825">
        <v>1809.8102849500001</v>
      </c>
      <c r="H195" s="1576">
        <v>1453.5481389000001</v>
      </c>
      <c r="I195" s="1576">
        <v>1594.2786013</v>
      </c>
      <c r="J195" s="1664">
        <f>E195/F195-1</f>
        <v>0.2585782072329319</v>
      </c>
      <c r="K195" s="1665">
        <f>E195/G195-1</f>
        <v>-0.20875596082737358</v>
      </c>
      <c r="L195" s="1440"/>
    </row>
    <row r="196" spans="3:12">
      <c r="C196" s="1812" t="s">
        <v>235</v>
      </c>
      <c r="D196" s="1615"/>
      <c r="E196" s="1568">
        <v>29.045900000000003</v>
      </c>
      <c r="F196" s="1619">
        <v>61.958199999999998</v>
      </c>
      <c r="G196" s="1619">
        <v>130.55628495000002</v>
      </c>
      <c r="H196" s="1619">
        <v>156.27613889999998</v>
      </c>
      <c r="I196" s="1619">
        <v>192.87860130000001</v>
      </c>
      <c r="J196" s="1826">
        <f t="shared" ref="J196:J198" si="16">E196/F196-1</f>
        <v>-0.53120168113340926</v>
      </c>
      <c r="K196" s="1571">
        <f>E196/G196-1</f>
        <v>-0.77752200890884804</v>
      </c>
      <c r="L196" s="1827"/>
    </row>
    <row r="197" spans="3:12">
      <c r="C197" s="1812" t="s">
        <v>236</v>
      </c>
      <c r="D197" s="1615"/>
      <c r="E197" s="1568">
        <v>831.2157000000002</v>
      </c>
      <c r="F197" s="1619">
        <v>450.30489999999998</v>
      </c>
      <c r="G197" s="1619">
        <v>953.25400000000002</v>
      </c>
      <c r="H197" s="1569">
        <v>447.17200000000003</v>
      </c>
      <c r="I197" s="1569">
        <v>447.2</v>
      </c>
      <c r="J197" s="1826">
        <f t="shared" si="16"/>
        <v>0.84589530338222008</v>
      </c>
      <c r="K197" s="1571">
        <f t="shared" ref="K197:K198" si="17">E197/G197-1</f>
        <v>-0.12802285644749434</v>
      </c>
      <c r="L197" s="1440"/>
    </row>
    <row r="198" spans="3:12">
      <c r="C198" s="1812" t="s">
        <v>237</v>
      </c>
      <c r="D198" s="1615"/>
      <c r="E198" s="1828">
        <v>571.74</v>
      </c>
      <c r="F198" s="1619">
        <v>625.53000000000009</v>
      </c>
      <c r="G198" s="1619">
        <v>726</v>
      </c>
      <c r="H198" s="1569">
        <v>850.1</v>
      </c>
      <c r="I198" s="1569">
        <v>954.19999999999993</v>
      </c>
      <c r="J198" s="1826">
        <f t="shared" si="16"/>
        <v>-8.5991079564529338E-2</v>
      </c>
      <c r="K198" s="1571">
        <f t="shared" si="17"/>
        <v>-0.21247933884297521</v>
      </c>
      <c r="L198" s="1440"/>
    </row>
    <row r="199" spans="3:12">
      <c r="C199" s="1829"/>
      <c r="D199" s="1830"/>
      <c r="E199" s="1831"/>
      <c r="F199" s="1831"/>
      <c r="G199" s="1831"/>
      <c r="H199" s="1586"/>
      <c r="I199" s="1586"/>
      <c r="J199" s="1832"/>
      <c r="K199" s="1833"/>
    </row>
    <row r="200" spans="3:12">
      <c r="C200" s="1482" t="s">
        <v>539</v>
      </c>
      <c r="D200" s="1830"/>
      <c r="E200" s="1831"/>
      <c r="F200" s="1831"/>
      <c r="G200" s="1831"/>
      <c r="H200" s="1586"/>
      <c r="I200" s="1586"/>
      <c r="J200" s="1832"/>
      <c r="K200" s="1833"/>
    </row>
    <row r="201" spans="3:12">
      <c r="C201" s="1482" t="s">
        <v>596</v>
      </c>
      <c r="D201" s="1440"/>
      <c r="E201" s="1440"/>
      <c r="F201" s="1440"/>
      <c r="G201" s="1440"/>
      <c r="H201" s="1440"/>
      <c r="I201" s="1440"/>
      <c r="J201" s="1440"/>
      <c r="K201" s="1448"/>
      <c r="L201" s="1440"/>
    </row>
    <row r="202" spans="3:12">
      <c r="C202" s="1706"/>
      <c r="D202" s="1440"/>
      <c r="E202" s="1440"/>
      <c r="F202" s="1440"/>
      <c r="G202" s="1440"/>
      <c r="H202" s="1440"/>
      <c r="I202" s="1440"/>
      <c r="J202" s="1440"/>
      <c r="K202" s="1448"/>
      <c r="L202" s="1440"/>
    </row>
    <row r="203" spans="3:12" ht="19.2">
      <c r="C203" s="1653" t="s">
        <v>628</v>
      </c>
      <c r="D203" s="1772"/>
      <c r="E203" s="1772"/>
      <c r="F203" s="1772"/>
      <c r="G203" s="1773"/>
      <c r="H203" s="1440"/>
      <c r="I203" s="1440"/>
      <c r="K203" s="1558" t="s">
        <v>629</v>
      </c>
      <c r="L203" s="1440"/>
    </row>
    <row r="204" spans="3:12">
      <c r="C204" s="1755" t="s">
        <v>240</v>
      </c>
      <c r="D204" s="1824"/>
      <c r="E204" s="1824"/>
      <c r="F204" s="1824"/>
      <c r="G204" s="1561"/>
      <c r="H204" s="1440"/>
      <c r="I204" s="1440"/>
      <c r="J204" s="1440"/>
      <c r="K204" s="1448"/>
      <c r="L204" s="1440"/>
    </row>
    <row r="205" spans="3:12" ht="27" customHeight="1">
      <c r="C205" s="1785"/>
      <c r="D205" s="1786"/>
      <c r="E205" s="1599" t="s">
        <v>91</v>
      </c>
      <c r="F205" s="1490" t="s">
        <v>3</v>
      </c>
      <c r="G205" s="1490" t="s">
        <v>92</v>
      </c>
      <c r="H205" s="1490" t="s">
        <v>93</v>
      </c>
      <c r="I205" s="1490" t="s">
        <v>94</v>
      </c>
      <c r="J205" s="1564" t="s">
        <v>568</v>
      </c>
      <c r="K205" s="1565" t="s">
        <v>573</v>
      </c>
      <c r="L205" s="1440"/>
    </row>
    <row r="206" spans="3:12">
      <c r="C206" s="1834" t="s">
        <v>630</v>
      </c>
      <c r="D206" s="1835"/>
      <c r="E206" s="1836">
        <v>1439.2906907578645</v>
      </c>
      <c r="F206" s="1837">
        <v>1424.7590398999998</v>
      </c>
      <c r="G206" s="1838">
        <v>1063.2442300000027</v>
      </c>
      <c r="H206" s="1741">
        <v>1014.9647299999998</v>
      </c>
      <c r="I206" s="1741">
        <v>1039.4928199999983</v>
      </c>
      <c r="J206" s="1742">
        <f>E206/F206-1</f>
        <v>1.0199374386060889E-2</v>
      </c>
      <c r="K206" s="1742">
        <f>E206/G206-1</f>
        <v>0.35367834609162263</v>
      </c>
      <c r="L206" s="1440"/>
    </row>
    <row r="207" spans="3:12">
      <c r="C207" s="1834" t="s">
        <v>631</v>
      </c>
      <c r="D207" s="1835"/>
      <c r="E207" s="1839">
        <v>1357.5236</v>
      </c>
      <c r="F207" s="1837">
        <v>2662.108213778788</v>
      </c>
      <c r="G207" s="1741">
        <v>990.43068080000012</v>
      </c>
      <c r="H207" s="1741">
        <v>2894.2066733000001</v>
      </c>
      <c r="I207" s="1741">
        <v>1470.8847270000001</v>
      </c>
      <c r="J207" s="1742">
        <f>E207/F207-1</f>
        <v>-0.49005694322507154</v>
      </c>
      <c r="K207" s="1742">
        <f>E207/G207-1</f>
        <v>0.37063968868925601</v>
      </c>
      <c r="L207" s="1440"/>
    </row>
    <row r="208" spans="3:12">
      <c r="C208" s="1782"/>
      <c r="D208" s="1783"/>
      <c r="E208" s="1783"/>
      <c r="F208" s="1783"/>
      <c r="G208" s="1783"/>
      <c r="H208" s="1783"/>
      <c r="I208" s="1840"/>
      <c r="J208" s="1840"/>
      <c r="K208" s="1841"/>
      <c r="L208" s="1440"/>
    </row>
    <row r="209" spans="3:12" ht="17.100000000000001" customHeight="1">
      <c r="C209" s="1482" t="s">
        <v>127</v>
      </c>
      <c r="D209" s="1695"/>
      <c r="E209" s="1695"/>
      <c r="F209" s="1695"/>
      <c r="G209" s="1695"/>
      <c r="H209" s="1842"/>
      <c r="I209" s="1843"/>
      <c r="J209" s="1843"/>
      <c r="K209" s="1844"/>
      <c r="L209" s="1440"/>
    </row>
    <row r="210" spans="3:12">
      <c r="C210" s="1482" t="s">
        <v>244</v>
      </c>
      <c r="D210" s="1695"/>
      <c r="E210" s="1695"/>
      <c r="F210" s="1695"/>
      <c r="G210" s="1695"/>
      <c r="H210" s="1845"/>
      <c r="K210" s="1543"/>
      <c r="L210" s="1440"/>
    </row>
    <row r="211" spans="3:12" s="1445" customFormat="1">
      <c r="C211" s="1482" t="s">
        <v>245</v>
      </c>
      <c r="D211" s="1695"/>
      <c r="E211" s="1695"/>
      <c r="F211" s="1695"/>
      <c r="G211" s="1695"/>
      <c r="H211" s="1845"/>
      <c r="I211" s="1446"/>
      <c r="J211" s="1446"/>
      <c r="K211" s="1543"/>
    </row>
    <row r="212" spans="3:12" s="1445" customFormat="1">
      <c r="C212" s="1482" t="s">
        <v>632</v>
      </c>
      <c r="D212" s="1695"/>
      <c r="E212" s="1695"/>
      <c r="F212" s="1695"/>
      <c r="G212" s="1695"/>
      <c r="H212" s="1845"/>
      <c r="I212" s="1446"/>
      <c r="J212" s="1446"/>
      <c r="K212" s="1543"/>
    </row>
    <row r="213" spans="3:12" s="1445" customFormat="1" ht="17.100000000000001" customHeight="1">
      <c r="C213" s="1675"/>
      <c r="D213" s="1695"/>
      <c r="E213" s="1695"/>
      <c r="F213" s="1695"/>
      <c r="G213" s="1695"/>
      <c r="H213" s="1845"/>
      <c r="I213" s="1446"/>
      <c r="J213" s="1446"/>
      <c r="K213" s="1543"/>
    </row>
    <row r="214" spans="3:12" s="1445" customFormat="1" ht="24.9" customHeight="1">
      <c r="C214" s="1548" t="s">
        <v>633</v>
      </c>
      <c r="D214" s="1695"/>
      <c r="E214" s="1695"/>
      <c r="F214" s="1695"/>
      <c r="G214" s="1695"/>
      <c r="H214" s="1845"/>
      <c r="I214" s="1446"/>
      <c r="J214" s="1446"/>
      <c r="K214" s="1543"/>
    </row>
    <row r="215" spans="3:12" s="1445" customFormat="1">
      <c r="C215" s="1846"/>
      <c r="D215" s="1695"/>
      <c r="E215" s="1695"/>
      <c r="F215" s="1695"/>
      <c r="G215" s="1695"/>
      <c r="H215" s="1845"/>
      <c r="I215" s="1446"/>
      <c r="J215" s="1446"/>
      <c r="K215" s="1543"/>
    </row>
    <row r="216" spans="3:12" s="1445" customFormat="1" ht="17.399999999999999">
      <c r="C216" s="1847" t="s">
        <v>247</v>
      </c>
      <c r="D216" s="1750"/>
      <c r="E216" s="1750"/>
      <c r="F216" s="1751"/>
      <c r="G216" s="1752"/>
      <c r="H216" s="1440"/>
      <c r="I216" s="1753"/>
      <c r="J216" s="1754"/>
      <c r="K216" s="1558" t="s">
        <v>248</v>
      </c>
    </row>
    <row r="217" spans="3:12" s="1445" customFormat="1" ht="17.100000000000001" customHeight="1">
      <c r="C217" s="1686"/>
      <c r="D217" s="1687"/>
      <c r="E217" s="1687"/>
      <c r="F217" s="1687"/>
      <c r="G217" s="1687"/>
      <c r="H217" s="1688"/>
      <c r="I217" s="1753"/>
      <c r="J217" s="1754"/>
      <c r="K217" s="1448"/>
    </row>
    <row r="218" spans="3:12" s="1445" customFormat="1" ht="45" customHeight="1">
      <c r="C218" s="1848" t="s">
        <v>178</v>
      </c>
      <c r="D218" s="1849" t="s">
        <v>249</v>
      </c>
      <c r="E218" s="2003" t="s">
        <v>250</v>
      </c>
      <c r="F218" s="1988"/>
      <c r="G218" s="2004"/>
      <c r="H218" s="1849" t="s">
        <v>251</v>
      </c>
      <c r="I218" s="1849" t="s">
        <v>252</v>
      </c>
      <c r="J218" s="1988" t="s">
        <v>253</v>
      </c>
      <c r="K218" s="1989"/>
    </row>
    <row r="219" spans="3:12" s="1445" customFormat="1" ht="135.9" customHeight="1">
      <c r="C219" s="1850" t="s">
        <v>254</v>
      </c>
      <c r="D219" s="1851" t="s">
        <v>255</v>
      </c>
      <c r="E219" s="2005" t="s">
        <v>634</v>
      </c>
      <c r="F219" s="2006"/>
      <c r="G219" s="2007"/>
      <c r="H219" s="1852">
        <v>0</v>
      </c>
      <c r="I219" s="1851" t="s">
        <v>635</v>
      </c>
      <c r="J219" s="2001" t="s">
        <v>258</v>
      </c>
      <c r="K219" s="2002"/>
    </row>
    <row r="220" spans="3:12" s="1445" customFormat="1" ht="135.9" customHeight="1">
      <c r="C220" s="1853" t="s">
        <v>181</v>
      </c>
      <c r="D220" s="1854" t="s">
        <v>255</v>
      </c>
      <c r="E220" s="2008" t="s">
        <v>634</v>
      </c>
      <c r="F220" s="2009"/>
      <c r="G220" s="2010"/>
      <c r="H220" s="1855">
        <v>0</v>
      </c>
      <c r="I220" s="1854" t="s">
        <v>635</v>
      </c>
      <c r="J220" s="2011" t="s">
        <v>261</v>
      </c>
      <c r="K220" s="2012"/>
    </row>
    <row r="221" spans="3:12" s="1445" customFormat="1" ht="147" customHeight="1">
      <c r="C221" s="1850" t="s">
        <v>182</v>
      </c>
      <c r="D221" s="1851" t="s">
        <v>255</v>
      </c>
      <c r="E221" s="2005" t="s">
        <v>636</v>
      </c>
      <c r="F221" s="2006"/>
      <c r="G221" s="2007"/>
      <c r="H221" s="1852">
        <v>100</v>
      </c>
      <c r="I221" s="1851" t="s">
        <v>637</v>
      </c>
      <c r="J221" s="2001" t="s">
        <v>264</v>
      </c>
      <c r="K221" s="2002"/>
    </row>
    <row r="222" spans="3:12" s="1445" customFormat="1" ht="129.9" customHeight="1">
      <c r="C222" s="1853" t="s">
        <v>183</v>
      </c>
      <c r="D222" s="1854" t="s">
        <v>255</v>
      </c>
      <c r="E222" s="2008" t="s">
        <v>634</v>
      </c>
      <c r="F222" s="2009"/>
      <c r="G222" s="2010"/>
      <c r="H222" s="1855">
        <v>0</v>
      </c>
      <c r="I222" s="1854" t="s">
        <v>635</v>
      </c>
      <c r="J222" s="2011" t="s">
        <v>266</v>
      </c>
      <c r="K222" s="2012"/>
    </row>
    <row r="223" spans="3:12" s="1445" customFormat="1" ht="134.25" customHeight="1">
      <c r="C223" s="1856" t="s">
        <v>184</v>
      </c>
      <c r="D223" s="1857" t="s">
        <v>255</v>
      </c>
      <c r="E223" s="2013" t="s">
        <v>638</v>
      </c>
      <c r="F223" s="2014"/>
      <c r="G223" s="2015"/>
      <c r="H223" s="1852">
        <v>100</v>
      </c>
      <c r="I223" s="1851" t="s">
        <v>639</v>
      </c>
      <c r="J223" s="2001" t="s">
        <v>269</v>
      </c>
      <c r="K223" s="2002"/>
    </row>
    <row r="224" spans="3:12" s="1445" customFormat="1" ht="122.1" customHeight="1">
      <c r="C224" s="1853" t="s">
        <v>185</v>
      </c>
      <c r="D224" s="1854" t="s">
        <v>255</v>
      </c>
      <c r="E224" s="2008" t="s">
        <v>270</v>
      </c>
      <c r="F224" s="2009"/>
      <c r="G224" s="2010"/>
      <c r="H224" s="1858">
        <v>100</v>
      </c>
      <c r="I224" s="1854" t="s">
        <v>640</v>
      </c>
      <c r="J224" s="2011" t="s">
        <v>272</v>
      </c>
      <c r="K224" s="2012"/>
    </row>
    <row r="225" spans="3:12" s="1445" customFormat="1" ht="121.5" customHeight="1">
      <c r="C225" s="1850" t="s">
        <v>186</v>
      </c>
      <c r="D225" s="1859" t="s">
        <v>255</v>
      </c>
      <c r="E225" s="2005" t="s">
        <v>641</v>
      </c>
      <c r="F225" s="2006"/>
      <c r="G225" s="2007"/>
      <c r="H225" s="1852">
        <v>0</v>
      </c>
      <c r="I225" s="1860" t="s">
        <v>274</v>
      </c>
      <c r="J225" s="2001" t="s">
        <v>275</v>
      </c>
      <c r="K225" s="2002"/>
    </row>
    <row r="226" spans="3:12" s="1445" customFormat="1" ht="121.5" customHeight="1">
      <c r="C226" s="1853" t="s">
        <v>187</v>
      </c>
      <c r="D226" s="1861" t="s">
        <v>255</v>
      </c>
      <c r="E226" s="2008" t="s">
        <v>642</v>
      </c>
      <c r="F226" s="2009"/>
      <c r="G226" s="2010"/>
      <c r="H226" s="1858">
        <v>0</v>
      </c>
      <c r="I226" s="1854" t="s">
        <v>276</v>
      </c>
      <c r="J226" s="2011" t="s">
        <v>277</v>
      </c>
      <c r="K226" s="2012"/>
    </row>
    <row r="227" spans="3:12" s="1445" customFormat="1" ht="121.5" customHeight="1">
      <c r="C227" s="1850" t="s">
        <v>188</v>
      </c>
      <c r="D227" s="1851" t="s">
        <v>255</v>
      </c>
      <c r="E227" s="2005" t="s">
        <v>643</v>
      </c>
      <c r="F227" s="2006"/>
      <c r="G227" s="2007"/>
      <c r="H227" s="1852">
        <v>0</v>
      </c>
      <c r="I227" s="1851" t="s">
        <v>279</v>
      </c>
      <c r="J227" s="2001" t="s">
        <v>280</v>
      </c>
      <c r="K227" s="2002"/>
    </row>
    <row r="228" spans="3:12" s="1445" customFormat="1" ht="156.9" customHeight="1">
      <c r="C228" s="1853" t="s">
        <v>281</v>
      </c>
      <c r="D228" s="1854" t="s">
        <v>282</v>
      </c>
      <c r="E228" s="2008" t="s">
        <v>104</v>
      </c>
      <c r="F228" s="2009"/>
      <c r="G228" s="2010"/>
      <c r="H228" s="1855" t="s">
        <v>104</v>
      </c>
      <c r="I228" s="1862" t="s">
        <v>104</v>
      </c>
      <c r="J228" s="2009" t="s">
        <v>283</v>
      </c>
      <c r="K228" s="2016"/>
    </row>
    <row r="229" spans="3:12" s="1445" customFormat="1" ht="173.1" customHeight="1">
      <c r="C229" s="1850" t="s">
        <v>190</v>
      </c>
      <c r="D229" s="1851" t="s">
        <v>255</v>
      </c>
      <c r="E229" s="2005" t="s">
        <v>643</v>
      </c>
      <c r="F229" s="2006"/>
      <c r="G229" s="2007"/>
      <c r="H229" s="1852">
        <v>0</v>
      </c>
      <c r="I229" s="1863" t="s">
        <v>644</v>
      </c>
      <c r="J229" s="2001" t="s">
        <v>285</v>
      </c>
      <c r="K229" s="2002"/>
    </row>
    <row r="230" spans="3:12" s="1445" customFormat="1" ht="121.5" customHeight="1">
      <c r="C230" s="1853" t="s">
        <v>191</v>
      </c>
      <c r="D230" s="1854" t="s">
        <v>255</v>
      </c>
      <c r="E230" s="2008" t="s">
        <v>643</v>
      </c>
      <c r="F230" s="2009"/>
      <c r="G230" s="2010"/>
      <c r="H230" s="1855">
        <v>0</v>
      </c>
      <c r="I230" s="1862" t="s">
        <v>286</v>
      </c>
      <c r="J230" s="2009" t="s">
        <v>287</v>
      </c>
      <c r="K230" s="2016"/>
    </row>
    <row r="231" spans="3:12" s="1445" customFormat="1" ht="75" customHeight="1">
      <c r="C231" s="1850" t="s">
        <v>288</v>
      </c>
      <c r="D231" s="1851" t="s">
        <v>282</v>
      </c>
      <c r="E231" s="2005" t="s">
        <v>104</v>
      </c>
      <c r="F231" s="2006"/>
      <c r="G231" s="2007"/>
      <c r="H231" s="1852" t="s">
        <v>104</v>
      </c>
      <c r="I231" s="1863" t="s">
        <v>104</v>
      </c>
      <c r="J231" s="2001" t="s">
        <v>289</v>
      </c>
      <c r="K231" s="2002"/>
    </row>
    <row r="232" spans="3:12" s="1445" customFormat="1" ht="164.1" customHeight="1">
      <c r="C232" s="1853" t="s">
        <v>290</v>
      </c>
      <c r="D232" s="1854" t="s">
        <v>282</v>
      </c>
      <c r="E232" s="2008" t="s">
        <v>104</v>
      </c>
      <c r="F232" s="2009"/>
      <c r="G232" s="2010"/>
      <c r="H232" s="1855" t="s">
        <v>104</v>
      </c>
      <c r="I232" s="1862" t="s">
        <v>104</v>
      </c>
      <c r="J232" s="2009" t="s">
        <v>291</v>
      </c>
      <c r="K232" s="2016"/>
    </row>
    <row r="233" spans="3:12" s="1445" customFormat="1" ht="122.4">
      <c r="C233" s="1850" t="s">
        <v>194</v>
      </c>
      <c r="D233" s="1851" t="s">
        <v>255</v>
      </c>
      <c r="E233" s="2005" t="s">
        <v>642</v>
      </c>
      <c r="F233" s="2006"/>
      <c r="G233" s="2007"/>
      <c r="H233" s="1864">
        <v>0</v>
      </c>
      <c r="I233" s="1863" t="s">
        <v>292</v>
      </c>
      <c r="J233" s="2001" t="s">
        <v>293</v>
      </c>
      <c r="K233" s="2002"/>
    </row>
    <row r="234" spans="3:12" s="1445" customFormat="1" ht="17.100000000000001" customHeight="1">
      <c r="C234" s="2017"/>
      <c r="D234" s="2018"/>
      <c r="E234" s="2018"/>
      <c r="F234" s="2018"/>
      <c r="G234" s="2018"/>
      <c r="H234" s="2018"/>
      <c r="I234" s="2018"/>
      <c r="J234" s="2018"/>
      <c r="K234" s="2019"/>
    </row>
    <row r="235" spans="3:12">
      <c r="C235" s="1683"/>
      <c r="D235" s="1440"/>
      <c r="E235" s="1440"/>
      <c r="F235" s="1440"/>
      <c r="G235" s="1440"/>
      <c r="H235" s="1440"/>
      <c r="I235" s="1440"/>
      <c r="J235" s="1440"/>
      <c r="K235" s="1448"/>
      <c r="L235" s="1440"/>
    </row>
    <row r="236" spans="3:12">
      <c r="C236" s="1865"/>
      <c r="D236" s="1866"/>
      <c r="E236" s="1866"/>
      <c r="F236" s="1538"/>
      <c r="G236" s="1866"/>
      <c r="H236" s="1866"/>
      <c r="I236" s="1866"/>
      <c r="J236" s="1867"/>
      <c r="K236" s="1867" t="s">
        <v>336</v>
      </c>
    </row>
  </sheetData>
  <sheetProtection algorithmName="SHA-512" hashValue="lKesf1fYRGHPCejackUut/+LlHyVeuIismZ5M9QpLu4nP1sFZK1K0Bwn1cpAzssMMM2TgL90ZaPMdroRoNk7cQ==" saltValue="X1HM1+wsuK+oEZ8yxRNMgg==" spinCount="100000" sheet="1" objects="1" scenarios="1"/>
  <mergeCells count="61">
    <mergeCell ref="C234:K234"/>
    <mergeCell ref="J229:K229"/>
    <mergeCell ref="J230:K230"/>
    <mergeCell ref="J231:K231"/>
    <mergeCell ref="J232:K232"/>
    <mergeCell ref="J233:K233"/>
    <mergeCell ref="E233:G233"/>
    <mergeCell ref="E229:G229"/>
    <mergeCell ref="E230:G230"/>
    <mergeCell ref="E231:G231"/>
    <mergeCell ref="E232:G232"/>
    <mergeCell ref="J227:K227"/>
    <mergeCell ref="J228:K228"/>
    <mergeCell ref="E226:G226"/>
    <mergeCell ref="E227:G227"/>
    <mergeCell ref="E228:G228"/>
    <mergeCell ref="J225:K225"/>
    <mergeCell ref="E223:G223"/>
    <mergeCell ref="E224:G224"/>
    <mergeCell ref="E225:G225"/>
    <mergeCell ref="J226:K226"/>
    <mergeCell ref="E222:G222"/>
    <mergeCell ref="J223:K223"/>
    <mergeCell ref="J224:K224"/>
    <mergeCell ref="J220:K220"/>
    <mergeCell ref="J221:K221"/>
    <mergeCell ref="J222:K222"/>
    <mergeCell ref="J219:K219"/>
    <mergeCell ref="E218:G218"/>
    <mergeCell ref="E219:G219"/>
    <mergeCell ref="E220:G220"/>
    <mergeCell ref="E221:G221"/>
    <mergeCell ref="B23:B30"/>
    <mergeCell ref="C134:K134"/>
    <mergeCell ref="C118:D118"/>
    <mergeCell ref="C112:I112"/>
    <mergeCell ref="J218:K218"/>
    <mergeCell ref="B140:B148"/>
    <mergeCell ref="B152:B159"/>
    <mergeCell ref="C156:D156"/>
    <mergeCell ref="C102:K102"/>
    <mergeCell ref="C83:C84"/>
    <mergeCell ref="C103:H103"/>
    <mergeCell ref="B105:B112"/>
    <mergeCell ref="B94:B98"/>
    <mergeCell ref="B82:B89"/>
    <mergeCell ref="C113:I113"/>
    <mergeCell ref="C114:I114"/>
    <mergeCell ref="C1:K1"/>
    <mergeCell ref="C106:D106"/>
    <mergeCell ref="C108:D108"/>
    <mergeCell ref="C109:D109"/>
    <mergeCell ref="E81:F81"/>
    <mergeCell ref="G81:H81"/>
    <mergeCell ref="C95:D95"/>
    <mergeCell ref="C24:H24"/>
    <mergeCell ref="I4:J4"/>
    <mergeCell ref="C7:D7"/>
    <mergeCell ref="C22:K22"/>
    <mergeCell ref="C21:J21"/>
    <mergeCell ref="E7:G7"/>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2008B-8A5B-4F89-953C-F189483EE6F7}">
  <sheetPr codeName="Sheet5">
    <tabColor rgb="FF7030A0"/>
  </sheetPr>
  <dimension ref="A2:U63"/>
  <sheetViews>
    <sheetView zoomScale="70" zoomScaleNormal="70" workbookViewId="0">
      <selection activeCell="F33" sqref="F33"/>
    </sheetView>
  </sheetViews>
  <sheetFormatPr defaultColWidth="8.59765625" defaultRowHeight="13.8"/>
  <cols>
    <col min="1" max="1" width="48.8984375" bestFit="1" customWidth="1"/>
    <col min="2" max="2" width="27.59765625" bestFit="1" customWidth="1"/>
    <col min="3" max="3" width="14.3984375" customWidth="1"/>
    <col min="4" max="4" width="25.59765625" bestFit="1" customWidth="1"/>
    <col min="5" max="5" width="7.59765625" bestFit="1" customWidth="1"/>
    <col min="6" max="6" width="26.59765625" bestFit="1" customWidth="1"/>
    <col min="7" max="7" width="14.59765625" bestFit="1" customWidth="1"/>
    <col min="8" max="10" width="22.8984375" bestFit="1" customWidth="1"/>
    <col min="11" max="12" width="23.59765625" customWidth="1"/>
    <col min="13" max="14" width="23.3984375" bestFit="1" customWidth="1"/>
    <col min="15" max="15" width="21.09765625" customWidth="1"/>
    <col min="16" max="16" width="17" customWidth="1"/>
    <col min="17" max="17" width="14.8984375" customWidth="1"/>
    <col min="18" max="18" width="13.3984375" customWidth="1"/>
    <col min="19" max="19" width="14.09765625" customWidth="1"/>
    <col min="20" max="20" width="16.8984375" customWidth="1"/>
    <col min="21" max="21" width="15" style="3" bestFit="1" customWidth="1"/>
    <col min="22" max="22" width="16.5" bestFit="1" customWidth="1"/>
  </cols>
  <sheetData>
    <row r="2" spans="1:21">
      <c r="U2"/>
    </row>
    <row r="3" spans="1:21">
      <c r="A3" s="239" t="s">
        <v>645</v>
      </c>
      <c r="B3" s="239" t="s">
        <v>646</v>
      </c>
      <c r="C3" s="239" t="s">
        <v>647</v>
      </c>
      <c r="D3" s="239" t="s">
        <v>648</v>
      </c>
      <c r="E3" s="239" t="s">
        <v>649</v>
      </c>
      <c r="F3" t="s">
        <v>650</v>
      </c>
      <c r="G3" t="s">
        <v>651</v>
      </c>
      <c r="H3" t="s">
        <v>652</v>
      </c>
      <c r="I3" t="s">
        <v>653</v>
      </c>
      <c r="J3" t="s">
        <v>654</v>
      </c>
      <c r="U3"/>
    </row>
    <row r="4" spans="1:21">
      <c r="A4" t="s">
        <v>655</v>
      </c>
      <c r="B4" t="s">
        <v>155</v>
      </c>
      <c r="C4" t="s">
        <v>656</v>
      </c>
      <c r="D4" t="s">
        <v>657</v>
      </c>
      <c r="E4" t="s">
        <v>658</v>
      </c>
      <c r="F4" s="130">
        <v>1181.5053554319047</v>
      </c>
      <c r="G4" s="130">
        <v>45606.106719671523</v>
      </c>
      <c r="H4" s="130">
        <v>3201548.6917209406</v>
      </c>
      <c r="I4" s="130">
        <v>0</v>
      </c>
      <c r="J4" s="130">
        <v>164181.98419081749</v>
      </c>
      <c r="K4" s="130"/>
      <c r="U4"/>
    </row>
    <row r="5" spans="1:21">
      <c r="A5" t="s">
        <v>655</v>
      </c>
      <c r="B5" t="s">
        <v>155</v>
      </c>
      <c r="C5" t="s">
        <v>659</v>
      </c>
      <c r="D5" t="s">
        <v>657</v>
      </c>
      <c r="E5" t="s">
        <v>658</v>
      </c>
      <c r="F5" s="130">
        <v>0</v>
      </c>
      <c r="G5" s="130">
        <v>0</v>
      </c>
      <c r="H5" s="130">
        <v>0</v>
      </c>
      <c r="I5" s="130">
        <v>0</v>
      </c>
      <c r="J5" s="130">
        <v>0</v>
      </c>
      <c r="K5" s="130"/>
      <c r="U5"/>
    </row>
    <row r="6" spans="1:21">
      <c r="A6" t="s">
        <v>655</v>
      </c>
      <c r="B6" t="s">
        <v>155</v>
      </c>
      <c r="C6" t="s">
        <v>660</v>
      </c>
      <c r="D6" t="s">
        <v>657</v>
      </c>
      <c r="E6" t="s">
        <v>658</v>
      </c>
      <c r="F6" s="130">
        <v>0</v>
      </c>
      <c r="G6" s="130">
        <v>0</v>
      </c>
      <c r="H6" s="130">
        <v>0</v>
      </c>
      <c r="I6" s="130">
        <v>0</v>
      </c>
      <c r="J6" s="130">
        <v>0</v>
      </c>
      <c r="K6" s="130"/>
      <c r="U6"/>
    </row>
    <row r="7" spans="1:21">
      <c r="A7" t="s">
        <v>655</v>
      </c>
      <c r="B7" t="s">
        <v>661</v>
      </c>
      <c r="C7" t="s">
        <v>155</v>
      </c>
      <c r="D7" t="s">
        <v>662</v>
      </c>
      <c r="E7" t="s">
        <v>663</v>
      </c>
      <c r="F7" s="130">
        <v>1344803400.6902788</v>
      </c>
      <c r="G7" s="130">
        <v>4841292.2424850026</v>
      </c>
      <c r="H7" s="130">
        <v>0</v>
      </c>
      <c r="I7" s="130">
        <v>1078324782.5145507</v>
      </c>
      <c r="J7" s="130">
        <v>124367893.39393991</v>
      </c>
      <c r="K7" s="130"/>
      <c r="L7">
        <f>G7/F7</f>
        <v>3.5999999999999995E-3</v>
      </c>
      <c r="U7"/>
    </row>
    <row r="8" spans="1:21">
      <c r="A8" t="s">
        <v>655</v>
      </c>
      <c r="B8" t="s">
        <v>661</v>
      </c>
      <c r="C8" t="s">
        <v>664</v>
      </c>
      <c r="D8" t="s">
        <v>662</v>
      </c>
      <c r="E8" t="s">
        <v>663</v>
      </c>
      <c r="F8" s="130">
        <v>10417618.939226702</v>
      </c>
      <c r="G8" s="130">
        <v>37503.428181216121</v>
      </c>
      <c r="H8" s="130">
        <v>0</v>
      </c>
      <c r="I8" s="130">
        <v>0</v>
      </c>
      <c r="J8" s="130">
        <v>0</v>
      </c>
      <c r="K8" s="130"/>
      <c r="U8"/>
    </row>
    <row r="9" spans="1:21">
      <c r="A9" t="s">
        <v>655</v>
      </c>
      <c r="B9" t="s">
        <v>665</v>
      </c>
      <c r="C9" t="s">
        <v>656</v>
      </c>
      <c r="D9" t="s">
        <v>666</v>
      </c>
      <c r="E9" t="s">
        <v>658</v>
      </c>
      <c r="F9" s="241">
        <v>1216.0246685000002</v>
      </c>
      <c r="G9" s="130">
        <v>46938.5522041</v>
      </c>
      <c r="H9" s="130">
        <v>3269354.7311326195</v>
      </c>
      <c r="I9" s="130">
        <v>0</v>
      </c>
      <c r="J9" s="130">
        <v>168978.78793476001</v>
      </c>
      <c r="K9" s="130"/>
      <c r="U9"/>
    </row>
    <row r="10" spans="1:21">
      <c r="A10" t="s">
        <v>655</v>
      </c>
      <c r="B10" t="s">
        <v>665</v>
      </c>
      <c r="C10" t="s">
        <v>667</v>
      </c>
      <c r="D10" t="s">
        <v>666</v>
      </c>
      <c r="E10" t="s">
        <v>658</v>
      </c>
      <c r="F10" s="241">
        <v>1.32202</v>
      </c>
      <c r="G10" s="130">
        <v>30.935267999999997</v>
      </c>
      <c r="H10" s="130">
        <v>2153.0946527999995</v>
      </c>
      <c r="I10" s="130">
        <v>0</v>
      </c>
      <c r="J10" s="130">
        <v>0</v>
      </c>
      <c r="K10" s="130"/>
      <c r="U10"/>
    </row>
    <row r="11" spans="1:21">
      <c r="A11" t="s">
        <v>655</v>
      </c>
      <c r="B11" t="s">
        <v>665</v>
      </c>
      <c r="C11" t="s">
        <v>659</v>
      </c>
      <c r="D11" t="s">
        <v>666</v>
      </c>
      <c r="E11" t="s">
        <v>658</v>
      </c>
      <c r="F11" s="241">
        <v>152.5423843386184</v>
      </c>
      <c r="G11" s="130">
        <v>5216.9495443807527</v>
      </c>
      <c r="H11" s="130">
        <v>354293.50813107903</v>
      </c>
      <c r="I11" s="130">
        <v>0</v>
      </c>
      <c r="J11" s="130">
        <v>18781.018359770707</v>
      </c>
      <c r="K11" s="130"/>
      <c r="U11"/>
    </row>
    <row r="12" spans="1:21">
      <c r="A12" t="s">
        <v>655</v>
      </c>
      <c r="B12" t="s">
        <v>665</v>
      </c>
      <c r="C12" t="s">
        <v>660</v>
      </c>
      <c r="D12" t="s">
        <v>666</v>
      </c>
      <c r="E12" t="s">
        <v>658</v>
      </c>
      <c r="F12" s="241">
        <v>0</v>
      </c>
      <c r="G12" s="130">
        <v>0</v>
      </c>
      <c r="H12" s="130">
        <v>0</v>
      </c>
      <c r="I12" s="130">
        <v>0</v>
      </c>
      <c r="J12" s="130">
        <v>0</v>
      </c>
      <c r="K12" s="130"/>
      <c r="U12"/>
    </row>
    <row r="13" spans="1:21">
      <c r="A13" t="s">
        <v>655</v>
      </c>
      <c r="B13" t="s">
        <v>665</v>
      </c>
      <c r="C13" t="s">
        <v>668</v>
      </c>
      <c r="D13" t="s">
        <v>666</v>
      </c>
      <c r="E13" t="s">
        <v>669</v>
      </c>
      <c r="F13" s="130">
        <v>639.7719201509625</v>
      </c>
      <c r="G13" s="130">
        <v>639.7719201509625</v>
      </c>
      <c r="H13" s="130">
        <v>32967.4470453791</v>
      </c>
      <c r="I13" s="130">
        <v>0</v>
      </c>
      <c r="J13" s="130">
        <v>2495.1104885887535</v>
      </c>
      <c r="K13" s="130"/>
      <c r="U13"/>
    </row>
    <row r="14" spans="1:21">
      <c r="A14" t="s">
        <v>655</v>
      </c>
      <c r="B14" t="s">
        <v>665</v>
      </c>
      <c r="C14" t="s">
        <v>668</v>
      </c>
      <c r="D14" t="s">
        <v>666</v>
      </c>
      <c r="E14" t="s">
        <v>670</v>
      </c>
      <c r="F14" s="130">
        <v>13568169.919299997</v>
      </c>
      <c r="G14" s="130">
        <v>13568.1699193</v>
      </c>
      <c r="H14" s="130">
        <v>699167.7959415291</v>
      </c>
      <c r="I14" s="130">
        <v>0</v>
      </c>
      <c r="J14" s="130">
        <v>52984.994188209996</v>
      </c>
      <c r="K14" s="130"/>
      <c r="U14"/>
    </row>
    <row r="15" spans="1:21">
      <c r="A15" t="s">
        <v>655</v>
      </c>
      <c r="B15" t="s">
        <v>671</v>
      </c>
      <c r="C15" t="s">
        <v>656</v>
      </c>
      <c r="D15" t="s">
        <v>671</v>
      </c>
      <c r="E15" t="s">
        <v>658</v>
      </c>
      <c r="F15" s="130">
        <v>6.3484915999999991</v>
      </c>
      <c r="G15" s="130">
        <v>245.05177576</v>
      </c>
      <c r="H15" s="130">
        <v>17251.645013504003</v>
      </c>
      <c r="I15" s="130">
        <v>0</v>
      </c>
      <c r="J15" s="130">
        <v>882.18639273600002</v>
      </c>
      <c r="K15" s="130"/>
      <c r="U15"/>
    </row>
    <row r="16" spans="1:21">
      <c r="A16" t="s">
        <v>655</v>
      </c>
      <c r="B16" t="s">
        <v>671</v>
      </c>
      <c r="C16" t="s">
        <v>656</v>
      </c>
      <c r="D16" t="s">
        <v>672</v>
      </c>
      <c r="E16" t="s">
        <v>658</v>
      </c>
      <c r="F16" s="130">
        <v>8533.7804828999979</v>
      </c>
      <c r="G16" s="130">
        <v>329403.92663994001</v>
      </c>
      <c r="H16" s="130">
        <v>23193338.609127779</v>
      </c>
      <c r="I16" s="130">
        <v>0</v>
      </c>
      <c r="J16" s="130">
        <v>1185854.1359037841</v>
      </c>
      <c r="K16" s="130"/>
      <c r="U16"/>
    </row>
    <row r="17" spans="1:21">
      <c r="A17" t="s">
        <v>655</v>
      </c>
      <c r="B17" t="s">
        <v>671</v>
      </c>
      <c r="C17" t="s">
        <v>667</v>
      </c>
      <c r="D17" t="s">
        <v>672</v>
      </c>
      <c r="E17" t="s">
        <v>658</v>
      </c>
      <c r="F17" s="130">
        <v>16.185735000000005</v>
      </c>
      <c r="G17" s="130">
        <v>378.74619900000005</v>
      </c>
      <c r="H17" s="130">
        <v>151.49847960000002</v>
      </c>
      <c r="I17" s="130">
        <v>0</v>
      </c>
      <c r="J17" s="130">
        <v>0</v>
      </c>
      <c r="K17" s="130"/>
      <c r="U17"/>
    </row>
    <row r="18" spans="1:21">
      <c r="A18" t="s">
        <v>655</v>
      </c>
      <c r="B18" t="s">
        <v>671</v>
      </c>
      <c r="C18" t="s">
        <v>659</v>
      </c>
      <c r="D18" t="s">
        <v>671</v>
      </c>
      <c r="E18" t="s">
        <v>658</v>
      </c>
      <c r="F18" s="130">
        <v>0.245786</v>
      </c>
      <c r="G18" s="130">
        <v>8.4058812000000014</v>
      </c>
      <c r="H18" s="130">
        <v>585.04933152000001</v>
      </c>
      <c r="I18" s="130">
        <v>0</v>
      </c>
      <c r="J18" s="130">
        <v>30.261172320000007</v>
      </c>
      <c r="K18" s="130"/>
      <c r="U18"/>
    </row>
    <row r="19" spans="1:21">
      <c r="A19" t="s">
        <v>655</v>
      </c>
      <c r="B19" t="s">
        <v>671</v>
      </c>
      <c r="C19" t="s">
        <v>659</v>
      </c>
      <c r="D19" t="s">
        <v>672</v>
      </c>
      <c r="E19" t="s">
        <v>658</v>
      </c>
      <c r="F19" s="130">
        <v>770.66005931814709</v>
      </c>
      <c r="G19" s="130">
        <v>26356.574028680639</v>
      </c>
      <c r="H19" s="130">
        <v>1782231.5358193845</v>
      </c>
      <c r="I19" s="130">
        <v>0</v>
      </c>
      <c r="J19" s="130">
        <v>94883.666503250293</v>
      </c>
      <c r="K19" s="130"/>
      <c r="U19"/>
    </row>
    <row r="20" spans="1:21">
      <c r="A20" t="s">
        <v>655</v>
      </c>
      <c r="B20" t="s">
        <v>671</v>
      </c>
      <c r="C20" t="s">
        <v>660</v>
      </c>
      <c r="D20" t="s">
        <v>672</v>
      </c>
      <c r="E20" t="s">
        <v>658</v>
      </c>
      <c r="F20" s="130">
        <v>0.87494140000000009</v>
      </c>
      <c r="G20" s="130">
        <v>22.923464680000002</v>
      </c>
      <c r="H20" s="130">
        <v>1398.3313454800002</v>
      </c>
      <c r="I20" s="130">
        <v>0</v>
      </c>
      <c r="J20" s="130">
        <v>82.524472848000016</v>
      </c>
      <c r="K20" s="130"/>
      <c r="U20"/>
    </row>
    <row r="21" spans="1:21">
      <c r="A21" t="s">
        <v>571</v>
      </c>
      <c r="B21" t="s">
        <v>661</v>
      </c>
      <c r="C21" t="s">
        <v>155</v>
      </c>
      <c r="D21" t="s">
        <v>662</v>
      </c>
      <c r="E21" t="s">
        <v>663</v>
      </c>
      <c r="F21" s="130">
        <v>343533167.66828078</v>
      </c>
      <c r="G21" s="130">
        <v>1236719.4036058108</v>
      </c>
      <c r="H21" s="130">
        <v>1</v>
      </c>
      <c r="I21" s="130">
        <v>52259059.765938312</v>
      </c>
      <c r="J21" s="130">
        <v>101110402.6603348</v>
      </c>
      <c r="K21" s="130"/>
      <c r="U21"/>
    </row>
    <row r="22" spans="1:21">
      <c r="A22" t="s">
        <v>571</v>
      </c>
      <c r="B22" t="s">
        <v>665</v>
      </c>
      <c r="C22" t="s">
        <v>656</v>
      </c>
      <c r="D22" t="s">
        <v>666</v>
      </c>
      <c r="E22" t="s">
        <v>673</v>
      </c>
      <c r="F22" s="130">
        <v>419992.73617064598</v>
      </c>
      <c r="G22" s="130">
        <v>16211.719616186936</v>
      </c>
      <c r="H22" s="130">
        <v>429548.39583235444</v>
      </c>
      <c r="I22" s="130">
        <v>1</v>
      </c>
      <c r="J22" s="130">
        <v>715347.71491029416</v>
      </c>
      <c r="U22"/>
    </row>
    <row r="23" spans="1:21">
      <c r="A23" t="s">
        <v>571</v>
      </c>
      <c r="B23" t="s">
        <v>665</v>
      </c>
      <c r="C23" t="s">
        <v>668</v>
      </c>
      <c r="D23" t="s">
        <v>666</v>
      </c>
      <c r="E23" t="s">
        <v>670</v>
      </c>
      <c r="F23" s="130">
        <v>5489504.2019505817</v>
      </c>
      <c r="G23" s="130">
        <v>5489.5042019505809</v>
      </c>
      <c r="H23" s="130">
        <v>101446.64788759241</v>
      </c>
      <c r="I23" s="130">
        <v>1</v>
      </c>
      <c r="J23" s="130">
        <v>212707.51755666515</v>
      </c>
      <c r="U23"/>
    </row>
    <row r="24" spans="1:21">
      <c r="A24" t="s">
        <v>53</v>
      </c>
      <c r="F24" s="130">
        <v>1718244373.4170508</v>
      </c>
      <c r="G24" s="130">
        <v>6605632.4116550293</v>
      </c>
      <c r="H24" s="130">
        <v>33085437.981461562</v>
      </c>
      <c r="I24" s="130">
        <v>1130583844.2804883</v>
      </c>
      <c r="J24" s="130">
        <v>228095505.95634869</v>
      </c>
      <c r="K24" s="130">
        <f>SUM(H24:J24)</f>
        <v>1391764788.2182984</v>
      </c>
      <c r="U24"/>
    </row>
    <row r="25" spans="1:21">
      <c r="F25" s="241">
        <f>F24-F26</f>
        <v>1368801708.8106489</v>
      </c>
      <c r="G25" s="241">
        <f t="shared" ref="G25:J25" si="0">G24-G26</f>
        <v>5347211.7842310807</v>
      </c>
      <c r="H25" s="241">
        <f t="shared" si="0"/>
        <v>32554441.937741615</v>
      </c>
      <c r="I25" s="241">
        <f t="shared" si="0"/>
        <v>1078324782.51455</v>
      </c>
      <c r="J25" s="241">
        <f t="shared" si="0"/>
        <v>126057048.06354693</v>
      </c>
      <c r="K25" s="241">
        <f>K24-K26</f>
        <v>1236936272.5158384</v>
      </c>
      <c r="U25"/>
    </row>
    <row r="26" spans="1:21">
      <c r="A26" t="s">
        <v>571</v>
      </c>
      <c r="D26" s="130"/>
      <c r="F26" s="130">
        <f>SUM(F21:F23)</f>
        <v>349442664.60640204</v>
      </c>
      <c r="G26" s="130">
        <f>SUM(G21:G23)</f>
        <v>1258420.6274239484</v>
      </c>
      <c r="H26" s="130">
        <f>SUM(H21:H23)</f>
        <v>530996.04371994687</v>
      </c>
      <c r="I26" s="130">
        <f>SUM(I21:I23)</f>
        <v>52259061.765938312</v>
      </c>
      <c r="J26" s="130">
        <f>SUM(J21:J23)</f>
        <v>102038457.89280176</v>
      </c>
      <c r="K26" s="130">
        <f t="shared" ref="K26" si="1">SUM(H26:J26)</f>
        <v>154828515.70246002</v>
      </c>
      <c r="L26" s="3"/>
      <c r="U26"/>
    </row>
    <row r="27" spans="1:21">
      <c r="K27" s="481"/>
      <c r="U27"/>
    </row>
    <row r="28" spans="1:21">
      <c r="K28" s="481"/>
      <c r="U28"/>
    </row>
    <row r="29" spans="1:21">
      <c r="E29" t="s">
        <v>674</v>
      </c>
      <c r="F29" s="674">
        <v>1429144192.6095223</v>
      </c>
      <c r="G29" s="674">
        <v>5614245.9736536695</v>
      </c>
      <c r="H29" s="674">
        <v>36380976.833988026</v>
      </c>
      <c r="I29" s="674">
        <v>1144150220.4652894</v>
      </c>
      <c r="J29" s="674">
        <v>131467515.09989968</v>
      </c>
      <c r="K29" s="130">
        <f t="shared" ref="K29" si="2">SUM(H29:J29)</f>
        <v>1311998712.3991771</v>
      </c>
      <c r="U29"/>
    </row>
    <row r="30" spans="1:21">
      <c r="E30" t="s">
        <v>675</v>
      </c>
      <c r="F30" s="141">
        <f t="shared" ref="F30:K30" si="3">F24/F29-1</f>
        <v>0.20228902185135755</v>
      </c>
      <c r="G30" s="141">
        <f t="shared" si="3"/>
        <v>0.17658407605468351</v>
      </c>
      <c r="H30" s="141">
        <f t="shared" si="3"/>
        <v>-9.0584122234114606E-2</v>
      </c>
      <c r="I30" s="141">
        <f t="shared" si="3"/>
        <v>-1.1857163458207531E-2</v>
      </c>
      <c r="J30" s="141">
        <f t="shared" si="3"/>
        <v>0.73499518708498623</v>
      </c>
      <c r="K30" s="839">
        <f t="shared" si="3"/>
        <v>6.0797373553254319E-2</v>
      </c>
      <c r="U30"/>
    </row>
    <row r="31" spans="1:21">
      <c r="F31" s="141">
        <f>F25/F29-1</f>
        <v>-4.2222810064176941E-2</v>
      </c>
      <c r="G31" s="141">
        <f t="shared" ref="G31:J31" si="4">G25/G29-1</f>
        <v>-4.7563678306172807E-2</v>
      </c>
      <c r="H31" s="141">
        <f t="shared" si="4"/>
        <v>-0.10517955341626684</v>
      </c>
      <c r="I31" s="141">
        <f t="shared" si="4"/>
        <v>-5.7532163848179163E-2</v>
      </c>
      <c r="J31" s="141">
        <f t="shared" si="4"/>
        <v>-4.1154402532378009E-2</v>
      </c>
      <c r="K31" s="839">
        <f>K25/K29-1</f>
        <v>-5.7212281669146048E-2</v>
      </c>
      <c r="U31"/>
    </row>
    <row r="32" spans="1:21">
      <c r="F32" s="240">
        <f>ReformFY21[[#Totals],[Consumption Quantity]]</f>
        <v>1718244373.4170508</v>
      </c>
      <c r="G32" s="240">
        <f>ReformFY21[[#Totals],[Total GJ]]</f>
        <v>6605632.4116550293</v>
      </c>
      <c r="H32" s="240">
        <f>ReformFY21[[#Totals],[Scope 1 kg CO2-e]]</f>
        <v>33085437.981461562</v>
      </c>
      <c r="I32" s="240">
        <f>ReformFY21[[#Totals],[Scope 2 kg CO2-e]]</f>
        <v>1130583844.2804885</v>
      </c>
      <c r="J32" s="240">
        <f>ReformFY21[[#Totals],[Scope 3 kg CO2-e]]</f>
        <v>228095505.95634869</v>
      </c>
      <c r="U32"/>
    </row>
    <row r="33" spans="1:21">
      <c r="F33" s="130" t="b">
        <f>F32=F24</f>
        <v>1</v>
      </c>
      <c r="G33" s="130" t="b">
        <f>G32=G24</f>
        <v>1</v>
      </c>
      <c r="H33" s="130" t="b">
        <f>H32=H24</f>
        <v>1</v>
      </c>
      <c r="I33" s="130" t="b">
        <f>I32=I24</f>
        <v>1</v>
      </c>
      <c r="J33" s="130" t="b">
        <f>J32=J24</f>
        <v>1</v>
      </c>
      <c r="U33"/>
    </row>
    <row r="34" spans="1:21">
      <c r="U34"/>
    </row>
    <row r="35" spans="1:21">
      <c r="A35" s="25" t="str">
        <f t="shared" ref="A35:J35" si="5">A3</f>
        <v>Level 1</v>
      </c>
      <c r="B35" s="25" t="str">
        <f t="shared" si="5"/>
        <v>Source Name</v>
      </c>
      <c r="C35" s="25" t="str">
        <f t="shared" si="5"/>
        <v>Activity Type</v>
      </c>
      <c r="D35" s="25" t="str">
        <f t="shared" si="5"/>
        <v>Activity Type Context</v>
      </c>
      <c r="E35" s="25" t="str">
        <f t="shared" si="5"/>
        <v>UoM</v>
      </c>
      <c r="F35" s="25" t="str">
        <f t="shared" si="5"/>
        <v>Sum of Consumption Quantity</v>
      </c>
      <c r="G35" s="25" t="str">
        <f t="shared" si="5"/>
        <v>Sum of Total GJ</v>
      </c>
      <c r="H35" s="25" t="str">
        <f t="shared" si="5"/>
        <v>Sum of Scope 1 kg CO2-e</v>
      </c>
      <c r="I35" s="25" t="str">
        <f t="shared" si="5"/>
        <v>Sum of Scope 2 kg CO2-e</v>
      </c>
      <c r="J35" s="25" t="str">
        <f t="shared" si="5"/>
        <v>Sum of Scope 3 kg CO2-e</v>
      </c>
    </row>
    <row r="36" spans="1:21">
      <c r="A36" t="str">
        <f t="shared" ref="A36:J36" si="6">A4</f>
        <v>Telstra Corporation Limited</v>
      </c>
      <c r="B36" t="str">
        <f t="shared" si="6"/>
        <v>Electricity</v>
      </c>
      <c r="C36" t="str">
        <f t="shared" si="6"/>
        <v>Diesel Oil</v>
      </c>
      <c r="D36" t="str">
        <f t="shared" si="6"/>
        <v>Non-transport (Genset)</v>
      </c>
      <c r="E36" t="str">
        <f t="shared" si="6"/>
        <v>KL</v>
      </c>
      <c r="F36" s="5">
        <f t="shared" si="6"/>
        <v>1181.5053554319047</v>
      </c>
      <c r="G36" s="5">
        <f t="shared" si="6"/>
        <v>45606.106719671523</v>
      </c>
      <c r="H36" s="5">
        <f t="shared" si="6"/>
        <v>3201548.6917209406</v>
      </c>
      <c r="I36" s="5">
        <f t="shared" si="6"/>
        <v>0</v>
      </c>
      <c r="J36" s="5">
        <f t="shared" si="6"/>
        <v>164181.98419081749</v>
      </c>
      <c r="K36" s="241">
        <f>SUM(H36:J36)</f>
        <v>3365730.6759117581</v>
      </c>
    </row>
    <row r="37" spans="1:21">
      <c r="A37" t="str">
        <f t="shared" ref="A37:J37" si="7">A5</f>
        <v>Telstra Corporation Limited</v>
      </c>
      <c r="B37" t="str">
        <f t="shared" si="7"/>
        <v>Electricity</v>
      </c>
      <c r="C37" t="str">
        <f t="shared" si="7"/>
        <v>Gasoline</v>
      </c>
      <c r="D37" t="str">
        <f t="shared" si="7"/>
        <v>Non-transport (Genset)</v>
      </c>
      <c r="E37" t="str">
        <f t="shared" si="7"/>
        <v>KL</v>
      </c>
      <c r="F37" s="5">
        <f t="shared" si="7"/>
        <v>0</v>
      </c>
      <c r="G37" s="5">
        <f t="shared" si="7"/>
        <v>0</v>
      </c>
      <c r="H37" s="5">
        <f t="shared" si="7"/>
        <v>0</v>
      </c>
      <c r="I37" s="5">
        <f t="shared" si="7"/>
        <v>0</v>
      </c>
      <c r="J37" s="5">
        <f t="shared" si="7"/>
        <v>0</v>
      </c>
      <c r="K37" s="241">
        <f t="shared" ref="K37:K56" si="8">SUM(H37:J37)</f>
        <v>0</v>
      </c>
    </row>
    <row r="38" spans="1:21">
      <c r="A38" t="str">
        <f t="shared" ref="A38:J38" si="9">A6</f>
        <v>Telstra Corporation Limited</v>
      </c>
      <c r="B38" t="str">
        <f t="shared" si="9"/>
        <v>Electricity</v>
      </c>
      <c r="C38" t="str">
        <f t="shared" si="9"/>
        <v>Liquified petroleum gas</v>
      </c>
      <c r="D38" t="str">
        <f t="shared" si="9"/>
        <v>Non-transport (Genset)</v>
      </c>
      <c r="E38" t="str">
        <f t="shared" si="9"/>
        <v>KL</v>
      </c>
      <c r="F38" s="5">
        <f t="shared" si="9"/>
        <v>0</v>
      </c>
      <c r="G38" s="8">
        <f>G6</f>
        <v>0</v>
      </c>
      <c r="H38" s="5">
        <f t="shared" si="9"/>
        <v>0</v>
      </c>
      <c r="I38" s="5">
        <f t="shared" si="9"/>
        <v>0</v>
      </c>
      <c r="J38" s="5">
        <f t="shared" si="9"/>
        <v>0</v>
      </c>
      <c r="K38" s="241">
        <f t="shared" si="8"/>
        <v>0</v>
      </c>
    </row>
    <row r="39" spans="1:21">
      <c r="A39" t="str">
        <f t="shared" ref="A39:J39" si="10">A7</f>
        <v>Telstra Corporation Limited</v>
      </c>
      <c r="B39" t="str">
        <f t="shared" si="10"/>
        <v>Energy Commodities</v>
      </c>
      <c r="C39" t="str">
        <f t="shared" si="10"/>
        <v>Electricity</v>
      </c>
      <c r="D39" t="str">
        <f t="shared" si="10"/>
        <v>Energy Commodity</v>
      </c>
      <c r="E39" t="str">
        <f t="shared" si="10"/>
        <v>kWh</v>
      </c>
      <c r="F39" s="5">
        <f t="shared" si="10"/>
        <v>1344803400.6902788</v>
      </c>
      <c r="G39" s="5">
        <f t="shared" si="10"/>
        <v>4841292.2424850026</v>
      </c>
      <c r="H39" s="5">
        <f t="shared" si="10"/>
        <v>0</v>
      </c>
      <c r="I39" s="5">
        <f t="shared" si="10"/>
        <v>1078324782.5145507</v>
      </c>
      <c r="J39" s="5">
        <f t="shared" si="10"/>
        <v>124367893.39393991</v>
      </c>
      <c r="K39" s="241">
        <f t="shared" si="8"/>
        <v>1202692675.9084907</v>
      </c>
    </row>
    <row r="40" spans="1:21">
      <c r="A40" t="str">
        <f t="shared" ref="A40:J40" si="11">A8</f>
        <v>Telstra Corporation Limited</v>
      </c>
      <c r="B40" t="str">
        <f t="shared" si="11"/>
        <v>Energy Commodities</v>
      </c>
      <c r="C40" t="str">
        <f t="shared" si="11"/>
        <v>Solar energy for electricity generation</v>
      </c>
      <c r="D40" t="str">
        <f t="shared" si="11"/>
        <v>Energy Commodity</v>
      </c>
      <c r="E40" t="str">
        <f t="shared" si="11"/>
        <v>kWh</v>
      </c>
      <c r="F40" s="5">
        <f t="shared" si="11"/>
        <v>10417618.939226702</v>
      </c>
      <c r="G40" s="5">
        <f t="shared" si="11"/>
        <v>37503.428181216121</v>
      </c>
      <c r="H40" s="5">
        <f t="shared" si="11"/>
        <v>0</v>
      </c>
      <c r="I40" s="5">
        <f t="shared" si="11"/>
        <v>0</v>
      </c>
      <c r="J40" s="5">
        <f t="shared" si="11"/>
        <v>0</v>
      </c>
      <c r="K40" s="241">
        <f t="shared" si="8"/>
        <v>0</v>
      </c>
    </row>
    <row r="41" spans="1:21">
      <c r="A41" t="str">
        <f t="shared" ref="A41:J41" si="12">A9</f>
        <v>Telstra Corporation Limited</v>
      </c>
      <c r="B41" t="str">
        <f t="shared" si="12"/>
        <v>Other Stationary</v>
      </c>
      <c r="C41" t="str">
        <f t="shared" si="12"/>
        <v>Diesel Oil</v>
      </c>
      <c r="D41" t="str">
        <f t="shared" si="12"/>
        <v>Non-transport</v>
      </c>
      <c r="E41" t="str">
        <f t="shared" si="12"/>
        <v>KL</v>
      </c>
      <c r="F41" s="5">
        <f t="shared" si="12"/>
        <v>1216.0246685000002</v>
      </c>
      <c r="G41" s="5">
        <f t="shared" si="12"/>
        <v>46938.5522041</v>
      </c>
      <c r="H41" s="5">
        <f t="shared" si="12"/>
        <v>3269354.7311326195</v>
      </c>
      <c r="I41" s="5">
        <f t="shared" si="12"/>
        <v>0</v>
      </c>
      <c r="J41" s="5">
        <f t="shared" si="12"/>
        <v>168978.78793476001</v>
      </c>
      <c r="K41" s="241">
        <f t="shared" si="8"/>
        <v>3438333.5190673796</v>
      </c>
    </row>
    <row r="42" spans="1:21">
      <c r="A42" t="str">
        <f t="shared" ref="A42:J42" si="13">A10</f>
        <v>Telstra Corporation Limited</v>
      </c>
      <c r="B42" t="str">
        <f t="shared" si="13"/>
        <v>Other Stationary</v>
      </c>
      <c r="C42" t="str">
        <f t="shared" si="13"/>
        <v>Ethanol</v>
      </c>
      <c r="D42" t="str">
        <f t="shared" si="13"/>
        <v>Non-transport</v>
      </c>
      <c r="E42" t="str">
        <f t="shared" si="13"/>
        <v>KL</v>
      </c>
      <c r="F42" s="5">
        <f t="shared" si="13"/>
        <v>1.32202</v>
      </c>
      <c r="G42" s="5">
        <f t="shared" si="13"/>
        <v>30.935267999999997</v>
      </c>
      <c r="H42" s="5">
        <f t="shared" si="13"/>
        <v>2153.0946527999995</v>
      </c>
      <c r="I42" s="5">
        <f t="shared" si="13"/>
        <v>0</v>
      </c>
      <c r="J42" s="5">
        <f t="shared" si="13"/>
        <v>0</v>
      </c>
      <c r="K42" s="241">
        <f t="shared" si="8"/>
        <v>2153.0946527999995</v>
      </c>
    </row>
    <row r="43" spans="1:21">
      <c r="A43" t="str">
        <f t="shared" ref="A43:J43" si="14">A11</f>
        <v>Telstra Corporation Limited</v>
      </c>
      <c r="B43" t="str">
        <f t="shared" si="14"/>
        <v>Other Stationary</v>
      </c>
      <c r="C43" t="str">
        <f t="shared" si="14"/>
        <v>Gasoline</v>
      </c>
      <c r="D43" t="str">
        <f t="shared" si="14"/>
        <v>Non-transport</v>
      </c>
      <c r="E43" t="str">
        <f t="shared" si="14"/>
        <v>KL</v>
      </c>
      <c r="F43" s="5">
        <f t="shared" si="14"/>
        <v>152.5423843386184</v>
      </c>
      <c r="G43" s="5">
        <f t="shared" si="14"/>
        <v>5216.9495443807527</v>
      </c>
      <c r="H43" s="5">
        <f t="shared" si="14"/>
        <v>354293.50813107903</v>
      </c>
      <c r="I43" s="5">
        <f t="shared" si="14"/>
        <v>0</v>
      </c>
      <c r="J43" s="5">
        <f t="shared" si="14"/>
        <v>18781.018359770707</v>
      </c>
      <c r="K43" s="241">
        <f t="shared" si="8"/>
        <v>373074.52649084973</v>
      </c>
    </row>
    <row r="44" spans="1:21">
      <c r="A44" t="str">
        <f t="shared" ref="A44:J44" si="15">A12</f>
        <v>Telstra Corporation Limited</v>
      </c>
      <c r="B44" t="str">
        <f t="shared" si="15"/>
        <v>Other Stationary</v>
      </c>
      <c r="C44" t="str">
        <f t="shared" si="15"/>
        <v>Liquified petroleum gas</v>
      </c>
      <c r="D44" t="str">
        <f t="shared" si="15"/>
        <v>Non-transport</v>
      </c>
      <c r="E44" t="str">
        <f t="shared" si="15"/>
        <v>KL</v>
      </c>
      <c r="F44" s="5">
        <f t="shared" si="15"/>
        <v>0</v>
      </c>
      <c r="G44" s="5">
        <f t="shared" si="15"/>
        <v>0</v>
      </c>
      <c r="H44" s="5">
        <f t="shared" si="15"/>
        <v>0</v>
      </c>
      <c r="I44" s="5">
        <f t="shared" si="15"/>
        <v>0</v>
      </c>
      <c r="J44" s="5">
        <f t="shared" si="15"/>
        <v>0</v>
      </c>
      <c r="K44" s="241">
        <f t="shared" si="8"/>
        <v>0</v>
      </c>
    </row>
    <row r="45" spans="1:21">
      <c r="A45" t="str">
        <f t="shared" ref="A45:J45" si="16">A13</f>
        <v>Telstra Corporation Limited</v>
      </c>
      <c r="B45" t="str">
        <f t="shared" si="16"/>
        <v>Other Stationary</v>
      </c>
      <c r="C45" t="str">
        <f t="shared" si="16"/>
        <v>Natural gas distributed in pipeline</v>
      </c>
      <c r="D45" t="str">
        <f t="shared" si="16"/>
        <v>Non-transport</v>
      </c>
      <c r="E45" t="str">
        <f t="shared" si="16"/>
        <v>GJ</v>
      </c>
      <c r="F45" s="5">
        <f t="shared" si="16"/>
        <v>639.7719201509625</v>
      </c>
      <c r="G45" s="5">
        <f t="shared" si="16"/>
        <v>639.7719201509625</v>
      </c>
      <c r="H45" s="5">
        <f t="shared" si="16"/>
        <v>32967.4470453791</v>
      </c>
      <c r="I45" s="5">
        <f t="shared" si="16"/>
        <v>0</v>
      </c>
      <c r="J45" s="5">
        <f t="shared" si="16"/>
        <v>2495.1104885887535</v>
      </c>
      <c r="K45" s="241">
        <f t="shared" si="8"/>
        <v>35462.557533967854</v>
      </c>
    </row>
    <row r="46" spans="1:21">
      <c r="A46" t="str">
        <f t="shared" ref="A46:J46" si="17">A14</f>
        <v>Telstra Corporation Limited</v>
      </c>
      <c r="B46" t="str">
        <f t="shared" si="17"/>
        <v>Other Stationary</v>
      </c>
      <c r="C46" t="str">
        <f t="shared" si="17"/>
        <v>Natural gas distributed in pipeline</v>
      </c>
      <c r="D46" t="str">
        <f t="shared" si="17"/>
        <v>Non-transport</v>
      </c>
      <c r="E46" t="str">
        <f t="shared" si="17"/>
        <v>MJ</v>
      </c>
      <c r="F46" s="5">
        <f t="shared" si="17"/>
        <v>13568169.919299997</v>
      </c>
      <c r="G46" s="5">
        <f t="shared" si="17"/>
        <v>13568.1699193</v>
      </c>
      <c r="H46" s="5">
        <f t="shared" si="17"/>
        <v>699167.7959415291</v>
      </c>
      <c r="I46" s="5">
        <f t="shared" si="17"/>
        <v>0</v>
      </c>
      <c r="J46" s="5">
        <f t="shared" si="17"/>
        <v>52984.994188209996</v>
      </c>
      <c r="K46" s="241">
        <f t="shared" si="8"/>
        <v>752152.79012973909</v>
      </c>
    </row>
    <row r="47" spans="1:21">
      <c r="A47" t="str">
        <f t="shared" ref="A47:J47" si="18">A15</f>
        <v>Telstra Corporation Limited</v>
      </c>
      <c r="B47" t="str">
        <f t="shared" si="18"/>
        <v>Transport</v>
      </c>
      <c r="C47" t="str">
        <f t="shared" si="18"/>
        <v>Diesel Oil</v>
      </c>
      <c r="D47" t="str">
        <f t="shared" si="18"/>
        <v>Transport</v>
      </c>
      <c r="E47" t="str">
        <f t="shared" si="18"/>
        <v>KL</v>
      </c>
      <c r="F47" s="5">
        <f t="shared" si="18"/>
        <v>6.3484915999999991</v>
      </c>
      <c r="G47" s="5">
        <f t="shared" si="18"/>
        <v>245.05177576</v>
      </c>
      <c r="H47" s="5">
        <f t="shared" si="18"/>
        <v>17251.645013504003</v>
      </c>
      <c r="I47" s="5">
        <f t="shared" si="18"/>
        <v>0</v>
      </c>
      <c r="J47" s="5">
        <f t="shared" si="18"/>
        <v>882.18639273600002</v>
      </c>
      <c r="K47" s="241">
        <f t="shared" si="8"/>
        <v>18133.831406240002</v>
      </c>
    </row>
    <row r="48" spans="1:21">
      <c r="A48" t="str">
        <f t="shared" ref="A48:J48" si="19">A16</f>
        <v>Telstra Corporation Limited</v>
      </c>
      <c r="B48" t="str">
        <f t="shared" si="19"/>
        <v>Transport</v>
      </c>
      <c r="C48" t="str">
        <f t="shared" si="19"/>
        <v>Diesel Oil</v>
      </c>
      <c r="D48" t="str">
        <f t="shared" si="19"/>
        <v>Transport - Post 2004 vehicles</v>
      </c>
      <c r="E48" t="str">
        <f t="shared" si="19"/>
        <v>KL</v>
      </c>
      <c r="F48" s="5">
        <f t="shared" si="19"/>
        <v>8533.7804828999979</v>
      </c>
      <c r="G48" s="5">
        <f t="shared" si="19"/>
        <v>329403.92663994001</v>
      </c>
      <c r="H48" s="5">
        <f t="shared" si="19"/>
        <v>23193338.609127779</v>
      </c>
      <c r="I48" s="5">
        <f t="shared" si="19"/>
        <v>0</v>
      </c>
      <c r="J48" s="5">
        <f t="shared" si="19"/>
        <v>1185854.1359037841</v>
      </c>
      <c r="K48" s="241">
        <f t="shared" si="8"/>
        <v>24379192.745031562</v>
      </c>
    </row>
    <row r="49" spans="1:21">
      <c r="A49" t="str">
        <f t="shared" ref="A49:J49" si="20">A17</f>
        <v>Telstra Corporation Limited</v>
      </c>
      <c r="B49" t="str">
        <f t="shared" si="20"/>
        <v>Transport</v>
      </c>
      <c r="C49" t="str">
        <f t="shared" si="20"/>
        <v>Ethanol</v>
      </c>
      <c r="D49" t="str">
        <f t="shared" si="20"/>
        <v>Transport - Post 2004 vehicles</v>
      </c>
      <c r="E49" t="str">
        <f t="shared" si="20"/>
        <v>KL</v>
      </c>
      <c r="F49" s="5">
        <f t="shared" si="20"/>
        <v>16.185735000000005</v>
      </c>
      <c r="G49" s="5">
        <f t="shared" si="20"/>
        <v>378.74619900000005</v>
      </c>
      <c r="H49" s="5">
        <f t="shared" si="20"/>
        <v>151.49847960000002</v>
      </c>
      <c r="I49" s="5">
        <f t="shared" si="20"/>
        <v>0</v>
      </c>
      <c r="J49" s="5">
        <f t="shared" si="20"/>
        <v>0</v>
      </c>
      <c r="K49" s="241">
        <f t="shared" si="8"/>
        <v>151.49847960000002</v>
      </c>
    </row>
    <row r="50" spans="1:21">
      <c r="A50" t="str">
        <f t="shared" ref="A50:J50" si="21">A18</f>
        <v>Telstra Corporation Limited</v>
      </c>
      <c r="B50" t="str">
        <f t="shared" si="21"/>
        <v>Transport</v>
      </c>
      <c r="C50" t="str">
        <f t="shared" si="21"/>
        <v>Gasoline</v>
      </c>
      <c r="D50" t="str">
        <f t="shared" si="21"/>
        <v>Transport</v>
      </c>
      <c r="E50" t="str">
        <f t="shared" si="21"/>
        <v>KL</v>
      </c>
      <c r="F50" s="5">
        <f t="shared" si="21"/>
        <v>0.245786</v>
      </c>
      <c r="G50" s="5">
        <f t="shared" si="21"/>
        <v>8.4058812000000014</v>
      </c>
      <c r="H50" s="5">
        <f t="shared" si="21"/>
        <v>585.04933152000001</v>
      </c>
      <c r="I50" s="5">
        <f t="shared" si="21"/>
        <v>0</v>
      </c>
      <c r="J50" s="5">
        <f t="shared" si="21"/>
        <v>30.261172320000007</v>
      </c>
      <c r="K50" s="241">
        <f t="shared" si="8"/>
        <v>615.31050384000002</v>
      </c>
    </row>
    <row r="51" spans="1:21">
      <c r="A51" t="str">
        <f t="shared" ref="A51:J51" si="22">A19</f>
        <v>Telstra Corporation Limited</v>
      </c>
      <c r="B51" t="str">
        <f t="shared" si="22"/>
        <v>Transport</v>
      </c>
      <c r="C51" t="str">
        <f t="shared" si="22"/>
        <v>Gasoline</v>
      </c>
      <c r="D51" t="str">
        <f t="shared" si="22"/>
        <v>Transport - Post 2004 vehicles</v>
      </c>
      <c r="E51" t="str">
        <f t="shared" si="22"/>
        <v>KL</v>
      </c>
      <c r="F51" s="5">
        <f t="shared" si="22"/>
        <v>770.66005931814709</v>
      </c>
      <c r="G51" s="5">
        <f t="shared" si="22"/>
        <v>26356.574028680639</v>
      </c>
      <c r="H51" s="5">
        <f t="shared" si="22"/>
        <v>1782231.5358193845</v>
      </c>
      <c r="I51" s="5">
        <f t="shared" si="22"/>
        <v>0</v>
      </c>
      <c r="J51" s="5">
        <f t="shared" si="22"/>
        <v>94883.666503250293</v>
      </c>
      <c r="K51" s="241">
        <f t="shared" si="8"/>
        <v>1877115.2023226349</v>
      </c>
    </row>
    <row r="52" spans="1:21">
      <c r="A52" t="str">
        <f t="shared" ref="A52:J52" si="23">A20</f>
        <v>Telstra Corporation Limited</v>
      </c>
      <c r="B52" t="str">
        <f t="shared" si="23"/>
        <v>Transport</v>
      </c>
      <c r="C52" t="str">
        <f t="shared" si="23"/>
        <v>Liquified petroleum gas</v>
      </c>
      <c r="D52" t="str">
        <f t="shared" si="23"/>
        <v>Transport - Post 2004 vehicles</v>
      </c>
      <c r="E52" t="str">
        <f t="shared" si="23"/>
        <v>KL</v>
      </c>
      <c r="F52" s="5">
        <f t="shared" si="23"/>
        <v>0.87494140000000009</v>
      </c>
      <c r="G52" s="5">
        <f t="shared" si="23"/>
        <v>22.923464680000002</v>
      </c>
      <c r="H52" s="5">
        <f t="shared" si="23"/>
        <v>1398.3313454800002</v>
      </c>
      <c r="I52" s="5">
        <f t="shared" si="23"/>
        <v>0</v>
      </c>
      <c r="J52" s="5">
        <f t="shared" si="23"/>
        <v>82.524472848000016</v>
      </c>
      <c r="K52" s="241">
        <f t="shared" si="8"/>
        <v>1480.8558183280002</v>
      </c>
    </row>
    <row r="53" spans="1:21">
      <c r="A53" t="str">
        <f t="shared" ref="A53:J53" si="24">A21</f>
        <v>International</v>
      </c>
      <c r="B53" t="str">
        <f t="shared" si="24"/>
        <v>Energy Commodities</v>
      </c>
      <c r="C53" t="str">
        <f t="shared" si="24"/>
        <v>Electricity</v>
      </c>
      <c r="D53" t="str">
        <f t="shared" si="24"/>
        <v>Energy Commodity</v>
      </c>
      <c r="E53" t="str">
        <f t="shared" si="24"/>
        <v>kWh</v>
      </c>
      <c r="F53" s="5">
        <f t="shared" si="24"/>
        <v>343533167.66828078</v>
      </c>
      <c r="G53" s="5">
        <f t="shared" si="24"/>
        <v>1236719.4036058108</v>
      </c>
      <c r="H53" s="5">
        <f>H21</f>
        <v>1</v>
      </c>
      <c r="I53" s="5">
        <f t="shared" si="24"/>
        <v>52259059.765938312</v>
      </c>
      <c r="J53" s="5">
        <f t="shared" si="24"/>
        <v>101110402.6603348</v>
      </c>
      <c r="K53" s="241">
        <f t="shared" si="8"/>
        <v>153369463.42627311</v>
      </c>
    </row>
    <row r="54" spans="1:21">
      <c r="A54" t="str">
        <f t="shared" ref="A54:J54" si="25">A22</f>
        <v>International</v>
      </c>
      <c r="B54" t="str">
        <f t="shared" si="25"/>
        <v>Other Stationary</v>
      </c>
      <c r="C54" t="str">
        <f t="shared" si="25"/>
        <v>Diesel Oil</v>
      </c>
      <c r="D54" t="str">
        <f t="shared" si="25"/>
        <v>Non-transport</v>
      </c>
      <c r="E54" t="str">
        <f t="shared" si="25"/>
        <v>L</v>
      </c>
      <c r="F54" s="5">
        <f t="shared" si="25"/>
        <v>419992.73617064598</v>
      </c>
      <c r="G54" s="5">
        <f t="shared" si="25"/>
        <v>16211.719616186936</v>
      </c>
      <c r="H54" s="5">
        <f t="shared" si="25"/>
        <v>429548.39583235444</v>
      </c>
      <c r="I54" s="5">
        <f t="shared" si="25"/>
        <v>1</v>
      </c>
      <c r="J54" s="5">
        <f t="shared" si="25"/>
        <v>715347.71491029416</v>
      </c>
      <c r="K54" s="241">
        <f t="shared" si="8"/>
        <v>1144897.1107426486</v>
      </c>
    </row>
    <row r="55" spans="1:21">
      <c r="A55" t="str">
        <f t="shared" ref="A55:J55" si="26">A23</f>
        <v>International</v>
      </c>
      <c r="B55" t="str">
        <f t="shared" si="26"/>
        <v>Other Stationary</v>
      </c>
      <c r="C55" t="str">
        <f t="shared" si="26"/>
        <v>Natural gas distributed in pipeline</v>
      </c>
      <c r="D55" t="str">
        <f t="shared" si="26"/>
        <v>Non-transport</v>
      </c>
      <c r="E55" t="str">
        <f t="shared" si="26"/>
        <v>MJ</v>
      </c>
      <c r="F55" s="5">
        <f t="shared" si="26"/>
        <v>5489504.2019505817</v>
      </c>
      <c r="G55" s="5">
        <f t="shared" si="26"/>
        <v>5489.5042019505809</v>
      </c>
      <c r="H55" s="5">
        <f t="shared" si="26"/>
        <v>101446.64788759241</v>
      </c>
      <c r="I55" s="5">
        <f t="shared" si="26"/>
        <v>1</v>
      </c>
      <c r="J55" s="5">
        <f t="shared" si="26"/>
        <v>212707.51755666515</v>
      </c>
      <c r="K55" s="241">
        <f t="shared" si="8"/>
        <v>314155.16544425755</v>
      </c>
    </row>
    <row r="56" spans="1:21" s="25" customFormat="1">
      <c r="A56" s="25" t="str">
        <f t="shared" ref="A56:J56" si="27">A24</f>
        <v>Grand Total</v>
      </c>
      <c r="B56" s="25">
        <f t="shared" si="27"/>
        <v>0</v>
      </c>
      <c r="C56" s="25">
        <f t="shared" si="27"/>
        <v>0</v>
      </c>
      <c r="D56" s="25">
        <f t="shared" si="27"/>
        <v>0</v>
      </c>
      <c r="E56" s="25">
        <f t="shared" si="27"/>
        <v>0</v>
      </c>
      <c r="F56" s="38">
        <f t="shared" si="27"/>
        <v>1718244373.4170508</v>
      </c>
      <c r="G56" s="38">
        <f t="shared" si="27"/>
        <v>6605632.4116550293</v>
      </c>
      <c r="H56" s="38">
        <f t="shared" si="27"/>
        <v>33085437.981461562</v>
      </c>
      <c r="I56" s="38">
        <f t="shared" si="27"/>
        <v>1130583844.2804883</v>
      </c>
      <c r="J56" s="38">
        <f t="shared" si="27"/>
        <v>228095505.95634869</v>
      </c>
      <c r="K56" s="241">
        <f t="shared" si="8"/>
        <v>1391764788.2182984</v>
      </c>
      <c r="U56" s="772"/>
    </row>
    <row r="57" spans="1:21">
      <c r="F57" s="5">
        <f>SUM(F36:F52)</f>
        <v>1368801708.8106501</v>
      </c>
      <c r="G57" s="5">
        <f t="shared" ref="G57:J57" si="28">SUM(G36:G52)</f>
        <v>5347211.7842310825</v>
      </c>
      <c r="H57" s="5">
        <f t="shared" si="28"/>
        <v>32554441.937741615</v>
      </c>
      <c r="I57" s="5">
        <f t="shared" si="28"/>
        <v>1078324782.5145507</v>
      </c>
      <c r="J57" s="5">
        <f t="shared" si="28"/>
        <v>126057048.06354702</v>
      </c>
      <c r="K57" t="s">
        <v>676</v>
      </c>
      <c r="L57" s="241">
        <f>SUM(J36:J52)</f>
        <v>126057048.06354702</v>
      </c>
      <c r="M57" s="241"/>
    </row>
    <row r="58" spans="1:21">
      <c r="F58" s="5">
        <f>SUM(F53:F55)</f>
        <v>349442664.60640204</v>
      </c>
      <c r="G58" s="5">
        <f t="shared" ref="G58:J58" si="29">SUM(G53:G55)</f>
        <v>1258420.6274239484</v>
      </c>
      <c r="H58" s="5">
        <f t="shared" si="29"/>
        <v>530996.04371994687</v>
      </c>
      <c r="I58" s="5">
        <f t="shared" si="29"/>
        <v>52259061.765938312</v>
      </c>
      <c r="J58" s="5">
        <f t="shared" si="29"/>
        <v>102038457.89280176</v>
      </c>
      <c r="K58" s="241">
        <f>SUM(H58:J58)</f>
        <v>154828515.70246002</v>
      </c>
      <c r="M58" s="241"/>
    </row>
    <row r="59" spans="1:21">
      <c r="F59" s="5"/>
      <c r="G59" s="5"/>
      <c r="H59" s="5"/>
      <c r="I59" s="5"/>
      <c r="J59" s="5"/>
      <c r="M59" s="3"/>
    </row>
    <row r="60" spans="1:21">
      <c r="F60" s="771">
        <f>'Reform FY21'!M312</f>
        <v>1718244373.4170508</v>
      </c>
      <c r="G60" s="771">
        <f>'Reform FY21'!N312</f>
        <v>6605632.4116550293</v>
      </c>
      <c r="H60" s="771">
        <f>'Reform FY21'!O312</f>
        <v>33085437.981461562</v>
      </c>
      <c r="I60" s="771">
        <f>'Reform FY21'!P312</f>
        <v>1130583844.2804885</v>
      </c>
      <c r="J60" s="771">
        <f>'Reform FY21'!Q312</f>
        <v>228095505.95634869</v>
      </c>
    </row>
    <row r="61" spans="1:21">
      <c r="F61" t="b">
        <f>F60=F56</f>
        <v>1</v>
      </c>
      <c r="G61" t="b">
        <f t="shared" ref="G61:J61" si="30">G60=G56</f>
        <v>1</v>
      </c>
      <c r="H61" t="b">
        <f t="shared" si="30"/>
        <v>1</v>
      </c>
      <c r="I61" t="b">
        <f t="shared" si="30"/>
        <v>1</v>
      </c>
      <c r="J61" t="b">
        <f t="shared" si="30"/>
        <v>1</v>
      </c>
    </row>
    <row r="63" spans="1:21">
      <c r="G63" s="3">
        <f>G58/G56</f>
        <v>0.19050721399567758</v>
      </c>
      <c r="H63" s="3">
        <f t="shared" ref="H63:K63" si="31">H58/H56</f>
        <v>1.6049237251067213E-2</v>
      </c>
      <c r="I63" s="3">
        <f t="shared" si="31"/>
        <v>4.622307494513718E-2</v>
      </c>
      <c r="J63" s="3">
        <f t="shared" si="31"/>
        <v>0.44734970759278864</v>
      </c>
      <c r="K63" s="3">
        <f t="shared" si="31"/>
        <v>0.1112461796800216</v>
      </c>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0.xml>��< ? x m l   v e r s i o n = " 1 . 0 "   e n c o d i n g = " U T F - 1 6 " ? > < G e m i n i   x m l n s = " h t t p : / / g e m i n i / p i v o t c u s t o m i z a t i o n / f 0 2 b 2 4 f 9 - d d e 4 - 4 5 3 7 - 9 5 e 2 - 3 d 9 3 b 6 2 0 9 3 3 d " > < C u s t o m C o n t e n t > < ! [ C D A T A [ < ? x m l   v e r s i o n = " 1 . 0 "   e n c o d i n g = " u t f - 1 6 " ? > < S e t t i n g s > < H S l i c e r s S h a p e > 0 ; 0 ; 0 ; 0 < / H S l i c e r s S h a p e > < V S l i c e r s S h a p e > 0 ; 0 ; 0 ; 0 < / V S l i c e r s S h a p e > < S l i c e r S h e e t N a m e > S u m m a r y   P i v o t < / S l i c e r S h e e t N a m e > < S A H o s t H a s h > 2 1 2 7 2 4 9 8 1 0 < / S A H o s t H a s h > < G e m i n i F i e l d L i s t V i s i b l e > T r u e < / G e m i n i F i e l d L i s t V i s i b l e > < / S e t t i n g s > ] ] > < / C u s t o m C o n t e n t > < / G e m i n i > 
</file>

<file path=customXml/item100.xml>��< ? x m l   v e r s i o n = " 1 . 0 "   e n c o d i n g = " U T F - 1 6 " ? > < G e m i n i   x m l n s = " h t t p : / / g e m i n i / p i v o t c u s t o m i z a t i o n / e 5 d 4 c e f 4 - 9 7 9 6 - 4 7 5 d - b 8 f 0 - 9 6 1 6 3 f 2 f d 9 4 e " > < C u s t o m C o n t e n t > < ! [ C D A T A [ < ? x m l   v e r s i o n = " 1 . 0 "   e n c o d i n g = " u t f - 1 6 " ? > < S e t t i n g s > < H S l i c e r s S h a p e > 0 ; 0 ; 0 ; 0 < / H S l i c e r s S h a p e > < V S l i c e r s S h a p e > 0 ; 0 ; 0 ; 0 < / V S l i c e r s S h a p e > < S l i c e r S h e e t N a m e > E l e c t r i c i t y   O n   G r i d < / S l i c e r S h e e t N a m e > < S A H o s t H a s h > 1 7 9 4 8 8 4 7 8 < / S A H o s t H a s h > < G e m i n i F i e l d L i s t V i s i b l e > T r u e < / G e m i n i F i e l d L i s t V i s i b l e > < / S e t t i n g s > ] ] > < / C u s t o m C o n t e n t > < / G e m i n i > 
</file>

<file path=customXml/item101.xml>��< ? x m l   v e r s i o n = " 1 . 0 "   e n c o d i n g = " U T F - 1 6 " ? > < G e m i n i   x m l n s = " h t t p : / / g e m i n i / p i v o t c u s t o m i z a t i o n / 2 3 d c 1 5 0 0 - 0 9 d 5 - 4 b a c - 9 c 6 0 - 9 f c 2 a b 8 f 9 b e e " > < C u s t o m C o n t e n t > < ! [ C D A T A [ < ? x m l   v e r s i o n = " 1 . 0 "   e n c o d i n g = " u t f - 1 6 " ? > < S e t t i n g s > < H S l i c e r s S h a p e > 0 ; 0 ; 0 ; 0 < / H S l i c e r s S h a p e > < V S l i c e r s S h a p e > 0 ; 0 ; 0 ; 0 < / V S l i c e r s S h a p e > < S l i c e r S h e e t N a m e > M a i n s   G a s < / S l i c e r S h e e t N a m e > < S A H o s t H a s h > 6 7 2 8 8 9 4 3 2 < / S A H o s t H a s h > < G e m i n i F i e l d L i s t V i s i b l e > T r u e < / G e m i n i F i e l d L i s t V i s i b l e > < / S e t t i n g s > ] ] > < / C u s t o m C o n t e n t > < / G e m i n i > 
</file>

<file path=customXml/item102.xml>��< ? x m l   v e r s i o n = " 1 . 0 "   e n c o d i n g = " U T F - 1 6 " ? > < G e m i n i   x m l n s = " h t t p : / / g e m i n i / p i v o t c u s t o m i z a t i o n / S a n d b o x N o n E m p t y " > < C u s t o m C o n t e n t > < ! [ C D A T A [ 1 ] ] > < / C u s t o m C o n t e n t > < / G e m i n i > 
</file>

<file path=customXml/item103.xml>��< ? x m l   v e r s i o n = " 1 . 0 "   e n c o d i n g = " U T F - 1 6 " ? > < G e m i n i   x m l n s = " h t t p : / / g e m i n i / p i v o t c u s t o m i z a t i o n / a 0 1 0 3 7 8 e - 4 c 3 9 - 4 0 c d - 8 6 6 1 - c b 7 3 d 4 c 8 3 4 f e " > < C u s t o m C o n t e n t > < ! [ C D A T A [ < ? x m l   v e r s i o n = " 1 . 0 "   e n c o d i n g = " u t f - 1 6 " ? > < S e t t i n g s > < H S l i c e r s S h a p e > 0 ; 0 ; 0 ; 0 < / H S l i c e r s S h a p e > < V S l i c e r s S h a p e > 0 ; 0 ; 0 ; 0 < / V S l i c e r s S h a p e > < S l i c e r S h e e t N a m e > E l e c t r i c i t y   O n   G r i d < / S l i c e r S h e e t N a m e > < S A H o s t H a s h > 6 5 4 1 8 7 6 0 < / S A H o s t H a s h > < G e m i n i F i e l d L i s t V i s i b l e > T r u e < / G e m i n i F i e l d L i s t V i s i b l e > < / S e t t i n g s > ] ] > < / C u s t o m C o n t e n t > < / G e m i n i > 
</file>

<file path=customXml/item104.xml>��< ? x m l   v e r s i o n = " 1 . 0 "   e n c o d i n g = " U T F - 1 6 " ? > < G e m i n i   x m l n s = " h t t p : / / g e m i n i / p i v o t c u s t o m i z a t i o n / b 8 0 0 5 b d c - f 2 7 a - 4 5 4 9 - a 2 b 3 - a 9 8 a 9 0 a b 6 c b b " > < C u s t o m C o n t e n t > < ! [ C D A T A [ < ? x m l   v e r s i o n = " 1 . 0 "   e n c o d i n g = " u t f - 1 6 " ? > < S e t t i n g s > < H S l i c e r s S h a p e > 0 ; 0 ; 0 ; 0 < / H S l i c e r s S h a p e > < V S l i c e r s S h a p e > 0 ; 0 ; 0 ; 0 < / V S l i c e r s S h a p e > < S l i c e r S h e e t N a m e > S u m m a r y   P i v o t < / S l i c e r S h e e t N a m e > < S A H o s t H a s h > 1 1 3 1 2 7 3 2 5 8 < / S A H o s t H a s h > < G e m i n i F i e l d L i s t V i s i b l e > T r u e < / G e m i n i F i e l d L i s t V i s i b l e > < / S e t t i n g s > ] ] > < / C u s t o m C o n t e n t > < / G e m i n i > 
</file>

<file path=customXml/item105.xml>��< ? x m l   v e r s i o n = " 1 . 0 "   e n c o d i n g = " U T F - 1 6 " ? > < G e m i n i   x m l n s = " h t t p : / / g e m i n i / p i v o t c u s t o m i z a t i o n / 5 8 6 3 e 6 b a - 6 7 3 3 - 4 8 7 8 - 9 2 f d - 1 e 4 7 6 4 e e e f 6 3 " > < C u s t o m C o n t e n t > < ! [ C D A T A [ < ? x m l   v e r s i o n = " 1 . 0 "   e n c o d i n g = " u t f - 1 6 " ? > < S e t t i n g s > < H S l i c e r s S h a p e > 0 ; 0 ; 0 ; 0 < / H S l i c e r s S h a p e > < V S l i c e r s S h a p e > 0 ; 0 ; 0 ; 0 < / V S l i c e r s S h a p e > < S l i c e r S h e e t N a m e > S u m m a r y   P i v o t < / S l i c e r S h e e t N a m e > < S A H o s t H a s h > 7 5 2 6 7 1 2 3 0 < / S A H o s t H a s h > < G e m i n i F i e l d L i s t V i s i b l e > T r u e < / G e m i n i F i e l d L i s t V i s i b l e > < / S e t t i n g s > ] ] > < / C u s t o m C o n t e n t > < / G e m i n i > 
</file>

<file path=customXml/item106.xml>��< ? x m l   v e r s i o n = " 1 . 0 "   e n c o d i n g = " U T F - 1 6 " ? > < G e m i n i   x m l n s = " h t t p : / / g e m i n i / p i v o t c u s t o m i z a t i o n / T a b l e X M L _ R a n g e - 9 0 5 2 1 0 8 2 - e d 0 a - 4 e 6 d - 9 1 5 3 - 0 1 a 7 8 f a b 7 a 3 8 " > < C u s t o m C o n t e n t > < ! [ C D A T A [ < T a b l e W i d g e t G r i d S e r i a l i z a t i o n   x m l n s : x s i = " h t t p : / / w w w . w 3 . o r g / 2 0 0 1 / X M L S c h e m a - i n s t a n c e "   x m l n s : x s d = " h t t p : / / w w w . w 3 . o r g / 2 0 0 1 / X M L S c h e m a " > < C o l u m n S u g g e s t e d T y p e > < i t e m > < k e y > < s t r i n g > C l e a n   Q u a n t i t y < / s t r i n g > < / k e y > < v a l u e > < s t r i n g > E m p t y < / s t r i n g > < / v a l u e > < / i t e m > < / C o l u m n S u g g e s t e d T y p e > < C o l u m n F o r m a t   / > < C o l u m n A c c u r a c y   / > < C o l u m n C u r r e n c y S y m b o l   / > < C o l u m n P o s i t i v e P a t t e r n   / > < C o l u m n N e g a t i v e P a t t e r n   / > < C o l u m n W i d t h s > < i t e m > < k e y > < s t r i n g > R e p o r t i n g   A l i a s < / s t r i n g > < / k e y > < v a l u e > < i n t > 1 2 9 < / i n t > < / v a l u e > < / i t e m > < i t e m > < k e y > < s t r i n g > S o u r c e   N a m e < / s t r i n g > < / k e y > < v a l u e > < i n t > 1 1 8 < / i n t > < / v a l u e > < / i t e m > < i t e m > < k e y > < s t r i n g > A c t i v i t y   T y p e < / s t r i n g > < / k e y > < v a l u e > < i n t > 1 1 4 < / i n t > < / v a l u e > < / i t e m > < i t e m > < k e y > < s t r i n g > A c t i v i t y   T y p e   C o n t e x t < / s t r i n g > < / k e y > < v a l u e > < i n t > 1 6 6 < / i n t > < / v a l u e > < / i t e m > < i t e m > < k e y > < s t r i n g > E n t i t y < / s t r i n g > < / k e y > < v a l u e > < i n t > 7 1 < / i n t > < / v a l u e > < / i t e m > < i t e m > < k e y > < s t r i n g > S t a t e < / s t r i n g > < / k e y > < v a l u e > < i n t > 6 8 < / i n t > < / v a l u e > < / i t e m > < i t e m > < k e y > < s t r i n g > U o M < / s t r i n g > < / k e y > < v a l u e > < i n t > 6 5 < / i n t > < / v a l u e > < / i t e m > < i t e m > < k e y > < s t r i n g > E n e r g y   c o n t e n t   f a c t o r < / s t r i n g > < / k e y > < v a l u e > < i n t > 1 6 8 < / i n t > < / v a l u e > < / i t e m > < i t e m > < k e y > < s t r i n g > E F   U n i t < / s t r i n g > < / k e y > < v a l u e > < i n t > 7 9 < / i n t > < / v a l u e > < / i t e m > < i t e m > < k e y > < s t r i n g > P r i m a r y   C r i t e r i o n < / s t r i n g > < / k e y > < v a l u e > < i n t > 1 4 2 < / i n t > < / v a l u e > < / i t e m > < i t e m > < k e y > < s t r i n g > S c o p e   2   E m i s s i o n   f a c t o r < / s t r i n g > < / k e y > < v a l u e > < i n t > 1 8 0 < / i n t > < / v a l u e > < / i t e m > < i t e m > < k e y > < s t r i n g > S c o p e   3   E m i s s i o n   f a c t o r < / s t r i n g > < / k e y > < v a l u e > < i n t > 1 8 0 < / i n t > < / v a l u e > < / i t e m > < i t e m > < k e y > < s t r i n g > S u m   o f   C o n s u m p t i o n   Q u a n t i t y < / s t r i n g > < / k e y > < v a l u e > < i n t > 2 2 0 < / i n t > < / v a l u e > < / i t e m > < i t e m > < k e y > < s t r i n g > T o t a l   G J < / s t r i n g > < / k e y > < v a l u e > < i n t > 8 3 < / i n t > < / v a l u e > < / i t e m > < i t e m > < k e y > < s t r i n g > S c o p e   1   k g   C O 2 - e < / s t r i n g > < / k e y > < v a l u e > < i n t > 1 4 1 < / i n t > < / v a l u e > < / i t e m > < i t e m > < k e y > < s t r i n g > S c o p e   2   k g   C O 2 - e < / s t r i n g > < / k e y > < v a l u e > < i n t > 1 4 1 < / i n t > < / v a l u e > < / i t e m > < i t e m > < k e y > < s t r i n g > S c o p e   3   k g   C O 2 - e < / s t r i n g > < / k e y > < v a l u e > < i n t > 1 4 1 < / i n t > < / v a l u e > < / i t e m > < i t e m > < k e y > < s t r i n g > T o t a l   E m i s s i o n s < / s t r i n g > < / k e y > < v a l u e > < i n t > 1 3 0 < / i n t > < / v a l u e > < / i t e m > < i t e m > < k e y > < s t r i n g > C l e a n   Q u a n t i t y < / s t r i n g > < / k e y > < v a l u e > < i n t > 1 2 7 < / i n t > < / v a l u e > < / i t e m > < / C o l u m n W i d t h s > < C o l u m n D i s p l a y I n d e x > < i t e m > < k e y > < s t r i n g > R e p o r t i n g   A l i a s < / s t r i n g > < / k e y > < v a l u e > < i n t > 0 < / i n t > < / v a l u e > < / i t e m > < i t e m > < k e y > < s t r i n g > S o u r c e   N a m e < / s t r i n g > < / k e y > < v a l u e > < i n t > 1 < / i n t > < / v a l u e > < / i t e m > < i t e m > < k e y > < s t r i n g > A c t i v i t y   T y p e < / s t r i n g > < / k e y > < v a l u e > < i n t > 2 < / i n t > < / v a l u e > < / i t e m > < i t e m > < k e y > < s t r i n g > A c t i v i t y   T y p e   C o n t e x t < / s t r i n g > < / k e y > < v a l u e > < i n t > 3 < / i n t > < / v a l u e > < / i t e m > < i t e m > < k e y > < s t r i n g > E n t i t y < / s t r i n g > < / k e y > < v a l u e > < i n t > 4 < / i n t > < / v a l u e > < / i t e m > < i t e m > < k e y > < s t r i n g > S t a t e < / s t r i n g > < / k e y > < v a l u e > < i n t > 5 < / i n t > < / v a l u e > < / i t e m > < i t e m > < k e y > < s t r i n g > U o M < / s t r i n g > < / k e y > < v a l u e > < i n t > 6 < / i n t > < / v a l u e > < / i t e m > < i t e m > < k e y > < s t r i n g > E n e r g y   c o n t e n t   f a c t o r < / s t r i n g > < / k e y > < v a l u e > < i n t > 7 < / i n t > < / v a l u e > < / i t e m > < i t e m > < k e y > < s t r i n g > E F   U n i t < / s t r i n g > < / k e y > < v a l u e > < i n t > 8 < / i n t > < / v a l u e > < / i t e m > < i t e m > < k e y > < s t r i n g > P r i m a r y   C r i t e r i o n < / s t r i n g > < / k e y > < v a l u e > < i n t > 9 < / i n t > < / v a l u e > < / i t e m > < i t e m > < k e y > < s t r i n g > S c o p e   2   E m i s s i o n   f a c t o r < / s t r i n g > < / k e y > < v a l u e > < i n t > 1 0 < / i n t > < / v a l u e > < / i t e m > < i t e m > < k e y > < s t r i n g > S c o p e   3   E m i s s i o n   f a c t o r < / s t r i n g > < / k e y > < v a l u e > < i n t > 1 1 < / i n t > < / v a l u e > < / i t e m > < i t e m > < k e y > < s t r i n g > S u m   o f   C o n s u m p t i o n   Q u a n t i t y < / s t r i n g > < / k e y > < v a l u e > < i n t > 1 2 < / i n t > < / v a l u e > < / i t e m > < i t e m > < k e y > < s t r i n g > T o t a l   G J < / s t r i n g > < / k e y > < v a l u e > < i n t > 1 3 < / i n t > < / v a l u e > < / i t e m > < i t e m > < k e y > < s t r i n g > S c o p e   1   k g   C O 2 - e < / s t r i n g > < / k e y > < v a l u e > < i n t > 1 4 < / i n t > < / v a l u e > < / i t e m > < i t e m > < k e y > < s t r i n g > S c o p e   2   k g   C O 2 - e < / s t r i n g > < / k e y > < v a l u e > < i n t > 1 5 < / i n t > < / v a l u e > < / i t e m > < i t e m > < k e y > < s t r i n g > S c o p e   3   k g   C O 2 - e < / s t r i n g > < / k e y > < v a l u e > < i n t > 1 6 < / i n t > < / v a l u e > < / i t e m > < i t e m > < k e y > < s t r i n g > T o t a l   E m i s s i o n s < / s t r i n g > < / k e y > < v a l u e > < i n t > 1 7 < / i n t > < / v a l u e > < / i t e m > < i t e m > < k e y > < s t r i n g > C l e a n   Q u a n t i t y < / s t r i n g > < / k e y > < v a l u e > < i n t > 1 8 < / i n t > < / v a l u e > < / i t e m > < / C o l u m n D i s p l a y I n d e x > < C o l u m n F r o z e n   / > < C o l u m n C h e c k e d   / > < C o l u m n F i l t e r   / > < S e l e c t i o n F i l t e r   / > < F i l t e r P a r a m e t e r s   / > < I s S o r t D e s c e n d i n g > f a l s e < / I s S o r t D e s c e n d i n g > < / T a b l e W i d g e t G r i d S e r i a l i z a t i o n > ] ] > < / C u s t o m C o n t e n t > < / G e m i n i > 
</file>

<file path=customXml/item107.xml>��< ? x m l   v e r s i o n = " 1 . 0 "   e n c o d i n g = " U T F - 1 6 " ? > < G e m i n i   x m l n s = " h t t p : / / g e m i n i / p i v o t c u s t o m i z a t i o n / R e l a t i o n s h i p A u t o D e t e c t i o n E n a b l e d " > < C u s t o m C o n t e n t > < ! [ C D A T A [ T r u e ] ] > < / C u s t o m C o n t e n t > < / G e m i n i > 
</file>

<file path=customXml/item108.xml>��< ? x m l   v e r s i o n = " 1 . 0 "   e n c o d i n g = " U T F - 1 6 " ? > < G e m i n i   x m l n s = " h t t p : / / g e m i n i / p i v o t c u s t o m i z a t i o n / d 6 1 f 7 9 e 0 - 0 3 e 1 - 4 f 3 9 - b 8 a a - d 3 8 7 5 b d 9 2 e 2 e " > < C u s t o m C o n t e n t > < ! [ C D A T A [ < ? x m l   v e r s i o n = " 1 . 0 "   e n c o d i n g = " u t f - 1 6 " ? > < S e t t i n g s > < H S l i c e r s S h a p e > 0 ; 0 ; 0 ; 0 < / H S l i c e r s S h a p e > < V S l i c e r s S h a p e > 0 ; 0 ; 0 ; 0 < / V S l i c e r s S h a p e > < S l i c e r S h e e t N a m e > S u m m a r y   P i v o t < / S l i c e r S h e e t N a m e > < S A H o s t H a s h > 9 4 5 3 9 9 7 7 < / S A H o s t H a s h > < G e m i n i F i e l d L i s t V i s i b l e > T r u e < / G e m i n i F i e l d L i s t V i s i b l e > < / S e t t i n g s > ] ] > < / C u s t o m C o n t e n t > < / G e m i n i > 
</file>

<file path=customXml/item109.xml>��< ? x m l   v e r s i o n = " 1 . 0 "   e n c o d i n g = " U T F - 1 6 " ? > < G e m i n i   x m l n s = " h t t p : / / g e m i n i / p i v o t c u s t o m i z a t i o n / T a b l e X M L _ L P _ F l e e t - 6 5 9 7 5 e e 9 - 2 b 3 5 - 4 d 2 7 - b e 5 c - e 0 4 9 f c c f 8 9 0 8 " > < 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E n t i t y & l t ; / s t r i n g & g t ; & l t ; / k e y & g t ; & l t ; v a l u e & g t ; & l t ; i n t & g t ; 7 1 & l t ; / i n t & g t ; & l t ; / v a l u e & g t ; & l t ; / i t e m & g t ; & l t ; i t e m & g t ; & l t ; k e y & g t ; & l t ; s t r i n g & g t ; F u e l & l t ; / s t r i n g & g t ; & l t ; / k e y & g t ; & l t ; v a l u e & g t ; & l t ; i n t & g t ; 6 3 & l t ; / i n t & g t ; & l t ; / v a l u e & g t ; & l t ; / i t e m & g t ; & l t ; i t e m & g t ; & l t ; k e y & g t ; & l t ; s t r i n g & g t ; S t a t e & l t ; / s t r i n g & g t ; & l t ; / k e y & g t ; & l t ; v a l u e & g t ; & l t ; i n t & g t ; 6 8 & l t ; / i n t & g t ; & l t ; / v a l u e & g t ; & l t ; / i t e m & g t ; & l t ; i t e m & g t ; & l t ; k e y & g t ; & l t ; s t r i n g & g t ; C o n s u m p t i o n   Q u a n t i t y   ( L ) & l t ; / s t r i n g & g t ; & l t ; / k e y & g t ; & l t ; v a l u e & g t ; & l t ; i n t & g t ; 1 9 3 & l t ; / i n t & g t ; & l t ; / v a l u e & g t ; & l t ; / i t e m & g t ; & l t ; i t e m & g t ; & l t ; k e y & g t ; & l t ; s t r i n g & g t ; C o n s u m p t i o n   U n i t s & l t ; / s t r i n g & g t ; & l t ; / k e y & g t ; & l t ; v a l u e & g t ; & l t ; i n t & g t ; 1 5 3 & l t ; / i n t & g t ; & l t ; / v a l u e & g t ; & l t ; / i t e m & g t ; & l t ; i t e m & g t ; & l t ; k e y & g t ; & l t ; s t r i n g & g t ; C o n s u m p t i o n   Q u a n t i t y & l t ; / s t r i n g & g t ; & l t ; / k e y & g t ; & l t ; v a l u e & g t ; & l t ; i n t & g t ; 1 7 4 & l t ; / i n t & g t ; & l t ; / v a l u e & g t ; & l t ; / i t e m & g t ; & l t ; i t e m & g t ; & l t ; k e y & g t ; & l t ; s t r i n g & g t ; T o t a l   G J & l t ; / s t r i n g & g t ; & l t ; / k e y & g t ; & l t ; v a l u e & g t ; & l t ; i n t & g t ; 1 3 5 & l t ; / i n t & g t ; & l t ; / v a l u e & g t ; & l t ; / i t e m & g t ; & l t ; i t e m & g t ; & l t ; k e y & g t ; & l t ; s t r i n g & g t ; S c o p e 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E n t i t y & l t ; / s t r i n g & g t ; & l t ; / k e y & g t ; & l t ; v a l u e & g t ; & l t ; i n t & g t ; 1 & l t ; / i n t & g t ; & l t ; / v a l u e & g t ; & l t ; / i t e m & g t ; & l t ; i t e m & g t ; & l t ; k e y & g t ; & l t ; s t r i n g & g t ; F u e l & l t ; / s t r i n g & g t ; & l t ; / k e y & g t ; & l t ; v a l u e & g t ; & l t ; i n t & g t ; 2 & l t ; / i n t & g t ; & l t ; / v a l u e & g t ; & l t ; / i t e m & g t ; & l t ; i t e m & g t ; & l t ; k e y & g t ; & l t ; s t r i n g & g t ; S t a t e & l t ; / s t r i n g & g t ; & l t ; / k e y & g t ; & l t ; v a l u e & g t ; & l t ; i n t & g t ; 3 & l t ; / i n t & g t ; & l t ; / v a l u e & g t ; & l t ; / i t e m & g t ; & l t ; i t e m & g t ; & l t ; k e y & g t ; & l t ; s t r i n g & g t ; C o n s u m p t i o n   Q u a n t i t y   ( L ) & l t ; / s t r i n g & g t ; & l t ; / k e y & g t ; & l t ; v a l u e & g t ; & l t ; i n t & g t ; 5 & l t ; / i n t & g t ; & l t ; / v a l u e & g t ; & l t ; / i t e m & g t ; & l t ; i t e m & g t ; & l t ; k e y & g t ; & l t ; s t r i n g & g t ; C o n s u m p t i o n   U n i t s & l t ; / s t r i n g & g t ; & l t ; / k e y & g t ; & l t ; v a l u e & g t ; & l t ; i n t & g t ; 4 & l t ; / i n t & g t ; & l t ; / v a l u e & g t ; & l t ; / i t e m & g t ; & l t ; i t e m & g t ; & l t ; k e y & g t ; & l t ; s t r i n g & g t ; C o n s u m p t i o n   Q u a n t i t y & l t ; / s t r i n g & g t ; & l t ; / k e y & g t ; & l t ; v a l u e & g t ; & l t ; i n t & g t ; 6 & l t ; / i n t & g t ; & l t ; / v a l u e & g t ; & l t ; / i t e m & g t ; & l t ; i t e m & g t ; & l t ; k e y & g t ; & l t ; s t r i n g & g t ; T o t a l   G J & l t ; / s t r i n g & g t ; & l t ; / k e y & g t ; & l t ; v a l u e & g t ; & l t ; i n t & g t ; 7 & l t ; / i n t & g t ; & l t ; / v a l u e & g t ; & l t ; / i t e m & g t ; & l t ; i t e m & g t ; & l t ; k e y & g t ; & l t ; s t r i n g & g t ; S c o p e   1   k g   C O 2 - e & l t ; / s t r i n g & g t ; & l t ; / k e y & g t ; & l t ; v a l u e & g t ; & l t ; i n t & g t ; 8 & l t ; / i n t & g t ; & l t ; / v a l u e & g t ; & l t ; / i t e m & g t ; & l t ; i t e m & g t ; & l t ; k e y & g t ; & l t ; s t r i n g & g t ; S c o p e   2   k g   C O 2 - e & l t ; / s t r i n g & g t ; & l t ; / k e y & g t ; & l t ; v a l u e & g t ; & l t ; i n t & g t ; 9 & l t ; / i n t & g t ; & l t ; / v a l u e & g t ; & l t ; / i t e m & g t ; & l t ; i t e m & g t ; & l t ; k e y & g t ; & l t ; s t r i n g & g t ; S c o p e   3   k g   C O 2 - e & l t ; / s t r i n g & g t ; & l t ; / k e y & g t ; & l t ; v a l u e & g t ; & l t ; i n t & g t ; 1 0 & l t ; / i n t & g t ; & l t ; / v a l u e & g t ; & l t ; / i t e m & g t ; & l t ; i t e m & g t ; & l t ; k e y & g t ; & l t ; s t r i n g & g t ; T o t a l   E m i s s i o n s & l t ; / s t r i n g & g t ; & l t ; / k e y & g t ; & l t ; v a l u e & g t ; & l t ; i n t & g t ; 1 1 & 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a 9 6 4 c 0 9 5 - b f d 5 - 4 0 a f - a 6 8 9 - 0 0 a c 0 8 5 5 d e 3 c " > < C u s t o m C o n t e n t > < ! [ C D A T A [ < ? x m l   v e r s i o n = " 1 . 0 "   e n c o d i n g = " u t f - 1 6 " ? > < S e t t i n g s > < H S l i c e r s S h a p e > 0 ; 0 ; 0 ; 0 < / H S l i c e r s S h a p e > < V S l i c e r s S h a p e > 0 ; 0 ; 0 ; 0 < / V S l i c e r s S h a p e > < S l i c e r S h e e t N a m e > S t a t i o n a r y   -   O t h e r < / S l i c e r S h e e t N a m e > < S A H o s t H a s h > 8 3 7 5 8 1 7 0 8 < / S A H o s t H a s h > < G e m i n i F i e l d L i s t V i s i b l e > T r u e < / G e m i n i F i e l d L i s t V i s i b l e > < / S e t t i n g s > ] ] > < / C u s t o m C o n t e n t > < / G e m i n i > 
</file>

<file path=customXml/item110.xml>��< ? x m l   v e r s i o n = " 1 . 0 "   e n c o d i n g = " U T F - 1 6 " ? > < G e m i n i   x m l n s = " h t t p : / / g e m i n i / p i v o t c u s t o m i z a t i o n / 4 c 0 9 4 f d c - f 2 a 0 - 4 e f 2 - b a f 8 - d b e c f 7 1 c 3 c d f " > < C u s t o m C o n t e n t > < ! [ C D A T A [ < ? x m l   v e r s i o n = " 1 . 0 "   e n c o d i n g = " u t f - 1 6 " ? > < S e t t i n g s > < H S l i c e r s S h a p e > 0 ; 0 ; 0 ; 0 < / H S l i c e r s S h a p e > < V S l i c e r s S h a p e > 0 ; 0 ; 0 ; 0 < / V S l i c e r s S h a p e > < S l i c e r S h e e t N a m e > M a i n s   G a s < / S l i c e r S h e e t N a m e > < S A H o s t H a s h > 1 0 3 5 2 9 9 1 6 8 < / S A H o s t H a s h > < G e m i n i F i e l d L i s t V i s i b l e > T r u e < / G e m i n i F i e l d L i s t V i s i b l e > < / S e t t i n g s > ] ] > < / C u s t o m C o n t e n t > < / G e m i n i > 
</file>

<file path=customXml/item111.xml>��< ? x m l   v e r s i o n = " 1 . 0 "   e n c o d i n g = " U T F - 1 6 " ? > < G e m i n i   x m l n s = " h t t p : / / g e m i n i / p i v o t c u s t o m i z a t i o n / 1 9 7 c 5 6 1 c - 3 b 9 7 - 4 8 a f - b 7 7 b - 3 7 6 d 8 2 7 0 9 c 8 b " > < C u s t o m C o n t e n t > < ! [ C D A T A [ < ? x m l   v e r s i o n = " 1 . 0 "   e n c o d i n g = " u t f - 1 6 " ? > < S e t t i n g s > < H S l i c e r s S h a p e > 0 ; 0 ; 0 ; 0 < / H S l i c e r s S h a p e > < V S l i c e r s S h a p e > 0 ; 0 ; 0 ; 0 < / V S l i c e r s S h a p e > < S l i c e r S h e e t N a m e > L e v e l   3   E E R S   E n t r y < / S l i c e r S h e e t N a m e > < S A H o s t H a s h > 1 7 1 7 5 6 1 8 4 5 < / S A H o s t H a s h > < G e m i n i F i e l d L i s t V i s i b l e > T r u e < / G e m i n i F i e l d L i s t V i s i b l e > < / S e t t i n g s > ] ] > < / C u s t o m C o n t e n t > < / G e m i n i > 
</file>

<file path=customXml/item112.xml>��< ? x m l   v e r s i o n = " 1 . 0 "   e n c o d i n g = " U T F - 1 6 " ? > < G e m i n i   x m l n s = " h t t p : / / g e m i n i / p i v o t c u s t o m i z a t i o n / 1 8 e c 4 2 9 7 - 2 d f c - 4 7 c 0 - b 2 e 8 - 1 a 5 6 c 5 f 0 5 8 1 8 " > < C u s t o m C o n t e n t > < ! [ C D A T A [ < ? x m l   v e r s i o n = " 1 . 0 "   e n c o d i n g = " u t f - 1 6 " ? > < S e t t i n g s > < H S l i c e r s S h a p e > 0 ; 0 ; 0 ; 0 < / H S l i c e r s S h a p e > < V S l i c e r s S h a p e > 0 ; 0 ; 0 ; 0 < / V S l i c e r s S h a p e > < S l i c e r S h e e t N a m e > L e v e l   1 S u m m a r y   ( S o u r c e A c t i v i t y ) < / S l i c e r S h e e t N a m e > < S A H o s t H a s h > 1 6 0 6 1 4 4 9 1 6 < / S A H o s t H a s h > < G e m i n i F i e l d L i s t V i s i b l e > T r u e < / G e m i n i F i e l d L i s t V i s i b l e > < / S e t t i n g s > ] ] > < / C u s t o m C o n t e n t > < / G e m i n i > 
</file>

<file path=customXml/item12.xml>��< ? x m l   v e r s i o n = " 1 . 0 "   e n c o d i n g = " U T F - 1 6 " ? > < G e m i n i   x m l n s = " h t t p : / / g e m i n i / p i v o t c u s t o m i z a t i o n / 5 9 5 5 5 9 0 1 - 3 d a b - 4 a d a - a 1 9 5 - 5 1 a 7 1 e f 4 c 1 4 6 " > < C u s t o m C o n t e n t > < ! [ C D A T A [ < ? x m l   v e r s i o n = " 1 . 0 "   e n c o d i n g = " u t f - 1 6 " ? > < S e t t i n g s > < H S l i c e r s S h a p e > 0 ; 0 ; 0 ; 0 < / H S l i c e r s S h a p e > < V S l i c e r s S h a p e > 0 ; 0 ; 0 ; 0 < / V S l i c e r s S h a p e > < S l i c e r S h e e t N a m e > L e v e l   1 S u m m a r y   ( S o u r c e A c t i v i t y ) < / S l i c e r S h e e t N a m e > < S A H o s t H a s h > 3 9 3 6 1 2 8 0 2 < / S A H o s t H a s h > < G e m i n i F i e l d L i s t V i s i b l e > T r u e < / G e m i n i F i e l d L i s t V i s i b l e > < / S e t t i n g s > ] ] > < / C u s t o m C o n t e n t > < / G e m i n i > 
</file>

<file path=customXml/item13.xml>��< ? x m l   v e r s i o n = " 1 . 0 "   e n c o d i n g = " U T F - 1 6 " ? > < G e m i n i   x m l n s = " h t t p : / / g e m i n i / p i v o t c u s t o m i z a t i o n / d e 8 1 a 6 b f - 6 5 1 9 - 4 8 7 d - 8 7 6 2 - 5 a 1 e c 5 1 6 2 d 9 4 " > < C u s t o m C o n t e n t > < ! [ C D A T A [ < ? x m l   v e r s i o n = " 1 . 0 "   e n c o d i n g = " u t f - 1 6 " ? > < S e t t i n g s > < H S l i c e r s S h a p e > 0 ; 0 ; 0 ; 0 < / H S l i c e r s S h a p e > < V S l i c e r s S h a p e > 0 ; 0 ; 0 ; 0 < / V S l i c e r s S h a p e > < S l i c e r S h e e t N a m e > E l e c t r i c i t y   O n   G r i d < / S l i c e r S h e e t N a m e > < S A H o s t H a s h > 6 1 6 1 4 3 1 3 1 < / S A H o s t H a s h > < G e m i n i F i e l d L i s t V i s i b l e > T r u e < / G e m i n i F i e l d L i s t V i s i b l e > < / S e t t i n g s > ] ] > < / C u s t o m C o n t e n t > < / G e m i n i > 
</file>

<file path=customXml/item14.xml>��< ? x m l   v e r s i o n = " 1 . 0 "   e n c o d i n g = " U T F - 1 6 " ? > < G e m i n i   x m l n s = " h t t p : / / g e m i n i / p i v o t c u s t o m i z a t i o n / T a b l e X M L _ T a b l e 1 9 - e 1 f c 1 8 a 8 - 5 f a 9 - 4 5 7 2 - 8 6 d f - 7 b d f 7 7 7 7 e 2 4 e " > < 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U o M & l t ; / s t r i n g & g t ; & l t ; / k e y & g t ; & l t ; v a l u e & g t ; & l t ; i n t & g t ; 6 5 & l t ; / i n t & g t ; & l t ; / v a l u e & g t ; & l t ; / i t e m & g t ; & l t ; i t e m & g t ; & l t ; k e y & g t ; & l t ; s t r i n g & g t ; P r i m a r y   C r i t e r i o n & l t ; / s t r i n g & g t ; & l t ; / k e y & g t ; & l t ; v a l u e & g t ; & l t ; i n t & g t ; 1 4 2 & l t ; / i n t & g t ; & l t ; / v a l u e & g t ; & l t ; / i t e m & g t ; & l t ; i t e m & g t ; & l t ; k e y & g t ; & l t ; s t r i n g & g t ; C o n s u m p t i o n   Q u a n t i t y & l t ; / s t r i n g & g t ; & l t ; / k e y & g t ; & l t ; v a l u e & g t ; & l t ; i n t & g t ; 1 7 4 & l t ; / i n t & g t ; & l t ; / v a l u e & g t ; & l t ; / i t e m & g t ; & l t ; i t e m & g t ; & l t ; k e y & g t ; & l t ; s t r i n g & g t ; T o t a l   G J & l t ; / s t r i n g & g t ; & l t ; / k e y & g t ; & l t ; v a l u e & g t ; & l t ; i n t & g t ; 8 3 & l t ; / i n t & g t ; & l t ; / v a l u e & g t ; & l t ; / i t e m & g t ; & l t ; i t e m & g t ; & l t ; k e y & g t ; & l t ; s t r i n g & g t ; S c o p e 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U o M & l t ; / s t r i n g & g t ; & l t ; / k e y & g t ; & l t ; v a l u e & g t ; & l t ; i n t & g t ; 1 & l t ; / i n t & g t ; & l t ; / v a l u e & g t ; & l t ; / i t e m & g t ; & l t ; i t e m & g t ; & l t ; k e y & g t ; & l t ; s t r i n g & g t ; P r i m a r y   C r i t e r i o n & l t ; / s t r i n g & g t ; & l t ; / k e y & g t ; & l t ; v a l u e & g t ; & l t ; i n t & g t ; 2 & l t ; / i n t & g t ; & l t ; / v a l u e & g t ; & l t ; / i t e m & g t ; & l t ; i t e m & g t ; & l t ; k e y & g t ; & l t ; s t r i n g & g t ; C o n s u m p t i o n   Q u a n t i t y & l t ; / s t r i n g & g t ; & l t ; / k e y & g t ; & l t ; v a l u e & g t ; & l t ; i n t & g t ; 3 & l t ; / i n t & g t ; & l t ; / v a l u e & g t ; & l t ; / i t e m & g t ; & l t ; i t e m & g t ; & l t ; k e y & g t ; & l t ; s t r i n g & g t ; T o t a l   G J & l t ; / s t r i n g & g t ; & l t ; / k e y & g t ; & l t ; v a l u e & g t ; & l t ; i n t & g t ; 4 & l t ; / i n t & g t ; & l t ; / v a l u e & g t ; & l t ; / i t e m & g t ; & l t ; i t e m & g t ; & l t ; k e y & g t ; & l t ; s t r i n g & g t ; S c o p e   1   k g   C O 2 - e & l t ; / s t r i n g & g t ; & l t ; / k e y & g t ; & l t ; v a l u e & g t ; & l t ; i n t & g t ; 5 & l t ; / i n t & g t ; & l t ; / v a l u e & g t ; & l t ; / i t e m & g t ; & l t ; i t e m & g t ; & l t ; k e y & g t ; & l t ; s t r i n g & g t ; S c o p e   2   k g   C O 2 - e & l t ; / s t r i n g & g t ; & l t ; / k e y & g t ; & l t ; v a l u e & g t ; & l t ; i n t & g t ; 6 & l t ; / i n t & g t ; & l t ; / v a l u e & g t ; & l t ; / i t e m & g t ; & l t ; i t e m & g t ; & l t ; k e y & g t ; & l t ; s t r i n g & g t ; S c o p e   3   k g   C O 2 - e & l t ; / s t r i n g & g t ; & l t ; / k e y & g t ; & l t ; v a l u e & g t ; & l t ; i n t & g t ; 7 & l t ; / i n t & g t ; & l t ; / v a l u e & g t ; & l t ; / i t e m & g t ; & l t ; i t e m & g t ; & l t ; k e y & g t ; & l t ; s t r i n g & g t ; T o t a l   E m i s s i o n s & l t ; / s t r i n g & g t ; & l t ; / k e y & g t ; & l t ; v a l u e & g t ; & l t ; i n t & g t ; 8 & 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1 6 " ? > < G e m i n i   x m l n s = " h t t p : / / g e m i n i / p i v o t c u s t o m i z a t i o n / e 2 b e a 3 8 9 - 5 9 0 e - 4 a a 4 - 8 4 2 5 - 8 c d 4 b 4 9 b d c a 5 " > < C u s t o m C o n t e n t > < ! [ C D A T A [ < ? x m l   v e r s i o n = " 1 . 0 "   e n c o d i n g = " u t f - 1 6 " ? > < S e t t i n g s > < H S l i c e r s S h a p e > 0 ; 0 ; 0 ; 0 < / H S l i c e r s S h a p e > < V S l i c e r s S h a p e > 0 ; 0 ; 0 ; 0 < / V S l i c e r s S h a p e > < S l i c e r S h e e t N a m e > S t a t i o n a r y   -   O t h e r < / S l i c e r S h e e t N a m e > < S A H o s t H a s h > 2 1 4 6 7 5 3 2 8 1 < / S A H o s t H a s h > < G e m i n i F i e l d L i s t V i s i b l e > T r u e < / G e m i n i F i e l d L i s t V i s i b l e > < / S e t t i n g s > ] ] > < / C u s t o m C o n t e n t > < / G e m i n i > 
</file>

<file path=customXml/item16.xml>��< ? x m l   v e r s i o n = " 1 . 0 "   e n c o d i n g = " U T F - 1 6 " ? > < G e m i n i   x m l n s = " h t t p : / / g e m i n i / p i v o t c u s t o m i z a t i o n / c f 5 4 e 6 6 b - 0 7 c e - 4 9 b 0 - 8 4 b 6 - d 0 c 6 b a 9 e 0 2 2 9 " > < C u s t o m C o n t e n t > < ! [ C D A T A [ < ? x m l   v e r s i o n = " 1 . 0 "   e n c o d i n g = " u t f - 1 6 " ? > < S e t t i n g s > < H S l i c e r s S h a p e > 0 ; 0 ; 0 ; 0 < / H S l i c e r s S h a p e > < V S l i c e r s S h a p e > 0 ; 0 ; 0 ; 0 < / V S l i c e r s S h a p e > < S l i c e r S h e e t N a m e > S u m m a r y   P i v o t < / S l i c e r S h e e t N a m e > < S A H o s t H a s h > 1 0 0 0 3 7 3 1 0 3 < / S A H o s t H a s h > < G e m i n i F i e l d L i s t V i s i b l e > T r u e < / G e m i n i F i e l d L i s t V i s i b l e > < / S e t t i n g s > ] ] > < / C u s t o m C o n t e n t > < / G e m i n i > 
</file>

<file path=customXml/item17.xml>��< ? x m l   v e r s i o n = " 1 . 0 "   e n c o d i n g = " U T F - 1 6 " ? > < G e m i n i   x m l n s = " h t t p : / / g e m i n i / p i v o t c u s t o m i z a t i o n / T a b l e X M L _ P a p e r _ C S R - 7 f 3 9 0 a 5 7 - 9 5 d d - 4 2 d f - a b 3 f - 1 7 9 8 3 a 8 f 2 c 9 3 " > < C u s t o m C o n t e n t > < ! [ C D A T A [ < T a b l e W i d g e t G r i d S e r i a l i z a t i o n   x m l n s : x s i = " h t t p : / / w w w . w 3 . o r g / 2 0 0 1 / X M L S c h e m a - i n s t a n c e "   x m l n s : x s d = " h t t p : / / w w w . w 3 . o r g / 2 0 0 1 / X M L S c h e m a " > < C o l u m n S u g g e s t e d T y p e   / > < C o l u m n F o r m a t   / > < C o l u m n A c c u r a c y   / > < C o l u m n C u r r e n c y S y m b o l   / > < C o l u m n P o s i t i v e P a t t e r n   / > < C o l u m n N e g a t i v e P a t t e r n   / > < C o l u m n W i d t h s > < i t e m > < k e y > < s t r i n g > R e p o r t i n g   A l i a s < / s t r i n g > < / k e y > < v a l u e > < i n t > 1 2 9 < / i n t > < / v a l u e > < / i t e m > < i t e m > < k e y > < s t r i n g > t < / s t r i n g > < / k e y > < v a l u e > < i n t > 4 1 < / i n t > < / v a l u e > < / i t e m > < / C o l u m n W i d t h s > < C o l u m n D i s p l a y I n d e x > < i t e m > < k e y > < s t r i n g > R e p o r t i n g   A l i a s < / s t r i n g > < / k e y > < v a l u e > < i n t > 0 < / i n t > < / v a l u e > < / i t e m > < i t e m > < k e y > < s t r i n g > t < / s t r i n g > < / k e y > < v a l u e > < i n t > 1 < / i n t > < / v a l u e > < / i t e m > < / C o l u m n D i s p l a y I n d e x > < C o l u m n F r o z e n   / > < C o l u m n C h e c k e d   / > < C o l u m n F i l t e r   / > < S e l e c t i o n F i l t e r   / > < F i l t e r P a r a m e t e r s   / > < I s S o r t D e s c e n d i n g > f a l s e < / I s S o r t D e s c e n d i n g > < / T a b l e W i d g e t G r i d S e r i a l i z a t i o n > ] ] > < / C u s t o m C o n t e n t > < / G e m i n i > 
</file>

<file path=customXml/item18.xml><?xml version="1.0" encoding="utf-8"?>
<?mso-contentType ?>
<FormTemplates xmlns="http://schemas.microsoft.com/sharepoint/v3/contenttype/forms">
  <Display>DocumentLibraryForm</Display>
  <Edit>DocumentLibraryForm</Edit>
  <New>DocumentLibraryForm</New>
</FormTemplates>
</file>

<file path=customXml/item19.xml>��< ? x m l   v e r s i o n = " 1 . 0 "   e n c o d i n g = " U T F - 1 6 " ? > < G e m i n i   x m l n s = " h t t p : / / g e m i n i / p i v o t c u s t o m i z a t i o n / 2 7 8 9 b e f d - d 0 c 9 - 4 7 9 d - 8 a 2 7 - f 0 6 2 6 6 5 c 4 9 e 0 " > < C u s t o m C o n t e n t > < ! [ C D A T A [ < ? x m l   v e r s i o n = " 1 . 0 "   e n c o d i n g = " u t f - 1 6 " ? > < S e t t i n g s > < H S l i c e r s S h a p e > 0 ; 0 ; 0 ; 0 < / H S l i c e r s S h a p e > < V S l i c e r s S h a p e > 0 ; 0 ; 0 ; 0 < / V S l i c e r s S h a p e > < S l i c e r S h e e t N a m e > S h e e t 2 < / S l i c e r S h e e t N a m e > < S A H o s t H a s h > 4 7 3 3 4 5 4 2 9 < / S A H o s t H a s h > < G e m i n i F i e l d L i s t V i s i b l e > T r u e < / G e m i n i F i e l d L i s t V i s i b l e > < / S e t t i n g s > ] ] > < / C u s t o m C o n t e n t > < / G e m i n i > 
</file>

<file path=customXml/item2.xml>��< ? x m l   v e r s i o n = " 1 . 0 "   e n c o d i n g = " U T F - 1 6 " ? > < G e m i n i   x m l n s = " h t t p : / / g e m i n i / p i v o t c u s t o m i z a t i o n / a c 4 2 c a 4 1 - a 8 3 c - 4 c c 6 - 9 0 c 7 - 1 a 4 c 2 1 7 5 b 5 7 f " > < C u s t o m C o n t e n t > < ! [ C D A T A [ < ? x m l   v e r s i o n = " 1 . 0 "   e n c o d i n g = " u t f - 1 6 " ? > < S e t t i n g s > < H S l i c e r s S h a p e > 0 ; 0 ; 0 ; 0 < / H S l i c e r s S h a p e > < V S l i c e r s S h a p e > 0 ; 0 ; 0 ; 0 < / V S l i c e r s S h a p e > < S l i c e r S h e e t N a m e > S u m m a r y   P i v o t < / S l i c e r S h e e t N a m e > < S A H o s t H a s h > 6 7 2 6 6 6 8 2 2 < / S A H o s t H a s h > < G e m i n i F i e l d L i s t V i s i b l e > T r u e < / G e m i n i F i e l d L i s t V i s i b l e > < / S e t t i n g s > ] ] > < / C u s t o m C o n t e n t > < / G e m i n i > 
</file>

<file path=customXml/item20.xml>��< ? x m l   v e r s i o n = " 1 . 0 "   e n c o d i n g = " U T F - 1 6 " ? > < G e m i n i   x m l n s = " h t t p : / / g e m i n i / p i v o t c u s t o m i z a t i o n / T a b l e X M L _ R a n g e - a e 1 a 8 b b d - 7 2 0 e - 4 1 8 5 - b e a 0 - 7 4 2 8 0 a 8 d 4 2 c 9 " > < C u s t o m C o n t e n t > < ! [ C D A T A [ < T a b l e W i d g e t G r i d S e r i a l i z a t i o n   x m l n s : x s i = " h t t p : / / w w w . w 3 . o r g / 2 0 0 1 / X M L S c h e m a - i n s t a n c e "   x m l n s : x s d = " h t t p : / / w w w . w 3 . o r g / 2 0 0 1 / X M L S c h e m a " > < C o l u m n S u g g e s t e d T y p e > < i t e m > < k e y > < s t r i n g > C l e a n   Q u a n t i t y < / s t r i n g > < / k e y > < v a l u e > < s t r i n g > E m p t y < / s t r i n g > < / v a l u e > < / i t e m > < / C o l u m n S u g g e s t e d T y p e > < C o l u m n F o r m a t   / > < C o l u m n A c c u r a c y   / > < C o l u m n C u r r e n c y S y m b o l   / > < C o l u m n P o s i t i v e P a t t e r n   / > < C o l u m n N e g a t i v e P a t t e r n   / > < C o l u m n W i d t h s > < i t e m > < k e y > < s t r i n g > R e p o r t i n g   A l i a s < / s t r i n g > < / k e y > < v a l u e > < i n t > 1 2 9 < / i n t > < / v a l u e > < / i t e m > < i t e m > < k e y > < s t r i n g > S o u r c e   N a m e < / s t r i n g > < / k e y > < v a l u e > < i n t > 1 1 8 < / i n t > < / v a l u e > < / i t e m > < i t e m > < k e y > < s t r i n g > A c t i v i t y   T y p e < / s t r i n g > < / k e y > < v a l u e > < i n t > 1 1 4 < / i n t > < / v a l u e > < / i t e m > < i t e m > < k e y > < s t r i n g > A c t i v i t y   T y p e   C o n t e x t < / s t r i n g > < / k e y > < v a l u e > < i n t > 1 6 6 < / i n t > < / v a l u e > < / i t e m > < i t e m > < k e y > < s t r i n g > E n t i t y < / s t r i n g > < / k e y > < v a l u e > < i n t > 7 1 < / i n t > < / v a l u e > < / i t e m > < i t e m > < k e y > < s t r i n g > S t a t e < / s t r i n g > < / k e y > < v a l u e > < i n t > 6 8 < / i n t > < / v a l u e > < / i t e m > < i t e m > < k e y > < s t r i n g > U o M < / s t r i n g > < / k e y > < v a l u e > < i n t > 6 5 < / i n t > < / v a l u e > < / i t e m > < i t e m > < k e y > < s t r i n g > E n e r g y   c o n t e n t   f a c t o r < / s t r i n g > < / k e y > < v a l u e > < i n t > 1 6 8 < / i n t > < / v a l u e > < / i t e m > < i t e m > < k e y > < s t r i n g > E F   U n i t < / s t r i n g > < / k e y > < v a l u e > < i n t > 7 9 < / i n t > < / v a l u e > < / i t e m > < i t e m > < k e y > < s t r i n g > P r i m a r y   C r i t e r i o n < / s t r i n g > < / k e y > < v a l u e > < i n t > 1 4 2 < / i n t > < / v a l u e > < / i t e m > < i t e m > < k e y > < s t r i n g > S c o p e   2   E m i s s i o n   f a c t o r < / s t r i n g > < / k e y > < v a l u e > < i n t > 1 8 0 < / i n t > < / v a l u e > < / i t e m > < i t e m > < k e y > < s t r i n g > S c o p e   3   E m i s s i o n   f a c t o r < / s t r i n g > < / k e y > < v a l u e > < i n t > 1 8 0 < / i n t > < / v a l u e > < / i t e m > < i t e m > < k e y > < s t r i n g > S u m   o f   C o n s u m p t i o n   Q u a n t i t y < / s t r i n g > < / k e y > < v a l u e > < i n t > 2 2 0 < / i n t > < / v a l u e > < / i t e m > < i t e m > < k e y > < s t r i n g > T o t a l   G J < / s t r i n g > < / k e y > < v a l u e > < i n t > 8 3 < / i n t > < / v a l u e > < / i t e m > < i t e m > < k e y > < s t r i n g > S c o p e   1   k g   C O 2 - e < / s t r i n g > < / k e y > < v a l u e > < i n t > 1 4 1 < / i n t > < / v a l u e > < / i t e m > < i t e m > < k e y > < s t r i n g > S c o p e   2   k g   C O 2 - e < / s t r i n g > < / k e y > < v a l u e > < i n t > 1 4 1 < / i n t > < / v a l u e > < / i t e m > < i t e m > < k e y > < s t r i n g > S c o p e   3   k g   C O 2 - e < / s t r i n g > < / k e y > < v a l u e > < i n t > 1 4 1 < / i n t > < / v a l u e > < / i t e m > < i t e m > < k e y > < s t r i n g > T o t a l   E m i s s i o n s < / s t r i n g > < / k e y > < v a l u e > < i n t > 1 3 0 < / i n t > < / v a l u e > < / i t e m > < i t e m > < k e y > < s t r i n g > C l e a n   Q u a n t i t y < / s t r i n g > < / k e y > < v a l u e > < i n t > 1 2 7 < / i n t > < / v a l u e > < / i t e m > < / C o l u m n W i d t h s > < C o l u m n D i s p l a y I n d e x > < i t e m > < k e y > < s t r i n g > R e p o r t i n g   A l i a s < / s t r i n g > < / k e y > < v a l u e > < i n t > 0 < / i n t > < / v a l u e > < / i t e m > < i t e m > < k e y > < s t r i n g > S o u r c e   N a m e < / s t r i n g > < / k e y > < v a l u e > < i n t > 1 < / i n t > < / v a l u e > < / i t e m > < i t e m > < k e y > < s t r i n g > A c t i v i t y   T y p e < / s t r i n g > < / k e y > < v a l u e > < i n t > 2 < / i n t > < / v a l u e > < / i t e m > < i t e m > < k e y > < s t r i n g > A c t i v i t y   T y p e   C o n t e x t < / s t r i n g > < / k e y > < v a l u e > < i n t > 3 < / i n t > < / v a l u e > < / i t e m > < i t e m > < k e y > < s t r i n g > E n t i t y < / s t r i n g > < / k e y > < v a l u e > < i n t > 4 < / i n t > < / v a l u e > < / i t e m > < i t e m > < k e y > < s t r i n g > S t a t e < / s t r i n g > < / k e y > < v a l u e > < i n t > 5 < / i n t > < / v a l u e > < / i t e m > < i t e m > < k e y > < s t r i n g > U o M < / s t r i n g > < / k e y > < v a l u e > < i n t > 6 < / i n t > < / v a l u e > < / i t e m > < i t e m > < k e y > < s t r i n g > E n e r g y   c o n t e n t   f a c t o r < / s t r i n g > < / k e y > < v a l u e > < i n t > 7 < / i n t > < / v a l u e > < / i t e m > < i t e m > < k e y > < s t r i n g > E F   U n i t < / s t r i n g > < / k e y > < v a l u e > < i n t > 8 < / i n t > < / v a l u e > < / i t e m > < i t e m > < k e y > < s t r i n g > P r i m a r y   C r i t e r i o n < / s t r i n g > < / k e y > < v a l u e > < i n t > 9 < / i n t > < / v a l u e > < / i t e m > < i t e m > < k e y > < s t r i n g > S c o p e   2   E m i s s i o n   f a c t o r < / s t r i n g > < / k e y > < v a l u e > < i n t > 1 0 < / i n t > < / v a l u e > < / i t e m > < i t e m > < k e y > < s t r i n g > S c o p e   3   E m i s s i o n   f a c t o r < / s t r i n g > < / k e y > < v a l u e > < i n t > 1 1 < / i n t > < / v a l u e > < / i t e m > < i t e m > < k e y > < s t r i n g > S u m   o f   C o n s u m p t i o n   Q u a n t i t y < / s t r i n g > < / k e y > < v a l u e > < i n t > 1 2 < / i n t > < / v a l u e > < / i t e m > < i t e m > < k e y > < s t r i n g > T o t a l   G J < / s t r i n g > < / k e y > < v a l u e > < i n t > 1 3 < / i n t > < / v a l u e > < / i t e m > < i t e m > < k e y > < s t r i n g > S c o p e   1   k g   C O 2 - e < / s t r i n g > < / k e y > < v a l u e > < i n t > 1 4 < / i n t > < / v a l u e > < / i t e m > < i t e m > < k e y > < s t r i n g > S c o p e   2   k g   C O 2 - e < / s t r i n g > < / k e y > < v a l u e > < i n t > 1 5 < / i n t > < / v a l u e > < / i t e m > < i t e m > < k e y > < s t r i n g > S c o p e   3   k g   C O 2 - e < / s t r i n g > < / k e y > < v a l u e > < i n t > 1 6 < / i n t > < / v a l u e > < / i t e m > < i t e m > < k e y > < s t r i n g > T o t a l   E m i s s i o n s < / s t r i n g > < / k e y > < v a l u e > < i n t > 1 7 < / i n t > < / v a l u e > < / i t e m > < i t e m > < k e y > < s t r i n g > C l e a n   Q u a n t i t y < / s t r i n g > < / k e y > < v a l u e > < i n t > 1 8 < / 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C o n t r a c t o r _ F u e l s - 4 e 8 5 a e d 0 - 1 f 0 b - 4 a d d - b 8 2 1 - 9 3 f 6 c 5 4 3 b 1 5 5 " > < C u s t o m C o n t e n t > < ! [ C D A T A [ < T a b l e W i d g e t G r i d S e r i a l i z a t i o n   x m l n s : x s d = " h t t p : / / w w w . w 3 . o r g / 2 0 0 1 / X M L S c h e m a "   x m l n s : x s i = " h t t p : / / w w w . w 3 . o r g / 2 0 0 1 / X M L S c h e m a - i n s t a n c e " > < C o l u m n S u g g e s t e d T y p e   / > < C o l u m n F o r m a t   / > < C o l u m n A c c u r a c y   / > < C o l u m n C u r r e n c y S y m b o l   / > < C o l u m n P o s i t i v e P a t t e r n   / > < C o l u m n N e g a t i v e P a t t e r n   / > < C o l u m n W i d t h s > < i t e m > < k e y > < s t r i n g > R e p o r t i n g   A l i a s < / s t r i n g > < / k e y > < v a l u e > < i n t > 1 2 9 < / i n t > < / v a l u e > < / i t e m > < i t e m > < k e y > < s t r i n g > C o n t r a c t o r   t y p e < / s t r i n g > < / k e y > < v a l u e > < i n t > 1 3 2 < / i n t > < / v a l u e > < / i t e m > < i t e m > < k e y > < s t r i n g > S o u r c e   N a m e < / s t r i n g > < / k e y > < v a l u e > < i n t > 1 1 8 < / i n t > < / v a l u e > < / i t e m > < i t e m > < k e y > < s t r i n g > A c t i v i t y   T y p e < / s t r i n g > < / k e y > < v a l u e > < i n t > 1 1 4 < / i n t > < / v a l u e > < / i t e m > < i t e m > < k e y > < s t r i n g > A c t i v i t y   T y p e   C o n t e x t < / s t r i n g > < / k e y > < v a l u e > < i n t > 1 6 6 < / i n t > < / v a l u e > < / i t e m > < i t e m > < k e y > < s t r i n g > E n t i t y < / s t r i n g > < / k e y > < v a l u e > < i n t > 1 1 9 < / i n t > < / v a l u e > < / i t e m > < i t e m > < k e y > < s t r i n g > F u e l < / s t r i n g > < / k e y > < v a l u e > < i n t > 6 3 < / i n t > < / v a l u e > < / i t e m > < i t e m > < k e y > < s t r i n g > S t a t e < / s t r i n g > < / k e y > < v a l u e > < i n t > 6 8 < / i n t > < / v a l u e > < / i t e m > < i t e m > < k e y > < s t r i n g > C o n s u m p t i o n     U n i t s < / s t r i n g > < / k e y > < v a l u e > < i n t > 1 5 6 < / i n t > < / v a l u e > < / i t e m > < i t e m > < k e y > < s t r i n g > C o n s u m p t i o n   Q u a n t i t y   ( L ) < / s t r i n g > < / k e y > < v a l u e > < i n t > 1 9 3 < / i n t > < / v a l u e > < / i t e m > < i t e m > < k e y > < s t r i n g > C o n s u m p t i o n   Q u a n t i t y < / s t r i n g > < / k e y > < v a l u e > < i n t > 1 5 6 < / i n t > < / v a l u e > < / i t e m > < i t e m > < k e y > < s t r i n g > T o t a l   G J < / s t r i n g > < / k e y > < v a l u e > < i n t > 1 5 6 < / i n t > < / v a l u e > < / i t e m > < i t e m > < k e y > < s t r i n g > S c o p e   3   k g   C O 2 - e < / s t r i n g > < / k e y > < v a l u e > < i n t > 1 5 6 < / i n t > < / v a l u e > < / i t e m > < i t e m > < k e y > < s t r i n g > T o t a l   E m i s s i o n s < / s t r i n g > < / k e y > < v a l u e > < i n t > 1 5 6 < / i n t > < / v a l u e > < / i t e m > < i t e m > < k e y > < s t r i n g > S c o p e   1   k g   C O 2 - e < / s t r i n g > < / k e y > < v a l u e > < i n t > 1 5 6 < / i n t > < / v a l u e > < / i t e m > < i t e m > < k e y > < s t r i n g > S c o p e   2   k g   C O 2 - e < / s t r i n g > < / k e y > < v a l u e > < i n t > 1 5 6 < / i n t > < / v a l u e > < / i t e m > < / C o l u m n W i d t h s > < C o l u m n D i s p l a y I n d e x > < i t e m > < k e y > < s t r i n g > R e p o r t i n g   A l i a s < / s t r i n g > < / k e y > < v a l u e > < i n t > 0 < / i n t > < / v a l u e > < / i t e m > < i t e m > < k e y > < s t r i n g > C o n t r a c t o r   t y p e < / s t r i n g > < / k e y > < v a l u e > < i n t > 1 < / i n t > < / v a l u e > < / i t e m > < i t e m > < k e y > < s t r i n g > S o u r c e   N a m e < / s t r i n g > < / k e y > < v a l u e > < i n t > 2 < / i n t > < / v a l u e > < / i t e m > < i t e m > < k e y > < s t r i n g > A c t i v i t y   T y p e < / s t r i n g > < / k e y > < v a l u e > < i n t > 3 < / i n t > < / v a l u e > < / i t e m > < i t e m > < k e y > < s t r i n g > A c t i v i t y   T y p e   C o n t e x t < / s t r i n g > < / k e y > < v a l u e > < i n t > 4 < / i n t > < / v a l u e > < / i t e m > < i t e m > < k e y > < s t r i n g > E n t i t y < / s t r i n g > < / k e y > < v a l u e > < i n t > 5 < / i n t > < / v a l u e > < / i t e m > < i t e m > < k e y > < s t r i n g > F u e l < / s t r i n g > < / k e y > < v a l u e > < i n t > 6 < / i n t > < / v a l u e > < / i t e m > < i t e m > < k e y > < s t r i n g > S t a t e < / s t r i n g > < / k e y > < v a l u e > < i n t > 7 < / i n t > < / v a l u e > < / i t e m > < i t e m > < k e y > < s t r i n g > C o n s u m p t i o n     U n i t s < / s t r i n g > < / k e y > < v a l u e > < i n t > 9 < / i n t > < / v a l u e > < / i t e m > < i t e m > < k e y > < s t r i n g > C o n s u m p t i o n   Q u a n t i t y   ( L ) < / s t r i n g > < / k e y > < v a l u e > < i n t > 8 < / i n t > < / v a l u e > < / i t e m > < i t e m > < k e y > < s t r i n g > C o n s u m p t i o n   Q u a n t i t y < / s t r i n g > < / k e y > < v a l u e > < i n t > 1 0 < / i n t > < / v a l u e > < / i t e m > < i t e m > < k e y > < s t r i n g > T o t a l   G J < / s t r i n g > < / k e y > < v a l u e > < i n t > 1 1 < / i n t > < / v a l u e > < / i t e m > < i t e m > < k e y > < s t r i n g > S c o p e   3   k g   C O 2 - e < / s t r i n g > < / k e y > < v a l u e > < i n t > 1 4 < / i n t > < / v a l u e > < / i t e m > < i t e m > < k e y > < s t r i n g > T o t a l   E m i s s i o n s < / s t r i n g > < / k e y > < v a l u e > < i n t > 1 5 < / i n t > < / v a l u e > < / i t e m > < i t e m > < k e y > < s t r i n g > S c o p e   1   k g   C O 2 - e < / s t r i n g > < / k e y > < v a l u e > < i n t > 1 2 < / i n t > < / v a l u e > < / i t e m > < i t e m > < k e y > < s t r i n g > S c o p e   2   k g   C O 2 - e < / s t r i n g > < / k e y > < v a l u e > < i n t > 1 3 < / 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c 5 e 1 4 1 b 3 - 5 2 9 a - 4 2 9 e - a f d 8 - 8 a 9 4 9 3 3 6 1 8 d 5 " > < C u s t o m C o n t e n t > < ! [ C D A T A [ < ? x m l   v e r s i o n = " 1 . 0 "   e n c o d i n g = " u t f - 1 6 " ? > < S e t t i n g s > < H S l i c e r s S h a p e > 0 ; 0 ; 0 ; 0 < / H S l i c e r s S h a p e > < V S l i c e r s S h a p e > 0 ; 0 ; 0 ; 0 < / V S l i c e r s S h a p e > < S l i c e r S h e e t N a m e > C S R   S u m m a r y < / S l i c e r S h e e t N a m e > < S A H o s t H a s h > 1 5 9 8 0 7 4 2 3 7 < / S A H o s t H a s h > < G e m i n i F i e l d L i s t V i s i b l e > T r u e < / G e m i n i F i e l d L i s t V i s i b l e > < / S e t t i n g s > ] ] > < / C u s t o m C o n t e n t > < / G e m i n i > 
</file>

<file path=customXml/item23.xml>��< ? x m l   v e r s i o n = " 1 . 0 "   e n c o d i n g = " U T F - 1 6 " ? > < G e m i n i   x m l n s = " h t t p : / / g e m i n i / p i v o t c u s t o m i z a t i o n / 3 7 3 d 8 6 2 9 - f 9 f f - 4 0 d 6 - 9 0 2 b - 3 f 8 7 6 5 9 b 0 2 3 6 " > < C u s t o m C o n t e n t > < ! [ C D A T A [ < ? x m l   v e r s i o n = " 1 . 0 "   e n c o d i n g = " u t f - 1 6 " ? > < S e t t i n g s > < H S l i c e r s S h a p e > 0 ; 0 ; 0 ; 0 < / H S l i c e r s S h a p e > < V S l i c e r s S h a p e > 0 ; 0 ; 0 ; 0 < / V S l i c e r s S h a p e > < S l i c e r S h e e t N a m e > L e v e l   1 S u m m a r y   ( S o u r c e A c t i v i t y ) < / S l i c e r S h e e t N a m e > < S A H o s t H a s h > 1 9 2 5 3 1 4 7 0 4 < / S A H o s t H a s h > < G e m i n i F i e l d L i s t V i s i b l e > T r u e < / G e m i n i F i e l d L i s t V i s i b l e > < / S e t t i n g s > ] ] > < / C u s t o m C o n t e n t > < / G e m i n i > 
</file>

<file path=customXml/item24.xml>��< ? x m l   v e r s i o n = " 1 . 0 "   e n c o d i n g = " U T F - 1 6 " ? > < G e m i n i   x m l n s = " h t t p : / / g e m i n i / p i v o t c u s t o m i z a t i o n / T a b l e C o u n t I n S a n d b o x " > < C u s t o m C o n t e n t > 2 2 < / C u s t o m C o n t e n t > < / G e m i n i > 
</file>

<file path=customXml/item25.xml>��< ? x m l   v e r s i o n = " 1 . 0 "   e n c o d i n g = " U T F - 1 6 " ? > < G e m i n i   x m l n s = " h t t p : / / g e m i n i / p i v o t c u s t o m i z a t i o n / T a b l e X M L _ N O N _ G e n s e t - 4 8 d 7 7 5 a c - 5 e a 3 - 4 4 4 0 - 8 b b a - b 5 a 2 a f 1 4 7 2 5 7 " > < 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S o u r c e   N a m e & l t ; / s t r i n g & g t ; & l t ; / k e y & g t ; & l t ; v a l u e & g t ; & l t ; i n t & g t ; 1 1 8 & l t ; / i n t & g t ; & l t ; / v a l u e & g t ; & l t ; / i t e m & g t ; & l t ; i t e m & g t ; & l t ; k e y & g t ; & l t ; s t r i n g & g t ; A c t i v i t y   T y p e & l t ; / s t r i n g & g t ; & l t ; / k e y & g t ; & l t ; v a l u e & g t ; & l t ; i n t & g t ; 1 1 4 & l t ; / i n t & g t ; & l t ; / v a l u e & g t ; & l t ; / i t e m & g t ; & l t ; i t e m & g t ; & l t ; k e y & g t ; & l t ; s t r i n g & g t ; A c t i v i t y   T y p e   C o n t e x t & l t ; / s t r i n g & g t ; & l t ; / k e y & g t ; & l t ; v a l u e & g t ; & l t ; i n t & g t ; 1 6 6 & l t ; / i n t & g t ; & l t ; / v a l u e & g t ; & l t ; / i t e m & g t ; & l t ; i t e m & g t ; & l t ; k e y & g t ; & l t ; s t r i n g & g t ; E n t i t y & l t ; / s t r i n g & g t ; & l t ; / k e y & g t ; & l t ; v a l u e & g t ; & l t ; i n t & g t ; 7 1 & l t ; / i n t & g t ; & l t ; / v a l u e & g t ; & l t ; / i t e m & g t ; & l t ; i t e m & g t ; & l t ; k e y & g t ; & l t ; s t r i n g & g t ; F u e l & l t ; / s t r i n g & g t ; & l t ; / k e y & g t ; & l t ; v a l u e & g t ; & l t ; i n t & g t ; 6 3 & l t ; / i n t & g t ; & l t ; / v a l u e & g t ; & l t ; / i t e m & g t ; & l t ; i t e m & g t ; & l t ; k e y & g t ; & l t ; s t r i n g & g t ; S t a t e & l t ; / s t r i n g & g t ; & l t ; / k e y & g t ; & l t ; v a l u e & g t ; & l t ; i n t & g t ; 6 8 & l t ; / i n t & g t ; & l t ; / v a l u e & g t ; & l t ; / i t e m & g t ; & l t ; i t e m & g t ; & l t ; k e y & g t ; & l t ; s t r i n g & g t ; C o n s u m p t i o n   Q u a n t i t y & l t ; / s t r i n g & g t ; & l t ; / k e y & g t ; & l t ; v a l u e & g t ; & l t ; i n t & g t ; 1 7 4 & l t ; / i n t & g t ; & l t ; / v a l u e & g t ; & l t ; / i t e m & g t ; & l t ; i t e m & g t ; & l t ; k e y & g t ; & l t ; s t r i n g & g t ; P r o d u c t i o n     U n i t s & l t ; / s t r i n g & g t ; & l t ; / k e y & g t ; & l t ; v a l u e & g t ; & l t ; i n t & g t ; 1 4 1 & l t ; / i n t & g t ; & l t ; / v a l u e & g t ; & l t ; / i t e m & g t ; & l t ; i t e m & g t ; & l t ; k e y & g t ; & l t ; s t r i n g & g t ; S c o p e   3   k g   C O 2 - e & l t ; / s t r i n g & g t ; & l t ; / k e y & g t ; & l t ; v a l u e & g t ; & l t ; i n t & g t ; 1 4 1 & l t ; / i n t & g t ; & l t ; / v a l u e & g t ; & l t ; / i t e m & g t ; & l t ; i t e m & g t ; & l t ; k e y & g t ; & l t ; s t r i n g & g t ; S c o p e   2   k g   C O 2 - e & l t ; / s t r i n g & g t ; & l t ; / k e y & g t ; & l t ; v a l u e & g t ; & l t ; i n t & g t ; 1 4 1 & l t ; / i n t & g t ; & l t ; / v a l u e & g t ; & l t ; / i t e m & g t ; & l t ; i t e m & g t ; & l t ; k e y & g t ; & l t ; s t r i n g & g t ; S c o p e   1   k g   C O 2 - e & l t ; / s t r i n g & g t ; & l t ; / k e y & g t ; & l t ; v a l u e & g t ; & l t ; i n t & g t ; 1 4 1 & l t ; / i n t & g t ; & l t ; / v a l u e & g t ; & l t ; / i t e m & g t ; & l t ; i t e m & g t ; & l t ; k e y & g t ; & l t ; s t r i n g & g t ; T o t a l   G J & l t ; / s t r i n g & g t ; & l t ; / k e y & g t ; & l t ; v a l u e & g t ; & l t ; i n t & g t ; 8 3 & l t ; / i n t & g t ; & l t ; / v a l u e & g t ; & l t ; / i t e m & g t ; & l t ; i t e m & g t ; & l t ; k e y & g t ; & l t ; s t r i n g & g t ; C o n s u m p t i o n   Q u a n t i t y   ( L ) & l t ; / s t r i n g & g t ; & l t ; / k e y & g t ; & l t ; v a l u e & g t ; & l t ; i n t & g t ; 1 9 3 & l t ; / i n t & g t ; & l t ; / v a l u e & g t ; & l t ; / i t e m & g t ; & l t ; i t e m & g t ; & l t ; k e y & g t ; & l t ; s t r i n g & g t ; T o t a l 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 A l i a s & l t ; / s t r i n g & g t ; & l t ; / k e y & g t ; & l t ; v a l u e & g t ; & l t ; i n t & g t ; 0 & l t ; / i n t & g t ; & l t ; / v a l u e & g t ; & l t ; / i t e m & g t ; & l t ; i t e m & g t ; & l t ; k e y & g t ; & l t ; s t r i n g & g t ; S o u r c e   N a m e & l t ; / s t r i n g & g t ; & l t ; / k e y & g t ; & l t ; v a l u e & g t ; & l t ; i n t & g t ; 1 & l t ; / i n t & g t ; & l t ; / v a l u e & g t ; & l t ; / i t e m & g t ; & l t ; i t e m & g t ; & l t ; k e y & g t ; & l t ; s t r i n g & g t ; A c t i v i t y   T y p e & l t ; / s t r i n g & g t ; & l t ; / k e y & g t ; & l t ; v a l u e & g t ; & l t ; i n t & g t ; 2 & l t ; / i n t & g t ; & l t ; / v a l u e & g t ; & l t ; / i t e m & g t ; & l t ; i t e m & g t ; & l t ; k e y & g t ; & l t ; s t r i n g & g t ; A c t i v i t y   T y p e   C o n t e x t & l t ; / s t r i n g & g t ; & l t ; / k e y & g t ; & l t ; v a l u e & g t ; & l t ; i n t & g t ; 3 & l t ; / i n t & g t ; & l t ; / v a l u e & g t ; & l t ; / i t e m & g t ; & l t ; i t e m & g t ; & l t ; k e y & g t ; & l t ; s t r i n g & g t ; E n t i t y & l t ; / s t r i n g & g t ; & l t ; / k e y & g t ; & l t ; v a l u e & g t ; & l t ; i n t & g t ; 4 & l t ; / i n t & g t ; & l t ; / v a l u e & g t ; & l t ; / i t e m & g t ; & l t ; i t e m & g t ; & l t ; k e y & g t ; & l t ; s t r i n g & g t ; F u e l & l t ; / s t r i n g & g t ; & l t ; / k e y & g t ; & l t ; v a l u e & g t ; & l t ; i n t & g t ; 5 & l t ; / i n t & g t ; & l t ; / v a l u e & g t ; & l t ; / i t e m & g t ; & l t ; i t e m & g t ; & l t ; k e y & g t ; & l t ; s t r i n g & g t ; S t a t e & l t ; / s t r i n g & g t ; & l t ; / k e y & g t ; & l t ; v a l u e & g t ; & l t ; i n t & g t ; 6 & l t ; / i n t & g t ; & l t ; / v a l u e & g t ; & l t ; / i t e m & g t ; & l t ; i t e m & g t ; & l t ; k e y & g t ; & l t ; s t r i n g & g t ; C o n s u m p t i o n   Q u a n t i t y & l t ; / s t r i n g & g t ; & l t ; / k e y & g t ; & l t ; v a l u e & g t ; & l t ; i n t & g t ; 8 & l t ; / i n t & g t ; & l t ; / v a l u e & g t ; & l t ; / i t e m & g t ; & l t ; i t e m & g t ; & l t ; k e y & g t ; & l t ; s t r i n g & g t ; P r o d u c t i o n     U n i t s & l t ; / s t r i n g & g t ; & l t ; / k e y & g t ; & l t ; v a l u e & g t ; & l t ; i n t & g t ; 9 & l t ; / i n t & g t ; & l t ; / v a l u e & g t ; & l t ; / i t e m & g t ; & l t ; i t e m & g t ; & l t ; k e y & g t ; & l t ; s t r i n g & g t ; S c o p e   3   k g   C O 2 - e & l t ; / s t r i n g & g t ; & l t ; / k e y & g t ; & l t ; v a l u e & g t ; & l t ; i n t & g t ; 1 3 & l t ; / i n t & g t ; & l t ; / v a l u e & g t ; & l t ; / i t e m & g t ; & l t ; i t e m & g t ; & l t ; k e y & g t ; & l t ; s t r i n g & g t ; S c o p e   2   k g   C O 2 - e & l t ; / s t r i n g & g t ; & l t ; / k e y & g t ; & l t ; v a l u e & g t ; & l t ; i n t & g t ; 1 2 & l t ; / i n t & g t ; & l t ; / v a l u e & g t ; & l t ; / i t e m & g t ; & l t ; i t e m & g t ; & l t ; k e y & g t ; & l t ; s t r i n g & g t ; S c o p e   1   k g   C O 2 - e & l t ; / s t r i n g & g t ; & l t ; / k e y & g t ; & l t ; v a l u e & g t ; & l t ; i n t & g t ; 1 1 & l t ; / i n t & g t ; & l t ; / v a l u e & g t ; & l t ; / i t e m & g t ; & l t ; i t e m & g t ; & l t ; k e y & g t ; & l t ; s t r i n g & g t ; T o t a l   G J & l t ; / s t r i n g & g t ; & l t ; / k e y & g t ; & l t ; v a l u e & g t ; & l t ; i n t & g t ; 1 0 & l t ; / i n t & g t ; & l t ; / v a l u e & g t ; & l t ; / i t e m & g t ; & l t ; i t e m & g t ; & l t ; k e y & g t ; & l t ; s t r i n g & g t ; C o n s u m p t i o n   Q u a n t i t y   ( L ) & l t ; / s t r i n g & g t ; & l t ; / k e y & g t ; & l t ; v a l u e & g t ; & l t ; i n t & g t ; 7 & l t ; / i n t & g t ; & l t ; / v a l u e & g t ; & l t ; / i t e m & g t ; & l t ; i t e m & g t ; & l t ; k e y & g t ; & l t ; s t r i n g & g t ; T o t a l   E m i s s i o n s & l t ; / s t r i n g & g t ; & l t ; / k e y & g t ; & l t ; v a l u e & g t ; & l t ; i n t & g t ; 1 4 & l t ; / i n t & g t ; & l t ; / v a l u e & g t ; & l t ; / i t e m & g t ; & l t ; / C o l u m n D i s p l a y I n d e x & g t ; & l t ; C o l u m n F r o z e n   / & g t ; & l t ; C o l u m n C h e c k e d   / & g t ; & l t ; C o l u m n F i l t e r   / & g t ; & l t ; S e l e c t i o n F i l t e r   / & g t ; & l t ; F i l t e r P a r a m e t e r s   / & g t ; & l t ; I s S o r t D e s c e n d i n g & g t ; f a l s e & l t ; / I s S o r t D e s c e n d i n g & g t ; & l t ; / T a b l e W i d g e t G r i d S e r i a l i z a t i o n & g t ; < / C u s t o m C o n t e n t > < / G e m i n i > 
</file>

<file path=customXml/item26.xml>��< ? x m l   v e r s i o n = " 1 . 0 "   e n c o d i n g = " U T F - 1 6 " ? > < G e m i n i   x m l n s = " h t t p : / / g e m i n i / p i v o t c u s t o m i z a t i o n / 6 7 6 e a f e 9 - 4 6 a d - 4 7 d 5 - 9 4 b a - 6 1 b 8 6 f f e 0 a 8 1 " > < C u s t o m C o n t e n t > < ! [ C D A T A [ < ? x m l   v e r s i o n = " 1 . 0 "   e n c o d i n g = " u t f - 1 6 " ? > < S e t t i n g s > < H S l i c e r s S h a p e > 0 ; 0 ; 0 ; 0 < / H S l i c e r s S h a p e > < V S l i c e r s S h a p e > 0 ; 0 ; 0 ; 0 < / V S l i c e r s S h a p e > < S l i c e r S h e e t N a m e > S t a t i o n a r y   -   G e n s e t < / S l i c e r S h e e t N a m e > < S A H o s t H a s h > 1 9 1 4 8 6 8 9 9 8 < / S A H o s t H a s h > < G e m i n i F i e l d L i s t V i s i b l e > T r u e < / G e m i n i F i e l d L i s t V i s i b l e > < / S e t t i n g s > ] ] > < / C u s t o m C o n t e n t > < / G e m i n i > 
</file>

<file path=customXml/item27.xml>��< ? x m l   v e r s i o n = " 1 . 0 "   e n c o d i n g = " U T F - 1 6 " ? > < G e m i n i   x m l n s = " h t t p : / / g e m i n i / p i v o t c u s t o m i z a t i o n / T a b l e X M L _ S a v i n g s _ D a t a - e 0 1 f 4 f 2 8 - f a 1 a - 4 5 2 c - 8 e 8 4 - 8 3 0 8 4 e d f c e 6 2 " > < 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P r o g r a m & l t ; / s t r i n g & g t ; & l t ; / k e y & g t ; & l t ; v a l u e & g t ; & l t ; i n t & g t ; 8 8 & l t ; / i n t & g t ; & l t ; / v a l u e & g t ; & l t ; / i t e m & g t ; & l t ; i t e m & g t ; & l t ; k e y & g t ; & l t ; s t r i n g & g t ; R e l e a s e   / B u l k & l t ; / s t r i n g & g t ; & l t ; / k e y & g t ; & l t ; v a l u e & g t ; & l t ; i n t & g t ; 1 2 1 & l t ; / i n t & g t ; & l t ; / v a l u e & g t ; & l t ; / i t e m & g t ; & l t ; i t e m & g t ; & l t ; k e y & g t ; & l t ; s t r i n g & g t ; O I D & l t ; / s t r i n g & g t ; & l t ; / k e y & g t ; & l t ; v a l u e & g t ; & l t ; i n t & g t ; 5 9 & l t ; / i n t & g t ; & l t ; / v a l u e & g t ; & l t ; / i t e m & g t ; & l t ; i t e m & g t ; & l t ; k e y & g t ; & l t ; s t r i n g & g t ; S t a t e & l t ; / s t r i n g & g t ; & l t ; / k e y & g t ; & l t ; v a l u e & g t ; & l t ; i n t & g t ; 6 8 & l t ; / i n t & g t ; & l t ; / v a l u e & g t ; & l t ; / i t e m & g t ; & l t ; i t e m & g t ; & l t ; k e y & g t ; & l t ; s t r i n g & g t ; S i t e   N a m e & l t ; / s t r i n g & g t ; & l t ; / k e y & g t ; & l t ; v a l u e & g t ; & l t ; i n t & g t ; 1 0 0 & l t ; / i n t & g t ; & l t ; / v a l u e & g t ; & l t ; / i t e m & g t ; & l t ; i t e m & g t ; & l t ; k e y & g t ; & l t ; s t r i n g & g t ; A d d r e s s   I D & l t ; / s t r i n g & g t ; & l t ; / k e y & g t ; & l t ; v a l u e & g t ; & l t ; i n t & g t ; 1 0 2 & l t ; / i n t & g t ; & l t ; / v a l u e & g t ; & l t ; / i t e m & g t ; & l t ; i t e m & g t ; & l t ; k e y & g t ; & l t ; s t r i n g & g t ; D e s c r i p t i o n   o f   A c t i o n s & l t ; / s t r i n g & g t ; & l t ; / k e y & g t ; & l t ; v a l u e & g t ; & l t ; i n t & g t ; 1 7 0 & l t ; / i n t & g t ; & l t ; / v a l u e & g t ; & l t ; / i t e m & g t ; & l t ; i t e m & g t ; & l t ; k e y & g t ; & l t ; s t r i n g & g t ; R e p o r t   c a t e g o r y & l t ; / s t r i n g & g t ; & l t ; / k e y & g t ; & l t ; v a l u e & g t ; & l t ; i n t & g t ; 1 3 4 & l t ; / i n t & g t ; & l t ; / v a l u e & g t ; & l t ; / i t e m & g t ; & l t ; i t e m & g t ; & l t ; k e y & g t ; & l t ; s t r i n g & g t ; C D P   c a t e g o r y & l t ; / s t r i n g & g t ; & l t ; / k e y & g t ; & l t ; v a l u e & g t ; & l t ; i n t & g t ; 1 1 7 & l t ; / i n t & g t ; & l t ; / v a l u e & g t ; & l t ; / i t e m & g t ; & l t ; i t e m & g t ; & l t ; k e y & g t ; & l t ; s t r i n g & g t ; A c t u a l   C o m p l e t i o n   D a t e & l t ; / s t r i n g & g t ; & l t ; / k e y & g t ; & l t ; v a l u e & g t ; & l t ; i n t & g t ; 1 8 2 & l t ; / i n t & g t ; & l t ; / v a l u e & g t ; & l t ; / i t e m & g t ; & l t ; i t e m & g t ; & l t ; k e y & g t ; & l t ; s t r i n g & g t ; A n n u a l   E n e r g y   S a v i n g s   ( K W h ) & l t ; / s t r i n g & g t ; & l t ; / k e y & g t ; & l t ; v a l u e & g t ; & l t ; i n t & g t ; 2 1 6 & l t ; / i n t & g t ; & l t ; / v a l u e & g t ; & l t ; / i t e m & g t ; & l t ; i t e m & g t ; & l t ; k e y & g t ; & l t ; s t r i n g & g t ; T o t a l   T o n n e s & l t ; / s t r i n g & g t ; & l t ; / k e y & g t ; & l t ; v a l u e & g t ; & l t ; i n t & g t ; 1 1 3 & l t ; / i n t & g t ; & l t ; / v a l u e & g t ; & l t ; / i t e m & g t ; & l t ; i t e m & g t ; & l t ; k e y & g t ; & l t ; s t r i n g & g t ; S c o p e   2   k g   C O 2 - e & l t ; / s t r i n g & g t ; & l t ; / k e y & g t ; & l t ; v a l u e & g t ; & l t ; i n t & g t ; 1 5 6 & l t ; / i n t & g t ; & l t ; / v a l u e & g t ; & l t ; / i t e m & g t ; & l t ; i t e m & g t ; & l t ; k e y & g t ; & l t ; s t r i n g & g t ; S c o p e   3   k g   C O 2 - e & l t ; / s t r i n g & g t ; & l t ; / k e y & g t ; & l t ; v a l u e & g t ; & l t ; i n t & g t ; 1 5 6 & l t ; / i n t & g t ; & l t ; / v a l u e & g t ; & l t ; / i t e m & g t ; & l t ; i t e m & g t ; & l t ; k e y & g t ; & l t ; s t r i n g & g t ; T o t a l   G J & l t ; / s t r i n g & g t ; & l t ; / k e y & g t ; & l t ; v a l u e & g t ; & l t ; i n t & g t ; 1 5 6 & l t ; / i n t & g t ; & l t ; / v a l u e & g t ; & l t ; / i t e m & g t ; & l t ; / C o l u m n W i d t h s & g t ; & l t ; C o l u m n D i s p l a y I n d e x & g t ; & l t ; i t e m & g t ; & l t ; k e y & g t ; & l t ; s t r i n g & g t ; R e p o r t i n g   A l i a s & l t ; / s t r i n g & g t ; & l t ; / k e y & g t ; & l t ; v a l u e & g t ; & l t ; i n t & g t ; 0 & l t ; / i n t & g t ; & l t ; / v a l u e & g t ; & l t ; / i t e m & g t ; & l t ; i t e m & g t ; & l t ; k e y & g t ; & l t ; s t r i n g & g t ; P r o g r a m & l t ; / s t r i n g & g t ; & l t ; / k e y & g t ; & l t ; v a l u e & g t ; & l t ; i n t & g t ; 1 & l t ; / i n t & g t ; & l t ; / v a l u e & g t ; & l t ; / i t e m & g t ; & l t ; i t e m & g t ; & l t ; k e y & g t ; & l t ; s t r i n g & g t ; R e l e a s e   / B u l k & l t ; / s t r i n g & g t ; & l t ; / k e y & g t ; & l t ; v a l u e & g t ; & l t ; i n t & g t ; 2 & l t ; / i n t & g t ; & l t ; / v a l u e & g t ; & l t ; / i t e m & g t ; & l t ; i t e m & g t ; & l t ; k e y & g t ; & l t ; s t r i n g & g t ; O I D & l t ; / s t r i n g & g t ; & l t ; / k e y & g t ; & l t ; v a l u e & g t ; & l t ; i n t & g t ; 3 & l t ; / i n t & g t ; & l t ; / v a l u e & g t ; & l t ; / i t e m & g t ; & l t ; i t e m & g t ; & l t ; k e y & g t ; & l t ; s t r i n g & g t ; S t a t e & l t ; / s t r i n g & g t ; & l t ; / k e y & g t ; & l t ; v a l u e & g t ; & l t ; i n t & g t ; 4 & l t ; / i n t & g t ; & l t ; / v a l u e & g t ; & l t ; / i t e m & g t ; & l t ; i t e m & g t ; & l t ; k e y & g t ; & l t ; s t r i n g & g t ; S i t e   N a m e & l t ; / s t r i n g & g t ; & l t ; / k e y & g t ; & l t ; v a l u e & g t ; & l t ; i n t & g t ; 5 & l t ; / i n t & g t ; & l t ; / v a l u e & g t ; & l t ; / i t e m & g t ; & l t ; i t e m & g t ; & l t ; k e y & g t ; & l t ; s t r i n g & g t ; A d d r e s s   I D & l t ; / s t r i n g & g t ; & l t ; / k e y & g t ; & l t ; v a l u e & g t ; & l t ; i n t & g t ; 6 & l t ; / i n t & g t ; & l t ; / v a l u e & g t ; & l t ; / i t e m & g t ; & l t ; i t e m & g t ; & l t ; k e y & g t ; & l t ; s t r i n g & g t ; D e s c r i p t i o n   o f   A c t i o n s & l t ; / s t r i n g & g t ; & l t ; / k e y & g t ; & l t ; v a l u e & g t ; & l t ; i n t & g t ; 7 & l t ; / i n t & g t ; & l t ; / v a l u e & g t ; & l t ; / i t e m & g t ; & l t ; i t e m & g t ; & l t ; k e y & g t ; & l t ; s t r i n g & g t ; R e p o r t   c a t e g o r y & l t ; / s t r i n g & g t ; & l t ; / k e y & g t ; & l t ; v a l u e & g t ; & l t ; i n t & g t ; 8 & l t ; / i n t & g t ; & l t ; / v a l u e & g t ; & l t ; / i t e m & g t ; & l t ; i t e m & g t ; & l t ; k e y & g t ; & l t ; s t r i n g & g t ; C D P   c a t e g o r y & l t ; / s t r i n g & g t ; & l t ; / k e y & g t ; & l t ; v a l u e & g t ; & l t ; i n t & g t ; 9 & l t ; / i n t & g t ; & l t ; / v a l u e & g t ; & l t ; / i t e m & g t ; & l t ; i t e m & g t ; & l t ; k e y & g t ; & l t ; s t r i n g & g t ; A c t u a l   C o m p l e t i o n   D a t e & l t ; / s t r i n g & g t ; & l t ; / k e y & g t ; & l t ; v a l u e & g t ; & l t ; i n t & g t ; 1 0 & l t ; / i n t & g t ; & l t ; / v a l u e & g t ; & l t ; / i t e m & g t ; & l t ; i t e m & g t ; & l t ; k e y & g t ; & l t ; s t r i n g & g t ; A n n u a l   E n e r g y   S a v i n g s   ( K W h ) & l t ; / s t r i n g & g t ; & l t ; / k e y & g t ; & l t ; v a l u e & g t ; & l t ; i n t & g t ; 1 1 & l t ; / i n t & g t ; & l t ; / v a l u e & g t ; & l t ; / i t e m & g t ; & l t ; i t e m & g t ; & l t ; k e y & g t ; & l t ; s t r i n g & g t ; T o t a l   T o n n e s & l t ; / s t r i n g & g t ; & l t ; / k e y & g t ; & l t ; v a l u e & g t ; & l t ; i n t & g t ; 1 4 & l t ; / i n t & g t ; & l t ; / v a l u e & g t ; & l t ; / i t e m & g t ; & l t ; i t e m & g t ; & l t ; k e y & g t ; & l t ; s t r i n g & g t ; S c o p e   2   k g   C O 2 - e & l t ; / s t r i n g & g t ; & l t ; / k e y & g t ; & l t ; v a l u e & g t ; & l t ; i n t & g t ; 1 2 & l t ; / i n t & g t ; & l t ; / v a l u e & g t ; & l t ; / i t e m & g t ; & l t ; i t e m & g t ; & l t ; k e y & g t ; & l t ; s t r i n g & g t ; S c o p e   3   k g   C O 2 - e & l t ; / s t r i n g & g t ; & l t ; / k e y & g t ; & l t ; v a l u e & g t ; & l t ; i n t & g t ; 1 3 & l t ; / i n t & g t ; & l t ; / v a l u e & g t ; & l t ; / i t e m & g t ; & l t ; i t e m & g t ; & l t ; k e y & g t ; & l t ; s t r i n g & g t ; T o t a l   G J & l t ; / s t r i n g & g t ; & l t ; / k e y & g t ; & l t ; v a l u e & g t ; & l t ; i n t & g t ; 1 5 & l t ; / i n t & g t ; & l t ; / v a l u e & g t ; & l t ; / i t e m & g t ; & l t ; / C o l u m n D i s p l a y I n d e x & g t ; & l t ; C o l u m n F r o z e n   / & g t ; & l t ; C o l u m n C h e c k e d   / & g t ; & l t ; C o l u m n F i l t e r   / & g t ; & l t ; S e l e c t i o n F i l t e r   / & g t ; & l t ; F i l t e r P a r a m e t e r s   / & g t ; & l t ; I s S o r t D e s c e n d i n g & g t ; f a l s e & l t ; / I s S o r t D e s c e n d i n g & g t ; & l t ; / T a b l e W i d g e t G r i d S e r i a l i z a t i o n & g t ; < / C u s t o m C o n t e n t > < / G e m i n i > 
</file>

<file path=customXml/item28.xml>��< ? x m l   v e r s i o n = " 1 . 0 "   e n c o d i n g = " U T F - 1 6 " ? > < G e m i n i   x m l n s = " h t t p : / / g e m i n i / p i v o t c u s t o m i z a t i o n / 8 5 c 5 d c 9 2 - a d 5 1 - 4 4 3 3 - b f 2 7 - 5 c 7 8 9 f 6 3 0 7 c c " > < C u s t o m C o n t e n t > < ! [ C D A T A [ < ? x m l   v e r s i o n = " 1 . 0 "   e n c o d i n g = " u t f - 1 6 " ? > < S e t t i n g s > < H S l i c e r s S h a p e > 0 ; 0 ; 0 ; 0 < / H S l i c e r s S h a p e > < V S l i c e r s S h a p e > 0 ; 0 ; 0 ; 0 < / V S l i c e r s S h a p e > < S l i c e r S h e e t N a m e > S u m m a r y   P i v o t < / S l i c e r S h e e t N a m e > < S A H o s t H a s h > 1 3 1 3 9 0 7 9 6 8 < / S A H o s t H a s h > < G e m i n i F i e l d L i s t V i s i b l e > T r u e < / G e m i n i F i e l d L i s t V i s i b l e > < / S e t t i n g s > ] ] > < / C u s t o m C o n t e n t > < / G e m i n i > 
</file>

<file path=customXml/item29.xml>��< ? x m l   v e r s i o n = " 1 . 0 "   e n c o d i n g = " U T F - 1 6 " ? > < G e m i n i   x m l n s = " h t t p : / / g e m i n i / p i v o t c u s t o m i z a t i o n / e 6 1 b 0 6 4 a - e 8 c 5 - 4 6 9 3 - 9 e 1 b - 9 2 a 3 1 c a f a 5 b 1 " > < C u s t o m C o n t e n t > < ! [ C D A T A [ < ? x m l   v e r s i o n = " 1 . 0 "   e n c o d i n g = " u t f - 1 6 " ? > < S e t t i n g s > < H S l i c e r s S h a p e > 0 ; 0 ; 0 ; 0 < / H S l i c e r s S h a p e > < V S l i c e r s S h a p e > 0 ; 0 ; 0 ; 0 < / V S l i c e r s S h a p e > < S l i c e r S h e e t N a m e > S h e e t 1 < / S l i c e r S h e e t N a m e > < S A H o s t H a s h > 1 5 5 3 3 2 7 3 5 1 < / S A H o s t H a s h > < G e m i n i F i e l d L i s t V i s i b l e > T r u e < / G e m i n i F i e l d L i s t V i s i b l e > < / S e t t i n g s > ] ] > < / C u s t o m C o n t e n t > < / G e m i n i > 
</file>

<file path=customXml/item3.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 7 9 < / i n t > < / v a l u e > < / i t e m > < i t e m > < k e y > < s t r i n g > Y e a r < / s t r i n g > < / k e y > < v a l u e > < i n t > 7 6 < / i n t > < / v a l u e > < / i t e m > < i t e m > < k e y > < s t r i n g > M o n t h   N u m b e r < / s t r i n g > < / k e y > < v a l u e > < i n t > 1 6 2 < / i n t > < / v a l u e > < / i t e m > < i t e m > < k e y > < s t r i n g > M o n t h < / s t r i n g > < / k e y > < v a l u e > < i n t > 9 5 < / i n t > < / v a l u e > < / i t e m > < i t e m > < k e y > < s t r i n g > M M M - Y Y Y Y < / s t r i n g > < / k e y > < v a l u e > < i n t > 1 3 2 < / i n t > < / v a l u e > < / i t e m > < i t e m > < k e y > < s t r i n g > D a y   O f   W e e k   N u m b e r < / s t r i n g > < / k e y > < v a l u e > < i n t > 2 1 0 < / i n t > < / v a l u e > < / i t e m > < i t e m > < k e y > < s t r i n g > D a y   O f   W e e k < / s t r i n g > < / k e y > < v a l u e > < i n t > 1 4 3 < / 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N B N _ R e m o v a l - f f c b 1 8 a 9 - 0 2 c 6 - 4 1 5 9 - b 0 5 3 - c b e d 5 2 1 8 7 f 1 6 " > < 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C o n s u m p t i o n   Q u a n t i t y & l t ; / s t r i n g & g t ; & l t ; / k e y & g t ; & l t ; v a l u e & g t ; & l t ; i n t & g t ; 1 7 4 & 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 G J & l t ; / s t r i n g & g t ; & l t ; / k e y & g t ; & l t ; v a l u e & g t ; & l t ; i n t & g t ; 1 5 6 & l t ; / i n t & g t ; & l t ; / v a l u e & g t ; & l t ; / i t e m & g t ; & l t ; i t e m & g t ; & l t ; k e y & g t ; & l t ; s t r i n g & g t ; T o t a l 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C o n s u m p t i o n   Q u a n t i t y & l t ; / s t r i n g & g t ; & l t ; / k e y & g t ; & l t ; v a l u e & g t ; & l t ; i n t & g t ; 1 & l t ; / i n t & g t ; & l t ; / v a l u e & g t ; & l t ; / i t e m & g t ; & l t ; i t e m & g t ; & l t ; k e y & g t ; & l t ; s t r i n g & g t ; S c o p e   1   k g   C O 2 - e & l t ; / s t r i n g & g t ; & l t ; / k e y & g t ; & l t ; v a l u e & g t ; & l t ; i n t & g t ; 2 & l t ; / i n t & g t ; & l t ; / v a l u e & g t ; & l t ; / i t e m & g t ; & l t ; i t e m & g t ; & l t ; k e y & g t ; & l t ; s t r i n g & g t ; S c o p e   2   k g   C O 2 - e & l t ; / s t r i n g & g t ; & l t ; / k e y & g t ; & l t ; v a l u e & g t ; & l t ; i n t & g t ; 3 & l t ; / i n t & g t ; & l t ; / v a l u e & g t ; & l t ; / i t e m & g t ; & l t ; i t e m & g t ; & l t ; k e y & g t ; & l t ; s t r i n g & g t ; S c o p e   3   k g   C O 2 - e & l t ; / s t r i n g & g t ; & l t ; / k e y & g t ; & l t ; v a l u e & g t ; & l t ; i n t & g t ; 4 & l t ; / i n t & g t ; & l t ; / v a l u e & g t ; & l t ; / i t e m & g t ; & l t ; i t e m & g t ; & l t ; k e y & g t ; & l t ; s t r i n g & g t ; T o t a l   G J & l t ; / s t r i n g & g t ; & l t ; / k e y & g t ; & l t ; v a l u e & g t ; & l t ; i n t & g t ; 5 & l t ; / i n t & g t ; & l t ; / v a l u e & g t ; & l t ; / i t e m & g t ; & l t ; i t e m & g t ; & l t ; k e y & g t ; & l t ; s t r i n g & g t ; T o t a l   E m i s s i o n s & 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31.xml>��< ? x m l   v e r s i o n = " 1 . 0 "   e n c o d i n g = " U T F - 1 6 " ? > < G e m i n i   x m l n s = " h t t p : / / g e m i n i / p i v o t c u s t o m i z a t i o n / c 7 3 7 5 d 7 d - 6 9 0 5 - 4 a 2 9 - 9 5 c d - 4 1 b a 1 5 1 a 3 f 4 4 " > < C u s t o m C o n t e n t > < ! [ C D A T A [ < ? x m l   v e r s i o n = " 1 . 0 "   e n c o d i n g = " u t f - 1 6 " ? > < S e t t i n g s > < H S l i c e r s S h a p e > 0 ; 0 ; 0 ; 0 < / H S l i c e r s S h a p e > < V S l i c e r s S h a p e > 0 ; 0 ; 0 ; 0 < / V S l i c e r s S h a p e > < S l i c e r S h e e t N a m e > C S R   S u m m a r y < / S l i c e r S h e e t N a m e > < S A H o s t H a s h > 1 5 3 2 1 5 2 5 9 4 < / S A H o s t H a s h > < G e m i n i F i e l d L i s t V i s i b l e > T r u e < / G e m i n i F i e l d L i s t V i s i b l e > < / S e t t i n g s > ] ] > < / C u s t o m C o n t e n t > < / G e m i n i > 
</file>

<file path=customXml/item3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 B C A _ R e m o v a l 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 B C A _ R e m o v a l 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 C o l u m n s \ R e p o r t i n g   A l i a s < / K e y > < / a : K e y > < a : V a l u e   i : t y p e = " T a b l e W i d g e t B a s e V i e w S t a t e " / > < / a : K e y V a l u e O f D i a g r a m O b j e c t K e y a n y T y p e z b w N T n L X > < a : K e y V a l u e O f D i a g r a m O b j e c t K e y a n y T y p e z b w N T n L X > < a : K e y > < K e y > C o l u m n s \ C o n s u m p t i o n   Q u a n t i t y < / K e y > < / a : K e y > < a : V a l u e   i : t y p e = " T a b l e W i d g e t B a s e V i e w S t a t e " / > < / a : K e y V a l u e O f D i a g r a m O b j e c t K e y a n y T y p e z b w N T n L X > < a : K e y V a l u e O f D i a g r a m O b j e c t K e y a n y T y p e z b w N T n L X > < a : K e y > < K e y > C o l u m n s \ S c o p e   2   k g   C O 2 - e < / K e y > < / a : K e y > < a : V a l u e   i : t y p e = " T a b l e W i d g e t B a s e V i e w S t a t e " / > < / a : K e y V a l u e O f D i a g r a m O b j e c t K e y a n y T y p e z b w N T n L X > < a : K e y V a l u e O f D i a g r a m O b j e c t K e y a n y T y p e z b w N T n L X > < a : K e y > < K e y > C o l u m n s \ S c o p e   1   k g   C O 2 - e < / K e y > < / a : K e y > < a : V a l u e   i : t y p e = " T a b l e W i d g e t B a s e V i e w S t a t e " / > < / a : K e y V a l u e O f D i a g r a m O b j e c t K e y a n y T y p e z b w N T n L X > < a : K e y V a l u e O f D i a g r a m O b j e c t K e y a n y T y p e z b w N T n L X > < a : K e y > < K e y > C o l u m n s \ S c o p e   3   k g   C O 2 - e < / K e y > < / a : K e y > < a : V a l u e   i : t y p e = " T a b l e W i d g e t B a s e V i e w S t a t e " / > < / a : K e y V a l u e O f D i a g r a m O b j e c t K e y a n y T y p e z b w N T n L X > < a : K e y V a l u e O f D i a g r a m O b j e c t K e y a n y T y p e z b w N T n L X > < a : K e y > < K e y > C o l u m n s \ T o t a l   G J < / K e y > < / a : K e y > < a : V a l u e   i : t y p e = " T a b l e W i d g e t B a s e V i e w S t a t e " / > < / a : K e y V a l u e O f D i a g r a m O b j e c t K e y a n y T y p e z b w N T n L X > < a : K e y V a l u e O f D i a g r a m O b j e c t K e y a n y T y p e z b w N T n L X > < a : K e y > < K e y > C o l u m n s \ T o t a l   E m i s s i o n s 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 N E T _ G e n s e t _ G r o u n d s 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 N E T _ G e n s e t _ G r o u n d s 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 C o l u m n s \ R e p o r t i n g   A l i a s < / K e y > < / a : K e y > < a : V a l u e   i : t y p e = " T a b l e W i d g e t B a s e V i e w S t a t e " / > < / a : K e y V a l u e O f D i a g r a m O b j e c t K e y a n y T y p e z b w N T n L X > < a : K e y V a l u e O f D i a g r a m O b j e c t K e y a n y T y p e z b w N T n L X > < a : K e y > < K e y > C o l u m n s \ E m i s s i o n   s o u r c e < / K e y > < / a : K e y > < a : V a l u e   i : t y p e = " T a b l e W i d g e t B a s e V i e w S t a t e " / > < / a : K e y V a l u e O f D i a g r a m O b j e c t K e y a n y T y p e z b w N T n L X > < a : K e y V a l u e O f D i a g r a m O b j e c t K e y a n y T y p e z b w N T n L X > < a : K e y > < K e y > C o l u m n s \ E n t i t y < / K e y > < / a : K e y > < a : V a l u e   i : t y p e = " T a b l e W i d g e t B a s e V i e w S t a t e " / > < / a : K e y V a l u e O f D i a g r a m O b j e c t K e y a n y T y p e z b w N T n L X > < a : K e y V a l u e O f D i a g r a m O b j e c t K e y a n y T y p e z b w N T n L X > < a : K e y > < K e y > C o l u m n s \ F u e l < / 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 C o l u m n s \ P r o d u c t i o n   Q u a n t i t y < / K e y > < / a : K e y > < a : V a l u e   i : t y p e = " T a b l e W i d g e t B a s e V i e w S t a t e " / > < / a : K e y V a l u e O f D i a g r a m O b j e c t K e y a n y T y p e z b w N T n L X > < a : K e y V a l u e O f D i a g r a m O b j e c t K e y a n y T y p e z b w N T n L X > < a : K e y > < K e y > C o l u m n s \ P r o d u c t i o n     U n i t s < / K e y > < / a : K e y > < a : V a l u e   i : t y p e = " T a b l e W i d g e t B a s e V i e w S t a t e " / > < / a : K e y V a l u e O f D i a g r a m O b j e c t K e y a n y T y p e z b w N T n L X > < a : K e y V a l u e O f D i a g r a m O b j e c t K e y a n y T y p e z b w N T n L X > < a : K e y > < K e y > C o l u m n s \ C o n s u m p t i o n   Q u a n t i t y < / K e y > < / a : K e y > < a : V a l u e   i : t y p e = " T a b l e W i d g e t B a s e V i e w S t a t e " / > < / a : K e y V a l u e O f D i a g r a m O b j e c t K e y a n y T y p e z b w N T n L X > < a : K e y V a l u e O f D i a g r a m O b j e c t K e y a n y T y p e z b w N T n L X > < a : K e y > < K e y > C o l u m n s \ T o t a l   G J < / K e y > < / a : K e y > < a : V a l u e   i : t y p e = " T a b l e W i d g e t B a s e V i e w S t a t e " / > < / a : K e y V a l u e O f D i a g r a m O b j e c t K e y a n y T y p e z b w N T n L X > < a : K e y V a l u e O f D i a g r a m O b j e c t K e y a n y T y p e z b w N T n L X > < a : K e y > < K e y > C o l u m n s \ S c o p e   1   k g   C O 2 - e < / K e y > < / a : K e y > < a : V a l u e   i : t y p e = " T a b l e W i d g e t B a s e V i e w S t a t e " / > < / a : K e y V a l u e O f D i a g r a m O b j e c t K e y a n y T y p e z b w N T n L X > < a : K e y V a l u e O f D i a g r a m O b j e c t K e y a n y T y p e z b w N T n L X > < a : K e y > < K e y > C o l u m n s \ S c o p e   2   k g   C O 2 - e < / K e y > < / a : K e y > < a : V a l u e   i : t y p e = " T a b l e W i d g e t B a s e V i e w S t a t e " / > < / a : K e y V a l u e O f D i a g r a m O b j e c t K e y a n y T y p e z b w N T n L X > < a : K e y V a l u e O f D i a g r a m O b j e c t K e y a n y T y p e z b w N T n L X > < a : K e y > < K e y > C o l u m n s \ S c o p e   3   k g   C O 2 - e < / K e y > < / a : K e y > < a : V a l u e   i : t y p e = " T a b l e W i d g e t B a s e V i e w S t a t e " / > < / a : K e y V a l u e O f D i a g r a m O b j e c t K e y a n y T y p e z b w N T n L X > < a : K e y V a l u e O f D i a g r a m O b j e c t K e y a n y T y p e z b w N T n L X > < a : K e y > < K e y > C o l u m n s \ T o t a l   E m i s s i o n s 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 C o n t r a c t o r _ F u e l s 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 C o n t r a c t o r _ F u e l s 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 C o l u m n s \ R e p o r t i n g   A l i a s < / K e y > < / a : K e y > < a : V a l u e   i : t y p e = " T a b l e W i d g e t B a s e V i e w S t a t e " / > < / a : K e y V a l u e O f D i a g r a m O b j e c t K e y a n y T y p e z b w N T n L X > < a : K e y V a l u e O f D i a g r a m O b j e c t K e y a n y T y p e z b w N T n L X > < a : K e y > < K e y > C o l u m n s \ C o n t r a c t o r   t y p e < / K e y > < / a : K e y > < a : V a l u e   i : t y p e = " T a b l e W i d g e t B a s e V i e w S t a t e " / > < / a : K e y V a l u e O f D i a g r a m O b j e c t K e y a n y T y p e z b w N T n L X > < a : K e y V a l u e O f D i a g r a m O b j e c t K e y a n y T y p e z b w N T n L X > < a : K e y > < K e y > C o l u m n s \ S o u r c e   N a m e < / K e y > < / a : K e y > < a : V a l u e   i : t y p e = " T a b l e W i d g e t B a s e V i e w S t a t e " / > < / a : K e y V a l u e O f D i a g r a m O b j e c t K e y a n y T y p e z b w N T n L X > < a : K e y V a l u e O f D i a g r a m O b j e c t K e y a n y T y p e z b w N T n L X > < a : K e y > < K e y > C o l u m n s \ A c t i v i t y   T y p e < / K e y > < / a : K e y > < a : V a l u e   i : t y p e = " T a b l e W i d g e t B a s e V i e w S t a t e " / > < / a : K e y V a l u e O f D i a g r a m O b j e c t K e y a n y T y p e z b w N T n L X > < a : K e y V a l u e O f D i a g r a m O b j e c t K e y a n y T y p e z b w N T n L X > < a : K e y > < K e y > C o l u m n s \ A c t i v i t y   T y p e   C o n t e x t < / K e y > < / a : K e y > < a : V a l u e   i : t y p e = " T a b l e W i d g e t B a s e V i e w S t a t e " / > < / a : K e y V a l u e O f D i a g r a m O b j e c t K e y a n y T y p e z b w N T n L X > < a : K e y V a l u e O f D i a g r a m O b j e c t K e y a n y T y p e z b w N T n L X > < a : K e y > < K e y > C o l u m n s \ E n t i t y < / K e y > < / a : K e y > < a : V a l u e   i : t y p e = " T a b l e W i d g e t B a s e V i e w S t a t e " / > < / a : K e y V a l u e O f D i a g r a m O b j e c t K e y a n y T y p e z b w N T n L X > < a : K e y V a l u e O f D i a g r a m O b j e c t K e y a n y T y p e z b w N T n L X > < a : K e y > < K e y > C o l u m n s \ F u e l < / 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 C o l u m n s \ C o n s u m p t i o n   Q u a n t i t y   ( L ) < / K e y > < / a : K e y > < a : V a l u e   i : t y p e = " T a b l e W i d g e t B a s e V i e w S t a t e " / > < / a : K e y V a l u e O f D i a g r a m O b j e c t K e y a n y T y p e z b w N T n L X > < a : K e y V a l u e O f D i a g r a m O b j e c t K e y a n y T y p e z b w N T n L X > < a : K e y > < K e y > C o l u m n s \ C o n s u m p t i o n     U n i t s < / K e y > < / a : K e y > < a : V a l u e   i : t y p e = " T a b l e W i d g e t B a s e V i e w S t a t e " / > < / a : K e y V a l u e O f D i a g r a m O b j e c t K e y a n y T y p e z b w N T n L X > < a : K e y V a l u e O f D i a g r a m O b j e c t K e y a n y T y p e z b w N T n L X > < a : K e y > < K e y > C o l u m n s \ C o n s u m p t i o n   Q u a n t i t y < / K e y > < / a : K e y > < a : V a l u e   i : t y p e = " T a b l e W i d g e t B a s e V i e w S t a t e " / > < / a : K e y V a l u e O f D i a g r a m O b j e c t K e y a n y T y p e z b w N T n L X > < a : K e y V a l u e O f D i a g r a m O b j e c t K e y a n y T y p e z b w N T n L X > < a : K e y > < K e y > C o l u m n s \ T o t a l   G J < / K e y > < / a : K e y > < a : V a l u e   i : t y p e = " T a b l e W i d g e t B a s e V i e w S t a t e " / > < / a : K e y V a l u e O f D i a g r a m O b j e c t K e y a n y T y p e z b w N T n L X > < a : K e y V a l u e O f D i a g r a m O b j e c t K e y a n y T y p e z b w N T n L X > < a : K e y > < K e y > C o l u m n s \ S c o p e   1   k g   C O 2 - e < / K e y > < / a : K e y > < a : V a l u e   i : t y p e = " T a b l e W i d g e t B a s e V i e w S t a t e " / > < / a : K e y V a l u e O f D i a g r a m O b j e c t K e y a n y T y p e z b w N T n L X > < a : K e y V a l u e O f D i a g r a m O b j e c t K e y a n y T y p e z b w N T n L X > < a : K e y > < K e y > C o l u m n s \ S c o p e   2   k g   C O 2 - e < / K e y > < / a : K e y > < a : V a l u e   i : t y p e = " T a b l e W i d g e t B a s e V i e w S t a t e " / > < / a : K e y V a l u e O f D i a g r a m O b j e c t K e y a n y T y p e z b w N T n L X > < a : K e y V a l u e O f D i a g r a m O b j e c t K e y a n y T y p e z b w N T n L X > < a : K e y > < K e y > C o l u m n s \ S c o p e   3   k g   C O 2 - e < / K e y > < / a : K e y > < a : V a l u e   i : t y p e = " T a b l e W i d g e t B a s e V i e w S t a t e " / > < / a : K e y V a l u e O f D i a g r a m O b j e c t K e y a n y T y p e z b w N T n L X > < a : K e y V a l u e O f D i a g r a m O b j e c t K e y a n y T y p e z b w N T n L X > < a : K e y > < K e y > C o l u m n s \ T o t a l   E m i s s i o n s 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3.xml>��< ? x m l   v e r s i o n = " 1 . 0 "   e n c o d i n g = " U T F - 1 6 " ? > < G e m i n i   x m l n s = " h t t p : / / g e m i n i / p i v o t c u s t o m i z a t i o n / 4 6 7 8 8 5 c 5 - 1 d 3 2 - 4 c 4 a - 8 7 2 0 - c 8 d e 2 6 c 9 6 0 5 0 " > < C u s t o m C o n t e n t > < ! [ C D A T A [ < ? x m l   v e r s i o n = " 1 . 0 "   e n c o d i n g = " u t f - 1 6 " ? > < S e t t i n g s > < H S l i c e r s S h a p e > 0 ; 0 ; 0 ; 0 < / H S l i c e r s S h a p e > < V S l i c e r s S h a p e > 0 ; 0 ; 0 ; 0 < / V S l i c e r s S h a p e > < S l i c e r S h e e t N a m e > L e v e l   1   S u m m a r y < / S l i c e r S h e e t N a m e > < S A H o s t H a s h > 6 6 4 3 0 9 5 2 < / S A H o s t H a s h > < G e m i n i F i e l d L i s t V i s i b l e > T r u e < / G e m i n i F i e l d L i s t V i s i b l e > < / S e t t i n g s > ] ] > < / C u s t o m C o n t e n t > < / G e m i n i > 
</file>

<file path=customXml/item34.xml>��< ? x m l   v e r s i o n = " 1 . 0 "   e n c o d i n g = " U T F - 1 6 " ? > < G e m i n i   x m l n s = " h t t p : / / g e m i n i / p i v o t c u s t o m i z a t i o n / 4 8 3 3 6 9 4 a - e c a a - 4 1 1 a - b a 1 1 - 9 3 a e d c 8 d 4 4 d 6 " > < C u s t o m C o n t e n t > < ! [ C D A T A [ < ? x m l   v e r s i o n = " 1 . 0 "   e n c o d i n g = " u t f - 1 6 " ? > < S e t t i n g s > < H S l i c e r s S h a p e > 0 ; 0 ; 0 ; 0 < / H S l i c e r s S h a p e > < V S l i c e r s S h a p e > 0 ; 0 ; 0 ; 0 < / V S l i c e r s S h a p e > < S l i c e r S h e e t N a m e > E l e c t r i c i t y   O n   G r i d < / S l i c e r S h e e t N a m e > < S A H o s t H a s h > 9 8 9 2 4 5 2 4 8 < / S A H o s t H a s h > < G e m i n i F i e l d L i s t V i s i b l e > T r u e < / G e m i n i F i e l d L i s t V i s i b l e > < / S e t t i n g s > ] ] > < / C u s t o m C o n t e n t > < / G e m i n i > 
</file>

<file path=customXml/item35.xml>��< ? x m l   v e r s i o n = " 1 . 0 "   e n c o d i n g = " U T F - 1 6 " ? > < G e m i n i   x m l n s = " h t t p : / / g e m i n i / p i v o t c u s t o m i z a t i o n / 2 6 e 5 6 9 3 a - 1 0 3 f - 4 a 0 7 - 8 f 8 8 - 2 3 3 1 4 f c 1 7 b 3 8 " > < C u s t o m C o n t e n t > < ! [ C D A T A [ < ? x m l   v e r s i o n = " 1 . 0 "   e n c o d i n g = " u t f - 1 6 " ? > < S e t t i n g s > < H S l i c e r s S h a p e > 0 ; 0 ; 0 ; 0 < / H S l i c e r s S h a p e > < V S l i c e r s S h a p e > 0 ; 0 ; 0 ; 0 < / V S l i c e r s S h a p e > < S l i c e r S h e e t N a m e > C S R   S u m m a r y < / S l i c e r S h e e t N a m e > < S A H o s t H a s h > 5 2 7 9 8 6 2 9 < / S A H o s t H a s h > < G e m i n i F i e l d L i s t V i s i b l e > T r u e < / G e m i n i F i e l d L i s t V i s i b l e > < / S e t t i n g s > ] ] > < / C u s t o m C o n t e n t > < / G e m i n i > 
</file>

<file path=customXml/item36.xml>��< ? x m l   v e r s i o n = " 1 . 0 "   e n c o d i n g = " U T F - 1 6 " ? > < G e m i n i   x m l n s = " h t t p : / / g e m i n i / p i v o t c u s t o m i z a t i o n / f a b 6 e 4 1 f - b a 4 6 - 4 b 2 6 - 9 f d c - 8 d 3 3 2 b f 7 7 6 b f " > < C u s t o m C o n t e n t > < ! [ C D A T A [ < ? x m l   v e r s i o n = " 1 . 0 "   e n c o d i n g = " u t f - 1 6 " ? > < S e t t i n g s > < H S l i c e r s S h a p e > 0 ; 0 ; 0 ; 0 < / H S l i c e r s S h a p e > < V S l i c e r s S h a p e > 0 ; 0 ; 0 ; 0 < / V S l i c e r s S h a p e > < S l i c e r S h e e t N a m e > M a i n s   G a s < / S l i c e r S h e e t N a m e > < S A H o s t H a s h > 1 0 7 6 5 5 6 9 2 4 < / S A H o s t H a s h > < G e m i n i F i e l d L i s t V i s i b l e > T r u e < / G e m i n i F i e l d L i s t V i s i b l e > < / S e t t i n g s > ] ] > < / C u s t o m C o n t e n t > < / G e m i n i > 
</file>

<file path=customXml/item37.xml>��< ? x m l   v e r s i o n = " 1 . 0 "   e n c o d i n g = " U T F - 1 6 " ? > < G e m i n i   x m l n s = " h t t p : / / g e m i n i / p i v o t c u s t o m i z a t i o n / T a b l e X M L _ G r o u n d s _ F u e l s - 7 8 a 6 7 c 4 3 - f 5 e 2 - 4 8 9 4 - 8 d 2 9 - c 2 f e e 9 1 6 9 7 9 9 " > < 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S o u r c e   N a m e & l t ; / s t r i n g & g t ; & l t ; / k e y & g t ; & l t ; v a l u e & g t ; & l t ; i n t & g t ; 1 1 8 & l t ; / i n t & g t ; & l t ; / v a l u e & g t ; & l t ; / i t e m & g t ; & l t ; i t e m & g t ; & l t ; k e y & g t ; & l t ; s t r i n g & g t ; A c t i v i t y   T y p e   C o n t e x t & l t ; / s t r i n g & g t ; & l t ; / k e y & g t ; & l t ; v a l u e & g t ; & l t ; i n t & g t ; 1 6 6 & l t ; / i n t & g t ; & l t ; / v a l u e & g t ; & l t ; / i t e m & g t ; & l t ; i t e m & g t ; & l t ; k e y & g t ; & l t ; s t r i n g & g t ; A c t i v i t y   T y p e & l t ; / s t r i n g & g t ; & l t ; / k e y & g t ; & l t ; v a l u e & g t ; & l t ; i n t & g t ; 1 1 4 & l t ; / i n t & g t ; & l t ; / v a l u e & g t ; & l t ; / i t e m & g t ; & l t ; i t e m & g t ; & l t ; k e y & g t ; & l t ; s t r i n g & g t ; F u e l & l t ; / s t r i n g & g t ; & l t ; / k e y & g t ; & l t ; v a l u e & g t ; & l t ; i n t & g t ; 6 3 & l t ; / i n t & g t ; & l t ; / v a l u e & g t ; & l t ; / i t e m & g t ; & l t ; i t e m & g t ; & l t ; k e y & g t ; & l t ; s t r i n g & g t ; E n t i t y & l t ; / s t r i n g & g t ; & l t ; / k e y & g t ; & l t ; v a l u e & g t ; & l t ; i n t & g t ; 7 1 & l t ; / i n t & g t ; & l t ; / v a l u e & g t ; & l t ; / i t e m & g t ; & l t ; i t e m & g t ; & l t ; k e y & g t ; & l t ; s t r i n g & g t ; S t a t e & l t ; / s t r i n g & g t ; & l t ; / k e y & g t ; & l t ; v a l u e & g t ; & l t ; i n t & g t ; 6 8 & l t ; / i n t & g t ; & l t ; / v a l u e & g t ; & l t ; / i t e m & g t ; & l t ; i t e m & g t ; & l t ; k e y & g t ; & l t ; s t r i n g & g t ; C o n s u m p t i o n   Q u a n t i t y & l t ; / s t r i n g & g t ; & l t ; / k e y & g t ; & l t ; v a l u e & g t ; & l t ; i n t & g t ; 1 7 4 & l t ; / i n t & g t ; & l t ; / v a l u e & g t ; & l t ; / i t e m & g t ; & l t ; i t e m & g t ; & l t ; k e y & g t ; & l t ; s t r i n g & g t ; C o n s u m p t i o n     U n i t s & l t ; / s t r i n g & g t ; & l t ; / k e y & g t ; & l t ; v a l u e & g t ; & l t ; i n t & g t ; 1 5 6 & l t ; / i n t & g t ; & l t ; / v a l u e & g t ; & l t ; / i t e m & g t ; & l t ; i t e m & g t ; & l t ; k e y & g t ; & l t ; s t r i n g & g t ; C o n s u m p t i o n   Q u a n t i t y   ( L ) & l t ; / s t r i n g & g t ; & l t ; / k e y & g t ; & l t ; v a l u e & g t ; & l t ; i n t & g t ; 1 9 3 & l t ; / i n t & g t ; & l t ; / v a l u e & g t ; & l t ; / i t e m & g t ; & l t ; i t e m & g t ; & l t ; k e y & g t ; & l t ; s t r i n g & g t ; T o t a l   G J & l t ; / s t r i n g & g t ; & l t ; / k e y & g t ; & l t ; v a l u e & g t ; & l t ; i n t & g t ; 1 5 6 & l t ; / i n t & g t ; & l t ; / v a l u e & g t ; & l t ; / i t e m & g t ; & l t ; i t e m & g t ; & l t ; k e y & g t ; & l t ; s t r i n g & g t ; S c o p e 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E m i s s i o n s & l t ; / s t r i n g & g t ; & l t ; / k e y & g t ; & l t ; v a l u e & g t ; & l t ; i n t & g t ; 1 5 6 & l t ; / i n t & g t ; & l t ; / v a l u e & g t ; & l t ; / i t e m & g t ; & l t ; / C o l u m n W i d t h s & g t ; & l t ; C o l u m n D i s p l a y I n d e x & g t ; & l t ; i t e m & g t ; & l t ; k e y & g t ; & l t ; s t r i n g & g t ; R e p o r t i n g   A l i a s & l t ; / s t r i n g & g t ; & l t ; / k e y & g t ; & l t ; v a l u e & g t ; & l t ; i n t & g t ; 0 & l t ; / i n t & g t ; & l t ; / v a l u e & g t ; & l t ; / i t e m & g t ; & l t ; i t e m & g t ; & l t ; k e y & g t ; & l t ; s t r i n g & g t ; S o u r c e   N a m e & l t ; / s t r i n g & g t ; & l t ; / k e y & g t ; & l t ; v a l u e & g t ; & l t ; i n t & g t ; 1 & l t ; / i n t & g t ; & l t ; / v a l u e & g t ; & l t ; / i t e m & g t ; & l t ; i t e m & g t ; & l t ; k e y & g t ; & l t ; s t r i n g & g t ; A c t i v i t y   T y p e   C o n t e x t & l t ; / s t r i n g & g t ; & l t ; / k e y & g t ; & l t ; v a l u e & g t ; & l t ; i n t & g t ; 2 & l t ; / i n t & g t ; & l t ; / v a l u e & g t ; & l t ; / i t e m & g t ; & l t ; i t e m & g t ; & l t ; k e y & g t ; & l t ; s t r i n g & g t ; A c t i v i t y   T y p e & l t ; / s t r i n g & g t ; & l t ; / k e y & g t ; & l t ; v a l u e & g t ; & l t ; i n t & g t ; 3 & l t ; / i n t & g t ; & l t ; / v a l u e & g t ; & l t ; / i t e m & g t ; & l t ; i t e m & g t ; & l t ; k e y & g t ; & l t ; s t r i n g & g t ; F u e l & l t ; / s t r i n g & g t ; & l t ; / k e y & g t ; & l t ; v a l u e & g t ; & l t ; i n t & g t ; 4 & l t ; / i n t & g t ; & l t ; / v a l u e & g t ; & l t ; / i t e m & g t ; & l t ; i t e m & g t ; & l t ; k e y & g t ; & l t ; s t r i n g & g t ; E n t i t y & l t ; / s t r i n g & g t ; & l t ; / k e y & g t ; & l t ; v a l u e & g t ; & l t ; i n t & g t ; 5 & l t ; / i n t & g t ; & l t ; / v a l u e & g t ; & l t ; / i t e m & g t ; & l t ; i t e m & g t ; & l t ; k e y & g t ; & l t ; s t r i n g & g t ; S t a t e & l t ; / s t r i n g & g t ; & l t ; / k e y & g t ; & l t ; v a l u e & g t ; & l t ; i n t & g t ; 6 & l t ; / i n t & g t ; & l t ; / v a l u e & g t ; & l t ; / i t e m & g t ; & l t ; i t e m & g t ; & l t ; k e y & g t ; & l t ; s t r i n g & g t ; C o n s u m p t i o n   Q u a n t i t y & l t ; / s t r i n g & g t ; & l t ; / k e y & g t ; & l t ; v a l u e & g t ; & l t ; i n t & g t ; 9 & l t ; / i n t & g t ; & l t ; / v a l u e & g t ; & l t ; / i t e m & g t ; & l t ; i t e m & g t ; & l t ; k e y & g t ; & l t ; s t r i n g & g t ; C o n s u m p t i o n     U n i t s & l t ; / s t r i n g & g t ; & l t ; / k e y & g t ; & l t ; v a l u e & g t ; & l t ; i n t & g t ; 8 & l t ; / i n t & g t ; & l t ; / v a l u e & g t ; & l t ; / i t e m & g t ; & l t ; i t e m & g t ; & l t ; k e y & g t ; & l t ; s t r i n g & g t ; C o n s u m p t i o n   Q u a n t i t y   ( L ) & l t ; / s t r i n g & g t ; & l t ; / k e y & g t ; & l t ; v a l u e & g t ; & l t ; i n t & g t ; 7 & l t ; / i n t & g t ; & l t ; / v a l u e & g t ; & l t ; / i t e m & g t ; & l t ; i t e m & g t ; & l t ; k e y & g t ; & l t ; s t r i n g & g t ; T o t a l   G J & l t ; / s t r i n g & g t ; & l t ; / k e y & g t ; & l t ; v a l u e & g t ; & l t ; i n t & g t ; 1 0 & l t ; / i n t & g t ; & l t ; / v a l u e & g t ; & l t ; / i t e m & g t ; & l t ; i t e m & g t ; & l t ; k e y & g t ; & l t ; s t r i n g & g t ; S c o p e   1   k g   C O 2 - e & l t ; / s t r i n g & g t ; & l t ; / k e y & g t ; & l t ; v a l u e & g t ; & l t ; i n t & g t ; 1 1 & l t ; / i n t & g t ; & l t ; / v a l u e & g t ; & l t ; / i t e m & g t ; & l t ; i t e m & g t ; & l t ; k e y & g t ; & l t ; s t r i n g & g t ; S c o p e   2   k g   C O 2 - e & l t ; / s t r i n g & g t ; & l t ; / k e y & g t ; & l t ; v a l u e & g t ; & l t ; i n t & g t ; 1 2 & l t ; / i n t & g t ; & l t ; / v a l u e & g t ; & l t ; / i t e m & g t ; & l t ; i t e m & g t ; & l t ; k e y & g t ; & l t ; s t r i n g & g t ; S c o p e   3   k g   C O 2 - e & l t ; / s t r i n g & g t ; & l t ; / k e y & g t ; & l t ; v a l u e & g t ; & l t ; i n t & g t ; 1 3 & l t ; / i n t & g t ; & l t ; / v a l u e & g t ; & l t ; / i t e m & g t ; & l t ; i t e m & g t ; & l t ; k e y & g t ; & l t ; s t r i n g & g t ; T o t a l   E m i s s i o n s & l t ; / s t r i n g & g t ; & l t ; / k e y & g t ; & l t ; v a l u e & g t ; & l t ; i n t & g t ; 1 4 & l t ; / i n t & g t ; & l t ; / v a l u e & g t ; & l t ; / i t e m & g t ; & l t ; / C o l u m n D i s p l a y I n d e x & g t ; & l t ; C o l u m n F r o z e n   / & g t ; & l t ; C o l u m n C h e c k e d   / & g t ; & l t ; C o l u m n F i l t e r   / & g t ; & l t ; S e l e c t i o n F i l t e r   / & g t ; & l t ; F i l t e r P a r a m e t e r s   / & g t ; & l t ; I s S o r t D e s c e n d i n g & g t ; f a l s e & l t ; / I s S o r t D e s c e n d i n g & g t ; & l t ; / T a b l e W i d g e t G r i d S e r i a l i z a t i o n & g t ; < / C u s t o m C o n t e n t > < / G e m i n i > 
</file>

<file path=customXml/item38.xml>��< ? x m l   v e r s i o n = " 1 . 0 "   e n c o d i n g = " U T F - 1 6 " ? > < G e m i n i   x m l n s = " h t t p : / / g e m i n i / p i v o t c u s t o m i z a t i o n / a 2 2 3 9 e c f - 4 e 7 4 - 4 2 b 4 - 9 9 4 0 - 3 4 f 7 2 3 c 5 3 1 d b " > < C u s t o m C o n t e n t > < ! [ C D A T A [ < ? x m l   v e r s i o n = " 1 . 0 "   e n c o d i n g = " u t f - 1 6 " ? > < S e t t i n g s > < H S l i c e r s S h a p e > 0 ; 0 ; 0 ; 0 < / H S l i c e r s S h a p e > < V S l i c e r s S h a p e > 0 ; 0 ; 0 ; 0 < / V S l i c e r s S h a p e > < S l i c e r S h e e t N a m e > S u m m a r y   P i v o t < / S l i c e r S h e e t N a m e > < S A H o s t H a s h > 8 4 7 4 9 2 8 8 8 < / S A H o s t H a s h > < G e m i n i F i e l d L i s t V i s i b l e > T r u e < / G e m i n i F i e l d L i s t V i s i b l e > < / S e t t i n g s > ] ] > < / C u s t o m C o n t e n t > < / G e m i n i > 
</file>

<file path=customXml/item39.xml>��< ? x m l   v e r s i o n = " 1 . 0 "   e n c o d i n g = " U T F - 1 6 " ? > < G e m i n i   x m l n s = " h t t p : / / g e m i n i / p i v o t c u s t o m i z a t i o n / a d 8 d b 2 4 d - 7 f e 7 - 4 6 8 0 - 9 4 c f - 8 c 6 b 6 4 b a e 2 e 6 " > < C u s t o m C o n t e n t > < ! [ C D A T A [ < ? x m l   v e r s i o n = " 1 . 0 "   e n c o d i n g = " u t f - 1 6 " ? > < S e t t i n g s > < H S l i c e r s S h a p e > 0 ; 0 ; 0 ; 0 < / H S l i c e r s S h a p e > < V S l i c e r s S h a p e > 0 ; 0 ; 0 ; 0 < / V S l i c e r s S h a p e > < S l i c e r S h e e t N a m e > S u m m a r y   P i v o t < / S l i c e r S h e e t N a m e > < S A H o s t H a s h > 3 4 0 9 8 5 7 5 0 < / S A H o s t H a s h > < G e m i n i F i e l d L i s t V i s i b l e > T r u e < / G e m i n i F i e l d L i s t V i s i b l e > < / S e t t i n g s > ] ] > < / C u s t o m C o n t e n t > < / G e m i n i > 
</file>

<file path=customXml/item4.xml>��< ? x m l   v e r s i o n = " 1 . 0 "   e n c o d i n g = " U T F - 1 6 " ? > < G e m i n i   x m l n s = " h t t p : / / g e m i n i / p i v o t c u s t o m i z a t i o n / 1 1 1 0 7 9 0 2 - d 5 c 0 - 4 f 4 4 - b b c 8 - e 1 5 4 9 3 0 0 7 3 7 5 " > < C u s t o m C o n t e n t > < ! [ C D A T A [ < ? x m l   v e r s i o n = " 1 . 0 "   e n c o d i n g = " u t f - 1 6 " ? > < S e t t i n g s > < H S l i c e r s S h a p e > 0 ; 0 ; 0 ; 0 < / H S l i c e r s S h a p e > < V S l i c e r s S h a p e > 0 ; 0 ; 0 ; 0 < / V S l i c e r s S h a p e > < S l i c e r S h e e t N a m e > S u m m a r y   P i v o t < / S l i c e r S h e e t N a m e > < S A H o s t H a s h > 3 6 8 2 3 5 0 7 3 < / S A H o s t H a s h > < G e m i n i F i e l d L i s t V i s i b l e > T r u e < / G e m i n i F i e l d L i s t V i s i b l e > < / S e t t i n g s > ] ] > < / C u s t o m C o n t e n t > < / G e m i n i > 
</file>

<file path=customXml/item40.xml>��< ? x m l   v e r s i o n = " 1 . 0 "   e n c o d i n g = " U T F - 1 6 " ? > < G e m i n i   x m l n s = " h t t p : / / g e m i n i / p i v o t c u s t o m i z a t i o n / T a b l e X M L _ G H G - 3 9 0 a 7 7 8 f - a 1 b 0 - 4 4 e 0 - 9 a 9 3 - 2 e 2 5 c 9 e a 9 f e 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E n e r g y   C a t e g o r y & l t ; / s t r i n g & g t ; & l t ; / k e y & g t ; & l t ; v a l u e & g t ; & l t ; i n t & g t ; 1 3 6 & l t ; / i n t & g t ; & l t ; / v a l u e & g t ; & l t ; / i t e m & g t ; & l t ; i t e m & g t ; & l t ; k e y & g t ; & l t ; s t r i n g & g t ; P u r p o s e & l t ; / s t r i n g & g t ; & l t ; / k e y & g t ; & l t ; v a l u e & g t ; & l t ; i n t & g t ; 8 7 & l t ; / i n t & g t ; & l t ; / v a l u e & g t ; & l t ; / i t e m & g t ; & l t ; i t e m & g t ; & l t ; k e y & g t ; & l t ; s t r i n g & g t ; S t a t e & l t ; / s t r i n g & g t ; & l t ; / k e y & g t ; & l t ; v a l u e & g t ; & l t ; i n t & g t ; 6 8 & l t ; / i n t & g t ; & l t ; / v a l u e & g t ; & l t ; / i t e m & g t ; & l t ; i t e m & g t ; & l t ; k e y & g t ; & l t ; s t r i n g & g t ; D e f a u l t   U n i t & l t ; / s t r i n g & g t ; & l t ; / k e y & g t ; & l t ; v a l u e & g t ; & l t ; i n t & g t ; 1 1 1 & l t ; / i n t & g t ; & l t ; / v a l u e & g t ; & l t ; / i t e m & g t ; & l t ; i t e m & g t ; & l t ; k e y & g t ; & l t ; s t r i n g & g t ; U n i t   C o n v e r s i o n   F a c t o r & l t ; / s t r i n g & g t ; & l t ; / k e y & g t ; & l t ; v a l u e & g t ; & l t ; i n t & g t ; 1 7 6 & l t ; / i n t & g t ; & l t ; / v a l u e & g t ; & l t ; / i t e m & g t ; & l t ; i t e m & g t ; & l t ; k e y & g t ; & l t ; s t r i n g & g t ; U n i t & l t ; / s t r i n g & g t ; & l t ; / k e y & g t ; & l t ; v a l u e & g t ; & l t ; i n t & g t ; 6 2 & l t ; / i n t & g t ; & l t ; / v a l u e & g t ; & l t ; / i t e m & g t ; & l t ; i t e m & g t ; & l t ; k e y & g t ; & l t ; s t r i n g & g t ; E n e r g y   c o n t e n t   f a c t o r & l t ; / s t r i n g & g t ; & l t ; / k e y & g t ; & l t ; v a l u e & g t ; & l t ; i n t & g t ; 1 6 8 & l t ; / i n t & g t ; & l t ; / v a l u e & g t ; & l t ; / i t e m & g t ; & l t ; i t e m & g t ; & l t ; k e y & g t ; & l t ; s t r i n g & g t ; E C   U n i t & l t ; / s t r i n g & g t ; & l t ; / k e y & g t ; & l t ; v a l u e & g t ; & l t ; i n t & g t ; 8 0 & l t ; / i n t & g t ; & l t ; / v a l u e & g t ; & l t ; / i t e m & g t ; & l t ; i t e m & g t ; & l t ; k e y & g t ; & l t ; s t r i n g & g t ; S c o p e   1   E m i s s i o n   f a c t o r & l t ; / s t r i n g & g t ; & l t ; / k e y & g t ; & l t ; v a l u e & g t ; & l t ; i n t & g t ; 1 8 0 & l t ; / i n t & g t ; & l t ; / v a l u e & g t ; & l t ; / i t e m & g t ; & l t ; i t e m & g t ; & l t ; k e y & g t ; & l t ; s t r i n g & g t ; S c o p e   2   E m i s s i o n   f a c t o r & l t ; / s t r i n g & g t ; & l t ; / k e y & g t ; & l t ; v a l u e & g t ; & l t ; i n t & g t ; 1 8 0 & l t ; / i n t & g t ; & l t ; / v a l u e & g t ; & l t ; / i t e m & g t ; & l t ; i t e m & g t ; & l t ; k e y & g t ; & l t ; s t r i n g & g t ; S c o p e   3   E m i s s i o n   f a c t o r & l t ; / s t r i n g & g t ; & l t ; / k e y & g t ; & l t ; v a l u e & g t ; & l t ; i n t & g t ; 1 8 0 & l t ; / i n t & g t ; & l t ; / v a l u e & g t ; & l t ; / i t e m & g t ; & l t ; i t e m & g t ; & l t ; k e y & g t ; & l t ; s t r i n g & g t ; E F   U n i t & l t ; / s t r i n g & g t ; & l t ; / k e y & g t ; & l t ; v a l u e & g t ; & l t ; i n t & g t ; 7 9 & l t ; / i n t & g t ; & l t ; / v a l u e & g t ; & l t ; / i t e m & g t ; & l t ; i t e m & g t ; & l t ; k e y & g t ; & l t ; s t r i n g & g t ; D a t a   S o u r c e   ( s c o p e   1 ) & l t ; / s t r i n g & g t ; & l t ; / k e y & g t ; & l t ; v a l u e & g t ; & l t ; i n t & g t ; 1 6 8 & l t ; / i n t & g t ; & l t ; / v a l u e & g t ; & l t ; / i t e m & g t ; & l t ; i t e m & g t ; & l t ; k e y & g t ; & l t ; s t r i n g & g t ; D a t a   S o u r c e   ( s c o p e   2 ) & l t ; / s t r i n g & g t ; & l t ; / k e y & g t ; & l t ; v a l u e & g t ; & l t ; i n t & g t ; 1 6 8 & l t ; / i n t & g t ; & l t ; / v a l u e & g t ; & l t ; / i t e m & g t ; & l t ; i t e m & g t ; & l t ; k e y & g t ; & l t ; s t r i n g & g t ; D a t a   S o u r c e   ( s c o p e   3 ) & l t ; / s t r i n g & g t ; & l t ; / k e y & g t ; & l t ; v a l u e & g t ; & l t ; i n t & g t ; 1 6 8 & l t ; / i n t & g t ; & l t ; / v a l u e & g t ; & l t ; / i t e m & g t ; & l t ; / C o l u m n W i d t h s & g t ; & l t ; C o l u m n D i s p l a y I n d e x & g t ; & l t ; i t e m & g t ; & l t ; k e y & g t ; & l t ; s t r i n g & g t ; R e p o r t i n g   A l i a s & l t ; / s t r i n g & g t ; & l t ; / k e y & g t ; & l t ; v a l u e & g t ; & l t ; i n t & g t ; 0 & l t ; / i n t & g t ; & l t ; / v a l u e & g t ; & l t ; / i t e m & g t ; & l t ; i t e m & g t ; & l t ; k e y & g t ; & l t ; s t r i n g & g t ; E n e r g y   C a t e g o r y & l t ; / s t r i n g & g t ; & l t ; / k e y & g t ; & l t ; v a l u e & g t ; & l t ; i n t & g t ; 1 & l t ; / i n t & g t ; & l t ; / v a l u e & g t ; & l t ; / i t e m & g t ; & l t ; i t e m & g t ; & l t ; k e y & g t ; & l t ; s t r i n g & g t ; P u r p o s e & l t ; / s t r i n g & g t ; & l t ; / k e y & g t ; & l t ; v a l u e & g t ; & l t ; i n t & g t ; 2 & l t ; / i n t & g t ; & l t ; / v a l u e & g t ; & l t ; / i t e m & g t ; & l t ; i t e m & g t ; & l t ; k e y & g t ; & l t ; s t r i n g & g t ; S t a t e & l t ; / s t r i n g & g t ; & l t ; / k e y & g t ; & l t ; v a l u e & g t ; & l t ; i n t & g t ; 3 & l t ; / i n t & g t ; & l t ; / v a l u e & g t ; & l t ; / i t e m & g t ; & l t ; i t e m & g t ; & l t ; k e y & g t ; & l t ; s t r i n g & g t ; D e f a u l t   U n i t & l t ; / s t r i n g & g t ; & l t ; / k e y & g t ; & l t ; v a l u e & g t ; & l t ; i n t & g t ; 4 & l t ; / i n t & g t ; & l t ; / v a l u e & g t ; & l t ; / i t e m & g t ; & l t ; i t e m & g t ; & l t ; k e y & g t ; & l t ; s t r i n g & g t ; U n i t   C o n v e r s i o n   F a c t o r & l t ; / s t r i n g & g t ; & l t ; / k e y & g t ; & l t ; v a l u e & g t ; & l t ; i n t & g t ; 5 & l t ; / i n t & g t ; & l t ; / v a l u e & g t ; & l t ; / i t e m & g t ; & l t ; i t e m & g t ; & l t ; k e y & g t ; & l t ; s t r i n g & g t ; U n i t & l t ; / s t r i n g & g t ; & l t ; / k e y & g t ; & l t ; v a l u e & g t ; & l t ; i n t & g t ; 6 & l t ; / i n t & g t ; & l t ; / v a l u e & g t ; & l t ; / i t e m & g t ; & l t ; i t e m & g t ; & l t ; k e y & g t ; & l t ; s t r i n g & g t ; E n e r g y   c o n t e n t   f a c t o r & l t ; / s t r i n g & g t ; & l t ; / k e y & g t ; & l t ; v a l u e & g t ; & l t ; i n t & g t ; 7 & l t ; / i n t & g t ; & l t ; / v a l u e & g t ; & l t ; / i t e m & g t ; & l t ; i t e m & g t ; & l t ; k e y & g t ; & l t ; s t r i n g & g t ; E C   U n i t & l t ; / s t r i n g & g t ; & l t ; / k e y & g t ; & l t ; v a l u e & g t ; & l t ; i n t & g t ; 8 & l t ; / i n t & g t ; & l t ; / v a l u e & g t ; & l t ; / i t e m & g t ; & l t ; i t e m & g t ; & l t ; k e y & g t ; & l t ; s t r i n g & g t ; S c o p e   1   E m i s s i o n   f a c t o r & l t ; / s t r i n g & g t ; & l t ; / k e y & g t ; & l t ; v a l u e & g t ; & l t ; i n t & g t ; 9 & l t ; / i n t & g t ; & l t ; / v a l u e & g t ; & l t ; / i t e m & g t ; & l t ; i t e m & g t ; & l t ; k e y & g t ; & l t ; s t r i n g & g t ; S c o p e   2   E m i s s i o n   f a c t o r & l t ; / s t r i n g & g t ; & l t ; / k e y & g t ; & l t ; v a l u e & g t ; & l t ; i n t & g t ; 1 0 & l t ; / i n t & g t ; & l t ; / v a l u e & g t ; & l t ; / i t e m & g t ; & l t ; i t e m & g t ; & l t ; k e y & g t ; & l t ; s t r i n g & g t ; S c o p e   3   E m i s s i o n   f a c t o r & l t ; / s t r i n g & g t ; & l t ; / k e y & g t ; & l t ; v a l u e & g t ; & l t ; i n t & g t ; 1 1 & l t ; / i n t & g t ; & l t ; / v a l u e & g t ; & l t ; / i t e m & g t ; & l t ; i t e m & g t ; & l t ; k e y & g t ; & l t ; s t r i n g & g t ; E F   U n i t & l t ; / s t r i n g & g t ; & l t ; / k e y & g t ; & l t ; v a l u e & g t ; & l t ; i n t & g t ; 1 2 & l t ; / i n t & g t ; & l t ; / v a l u e & g t ; & l t ; / i t e m & g t ; & l t ; i t e m & g t ; & l t ; k e y & g t ; & l t ; s t r i n g & g t ; D a t a   S o u r c e   ( s c o p e   1 ) & l t ; / s t r i n g & g t ; & l t ; / k e y & g t ; & l t ; v a l u e & g t ; & l t ; i n t & g t ; 1 3 & l t ; / i n t & g t ; & l t ; / v a l u e & g t ; & l t ; / i t e m & g t ; & l t ; i t e m & g t ; & l t ; k e y & g t ; & l t ; s t r i n g & g t ; D a t a   S o u r c e   ( s c o p e   2 ) & l t ; / s t r i n g & g t ; & l t ; / k e y & g t ; & l t ; v a l u e & g t ; & l t ; i n t & g t ; 1 4 & l t ; / i n t & g t ; & l t ; / v a l u e & g t ; & l t ; / i t e m & g t ; & l t ; i t e m & g t ; & l t ; k e y & g t ; & l t ; s t r i n g & g t ; D a t a   S o u r c e   ( s c o p e   3 ) & l t ; / s t r i n g & g t ; & l t ; / k e y & g t ; & l t ; v a l u e & g t ; & l t ; i n t & g t ; 1 5 & l t ; / i n t & g t ; & l t ; / v a l u e & g t ; & l t ; / i t e m & g t ; & l t ; / C o l u m n D i s p l a y I n d e x & g t ; & l t ; C o l u m n F r o z e n   / & g t ; & l t ; C o l u m n C h e c k e d   / & g t ; & l t ; C o l u m n F i l t e r & g t ; & l t ; i t e m & g t ; & l t ; k e y & g t ; & l t ; s t r i n g & g t ; R e p o r t i n g   A l i a s & l t ; / s t r i n g & g t ; & l t ; / k e y & g t ; & l t ; v a l u e & g t ; & l t ; F i l t e r E x p r e s s i o n   x s i : t y p e = " C o n d i t i o n a l E x p r e s s i o n " & g t ; & l t ; O p e r a t o r & g t ; E q u a l T o & l t ; / O p e r a t o r & g t ; & l t ; V a l u e   x s i : t y p e = " x s d : s t r i n g " & g t ; E s t i m a t e s   G a s V I C & l t ; / V a l u e & g t ; & l t ; / F i l t e r E x p r e s s i o n & g t ; & l t ; / v a l u e & g t ; & l t ; / i t e m & g t ; & l t ; / C o l u m n F i l t e r & g t ; & l t ; S e l e c t i o n F i l t e r & g t ; & l t ; i t e m & g t ; & l t ; k e y & g t ; & l t ; s t r i n g & g t ; R e p o r t i n g   A l i a s & l t ; / s t r i n g & g t ; & l t ; / k e y & g t ; & l t ; v a l u e & g t ; & l t ; S e l e c t i o n F i l t e r   x s i : n i l = " t r u e "   / & g t ; & l t ; / v a l u e & g t ; & l t ; / i t e m & g t ; & l t ; / S e l e c t i o n F i l t e r & g t ; & l t ; F i l t e r P a r a m e t e r s & g t ; & l t ; i t e m & g t ; & l t ; k e y & g t ; & l t ; s t r i n g & g t ; R e p o r t i n g   A l i a s & l t ; / s t r i n g & g t ; & l t ; / k e y & g t ; & l t ; v a l u e & g t ; & l t ; C o m m a n d P a r a m e t e r s   / & g t ; & l t ; / v a l u e & g t ; & l t ; / i t e m & g t ; & l t ; / F i l t e r P a r a m e t e r s & g t ; & l t ; I s S o r t D e s c e n d i n g & g t ; f a l s e & l t ; / I s S o r t D e s c e n d i n g & g t ; & l t ; / T a b l e W i d g e t G r i d S e r i a l i z a t i o n & g t ; < / C u s t o m C o n t e n t > < / G e m i n i > 
</file>

<file path=customXml/item4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a : K e y V a l u e O f s t r i n g S a n d b o x E r r o r V S n 7 U v A O > < a : K e y > M e a s u r e N E T _ G e n s e t _ G r o u n d s [ S u m   o f   T o t a l   E m i s s i o n s   1 3 ] < / a : K e y > < a : V a l u e > < D e p e n d e n c y > < N a m e > T o t a l   E m i s s i o n s < / N a m e > < T a b l e > N E T _ G e n s e t _ G r o u n d s < / T a b l e > < T y p e > C a l c u l a t e d C o l u m n < / T y p e > < / D e p e n d e n c y > < D e s c r i p t i o n > D e p e n d e n c y   e r r o r   i n   t h e   m e a s u r e . < / D e s c r i p t i o n > < R o w N u m b e r > - 1 < / R o w N u m b e r > < S o u r c e > < N a m e > S u m   o f   T o t a l   E m i s s i o n s   1 3 < / N a m e > < T a b l e > N E T _ G e n s e t _ G r o u n d s < / T a b l e > < / S o u r c e > < / a : V a l u e > < / a : K e y V a l u e O f s t r i n g S a n d b o x E r r o r V S n 7 U v A O > < a : K e y V a l u e O f s t r i n g S a n d b o x E r r o r V S n 7 U v A O > < a : K e y > C a l c u l a t e d C o l u m n N E T _ G e n s e t _ G r o u n d s [ T o t a l   G J ] < / a : K e y > < a : V a l u e > < D e p e n d e n c y > < N a m e > C o n s u m p t i o n   Q u a n t i t y < / N a m e > < T a b l e > N E T _ G e n s e t _ G r o u n d s < / T a b l e > < T y p e > C a l c u l a t e d C o l u m n < / T y p e > < / D e p e n d e n c y > < D e s c r i p t i o n > D e p e n d e n c y   e r r o r   i n   t h e   c a l c u l a t e d   c o l u m n . < / D e s c r i p t i o n > < L o c a t i o n / > < R o w N u m b e r > - 1 < / R o w N u m b e r > < S o u r c e > < N a m e > T o t a l   G J < / N a m e > < T a b l e > N E T _ G e n s e t _ G r o u n d s < / T a b l e > < T y p e > C a l c u l a t e d C o l u m n < / T y p e > < / S o u r c e > < / a : V a l u e > < / a : K e y V a l u e O f s t r i n g S a n d b o x E r r o r V S n 7 U v A O > < a : K e y V a l u e O f s t r i n g S a n d b o x E r r o r V S n 7 U v A O > < a : K e y > M e a s u r e N E T _ G e n s e t _ G r o u n d s [ S u m   o f   S c o p e   1   k g   C O 2 - e   1 3 ] < / a : K e y > < a : V a l u e > < D e p e n d e n c y > < N a m e > S c o p e   1   k g   C O 2 - e < / N a m e > < T a b l e > N E T _ G e n s e t _ G r o u n d s < / T a b l e > < T y p e > C a l c u l a t e d C o l u m n < / T y p e > < / D e p e n d e n c y > < D e s c r i p t i o n > D e p e n d e n c y   e r r o r   i n   t h e   m e a s u r e . < / D e s c r i p t i o n > < R o w N u m b e r > - 1 < / R o w N u m b e r > < S o u r c e > < N a m e > S u m   o f   S c o p e   1   k g   C O 2 - e   1 3 < / N a m e > < T a b l e > N E T _ G e n s e t _ G r o u n d s < / T a b l e > < / S o u r c e > < / a : V a l u e > < / a : K e y V a l u e O f s t r i n g S a n d b o x E r r o r V S n 7 U v A O > < a : K e y V a l u e O f s t r i n g S a n d b o x E r r o r V S n 7 U v A O > < a : K e y > C a l c u l a t e d C o l u m n N E T _ G e n s e t _ G r o u n d s [ S c o p e   1   k g   C O 2 - e ] < / a : K e y > < a : V a l u e > < D e p e n d e n c y > < N a m e > T o t a l   G J < / N a m e > < T a b l e > N E T _ G e n s e t _ G r o u n d s < / T a b l e > < T y p e > C a l c u l a t e d C o l u m n < / T y p e > < / D e p e n d e n c y > < D e s c r i p t i o n > D e p e n d e n c y   e r r o r   i n   t h e   c a l c u l a t e d   c o l u m n . < / D e s c r i p t i o n > < L o c a t i o n / > < R o w N u m b e r > - 1 < / R o w N u m b e r > < S o u r c e > < N a m e > S c o p e   1   k g   C O 2 - e < / N a m e > < T a b l e > N E T _ G e n s e t _ G r o u n d s < / T a b l e > < T y p e > C a l c u l a t e d C o l u m n < / T y p e > < / S o u r c e > < / a : V a l u e > < / a : K e y V a l u e O f s t r i n g S a n d b o x E r r o r V S n 7 U v A O > < a : K e y V a l u e O f s t r i n g S a n d b o x E r r o r V S n 7 U v A O > < a : K e y > C a l c u l a t e d C o l u m n N E T _ G e n s e t _ G r o u n d s [ S c o p e   2   k g   C O 2 - e ] < / a : K e y > < a : V a l u e > < D e p e n d e n c y > < N a m e > T o t a l   G J < / N a m e > < T a b l e > N E T _ G e n s e t _ G r o u n d s < / T a b l e > < T y p e > C a l c u l a t e d C o l u m n < / T y p e > < / D e p e n d e n c y > < D e s c r i p t i o n > D e p e n d e n c y   e r r o r   i n   t h e   c a l c u l a t e d   c o l u m n . < / D e s c r i p t i o n > < L o c a t i o n / > < R o w N u m b e r > - 1 < / R o w N u m b e r > < S o u r c e > < N a m e > S c o p e   2   k g   C O 2 - e < / N a m e > < T a b l e > N E T _ G e n s e t _ G r o u n d s < / T a b l e > < T y p e > C a l c u l a t e d C o l u m n < / T y p e > < / S o u r c e > < / a : V a l u e > < / a : K e y V a l u e O f s t r i n g S a n d b o x E r r o r V S n 7 U v A O > < a : K e y V a l u e O f s t r i n g S a n d b o x E r r o r V S n 7 U v A O > < a : K e y > C a l c u l a t e d C o l u m n N E T _ G e n s e t _ G r o u n d s [ S c o p e   3   k g   C O 2 - e ] < / a : K e y > < a : V a l u e > < D e p e n d e n c y > < N a m e > T o t a l   G J < / N a m e > < T a b l e > N E T _ G e n s e t _ G r o u n d s < / T a b l e > < T y p e > C a l c u l a t e d C o l u m n < / T y p e > < / D e p e n d e n c y > < D e s c r i p t i o n > D e p e n d e n c y   e r r o r   i n   t h e   c a l c u l a t e d   c o l u m n . < / D e s c r i p t i o n > < L o c a t i o n / > < R o w N u m b e r > - 1 < / R o w N u m b e r > < S o u r c e > < N a m e > S c o p e   3   k g   C O 2 - e < / N a m e > < T a b l e > N E T _ G e n s e t _ G r o u n d s < / T a b l e > < T y p e > C a l c u l a t e d C o l u m n < / T y p e > < / S o u r c e > < / a : V a l u e > < / a : K e y V a l u e O f s t r i n g S a n d b o x E r r o r V S n 7 U v A O > < a : K e y V a l u e O f s t r i n g S a n d b o x E r r o r V S n 7 U v A O > < a : K e y > M e a s u r e N E T _ G e n s e t _ G r o u n d s [ S u m   o f   S c o p e   2   k g   C O 2 - e   1 3 ] < / a : K e y > < a : V a l u e > < D e p e n d e n c y > < N a m e > S c o p e   2   k g   C O 2 - e < / N a m e > < T a b l e > N E T _ G e n s e t _ G r o u n d s < / T a b l e > < T y p e > C a l c u l a t e d C o l u m n < / T y p e > < / D e p e n d e n c y > < D e s c r i p t i o n > D e p e n d e n c y   e r r o r   i n   t h e   m e a s u r e . < / D e s c r i p t i o n > < R o w N u m b e r > - 1 < / R o w N u m b e r > < S o u r c e > < N a m e > S u m   o f   S c o p e   2   k g   C O 2 - e   1 3 < / N a m e > < T a b l e > N E T _ G e n s e t _ G r o u n d s < / T a b l e > < / S o u r c e > < / a : V a l u e > < / a : K e y V a l u e O f s t r i n g S a n d b o x E r r o r V S n 7 U v A O > < a : K e y V a l u e O f s t r i n g S a n d b o x E r r o r V S n 7 U v A O > < a : K e y > C a l c u l a t e d C o l u m n N E T _ G e n s e t _ G r o u n d s [ T o t a l   E m i s s i o n s ] < / a : K e y > < a : V a l u e > < D e p e n d e n c y > < N a m e > S c o p e   1   k g   C O 2 - e < / N a m e > < T a b l e > N E T _ G e n s e t _ G r o u n d s < / T a b l e > < T y p e > C a l c u l a t e d C o l u m n < / T y p e > < / D e p e n d e n c y > < D e s c r i p t i o n > D e p e n d e n c y   e r r o r   i n   t h e   c a l c u l a t e d   c o l u m n . < / D e s c r i p t i o n > < L o c a t i o n / > < R o w N u m b e r > - 1 < / R o w N u m b e r > < S o u r c e > < N a m e > T o t a l   E m i s s i o n s < / N a m e > < T a b l e > N E T _ G e n s e t _ G r o u n d s < / T a b l e > < T y p e > C a l c u l a t e d C o l u m n < / T y p e > < / S o u r c e > < / a : V a l u e > < / a : K e y V a l u e O f s t r i n g S a n d b o x E r r o r V S n 7 U v A O > < a : K e y V a l u e O f s t r i n g S a n d b o x E r r o r V S n 7 U v A O > < a : K e y > M e a s u r e N E T _ G e n s e t _ G r o u n d s [ S u m   o f   S c o p e   3   k g   C O 2 - e   1 3 ] < / a : K e y > < a : V a l u e > < D e p e n d e n c y > < N a m e > S c o p e   3   k g   C O 2 - e < / N a m e > < T a b l e > N E T _ G e n s e t _ G r o u n d s < / T a b l e > < T y p e > C a l c u l a t e d C o l u m n < / T y p e > < / D e p e n d e n c y > < D e s c r i p t i o n > D e p e n d e n c y   e r r o r   i n   t h e   m e a s u r e . < / D e s c r i p t i o n > < R o w N u m b e r > - 1 < / R o w N u m b e r > < S o u r c e > < N a m e > S u m   o f   S c o p e   3   k g   C O 2 - e   1 3 < / N a m e > < T a b l e > N E T _ G e n s e t _ G r o u n d s < / T a b l e > < / S o u r c e > < / a : V a l u e > < / a : K e y V a l u e O f s t r i n g S a n d b o x E r r o r V S n 7 U v A O > < a : K e y V a l u e O f s t r i n g S a n d b o x E r r o r V S n 7 U v A O > < a : K e y > M e a s u r e N E T _ G e n s e t _ G r o u n d s [ S u m   o f   T o t a l   G J   1 3 ] < / a : K e y > < a : V a l u e > < D e p e n d e n c y > < N a m e > T o t a l   G J < / N a m e > < T a b l e > N E T _ G e n s e t _ G r o u n d s < / T a b l e > < T y p e > C a l c u l a t e d C o l u m n < / T y p e > < / D e p e n d e n c y > < D e s c r i p t i o n > D e p e n d e n c y   e r r o r   i n   t h e   m e a s u r e . < / D e s c r i p t i o n > < R o w N u m b e r > - 1 < / R o w N u m b e r > < S o u r c e > < N a m e > S u m   o f   T o t a l   G J   1 3 < / N a m e > < T a b l e > N E T _ G e n s e t _ G r o u n d s < / T a b l e > < / S o u r c e > < / a : V a l u e > < / a : K e y V a l u e O f s t r i n g S a n d b o x E r r o r V S n 7 U v A O > < a : K e y V a l u e O f s t r i n g S a n d b o x E r r o r V S n 7 U v A O > < a : K e y > M e a s u r e N E T _ G e n s e t _ G r o u n d s [ S u m   o f   C o n s u m p t i o n   Q u a n t i t y   6 ] < / a : K e y > < a : V a l u e > < D e p e n d e n c y > < N a m e > C o n s u m p t i o n   Q u a n t i t y < / N a m e > < T a b l e > N E T _ G e n s e t _ G r o u n d s < / T a b l e > < T y p e > C a l c u l a t e d C o l u m n < / T y p e > < / D e p e n d e n c y > < D e s c r i p t i o n > D e p e n d e n c y   e r r o r   i n   t h e   m e a s u r e . < / D e s c r i p t i o n > < R o w N u m b e r > - 1 < / R o w N u m b e r > < S o u r c e > < N a m e > S u m   o f   C o n s u m p t i o n   Q u a n t i t y   6 < / N a m e > < T a b l e > N E T _ G e n s e t _ G r o u n d s < / T a b l e > < / S o u r c e > < / a : V a l u e > < / a : K e y V a l u e O f s t r i n g S a n d b o x E r r o r V S n 7 U v A O > < a : K e y V a l u e O f s t r i n g S a n d b o x E r r o r V S n 7 U v A O > < a : K e y > C a l c u l a t e d C o l u m n N E T _ G e n s e t _ G r o u n d s [ C o n s u m p t i o n   Q u a n t i t y ] < / a : K e y > < a : V a l u e > < D e s c r i p t i o n > C a l c u l a t i o n   e r r o r   i n   c o l u m n   ' N E T _ G e n s e t _ G r o u n d s ' [ ] :   C a n n o t   c o n v e r t   v a l u e   ' - '   o f   t y p e   T e x t   t o   t y p e   N u m b e r . < / D e s c r i p t i o n > < L o c a t i o n > < S t a r t C h a r a c t e r > 1 < / S t a r t C h a r a c t e r > < T e x t L e n g t h > 2 1 < / T e x t L e n g t h > < / L o c a t i o n > < R o w N u m b e r > 9 < / R o w N u m b e r > < S o u r c e > < N a m e > C o n s u m p t i o n   Q u a n t i t y < / N a m e > < T a b l e > N E T _ G e n s e t _ G r o u n d s < / T a b l e > < T y p e > C a l c u l a t e d C o l u m n < / T y p e > < / S o u r c e > < / a : V a l u e > < / a : K e y V a l u e O f s t r i n g S a n d b o x E r r o r V S n 7 U v A O > < / E r r o r C a c h e D i c t i o n a r y > < L a s t P r o c e s s e d T i m e > 2 0 2 0 - 0 6 - 1 2 T 1 8 : 1 7 : 0 9 . 4 4 3 0 7 7 8 + 0 3 : 0 0 < / L a s t P r o c e s s e d T i m e > < / D a t a M o d e l i n g S a n d b o x . S e r i a l i z e d S a n d b o x E r r o r C a c h e > ] ] > < / C u s t o m C o n t e n t > < / G e m i n i > 
</file>

<file path=customXml/item42.xml>��< ? x m l   v e r s i o n = " 1 . 0 "   e n c o d i n g = " U T F - 1 6 " ? > < G e m i n i   x m l n s = " h t t p : / / g e m i n i / p i v o t c u s t o m i z a t i o n / b c f b c 8 0 f - 5 9 5 5 - 4 e e f - a 1 0 d - 6 b 1 3 7 1 9 3 3 6 5 3 " > < C u s t o m C o n t e n t > < ! [ C D A T A [ < ? x m l   v e r s i o n = " 1 . 0 "   e n c o d i n g = " u t f - 1 6 " ? > < S e t t i n g s > < H S l i c e r s S h a p e > 0 ; 0 ; 0 ; 0 < / H S l i c e r s S h a p e > < V S l i c e r s S h a p e > 0 ; 0 ; 0 ; 0 < / V S l i c e r s S h a p e > < S l i c e r S h e e t N a m e > S t a t i o n a r y   -   O t h e r < / S l i c e r S h e e t N a m e > < S A H o s t H a s h > 1 3 0 8 4 4 1 2 0 7 < / S A H o s t H a s h > < G e m i n i F i e l d L i s t V i s i b l e > T r u e < / G e m i n i F i e l d L i s t V i s i b l e > < / S e t t i n g s > ] ] > < / C u s t o m C o n t e n t > < / G e m i n i > 
</file>

<file path=customXml/item43.xml>��< ? x m l   v e r s i o n = " 1 . 0 "   e n c o d i n g = " U T F - 1 6 " ? > < G e m i n i   x m l n s = " h t t p : / / g e m i n i / p i v o t c u s t o m i z a t i o n / a 2 8 a 1 1 0 2 - d c 3 3 - 4 6 2 b - b 3 1 f - 5 f b 2 b c 0 4 9 d 6 d " > < C u s t o m C o n t e n t > < ! [ C D A T A [ < ? x m l   v e r s i o n = " 1 . 0 "   e n c o d i n g = " u t f - 1 6 " ? > < S e t t i n g s > < H S l i c e r s S h a p e > 0 ; 0 ; 0 ; 0 < / H S l i c e r s S h a p e > < V S l i c e r s S h a p e > 0 ; 0 ; 0 ; 0 < / V S l i c e r s S h a p e > < S l i c e r S h e e t N a m e > L e v e l   2   S u m m a r y   E s t i m a t e s < / S l i c e r S h e e t N a m e > < S A H o s t H a s h > 8 0 3 1 8 2 8 3 5 < / S A H o s t H a s h > < G e m i n i F i e l d L i s t V i s i b l e > T r u e < / G e m i n i F i e l d L i s t V i s i b l e > < / S e t t i n g s > ] ] > < / C u s t o m C o n t e n t > < / G e m i n i > 
</file>

<file path=customXml/item44.xml>��< ? x m l   v e r s i o n = " 1 . 0 "   e n c o d i n g = " U T F - 1 6 " ? > < G e m i n i   x m l n s = " h t t p : / / g e m i n i / p i v o t c u s t o m i z a t i o n / 0 3 c 5 c 9 8 3 - f 8 f b - 4 3 b 8 - b 6 7 e - 8 6 e 5 2 0 f 2 2 2 f d " > < C u s t o m C o n t e n t > < ! [ C D A T A [ < ? x m l   v e r s i o n = " 1 . 0 "   e n c o d i n g = " u t f - 1 6 " ? > < S e t t i n g s > < H S l i c e r s S h a p e > 0 ; 0 ; 0 ; 0 < / H S l i c e r s S h a p e > < V S l i c e r s S h a p e > 0 ; 0 ; 0 ; 0 < / V S l i c e r s S h a p e > < S l i c e r S h e e t N a m e > L e v e l   1 S u m m a r y   ( S o u r c e A c t i v i t y ) < / S l i c e r S h e e t N a m e > < S A H o s t H a s h > 1 9 0 0 5 0 9 1 7 5 < / S A H o s t H a s h > < G e m i n i F i e l d L i s t V i s i b l e > T r u e < / G e m i n i F i e l d L i s t V i s i b l e > < / S e t t i n g s > ] ] > < / C u s t o m C o n t e n t > < / G e m i n i > 
</file>

<file path=customXml/item45.xml>��< ? x m l   v e r s i o n = " 1 . 0 "   e n c o d i n g = " U T F - 1 6 " ? > < G e m i n i   x m l n s = " h t t p : / / g e m i n i / p i v o t c u s t o m i z a t i o n / 6 9 8 7 f 3 2 1 - 6 a e b - 4 d 9 b - b 4 a 0 - 7 5 b 3 c 4 7 1 9 b c a " > < C u s t o m C o n t e n t > < ! [ C D A T A [ < ? x m l   v e r s i o n = " 1 . 0 "   e n c o d i n g = " u t f - 1 6 " ? > < S e t t i n g s > < H S l i c e r s S h a p e > 0 ; 0 ; 0 ; 0 < / H S l i c e r s S h a p e > < V S l i c e r s S h a p e > 0 ; 0 ; 0 ; 0 < / V S l i c e r s S h a p e > < S l i c e r S h e e t N a m e > E l e c t r i c i t y   O n   G r i d < / S l i c e r S h e e t N a m e > < S A H o s t H a s h > 2 6 7 7 4 4 6 3 8 < / S A H o s t H a s h > < G e m i n i F i e l d L i s t V i s i b l e > T r u e < / G e m i n i F i e l d L i s t V i s i b l e > < / S e t t i n g s > ] ] > < / C u s t o m C o n t e n t > < / G e m i n i > 
</file>

<file path=customXml/item46.xml>��< ? x m l   v e r s i o n = " 1 . 0 "   e n c o d i n g = " U T F - 1 6 " ? > < G e m i n i   x m l n s = " h t t p : / / g e m i n i / p i v o t c u s t o m i z a t i o n / a 7 2 c b 4 7 7 - 6 9 6 9 - 4 c e 4 - 9 3 8 3 - 9 0 9 5 2 a a b 4 f 8 0 " > < C u s t o m C o n t e n t > < ! [ C D A T A [ < ? x m l   v e r s i o n = " 1 . 0 "   e n c o d i n g = " u t f - 1 6 " ? > < S e t t i n g s > < H S l i c e r s S h a p e > 0 ; 0 ; 0 ; 0 < / H S l i c e r s S h a p e > < V S l i c e r s S h a p e > 0 ; 0 ; 0 ; 0 < / V S l i c e r s S h a p e > < S l i c e r S h e e t N a m e > L e v e l   1   S u m m a r y < / S l i c e r S h e e t N a m e > < S A H o s t H a s h > 2 0 1 0 2 2 3 4 2 5 < / S A H o s t H a s h > < G e m i n i F i e l d L i s t V i s i b l e > T r u e < / G e m i n i F i e l d L i s t V i s i b l e > < / S e t t i n g s > ] ] > < / C u s t o m C o n t e n t > < / G e m i n i > 
</file>

<file path=customXml/item47.xml>��< ? x m l   v e r s i o n = " 1 . 0 "   e n c o d i n g = " U T F - 1 6 " ? > < G e m i n i   x m l n s = " h t t p : / / g e m i n i / p i v o t c u s t o m i z a t i o n / c 5 7 8 b 1 f e - 6 5 2 7 - 4 b 5 4 - 9 c b 5 - a b 2 2 9 f f 4 b 0 0 1 " > < C u s t o m C o n t e n t > < ! [ C D A T A [ < ? x m l   v e r s i o n = " 1 . 0 "   e n c o d i n g = " u t f - 1 6 " ? > < S e t t i n g s > < H S l i c e r s S h a p e > 0 ; 0 ; 0 ; 0 < / H S l i c e r s S h a p e > < V S l i c e r s S h a p e > 0 ; 0 ; 0 ; 0 < / V S l i c e r s S h a p e > < S l i c e r S h e e t N a m e > S u m m a r y   P i v o t < / S l i c e r S h e e t N a m e > < S A H o s t H a s h > 2 0 2 3 0 1 9 4 0 1 < / S A H o s t H a s h > < G e m i n i F i e l d L i s t V i s i b l e > T r u e < / G e m i n i F i e l d L i s t V i s i b l e > < / S e t t i n g s > ] ] > < / C u s t o m C o n t e n t > < / G e m i n i > 
</file>

<file path=customXml/item48.xml>��< ? x m l   v e r s i o n = " 1 . 0 "   e n c o d i n g = " U T F - 1 6 " ? > < G e m i n i   x m l n s = " h t t p : / / g e m i n i / p i v o t c u s t o m i z a t i o n / T a b l e X M L _ P i t w a t e r - 6 9 0 6 d 7 1 c - 4 6 7 5 - 4 3 9 f - b 4 c 9 - 7 a 9 2 d c d 5 e 1 7 4 " > < 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7 & l t ; / i n t & g t ; & l t ; / v a l u e & g t ; & l t ; / i t e m & g t ; & l t ; i t e m & g t ; & l t ; k e y & g t ; & l t ; s t r i n g & g t ; S t a t e & l t ; / s t r i n g & g t ; & l t ; / k e y & g t ; & l t ; v a l u e & g t ; & l t ; i n t & g t ; 6 8 & l t ; / i n t & g t ; & l t ; / v a l u e & g t ; & l t ; / i t e m & g t ; & l t ; i t e m & g t ; & l t ; k e y & g t ; & l t ; s t r i n g & g t ; k L & l t ; / s t r i n g & g t ; & l t ; / k e y & g t ; & l t ; v a l u e & g t ; & l t ; i n t & g t ; 6 4 & l t ; / i n t & g t ; & l t ; / v a l u e & g t ; & l t ; / i t e m & g t ; & l t ; i t e m & g t ; & l t ; k e y & g t ; & l t ; s t r i n g & g t ; C o n s u m p t i o n   Q u a n t i t y & l t ; / s t r i n g & g t ; & l t ; / k e y & g t ; & l t ; v a l u e & g t ; & l t ; i n t & g t ; 1 7 4 & l t ; / i n t & g t ; & l t ; / v a l u e & g t ; & l t ; / i t e m & g t ; & l t ; i t e m & g t ; & l t ; k e y & g t ; & l t ; s t r i n g & g t ; T o t a l   G J & l t ; / s t r i n g & g t ; & l t ; / k e y & g t ; & l t ; v a l u e & g t ; & l t ; i n t & g t ; 1 5 6 & l t ; / i n t & g t ; & l t ; / v a l u e & g t ; & l t ; / i t e m & g t ; & l t ; i t e m & g t ; & l t ; k e y & g t ; & l t ; s t r i n g & g t ; S c o p e 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S t a t e & l t ; / s t r i n g & g t ; & l t ; / k e y & g t ; & l t ; v a l u e & g t ; & l t ; i n t & g t ; 1 & l t ; / i n t & g t ; & l t ; / v a l u e & g t ; & l t ; / i t e m & g t ; & l t ; i t e m & g t ; & l t ; k e y & g t ; & l t ; s t r i n g & g t ; k L & l t ; / s t r i n g & g t ; & l t ; / k e y & g t ; & l t ; v a l u e & g t ; & l t ; i n t & g t ; 2 & l t ; / i n t & g t ; & l t ; / v a l u e & g t ; & l t ; / i t e m & g t ; & l t ; i t e m & g t ; & l t ; k e y & g t ; & l t ; s t r i n g & g t ; C o n s u m p t i o n   Q u a n t i t y & l t ; / s t r i n g & g t ; & l t ; / k e y & g t ; & l t ; v a l u e & g t ; & l t ; i n t & g t ; 4 & l t ; / i n t & g t ; & l t ; / v a l u e & g t ; & l t ; / i t e m & g t ; & l t ; i t e m & g t ; & l t ; k e y & g t ; & l t ; s t r i n g & g t ; T o t a l   G J & l t ; / s t r i n g & g t ; & l t ; / k e y & g t ; & l t ; v a l u e & g t ; & l t ; i n t & g t ; 3 & l t ; / i n t & g t ; & l t ; / v a l u e & g t ; & l t ; / i t e m & g t ; & l t ; i t e m & g t ; & l t ; k e y & g t ; & l t ; s t r i n g & g t ; S c o p e   1   k g   C O 2 - e & l t ; / s t r i n g & g t ; & l t ; / k e y & g t ; & l t ; v a l u e & g t ; & l t ; i n t & g t ; 5 & l t ; / i n t & g t ; & l t ; / v a l u e & g t ; & l t ; / i t e m & g t ; & l t ; i t e m & g t ; & l t ; k e y & g t ; & l t ; s t r i n g & g t ; S c o p e   2   k g   C O 2 - e & l t ; / s t r i n g & g t ; & l t ; / k e y & g t ; & l t ; v a l u e & g t ; & l t ; i n t & g t ; 6 & l t ; / i n t & g t ; & l t ; / v a l u e & g t ; & l t ; / i t e m & g t ; & l t ; i t e m & g t ; & l t ; k e y & g t ; & l t ; s t r i n g & g t ; S c o p e   3   k g   C O 2 - e & l t ; / s t r i n g & g t ; & l t ; / k e y & g t ; & l t ; v a l u e & g t ; & l t ; i n t & g t ; 7 & l t ; / i n t & g t ; & l t ; / v a l u e & g t ; & l t ; / i t e m & g t ; & l t ; i t e m & g t ; & l t ; k e y & g t ; & l t ; s t r i n g & g t ; T o t a l   E m i s s i o n s & l t ; / s t r i n g & g t ; & l t ; / k e y & g t ; & l t ; v a l u e & g t ; & l t ; i n t & g t ; 8 & l t ; / i n t & g t ; & l t ; / v a l u e & g t ; & l t ; / i t e m & g t ; & l t ; / C o l u m n D i s p l a y I n d e x & g t ; & l t ; C o l u m n F r o z e n   / & g t ; & l t ; C o l u m n C h e c k e d   / & g t ; & l t ; C o l u m n F i l t e r   / & g t ; & l t ; S e l e c t i o n F i l t e r   / & g t ; & l t ; F i l t e r P a r a m e t e r s   / & g t ; & l t ; I s S o r t D e s c e n d i n g & g t ; f a l s e & l t ; / I s S o r t D e s c e n d i n g & g t ; & l t ; / T a b l e W i d g e t G r i d S e r i a l i z a t i o n & g t ; < / C u s t o m C o n t e n t > < / G e m i n i > 
</file>

<file path=customXml/item49.xml><?xml version="1.0" encoding="utf-8"?>
<ct:contentTypeSchema xmlns:ct="http://schemas.microsoft.com/office/2006/metadata/contentType" xmlns:ma="http://schemas.microsoft.com/office/2006/metadata/properties/metaAttributes" ct:_="" ma:_="" ma:contentTypeName="Document" ma:contentTypeID="0x0101004F4692F43398F0468630CE82EDAFC73B" ma:contentTypeVersion="20" ma:contentTypeDescription="Create a new document." ma:contentTypeScope="" ma:versionID="0d3e1e33df4067aff428a7c35fe64709">
  <xsd:schema xmlns:xsd="http://www.w3.org/2001/XMLSchema" xmlns:xs="http://www.w3.org/2001/XMLSchema" xmlns:p="http://schemas.microsoft.com/office/2006/metadata/properties" xmlns:ns2="9c7b2f30-2231-41e0-b86a-1257079ed7b5" xmlns:ns3="f6156fdc-1b67-4e65-a7eb-2d097edf2cd6" xmlns:ns4="c7b56d83-7d92-4d5e-8552-dd44030ff6cf" targetNamespace="http://schemas.microsoft.com/office/2006/metadata/properties" ma:root="true" ma:fieldsID="4c1f7bb3427bb7664ab21513065f9e9d" ns2:_="" ns3:_="" ns4:_="">
    <xsd:import namespace="9c7b2f30-2231-41e0-b86a-1257079ed7b5"/>
    <xsd:import namespace="f6156fdc-1b67-4e65-a7eb-2d097edf2cd6"/>
    <xsd:import namespace="c7b56d83-7d92-4d5e-8552-dd44030ff6cf"/>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ReadOnly" minOccurs="0"/>
                <xsd:element ref="ns2:MediaServiceAutoKeyPoints" minOccurs="0"/>
                <xsd:element ref="ns2:MediaServiceKeyPoints" minOccurs="0"/>
                <xsd:element ref="ns2:MediaLengthInSeconds" minOccurs="0"/>
                <xsd:element ref="ns2:Published" minOccurs="0"/>
                <xsd:element ref="ns2:Sentforapproval"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7b2f30-2231-41e0-b86a-1257079ed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ReadOnly" ma:index="18" nillable="true" ma:displayName="Read Only" ma:description="Indicates which files should not be saved over after using" ma:format="Dropdown" ma:internalName="ReadOnly">
      <xsd:simpleType>
        <xsd:restriction base="dms:Text">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Published" ma:index="22" nillable="true" ma:displayName="Published" ma:format="Dropdown" ma:internalName="Published">
      <xsd:simpleType>
        <xsd:restriction base="dms:Text">
          <xsd:maxLength value="255"/>
        </xsd:restriction>
      </xsd:simpleType>
    </xsd:element>
    <xsd:element name="Sentforapproval" ma:index="23" nillable="true" ma:displayName="Sent for approval" ma:format="Dropdown" ma:internalName="Sentforapproval">
      <xsd:simpleType>
        <xsd:restriction base="dms:Text">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97780b6f-135f-46e7-9608-4a6f87a742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6156fdc-1b67-4e65-a7eb-2d097edf2cd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b56d83-7d92-4d5e-8552-dd44030ff6cf"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b3e5622f-eac6-4e88-b4f2-2393c1bd5bd4}" ma:internalName="TaxCatchAll" ma:showField="CatchAllData" ma:web="f6156fdc-1b67-4e65-a7eb-2d097edf2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T a b l e X M L _ T e l s t r a B C A - a c 3 3 1 e 7 1 - 7 5 f c - 4 c a c - 9 f e d - 4 e 2 c 4 6 a 8 f c 7 7 " > < 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C o n s u m p t i o n   Q u a n t i t y & l t ; / s t r i n g & g t ; & l t ; / k e y & g t ; & l t ; v a l u e & g t ; & l t ; i n t & g t ; 1 7 4 & l t ; / i n t & g t ; & l t ; / v a l u e & g t ; & l t ; / i t e m & g t ; & l t ; i t e m & g t ; & l t ; k e y & g t ; & l t ; s t r i n g & g t ; S c o p e   1   k g   C O 2 - e & l t ; / s t r i n g & g t ; & l t ; / k e y & g t ; & l t ; v a l u e & g t ; & l t ; i n t & g t ; 1 4 1 & l t ; / i n t & g t ; & l t ; / v a l u e & g t ; & l t ; / i t e m & g t ; & l t ; i t e m & g t ; & l t ; k e y & g t ; & l t ; s t r i n g & g t ; T o t a l   G J & l t ; / s t r i n g & g t ; & l t ; / k e y & g t ; & l t ; v a l u e & g t ; & l t ; i n t & g t ; 1 5 6 & l t ; / i n t & g t ; & l t ; / v a l u e & g t ; & l t ; / i t e m & g t ; & l t ; i t e m & g t ; & l t ; k e y & g t ; & l t ; s t r i n g & g t ; S c o p e 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C o n s u m p t i o n   Q u a n t i t y & l t ; / s t r i n g & g t ; & l t ; / k e y & g t ; & l t ; v a l u e & g t ; & l t ; i n t & g t ; 1 & l t ; / i n t & g t ; & l t ; / v a l u e & g t ; & l t ; / i t e m & g t ; & l t ; i t e m & g t ; & l t ; k e y & g t ; & l t ; s t r i n g & g t ; S c o p e   1   k g   C O 2 - e & l t ; / s t r i n g & g t ; & l t ; / k e y & g t ; & l t ; v a l u e & g t ; & l t ; i n t & g t ; 3 & l t ; / i n t & g t ; & l t ; / v a l u e & g t ; & l t ; / i t e m & g t ; & l t ; i t e m & g t ; & l t ; k e y & g t ; & l t ; s t r i n g & g t ; T o t a l   G J & l t ; / s t r i n g & g t ; & l t ; / k e y & g t ; & l t ; v a l u e & g t ; & l t ; i n t & g t ; 2 & l t ; / i n t & g t ; & l t ; / v a l u e & g t ; & l t ; / i t e m & g t ; & l t ; i t e m & g t ; & l t ; k e y & g t ; & l t ; s t r i n g & g t ; S c o p e   2   k g   C O 2 - e & l t ; / s t r i n g & g t ; & l t ; / k e y & g t ; & l t ; v a l u e & g t ; & l t ; i n t & g t ; 4 & l t ; / i n t & g t ; & l t ; / v a l u e & g t ; & l t ; / i t e m & g t ; & l t ; i t e m & g t ; & l t ; k e y & g t ; & l t ; s t r i n g & g t ; S c o p e   3   k g   C O 2 - e & l t ; / s t r i n g & g t ; & l t ; / k e y & g t ; & l t ; v a l u e & g t ; & l t ; i n t & g t ; 5 & l t ; / i n t & g t ; & l t ; / v a l u e & g t ; & l t ; / i t e m & g t ; & l t ; i t e m & g t ; & l t ; k e y & g t ; & l t ; s t r i n g & g t ; T o t a l   E m i s s i o n s & 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50.xml>��< ? x m l   v e r s i o n = " 1 . 0 "   e n c o d i n g = " U T F - 1 6 " ? > < G e m i n i   x m l n s = " h t t p : / / g e m i n i / p i v o t c u s t o m i z a t i o n / T a b l e X M L _ D a t a _ E n t r y - 4 b 6 7 1 4 8 b - 2 a d d - 4 6 f c - a f 5 f - 5 d 7 9 6 5 2 4 d 7 f 4 " > < C u s t o m C o n t e n t > < ! [ C D A T A [ < T a b l e W i d g e t G r i d S e r i a l i z a t i o n   x m l n s : x s d = " h t t p : / / w w w . w 3 . o r g / 2 0 0 1 / X M L S c h e m a "   x m l n s : x s i = " h t t p : / / w w w . w 3 . o r g / 2 0 0 1 / X M L S c h e m a - i n s t a n c e " > < C o l u m n S u g g e s t e d T y p e   / > < C o l u m n F o r m a t   / > < C o l u m n A c c u r a c y   / > < C o l u m n C u r r e n c y S y m b o l   / > < C o l u m n P o s i t i v e P a t t e r n   / > < C o l u m n N e g a t i v e P a t t e r n   / > < C o l u m n W i d t h s > < i t e m > < k e y > < s t r i n g > R e p o r t i n g   A l i a s < / s t r i n g > < / k e y > < v a l u e > < i n t > 1 2 9 < / i n t > < / v a l u e > < / i t e m > < i t e m > < k e y > < s t r i n g > C o n s u m p t i o n   Q u a n t i t y < / s t r i n g > < / k e y > < v a l u e > < i n t > 1 7 4 < / i n t > < / v a l u e > < / i t e m > < i t e m > < k e y > < s t r i n g > S c o p e   2   k g   C O 2 - e < / s t r i n g > < / k e y > < v a l u e > < i n t > 1 4 1 < / i n t > < / v a l u e > < / i t e m > < i t e m > < k e y > < s t r i n g > S c o p e   1   k g   C O 2 - e < / s t r i n g > < / k e y > < v a l u e > < i n t > 1 5 6 < / i n t > < / v a l u e > < / i t e m > < i t e m > < k e y > < s t r i n g > S c o p e   3   k g   C O 2 - e < / s t r i n g > < / k e y > < v a l u e > < i n t > 1 5 6 < / i n t > < / v a l u e > < / i t e m > < i t e m > < k e y > < s t r i n g > T o t a l   G J < / s t r i n g > < / k e y > < v a l u e > < i n t > 1 5 6 < / i n t > < / v a l u e > < / i t e m > < i t e m > < k e y > < s t r i n g > T o t a l   E m i s s i o n s < / s t r i n g > < / k e y > < v a l u e > < i n t > 1 3 0 < / i n t > < / v a l u e > < / i t e m > < / C o l u m n W i d t h s > < C o l u m n D i s p l a y I n d e x > < i t e m > < k e y > < s t r i n g > R e p o r t i n g   A l i a s < / s t r i n g > < / k e y > < v a l u e > < i n t > 0 < / i n t > < / v a l u e > < / i t e m > < i t e m > < k e y > < s t r i n g > C o n s u m p t i o n   Q u a n t i t y < / s t r i n g > < / k e y > < v a l u e > < i n t > 1 < / i n t > < / v a l u e > < / i t e m > < i t e m > < k e y > < s t r i n g > S c o p e   2   k g   C O 2 - e < / s t r i n g > < / k e y > < v a l u e > < i n t > 2 < / i n t > < / v a l u e > < / i t e m > < i t e m > < k e y > < s t r i n g > S c o p e   1   k g   C O 2 - e < / s t r i n g > < / k e y > < v a l u e > < i n t > 3 < / i n t > < / v a l u e > < / i t e m > < i t e m > < k e y > < s t r i n g > S c o p e   3   k g   C O 2 - e < / s t r i n g > < / k e y > < v a l u e > < i n t > 4 < / i n t > < / v a l u e > < / i t e m > < i t e m > < k e y > < s t r i n g > T o t a l   G J < / s t r i n g > < / k e y > < v a l u e > < i n t > 5 < / i n t > < / v a l u e > < / i t e m > < i t e m > < k e y > < s t r i n g > T o t a l   E m i s s i o n s < / s t r i n g > < / k e y > < v a l u e > < i n t > 6 < / 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0 1 1 4 c 1 a 8 - 4 0 1 f - 4 4 9 f - b 7 9 7 - 5 e 3 d a 7 f 4 7 d 9 1 " > < C u s t o m C o n t e n t > < ! [ C D A T A [ < ? x m l   v e r s i o n = " 1 . 0 "   e n c o d i n g = " u t f - 1 6 " ? > < S e t t i n g s > < H S l i c e r s S h a p e > 0 ; 0 ; 0 ; 0 < / H S l i c e r s S h a p e > < V S l i c e r s S h a p e > 0 ; 0 ; 0 ; 0 < / V S l i c e r s S h a p e > < S l i c e r S h e e t N a m e > E l e c t r i c i t y   O n   G r i d < / S l i c e r S h e e t N a m e > < S A H o s t H a s h > 6 5 7 4 0 0 8 8 7 < / S A H o s t H a s h > < G e m i n i F i e l d L i s t V i s i b l e > T r u e < / G e m i n i F i e l d L i s t V i s i b l e > < / S e t t i n g s > ] ] > < / C u s t o m C o n t e n t > < / G e m i n i > 
</file>

<file path=customXml/item52.xml>��< ? x m l   v e r s i o n = " 1 . 0 "   e n c o d i n g = " U T F - 1 6 " ? > < G e m i n i   x m l n s = " h t t p : / / g e m i n i / p i v o t c u s t o m i z a t i o n / c 4 1 e 9 c 5 e - 1 f d 8 - 4 1 9 8 - b d b c - 1 b b e d e b 9 2 a b a " > < C u s t o m C o n t e n t > < ! [ C D A T A [ < ? x m l   v e r s i o n = " 1 . 0 "   e n c o d i n g = " u t f - 1 6 " ? > < S e t t i n g s > < H S l i c e r s S h a p e > 0 ; 0 ; 0 ; 0 < / H S l i c e r s S h a p e > < V S l i c e r s S h a p e > 0 ; 0 ; 0 ; 0 < / V S l i c e r s S h a p e > < S l i c e r S h e e t N a m e > S u m m a r y   P i v o t < / S l i c e r S h e e t N a m e > < S A H o s t H a s h > 2 0 3 7 0 5 2 6 4 0 < / S A H o s t H a s h > < G e m i n i F i e l d L i s t V i s i b l e > T r u e < / G e m i n i F i e l d L i s t V i s i b l e > < / S e t t i n g s > ] ] > < / C u s t o m C o n t e n t > < / G e m i n i > 
</file>

<file path=customXml/item53.xml>��< ? x m l   v e r s i o n = " 1 . 0 "   e n c o d i n g = " U T F - 1 6 " ? > < G e m i n i   x m l n s = " h t t p : / / g e m i n i / p i v o t c u s t o m i z a t i o n / T a b l e X M L _ N E T _ G e n s e t _ G r o u n d s - 6 c 0 e a f f 0 - 0 b 1 6 - 4 a 5 a - 9 6 7 5 - 9 4 7 f 6 f 2 d 4 3 a 3 " > < C u s t o m C o n t e n t > < ! [ C D A T A [ < T a b l e W i d g e t G r i d S e r i a l i z a t i o n   x m l n s : x s d = " h t t p : / / w w w . w 3 . o r g / 2 0 0 1 / X M L S c h e m a "   x m l n s : x s i = " h t t p : / / w w w . w 3 . o r g / 2 0 0 1 / X M L S c h e m a - i n s t a n c e " > < C o l u m n S u g g e s t e d T y p e   / > < C o l u m n F o r m a t   / > < C o l u m n A c c u r a c y   / > < C o l u m n C u r r e n c y S y m b o l   / > < C o l u m n P o s i t i v e P a t t e r n   / > < C o l u m n N e g a t i v e P a t t e r n   / > < C o l u m n W i d t h s > < i t e m > < k e y > < s t r i n g > R e p o r t i n g   A l i a s < / s t r i n g > < / k e y > < v a l u e > < i n t > 1 2 9 < / i n t > < / v a l u e > < / i t e m > < i t e m > < k e y > < s t r i n g > E m i s s i o n   s o u r c e < / s t r i n g > < / k e y > < v a l u e > < i n t > 1 3 5 < / i n t > < / v a l u e > < / i t e m > < i t e m > < k e y > < s t r i n g > E n t i t y < / s t r i n g > < / k e y > < v a l u e > < i n t > 7 1 < / i n t > < / v a l u e > < / i t e m > < i t e m > < k e y > < s t r i n g > F u e l < / s t r i n g > < / k e y > < v a l u e > < i n t > 6 3 < / i n t > < / v a l u e > < / i t e m > < i t e m > < k e y > < s t r i n g > S t a t e < / s t r i n g > < / k e y > < v a l u e > < i n t > 6 8 < / i n t > < / v a l u e > < / i t e m > < i t e m > < k e y > < s t r i n g > P r o d u c t i o n     U n i t s < / s t r i n g > < / k e y > < v a l u e > < i n t > 1 4 1 < / i n t > < / v a l u e > < / i t e m > < i t e m > < k e y > < s t r i n g > P r o d u c t i o n   Q u a n t i t y < / s t r i n g > < / k e y > < v a l u e > < i n t > 1 5 9 < / i n t > < / v a l u e > < / i t e m > < i t e m > < k e y > < s t r i n g > C o n s u m p t i o n   Q u a n t i t y < / s t r i n g > < / k e y > < v a l u e > < i n t > 1 7 4 < / i n t > < / v a l u e > < / i t e m > < i t e m > < k e y > < s t r i n g > T o t a l   G J < / s t r i n g > < / k e y > < v a l u e > < i n t > 8 3 < / i n t > < / v a l u e > < / i t e m > < i t e m > < k e y > < s t r i n g > S c o p e   1   k g   C O 2 - e < / s t r i n g > < / k e y > < v a l u e > < i n t > 1 5 6 < / i n t > < / v a l u e > < / i t e m > < i t e m > < k e y > < s t r i n g > S c o p e   2   k g   C O 2 - e < / s t r i n g > < / k e y > < v a l u e > < i n t > 1 5 6 < / i n t > < / v a l u e > < / i t e m > < i t e m > < k e y > < s t r i n g > S c o p e   3   k g   C O 2 - e < / s t r i n g > < / k e y > < v a l u e > < i n t > 1 5 6 < / i n t > < / v a l u e > < / i t e m > < i t e m > < k e y > < s t r i n g > T o t a l   E m i s s i o n s < / s t r i n g > < / k e y > < v a l u e > < i n t > 1 5 6 < / i n t > < / v a l u e > < / i t e m > < / C o l u m n W i d t h s > < C o l u m n D i s p l a y I n d e x > < i t e m > < k e y > < s t r i n g > R e p o r t i n g   A l i a s < / s t r i n g > < / k e y > < v a l u e > < i n t > 0 < / i n t > < / v a l u e > < / i t e m > < i t e m > < k e y > < s t r i n g > E m i s s i o n   s o u r c e < / s t r i n g > < / k e y > < v a l u e > < i n t > 1 < / i n t > < / v a l u e > < / i t e m > < i t e m > < k e y > < s t r i n g > E n t i t y < / s t r i n g > < / k e y > < v a l u e > < i n t > 2 < / i n t > < / v a l u e > < / i t e m > < i t e m > < k e y > < s t r i n g > F u e l < / s t r i n g > < / k e y > < v a l u e > < i n t > 3 < / i n t > < / v a l u e > < / i t e m > < i t e m > < k e y > < s t r i n g > S t a t e < / s t r i n g > < / k e y > < v a l u e > < i n t > 4 < / i n t > < / v a l u e > < / i t e m > < i t e m > < k e y > < s t r i n g > P r o d u c t i o n     U n i t s < / s t r i n g > < / k e y > < v a l u e > < i n t > 5 < / i n t > < / v a l u e > < / i t e m > < i t e m > < k e y > < s t r i n g > P r o d u c t i o n   Q u a n t i t y < / s t r i n g > < / k e y > < v a l u e > < i n t > 6 < / i n t > < / v a l u e > < / i t e m > < i t e m > < k e y > < s t r i n g > C o n s u m p t i o n   Q u a n t i t y < / s t r i n g > < / k e y > < v a l u e > < i n t > 7 < / i n t > < / v a l u e > < / i t e m > < i t e m > < k e y > < s t r i n g > T o t a l   G J < / s t r i n g > < / k e y > < v a l u e > < i n t > 8 < / i n t > < / v a l u e > < / i t e m > < i t e m > < k e y > < s t r i n g > S c o p e   1   k g   C O 2 - e < / s t r i n g > < / k e y > < v a l u e > < i n t > 9 < / i n t > < / v a l u e > < / i t e m > < i t e m > < k e y > < s t r i n g > S c o p e   2   k g   C O 2 - e < / s t r i n g > < / k e y > < v a l u e > < i n t > 1 0 < / i n t > < / v a l u e > < / i t e m > < i t e m > < k e y > < s t r i n g > S c o p e   3   k g   C O 2 - e < / s t r i n g > < / k e y > < v a l u e > < i n t > 1 1 < / i n t > < / v a l u e > < / i t e m > < i t e m > < k e y > < s t r i n g > T o t a l   E m i s s i o n s < / s t r i n g > < / k e y > < v a l u e > < i n t > 1 2 < / 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T a b l e X M L _ Q u e r y   2 _ a 4 0 0 9 b a 7 - 2 b 0 4 - 4 d 7 9 - a a 8 7 - e 1 b f 3 7 3 a 0 8 d 5 " > < 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Q u e r y   1 _ 7 a 2 c 7 c 0 b - 0 e 9 b - 4 4 9 2 - 9 d 3 f - 0 9 a c 7 1 8 1 8 e 0 8 " > < 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f c 6 2 2 7 5 a - 4 9 f 5 - 4 d 2 1 - a 7 9 d - 5 d 7 1 8 3 c d 7 7 2 d " > < C u s t o m C o n t e n t > < ! [ C D A T A [ < ? x m l   v e r s i o n = " 1 . 0 "   e n c o d i n g = " u t f - 1 6 " ? > < S e t t i n g s > < H S l i c e r s S h a p e > 0 ; 0 ; 0 ; 0 < / H S l i c e r s S h a p e > < V S l i c e r s S h a p e > 0 ; 0 ; 0 ; 0 < / V S l i c e r s S h a p e > < S l i c e r S h e e t N a m e > S u m m a r y   P i v o t < / S l i c e r S h e e t N a m e > < S A H o s t H a s h > 2 4 7 1 4 7 3 5 2 < / S A H o s t H a s h > < G e m i n i F i e l d L i s t V i s i b l e > T r u e < / G e m i n i F i e l d L i s t V i s i b l e > < / S e t t i n g s > ] ] > < / C u s t o m C o n t e n t > < / G e m i n i > 
</file>

<file path=customXml/item57.xml>��< ? x m l   v e r s i o n = " 1 . 0 "   e n c o d i n g = " U T F - 1 6 " ? > < G e m i n i   x m l n s = " h t t p : / / g e m i n i / p i v o t c u s t o m i z a t i o n / 9 e 3 e 0 b c d - 8 8 3 2 - 4 7 e 7 - 9 8 7 b - 4 3 4 1 5 e 9 4 1 e 3 7 " > < C u s t o m C o n t e n t > < ! [ C D A T A [ < ? x m l   v e r s i o n = " 1 . 0 "   e n c o d i n g = " u t f - 1 6 " ? > < S e t t i n g s > < H S l i c e r s S h a p e > 0 ; 0 ; 0 ; 0 < / H S l i c e r s S h a p e > < V S l i c e r s S h a p e > 0 ; 0 ; 0 ; 0 < / V S l i c e r s S h a p e > < S l i c e r S h e e t N a m e > E l e c t r i c i t y   O n   G r i d < / S l i c e r S h e e t N a m e > < S A H o s t H a s h > 2 3 8 2 4 4 8 5 0 < / S A H o s t H a s h > < G e m i n i F i e l d L i s t V i s i b l e > T r u e < / G e m i n i F i e l d L i s t V i s i b l e > < / S e t t i n g s > ] ] > < / C u s t o m C o n t e n t > < / G e m i n i > 
</file>

<file path=customXml/item58.xml>��< ? x m l   v e r s i o n = " 1 . 0 "   e n c o d i n g = " U T F - 1 6 " ? > < G e m i n i   x m l n s = " h t t p : / / g e m i n i / p i v o t c u s t o m i z a t i o n / P o w e r P i v o t V e r s i o n " > < C u s t o m C o n t e n t > < ! [ C D A T A [ 2 0 1 5 . 1 3 0 . 8 0 0 . 1 0 6 8 ] ] > < / C u s t o m C o n t e n t > < / G e m i n i > 
</file>

<file path=customXml/item59.xml>��< ? x m l   v e r s i o n = " 1 . 0 "   e n c o d i n g = " U T F - 1 6 " ? > < G e m i n i   x m l n s = " h t t p : / / g e m i n i / p i v o t c u s t o m i z a t i o n / T a b l e X M L _ F l i g h t _ M o d e l - 1 e 9 4 0 8 3 e - 8 d 4 a - 4 8 6 4 - b 5 8 7 - b f 3 e f 9 5 5 b 8 e 2 " > < 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U n i t & l t ; / s t r i n g & g t ; & l t ; / k e y & g t ; & l t ; v a l u e & g t ; & l t ; i n t & g t ; 1 4 7 & l t ; / i n t & g t ; & l t ; / v a l u e & g t ; & l t ; / i t e m & g t ; & l t ; / C o l u m n W i d t h s & g t ; & l t ; C o l u m n D i s p l a y I n d e x & g t ; & l t ; i t e m & g t ; & l t ; k e y & g t ; & l t ; s t r i n g & g t ; R e p o r t i n g   A l i a s & l t ; / s t r i n g & g t ; & l t ; / k e y & g t ; & l t ; v a l u e & g t ; & l t ; i n t & g t ; 0 & l t ; / i n t & g t ; & l t ; / v a l u e & g t ; & l t ; / i t e m & g t ; & l t ; i t e m & g t ; & l t ; k e y & g t ; & l t ; s t r i n g & g t ; U n i t & 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c 3 a 3 3 2 7 d - 6 b 0 6 - 4 4 0 4 - a 0 2 4 - 3 c d 1 d d 7 d 0 6 d 4 " > < C u s t o m C o n t e n t > < ! [ C D A T A [ < ? x m l   v e r s i o n = " 1 . 0 "   e n c o d i n g = " u t f - 1 6 " ? > < S e t t i n g s > < H S l i c e r s S h a p e > 0 ; 0 ; 0 ; 0 < / H S l i c e r s S h a p e > < V S l i c e r s S h a p e > 0 ; 0 ; 0 ; 0 < / V S l i c e r s S h a p e > < S l i c e r S h e e t N a m e > L e v e l   1   S u m m a r y < / S l i c e r S h e e t N a m e > < S A H o s t H a s h > 1 8 6 3 8 6 8 2 2 4 < / S A H o s t H a s h > < G e m i n i F i e l d L i s t V i s i b l e > T r u e < / G e m i n i F i e l d L i s t V i s i b l e > < / S e t t i n g s > ] ] > < / C u s t o m C o n t e n t > < / G e m i n i > 
</file>

<file path=customXml/item60.xml>��< ? x m l   v e r s i o n = " 1 . 0 "   e n c o d i n g = " U T F - 1 6 " ? > < G e m i n i   x m l n s = " h t t p : / / g e m i n i / p i v o t c u s t o m i z a t i o n / f 8 d 6 d c 9 1 - 2 f a 1 - 4 f 1 9 - b c a 5 - e 5 7 0 6 c a a 3 c 6 b " > < C u s t o m C o n t e n t > < ! [ C D A T A [ < ? x m l   v e r s i o n = " 1 . 0 "   e n c o d i n g = " u t f - 1 6 " ? > < S e t t i n g s > < H S l i c e r s S h a p e > 0 ; 0 ; 0 ; 0 < / H S l i c e r s S h a p e > < V S l i c e r s S h a p e > 0 ; 0 ; 0 ; 0 < / V S l i c e r s S h a p e > < S l i c e r S h e e t N a m e > C S R   S u m m a r y < / S l i c e r S h e e t N a m e > < S A H o s t H a s h > 1 0 2 8 3 3 9 7 0 < / S A H o s t H a s h > < G e m i n i F i e l d L i s t V i s i b l e > T r u e < / G e m i n i F i e l d L i s t V i s i b l e > < / S e t t i n g s > ] ] > < / C u s t o m C o n t e n t > < / G e m i n i > 
</file>

<file path=customXml/item61.xml>��< ? x m l   v e r s i o n = " 1 . 0 "   e n c o d i n g = " U T F - 1 6 " ? > < G e m i n i   x m l n s = " h t t p : / / g e m i n i / p i v o t c u s t o m i z a t i o n / L i n k e d T a b l e s " > < C u s t o m C o n t e n t > < ! [ C D A T A [ < L i n k e d T a b l e s   x m l n s : x s d = " h t t p : / / w w w . w 3 . o r g / 2 0 0 1 / X M L S c h e m a "   x m l n s : x s i = " h t t p : / / w w w . w 3 . o r g / 2 0 0 1 / X M L S c h e m a - i n s t a n c e " > < L i n k e d T a b l e L i s t > < L i n k e d T a b l e I n f o > < E x c e l T a b l e N a m e > B C A _ R e m o v e < / E x c e l T a b l e N a m e > < G e m i n i T a b l e I d > D a t a _ E n t r y - 4 b 6 7 1 4 8 b - 2 a d d - 4 6 f c - a f 5 f - 5 d 7 9 6 5 2 4 d 7 f 4 < / G e m i n i T a b l e I d > < L i n k e d C o l u m n L i s t   / > < U p d a t e N e e d e d > f a l s e < / U p d a t e N e e d e d > < R o w C o u n t > 0 < / R o w C o u n t > < / L i n k e d T a b l e I n f o > < L i n k e d T a b l e I n f o > < E x c e l T a b l e N a m e > N B N _ R e m o v a l < / E x c e l T a b l e N a m e > < G e m i n i T a b l e I d > N B N _ R e m o v a l - f f c b 1 8 a 9 - 0 2 c 6 - 4 1 5 9 - b 0 5 3 - c b e d 5 2 1 8 7 f 1 6 < / G e m i n i T a b l e I d > < L i n k e d C o l u m n L i s t   / > < U p d a t e N e e d e d > f a l s e < / U p d a t e N e e d e d > < R o w C o u n t > 0 < / R o w C o u n t > < / L i n k e d T a b l e I n f o > < L i n k e d T a b l e I n f o > < E x c e l T a b l e N a m e > S E _ G a s < / E x c e l T a b l e N a m e > < G e m i n i T a b l e I d > S E _ G a s - 4 c 5 7 c d 2 8 - 4 9 3 1 - 4 a 4 a - a 7 e 7 - 9 9 9 a 8 d d d b 6 7 f < / G e m i n i T a b l e I d > < L i n k e d C o l u m n L i s t   / > < U p d a t e N e e d e d > f a l s e < / U p d a t e N e e d e d > < R o w C o u n t > 0 < / R o w C o u n t > < / L i n k e d T a b l e I n f o > < L i n k e d T a b l e I n f o > < E x c e l T a b l e N a m e > G H G < / E x c e l T a b l e N a m e > < G e m i n i T a b l e I d > G H G - 3 9 0 a 7 7 8 f - a 1 b 0 - 4 4 e 0 - 9 a 9 3 - 2 e 2 5 c 9 e a 9 f e 5 < / G e m i n i T a b l e I d > < L i n k e d C o l u m n L i s t   / > < U p d a t e N e e d e d > f a l s e < / U p d a t e N e e d e d > < R o w C o u n t > 0 < / R o w C o u n t > < / L i n k e d T a b l e I n f o > < L i n k e d T a b l e I n f o > < E x c e l T a b l e N a m e > E n t i t y < / E x c e l T a b l e N a m e > < G e m i n i T a b l e I d > E n t i t y - e b d 6 c 0 2 f - 4 d 1 b - 4 6 7 e - a 7 3 3 - 8 3 b 7 1 d 2 8 c a 0 0 < / G e m i n i T a b l e I d > < L i n k e d C o l u m n L i s t   / > < U p d a t e N e e d e d > f a l s e < / U p d a t e N e e d e d > < R o w C o u n t > 0 < / R o w C o u n t > < / L i n k e d T a b l e I n f o > < L i n k e d T a b l e I n f o > < E x c e l T a b l e N a m e > N E T _ G e n s e t _ G r o u n d s < / E x c e l T a b l e N a m e > < G e m i n i T a b l e I d > N E T _ G e n s e t _ G r o u n d s - 6 c 0 e a f f 0 - 0 b 1 6 - 4 a 5 a - 9 6 7 5 - 9 4 7 f 6 f 2 d 4 3 a 3 < / G e m i n i T a b l e I d > < L i n k e d C o l u m n L i s t   / > < U p d a t e N e e d e d > f a l s e < / U p d a t e N e e d e d > < R o w C o u n t > 0 < / R o w C o u n t > < / L i n k e d T a b l e I n f o > < L i n k e d T a b l e I n f o > < E x c e l T a b l e N a m e > P e r c e n t a g e _ E s t i m a t e s < / E x c e l T a b l e N a m e > < G e m i n i T a b l e I d > P e r c e n t a g e _ E s t i m a t e s - 9 a f a c a 4 d - 4 2 5 4 - 4 b 1 3 - 9 3 5 9 - 6 6 d 4 c e d a b f a 7 < / G e m i n i T a b l e I d > < L i n k e d C o l u m n L i s t   / > < U p d a t e N e e d e d > f a l s e < / U p d a t e N e e d e d > < R o w C o u n t > 0 < / R o w C o u n t > < / L i n k e d T a b l e I n f o > < L i n k e d T a b l e I n f o > < E x c e l T a b l e N a m e > P i t w a t e r < / E x c e l T a b l e N a m e > < G e m i n i T a b l e I d > P i t w a t e r - 6 9 0 6 d 7 1 c - 4 6 7 5 - 4 3 9 f - b 4 c 9 - 7 a 9 2 d c d 5 e 1 7 4 < / G e m i n i T a b l e I d > < L i n k e d C o l u m n L i s t   / > < U p d a t e N e e d e d > f a l s e < / U p d a t e N e e d e d > < R o w C o u n t > 0 < / R o w C o u n t > < / L i n k e d T a b l e I n f o > < L i n k e d T a b l e I n f o > < E x c e l T a b l e N a m e > S o l a r < / E x c e l T a b l e N a m e > < G e m i n i T a b l e I d > S o l a r - 5 b 7 d 4 e 0 e - 0 b 9 3 - 4 7 d 8 - a 8 8 b - b f a 9 1 0 8 0 0 7 0 5 < / G e m i n i T a b l e I d > < L i n k e d C o l u m n L i s t   / > < U p d a t e N e e d e d > f a l s e < / U p d a t e N e e d e d > < R o w C o u n t > 0 < / R o w C o u n t > < / L i n k e d T a b l e I n f o > < L i n k e d T a b l e I n f o > < E x c e l T a b l e N a m e > G r o u n d s _ F u e l s < / E x c e l T a b l e N a m e > < G e m i n i T a b l e I d > G r o u n d s _ F u e l s - 7 8 a 6 7 c 4 3 - f 5 e 2 - 4 8 9 4 - 8 d 2 9 - c 2 f e e 9 1 6 9 7 9 9 < / G e m i n i T a b l e I d > < L i n k e d C o l u m n L i s t   / > < U p d a t e N e e d e d > f a l s e < / U p d a t e N e e d e d > < R o w C o u n t > 0 < / R o w C o u n t > < / L i n k e d T a b l e I n f o > < L i n k e d T a b l e I n f o > < E x c e l T a b l e N a m e > C o n t r a c t o r _ F u e l s < / E x c e l T a b l e N a m e > < G e m i n i T a b l e I d > C o n t r a c t o r _ F u e l s - 4 e 8 5 a e d 0 - 1 f 0 b - 4 a d d - b 8 2 1 - 9 3 f 6 c 5 4 3 b 1 5 5 < / G e m i n i T a b l e I d > < L i n k e d C o l u m n L i s t   / > < U p d a t e N e e d e d > f a l s e < / U p d a t e N e e d e d > < R o w C o u n t > 0 < / R o w C o u n t > < / L i n k e d T a b l e I n f o > < L i n k e d T a b l e I n f o > < E x c e l T a b l e N a m e > A V I S < / E x c e l T a b l e N a m e > < G e m i n i T a b l e I d > A V I S - 9 c 8 f 3 f 3 7 - 1 a 5 4 - 4 3 8 2 - a b 4 f - c 4 d b f 6 b 7 9 1 6 4 < / G e m i n i T a b l e I d > < L i n k e d C o l u m n L i s t   / > < U p d a t e N e e d e d > f a l s e < / U p d a t e N e e d e d > < R o w C o u n t > 0 < / R o w C o u n t > < / L i n k e d T a b l e I n f o > < L i n k e d T a b l e I n f o > < E x c e l T a b l e N a m e > L P _ F l e e t < / E x c e l T a b l e N a m e > < G e m i n i T a b l e I d > L P _ F l e e t - 6 5 9 7 5 e e 9 - 2 b 3 5 - 4 d 2 7 - b e 5 c - e 0 4 9 f c c f 8 9 0 8 < / G e m i n i T a b l e I d > < L i n k e d C o l u m n L i s t   / > < U p d a t e N e e d e d > f a l s e < / U p d a t e N e e d e d > < R o w C o u n t > 0 < / R o w C o u n t > < / L i n k e d T a b l e I n f o > < L i n k e d T a b l e I n f o > < E x c e l T a b l e N a m e > N O N _ G e n s e t < / E x c e l T a b l e N a m e > < G e m i n i T a b l e I d > N O N _ G e n s e t - 4 8 d 7 7 5 a c - 5 e a 3 - 4 4 4 0 - 8 b b a - b 5 a 2 a f 1 4 7 2 5 7 < / G e m i n i T a b l e I d > < L i n k e d C o l u m n L i s t   / > < U p d a t e N e e d e d > f a l s e < / U p d a t e N e e d e d > < R o w C o u n t > 0 < / R o w C o u n t > < / L i n k e d T a b l e I n f o > < L i n k e d T a b l e I n f o > < E x c e l T a b l e N a m e > D C _ G e n s e t < / E x c e l T a b l e N a m e > < G e m i n i T a b l e I d > D C _ G e n s e t - 4 2 6 5 8 9 7 c - 6 0 1 6 - 4 8 f 1 - b 5 8 4 - 1 e 1 6 3 7 4 9 1 e 1 9 < / G e m i n i T a b l e I d > < L i n k e d C o l u m n L i s t   / > < U p d a t e N e e d e d > f a l s e < / U p d a t e N e e d e d > < R o w C o u n t > 0 < / R o w C o u n t > < / L i n k e d T a b l e I n f o > < L i n k e d T a b l e I n f o > < E x c e l T a b l e N a m e > T e l s t r a B C A < / E x c e l T a b l e N a m e > < G e m i n i T a b l e I d > T e l s t r a B C A - a c 3 3 1 e 7 1 - 7 5 f c - 4 c a c - 9 f e d - 4 e 2 c 4 6 a 8 f c 7 7 < / G e m i n i T a b l e I d > < L i n k e d C o l u m n L i s t   / > < U p d a t e N e e d e d > f a l s e < / U p d a t e N e e d e d > < R o w C o u n t > 0 < / R o w C o u n t > < / L i n k e d T a b l e I n f o > < L i n k e d T a b l e I n f o > < E x c e l T a b l e N a m e > L P _ S t a t i o n a r y < / E x c e l T a b l e N a m e > < G e m i n i T a b l e I d > N G E R S _ S t a t i o n a r y _ r e p o r t - c 8 c 1 4 b e a - 1 6 e 7 - 4 f 0 c - 8 5 5 9 - 6 f 3 9 6 0 7 0 9 6 b 5 < / G e m i n i T a b l e I d > < L i n k e d C o l u m n L i s t   / > < U p d a t e N e e d e d > f a l s e < / U p d a t e N e e d e d > < R o w C o u n t > 0 < / R o w C o u n t > < / L i n k e d T a b l e I n f o > < L i n k e d T a b l e I n f o > < E x c e l T a b l e N a m e > S u m m a r y < / E x c e l T a b l e N a m e > < G e m i n i T a b l e I d > T a b l e 1 9 - e 1 f c 1 8 a 8 - 5 f a 9 - 4 5 7 2 - 8 6 d f - 7 b d f 7 7 7 7 e 2 4 e < / G e m i n i T a b l e I d > < L i n k e d C o l u m n L i s t   / > < U p d a t e N e e d e d > t r u e < / U p d a t e N e e d e d > < R o w C o u n t > 0 < / R o w C o u n t > < / L i n k e d T a b l e I n f o > < L i n k e d T a b l e I n f o > < E x c e l T a b l e N a m e > F l i g h t _ M o d e l < / E x c e l T a b l e N a m e > < G e m i n i T a b l e I d > F l i g h t _ M o d e l - 1 e 9 4 0 8 3 e - 8 d 4 a - 4 8 6 4 - b 5 8 7 - b f 3 e f 9 5 5 b 8 e 2 < / G e m i n i T a b l e I d > < L i n k e d C o l u m n L i s t   / > < U p d a t e N e e d e d > f a l s e < / U p d a t e N e e d e d > < R o w C o u n t > 0 < / R o w C o u n t > < / L i n k e d T a b l e I n f o > < L i n k e d T a b l e I n f o > < E x c e l T a b l e N a m e > P a p e r _ C S R < / E x c e l T a b l e N a m e > < G e m i n i T a b l e I d > P a p e r _ C S R - 7 f 3 9 0 a 5 7 - 9 5 d d - 4 2 d f - a b 3 f - 1 7 9 8 3 a 8 f 2 c 9 3 < / G e m i n i T a b l e I d > < L i n k e d C o l u m n L i s t   / > < U p d a t e N e e d e d > f a l s e < / U p d a t e N e e d e d > < R o w C o u n t > 0 < / R o w C o u n t > < / L i n k e d T a b l e I n f o > < L i n k e d T a b l e I n f o > < E x c e l T a b l e N a m e > S a v i n g s _ D a t a < / E x c e l T a b l e N a m e > < G e m i n i T a b l e I d > S a v i n g s _ D a t a - e 0 1 f 4 f 2 8 - f a 1 a - 4 5 2 c - 8 e 8 4 - 8 3 0 8 4 e d f c e 6 2 < / G e m i n i T a b l e I d > < L i n k e d C o l u m n L i s t   / > < U p d a t e N e e d e d > f a l s e < / U p d a t e N e e d e d > < R o w C o u n t > 0 < / R o w C o u n t > < / L i n k e d T a b l e I n f o > < / L i n k e d T a b l e L i s t > < / L i n k e d T a b l e s > ] ] > < / C u s t o m C o n t e n t > < / G e m i n i > 
</file>

<file path=customXml/item62.xml>��< ? x m l   v e r s i o n = " 1 . 0 "   e n c o d i n g = " U T F - 1 6 " ? > < G e m i n i   x m l n s = " h t t p : / / g e m i n i / p i v o t c u s t o m i z a t i o n / 6 5 8 6 e 2 7 e - 4 3 d 8 - 4 9 3 1 - b d 8 3 - e 5 4 a e 2 c f 4 1 7 5 " > < C u s t o m C o n t e n t > < ! [ C D A T A [ < ? x m l   v e r s i o n = " 1 . 0 "   e n c o d i n g = " u t f - 1 6 " ? > < S e t t i n g s > < H S l i c e r s S h a p e > 0 ; 0 ; 0 ; 0 < / H S l i c e r s S h a p e > < V S l i c e r s S h a p e > 0 ; 0 ; 0 ; 0 < / V S l i c e r s S h a p e > < S l i c e r S h e e t N a m e > S h e e t 4 < / S l i c e r S h e e t N a m e > < S A H o s t H a s h > 1 8 4 3 7 4 8 9 1 0 < / S A H o s t H a s h > < G e m i n i F i e l d L i s t V i s i b l e > T r u e < / G e m i n i F i e l d L i s t V i s i b l e > < / S e t t i n g s > ] ] > < / C u s t o m C o n t e n t > < / G e m i n i > 
</file>

<file path=customXml/item63.xml>��< ? x m l   v e r s i o n = " 1 . 0 "   e n c o d i n g = " U T F - 1 6 " ? > < G e m i n i   x m l n s = " h t t p : / / g e m i n i / p i v o t c u s t o m i z a t i o n / 8 5 9 1 b f f 7 - 3 6 b 5 - 4 4 6 1 - 9 b d c - f d 3 0 7 b e 1 3 0 f f " > < C u s t o m C o n t e n t > < ! [ C D A T A [ < ? x m l   v e r s i o n = " 1 . 0 "   e n c o d i n g = " u t f - 1 6 " ? > < S e t t i n g s > < H S l i c e r s S h a p e > 0 ; 0 ; 0 ; 0 < / H S l i c e r s S h a p e > < V S l i c e r s S h a p e > 0 ; 0 ; 0 ; 0 < / V S l i c e r s S h a p e > < S l i c e r S h e e t N a m e > F l e e t < / S l i c e r S h e e t N a m e > < S A H o s t H a s h > 2 0 2 7 2 6 5 6 7 3 < / S A H o s t H a s h > < G e m i n i F i e l d L i s t V i s i b l e > T r u e < / G e m i n i F i e l d L i s t V i s i b l e > < / S e t t i n g s > ] ] > < / C u s t o m C o n t e n t > < / G e m i n i > 
</file>

<file path=customXml/item64.xml>��< ? x m l   v e r s i o n = " 1 . 0 "   e n c o d i n g = " U T F - 1 6 " ? > < G e m i n i   x m l n s = " h t t p : / / g e m i n i / p i v o t c u s t o m i z a t i o n / T a b l e X M L _ R a n g e - a 8 7 0 c f 8 f - 9 4 b 4 - 4 c 4 8 - a d 5 d - c 5 2 f e 2 a 4 0 e b 8 " > < C u s t o m C o n t e n t > < ! [ C D A T A [ < T a b l e W i d g e t G r i d S e r i a l i z a t i o n   x m l n s : x s i = " h t t p : / / w w w . w 3 . o r g / 2 0 0 1 / X M L S c h e m a - i n s t a n c e "   x m l n s : x s d = " h t t p : / / w w w . w 3 . o r g / 2 0 0 1 / X M L S c h e m a " > < C o l u m n S u g g e s t e d T y p e > < i t e m > < k e y > < s t r i n g > F o r m   Q u a n t < / s t r i n g > < / k e y > < v a l u e > < s t r i n g > E m p t y < / s t r i n g > < / v a l u e > < / i t e m > < i t e m > < k e y > < s t r i n g > C l e a n < / s t r i n g > < / k e y > < v a l u e > < s t r i n g > E m p t y < / s t r i n g > < / v a l u e > < / i t e m > < / C o l u m n S u g g e s t e d T y p e > < C o l u m n F o r m a t   / > < C o l u m n A c c u r a c y   / > < C o l u m n C u r r e n c y S y m b o l   / > < C o l u m n P o s i t i v e P a t t e r n   / > < C o l u m n N e g a t i v e P a t t e r n   / > < C o l u m n W i d t h s > < i t e m > < k e y > < s t r i n g > F o r m   Q u a n t < / s t r i n g > < / k e y > < v a l u e > < i n t > 1 0 9 < / i n t > < / v a l u e > < / i t e m > < i t e m > < k e y > < s t r i n g > C l e a n < / s t r i n g > < / k e y > < v a l u e > < i n t > 7 1 < / i n t > < / v a l u e > < / i t e m > < / C o l u m n W i d t h s > < C o l u m n D i s p l a y I n d e x > < i t e m > < k e y > < s t r i n g > F o r m   Q u a n t < / s t r i n g > < / k e y > < v a l u e > < i n t > 0 < / i n t > < / v a l u e > < / i t e m > < i t e m > < k e y > < s t r i n g > C l e a n < / s t r i n g > < / k e y > < v a l u e > < i n t > 1 < / i n t > < / v a l u e > < / i t e m > < / C o l u m n D i s p l a y I n d e x > < C o l u m n F r o z e n   / > < C o l u m n C h e c k e d   / > < C o l u m n F i l t e r   / > < S e l e c t i o n F i l t e r   / > < F i l t e r P a r a m e t e r s   / > < I s S o r t D e s c e n d i n g > f a l s e < / I s S o r t D e s c e n d i n g > < / T a b l e W i d g e t G r i d S e r i a l i z a t i o n > ] ] > < / C u s t o m C o n t e n t > < / G e m i n i > 
</file>

<file path=customXml/item65.xml>��< ? x m l   v e r s i o n = " 1 . 0 "   e n c o d i n g = " U T F - 1 6 " ? > < G e m i n i   x m l n s = " h t t p : / / g e m i n i / p i v o t c u s t o m i z a t i o n / f 9 a 3 4 0 7 f - 9 0 7 f - 4 4 1 1 - 9 7 b f - 8 c c 4 a f 4 b 0 9 a e " > < C u s t o m C o n t e n t > < ! [ C D A T A [ < ? x m l   v e r s i o n = " 1 . 0 "   e n c o d i n g = " u t f - 1 6 " ? > < S e t t i n g s > < H S l i c e r s S h a p e > 0 ; 0 ; 0 ; 0 < / H S l i c e r s S h a p e > < V S l i c e r s S h a p e > 0 ; 0 ; 0 ; 0 < / V S l i c e r s S h a p e > < S l i c e r S h e e t N a m e > S h e e t 3 < / S l i c e r S h e e t N a m e > < S A H o s t H a s h > 2 0 5 7 4 7 0 6 1 0 < / S A H o s t H a s h > < G e m i n i F i e l d L i s t V i s i b l e > T r u e < / G e m i n i F i e l d L i s t V i s i b l e > < / S e t t i n g s > ] ] > < / C u s t o m C o n t e n t > < / G e m i n i > 
</file>

<file path=customXml/item66.xml>��< ? x m l   v e r s i o n = " 1 . 0 "   e n c o d i n g = " U T F - 1 6 " ? > < G e m i n i   x m l n s = " h t t p : / / g e m i n i / p i v o t c u s t o m i z a t i o n / 8 b 0 d f a 2 9 - a 8 0 7 - 4 9 b 8 - b 1 a 1 - c 5 7 5 1 a 5 e e 7 0 2 " > < C u s t o m C o n t e n t > < ! [ C D A T A [ < ? x m l   v e r s i o n = " 1 . 0 "   e n c o d i n g = " u t f - 1 6 " ? > < S e t t i n g s > < H S l i c e r s S h a p e > 0 ; 0 ; 0 ; 0 < / H S l i c e r s S h a p e > < V S l i c e r s S h a p e > 0 ; 0 ; 0 ; 0 < / V S l i c e r s S h a p e > < S l i c e r S h e e t N a m e > C S R   S u m m a r y < / S l i c e r S h e e t N a m e > < S A H o s t H a s h > 1 1 6 0 8 5 7 8 3 4 < / S A H o s t H a s h > < G e m i n i F i e l d L i s t V i s i b l e > T r u e < / G e m i n i F i e l d L i s t V i s i b l e > < / S e t t i n g s > ] ] > < / C u s t o m C o n t e n t > < / G e m i n i > 
</file>

<file path=customXml/item67.xml>��< ? x m l   v e r s i o n = " 1 . 0 "   e n c o d i n g = " U T F - 1 6 " ? > < G e m i n i   x m l n s = " h t t p : / / g e m i n i / p i v o t c u s t o m i z a t i o n / e c a e a 8 f 1 - c 8 5 2 - 4 7 3 7 - 8 4 9 e - c f 1 5 c 4 a 5 4 5 2 2 " > < C u s t o m C o n t e n t > < ! [ C D A T A [ < ? x m l   v e r s i o n = " 1 . 0 "   e n c o d i n g = " u t f - 1 6 " ? > < S e t t i n g s > < H S l i c e r s S h a p e > 0 ; 0 ; 0 ; 0 < / H S l i c e r s S h a p e > < V S l i c e r s S h a p e > 0 ; 0 ; 0 ; 0 < / V S l i c e r s S h a p e > < S l i c e r S h e e t N a m e > S t a t i o n a r y   -   O t h e r < / S l i c e r S h e e t N a m e > < S A H o s t H a s h > 4 1 8 4 2 5 6 7 1 < / S A H o s t H a s h > < G e m i n i F i e l d L i s t V i s i b l e > T r u e < / G e m i n i F i e l d L i s t V i s i b l e > < / S e t t i n g s > ] ] > < / C u s t o m C o n t e n t > < / G e m i n i > 
</file>

<file path=customXml/item68.xml>��< ? x m l   v e r s i o n = " 1 . 0 "   e n c o d i n g = " U T F - 1 6 " ? > < G e m i n i   x m l n s = " h t t p : / / g e m i n i / p i v o t c u s t o m i z a t i o n / T a b l e X M L _ D C _ G e n s e t - 4 2 6 5 8 9 7 c - 6 0 1 6 - 4 8 f 1 - b 5 8 4 - 1 e 1 6 3 7 4 9 1 e 1 9 " > < 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F u e l & l t ; / s t r i n g & g t ; & l t ; / k e y & g t ; & l t ; v a l u e & g t ; & l t ; i n t & g t ; 6 3 & l t ; / i n t & g t ; & l t ; / v a l u e & g t ; & l t ; / i t e m & g t ; & l t ; i t e m & g t ; & l t ; k e y & g t ; & l t ; s t r i n g & g t ; S t a t e & l t ; / s t r i n g & g t ; & l t ; / k e y & g t ; & l t ; v a l u e & g t ; & l t ; i n t & g t ; 6 8 & l t ; / i n t & g t ; & l t ; / v a l u e & g t ; & l t ; / i t e m & g t ; & l t ; i t e m & g t ; & l t ; k e y & g t ; & l t ; s t r i n g & g t ; C o n s u m p t i o n   Q u a n t i t y   ( L ) & l t ; / s t r i n g & g t ; & l t ; / k e y & g t ; & l t ; v a l u e & g t ; & l t ; i n t & g t ; 1 9 3 & l t ; / i n t & g t ; & l t ; / v a l u e & g t ; & l t ; / i t e m & g t ; & l t ; i t e m & g t ; & l t ; k e y & g t ; & l t ; s t r i n g & g t ; C o n s u m p t i o n     U n i t s & l t ; / s t r i n g & g t ; & l t ; / k e y & g t ; & l t ; v a l u e & g t ; & l t ; i n t & g t ; 1 5 6 & l t ; / i n t & g t ; & l t ; / v a l u e & g t ; & l t ; / i t e m & g t ; & l t ; i t e m & g t ; & l t ; k e y & g t ; & l t ; s t r i n g & g t ; C o n s u m p t i o n   Q u a n t i t y & l t ; / s t r i n g & g t ; & l t ; / k e y & g t ; & l t ; v a l u e & g t ; & l t ; i n t & g t ; 1 7 4 & l t ; / i n t & g t ; & l t ; / v a l u e & g t ; & l t ; / i t e m & g t ; & l t ; i t e m & g t ; & l t ; k e y & g t ; & l t ; s t r i n g & g t ; U o M & l t ; / s t r i n g & g t ; & l t ; / k e y & g t ; & l t ; v a l u e & g t ; & l t ; i n t & g t ; 6 5 & l t ; / i n t & g t ; & l t ; / v a l u e & g t ; & l t ; / i t e m & g t ; & l t ; i t e m & g t ; & l t ; k e y & g t ; & l t ; s t r i n g & g t ; T o t a l   G J & l t ; / s t r i n g & g t ; & l t ; / k e y & g t ; & l t ; v a l u e & g t ; & l t ; i n t & g t ; 8 3 & l t ; / i n t & g t ; & l t ; / v a l u e & g t ; & l t ; / i t e m & g t ; & l t ; i t e m & g t ; & l t ; k e y & g t ; & l t ; s t r i n g & g t ; S c o p e 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F u e l & l t ; / s t r i n g & g t ; & l t ; / k e y & g t ; & l t ; v a l u e & g t ; & l t ; i n t & g t ; 1 & l t ; / i n t & g t ; & l t ; / v a l u e & g t ; & l t ; / i t e m & g t ; & l t ; i t e m & g t ; & l t ; k e y & g t ; & l t ; s t r i n g & g t ; S t a t e & l t ; / s t r i n g & g t ; & l t ; / k e y & g t ; & l t ; v a l u e & g t ; & l t ; i n t & g t ; 2 & l t ; / i n t & g t ; & l t ; / v a l u e & g t ; & l t ; / i t e m & g t ; & l t ; i t e m & g t ; & l t ; k e y & g t ; & l t ; s t r i n g & g t ; C o n s u m p t i o n   Q u a n t i t y   ( L ) & l t ; / s t r i n g & g t ; & l t ; / k e y & g t ; & l t ; v a l u e & g t ; & l t ; i n t & g t ; 3 & l t ; / i n t & g t ; & l t ; / v a l u e & g t ; & l t ; / i t e m & g t ; & l t ; i t e m & g t ; & l t ; k e y & g t ; & l t ; s t r i n g & g t ; C o n s u m p t i o n     U n i t s & l t ; / s t r i n g & g t ; & l t ; / k e y & g t ; & l t ; v a l u e & g t ; & l t ; i n t & g t ; 4 & l t ; / i n t & g t ; & l t ; / v a l u e & g t ; & l t ; / i t e m & g t ; & l t ; i t e m & g t ; & l t ; k e y & g t ; & l t ; s t r i n g & g t ; C o n s u m p t i o n   Q u a n t i t y & l t ; / s t r i n g & g t ; & l t ; / k e y & g t ; & l t ; v a l u e & g t ; & l t ; i n t & g t ; 1 1 & l t ; / i n t & g t ; & l t ; / v a l u e & g t ; & l t ; / i t e m & g t ; & l t ; i t e m & g t ; & l t ; k e y & g t ; & l t ; s t r i n g & g t ; U o M & l t ; / s t r i n g & g t ; & l t ; / k e y & g t ; & l t ; v a l u e & g t ; & l t ; i n t & g t ; 5 & l t ; / i n t & g t ; & l t ; / v a l u e & g t ; & l t ; / i t e m & g t ; & l t ; i t e m & g t ; & l t ; k e y & g t ; & l t ; s t r i n g & g t ; T o t a l   G J & l t ; / s t r i n g & g t ; & l t ; / k e y & g t ; & l t ; v a l u e & g t ; & l t ; i n t & g t ; 6 & l t ; / i n t & g t ; & l t ; / v a l u e & g t ; & l t ; / i t e m & g t ; & l t ; i t e m & g t ; & l t ; k e y & g t ; & l t ; s t r i n g & g t ; S c o p e   1   k g   C O 2 - e & l t ; / s t r i n g & g t ; & l t ; / k e y & g t ; & l t ; v a l u e & g t ; & l t ; i n t & g t ; 7 & l t ; / i n t & g t ; & l t ; / v a l u e & g t ; & l t ; / i t e m & g t ; & l t ; i t e m & g t ; & l t ; k e y & g t ; & l t ; s t r i n g & g t ; S c o p e   2   k g   C O 2 - e & l t ; / s t r i n g & g t ; & l t ; / k e y & g t ; & l t ; v a l u e & g t ; & l t ; i n t & g t ; 8 & l t ; / i n t & g t ; & l t ; / v a l u e & g t ; & l t ; / i t e m & g t ; & l t ; i t e m & g t ; & l t ; k e y & g t ; & l t ; s t r i n g & g t ; S c o p e   3   k g   C O 2 - e & l t ; / s t r i n g & g t ; & l t ; / k e y & g t ; & l t ; v a l u e & g t ; & l t ; i n t & g t ; 9 & l t ; / i n t & g t ; & l t ; / v a l u e & g t ; & l t ; / i t e m & g t ; & l t ; i t e m & g t ; & l t ; k e y & g t ; & l t ; s t r i n g & g t ; T o t a l   E m i s s i o n s & l t ; / s t r i n g & g t ; & l t ; / k e y & g t ; & l t ; v a l u e & g t ; & l t ; i n t & g t ; 1 0 & l t ; / i n t & g t ; & l t ; / v a l u e & g t ; & l t ; / i t e m & g t ; & l t ; / C o l u m n D i s p l a y I n d e x & g t ; & l t ; C o l u m n F r o z e n   / & g t ; & l t ; C o l u m n C h e c k e d   / & g t ; & l t ; C o l u m n F i l t e r   / & g t ; & l t ; S e l e c t i o n F i l t e r   / & g t ; & l t ; F i l t e r P a r a m e t e r s   / & g t ; & l t ; I s S o r t D e s c e n d i n g & g t ; f a l s e & l t ; / I s S o r t D e s c e n d i n g & g t ; & l t ; / T a b l e W i d g e t G r i d S e r i a l i z a t i o n & g t ; < / C u s t o m C o n t e n t > < / G e m i n i > 
</file>

<file path=customXml/item69.xml>��< ? x m l   v e r s i o n = " 1 . 0 "   e n c o d i n g = " U T F - 1 6 " ? > < G e m i n i   x m l n s = " h t t p : / / g e m i n i / p i v o t c u s t o m i z a t i o n / 0 3 3 1 0 9 b 9 - 7 c 1 d - 4 c f b - a c 9 7 - d 8 1 8 c 2 0 1 4 3 5 1 " > < C u s t o m C o n t e n t > < ! [ C D A T A [ < ? x m l   v e r s i o n = " 1 . 0 "   e n c o d i n g = " u t f - 1 6 " ? > < S e t t i n g s > < H S l i c e r s S h a p e > 0 ; 0 ; 0 ; 0 < / H S l i c e r s S h a p e > < V S l i c e r s S h a p e > 0 ; 0 ; 0 ; 0 < / V S l i c e r s S h a p e > < S l i c e r S h e e t N a m e > S h e e t 1 < / S l i c e r S h e e t N a m e > < S A H o s t H a s h > 1 6 3 4 7 3 6 8 3 5 < / S A H o s t H a s h > < G e m i n i F i e l d L i s t V i s i b l e > T r u e < / G e m i n i F i e l d L i s t V i s i b l e > < / S e t t i n g s > ] ] > < / C u s t o m C o n t e n t > < / G e m i n i > 
</file>

<file path=customXml/item7.xml>��< ? x m l   v e r s i o n = " 1 . 0 "   e n c o d i n g = " U T F - 1 6 " ? > < G e m i n i   x m l n s = " h t t p : / / g e m i n i / p i v o t c u s t o m i z a t i o n / d 6 b 9 6 d d 2 - 9 8 b b - 4 1 1 7 - 9 8 5 5 - 6 2 a f 2 0 a 4 a b 7 6 " > < C u s t o m C o n t e n t > < ! [ C D A T A [ < ? x m l   v e r s i o n = " 1 . 0 "   e n c o d i n g = " u t f - 1 6 " ? > < S e t t i n g s > < H S l i c e r s S h a p e > 0 ; 0 ; 0 ; 0 < / H S l i c e r s S h a p e > < V S l i c e r s S h a p e > 0 ; 0 ; 0 ; 0 < / V S l i c e r s S h a p e > < S l i c e r S h e e t N a m e > S u m m a r y   P i v o t < / S l i c e r S h e e t N a m e > < S A H o s t H a s h > 1 3 1 9 4 3 0 1 8 1 < / S A H o s t H a s h > < G e m i n i F i e l d L i s t V i s i b l e > T r u e < / G e m i n i F i e l d L i s t V i s i b l e > < / S e t t i n g s > ] ] > < / C u s t o m C o n t e n t > < / G e m i n i > 
</file>

<file path=customXml/item70.xml>��< ? x m l   v e r s i o n = " 1 . 0 "   e n c o d i n g = " U T F - 1 6 " ? > < G e m i n i   x m l n s = " h t t p : / / g e m i n i / p i v o t c u s t o m i z a t i o n / M a n u a l C a l c M o d e " > < C u s t o m C o n t e n t > < ! [ C D A T A [ F a l s e ] ] > < / C u s t o m C o n t e n t > < / G e m i n i > 
</file>

<file path=customXml/item71.xml>��< ? x m l   v e r s i o n = " 1 . 0 "   e n c o d i n g = " U T F - 1 6 " ? > < G e m i n i   x m l n s = " h t t p : / / g e m i n i / p i v o t c u s t o m i z a t i o n / 5 a 0 9 9 5 6 e - f 8 6 a - 4 e 6 0 - 9 e f a - 6 1 0 b 7 7 e f e 4 4 7 " > < C u s t o m C o n t e n t > < ! [ C D A T A [ < ? x m l   v e r s i o n = " 1 . 0 "   e n c o d i n g = " u t f - 1 6 " ? > < S e t t i n g s > < H S l i c e r s S h a p e > 0 ; 0 ; 0 ; 0 < / H S l i c e r s S h a p e > < V S l i c e r s S h a p e > 0 ; 0 ; 0 ; 0 < / V S l i c e r s S h a p e > < S l i c e r S h e e t N a m e > S h e e t 5 < / S l i c e r S h e e t N a m e > < S A H o s t H a s h > 6 9 7 1 9 8 8 1 3 < / S A H o s t H a s h > < G e m i n i F i e l d L i s t V i s i b l e > T r u e < / G e m i n i F i e l d L i s t V i s i b l e > < / S e t t i n g s > ] ] > < / C u s t o m C o n t e n t > < / G e m i n i > 
</file>

<file path=customXml/item72.xml>��< ? x m l   v e r s i o n = " 1 . 0 "   e n c o d i n g = " U T F - 1 6 " ? > < G e m i n i   x m l n s = " h t t p : / / g e m i n i / p i v o t c u s t o m i z a t i o n / 5 e 9 7 a f 8 5 - f 6 6 6 - 4 2 8 8 - b f 3 9 - 8 a 0 6 d 3 5 1 d f 1 7 " > < C u s t o m C o n t e n t > < ! [ C D A T A [ < ? x m l   v e r s i o n = " 1 . 0 "   e n c o d i n g = " u t f - 1 6 " ? > < S e t t i n g s > < H S l i c e r s S h a p e > 0 ; 0 ; 0 ; 0 < / H S l i c e r s S h a p e > < V S l i c e r s S h a p e > 0 ; 0 ; 0 ; 0 < / V S l i c e r s S h a p e > < S l i c e r S h e e t N a m e > S u m m a r y   P i v o t < / S l i c e r S h e e t N a m e > < S A H o s t H a s h > 1 1 5 7 2 4 7 9 9 9 < / S A H o s t H a s h > < G e m i n i F i e l d L i s t V i s i b l e > T r u e < / G e m i n i F i e l d L i s t V i s i b l e > < / S e t t i n g s > ] ] > < / C u s t o m C o n t e n t > < / G e m i n i > 
</file>

<file path=customXml/item73.xml>��< ? x m l   v e r s i o n = " 1 . 0 "   e n c o d i n g = " U T F - 1 6 " ? > < G e m i n i   x m l n s = " h t t p : / / g e m i n i / p i v o t c u s t o m i z a t i o n / T a b l e X M L _ P e r c e n t a g e _ E s t i m a t e s - 9 a f a c a 4 d - 4 2 5 4 - 4 b 1 3 - 9 3 5 9 - 6 6 d 4 c e d a b f a 7 " > < 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E n t i t y & l t ; / s t r i n g & g t ; & l t ; / k e y & g t ; & l t ; v a l u e & g t ; & l t ; i n t & g t ; 1 7 5 & l t ; / i n t & g t ; & l t ; / v a l u e & g t ; & l t ; / i t e m & g t ; & l t ; i t e m & g t ; & l t ; k e y & g t ; & l t ; s t r i n g & g t ; S i t e   A d d r e s s & l t ; / s t r i n g & g t ; & l t ; / k e y & g t ; & l t ; v a l u e & g t ; & l t ; i n t & g t ; 1 1 3 & l t ; / i n t & g t ; & l t ; / v a l u e & g t ; & l t ; / i t e m & g t ; & l t ; i t e m & g t ; & l t ; k e y & g t ; & l t ; s t r i n g & g t ; S i t e   n a m e / V e h i c l e   n a m e & l t ; / s t r i n g & g t ; & l t ; / k e y & g t ; & l t ; v a l u e & g t ; & l t ; i n t & g t ; 1 8 8 & l t ; / i n t & g t ; & l t ; / v a l u e & g t ; & l t ; / i t e m & g t ; & l t ; i t e m & g t ; & l t ; k e y & g t ; & l t ; s t r i n g & g t ; S t a t e & l t ; / s t r i n g & g t ; & l t ; / k e y & g t ; & l t ; v a l u e & g t ; & l t ; i n t & g t ; 6 8 & l t ; / i n t & g t ; & l t ; / v a l u e & g t ; & l t ; / i t e m & g t ; & l t ; i t e m & g t ; & l t ; k e y & g t ; & l t ; s t r i n g & g t ; P r o c e d u r e   t o   C a p t u r e   d a t a & l t ; / s t r i n g & g t ; & l t ; / k e y & g t ; & l t ; v a l u e & g t ; & l t ; i n t & g t ; 1 9 8 & l t ; / i n t & g t ; & l t ; / v a l u e & g t ; & l t ; / i t e m & g t ; & l t ; i t e m & g t ; & l t ; k e y & g t ; & l t ; s t r i n g & g t ; E s t i m a t i o n   M e t h o d   ( i f   r e l e v a n t ) & l t ; / s t r i n g & g t ; & l t ; / k e y & g t ; & l t ; v a l u e & g t ; & l t ; i n t & g t ; 2 2 9 & l t ; / i n t & g t ; & l t ; / v a l u e & g t ; & l t ; / i t e m & g t ; & l t ; i t e m & g t ; & l t ; k e y & g t ; & l t ; s t r i n g & g t ; Q u a n t i t y & l t ; / s t r i n g & g t ; & l t ; / k e y & g t ; & l t ; v a l u e & g t ; & l t ; i n t & g t ; 8 9 & l t ; / i n t & g t ; & l t ; / v a l u e & g t ; & l t ; / i t e m & g t ; & l t ; i t e m & g t ; & l t ; k e y & g t ; & l t ; s t r i n g & g t ; A p p o r t i o n e d   Q u a n t i t y & l t ; / s t r i n g & g t ; & l t ; / k e y & g t ; & l t ; v a l u e & g t ; & l t ; i n t & g t ; 1 7 0 & l t ; / i n t & g t ; & l t ; / v a l u e & g t ; & l t ; / i t e m & g t ; & l t ; i t e m & g t ; & l t ; k e y & g t ; & l t ; s t r i n g & g t ; P e r i o d   S t a r t & l t ; / s t r i n g & g t ; & l t ; / k e y & g t ; & l t ; v a l u e & g t ; & l t ; i n t & g t ; 1 0 9 & l t ; / i n t & g t ; & l t ; / v a l u e & g t ; & l t ; / i t e m & g t ; & l t ; i t e m & g t ; & l t ; k e y & g t ; & l t ; s t r i n g & g t ; U s e   o f   f u e l & l t ; / s t r i n g & g t ; & l t ; / k e y & g t ; & l t ; v a l u e & g t ; & l t ; i n t & g t ; 1 0 3 & l t ; / i n t & g t ; & l t ; / v a l u e & g t ; & l t ; / i t e m & g t ; & l t ; i t e m & g t ; & l t ; k e y & g t ; & l t ; s t r i n g & g t ; U n i t   o f   m e a s u r e & l t ; / s t r i n g & g t ; & l t ; / k e y & g t ; & l t ; v a l u e & g t ; & l t ; i n t & g t ; 1 3 5 & l t ; / i n t & g t ; & l t ; / v a l u e & g t ; & l t ; / i t e m & g t ; & l t ; i t e m & g t ; & l t ; k e y & g t ; & l t ; s t r i n g & g t ; P e r i o d   E n d & l t ; / s t r i n g & g t ; & l t ; / k e y & g t ; & l t ; v a l u e & g t ; & l t ; i n t & g t ; 1 0 3 & l t ; / i n t & g t ; & l t ; / v a l u e & g t ; & l t ; / i t e m & g t ; & l t ; i t e m & g t ; & l t ; k e y & g t ; & l t ; s t r i n g & g t ; D a y s & l t ; / s t r i n g & g t ; & l t ; / k e y & g t ; & l t ; v a l u e & g t ; & l t ; i n t & g t ; 6 5 & l t ; / i n t & g t ; & l t ; / v a l u e & g t ; & l t ; / i t e m & g t ; & l t ; i t e m & g t ; & l t ; k e y & g t ; & l t ; s t r i n g & g t ; G e n e r a t o r   M a k e & a m p ; g t ; m o d e l & l t ; / s t r i n g & g t ; & l t ; / k e y & g t ; & l t ; v a l u e & g t ; & l t ; i n t & g t ; 1 8 3 & l t ; / i n t & g t ; & l t ; / v a l u e & g t ; & l t ; / i t e m & g t ; & l t ; i t e m & g t ; & l t ; k e y & g t ; & l t ; s t r i n g & g t ; E s t i m a t e d   r u n   t i m e   ( h o u r s ) & l t ; / s t r i n g & g t ; & l t ; / k e y & g t ; & l t ; v a l u e & g t ; & l t ; i n t & g t ; 2 0 0 & l t ; / i n t & g t ; & l t ; / v a l u e & g t ; & l t ; / i t e m & g t ; & l t ; i t e m & g t ; & l t ; k e y & g t ; & l t ; s t r i n g & g t ; I n s t a l l e d   C a p a c i t y & l t ; / s t r i n g & g t ; & l t ; / k e y & g t ; & l t ; v a l u e & g t ; & l t ; i n t & g t ; 1 4 5 & l t ; / i n t & g t ; & l t ; / v a l u e & g t ; & l t ; / i t e m & g t ; & l t ; i t e m & g t ; & l t ; k e y & g t ; & l t ; s t r i n g & g t ; D e r a t e d   C a p a c i t y & l t ; / s t r i n g & g t ; & l t ; / k e y & g t ; & l t ; v a l u e & g t ; & l t ; i n t & g t ; 1 4 1 & l t ; / i n t & g t ; & l t ; / v a l u e & g t ; & l t ; / i t e m & g t ; & l t ; i t e m & g t ; & l t ; k e y & g t ; & l t ; s t r i n g & g t ; G e n e r a t o r   U n i t s & l t ; / s t r i n g & g t ; & l t ; / k e y & g t ; & l t ; v a l u e & g t ; & l t ; i n t & g t ; 1 3 4 & l t ; / i n t & g t ; & l t ; / v a l u e & g t ; & l t ; / i t e m & g t ; & l t ; i t e m & g t ; & l t ; k e y & g t ; & l t ; s t r i n g & g t ; R e p o r t i n g   A l i a s & l t ; / s t r i n g & g t ; & l t ; / k e y & g t ; & l t ; v a l u e & g t ; & l t ; i n t & g t ; 2 4 8 & l t ; / i n t & g t ; & l t ; / v a l u e & g t ; & l t ; / i t e m & g t ; & l t ; i t e m & g t ; & l t ; k e y & g t ; & l t ; s t r i n g & g t ; C o n s u m p t i o n   Q u a n t i t y & l t ; / s t r i n g & g t ; & l t ; / k e y & g t ; & l t ; v a l u e & g t ; & l t ; i n t & g t ; 1 7 4 & l t ; / i n t & g t ; & l t ; / v a l u e & g t ; & l t ; / i t e m & g t ; & l t ; i t e m & g t ; & l t ; k e y & g t ; & l t ; s t r i n g & g t ; T o t a l   G J & l t ; / s t r i n g & g t ; & l t ; / k e y & g t ; & l t ; v a l u e & g t ; & l t ; i n t & g t ; 8 3 & l t ; / i n t & g t ; & l t ; / v a l u e & g t ; & l t ; / i t e m & g t ; & l t ; i t e m & g t ; & l t ; k e y & g t ; & l t ; s t r i n g & g t ; S c o p e 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E m i s s i o n s & l t ; / s t r i n g & g t ; & l t ; / k e y & g t ; & l t ; v a l u e & g t ; & l t ; i n t & g t ; 1 5 6 & l t ; / i n t & g t ; & l t ; / v a l u e & g t ; & l t ; / i t e m & g t ; & l t ; i t e m & g t ; & l t ; k e y & g t ; & l t ; s t r i n g & g t ; F u e l /   U t i l i t y   T y p e & l t ; / s t r i n g & g t ; & l t ; / k e y & g t ; & l t ; v a l u e & g t ; & l t ; i n t & g t ; 1 4 1 & l t ; / i n t & g t ; & l t ; / v a l u e & g t ; & l t ; / i t e m & g t ; & l t ; / C o l u m n W i d t h s & g t ; & l t ; C o l u m n D i s p l a y I n d e x & g t ; & l t ; i t e m & g t ; & l t ; k e y & g t ; & l t ; s t r i n g & g t ; E n t i t y & l t ; / s t r i n g & g t ; & l t ; / k e y & g t ; & l t ; v a l u e & g t ; & l t ; i n t & g t ; 0 & l t ; / i n t & g t ; & l t ; / v a l u e & g t ; & l t ; / i t e m & g t ; & l t ; i t e m & g t ; & l t ; k e y & g t ; & l t ; s t r i n g & g t ; S i t e   A d d r e s s & l t ; / s t r i n g & g t ; & l t ; / k e y & g t ; & l t ; v a l u e & g t ; & l t ; i n t & g t ; 1 & l t ; / i n t & g t ; & l t ; / v a l u e & g t ; & l t ; / i t e m & g t ; & l t ; i t e m & g t ; & l t ; k e y & g t ; & l t ; s t r i n g & g t ; S i t e   n a m e / V e h i c l e   n a m e & l t ; / s t r i n g & g t ; & l t ; / k e y & g t ; & l t ; v a l u e & g t ; & l t ; i n t & g t ; 2 & l t ; / i n t & g t ; & l t ; / v a l u e & g t ; & l t ; / i t e m & g t ; & l t ; i t e m & g t ; & l t ; k e y & g t ; & l t ; s t r i n g & g t ; S t a t e & l t ; / s t r i n g & g t ; & l t ; / k e y & g t ; & l t ; v a l u e & g t ; & l t ; i n t & g t ; 3 & l t ; / i n t & g t ; & l t ; / v a l u e & g t ; & l t ; / i t e m & g t ; & l t ; i t e m & g t ; & l t ; k e y & g t ; & l t ; s t r i n g & g t ; P r o c e d u r e   t o   C a p t u r e   d a t a & l t ; / s t r i n g & g t ; & l t ; / k e y & g t ; & l t ; v a l u e & g t ; & l t ; i n t & g t ; 4 & l t ; / i n t & g t ; & l t ; / v a l u e & g t ; & l t ; / i t e m & g t ; & l t ; i t e m & g t ; & l t ; k e y & g t ; & l t ; s t r i n g & g t ; E s t i m a t i o n   M e t h o d   ( i f   r e l e v a n t ) & l t ; / s t r i n g & g t ; & l t ; / k e y & g t ; & l t ; v a l u e & g t ; & l t ; i n t & g t ; 5 & l t ; / i n t & g t ; & l t ; / v a l u e & g t ; & l t ; / i t e m & g t ; & l t ; i t e m & g t ; & l t ; k e y & g t ; & l t ; s t r i n g & g t ; Q u a n t i t y & l t ; / s t r i n g & g t ; & l t ; / k e y & g t ; & l t ; v a l u e & g t ; & l t ; i n t & g t ; 6 & l t ; / i n t & g t ; & l t ; / v a l u e & g t ; & l t ; / i t e m & g t ; & l t ; i t e m & g t ; & l t ; k e y & g t ; & l t ; s t r i n g & g t ; A p p o r t i o n e d   Q u a n t i t y & l t ; / s t r i n g & g t ; & l t ; / k e y & g t ; & l t ; v a l u e & g t ; & l t ; i n t & g t ; 7 & l t ; / i n t & g t ; & l t ; / v a l u e & g t ; & l t ; / i t e m & g t ; & l t ; i t e m & g t ; & l t ; k e y & g t ; & l t ; s t r i n g & g t ; P e r i o d   S t a r t & l t ; / s t r i n g & g t ; & l t ; / k e y & g t ; & l t ; v a l u e & g t ; & l t ; i n t & g t ; 2 5 & l t ; / i n t & g t ; & l t ; / v a l u e & g t ; & l t ; / i t e m & g t ; & l t ; i t e m & g t ; & l t ; k e y & g t ; & l t ; s t r i n g & g t ; U s e   o f   f u e l & l t ; / s t r i n g & g t ; & l t ; / k e y & g t ; & l t ; v a l u e & g t ; & l t ; i n t & g t ; 9 & l t ; / i n t & g t ; & l t ; / v a l u e & g t ; & l t ; / i t e m & g t ; & l t ; i t e m & g t ; & l t ; k e y & g t ; & l t ; s t r i n g & g t ; U n i t   o f   m e a s u r e & l t ; / s t r i n g & g t ; & l t ; / k e y & g t ; & l t ; v a l u e & g t ; & l t ; i n t & g t ; 2 4 & l t ; / i n t & g t ; & l t ; / v a l u e & g t ; & l t ; / i t e m & g t ; & l t ; i t e m & g t ; & l t ; k e y & g t ; & l t ; s t r i n g & g t ; P e r i o d   E n d & l t ; / s t r i n g & g t ; & l t ; / k e y & g t ; & l t ; v a l u e & g t ; & l t ; i n t & g t ; 1 0 & l t ; / i n t & g t ; & l t ; / v a l u e & g t ; & l t ; / i t e m & g t ; & l t ; i t e m & g t ; & l t ; k e y & g t ; & l t ; s t r i n g & g t ; D a y s & l t ; / s t r i n g & g t ; & l t ; / k e y & g t ; & l t ; v a l u e & g t ; & l t ; i n t & g t ; 1 1 & l t ; / i n t & g t ; & l t ; / v a l u e & g t ; & l t ; / i t e m & g t ; & l t ; i t e m & g t ; & l t ; k e y & g t ; & l t ; s t r i n g & g t ; G e n e r a t o r   M a k e & a m p ; g t ; m o d e l & l t ; / s t r i n g & g t ; & l t ; / k e y & g t ; & l t ; v a l u e & g t ; & l t ; i n t & g t ; 1 2 & l t ; / i n t & g t ; & l t ; / v a l u e & g t ; & l t ; / i t e m & g t ; & l t ; i t e m & g t ; & l t ; k e y & g t ; & l t ; s t r i n g & g t ; E s t i m a t e d   r u n   t i m e   ( h o u r s ) & l t ; / s t r i n g & g t ; & l t ; / k e y & g t ; & l t ; v a l u e & g t ; & l t ; i n t & g t ; 1 3 & l t ; / i n t & g t ; & l t ; / v a l u e & g t ; & l t ; / i t e m & g t ; & l t ; i t e m & g t ; & l t ; k e y & g t ; & l t ; s t r i n g & g t ; I n s t a l l e d   C a p a c i t y & l t ; / s t r i n g & g t ; & l t ; / k e y & g t ; & l t ; v a l u e & g t ; & l t ; i n t & g t ; 1 4 & l t ; / i n t & g t ; & l t ; / v a l u e & g t ; & l t ; / i t e m & g t ; & l t ; i t e m & g t ; & l t ; k e y & g t ; & l t ; s t r i n g & g t ; D e r a t e d   C a p a c i t y & l t ; / s t r i n g & g t ; & l t ; / k e y & g t ; & l t ; v a l u e & g t ; & l t ; i n t & g t ; 1 5 & l t ; / i n t & g t ; & l t ; / v a l u e & g t ; & l t ; / i t e m & g t ; & l t ; i t e m & g t ; & l t ; k e y & g t ; & l t ; s t r i n g & g t ; G e n e r a t o r   U n i t s & l t ; / s t r i n g & g t ; & l t ; / k e y & g t ; & l t ; v a l u e & g t ; & l t ; i n t & g t ; 1 6 & l t ; / i n t & g t ; & l t ; / v a l u e & g t ; & l t ; / i t e m & g t ; & l t ; i t e m & g t ; & l t ; k e y & g t ; & l t ; s t r i n g & g t ; R e p o r t i n g   A l i a s & l t ; / s t r i n g & g t ; & l t ; / k e y & g t ; & l t ; v a l u e & g t ; & l t ; i n t & g t ; 1 7 & l t ; / i n t & g t ; & l t ; / v a l u e & g t ; & l t ; / i t e m & g t ; & l t ; i t e m & g t ; & l t ; k e y & g t ; & l t ; s t r i n g & g t ; C o n s u m p t i o n   Q u a n t i t y & l t ; / s t r i n g & g t ; & l t ; / k e y & g t ; & l t ; v a l u e & g t ; & l t ; i n t & g t ; 8 & l t ; / i n t & g t ; & l t ; / v a l u e & g t ; & l t ; / i t e m & g t ; & l t ; i t e m & g t ; & l t ; k e y & g t ; & l t ; s t r i n g & g t ; T o t a l   G J & l t ; / s t r i n g & g t ; & l t ; / k e y & g t ; & l t ; v a l u e & g t ; & l t ; i n t & g t ; 1 8 & l t ; / i n t & g t ; & l t ; / v a l u e & g t ; & l t ; / i t e m & g t ; & l t ; i t e m & g t ; & l t ; k e y & g t ; & l t ; s t r i n g & g t ; S c o p e   1   k g   C O 2 - e & l t ; / s t r i n g & g t ; & l t ; / k e y & g t ; & l t ; v a l u e & g t ; & l t ; i n t & g t ; 1 9 & l t ; / i n t & g t ; & l t ; / v a l u e & g t ; & l t ; / i t e m & g t ; & l t ; i t e m & g t ; & l t ; k e y & g t ; & l t ; s t r i n g & g t ; S c o p e   2   k g   C O 2 - e & l t ; / s t r i n g & g t ; & l t ; / k e y & g t ; & l t ; v a l u e & g t ; & l t ; i n t & g t ; 2 0 & l t ; / i n t & g t ; & l t ; / v a l u e & g t ; & l t ; / i t e m & g t ; & l t ; i t e m & g t ; & l t ; k e y & g t ; & l t ; s t r i n g & g t ; S c o p e   3   k g   C O 2 - e & l t ; / s t r i n g & g t ; & l t ; / k e y & g t ; & l t ; v a l u e & g t ; & l t ; i n t & g t ; 2 1 & l t ; / i n t & g t ; & l t ; / v a l u e & g t ; & l t ; / i t e m & g t ; & l t ; i t e m & g t ; & l t ; k e y & g t ; & l t ; s t r i n g & g t ; T o t a l   E m i s s i o n s & l t ; / s t r i n g & g t ; & l t ; / k e y & g t ; & l t ; v a l u e & g t ; & l t ; i n t & g t ; 2 2 & l t ; / i n t & g t ; & l t ; / v a l u e & g t ; & l t ; / i t e m & g t ; & l t ; i t e m & g t ; & l t ; k e y & g t ; & l t ; s t r i n g & g t ; F u e l /   U t i l i t y   T y p e & l t ; / s t r i n g & g t ; & l t ; / k e y & g t ; & l t ; v a l u e & g t ; & l t ; i n t & g t ; 2 3 & l t ; / i n t & g t ; & l t ; / v a l u e & g t ; & l t ; / i t e m & g t ; & l t ; / C o l u m n D i s p l a y I n d e x & g t ; & l t ; C o l u m n F r o z e n   / & g t ; & l t ; C o l u m n C h e c k e d   / & g t ; & l t ; C o l u m n F i l t e r & g t ; & l t ; i t e m & g t ; & l t ; k e y & g t ; & l t ; s t r i n g & g t ; U s e   o f   f u e l & l t ; / s t r i n g & g t ; & l t ; / k e y & g t ; & l t ; v a l u e & g t ; & l t ; F i l t e r E x p r e s s i o n   x s i : n i l = " t r u e "   / & g t ; & l t ; / v a l u e & g t ; & l t ; / i t e m & g t ; & l t ; i t e m & g t ; & l t ; k e y & g t ; & l t ; s t r i n g & g t ; E n t i t y & l t ; / s t r i n g & g t ; & l t ; / k e y & g t ; & l t ; v a l u e & g t ; & l t ; F i l t e r E x p r e s s i o n   x s i : n i l = " t r u e "   / & g t ; & l t ; / v a l u e & g t ; & l t ; / i t e m & g t ; & l t ; / C o l u m n F i l t e r & g t ; & l t ; S e l e c t i o n F i l t e r & g t ; & l t ; i t e m & g t ; & l t ; k e y & g t ; & l t ; s t r i n g & g t ; U s e   o f   f u e l & l t ; / s t r i n g & g t ; & l t ; / k e y & g t ; & l t ; v a l u e & g t ; & l t ; S e l e c t i o n F i l t e r & g t ; & l t ; S e l e c t i o n T y p e & g t ; D e s e l e c t & l t ; / S e l e c t i o n T y p e & g t ; & l t ; I t e m s & g t ; & l t ; a n y T y p e   x s i : t y p e = " x s d : s t r i n g " & g t ; T r a n s p o r t & l t ; / a n y T y p e & g t ; & l t ; / I t e m s & g t ; & l t ; / S e l e c t i o n F i l t e r & g t ; & l t ; / v a l u e & g t ; & l t ; / i t e m & g t ; & l t ; i t e m & g t ; & l t ; k e y & g t ; & l t ; s t r i n g & g t ; E n t i t y & l t ; / s t r i n g & g t ; & l t ; / k e y & g t ; & l t ; v a l u e & g t ; & l t ; S e l e c t i o n F i l t e r   x s i : n i l = " t r u e "   / & g t ; & l t ; / v a l u e & g t ; & l t ; / i t e m & g t ; & l t ; / S e l e c t i o n F i l t e r & g t ; & l t ; F i l t e r P a r a m e t e r s & g t ; & l t ; i t e m & g t ; & l t ; k e y & g t ; & l t ; s t r i n g & g t ; U s e   o f   f u e l & l t ; / s t r i n g & g t ; & l t ; / k e y & g t ; & l t ; v a l u e & g t ; & l t ; C o m m a n d P a r a m e t e r s   / & g t ; & l t ; / v a l u e & g t ; & l t ; / i t e m & g t ; & l t ; i t e m & g t ; & l t ; k e y & g t ; & l t ; s t r i n g & g t ; E n t i t y & l t ; / s t r i n g & g t ; & l t ; / k e y & g t ; & l t ; v a l u e & g t ; & l t ; C o m m a n d P a r a m e t e r s   / & g t ; & l t ; / v a l u e & g t ; & l t ; / i t e m & g t ; & l t ; / F i l t e r P a r a m e t e r s & g t ; & l t ; I s S o r t D e s c e n d i n g & g t ; f a l s e & l t ; / I s S o r t D e s c e n d i n g & g t ; & l t ; / T a b l e W i d g e t G r i d S e r i a l i z a t i o n & g t ; < / C u s t o m C o n t e n t > < / G e m i n i > 
</file>

<file path=customXml/item74.xml>��< ? x m l   v e r s i o n = " 1 . 0 "   e n c o d i n g = " U T F - 1 6 " ? > < G e m i n i   x m l n s = " h t t p : / / g e m i n i / p i v o t c u s t o m i z a t i o n / 0 4 c 0 9 d 4 b - a b c 6 - 4 0 a 0 - a d 5 2 - 8 1 0 d 4 f 2 a e f c 3 " > < C u s t o m C o n t e n t > < ! [ C D A T A [ < ? x m l   v e r s i o n = " 1 . 0 "   e n c o d i n g = " u t f - 1 6 " ? > < S e t t i n g s > < H S l i c e r s S h a p e > 0 ; 0 ; 0 ; 0 < / H S l i c e r s S h a p e > < V S l i c e r s S h a p e > 0 ; 0 ; 0 ; 0 < / V S l i c e r s S h a p e > < S l i c e r S h e e t N a m e > S u m m a r y   P i v o t < / S l i c e r S h e e t N a m e > < S A H o s t H a s h > 1 0 3 3 3 0 5 8 2 2 < / S A H o s t H a s h > < G e m i n i F i e l d L i s t V i s i b l e > T r u e < / G e m i n i F i e l d L i s t V i s i b l e > < / S e t t i n g s > ] ] > < / C u s t o m C o n t e n t > < / G e m i n i > 
</file>

<file path=customXml/item75.xml>��< ? x m l   v e r s i o n = " 1 . 0 "   e n c o d i n g = " u t f - 1 6 " ? > < D a t a M a s h u p   s q m i d = " 6 3 b 3 d f 6 6 - 5 c 1 0 - 4 d f a - b a 3 a - 1 6 0 b 8 6 0 2 d f 6 6 "   x m l n s = " h t t p : / / s c h e m a s . m i c r o s o f t . c o m / D a t a M a s h u p " > A A A A A B c D A A B Q S w M E F A A C A A g A + n z R U N M d Z 2 i n A A A A + A A A A B I A H A B D b 2 5 m a W c v U G F j a 2 F n Z S 5 4 b W w g o h g A K K A U A A A A A A A A A A A A A A A A A A A A A A A A A A A A h Y 8 x D o I w G E a v Q r r T l g p q y E + J c Z X E x G h c G 6 j Q C M X Q Y r m b g 0 f y C p I o 6 u b 4 v b z h f Y / b H d K h q b 2 r 7 I x q d Y I C T J E n d d 4 W S p c J 6 u 3 J X 6 K U w 1 b k Z 1 F K b 5 S 1 i Q d T J K i y 9 h I T 4 p z D b o b b r i S M 0 o A c s 8 0 u r 2 Q j 0 E d W / 2 V f a W O F z i X i c H j F c I Y X D E d R N M d h G A C Z M G R K f x U 2 F m M K 5 A f C u q 9 t 3 0 k u t b / a A 5 k m k P c L / g R Q S w M E F A A C A A g A + n z R 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8 0 V A o i k e 4 D g A A A B E A A A A T A B w A R m 9 y b X V s Y X M v U 2 V j d G l v b j E u b S C i G A A o o B Q A A A A A A A A A A A A A A A A A A A A A A A A A A A A r T k 0 u y c z P U w i G 0 I b W A F B L A Q I t A B Q A A g A I A P p 8 0 V D T H W d o p w A A A P g A A A A S A A A A A A A A A A A A A A A A A A A A A A B D b 2 5 m a W c v U G F j a 2 F n Z S 5 4 b W x Q S w E C L Q A U A A I A C A D 6 f N F Q D 8 r p q 6 Q A A A D p A A A A E w A A A A A A A A A A A A A A A A D z A A A A W 0 N v b n R l b n R f V H l w Z X N d L n h t b F B L A Q I t A B Q A A g A I A P p 8 0 V A 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t I B A A A A A A A A s A 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J c 1 J l b G F 0 a W 9 u c 2 h p c F J l Z n J l c 2 h F b m F i b G V k I i B W Y W x 1 Z T 0 i c 1 R y d W U i I C 8 + P C 9 T d G F i b G V F b n R y a W V z P j w v S X R l b T 4 8 L 0 l 0 Z W 1 z P j w v T G 9 j Y W x Q Y W N r Y W d l T W V 0 Y W R h d G F G a W x l P h Y A A A B Q S w U G A A A A A A A A A A A A A A A A A A A A A A A A 2 g A A A A E A A A D Q j J 3 f A R X R E Y x 6 A M B P w p f r A Q A A A M I m i C x 4 + z N A s v x C a O S b 2 3 g A A A A A A g A A A A A A A 2 Y A A M A A A A A Q A A A A u t b P Q 8 i H p 9 b m t I / q b a 6 W h w A A A A A E g A A A o A A A A B A A A A C i 6 i r 4 U w O 2 B i U m r L A o M A H C U A A A A H G / W l k m n d j I T L M D D c l 9 s 0 0 P z q x 1 l d a S j v a r I i 8 Q l N 1 U E z A t a Y H h K S B K w 6 m U k M t 5 G d E o l E I T x 1 o V k 1 0 C g s 5 C h e e u w K c p R 7 C 2 8 4 I H K 7 r Y 1 C y h F A A A A B u h D 5 X r h I m N G H O L d x q H u F D + v q k D < / D a t a M a s h u p > 
</file>

<file path=customXml/item76.xml>��< ? x m l   v e r s i o n = " 1 . 0 "   e n c o d i n g = " U T F - 1 6 " ? > < G e m i n i   x m l n s = " h t t p : / / g e m i n i / p i v o t c u s t o m i z a t i o n / 0 3 2 5 6 8 5 9 - 8 b 6 6 - 4 7 8 3 - a 8 4 6 - 6 a 2 2 4 2 7 0 d 8 1 1 " > < C u s t o m C o n t e n t > < ! [ C D A T A [ < ? x m l   v e r s i o n = " 1 . 0 "   e n c o d i n g = " u t f - 1 6 " ? > < S e t t i n g s > < H S l i c e r s S h a p e > 0 ; 0 ; 0 ; 0 < / H S l i c e r s S h a p e > < V S l i c e r s S h a p e > 0 ; 0 ; 0 ; 0 < / V S l i c e r s S h a p e > < S l i c e r S h e e t N a m e > E l e c t r i c i t y   O n   G r i d < / S l i c e r S h e e t N a m e > < S A H o s t H a s h > 8 4 4 6 7 2 6 4 1 < / S A H o s t H a s h > < G e m i n i F i e l d L i s t V i s i b l e > T r u e < / G e m i n i F i e l d L i s t V i s i b l e > < / S e t t i n g s > ] ] > < / C u s t o m C o n t e n t > < / G e m i n i > 
</file>

<file path=customXml/item77.xml>��< ? x m l   v e r s i o n = " 1 . 0 "   e n c o d i n g = " U T F - 1 6 " ? > < G e m i n i   x m l n s = " h t t p : / / g e m i n i / p i v o t c u s t o m i z a t i o n / S h o w H i d d e n " > < C u s t o m C o n t e n t > F a l s e < / C u s t o m C o n t e n t > < / G e m i n i > 
</file>

<file path=customXml/item78.xml>��< ? x m l   v e r s i o n = " 1 . 0 "   e n c o d i n g = " U T F - 1 6 " ? > < G e m i n i   x m l n s = " h t t p : / / g e m i n i / p i v o t c u s t o m i z a t i o n / C l i e n t W i n d o w X M L " > < C u s t o m C o n t e n t > < ! [ C D A T A [ C a l e n d a r ] ] > < / C u s t o m C o n t e n t > < / G e m i n i > 
</file>

<file path=customXml/item79.xml><?xml version="1.0" encoding="utf-8"?>
<p:properties xmlns:p="http://schemas.microsoft.com/office/2006/metadata/properties" xmlns:xsi="http://www.w3.org/2001/XMLSchema-instance" xmlns:pc="http://schemas.microsoft.com/office/infopath/2007/PartnerControls">
  <documentManagement>
    <SharedWithUsers xmlns="f6156fdc-1b67-4e65-a7eb-2d097edf2cd6">
      <UserInfo>
        <DisplayName>Palipana, Gehan</DisplayName>
        <AccountId>1453</AccountId>
        <AccountType/>
      </UserInfo>
      <UserInfo>
        <DisplayName>Penny, Tom</DisplayName>
        <AccountId>275</AccountId>
        <AccountType/>
      </UserInfo>
      <UserInfo>
        <DisplayName>O'Donnell, Hannah</DisplayName>
        <AccountId>1454</AccountId>
        <AccountType/>
      </UserInfo>
      <UserInfo>
        <DisplayName>Curnow, Nicola</DisplayName>
        <AccountId>725</AccountId>
        <AccountType/>
      </UserInfo>
      <UserInfo>
        <DisplayName>Harris-Baxter, Louisa</DisplayName>
        <AccountId>81</AccountId>
        <AccountType/>
      </UserInfo>
    </SharedWithUsers>
    <ReadOnly xmlns="9c7b2f30-2231-41e0-b86a-1257079ed7b5" xsi:nil="true"/>
    <lcf76f155ced4ddcb4097134ff3c332f xmlns="9c7b2f30-2231-41e0-b86a-1257079ed7b5">
      <Terms xmlns="http://schemas.microsoft.com/office/infopath/2007/PartnerControls"/>
    </lcf76f155ced4ddcb4097134ff3c332f>
    <Sentforapproval xmlns="9c7b2f30-2231-41e0-b86a-1257079ed7b5" xsi:nil="true"/>
    <Published xmlns="9c7b2f30-2231-41e0-b86a-1257079ed7b5" xsi:nil="true"/>
    <TaxCatchAll xmlns="c7b56d83-7d92-4d5e-8552-dd44030ff6cf" xsi:nil="true"/>
  </documentManagement>
</p:properties>
</file>

<file path=customXml/item8.xml>��< ? x m l   v e r s i o n = " 1 . 0 "   e n c o d i n g = " U T F - 1 6 " ? > < G e m i n i   x m l n s = " h t t p : / / g e m i n i / p i v o t c u s t o m i z a t i o n / T a b l e X M L _ Q u e r y   3 _ d e 3 e 7 6 2 9 - 9 d 7 f - 4 a e 8 - 8 4 4 4 - 3 8 4 7 7 a e 3 7 5 2 3 " > < 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  / > < S e l e c t i o n F i l t e r   / > < F i l t e r P a r a m e t e r s   / > < I s S o r t D e s c e n d i n g > f a l s e < / I s S o r t D e s c e n d i n g > < / T a b l e W i d g e t G r i d S e r i a l i z a t i o n > ] ] > < / C u s t o m C o n t e n t > < / G e m i n i > 
</file>

<file path=customXml/item80.xml>��< ? x m l   v e r s i o n = " 1 . 0 "   e n c o d i n g = " U T F - 1 6 " ? > < G e m i n i   x m l n s = " h t t p : / / g e m i n i / p i v o t c u s t o m i z a t i o n / T a b l e X M L _ A V I S - 9 c 8 f 3 f 3 7 - 1 a 5 4 - 4 3 8 2 - a b 4 f - c 4 d b f 6 b 7 9 1 6 4 " > < 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S o u r c e   N a m e & l t ; / s t r i n g & g t ; & l t ; / k e y & g t ; & l t ; v a l u e & g t ; & l t ; i n t & g t ; 1 1 8 & l t ; / i n t & g t ; & l t ; / v a l u e & g t ; & l t ; / i t e m & g t ; & l t ; i t e m & g t ; & l t ; k e y & g t ; & l t ; s t r i n g & g t ; A c t i v i t y   T y p e & l t ; / s t r i n g & g t ; & l t ; / k e y & g t ; & l t ; v a l u e & g t ; & l t ; i n t & g t ; 1 1 4 & l t ; / i n t & g t ; & l t ; / v a l u e & g t ; & l t ; / i t e m & g t ; & l t ; i t e m & g t ; & l t ; k e y & g t ; & l t ; s t r i n g & g t ; A c t i v i t y   T y p e   C o n t e x t & l t ; / s t r i n g & g t ; & l t ; / k e y & g t ; & l t ; v a l u e & g t ; & l t ; i n t & g t ; 1 6 6 & l t ; / i n t & g t ; & l t ; / v a l u e & g t ; & l t ; / i t e m & g t ; & l t ; i t e m & g t ; & l t ; k e y & g t ; & l t ; s t r i n g & g t ; E n t i t y & l t ; / s t r i n g & g t ; & l t ; / k e y & g t ; & l t ; v a l u e & g t ; & l t ; i n t & g t ; 7 1 & l t ; / i n t & g t ; & l t ; / v a l u e & g t ; & l t ; / i t e m & g t ; & l t ; i t e m & g t ; & l t ; k e y & g t ; & l t ; s t r i n g & g t ; F u e l & l t ; / s t r i n g & g t ; & l t ; / k e y & g t ; & l t ; v a l u e & g t ; & l t ; i n t & g t ; 6 3 & l t ; / i n t & g t ; & l t ; / v a l u e & g t ; & l t ; / i t e m & g t ; & l t ; i t e m & g t ; & l t ; k e y & g t ; & l t ; s t r i n g & g t ; S t a t e & l t ; / s t r i n g & g t ; & l t ; / k e y & g t ; & l t ; v a l u e & g t ; & l t ; i n t & g t ; 6 8 & l t ; / i n t & g t ; & l t ; / v a l u e & g t ; & l t ; / i t e m & g t ; & l t ; i t e m & g t ; & l t ; k e y & g t ; & l t ; s t r i n g & g t ; S c o p e   1   k g   C O 2 - e & l t ; / s t r i n g & g t ; & l t ; / k e y & g t ; & l t ; v a l u e & g t ; & l t ; i n t & g t ; 1 4 1 & l t ; / i n t & g t ; & l t ; / v a l u e & g t ; & l t ; / i t e m & g t ; & l t ; i t e m & g t ; & l t ; k e y & g t ; & l t ; s t r i n g & g t ; C o n s u m p t i o n   U n i t s & l t ; / s t r i n g & g t ; & l t ; / k e y & g t ; & l t ; v a l u e & g t ; & l t ; i n t & g t ; 1 5 3 & l t ; / i n t & g t ; & l t ; / v a l u e & g t ; & l t ; / i t e m & g t ; & l t ; i t e m & g t ; & l t ; k e y & g t ; & l t ; s t r i n g & g t ; C o n s u m p t i o n   Q u a n t i t y   ( L ) & l t ; / s t r i n g & g t ; & l t ; / k e y & g t ; & l t ; v a l u e & g t ; & l t ; i n t & g t ; 1 9 3 & l t ; / i n t & g t ; & l t ; / v a l u e & g t ; & l t ; / i t e m & g t ; & l t ; i t e m & g t ; & l t ; k e y & g t ; & l t ; s t r i n g & g t ; C o n s u m p t i o n   Q u a n t i t y & l t ; / s t r i n g & g t ; & l t ; / k e y & g t ; & l t ; v a l u e & g t ; & l t ; i n t & g t ; 1 8 1 & l t ; / i n t & g t ; & l t ; / v a l u e & g t ; & l t ; / i t e m & g t ; & l t ; i t e m & g t ; & l t ; k e y & g t ; & l t ; s t r i n g & g t ; T o t a l   G J & l t ; / s t r i n g & g t ; & l t ; / k e y & g t ; & l t ; v a l u e & g t ; & l t ; i n t & g t ; 1 5 6 & l t ; / i n t & g t ; & l t ; / v a l u e & g t ; & l t ; / i t e m & g t ; & l t ; i t e m & g t ; & l t ; k e y & g t ; & l t ; s t r i n g & g t ; S c o p e 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 A l i a s & l t ; / s t r i n g & g t ; & l t ; / k e y & g t ; & l t ; v a l u e & g t ; & l t ; i n t & g t ; 0 & l t ; / i n t & g t ; & l t ; / v a l u e & g t ; & l t ; / i t e m & g t ; & l t ; i t e m & g t ; & l t ; k e y & g t ; & l t ; s t r i n g & g t ; S o u r c e   N a m e & l t ; / s t r i n g & g t ; & l t ; / k e y & g t ; & l t ; v a l u e & g t ; & l t ; i n t & g t ; 1 & l t ; / i n t & g t ; & l t ; / v a l u e & g t ; & l t ; / i t e m & g t ; & l t ; i t e m & g t ; & l t ; k e y & g t ; & l t ; s t r i n g & g t ; A c t i v i t y   T y p e & l t ; / s t r i n g & g t ; & l t ; / k e y & g t ; & l t ; v a l u e & g t ; & l t ; i n t & g t ; 2 & l t ; / i n t & g t ; & l t ; / v a l u e & g t ; & l t ; / i t e m & g t ; & l t ; i t e m & g t ; & l t ; k e y & g t ; & l t ; s t r i n g & g t ; A c t i v i t y   T y p e   C o n t e x t & l t ; / s t r i n g & g t ; & l t ; / k e y & g t ; & l t ; v a l u e & g t ; & l t ; i n t & g t ; 3 & l t ; / i n t & g t ; & l t ; / v a l u e & g t ; & l t ; / i t e m & g t ; & l t ; i t e m & g t ; & l t ; k e y & g t ; & l t ; s t r i n g & g t ; E n t i t y & l t ; / s t r i n g & g t ; & l t ; / k e y & g t ; & l t ; v a l u e & g t ; & l t ; i n t & g t ; 4 & l t ; / i n t & g t ; & l t ; / v a l u e & g t ; & l t ; / i t e m & g t ; & l t ; i t e m & g t ; & l t ; k e y & g t ; & l t ; s t r i n g & g t ; F u e l & l t ; / s t r i n g & g t ; & l t ; / k e y & g t ; & l t ; v a l u e & g t ; & l t ; i n t & g t ; 5 & l t ; / i n t & g t ; & l t ; / v a l u e & g t ; & l t ; / i t e m & g t ; & l t ; i t e m & g t ; & l t ; k e y & g t ; & l t ; s t r i n g & g t ; S t a t e & l t ; / s t r i n g & g t ; & l t ; / k e y & g t ; & l t ; v a l u e & g t ; & l t ; i n t & g t ; 6 & l t ; / i n t & g t ; & l t ; / v a l u e & g t ; & l t ; / i t e m & g t ; & l t ; i t e m & g t ; & l t ; k e y & g t ; & l t ; s t r i n g & g t ; S c o p e   1   k g   C O 2 - e & l t ; / s t r i n g & g t ; & l t ; / k e y & g t ; & l t ; v a l u e & g t ; & l t ; i n t & g t ; 1 1 & l t ; / i n t & g t ; & l t ; / v a l u e & g t ; & l t ; / i t e m & g t ; & l t ; i t e m & g t ; & l t ; k e y & g t ; & l t ; s t r i n g & g t ; C o n s u m p t i o n   U n i t s & l t ; / s t r i n g & g t ; & l t ; / k e y & g t ; & l t ; v a l u e & g t ; & l t ; i n t & g t ; 8 & l t ; / i n t & g t ; & l t ; / v a l u e & g t ; & l t ; / i t e m & g t ; & l t ; i t e m & g t ; & l t ; k e y & g t ; & l t ; s t r i n g & g t ; C o n s u m p t i o n   Q u a n t i t y   ( L ) & l t ; / s t r i n g & g t ; & l t ; / k e y & g t ; & l t ; v a l u e & g t ; & l t ; i n t & g t ; 7 & l t ; / i n t & g t ; & l t ; / v a l u e & g t ; & l t ; / i t e m & g t ; & l t ; i t e m & g t ; & l t ; k e y & g t ; & l t ; s t r i n g & g t ; C o n s u m p t i o n   Q u a n t i t y & l t ; / s t r i n g & g t ; & l t ; / k e y & g t ; & l t ; v a l u e & g t ; & l t ; i n t & g t ; 9 & l t ; / i n t & g t ; & l t ; / v a l u e & g t ; & l t ; / i t e m & g t ; & l t ; i t e m & g t ; & l t ; k e y & g t ; & l t ; s t r i n g & g t ; T o t a l   G J & l t ; / s t r i n g & g t ; & l t ; / k e y & g t ; & l t ; v a l u e & g t ; & l t ; i n t & g t ; 1 0 & l t ; / i n t & g t ; & l t ; / v a l u e & g t ; & l t ; / i t e m & g t ; & l t ; i t e m & g t ; & l t ; k e y & g t ; & l t ; s t r i n g & g t ; S c o p e   2   k g   C O 2 - e & l t ; / s t r i n g & g t ; & l t ; / k e y & g t ; & l t ; v a l u e & g t ; & l t ; i n t & g t ; 1 2 & l t ; / i n t & g t ; & l t ; / v a l u e & g t ; & l t ; / i t e m & g t ; & l t ; i t e m & g t ; & l t ; k e y & g t ; & l t ; s t r i n g & g t ; S c o p e   3   k g   C O 2 - e & l t ; / s t r i n g & g t ; & l t ; / k e y & g t ; & l t ; v a l u e & g t ; & l t ; i n t & g t ; 1 3 & l t ; / i n t & g t ; & l t ; / v a l u e & g t ; & l t ; / i t e m & g t ; & l t ; i t e m & g t ; & l t ; k e y & g t ; & l t ; s t r i n g & g t ; T o t a l   E m i s s i o n s & l t ; / s t r i n g & g t ; & l t ; / k e y & g t ; & l t ; v a l u e & g t ; & l t ; i n t & g t ; 1 4 & l t ; / i n t & g t ; & l t ; / v a l u e & g t ; & l t ; / i t e m & g t ; & l t ; / C o l u m n D i s p l a y I n d e x & g t ; & l t ; C o l u m n F r o z e n   / & g t ; & l t ; C o l u m n C h e c k e d   / & g t ; & l t ; C o l u m n F i l t e r   / & g t ; & l t ; S e l e c t i o n F i l t e r   / & g t ; & l t ; F i l t e r P a r a m e t e r s   / & g t ; & l t ; I s S o r t D e s c e n d i n g & g t ; f a l s e & l t ; / I s S o r t D e s c e n d i n g & g t ; & l t ; / T a b l e W i d g e t G r i d S e r i a l i z a t i o n & g t ; < / C u s t o m C o n t e n t > < / G e m i n i > 
</file>

<file path=customXml/item81.xml>��< ? x m l   v e r s i o n = " 1 . 0 "   e n c o d i n g = " U T F - 1 6 " ? > < G e m i n i   x m l n s = " h t t p : / / g e m i n i / p i v o t c u s t o m i z a t i o n / 2 3 e a 6 8 d 1 - 5 a f 4 - 4 b c a - b 1 c a - c f 5 5 c 5 4 5 6 8 8 3 " > < C u s t o m C o n t e n t > < ! [ C D A T A [ < ? x m l   v e r s i o n = " 1 . 0 "   e n c o d i n g = " u t f - 1 6 " ? > < S e t t i n g s > < H S l i c e r s S h a p e > 0 ; 0 ; 0 ; 0 < / H S l i c e r s S h a p e > < V S l i c e r s S h a p e > 0 ; 0 ; 0 ; 0 < / V S l i c e r s S h a p e > < S l i c e r S h e e t N a m e > S t a t i o n a r y   -   O t h e r < / S l i c e r S h e e t N a m e > < S A H o s t H a s h > 1 7 2 7 5 9 7 2 4 4 < / S A H o s t H a s h > < G e m i n i F i e l d L i s t V i s i b l e > T r u e < / G e m i n i F i e l d L i s t V i s i b l e > < / S e t t i n g s > ] ] > < / C u s t o m C o n t e n t > < / G e m i n i > 
</file>

<file path=customXml/item8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 N B N _ R e m o v a l 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 N B N _ R e m o v a l < / 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 3 < / K e y > < / D i a g r a m O b j e c t K e y > < D i a g r a m O b j e c t K e y > < K e y > M e a s u r e s \ S u m   o f   C o n s u m p t i o n   Q u a n t i t y   3 \ T a g I n f o \ F o r m u l a < / K e y > < / D i a g r a m O b j e c t K e y > < D i a g r a m O b j e c t K e y > < K e y > M e a s u r e s \ S u m   o f   C o n s u m p t i o n   Q u a n t i t y   3 \ T a g I n f o \ V a l u e < / K e y > < / D i a g r a m O b j e c t K e y > < D i a g r a m O b j e c t K e y > < K e y > M e a s u r e s \ S u m   o f   T o t a l   G J   3 < / K e y > < / D i a g r a m O b j e c t K e y > < D i a g r a m O b j e c t K e y > < K e y > M e a s u r e s \ S u m   o f   T o t a l   G J   3 \ T a g I n f o \ F o r m u l a < / K e y > < / D i a g r a m O b j e c t K e y > < D i a g r a m O b j e c t K e y > < K e y > M e a s u r e s \ S u m   o f   T o t a l   G J   3 \ T a g I n f o \ V a l u e < / K e y > < / D i a g r a m O b j e c t K e y > < D i a g r a m O b j e c t K e y > < K e y > M e a s u r e s \ S u m   o f   S c o p e   1   k g   C O 2 - e   3 < / K e y > < / D i a g r a m O b j e c t K e y > < D i a g r a m O b j e c t K e y > < K e y > M e a s u r e s \ S u m   o f   S c o p e   1   k g   C O 2 - e   3 \ T a g I n f o \ F o r m u l a < / K e y > < / D i a g r a m O b j e c t K e y > < D i a g r a m O b j e c t K e y > < K e y > M e a s u r e s \ S u m   o f   S c o p e   1   k g   C O 2 - e   3 \ T a g I n f o \ V a l u e < / K e y > < / D i a g r a m O b j e c t K e y > < D i a g r a m O b j e c t K e y > < K e y > M e a s u r e s \ S u m   o f   S c o p e   2   k g   C O 2 - e < / K e y > < / D i a g r a m O b j e c t K e y > < D i a g r a m O b j e c t K e y > < K e y > M e a s u r e s \ S u m   o f   S c o p e   2   k g   C O 2 - e \ T a g I n f o \ F o r m u l a < / K e y > < / D i a g r a m O b j e c t K e y > < D i a g r a m O b j e c t K e y > < K e y > M e a s u r e s \ S u m   o f   S c o p e   2   k g   C O 2 - e \ T a g I n f o \ V a l u e < / K e y > < / D i a g r a m O b j e c t K e y > < D i a g r a m O b j e c t K e y > < K e y > M e a s u r e s \ S u m   o f   S c o p e   3   k g   C O 2 - e   3 < / K e y > < / D i a g r a m O b j e c t K e y > < D i a g r a m O b j e c t K e y > < K e y > M e a s u r e s \ S u m   o f   S c o p e   3   k g   C O 2 - e   3 \ T a g I n f o \ F o r m u l a < / K e y > < / D i a g r a m O b j e c t K e y > < D i a g r a m O b j e c t K e y > < K e y > M e a s u r e s \ S u m   o f   S c o p e   3   k g   C O 2 - e   3 \ T a g I n f o \ V a l u e < / K e y > < / D i a g r a m O b j e c t K e y > < D i a g r a m O b j e c t K e y > < K e y > M e a s u r e s \ S u m   o f   T o t a l   E m i s s i o n s   3 < / K e y > < / D i a g r a m O b j e c t K e y > < D i a g r a m O b j e c t K e y > < K e y > M e a s u r e s \ S u m   o f   T o t a l   E m i s s i o n s   3 \ T a g I n f o \ F o r m u l a < / K e y > < / D i a g r a m O b j e c t K e y > < D i a g r a m O b j e c t K e y > < K e y > M e a s u r e s \ S u m   o f   T o t a l   E m i s s i o n s   3 \ T a g I n f o \ V a l u e < / K e y > < / D i a g r a m O b j e c t K e y > < D i a g r a m O b j e c t K e y > < K e y > C o l u m n s \ R e p o r t i n g   A l i a s < / K e y > < / D i a g r a m O b j e c t K e y > < D i a g r a m O b j e c t K e y > < K e y > C o l u m n s \ C o n s u m p t i o n   Q u a n t i t y < / K e y > < / D i a g r a m O b j e c t K e y > < D i a g r a m O b j e c t K e y > < K e y > C o l u m n s \ S c o p e   1   k g   C O 2 - e < / K e y > < / D i a g r a m O b j e c t K e y > < D i a g r a m O b j e c t K e y > < K e y > C o l u m n s \ S c o p e   2   k g   C O 2 - e < / K e y > < / D i a g r a m O b j e c t K e y > < D i a g r a m O b j e c t K e y > < K e y > C o l u m n s \ S c o p e   3   k g   C O 2 - e < / K e y > < / D i a g r a m O b j e c t K e y > < D i a g r a m O b j e c t K e y > < K e y > C o l u m n s \ T o t a l   G J < / K e y > < / D i a g r a m O b j e c t K e y > < D i a g r a m O b j e c t K e y > < K e y > C o l u m n s \ T o t a l   E m i s s i o n s < / K e y > < / D i a g r a m O b j e c t K e y > < D i a g r a m O b j e c t K e y > < K e y > L i n k s \ & l t ; C o l u m n s \ S u m   o f   C o n s u m p t i o n   Q u a n t i t y   3 & g t ; - & l t ; M e a s u r e s \ C o n s u m p t i o n   Q u a n t i t y & g t ; < / K e y > < / D i a g r a m O b j e c t K e y > < D i a g r a m O b j e c t K e y > < K e y > L i n k s \ & l t ; C o l u m n s \ S u m   o f   C o n s u m p t i o n   Q u a n t i t y   3 & g t ; - & l t ; M e a s u r e s \ C o n s u m p t i o n   Q u a n t i t y & g t ; \ C O L U M N < / K e y > < / D i a g r a m O b j e c t K e y > < D i a g r a m O b j e c t K e y > < K e y > L i n k s \ & l t ; C o l u m n s \ S u m   o f   C o n s u m p t i o n   Q u a n t i t y   3 & g t ; - & l t ; M e a s u r e s \ C o n s u m p t i o n   Q u a n t i t y & g t ; \ M E A S U R E < / K e y > < / D i a g r a m O b j e c t K e y > < D i a g r a m O b j e c t K e y > < K e y > L i n k s \ & l t ; C o l u m n s \ S u m   o f   T o t a l   G J   3 & g t ; - & l t ; M e a s u r e s \ T o t a l   G J & g t ; < / K e y > < / D i a g r a m O b j e c t K e y > < D i a g r a m O b j e c t K e y > < K e y > L i n k s \ & l t ; C o l u m n s \ S u m   o f   T o t a l   G J   3 & g t ; - & l t ; M e a s u r e s \ T o t a l   G J & g t ; \ C O L U M N < / K e y > < / D i a g r a m O b j e c t K e y > < D i a g r a m O b j e c t K e y > < K e y > L i n k s \ & l t ; C o l u m n s \ S u m   o f   T o t a l   G J   3 & g t ; - & l t ; M e a s u r e s \ T o t a l   G J & g t ; \ M E A S U R E < / K e y > < / D i a g r a m O b j e c t K e y > < D i a g r a m O b j e c t K e y > < K e y > L i n k s \ & l t ; C o l u m n s \ S u m   o f   S c o p e   1   k g   C O 2 - e   3 & g t ; - & l t ; M e a s u r e s \ S c o p e   1   k g   C O 2 - e & g t ; < / K e y > < / D i a g r a m O b j e c t K e y > < D i a g r a m O b j e c t K e y > < K e y > L i n k s \ & l t ; C o l u m n s \ S u m   o f   S c o p e   1   k g   C O 2 - e   3 & g t ; - & l t ; M e a s u r e s \ S c o p e   1   k g   C O 2 - e & g t ; \ C O L U M N < / K e y > < / D i a g r a m O b j e c t K e y > < D i a g r a m O b j e c t K e y > < K e y > L i n k s \ & l t ; C o l u m n s \ S u m   o f   S c o p e   1   k g   C O 2 - e   3 & g t ; - & l t ; M e a s u r e s \ S c o p e   1   k g   C O 2 - e & g t ; \ M E A S U R E < / K e y > < / D i a g r a m O b j e c t K e y > < D i a g r a m O b j e c t K e y > < K e y > L i n k s \ & l t ; C o l u m n s \ S u m   o f   S c o p e   2   k g   C O 2 - e & g t ; - & l t ; M e a s u r e s \ S c o p e   2   k g   C O 2 - e & g t ; < / K e y > < / D i a g r a m O b j e c t K e y > < D i a g r a m O b j e c t K e y > < K e y > L i n k s \ & l t ; C o l u m n s \ S u m   o f   S c o p e   2   k g   C O 2 - e & g t ; - & l t ; M e a s u r e s \ S c o p e   2   k g   C O 2 - e & g t ; \ C O L U M N < / K e y > < / D i a g r a m O b j e c t K e y > < D i a g r a m O b j e c t K e y > < K e y > L i n k s \ & l t ; C o l u m n s \ S u m   o f   S c o p e   2   k g   C O 2 - e & g t ; - & l t ; M e a s u r e s \ S c o p e   2   k g   C O 2 - e & g t ; \ M E A S U R E < / K e y > < / D i a g r a m O b j e c t K e y > < D i a g r a m O b j e c t K e y > < K e y > L i n k s \ & l t ; C o l u m n s \ S u m   o f   S c o p e   3   k g   C O 2 - e   3 & g t ; - & l t ; M e a s u r e s \ S c o p e   3   k g   C O 2 - e & g t ; < / K e y > < / D i a g r a m O b j e c t K e y > < D i a g r a m O b j e c t K e y > < K e y > L i n k s \ & l t ; C o l u m n s \ S u m   o f   S c o p e   3   k g   C O 2 - e   3 & g t ; - & l t ; M e a s u r e s \ S c o p e   3   k g   C O 2 - e & g t ; \ C O L U M N < / K e y > < / D i a g r a m O b j e c t K e y > < D i a g r a m O b j e c t K e y > < K e y > L i n k s \ & l t ; C o l u m n s \ S u m   o f   S c o p e   3   k g   C O 2 - e   3 & g t ; - & l t ; M e a s u r e s \ S c o p e   3   k g   C O 2 - e & g t ; \ M E A S U R E < / K e y > < / D i a g r a m O b j e c t K e y > < D i a g r a m O b j e c t K e y > < K e y > L i n k s \ & l t ; C o l u m n s \ S u m   o f   T o t a l   E m i s s i o n s   3 & g t ; - & l t ; M e a s u r e s \ T o t a l   E m i s s i o n s & g t ; < / K e y > < / D i a g r a m O b j e c t K e y > < D i a g r a m O b j e c t K e y > < K e y > L i n k s \ & l t ; C o l u m n s \ S u m   o f   T o t a l   E m i s s i o n s   3 & g t ; - & l t ; M e a s u r e s \ T o t a l   E m i s s i o n s & g t ; \ C O L U M N < / K e y > < / D i a g r a m O b j e c t K e y > < D i a g r a m O b j e c t K e y > < K e y > L i n k s \ & l t ; C o l u m n s \ S u m   o f   T o t a l   E m i s s i o n s   3 & g t ; - & l t ; M e a s u r e s \ T o t a l 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 3 < / K e y > < / a : K e y > < a : V a l u e   i : t y p e = " M e a s u r e G r i d N o d e V i e w S t a t e " > < C o l u m n > 1 < / C o l u m n > < L a y e d O u t > t r u e < / L a y e d O u t > < W a s U I I n v i s i b l e > t r u e < / W a s U I I n v i s i b l e > < / a : V a l u e > < / a : K e y V a l u e O f D i a g r a m O b j e c t K e y a n y T y p e z b w N T n L X > < a : K e y V a l u e O f D i a g r a m O b j e c t K e y a n y T y p e z b w N T n L X > < a : K e y > < K e y > M e a s u r e s \ S u m   o f   C o n s u m p t i o n   Q u a n t i t y   3 \ T a g I n f o \ F o r m u l a < / K e y > < / a : K e y > < a : V a l u e   i : t y p e = " M e a s u r e G r i d V i e w S t a t e I D i a g r a m T a g A d d i t i o n a l I n f o " / > < / a : K e y V a l u e O f D i a g r a m O b j e c t K e y a n y T y p e z b w N T n L X > < a : K e y V a l u e O f D i a g r a m O b j e c t K e y a n y T y p e z b w N T n L X > < a : K e y > < K e y > M e a s u r e s \ S u m   o f   C o n s u m p t i o n   Q u a n t i t y   3 \ T a g I n f o \ V a l u e < / K e y > < / a : K e y > < a : V a l u e   i : t y p e = " M e a s u r e G r i d V i e w S t a t e I D i a g r a m T a g A d d i t i o n a l I n f o " / > < / a : K e y V a l u e O f D i a g r a m O b j e c t K e y a n y T y p e z b w N T n L X > < a : K e y V a l u e O f D i a g r a m O b j e c t K e y a n y T y p e z b w N T n L X > < a : K e y > < K e y > M e a s u r e s \ S u m   o f   T o t a l   G J   3 < / K e y > < / a : K e y > < a : V a l u e   i : t y p e = " M e a s u r e G r i d N o d e V i e w S t a t e " > < C o l u m n > 5 < / C o l u m n > < L a y e d O u t > t r u e < / L a y e d O u t > < W a s U I I n v i s i b l e > t r u e < / W a s U I I n v i s i b l e > < / a : V a l u e > < / a : K e y V a l u e O f D i a g r a m O b j e c t K e y a n y T y p e z b w N T n L X > < a : K e y V a l u e O f D i a g r a m O b j e c t K e y a n y T y p e z b w N T n L X > < a : K e y > < K e y > M e a s u r e s \ S u m   o f   T o t a l   G J   3 \ T a g I n f o \ F o r m u l a < / K e y > < / a : K e y > < a : V a l u e   i : t y p e = " M e a s u r e G r i d V i e w S t a t e I D i a g r a m T a g A d d i t i o n a l I n f o " / > < / a : K e y V a l u e O f D i a g r a m O b j e c t K e y a n y T y p e z b w N T n L X > < a : K e y V a l u e O f D i a g r a m O b j e c t K e y a n y T y p e z b w N T n L X > < a : K e y > < K e y > M e a s u r e s \ S u m   o f   T o t a l   G J   3 \ T a g I n f o \ V a l u e < / K e y > < / a : K e y > < a : V a l u e   i : t y p e = " M e a s u r e G r i d V i e w S t a t e I D i a g r a m T a g A d d i t i o n a l I n f o " / > < / a : K e y V a l u e O f D i a g r a m O b j e c t K e y a n y T y p e z b w N T n L X > < a : K e y V a l u e O f D i a g r a m O b j e c t K e y a n y T y p e z b w N T n L X > < a : K e y > < K e y > M e a s u r e s \ S u m   o f   S c o p e   1   k g   C O 2 - e   3 < / K e y > < / a : K e y > < a : V a l u e   i : t y p e = " M e a s u r e G r i d N o d e V i e w S t a t e " > < C o l u m n > 2 < / C o l u m n > < L a y e d O u t > t r u e < / L a y e d O u t > < W a s U I I n v i s i b l e > t r u e < / W a s U I I n v i s i b l e > < / a : V a l u e > < / a : K e y V a l u e O f D i a g r a m O b j e c t K e y a n y T y p e z b w N T n L X > < a : K e y V a l u e O f D i a g r a m O b j e c t K e y a n y T y p e z b w N T n L X > < a : K e y > < K e y > M e a s u r e s \ S u m   o f   S c o p e   1   k g   C O 2 - e   3 \ T a g I n f o \ F o r m u l a < / K e y > < / a : K e y > < a : V a l u e   i : t y p e = " M e a s u r e G r i d V i e w S t a t e I D i a g r a m T a g A d d i t i o n a l I n f o " / > < / a : K e y V a l u e O f D i a g r a m O b j e c t K e y a n y T y p e z b w N T n L X > < a : K e y V a l u e O f D i a g r a m O b j e c t K e y a n y T y p e z b w N T n L X > < a : K e y > < K e y > M e a s u r e s \ S u m   o f   S c o p e   1   k g   C O 2 - e   3 \ T a g I n f o \ V a l u e < / K e y > < / a : K e y > < a : V a l u e   i : t y p e = " M e a s u r e G r i d V i e w S t a t e I D i a g r a m T a g A d d i t i o n a l I n f o " / > < / a : K e y V a l u e O f D i a g r a m O b j e c t K e y a n y T y p e z b w N T n L X > < a : K e y V a l u e O f D i a g r a m O b j e c t K e y a n y T y p e z b w N T n L X > < a : K e y > < K e y > M e a s u r e s \ S u m   o f   S c o p e   2   k g   C O 2 - e < / K e y > < / a : K e y > < a : V a l u e   i : t y p e = " M e a s u r e G r i d N o d e V i e w S t a t e " > < C o l u m n > 3 < / C o l u m n > < L a y e d O u t > t r u e < / L a y e d O u t > < W a s U I I n v i s i b l e > t r u e < / W a s U I I n v i s i b l e > < / a : V a l u e > < / a : K e y V a l u e O f D i a g r a m O b j e c t K e y a n y T y p e z b w N T n L X > < a : K e y V a l u e O f D i a g r a m O b j e c t K e y a n y T y p e z b w N T n L X > < a : K e y > < K e y > M e a s u r e s \ S u m   o f   S c o p e   2   k g   C O 2 - e \ T a g I n f o \ F o r m u l a < / K e y > < / a : K e y > < a : V a l u e   i : t y p e = " M e a s u r e G r i d V i e w S t a t e I D i a g r a m T a g A d d i t i o n a l I n f o " / > < / a : K e y V a l u e O f D i a g r a m O b j e c t K e y a n y T y p e z b w N T n L X > < a : K e y V a l u e O f D i a g r a m O b j e c t K e y a n y T y p e z b w N T n L X > < a : K e y > < K e y > M e a s u r e s \ S u m   o f   S c o p e   2   k g   C O 2 - e \ T a g I n f o \ V a l u e < / K e y > < / a : K e y > < a : V a l u e   i : t y p e = " M e a s u r e G r i d V i e w S t a t e I D i a g r a m T a g A d d i t i o n a l I n f o " / > < / a : K e y V a l u e O f D i a g r a m O b j e c t K e y a n y T y p e z b w N T n L X > < a : K e y V a l u e O f D i a g r a m O b j e c t K e y a n y T y p e z b w N T n L X > < a : K e y > < K e y > M e a s u r e s \ S u m   o f   S c o p e   3   k g   C O 2 - e   3 < / K e y > < / a : K e y > < a : V a l u e   i : t y p e = " M e a s u r e G r i d N o d e V i e w S t a t e " > < C o l u m n > 4 < / C o l u m n > < L a y e d O u t > t r u e < / L a y e d O u t > < W a s U I I n v i s i b l e > t r u e < / W a s U I I n v i s i b l e > < / a : V a l u e > < / a : K e y V a l u e O f D i a g r a m O b j e c t K e y a n y T y p e z b w N T n L X > < a : K e y V a l u e O f D i a g r a m O b j e c t K e y a n y T y p e z b w N T n L X > < a : K e y > < K e y > M e a s u r e s \ S u m   o f   S c o p e   3   k g   C O 2 - e   3 \ T a g I n f o \ F o r m u l a < / K e y > < / a : K e y > < a : V a l u e   i : t y p e = " M e a s u r e G r i d V i e w S t a t e I D i a g r a m T a g A d d i t i o n a l I n f o " / > < / a : K e y V a l u e O f D i a g r a m O b j e c t K e y a n y T y p e z b w N T n L X > < a : K e y V a l u e O f D i a g r a m O b j e c t K e y a n y T y p e z b w N T n L X > < a : K e y > < K e y > M e a s u r e s \ S u m   o f   S c o p e   3   k g   C O 2 - e   3 \ T a g I n f o \ V a l u e < / K e y > < / a : K e y > < a : V a l u e   i : t y p e = " M e a s u r e G r i d V i e w S t a t e I D i a g r a m T a g A d d i t i o n a l I n f o " / > < / a : K e y V a l u e O f D i a g r a m O b j e c t K e y a n y T y p e z b w N T n L X > < a : K e y V a l u e O f D i a g r a m O b j e c t K e y a n y T y p e z b w N T n L X > < a : K e y > < K e y > M e a s u r e s \ S u m   o f   T o t a l   E m i s s i o n s   3 < / K e y > < / a : K e y > < a : V a l u e   i : t y p e = " M e a s u r e G r i d N o d e V i e w S t a t e " > < C o l u m n > 6 < / C o l u m n > < L a y e d O u t > t r u e < / L a y e d O u t > < W a s U I I n v i s i b l e > t r u e < / W a s U I I n v i s i b l e > < / a : V a l u e > < / a : K e y V a l u e O f D i a g r a m O b j e c t K e y a n y T y p e z b w N T n L X > < a : K e y V a l u e O f D i a g r a m O b j e c t K e y a n y T y p e z b w N T n L X > < a : K e y > < K e y > M e a s u r e s \ S u m   o f   T o t a l   E m i s s i o n s   3 \ T a g I n f o \ F o r m u l a < / K e y > < / a : K e y > < a : V a l u e   i : t y p e = " M e a s u r e G r i d V i e w S t a t e I D i a g r a m T a g A d d i t i o n a l I n f o " / > < / a : K e y V a l u e O f D i a g r a m O b j e c t K e y a n y T y p e z b w N T n L X > < a : K e y V a l u e O f D i a g r a m O b j e c t K e y a n y T y p e z b w N T n L X > < a : K e y > < K e y > M e a s u r e s \ S u m   o f   T o t a l   E m i s s i o n s   3 \ T a g I n f o \ V a l u e 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 C o l u m n s \ C o n s u m p t i o n   Q u a n t i t y < / K e y > < / a : K e y > < a : V a l u e   i : t y p e = " M e a s u r e G r i d N o d e V i e w S t a t e " > < C o l u m n > 1 < / C o l u m n > < L a y e d O u t > t r u e < / L a y e d O u t > < / a : V a l u e > < / a : K e y V a l u e O f D i a g r a m O b j e c t K e y a n y T y p e z b w N T n L X > < a : K e y V a l u e O f D i a g r a m O b j e c t K e y a n y T y p e z b w N T n L X > < a : K e y > < K e y > C o l u m n s \ S c o p e   1   k g   C O 2 - e < / K e y > < / a : K e y > < a : V a l u e   i : t y p e = " M e a s u r e G r i d N o d e V i e w S t a t e " > < C o l u m n > 2 < / C o l u m n > < L a y e d O u t > t r u e < / L a y e d O u t > < / a : V a l u e > < / a : K e y V a l u e O f D i a g r a m O b j e c t K e y a n y T y p e z b w N T n L X > < a : K e y V a l u e O f D i a g r a m O b j e c t K e y a n y T y p e z b w N T n L X > < a : K e y > < K e y > C o l u m n s \ S c o p e   2   k g   C O 2 - e < / K e y > < / a : K e y > < a : V a l u e   i : t y p e = " M e a s u r e G r i d N o d e V i e w S t a t e " > < C o l u m n > 3 < / C o l u m n > < L a y e d O u t > t r u e < / L a y e d O u t > < / a : V a l u e > < / a : K e y V a l u e O f D i a g r a m O b j e c t K e y a n y T y p e z b w N T n L X > < a : K e y V a l u e O f D i a g r a m O b j e c t K e y a n y T y p e z b w N T n L X > < a : K e y > < K e y > C o l u m n s \ S c o p e   3   k g   C O 2 - e < / K e y > < / a : K e y > < a : V a l u e   i : t y p e = " M e a s u r e G r i d N o d e V i e w S t a t e " > < C o l u m n > 4 < / C o l u m n > < L a y e d O u t > t r u e < / L a y e d O u t > < / a : V a l u e > < / a : K e y V a l u e O f D i a g r a m O b j e c t K e y a n y T y p e z b w N T n L X > < a : K e y V a l u e O f D i a g r a m O b j e c t K e y a n y T y p e z b w N T n L X > < a : K e y > < K e y > C o l u m n s \ T o t a l   G J < / K e y > < / a : K e y > < a : V a l u e   i : t y p e = " M e a s u r e G r i d N o d e V i e w S t a t e " > < C o l u m n > 5 < / C o l u m n > < L a y e d O u t > t r u e < / L a y e d O u t > < / a : V a l u e > < / a : K e y V a l u e O f D i a g r a m O b j e c t K e y a n y T y p e z b w N T n L X > < a : K e y V a l u e O f D i a g r a m O b j e c t K e y a n y T y p e z b w N T n L X > < a : K e y > < K e y > C o l u m n s \ T o t a l   E m i s s i o n s < / K e y > < / a : K e y > < a : V a l u e   i : t y p e = " M e a s u r e G r i d N o d e V i e w S t a t e " > < C o l u m n > 6 < / C o l u m n > < L a y e d O u t > t r u e < / L a y e d O u t > < / a : V a l u e > < / a : K e y V a l u e O f D i a g r a m O b j e c t K e y a n y T y p e z b w N T n L X > < a : K e y V a l u e O f D i a g r a m O b j e c t K e y a n y T y p e z b w N T n L X > < a : K e y > < K e y > L i n k s \ & l t ; C o l u m n s \ S u m   o f   C o n s u m p t i o n   Q u a n t i t y   3 & g t ; - & l t ; M e a s u r e s \ C o n s u m p t i o n   Q u a n t i t y & g t ; < / K e y > < / a : K e y > < a : V a l u e   i : t y p e = " M e a s u r e G r i d V i e w S t a t e I D i a g r a m L i n k " / > < / a : K e y V a l u e O f D i a g r a m O b j e c t K e y a n y T y p e z b w N T n L X > < a : K e y V a l u e O f D i a g r a m O b j e c t K e y a n y T y p e z b w N T n L X > < a : K e y > < K e y > L i n k s \ & l t ; C o l u m n s \ S u m   o f   C o n s u m p t i o n   Q u a n t i t y   3 & g t ; - & l t ; M e a s u r e s \ C o n s u m p t i o n   Q u a n t i t y & g t ; \ C O L U M N < / K e y > < / a : K e y > < a : V a l u e   i : t y p e = " M e a s u r e G r i d V i e w S t a t e I D i a g r a m L i n k E n d p o i n t " / > < / a : K e y V a l u e O f D i a g r a m O b j e c t K e y a n y T y p e z b w N T n L X > < a : K e y V a l u e O f D i a g r a m O b j e c t K e y a n y T y p e z b w N T n L X > < a : K e y > < K e y > L i n k s \ & l t ; C o l u m n s \ S u m   o f   C o n s u m p t i o n   Q u a n t i t y   3 & g t ; - & l t ; M e a s u r e s \ C o n s u m p t i o n   Q u a n t i t y & g t ; \ M E A S U R E < / K e y > < / a : K e y > < a : V a l u e   i : t y p e = " M e a s u r e G r i d V i e w S t a t e I D i a g r a m L i n k E n d p o i n t " / > < / a : K e y V a l u e O f D i a g r a m O b j e c t K e y a n y T y p e z b w N T n L X > < a : K e y V a l u e O f D i a g r a m O b j e c t K e y a n y T y p e z b w N T n L X > < a : K e y > < K e y > L i n k s \ & l t ; C o l u m n s \ S u m   o f   T o t a l   G J   3 & g t ; - & l t ; M e a s u r e s \ T o t a l   G J & g t ; < / K e y > < / a : K e y > < a : V a l u e   i : t y p e = " M e a s u r e G r i d V i e w S t a t e I D i a g r a m L i n k " / > < / a : K e y V a l u e O f D i a g r a m O b j e c t K e y a n y T y p e z b w N T n L X > < a : K e y V a l u e O f D i a g r a m O b j e c t K e y a n y T y p e z b w N T n L X > < a : K e y > < K e y > L i n k s \ & l t ; C o l u m n s \ S u m   o f   T o t a l   G J   3 & g t ; - & l t ; M e a s u r e s \ T o t a l   G J & g t ; \ C O L U M N < / K e y > < / a : K e y > < a : V a l u e   i : t y p e = " M e a s u r e G r i d V i e w S t a t e I D i a g r a m L i n k E n d p o i n t " / > < / a : K e y V a l u e O f D i a g r a m O b j e c t K e y a n y T y p e z b w N T n L X > < a : K e y V a l u e O f D i a g r a m O b j e c t K e y a n y T y p e z b w N T n L X > < a : K e y > < K e y > L i n k s \ & l t ; C o l u m n s \ S u m   o f   T o t a l   G J   3 & g t ; - & l t ; M e a s u r e s \ T o t a l   G J & g t ; \ M E A S U R E < / K e y > < / a : K e y > < a : V a l u e   i : t y p e = " M e a s u r e G r i d V i e w S t a t e I D i a g r a m L i n k E n d p o i n t " / > < / a : K e y V a l u e O f D i a g r a m O b j e c t K e y a n y T y p e z b w N T n L X > < a : K e y V a l u e O f D i a g r a m O b j e c t K e y a n y T y p e z b w N T n L X > < a : K e y > < K e y > L i n k s \ & l t ; C o l u m n s \ S u m   o f   S c o p e   1   k g   C O 2 - e   3 & g t ; - & l t ; M e a s u r e s \ S c o p e   1   k g   C O 2 - e & g t ; < / K e y > < / a : K e y > < a : V a l u e   i : t y p e = " M e a s u r e G r i d V i e w S t a t e I D i a g r a m L i n k " / > < / a : K e y V a l u e O f D i a g r a m O b j e c t K e y a n y T y p e z b w N T n L X > < a : K e y V a l u e O f D i a g r a m O b j e c t K e y a n y T y p e z b w N T n L X > < a : K e y > < K e y > L i n k s \ & l t ; C o l u m n s \ S u m   o f   S c o p e   1   k g   C O 2 - e   3 & g t ; - & l t ; M e a s u r e s \ S c o p e   1   k g   C O 2 - e & g t ; \ C O L U M N < / K e y > < / a : K e y > < a : V a l u e   i : t y p e = " M e a s u r e G r i d V i e w S t a t e I D i a g r a m L i n k E n d p o i n t " / > < / a : K e y V a l u e O f D i a g r a m O b j e c t K e y a n y T y p e z b w N T n L X > < a : K e y V a l u e O f D i a g r a m O b j e c t K e y a n y T y p e z b w N T n L X > < a : K e y > < K e y > L i n k s \ & l t ; C o l u m n s \ S u m   o f   S c o p e   1   k g   C O 2 - e   3 & g t ; - & l t ; M e a s u r e s \ S c o p e   1   k g   C O 2 - e & g t ; \ M E A S U R E < / K e y > < / a : K e y > < a : V a l u e   i : t y p e = " M e a s u r e G r i d V i e w S t a t e I D i a g r a m L i n k E n d p o i n t " / > < / a : K e y V a l u e O f D i a g r a m O b j e c t K e y a n y T y p e z b w N T n L X > < a : K e y V a l u e O f D i a g r a m O b j e c t K e y a n y T y p e z b w N T n L X > < a : K e y > < K e y > L i n k s \ & l t ; C o l u m n s \ S u m   o f   S c o p e   2   k g   C O 2 - e & g t ; - & l t ; M e a s u r e s \ S c o p e   2   k g   C O 2 - e & g t ; < / K e y > < / a : K e y > < a : V a l u e   i : t y p e = " M e a s u r e G r i d V i e w S t a t e I D i a g r a m L i n k " / > < / a : K e y V a l u e O f D i a g r a m O b j e c t K e y a n y T y p e z b w N T n L X > < a : K e y V a l u e O f D i a g r a m O b j e c t K e y a n y T y p e z b w N T n L X > < a : K e y > < K e y > L i n k s \ & l t ; C o l u m n s \ S u m   o f   S c o p e   2   k g   C O 2 - e & g t ; - & l t ; M e a s u r e s \ S c o p e   2   k g   C O 2 - e & g t ; \ C O L U M N < / K e y > < / a : K e y > < a : V a l u e   i : t y p e = " M e a s u r e G r i d V i e w S t a t e I D i a g r a m L i n k E n d p o i n t " / > < / a : K e y V a l u e O f D i a g r a m O b j e c t K e y a n y T y p e z b w N T n L X > < a : K e y V a l u e O f D i a g r a m O b j e c t K e y a n y T y p e z b w N T n L X > < a : K e y > < K e y > L i n k s \ & l t ; C o l u m n s \ S u m   o f   S c o p e   2   k g   C O 2 - e & g t ; - & l t ; M e a s u r e s \ S c o p e   2   k g   C O 2 - e & g t ; \ M E A S U R E < / K e y > < / a : K e y > < a : V a l u e   i : t y p e = " M e a s u r e G r i d V i e w S t a t e I D i a g r a m L i n k E n d p o i n t " / > < / a : K e y V a l u e O f D i a g r a m O b j e c t K e y a n y T y p e z b w N T n L X > < a : K e y V a l u e O f D i a g r a m O b j e c t K e y a n y T y p e z b w N T n L X > < a : K e y > < K e y > L i n k s \ & l t ; C o l u m n s \ S u m   o f   S c o p e   3   k g   C O 2 - e   3 & g t ; - & l t ; M e a s u r e s \ S c o p e   3   k g   C O 2 - e & g t ; < / K e y > < / a : K e y > < a : V a l u e   i : t y p e = " M e a s u r e G r i d V i e w S t a t e I D i a g r a m L i n k " / > < / a : K e y V a l u e O f D i a g r a m O b j e c t K e y a n y T y p e z b w N T n L X > < a : K e y V a l u e O f D i a g r a m O b j e c t K e y a n y T y p e z b w N T n L X > < a : K e y > < K e y > L i n k s \ & l t ; C o l u m n s \ S u m   o f   S c o p e   3   k g   C O 2 - e   3 & g t ; - & l t ; M e a s u r e s \ S c o p e   3   k g   C O 2 - e & g t ; \ C O L U M N < / K e y > < / a : K e y > < a : V a l u e   i : t y p e = " M e a s u r e G r i d V i e w S t a t e I D i a g r a m L i n k E n d p o i n t " / > < / a : K e y V a l u e O f D i a g r a m O b j e c t K e y a n y T y p e z b w N T n L X > < a : K e y V a l u e O f D i a g r a m O b j e c t K e y a n y T y p e z b w N T n L X > < a : K e y > < K e y > L i n k s \ & l t ; C o l u m n s \ S u m   o f   S c o p e   3   k g   C O 2 - e   3 & g t ; - & l t ; M e a s u r e s \ S c o p e   3   k g   C O 2 - e & g t ; \ M E A S U R E < / K e y > < / a : K e y > < a : V a l u e   i : t y p e = " M e a s u r e G r i d V i e w S t a t e I D i a g r a m L i n k E n d p o i n t " / > < / a : K e y V a l u e O f D i a g r a m O b j e c t K e y a n y T y p e z b w N T n L X > < a : K e y V a l u e O f D i a g r a m O b j e c t K e y a n y T y p e z b w N T n L X > < a : K e y > < K e y > L i n k s \ & l t ; C o l u m n s \ S u m   o f   T o t a l   E m i s s i o n s   3 & g t ; - & l t ; M e a s u r e s \ T o t a l   E m i s s i o n s & g t ; < / K e y > < / a : K e y > < a : V a l u e   i : t y p e = " M e a s u r e G r i d V i e w S t a t e I D i a g r a m L i n k " / > < / a : K e y V a l u e O f D i a g r a m O b j e c t K e y a n y T y p e z b w N T n L X > < a : K e y V a l u e O f D i a g r a m O b j e c t K e y a n y T y p e z b w N T n L X > < a : K e y > < K e y > L i n k s \ & l t ; C o l u m n s \ S u m   o f   T o t a l   E m i s s i o n s   3 & g t ; - & l t ; M e a s u r e s \ T o t a l   E m i s s i o n s & g t ; \ C O L U M N < / K e y > < / a : K e y > < a : V a l u e   i : t y p e = " M e a s u r e G r i d V i e w S t a t e I D i a g r a m L i n k E n d p o i n t " / > < / a : K e y V a l u e O f D i a g r a m O b j e c t K e y a n y T y p e z b w N T n L X > < a : K e y V a l u e O f D i a g r a m O b j e c t K e y a n y T y p e z b w N T n L X > < a : K e y > < K e y > L i n k s \ & l t ; C o l u m n s \ S u m   o f   T o t a l   E m i s s i o n s   3 & g t ; - & l t ; M e a s u r e s \ T o t a l   E m i s s i o n s & g t ; \ M E A S U R E < / K e y > < / a : K e y > < a : V a l u e   i : t y p e = " M e a s u r e G r i d V i e w S t a t e I D i a g r a m L i n k E n d p o i n t " / > < / a : K e y V a l u e O f D i a g r a m O b j e c t K e y a n y T y p e z b w N T n L X > < / V i e w S t a t e s > < / D i a g r a m M a n a g e r . S e r i a l i z a b l e D i a g r a m > < D i a g r a m M a n a g e r . S e r i a l i z a b l e D i a g r a m > < A d a p t e r   i : t y p e = " M e a s u r e D i a g r a m S a n d b o x A d a p t e r " > < T a b l e N a m e > E n t i t y 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 E n t i t y < / 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 C o l u m n s \ R e p o r t i n g   A l i a s < / K e y > < / D i a g r a m O b j e c t K e y > < D i a g r a m O b j e c t K e y > < K e y > C o l u m n s \ E m i s s i o n   S o u r c e < / K e y > < / D i a g r a m O b j e c t K e y > < D i a g r a m O b j e c t K e y > < K e y > C o l u m n s \ S o u r c e   N a m e < / K e y > < / D i a g r a m O b j e c t K e y > < D i a g r a m O b j e c t K e y > < K e y > C o l u m n s \ A c t i v i t y   T y p e < / K e y > < / D i a g r a m O b j e c t K e y > < D i a g r a m O b j e c t K e y > < K e y > C o l u m n s \ A c t i v i t y   T y p e   C o n t e x t < / K e y > < / D i a g r a m O b j e c t K e y > < D i a g r a m O b j e c t K e y > < K e y > C o l u m n s \ E n t i t y < / K e y > < / D i a g r a m O b j e c t K e y > < D i a g r a m O b j e c t K e y > < K e y > C o l u m n s \ L e v e l   1 < / K e y > < / D i a g r a m O b j e c t K e y > < D i a g r a m O b j e c t K e y > < K e y > C o l u m n s \ L e v e l   2 < / K e y > < / D i a g r a m O b j e c t K e y > < D i a g r a m O b j e c t K e y > < K e y > C o l u m n s \ L e v e l   3 < / K e y > < / D i a g r a m O b j e c t K e y > < D i a g r a m O b j e c t K e y > < K e y > C o l u m n s \ L e v e l   3   E n t i t y   t y p e < / K e y > < / D i a g r a m O b j e c t K e y > < D i a g r a m O b j e c t K e y > < K e y > C o l u m n s \ L e v e l   4 < / K e y > < / D i a g r a m O b j e c t K e y > < D i a g r a m O b j e c t K e y > < K e y > C o l u m n s \ S t a t e < / K e y > < / D i a g r a m O b j e c t K e y > < D i a g r a m O b j e c t K e y > < K e y > C o l u m n s \ U o M < / K e y > < / D i a g r a m O b j e c t K e y > < D i a g r a m O b j e c t K e y > < K e y > C o l u m n s \ P r i m a r y   C r i t e r i o n 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 3 < / F o c u s C o l u m n > < F o c u s R o w > 1 < / F o c u s R o w > < S e l e c t i o n E n d C o l u m n > 3 < / S e l e c t i o n E n d C o l u m n > < S e l e c t i o n E n d R o w > 1 < / S e l e c t i o n E n d R o w > < S e l e c t i o n S t a r t C o l u m n > 3 < / 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 C o l u m n s \ E m i s s i o n   S o u r c e < / K e y > < / a : K e y > < a : V a l u e   i : t y p e = " M e a s u r e G r i d N o d e V i e w S t a t e " > < C o l u m n > 1 < / C o l u m n > < L a y e d O u t > t r u e < / L a y e d O u t > < / a : V a l u e > < / a : K e y V a l u e O f D i a g r a m O b j e c t K e y a n y T y p e z b w N T n L X > < a : K e y V a l u e O f D i a g r a m O b j e c t K e y a n y T y p e z b w N T n L X > < a : K e y > < K e y > C o l u m n s \ S o u r c e   N a m e < / K e y > < / a : K e y > < a : V a l u e   i : t y p e = " M e a s u r e G r i d N o d e V i e w S t a t e " > < C o l u m n > 2 < / C o l u m n > < L a y e d O u t > t r u e < / L a y e d O u t > < / a : V a l u e > < / a : K e y V a l u e O f D i a g r a m O b j e c t K e y a n y T y p e z b w N T n L X > < a : K e y V a l u e O f D i a g r a m O b j e c t K e y a n y T y p e z b w N T n L X > < a : K e y > < K e y > C o l u m n s \ A c t i v i t y   T y p e < / K e y > < / a : K e y > < a : V a l u e   i : t y p e = " M e a s u r e G r i d N o d e V i e w S t a t e " > < C o l u m n > 3 < / C o l u m n > < L a y e d O u t > t r u e < / L a y e d O u t > < / a : V a l u e > < / a : K e y V a l u e O f D i a g r a m O b j e c t K e y a n y T y p e z b w N T n L X > < a : K e y V a l u e O f D i a g r a m O b j e c t K e y a n y T y p e z b w N T n L X > < a : K e y > < K e y > C o l u m n s \ A c t i v i t y   T y p e   C o n t e x t < / K e y > < / a : K e y > < a : V a l u e   i : t y p e = " M e a s u r e G r i d N o d e V i e w S t a t e " > < C o l u m n > 4 < / C o l u m n > < L a y e d O u t > t r u e < / L a y e d O u t > < / a : V a l u e > < / a : K e y V a l u e O f D i a g r a m O b j e c t K e y a n y T y p e z b w N T n L X > < a : K e y V a l u e O f D i a g r a m O b j e c t K e y a n y T y p e z b w N T n L X > < a : K e y > < K e y > C o l u m n s \ E n t i t y < / K e y > < / a : K e y > < a : V a l u e   i : t y p e = " M e a s u r e G r i d N o d e V i e w S t a t e " > < C o l u m n > 5 < / C o l u m n > < L a y e d O u t > t r u e < / L a y e d O u t > < / a : V a l u e > < / a : K e y V a l u e O f D i a g r a m O b j e c t K e y a n y T y p e z b w N T n L X > < a : K e y V a l u e O f D i a g r a m O b j e c t K e y a n y T y p e z b w N T n L X > < a : K e y > < K e y > C o l u m n s \ L e v e l   1 < / K e y > < / a : K e y > < a : V a l u e   i : t y p e = " M e a s u r e G r i d N o d e V i e w S t a t e " > < C o l u m n > 6 < / C o l u m n > < L a y e d O u t > t r u e < / L a y e d O u t > < / a : V a l u e > < / a : K e y V a l u e O f D i a g r a m O b j e c t K e y a n y T y p e z b w N T n L X > < a : K e y V a l u e O f D i a g r a m O b j e c t K e y a n y T y p e z b w N T n L X > < a : K e y > < K e y > C o l u m n s \ L e v e l   2 < / K e y > < / a : K e y > < a : V a l u e   i : t y p e = " M e a s u r e G r i d N o d e V i e w S t a t e " > < C o l u m n > 7 < / C o l u m n > < L a y e d O u t > t r u e < / L a y e d O u t > < / a : V a l u e > < / a : K e y V a l u e O f D i a g r a m O b j e c t K e y a n y T y p e z b w N T n L X > < a : K e y V a l u e O f D i a g r a m O b j e c t K e y a n y T y p e z b w N T n L X > < a : K e y > < K e y > C o l u m n s \ L e v e l   3 < / K e y > < / a : K e y > < a : V a l u e   i : t y p e = " M e a s u r e G r i d N o d e V i e w S t a t e " > < C o l u m n > 8 < / C o l u m n > < L a y e d O u t > t r u e < / L a y e d O u t > < / a : V a l u e > < / a : K e y V a l u e O f D i a g r a m O b j e c t K e y a n y T y p e z b w N T n L X > < a : K e y V a l u e O f D i a g r a m O b j e c t K e y a n y T y p e z b w N T n L X > < a : K e y > < K e y > C o l u m n s \ L e v e l   3   E n t i t y   t y p e < / K e y > < / a : K e y > < a : V a l u e   i : t y p e = " M e a s u r e G r i d N o d e V i e w S t a t e " > < C o l u m n > 9 < / C o l u m n > < L a y e d O u t > t r u e < / L a y e d O u t > < / a : V a l u e > < / a : K e y V a l u e O f D i a g r a m O b j e c t K e y a n y T y p e z b w N T n L X > < a : K e y V a l u e O f D i a g r a m O b j e c t K e y a n y T y p e z b w N T n L X > < a : K e y > < K e y > C o l u m n s \ L e v e l   4 < / K e y > < / a : K e y > < a : V a l u e   i : t y p e = " M e a s u r e G r i d N o d e V i e w S t a t e " > < C o l u m n > 1 0 < / C o l u m n > < L a y e d O u t > t r u e < / L a y e d O u t > < / a : V a l u e > < / a : K e y V a l u e O f D i a g r a m O b j e c t K e y a n y T y p e z b w N T n L X > < a : K e y V a l u e O f D i a g r a m O b j e c t K e y a n y T y p e z b w N T n L X > < a : K e y > < K e y > C o l u m n s \ S t a t e < / K e y > < / a : K e y > < a : V a l u e   i : t y p e = " M e a s u r e G r i d N o d e V i e w S t a t e " > < C o l u m n > 1 1 < / C o l u m n > < L a y e d O u t > t r u e < / L a y e d O u t > < / a : V a l u e > < / a : K e y V a l u e O f D i a g r a m O b j e c t K e y a n y T y p e z b w N T n L X > < a : K e y V a l u e O f D i a g r a m O b j e c t K e y a n y T y p e z b w N T n L X > < a : K e y > < K e y > C o l u m n s \ U o M < / K e y > < / a : K e y > < a : V a l u e   i : t y p e = " M e a s u r e G r i d N o d e V i e w S t a t e " > < C o l u m n > 1 2 < / C o l u m n > < L a y e d O u t > t r u e < / L a y e d O u t > < / a : V a l u e > < / a : K e y V a l u e O f D i a g r a m O b j e c t K e y a n y T y p e z b w N T n L X > < a : K e y V a l u e O f D i a g r a m O b j e c t K e y a n y T y p e z b w N T n L X > < a : K e y > < K e y > C o l u m n s \ P r i m a r y   C r i t e r i o n < / K e y > < / a : K e y > < a : V a l u e   i : t y p e = " M e a s u r e G r i d N o d e V i e w S t a t e " > < C o l u m n > 1 3 < / C o l u m n > < L a y e d O u t > t r u e < / L a y e d O u t > < / a : V a l u e > < / a : K e y V a l u e O f D i a g r a m O b j e c t K e y a n y T y p e z b w N T n L X > < / V i e w S t a t e s > < / D i a g r a m M a n a g e r . S e r i a l i z a b l e D i a g r a m > < D i a g r a m M a n a g e r . S e r i a l i z a b l e D i a g r a m > < A d a p t e r   i : t y p e = " M e a s u r e D i a g r a m S a n d b o x A d a p t e r " > < T a b l e N a m e > S E _ G a s 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 S E _ G a s < / 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 Q u a n i t y < / K e y > < / D i a g r a m O b j e c t K e y > < D i a g r a m O b j e c t K e y > < K e y > M e a s u r e s \ S u m   o f   C o n s u m p t i o n   Q u a n i t y \ T a g I n f o \ F o r m u l a < / K e y > < / D i a g r a m O b j e c t K e y > < D i a g r a m O b j e c t K e y > < K e y > M e a s u r e s \ S u m   o f   C o n s u m p t i o n   Q u a n i t y \ T a g I n f o \ V a l u e < / K e y > < / D i a g r a m O b j e c t K e y > < D i a g r a m O b j e c t K e y > < K e y > M e a s u r e s \ S u m   o f   S c o p e   1   k g   C O 2 - e   6 < / K e y > < / D i a g r a m O b j e c t K e y > < D i a g r a m O b j e c t K e y > < K e y > M e a s u r e s \ S u m   o f   S c o p e   1   k g   C O 2 - e   6 \ T a g I n f o \ F o r m u l a < / K e y > < / D i a g r a m O b j e c t K e y > < D i a g r a m O b j e c t K e y > < K e y > M e a s u r e s \ S u m   o f   S c o p e   1   k g   C O 2 - e   6 \ T a g I n f o \ V a l u e < / K e y > < / D i a g r a m O b j e c t K e y > < D i a g r a m O b j e c t K e y > < K e y > M e a s u r e s \ S u m   o f   T o t a l   G J   6 < / K e y > < / D i a g r a m O b j e c t K e y > < D i a g r a m O b j e c t K e y > < K e y > M e a s u r e s \ S u m   o f   T o t a l   G J   6 \ T a g I n f o \ F o r m u l a < / K e y > < / D i a g r a m O b j e c t K e y > < D i a g r a m O b j e c t K e y > < K e y > M e a s u r e s \ S u m   o f   T o t a l   G J   6 \ T a g I n f o \ V a l u e < / K e y > < / D i a g r a m O b j e c t K e y > < D i a g r a m O b j e c t K e y > < K e y > M e a s u r e s \ S u m   o f   S c o p e   2   k g   C O 2 - e   6 < / K e y > < / D i a g r a m O b j e c t K e y > < D i a g r a m O b j e c t K e y > < K e y > M e a s u r e s \ S u m   o f   S c o p e   2   k g   C O 2 - e   6 \ T a g I n f o \ F o r m u l a < / K e y > < / D i a g r a m O b j e c t K e y > < D i a g r a m O b j e c t K e y > < K e y > M e a s u r e s \ S u m   o f   S c o p e   2   k g   C O 2 - e   6 \ T a g I n f o \ V a l u e < / K e y > < / D i a g r a m O b j e c t K e y > < D i a g r a m O b j e c t K e y > < K e y > M e a s u r e s \ S u m   o f   S c o p e   3   k g   C O 2 - e   6 < / K e y > < / D i a g r a m O b j e c t K e y > < D i a g r a m O b j e c t K e y > < K e y > M e a s u r e s \ S u m   o f   S c o p e   3   k g   C O 2 - e   6 \ T a g I n f o \ F o r m u l a < / K e y > < / D i a g r a m O b j e c t K e y > < D i a g r a m O b j e c t K e y > < K e y > M e a s u r e s \ S u m   o f   S c o p e   3   k g   C O 2 - e   6 \ T a g I n f o \ V a l u e < / K e y > < / D i a g r a m O b j e c t K e y > < D i a g r a m O b j e c t K e y > < K e y > C o l u m n s \ R e p o r t i n g   A l i a s < / K e y > < / D i a g r a m O b j e c t K e y > < D i a g r a m O b j e c t K e y > < K e y > C o l u m n s \ S t a t e < / K e y > < / D i a g r a m O b j e c t K e y > < D i a g r a m O b j e c t K e y > < K e y > C o l u m n s \ C o n s u m p t i o n   Q u a n i t y < / K e y > < / D i a g r a m O b j e c t K e y > < D i a g r a m O b j e c t K e y > < K e y > C o l u m n s \ S c o p e   1   k g   C O 2 - e < / K e y > < / D i a g r a m O b j e c t K e y > < D i a g r a m O b j e c t K e y > < K e y > C o l u m n s \ S c o p e   2   k g   C O 2 - e < / K e y > < / D i a g r a m O b j e c t K e y > < D i a g r a m O b j e c t K e y > < K e y > C o l u m n s \ S c o p e   3   k g   C O 2 - e < / K e y > < / D i a g r a m O b j e c t K e y > < D i a g r a m O b j e c t K e y > < K e y > C o l u m n s \ T o t a l   G J < / K e y > < / D i a g r a m O b j e c t K e y > < D i a g r a m O b j e c t K e y > < K e y > C o l u m n s \ T o t a l   E m i s s i o n s < / K e y > < / D i a g r a m O b j e c t K e y > < D i a g r a m O b j e c t K e y > < K e y > M e a s u r e s \ S u m   o f   T o t a l   E m i s s i o n s   6 < / K e y > < / D i a g r a m O b j e c t K e y > < D i a g r a m O b j e c t K e y > < K e y > M e a s u r e s \ S u m   o f   T o t a l   E m i s s i o n s   6 \ T a g I n f o \ F o r m u l a < / K e y > < / D i a g r a m O b j e c t K e y > < D i a g r a m O b j e c t K e y > < K e y > M e a s u r e s \ S u m   o f   T o t a l   E m i s s i o n s   6 \ T a g I n f o \ V a l u e < / K e y > < / D i a g r a m O b j e c t K e y > < D i a g r a m O b j e c t K e y > < K e y > L i n k s \ & l t ; C o l u m n s \ S u m   o f   C o n s u m p t i o n   Q u a n i t y & g t ; - & l t ; M e a s u r e s \ C o n s u m p t i o n   Q u a n i t y & g t ; < / K e y > < / D i a g r a m O b j e c t K e y > < D i a g r a m O b j e c t K e y > < K e y > L i n k s \ & l t ; C o l u m n s \ S u m   o f   C o n s u m p t i o n   Q u a n i t y & g t ; - & l t ; M e a s u r e s \ C o n s u m p t i o n   Q u a n i t y & g t ; \ C O L U M N < / K e y > < / D i a g r a m O b j e c t K e y > < D i a g r a m O b j e c t K e y > < K e y > L i n k s \ & l t ; C o l u m n s \ S u m   o f   C o n s u m p t i o n   Q u a n i t y & g t ; - & l t ; M e a s u r e s \ C o n s u m p t i o n   Q u a n i t y & g t ; \ M E A S U R E < / K e y > < / D i a g r a m O b j e c t K e y > < D i a g r a m O b j e c t K e y > < K e y > L i n k s \ & l t ; C o l u m n s \ S u m   o f   S c o p e   1   k g   C O 2 - e   6 & g t ; - & l t ; M e a s u r e s \ S c o p e   1   k g   C O 2 - e & g t ; < / K e y > < / D i a g r a m O b j e c t K e y > < D i a g r a m O b j e c t K e y > < K e y > L i n k s \ & l t ; C o l u m n s \ S u m   o f   S c o p e   1   k g   C O 2 - e   6 & g t ; - & l t ; M e a s u r e s \ S c o p e   1   k g   C O 2 - e & g t ; \ C O L U M N < / K e y > < / D i a g r a m O b j e c t K e y > < D i a g r a m O b j e c t K e y > < K e y > L i n k s \ & l t ; C o l u m n s \ S u m   o f   S c o p e   1   k g   C O 2 - e   6 & g t ; - & l t ; M e a s u r e s \ S c o p e   1   k g   C O 2 - e & g t ; \ M E A S U R E < / K e y > < / D i a g r a m O b j e c t K e y > < D i a g r a m O b j e c t K e y > < K e y > L i n k s \ & l t ; C o l u m n s \ S u m   o f   T o t a l   G J   6 & g t ; - & l t ; M e a s u r e s \ T o t a l   G J & g t ; < / K e y > < / D i a g r a m O b j e c t K e y > < D i a g r a m O b j e c t K e y > < K e y > L i n k s \ & l t ; C o l u m n s \ S u m   o f   T o t a l   G J   6 & g t ; - & l t ; M e a s u r e s \ T o t a l   G J & g t ; \ C O L U M N < / K e y > < / D i a g r a m O b j e c t K e y > < D i a g r a m O b j e c t K e y > < K e y > L i n k s \ & l t ; C o l u m n s \ S u m   o f   T o t a l   G J   6 & g t ; - & l t ; M e a s u r e s \ T o t a l   G J & g t ; \ M E A S U R E < / K e y > < / D i a g r a m O b j e c t K e y > < D i a g r a m O b j e c t K e y > < K e y > L i n k s \ & l t ; C o l u m n s \ S u m   o f   S c o p e   2   k g   C O 2 - e   6 & g t ; - & l t ; M e a s u r e s \ S c o p e   2   k g   C O 2 - e & g t ; < / K e y > < / D i a g r a m O b j e c t K e y > < D i a g r a m O b j e c t K e y > < K e y > L i n k s \ & l t ; C o l u m n s \ S u m   o f   S c o p e   2   k g   C O 2 - e   6 & g t ; - & l t ; M e a s u r e s \ S c o p e   2   k g   C O 2 - e & g t ; \ C O L U M N < / K e y > < / D i a g r a m O b j e c t K e y > < D i a g r a m O b j e c t K e y > < K e y > L i n k s \ & l t ; C o l u m n s \ S u m   o f   S c o p e   2   k g   C O 2 - e   6 & g t ; - & l t ; M e a s u r e s \ S c o p e   2   k g   C O 2 - e & g t ; \ M E A S U R E < / K e y > < / D i a g r a m O b j e c t K e y > < D i a g r a m O b j e c t K e y > < K e y > L i n k s \ & l t ; C o l u m n s \ S u m   o f   S c o p e   3   k g   C O 2 - e   6 & g t ; - & l t ; M e a s u r e s \ S c o p e   3   k g   C O 2 - e & g t ; < / K e y > < / D i a g r a m O b j e c t K e y > < D i a g r a m O b j e c t K e y > < K e y > L i n k s \ & l t ; C o l u m n s \ S u m   o f   S c o p e   3   k g   C O 2 - e   6 & g t ; - & l t ; M e a s u r e s \ S c o p e   3   k g   C O 2 - e & g t ; \ C O L U M N < / K e y > < / D i a g r a m O b j e c t K e y > < D i a g r a m O b j e c t K e y > < K e y > L i n k s \ & l t ; C o l u m n s \ S u m   o f   S c o p e   3   k g   C O 2 - e   6 & g t ; - & l t ; M e a s u r e s \ S c o p e   3   k g   C O 2 - e & g t ; \ M E A S U R E < / K e y > < / D i a g r a m O b j e c t K e y > < D i a g r a m O b j e c t K e y > < K e y > L i n k s \ & l t ; C o l u m n s \ S u m   o f   T o t a l   E m i s s i o n s   6 & g t ; - & l t ; M e a s u r e s \ T o t a l   E m i s s i o n s & g t ; < / K e y > < / D i a g r a m O b j e c t K e y > < D i a g r a m O b j e c t K e y > < K e y > L i n k s \ & l t ; C o l u m n s \ S u m   o f   T o t a l   E m i s s i o n s   6 & g t ; - & l t ; M e a s u r e s \ T o t a l   E m i s s i o n s & g t ; \ C O L U M N < / K e y > < / D i a g r a m O b j e c t K e y > < D i a g r a m O b j e c t K e y > < K e y > L i n k s \ & l t ; C o l u m n s \ S u m   o f   T o t a l   E m i s s i o n s   6 & g t ; - & l t ; M e a s u r e s \ T o t a l 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 Q u a n i t y < / K e y > < / a : K e y > < a : V a l u e   i : t y p e = " M e a s u r e G r i d N o d e V i e w S t a t e " > < C o l u m n > 2 < / C o l u m n > < L a y e d O u t > t r u e < / L a y e d O u t > < W a s U I I n v i s i b l e > t r u e < / W a s U I I n v i s i b l e > < / a : V a l u e > < / a : K e y V a l u e O f D i a g r a m O b j e c t K e y a n y T y p e z b w N T n L X > < a : K e y V a l u e O f D i a g r a m O b j e c t K e y a n y T y p e z b w N T n L X > < a : K e y > < K e y > M e a s u r e s \ S u m   o f   C o n s u m p t i o n   Q u a n i t y \ T a g I n f o \ F o r m u l a < / K e y > < / a : K e y > < a : V a l u e   i : t y p e = " M e a s u r e G r i d V i e w S t a t e I D i a g r a m T a g A d d i t i o n a l I n f o " / > < / a : K e y V a l u e O f D i a g r a m O b j e c t K e y a n y T y p e z b w N T n L X > < a : K e y V a l u e O f D i a g r a m O b j e c t K e y a n y T y p e z b w N T n L X > < a : K e y > < K e y > M e a s u r e s \ S u m   o f   C o n s u m p t i o n   Q u a n i t y \ T a g I n f o \ V a l u e < / K e y > < / a : K e y > < a : V a l u e   i : t y p e = " M e a s u r e G r i d V i e w S t a t e I D i a g r a m T a g A d d i t i o n a l I n f o " / > < / a : K e y V a l u e O f D i a g r a m O b j e c t K e y a n y T y p e z b w N T n L X > < a : K e y V a l u e O f D i a g r a m O b j e c t K e y a n y T y p e z b w N T n L X > < a : K e y > < K e y > M e a s u r e s \ S u m   o f   S c o p e   1   k g   C O 2 - e   6 < / K e y > < / a : K e y > < a : V a l u e   i : t y p e = " M e a s u r e G r i d N o d e V i e w S t a t e " > < C o l u m n > 3 < / C o l u m n > < L a y e d O u t > t r u e < / L a y e d O u t > < W a s U I I n v i s i b l e > t r u e < / W a s U I I n v i s i b l e > < / a : V a l u e > < / a : K e y V a l u e O f D i a g r a m O b j e c t K e y a n y T y p e z b w N T n L X > < a : K e y V a l u e O f D i a g r a m O b j e c t K e y a n y T y p e z b w N T n L X > < a : K e y > < K e y > M e a s u r e s \ S u m   o f   S c o p e   1   k g   C O 2 - e   6 \ T a g I n f o \ F o r m u l a < / K e y > < / a : K e y > < a : V a l u e   i : t y p e = " M e a s u r e G r i d V i e w S t a t e I D i a g r a m T a g A d d i t i o n a l I n f o " / > < / a : K e y V a l u e O f D i a g r a m O b j e c t K e y a n y T y p e z b w N T n L X > < a : K e y V a l u e O f D i a g r a m O b j e c t K e y a n y T y p e z b w N T n L X > < a : K e y > < K e y > M e a s u r e s \ S u m   o f   S c o p e   1   k g   C O 2 - e   6 \ T a g I n f o \ V a l u e < / K e y > < / a : K e y > < a : V a l u e   i : t y p e = " M e a s u r e G r i d V i e w S t a t e I D i a g r a m T a g A d d i t i o n a l I n f o " / > < / a : K e y V a l u e O f D i a g r a m O b j e c t K e y a n y T y p e z b w N T n L X > < a : K e y V a l u e O f D i a g r a m O b j e c t K e y a n y T y p e z b w N T n L X > < a : K e y > < K e y > M e a s u r e s \ S u m   o f   T o t a l   G J   6 < / K e y > < / a : K e y > < a : V a l u e   i : t y p e = " M e a s u r e G r i d N o d e V i e w S t a t e " > < C o l u m n > 6 < / C o l u m n > < L a y e d O u t > t r u e < / L a y e d O u t > < W a s U I I n v i s i b l e > t r u e < / W a s U I I n v i s i b l e > < / a : V a l u e > < / a : K e y V a l u e O f D i a g r a m O b j e c t K e y a n y T y p e z b w N T n L X > < a : K e y V a l u e O f D i a g r a m O b j e c t K e y a n y T y p e z b w N T n L X > < a : K e y > < K e y > M e a s u r e s \ S u m   o f   T o t a l   G J   6 \ T a g I n f o \ F o r m u l a < / K e y > < / a : K e y > < a : V a l u e   i : t y p e = " M e a s u r e G r i d V i e w S t a t e I D i a g r a m T a g A d d i t i o n a l I n f o " / > < / a : K e y V a l u e O f D i a g r a m O b j e c t K e y a n y T y p e z b w N T n L X > < a : K e y V a l u e O f D i a g r a m O b j e c t K e y a n y T y p e z b w N T n L X > < a : K e y > < K e y > M e a s u r e s \ S u m   o f   T o t a l   G J   6 \ T a g I n f o \ V a l u e < / K e y > < / a : K e y > < a : V a l u e   i : t y p e = " M e a s u r e G r i d V i e w S t a t e I D i a g r a m T a g A d d i t i o n a l I n f o " / > < / a : K e y V a l u e O f D i a g r a m O b j e c t K e y a n y T y p e z b w N T n L X > < a : K e y V a l u e O f D i a g r a m O b j e c t K e y a n y T y p e z b w N T n L X > < a : K e y > < K e y > M e a s u r e s \ S u m   o f   S c o p e   2   k g   C O 2 - e   6 < / K e y > < / a : K e y > < a : V a l u e   i : t y p e = " M e a s u r e G r i d N o d e V i e w S t a t e " > < C o l u m n > 4 < / C o l u m n > < L a y e d O u t > t r u e < / L a y e d O u t > < W a s U I I n v i s i b l e > t r u e < / W a s U I I n v i s i b l e > < / a : V a l u e > < / a : K e y V a l u e O f D i a g r a m O b j e c t K e y a n y T y p e z b w N T n L X > < a : K e y V a l u e O f D i a g r a m O b j e c t K e y a n y T y p e z b w N T n L X > < a : K e y > < K e y > M e a s u r e s \ S u m   o f   S c o p e   2   k g   C O 2 - e   6 \ T a g I n f o \ F o r m u l a < / K e y > < / a : K e y > < a : V a l u e   i : t y p e = " M e a s u r e G r i d V i e w S t a t e I D i a g r a m T a g A d d i t i o n a l I n f o " / > < / a : K e y V a l u e O f D i a g r a m O b j e c t K e y a n y T y p e z b w N T n L X > < a : K e y V a l u e O f D i a g r a m O b j e c t K e y a n y T y p e z b w N T n L X > < a : K e y > < K e y > M e a s u r e s \ S u m   o f   S c o p e   2   k g   C O 2 - e   6 \ T a g I n f o \ V a l u e < / K e y > < / a : K e y > < a : V a l u e   i : t y p e = " M e a s u r e G r i d V i e w S t a t e I D i a g r a m T a g A d d i t i o n a l I n f o " / > < / a : K e y V a l u e O f D i a g r a m O b j e c t K e y a n y T y p e z b w N T n L X > < a : K e y V a l u e O f D i a g r a m O b j e c t K e y a n y T y p e z b w N T n L X > < a : K e y > < K e y > M e a s u r e s \ S u m   o f   S c o p e   3   k g   C O 2 - e   6 < / K e y > < / a : K e y > < a : V a l u e   i : t y p e = " M e a s u r e G r i d N o d e V i e w S t a t e " > < C o l u m n > 5 < / C o l u m n > < L a y e d O u t > t r u e < / L a y e d O u t > < W a s U I I n v i s i b l e > t r u e < / W a s U I I n v i s i b l e > < / a : V a l u e > < / a : K e y V a l u e O f D i a g r a m O b j e c t K e y a n y T y p e z b w N T n L X > < a : K e y V a l u e O f D i a g r a m O b j e c t K e y a n y T y p e z b w N T n L X > < a : K e y > < K e y > M e a s u r e s \ S u m   o f   S c o p e   3   k g   C O 2 - e   6 \ T a g I n f o \ F o r m u l a < / K e y > < / a : K e y > < a : V a l u e   i : t y p e = " M e a s u r e G r i d V i e w S t a t e I D i a g r a m T a g A d d i t i o n a l I n f o " / > < / a : K e y V a l u e O f D i a g r a m O b j e c t K e y a n y T y p e z b w N T n L X > < a : K e y V a l u e O f D i a g r a m O b j e c t K e y a n y T y p e z b w N T n L X > < a : K e y > < K e y > M e a s u r e s \ S u m   o f   S c o p e   3   k g   C O 2 - e   6 \ T a g I n f o \ V a l u e 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 C o l u m n s \ S t a t e < / K e y > < / a : K e y > < a : V a l u e   i : t y p e = " M e a s u r e G r i d N o d e V i e w S t a t e " > < C o l u m n > 1 < / C o l u m n > < L a y e d O u t > t r u e < / L a y e d O u t > < / a : V a l u e > < / a : K e y V a l u e O f D i a g r a m O b j e c t K e y a n y T y p e z b w N T n L X > < a : K e y V a l u e O f D i a g r a m O b j e c t K e y a n y T y p e z b w N T n L X > < a : K e y > < K e y > C o l u m n s \ C o n s u m p t i o n   Q u a n i t y < / K e y > < / a : K e y > < a : V a l u e   i : t y p e = " M e a s u r e G r i d N o d e V i e w S t a t e " > < C o l u m n > 2 < / C o l u m n > < L a y e d O u t > t r u e < / L a y e d O u t > < / a : V a l u e > < / a : K e y V a l u e O f D i a g r a m O b j e c t K e y a n y T y p e z b w N T n L X > < a : K e y V a l u e O f D i a g r a m O b j e c t K e y a n y T y p e z b w N T n L X > < a : K e y > < K e y > C o l u m n s \ S c o p e   1   k g   C O 2 - e < / K e y > < / a : K e y > < a : V a l u e   i : t y p e = " M e a s u r e G r i d N o d e V i e w S t a t e " > < C o l u m n > 3 < / C o l u m n > < L a y e d O u t > t r u e < / L a y e d O u t > < / a : V a l u e > < / a : K e y V a l u e O f D i a g r a m O b j e c t K e y a n y T y p e z b w N T n L X > < a : K e y V a l u e O f D i a g r a m O b j e c t K e y a n y T y p e z b w N T n L X > < a : K e y > < K e y > C o l u m n s \ S c o p e   2   k g   C O 2 - e < / K e y > < / a : K e y > < a : V a l u e   i : t y p e = " M e a s u r e G r i d N o d e V i e w S t a t e " > < C o l u m n > 4 < / C o l u m n > < L a y e d O u t > t r u e < / L a y e d O u t > < / a : V a l u e > < / a : K e y V a l u e O f D i a g r a m O b j e c t K e y a n y T y p e z b w N T n L X > < a : K e y V a l u e O f D i a g r a m O b j e c t K e y a n y T y p e z b w N T n L X > < a : K e y > < K e y > C o l u m n s \ S c o p e   3   k g   C O 2 - e < / K e y > < / a : K e y > < a : V a l u e   i : t y p e = " M e a s u r e G r i d N o d e V i e w S t a t e " > < C o l u m n > 5 < / C o l u m n > < L a y e d O u t > t r u e < / L a y e d O u t > < / a : V a l u e > < / a : K e y V a l u e O f D i a g r a m O b j e c t K e y a n y T y p e z b w N T n L X > < a : K e y V a l u e O f D i a g r a m O b j e c t K e y a n y T y p e z b w N T n L X > < a : K e y > < K e y > C o l u m n s \ T o t a l   G J < / K e y > < / a : K e y > < a : V a l u e   i : t y p e = " M e a s u r e G r i d N o d e V i e w S t a t e " > < C o l u m n > 6 < / C o l u m n > < L a y e d O u t > t r u e < / L a y e d O u t > < / a : V a l u e > < / a : K e y V a l u e O f D i a g r a m O b j e c t K e y a n y T y p e z b w N T n L X > < a : K e y V a l u e O f D i a g r a m O b j e c t K e y a n y T y p e z b w N T n L X > < a : K e y > < K e y > C o l u m n s \ T o t a l   E m i s s i o n s < / K e y > < / a : K e y > < a : V a l u e   i : t y p e = " M e a s u r e G r i d N o d e V i e w S t a t e " > < C o l u m n > 7 < / C o l u m n > < L a y e d O u t > t r u e < / L a y e d O u t > < / a : V a l u e > < / a : K e y V a l u e O f D i a g r a m O b j e c t K e y a n y T y p e z b w N T n L X > < a : K e y V a l u e O f D i a g r a m O b j e c t K e y a n y T y p e z b w N T n L X > < a : K e y > < K e y > M e a s u r e s \ S u m   o f   T o t a l   E m i s s i o n s   6 < / K e y > < / a : K e y > < a : V a l u e   i : t y p e = " M e a s u r e G r i d N o d e V i e w S t a t e " > < C o l u m n > 7 < / C o l u m n > < L a y e d O u t > t r u e < / L a y e d O u t > < W a s U I I n v i s i b l e > t r u e < / W a s U I I n v i s i b l e > < / a : V a l u e > < / a : K e y V a l u e O f D i a g r a m O b j e c t K e y a n y T y p e z b w N T n L X > < a : K e y V a l u e O f D i a g r a m O b j e c t K e y a n y T y p e z b w N T n L X > < a : K e y > < K e y > M e a s u r e s \ S u m   o f   T o t a l   E m i s s i o n s   6 \ T a g I n f o \ F o r m u l a < / K e y > < / a : K e y > < a : V a l u e   i : t y p e = " M e a s u r e G r i d V i e w S t a t e I D i a g r a m T a g A d d i t i o n a l I n f o " / > < / a : K e y V a l u e O f D i a g r a m O b j e c t K e y a n y T y p e z b w N T n L X > < a : K e y V a l u e O f D i a g r a m O b j e c t K e y a n y T y p e z b w N T n L X > < a : K e y > < K e y > M e a s u r e s \ S u m   o f   T o t a l   E m i s s i o n s   6 \ T a g I n f o \ V a l u e < / K e y > < / a : K e y > < a : V a l u e   i : t y p e = " M e a s u r e G r i d V i e w S t a t e I D i a g r a m T a g A d d i t i o n a l I n f o " / > < / a : K e y V a l u e O f D i a g r a m O b j e c t K e y a n y T y p e z b w N T n L X > < a : K e y V a l u e O f D i a g r a m O b j e c t K e y a n y T y p e z b w N T n L X > < a : K e y > < K e y > L i n k s \ & l t ; C o l u m n s \ S u m   o f   C o n s u m p t i o n   Q u a n i t y & g t ; - & l t ; M e a s u r e s \ C o n s u m p t i o n   Q u a n i t y & g t ; < / K e y > < / a : K e y > < a : V a l u e   i : t y p e = " M e a s u r e G r i d V i e w S t a t e I D i a g r a m L i n k " / > < / a : K e y V a l u e O f D i a g r a m O b j e c t K e y a n y T y p e z b w N T n L X > < a : K e y V a l u e O f D i a g r a m O b j e c t K e y a n y T y p e z b w N T n L X > < a : K e y > < K e y > L i n k s \ & l t ; C o l u m n s \ S u m   o f   C o n s u m p t i o n   Q u a n i t y & g t ; - & l t ; M e a s u r e s \ C o n s u m p t i o n   Q u a n i t y & g t ; \ C O L U M N < / K e y > < / a : K e y > < a : V a l u e   i : t y p e = " M e a s u r e G r i d V i e w S t a t e I D i a g r a m L i n k E n d p o i n t " / > < / a : K e y V a l u e O f D i a g r a m O b j e c t K e y a n y T y p e z b w N T n L X > < a : K e y V a l u e O f D i a g r a m O b j e c t K e y a n y T y p e z b w N T n L X > < a : K e y > < K e y > L i n k s \ & l t ; C o l u m n s \ S u m   o f   C o n s u m p t i o n   Q u a n i t y & g t ; - & l t ; M e a s u r e s \ C o n s u m p t i o n   Q u a n i t y & g t ; \ M E A S U R E < / K e y > < / a : K e y > < a : V a l u e   i : t y p e = " M e a s u r e G r i d V i e w S t a t e I D i a g r a m L i n k E n d p o i n t " / > < / a : K e y V a l u e O f D i a g r a m O b j e c t K e y a n y T y p e z b w N T n L X > < a : K e y V a l u e O f D i a g r a m O b j e c t K e y a n y T y p e z b w N T n L X > < a : K e y > < K e y > L i n k s \ & l t ; C o l u m n s \ S u m   o f   S c o p e   1   k g   C O 2 - e   6 & g t ; - & l t ; M e a s u r e s \ S c o p e   1   k g   C O 2 - e & g t ; < / K e y > < / a : K e y > < a : V a l u e   i : t y p e = " M e a s u r e G r i d V i e w S t a t e I D i a g r a m L i n k " / > < / a : K e y V a l u e O f D i a g r a m O b j e c t K e y a n y T y p e z b w N T n L X > < a : K e y V a l u e O f D i a g r a m O b j e c t K e y a n y T y p e z b w N T n L X > < a : K e y > < K e y > L i n k s \ & l t ; C o l u m n s \ S u m   o f   S c o p e   1   k g   C O 2 - e   6 & g t ; - & l t ; M e a s u r e s \ S c o p e   1   k g   C O 2 - e & g t ; \ C O L U M N < / K e y > < / a : K e y > < a : V a l u e   i : t y p e = " M e a s u r e G r i d V i e w S t a t e I D i a g r a m L i n k E n d p o i n t " / > < / a : K e y V a l u e O f D i a g r a m O b j e c t K e y a n y T y p e z b w N T n L X > < a : K e y V a l u e O f D i a g r a m O b j e c t K e y a n y T y p e z b w N T n L X > < a : K e y > < K e y > L i n k s \ & l t ; C o l u m n s \ S u m   o f   S c o p e   1   k g   C O 2 - e   6 & g t ; - & l t ; M e a s u r e s \ S c o p e   1   k g   C O 2 - e & g t ; \ M E A S U R E < / K e y > < / a : K e y > < a : V a l u e   i : t y p e = " M e a s u r e G r i d V i e w S t a t e I D i a g r a m L i n k E n d p o i n t " / > < / a : K e y V a l u e O f D i a g r a m O b j e c t K e y a n y T y p e z b w N T n L X > < a : K e y V a l u e O f D i a g r a m O b j e c t K e y a n y T y p e z b w N T n L X > < a : K e y > < K e y > L i n k s \ & l t ; C o l u m n s \ S u m   o f   T o t a l   G J   6 & g t ; - & l t ; M e a s u r e s \ T o t a l   G J & g t ; < / K e y > < / a : K e y > < a : V a l u e   i : t y p e = " M e a s u r e G r i d V i e w S t a t e I D i a g r a m L i n k " / > < / a : K e y V a l u e O f D i a g r a m O b j e c t K e y a n y T y p e z b w N T n L X > < a : K e y V a l u e O f D i a g r a m O b j e c t K e y a n y T y p e z b w N T n L X > < a : K e y > < K e y > L i n k s \ & l t ; C o l u m n s \ S u m   o f   T o t a l   G J   6 & g t ; - & l t ; M e a s u r e s \ T o t a l   G J & g t ; \ C O L U M N < / K e y > < / a : K e y > < a : V a l u e   i : t y p e = " M e a s u r e G r i d V i e w S t a t e I D i a g r a m L i n k E n d p o i n t " / > < / a : K e y V a l u e O f D i a g r a m O b j e c t K e y a n y T y p e z b w N T n L X > < a : K e y V a l u e O f D i a g r a m O b j e c t K e y a n y T y p e z b w N T n L X > < a : K e y > < K e y > L i n k s \ & l t ; C o l u m n s \ S u m   o f   T o t a l   G J   6 & g t ; - & l t ; M e a s u r e s \ T o t a l   G J & g t ; \ M E A S U R E < / K e y > < / a : K e y > < a : V a l u e   i : t y p e = " M e a s u r e G r i d V i e w S t a t e I D i a g r a m L i n k E n d p o i n t " / > < / a : K e y V a l u e O f D i a g r a m O b j e c t K e y a n y T y p e z b w N T n L X > < a : K e y V a l u e O f D i a g r a m O b j e c t K e y a n y T y p e z b w N T n L X > < a : K e y > < K e y > L i n k s \ & l t ; C o l u m n s \ S u m   o f   S c o p e   2   k g   C O 2 - e   6 & g t ; - & l t ; M e a s u r e s \ S c o p e   2   k g   C O 2 - e & g t ; < / K e y > < / a : K e y > < a : V a l u e   i : t y p e = " M e a s u r e G r i d V i e w S t a t e I D i a g r a m L i n k " / > < / a : K e y V a l u e O f D i a g r a m O b j e c t K e y a n y T y p e z b w N T n L X > < a : K e y V a l u e O f D i a g r a m O b j e c t K e y a n y T y p e z b w N T n L X > < a : K e y > < K e y > L i n k s \ & l t ; C o l u m n s \ S u m   o f   S c o p e   2   k g   C O 2 - e   6 & g t ; - & l t ; M e a s u r e s \ S c o p e   2   k g   C O 2 - e & g t ; \ C O L U M N < / K e y > < / a : K e y > < a : V a l u e   i : t y p e = " M e a s u r e G r i d V i e w S t a t e I D i a g r a m L i n k E n d p o i n t " / > < / a : K e y V a l u e O f D i a g r a m O b j e c t K e y a n y T y p e z b w N T n L X > < a : K e y V a l u e O f D i a g r a m O b j e c t K e y a n y T y p e z b w N T n L X > < a : K e y > < K e y > L i n k s \ & l t ; C o l u m n s \ S u m   o f   S c o p e   2   k g   C O 2 - e   6 & g t ; - & l t ; M e a s u r e s \ S c o p e   2   k g   C O 2 - e & g t ; \ M E A S U R E < / K e y > < / a : K e y > < a : V a l u e   i : t y p e = " M e a s u r e G r i d V i e w S t a t e I D i a g r a m L i n k E n d p o i n t " / > < / a : K e y V a l u e O f D i a g r a m O b j e c t K e y a n y T y p e z b w N T n L X > < a : K e y V a l u e O f D i a g r a m O b j e c t K e y a n y T y p e z b w N T n L X > < a : K e y > < K e y > L i n k s \ & l t ; C o l u m n s \ S u m   o f   S c o p e   3   k g   C O 2 - e   6 & g t ; - & l t ; M e a s u r e s \ S c o p e   3   k g   C O 2 - e & g t ; < / K e y > < / a : K e y > < a : V a l u e   i : t y p e = " M e a s u r e G r i d V i e w S t a t e I D i a g r a m L i n k " / > < / a : K e y V a l u e O f D i a g r a m O b j e c t K e y a n y T y p e z b w N T n L X > < a : K e y V a l u e O f D i a g r a m O b j e c t K e y a n y T y p e z b w N T n L X > < a : K e y > < K e y > L i n k s \ & l t ; C o l u m n s \ S u m   o f   S c o p e   3   k g   C O 2 - e   6 & g t ; - & l t ; M e a s u r e s \ S c o p e   3   k g   C O 2 - e & g t ; \ C O L U M N < / K e y > < / a : K e y > < a : V a l u e   i : t y p e = " M e a s u r e G r i d V i e w S t a t e I D i a g r a m L i n k E n d p o i n t " / > < / a : K e y V a l u e O f D i a g r a m O b j e c t K e y a n y T y p e z b w N T n L X > < a : K e y V a l u e O f D i a g r a m O b j e c t K e y a n y T y p e z b w N T n L X > < a : K e y > < K e y > L i n k s \ & l t ; C o l u m n s \ S u m   o f   S c o p e   3   k g   C O 2 - e   6 & g t ; - & l t ; M e a s u r e s \ S c o p e   3   k g   C O 2 - e & g t ; \ M E A S U R E < / K e y > < / a : K e y > < a : V a l u e   i : t y p e = " M e a s u r e G r i d V i e w S t a t e I D i a g r a m L i n k E n d p o i n t " / > < / a : K e y V a l u e O f D i a g r a m O b j e c t K e y a n y T y p e z b w N T n L X > < a : K e y V a l u e O f D i a g r a m O b j e c t K e y a n y T y p e z b w N T n L X > < a : K e y > < K e y > L i n k s \ & l t ; C o l u m n s \ S u m   o f   T o t a l   E m i s s i o n s   6 & g t ; - & l t ; M e a s u r e s \ T o t a l   E m i s s i o n s & g t ; < / K e y > < / a : K e y > < a : V a l u e   i : t y p e = " M e a s u r e G r i d V i e w S t a t e I D i a g r a m L i n k " / > < / a : K e y V a l u e O f D i a g r a m O b j e c t K e y a n y T y p e z b w N T n L X > < a : K e y V a l u e O f D i a g r a m O b j e c t K e y a n y T y p e z b w N T n L X > < a : K e y > < K e y > L i n k s \ & l t ; C o l u m n s \ S u m   o f   T o t a l   E m i s s i o n s   6 & g t ; - & l t ; M e a s u r e s \ T o t a l   E m i s s i o n s & g t ; \ C O L U M N < / K e y > < / a : K e y > < a : V a l u e   i : t y p e = " M e a s u r e G r i d V i e w S t a t e I D i a g r a m L i n k E n d p o i n t " / > < / a : K e y V a l u e O f D i a g r a m O b j e c t K e y a n y T y p e z b w N T n L X > < a : K e y V a l u e O f D i a g r a m O b j e c t K e y a n y T y p e z b w N T n L X > < a : K e y > < K e y > L i n k s \ & l t ; C o l u m n s \ S u m   o f   T o t a l   E m i s s i o n s   6 & g t ; - & l t ; M e a s u r e s \ T o t a l   E m i s s i o n s & g t ; \ M E A S U R E < / K e y > < / a : K e y > < a : V a l u e   i : t y p e = " M e a s u r e G r i d V i e w S t a t e I D i a g r a m L i n k E n d p o i n t " / > < / a : K e y V a l u e O f D i a g r a m O b j e c t K e y a n y T y p e z b w N T n L X > < / V i e w S t a t e s > < / D i a g r a m M a n a g e r . S e r i a l i z a b l e D i a g r a m > < D i a g r a m M a n a g e r . S e r i a l i z a b l e D i a g r a m > < A d a p t e r   i : t y p e = " M e a s u r e D i a g r a m S a n d b o x A d a p t e r " > < T a b l e N a m e > G H G 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 G H G < / 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 C o l u m n s \ R e p o r t i n g   A l i a s < / K e y > < / D i a g r a m O b j e c t K e y > < D i a g r a m O b j e c t K e y > < K e y > C o l u m n s \ E n e r g y   C a t e g o r y < / K e y > < / D i a g r a m O b j e c t K e y > < D i a g r a m O b j e c t K e y > < K e y > C o l u m n s \ P u r p o s e < / K e y > < / D i a g r a m O b j e c t K e y > < D i a g r a m O b j e c t K e y > < K e y > C o l u m n s \ S t a t e < / K e y > < / D i a g r a m O b j e c t K e y > < D i a g r a m O b j e c t K e y > < K e y > C o l u m n s \ D e f a u l t   U n i t < / K e y > < / D i a g r a m O b j e c t K e y > < D i a g r a m O b j e c t K e y > < K e y > C o l u m n s \ U n i t   C o n v e r s i o n   F a c t o r < / K e y > < / D i a g r a m O b j e c t K e y > < D i a g r a m O b j e c t K e y > < K e y > C o l u m n s \ U n i t < / K e y > < / D i a g r a m O b j e c t K e y > < D i a g r a m O b j e c t K e y > < K e y > C o l u m n s \ E n e r g y   c o n t e n t   f a c t o r < / K e y > < / D i a g r a m O b j e c t K e y > < D i a g r a m O b j e c t K e y > < K e y > C o l u m n s \ E C   U n i t < / K e y > < / D i a g r a m O b j e c t K e y > < D i a g r a m O b j e c t K e y > < K e y > C o l u m n s \ S c o p e   1   E m i s s i o n   f a c t o r < / K e y > < / D i a g r a m O b j e c t K e y > < D i a g r a m O b j e c t K e y > < K e y > C o l u m n s \ S c o p e   2   E m i s s i o n   f a c t o r < / K e y > < / D i a g r a m O b j e c t K e y > < D i a g r a m O b j e c t K e y > < K e y > C o l u m n s \ S c o p e   3   E m i s s i o n   f a c t o r < / K e y > < / D i a g r a m O b j e c t K e y > < D i a g r a m O b j e c t K e y > < K e y > C o l u m n s \ E F   U n i t < / K e y > < / D i a g r a m O b j e c t K e y > < D i a g r a m O b j e c t K e y > < K e y > C o l u m n s \ D a t a   S o u r c e   ( s c o p e   1 ) < / K e y > < / D i a g r a m O b j e c t K e y > < D i a g r a m O b j e c t K e y > < K e y > C o l u m n s \ D a t a   S o u r c e   ( s c o p e   2 ) < / K e y > < / D i a g r a m O b j e c t K e y > < D i a g r a m O b j e c t K e y > < K e y > C o l u m n s \ D a t a   S o u r c e   ( s c o p e   3 ) < / 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 C o l u m n s \ E n e r g y   C a t e g o r y < / K e y > < / a : K e y > < a : V a l u e   i : t y p e = " M e a s u r e G r i d N o d e V i e w S t a t e " > < C o l u m n > 1 < / C o l u m n > < L a y e d O u t > t r u e < / L a y e d O u t > < / a : V a l u e > < / a : K e y V a l u e O f D i a g r a m O b j e c t K e y a n y T y p e z b w N T n L X > < a : K e y V a l u e O f D i a g r a m O b j e c t K e y a n y T y p e z b w N T n L X > < a : K e y > < K e y > C o l u m n s \ P u r p o s e 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 C o l u m n s \ D e f a u l t   U n i t < / K e y > < / a : K e y > < a : V a l u e   i : t y p e = " M e a s u r e G r i d N o d e V i e w S t a t e " > < C o l u m n > 4 < / C o l u m n > < L a y e d O u t > t r u e < / L a y e d O u t > < / a : V a l u e > < / a : K e y V a l u e O f D i a g r a m O b j e c t K e y a n y T y p e z b w N T n L X > < a : K e y V a l u e O f D i a g r a m O b j e c t K e y a n y T y p e z b w N T n L X > < a : K e y > < K e y > C o l u m n s \ U n i t   C o n v e r s i o n   F a c t o r < / K e y > < / a : K e y > < a : V a l u e   i : t y p e = " M e a s u r e G r i d N o d e V i e w S t a t e " > < C o l u m n > 5 < / C o l u m n > < L a y e d O u t > t r u e < / L a y e d O u t > < / a : V a l u e > < / a : K e y V a l u e O f D i a g r a m O b j e c t K e y a n y T y p e z b w N T n L X > < a : K e y V a l u e O f D i a g r a m O b j e c t K e y a n y T y p e z b w N T n L X > < a : K e y > < K e y > C o l u m n s \ U n i t < / K e y > < / a : K e y > < a : V a l u e   i : t y p e = " M e a s u r e G r i d N o d e V i e w S t a t e " > < C o l u m n > 6 < / C o l u m n > < L a y e d O u t > t r u e < / L a y e d O u t > < / a : V a l u e > < / a : K e y V a l u e O f D i a g r a m O b j e c t K e y a n y T y p e z b w N T n L X > < a : K e y V a l u e O f D i a g r a m O b j e c t K e y a n y T y p e z b w N T n L X > < a : K e y > < K e y > C o l u m n s \ E n e r g y   c o n t e n t   f a c t o r < / K e y > < / a : K e y > < a : V a l u e   i : t y p e = " M e a s u r e G r i d N o d e V i e w S t a t e " > < C o l u m n > 7 < / C o l u m n > < L a y e d O u t > t r u e < / L a y e d O u t > < / a : V a l u e > < / a : K e y V a l u e O f D i a g r a m O b j e c t K e y a n y T y p e z b w N T n L X > < a : K e y V a l u e O f D i a g r a m O b j e c t K e y a n y T y p e z b w N T n L X > < a : K e y > < K e y > C o l u m n s \ E C   U n i t < / K e y > < / a : K e y > < a : V a l u e   i : t y p e = " M e a s u r e G r i d N o d e V i e w S t a t e " > < C o l u m n > 8 < / C o l u m n > < L a y e d O u t > t r u e < / L a y e d O u t > < / a : V a l u e > < / a : K e y V a l u e O f D i a g r a m O b j e c t K e y a n y T y p e z b w N T n L X > < a : K e y V a l u e O f D i a g r a m O b j e c t K e y a n y T y p e z b w N T n L X > < a : K e y > < K e y > C o l u m n s \ S c o p e   1   E m i s s i o n   f a c t o r < / K e y > < / a : K e y > < a : V a l u e   i : t y p e = " M e a s u r e G r i d N o d e V i e w S t a t e " > < C o l u m n > 9 < / C o l u m n > < L a y e d O u t > t r u e < / L a y e d O u t > < / a : V a l u e > < / a : K e y V a l u e O f D i a g r a m O b j e c t K e y a n y T y p e z b w N T n L X > < a : K e y V a l u e O f D i a g r a m O b j e c t K e y a n y T y p e z b w N T n L X > < a : K e y > < K e y > C o l u m n s \ S c o p e   2   E m i s s i o n   f a c t o r < / K e y > < / a : K e y > < a : V a l u e   i : t y p e = " M e a s u r e G r i d N o d e V i e w S t a t e " > < C o l u m n > 1 0 < / C o l u m n > < L a y e d O u t > t r u e < / L a y e d O u t > < / a : V a l u e > < / a : K e y V a l u e O f D i a g r a m O b j e c t K e y a n y T y p e z b w N T n L X > < a : K e y V a l u e O f D i a g r a m O b j e c t K e y a n y T y p e z b w N T n L X > < a : K e y > < K e y > C o l u m n s \ S c o p e   3   E m i s s i o n   f a c t o r < / K e y > < / a : K e y > < a : V a l u e   i : t y p e = " M e a s u r e G r i d N o d e V i e w S t a t e " > < C o l u m n > 1 1 < / C o l u m n > < L a y e d O u t > t r u e < / L a y e d O u t > < / a : V a l u e > < / a : K e y V a l u e O f D i a g r a m O b j e c t K e y a n y T y p e z b w N T n L X > < a : K e y V a l u e O f D i a g r a m O b j e c t K e y a n y T y p e z b w N T n L X > < a : K e y > < K e y > C o l u m n s \ E F   U n i t < / K e y > < / a : K e y > < a : V a l u e   i : t y p e = " M e a s u r e G r i d N o d e V i e w S t a t e " > < C o l u m n > 1 2 < / C o l u m n > < L a y e d O u t > t r u e < / L a y e d O u t > < / a : V a l u e > < / a : K e y V a l u e O f D i a g r a m O b j e c t K e y a n y T y p e z b w N T n L X > < a : K e y V a l u e O f D i a g r a m O b j e c t K e y a n y T y p e z b w N T n L X > < a : K e y > < K e y > C o l u m n s \ D a t a   S o u r c e   ( s c o p e   1 ) < / K e y > < / a : K e y > < a : V a l u e   i : t y p e = " M e a s u r e G r i d N o d e V i e w S t a t e " > < C o l u m n > 1 3 < / C o l u m n > < L a y e d O u t > t r u e < / L a y e d O u t > < / a : V a l u e > < / a : K e y V a l u e O f D i a g r a m O b j e c t K e y a n y T y p e z b w N T n L X > < a : K e y V a l u e O f D i a g r a m O b j e c t K e y a n y T y p e z b w N T n L X > < a : K e y > < K e y > C o l u m n s \ D a t a   S o u r c e   ( s c o p e   2 ) < / K e y > < / a : K e y > < a : V a l u e   i : t y p e = " M e a s u r e G r i d N o d e V i e w S t a t e " > < C o l u m n > 1 4 < / C o l u m n > < L a y e d O u t > t r u e < / L a y e d O u t > < / a : V a l u e > < / a : K e y V a l u e O f D i a g r a m O b j e c t K e y a n y T y p e z b w N T n L X > < a : K e y V a l u e O f D i a g r a m O b j e c t K e y a n y T y p e z b w N T n L X > < a : K e y > < K e y > C o l u m n s \ D a t a   S o u r c e   ( s c o p e   3 ) < / K e y > < / a : K e y > < a : V a l u e   i : t y p e = " M e a s u r e G r i d N o d e V i e w S t a t e " > < C o l u m n > 1 5 < / C o l u m n > < L a y e d O u t > t r u e < / L a y e d O u t > < / a : V a l u e > < / a : K e y V a l u e O f D i a g r a m O b j e c t K e y a n y T y p e z b w N T n L X > < / V i e w S t a t e s > < / D i a g r a m M a n a g e r . S e r i a l i z a b l e D i a g r a m > < D i a g r a m M a n a g e r . S e r i a l i z a b l e D i a g r a m > < A d a p t e r   i : t y p e = " M e a s u r e D i a g r a m S a n d b o x A d a p t e r " > < T a b l e N a m e > G r o u n d s _ F u e l s 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 G r o u n d s _ F u e l s < / 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 8 < / K e y > < / D i a g r a m O b j e c t K e y > < D i a g r a m O b j e c t K e y > < K e y > M e a s u r e s \ S u m   o f   C o n s u m p t i o n   Q u a n t i t y   8 \ T a g I n f o \ F o r m u l a < / K e y > < / D i a g r a m O b j e c t K e y > < D i a g r a m O b j e c t K e y > < K e y > M e a s u r e s \ S u m   o f   C o n s u m p t i o n   Q u a n t i t y   8 \ T a g I n f o \ V a l u e < / K e y > < / D i a g r a m O b j e c t K e y > < D i a g r a m O b j e c t K e y > < K e y > M e a s u r e s \ S u m   o f   T o t a l   G J   1 6 < / K e y > < / D i a g r a m O b j e c t K e y > < D i a g r a m O b j e c t K e y > < K e y > M e a s u r e s \ S u m   o f   T o t a l   G J   1 6 \ T a g I n f o \ F o r m u l a < / K e y > < / D i a g r a m O b j e c t K e y > < D i a g r a m O b j e c t K e y > < K e y > M e a s u r e s \ S u m   o f   T o t a l   G J   1 6 \ T a g I n f o \ V a l u e < / K e y > < / D i a g r a m O b j e c t K e y > < D i a g r a m O b j e c t K e y > < K e y > M e a s u r e s \ S u m   o f   S c o p e   1   k g   C O 2 - e   1 6 < / K e y > < / D i a g r a m O b j e c t K e y > < D i a g r a m O b j e c t K e y > < K e y > M e a s u r e s \ S u m   o f   S c o p e   1   k g   C O 2 - e   1 6 \ T a g I n f o \ F o r m u l a < / K e y > < / D i a g r a m O b j e c t K e y > < D i a g r a m O b j e c t K e y > < K e y > M e a s u r e s \ S u m   o f   S c o p e   1   k g   C O 2 - e   1 6 \ T a g I n f o \ V a l u e < / K e y > < / D i a g r a m O b j e c t K e y > < D i a g r a m O b j e c t K e y > < K e y > M e a s u r e s \ S u m   o f   S c o p e   2   k g   C O 2 - e   1 6 < / K e y > < / D i a g r a m O b j e c t K e y > < D i a g r a m O b j e c t K e y > < K e y > M e a s u r e s \ S u m   o f   S c o p e   2   k g   C O 2 - e   1 6 \ T a g I n f o \ F o r m u l a < / K e y > < / D i a g r a m O b j e c t K e y > < D i a g r a m O b j e c t K e y > < K e y > M e a s u r e s \ S u m   o f   S c o p e   2   k g   C O 2 - e   1 6 \ T a g I n f o \ V a l u e < / K e y > < / D i a g r a m O b j e c t K e y > < D i a g r a m O b j e c t K e y > < K e y > M e a s u r e s \ S u m   o f   S c o p e   3   k g   C O 2 - e   1 6 < / K e y > < / D i a g r a m O b j e c t K e y > < D i a g r a m O b j e c t K e y > < K e y > M e a s u r e s \ S u m   o f   S c o p e   3   k g   C O 2 - e   1 6 \ T a g I n f o \ F o r m u l a < / K e y > < / D i a g r a m O b j e c t K e y > < D i a g r a m O b j e c t K e y > < K e y > M e a s u r e s \ S u m   o f   S c o p e   3   k g   C O 2 - e   1 6 \ T a g I n f o \ V a l u e < / K e y > < / D i a g r a m O b j e c t K e y > < D i a g r a m O b j e c t K e y > < K e y > M e a s u r e s \ S u m   o f   T o t a l   E m i s s i o n s   1 6 < / K e y > < / D i a g r a m O b j e c t K e y > < D i a g r a m O b j e c t K e y > < K e y > M e a s u r e s \ S u m   o f   T o t a l   E m i s s i o n s   1 6 \ T a g I n f o \ F o r m u l a < / K e y > < / D i a g r a m O b j e c t K e y > < D i a g r a m O b j e c t K e y > < K e y > M e a s u r e s \ S u m   o f   T o t a l   E m i s s i o n s   1 6 \ T a g I n f o \ V a l u e < / K e y > < / D i a g r a m O b j e c t K e y > < D i a g r a m O b j e c t K e y > < K e y > C o l u m n s \ R e p o r t i n g   A l i a s < / K e y > < / D i a g r a m O b j e c t K e y > < D i a g r a m O b j e c t K e y > < K e y > C o l u m n s \ S o u r c e   N a m e < / K e y > < / D i a g r a m O b j e c t K e y > < D i a g r a m O b j e c t K e y > < K e y > C o l u m n s \ A c t i v i t y   T y p e < / K e y > < / D i a g r a m O b j e c t K e y > < D i a g r a m O b j e c t K e y > < K e y > C o l u m n s \ A c t i v i t y   T y p e   C o n t e x t < / K e y > < / D i a g r a m O b j e c t K e y > < D i a g r a m O b j e c t K e y > < K e y > C o l u m n s \ E n t i t y < / K e y > < / D i a g r a m O b j e c t K e y > < D i a g r a m O b j e c t K e y > < K e y > C o l u m n s \ F u e l < / K e y > < / D i a g r a m O b j e c t K e y > < D i a g r a m O b j e c t K e y > < K e y > C o l u m n s \ S t a t e < / K e y > < / D i a g r a m O b j e c t K e y > < D i a g r a m O b j e c t K e y > < K e y > C o l u m n s \ C o n s u m p t i o n   Q u a n t i t y   ( L ) < / K e y > < / D i a g r a m O b j e c t K e y > < D i a g r a m O b j e c t K e y > < K e y > C o l u m n s \ C o n s u m p t i o n   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 8 & g t ; - & l t ; M e a s u r e s \ C o n s u m p t i o n   Q u a n t i t y & g t ; < / K e y > < / D i a g r a m O b j e c t K e y > < D i a g r a m O b j e c t K e y > < K e y > L i n k s \ & l t ; C o l u m n s \ S u m   o f   C o n s u m p t i o n   Q u a n t i t y   8 & g t ; - & l t ; M e a s u r e s \ C o n s u m p t i o n   Q u a n t i t y & g t ; \ C O L U M N < / K e y > < / D i a g r a m O b j e c t K e y > < D i a g r a m O b j e c t K e y > < K e y > L i n k s \ & l t ; C o l u m n s \ S u m   o f   C o n s u m p t i o n   Q u a n t i t y   8 & g t ; - & l t ; M e a s u r e s \ C o n s u m p t i o n   Q u a n t i t y & g t ; \ M E A S U R E < / K e y > < / D i a g r a m O b j e c t K e y > < D i a g r a m O b j e c t K e y > < K e y > L i n k s \ & l t ; C o l u m n s \ S u m   o f   T o t a l   G J   1 6 & g t ; - & l t ; M e a s u r e s \ T o t a l   G J & g t ; < / K e y > < / D i a g r a m O b j e c t K e y > < D i a g r a m O b j e c t K e y > < K e y > L i n k s \ & l t ; C o l u m n s \ S u m   o f   T o t a l   G J   1 6 & g t ; - & l t ; M e a s u r e s \ T o t a l   G J & g t ; \ C O L U M N < / K e y > < / D i a g r a m O b j e c t K e y > < D i a g r a m O b j e c t K e y > < K e y > L i n k s \ & l t ; C o l u m n s \ S u m   o f   T o t a l   G J   1 6 & g t ; - & l t ; M e a s u r e s \ T o t a l   G J & g t ; \ M E A S U R E < / K e y > < / D i a g r a m O b j e c t K e y > < D i a g r a m O b j e c t K e y > < K e y > L i n k s \ & l t ; C o l u m n s \ S u m   o f   S c o p e   1   k g   C O 2 - e   1 6 & g t ; - & l t ; M e a s u r e s \ S c o p e   1   k g   C O 2 - e & g t ; < / K e y > < / D i a g r a m O b j e c t K e y > < D i a g r a m O b j e c t K e y > < K e y > L i n k s \ & l t ; C o l u m n s \ S u m   o f   S c o p e   1   k g   C O 2 - e   1 6 & g t ; - & l t ; M e a s u r e s \ S c o p e   1   k g   C O 2 - e & g t ; \ C O L U M N < / K e y > < / D i a g r a m O b j e c t K e y > < D i a g r a m O b j e c t K e y > < K e y > L i n k s \ & l t ; C o l u m n s \ S u m   o f   S c o p e   1   k g   C O 2 - e   1 6 & g t ; - & l t ; M e a s u r e s \ S c o p e   1   k g   C O 2 - e & g t ; \ M E A S U R E < / K e y > < / D i a g r a m O b j e c t K e y > < D i a g r a m O b j e c t K e y > < K e y > L i n k s \ & l t ; C o l u m n s \ S u m   o f   S c o p e   2   k g   C O 2 - e   1 6 & g t ; - & l t ; M e a s u r e s \ S c o p e   2   k g   C O 2 - e & g t ; < / K e y > < / D i a g r a m O b j e c t K e y > < D i a g r a m O b j e c t K e y > < K e y > L i n k s \ & l t ; C o l u m n s \ S u m   o f   S c o p e   2   k g   C O 2 - e   1 6 & g t ; - & l t ; M e a s u r e s \ S c o p e   2   k g   C O 2 - e & g t ; \ C O L U M N < / K e y > < / D i a g r a m O b j e c t K e y > < D i a g r a m O b j e c t K e y > < K e y > L i n k s \ & l t ; C o l u m n s \ S u m   o f   S c o p e   2   k g   C O 2 - e   1 6 & g t ; - & l t ; M e a s u r e s \ S c o p e   2   k g   C O 2 - e & g t ; \ M E A S U R E < / K e y > < / D i a g r a m O b j e c t K e y > < D i a g r a m O b j e c t K e y > < K e y > L i n k s \ & l t ; C o l u m n s \ S u m   o f   S c o p e   3   k g   C O 2 - e   1 6 & g t ; - & l t ; M e a s u r e s \ S c o p e   3   k g   C O 2 - e & g t ; < / K e y > < / D i a g r a m O b j e c t K e y > < D i a g r a m O b j e c t K e y > < K e y > L i n k s \ & l t ; C o l u m n s \ S u m   o f   S c o p e   3   k g   C O 2 - e   1 6 & g t ; - & l t ; M e a s u r e s \ S c o p e   3   k g   C O 2 - e & g t ; \ C O L U M N < / K e y > < / D i a g r a m O b j e c t K e y > < D i a g r a m O b j e c t K e y > < K e y > L i n k s \ & l t ; C o l u m n s \ S u m   o f   S c o p e   3   k g   C O 2 - e   1 6 & g t ; - & l t ; M e a s u r e s \ S c o p e   3   k g   C O 2 - e & g t ; \ M E A S U R E < / K e y > < / D i a g r a m O b j e c t K e y > < D i a g r a m O b j e c t K e y > < K e y > L i n k s \ & l t ; C o l u m n s \ S u m   o f   T o t a l   E m i s s i o n s   1 6 & g t ; - & l t ; M e a s u r e s \ T o t a l   E m i s s i o n s & g t ; < / K e y > < / D i a g r a m O b j e c t K e y > < D i a g r a m O b j e c t K e y > < K e y > L i n k s \ & l t ; C o l u m n s \ S u m   o f   T o t a l   E m i s s i o n s   1 6 & g t ; - & l t ; M e a s u r e s \ T o t a l   E m i s s i o n s & g t ; \ C O L U M N < / K e y > < / D i a g r a m O b j e c t K e y > < D i a g r a m O b j e c t K e y > < K e y > L i n k s \ & l t ; C o l u m n s \ S u m   o f   T o t a l   E m i s s i o n s   1 6 & g t ; - & l t ; M e a s u r e s \ T o t a l 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 8 < / K e y > < / a : K e y > < a : V a l u e   i : t y p e = " M e a s u r e G r i d N o d e V i e w S t a t e " > < C o l u m n > 9 < / C o l u m n > < L a y e d O u t > t r u e < / L a y e d O u t > < W a s U I I n v i s i b l e > t r u e < / W a s U I I n v i s i b l e > < / a : V a l u e > < / a : K e y V a l u e O f D i a g r a m O b j e c t K e y a n y T y p e z b w N T n L X > < a : K e y V a l u e O f D i a g r a m O b j e c t K e y a n y T y p e z b w N T n L X > < a : K e y > < K e y > M e a s u r e s \ S u m   o f   C o n s u m p t i o n   Q u a n t i t y   8 \ T a g I n f o \ F o r m u l a < / K e y > < / a : K e y > < a : V a l u e   i : t y p e = " M e a s u r e G r i d V i e w S t a t e I D i a g r a m T a g A d d i t i o n a l I n f o " / > < / a : K e y V a l u e O f D i a g r a m O b j e c t K e y a n y T y p e z b w N T n L X > < a : K e y V a l u e O f D i a g r a m O b j e c t K e y a n y T y p e z b w N T n L X > < a : K e y > < K e y > M e a s u r e s \ S u m   o f   C o n s u m p t i o n   Q u a n t i t y   8 \ T a g I n f o \ V a l u e < / K e y > < / a : K e y > < a : V a l u e   i : t y p e = " M e a s u r e G r i d V i e w S t a t e I D i a g r a m T a g A d d i t i o n a l I n f o " / > < / a : K e y V a l u e O f D i a g r a m O b j e c t K e y a n y T y p e z b w N T n L X > < a : K e y V a l u e O f D i a g r a m O b j e c t K e y a n y T y p e z b w N T n L X > < a : K e y > < K e y > M e a s u r e s \ S u m   o f   T o t a l   G J   1 6 < / K e y > < / a : K e y > < a : V a l u e   i : t y p e = " M e a s u r e G r i d N o d e V i e w S t a t e " > < C o l u m n > 1 0 < / C o l u m n > < L a y e d O u t > t r u e < / L a y e d O u t > < W a s U I I n v i s i b l e > t r u e < / W a s U I I n v i s i b l e > < / a : V a l u e > < / a : K e y V a l u e O f D i a g r a m O b j e c t K e y a n y T y p e z b w N T n L X > < a : K e y V a l u e O f D i a g r a m O b j e c t K e y a n y T y p e z b w N T n L X > < a : K e y > < K e y > M e a s u r e s \ S u m   o f   T o t a l   G J   1 6 \ T a g I n f o \ F o r m u l a < / K e y > < / a : K e y > < a : V a l u e   i : t y p e = " M e a s u r e G r i d V i e w S t a t e I D i a g r a m T a g A d d i t i o n a l I n f o " / > < / a : K e y V a l u e O f D i a g r a m O b j e c t K e y a n y T y p e z b w N T n L X > < a : K e y V a l u e O f D i a g r a m O b j e c t K e y a n y T y p e z b w N T n L X > < a : K e y > < K e y > M e a s u r e s \ S u m   o f   T o t a l   G J   1 6 \ T a g I n f o \ V a l u e < / K e y > < / a : K e y > < a : V a l u e   i : t y p e = " M e a s u r e G r i d V i e w S t a t e I D i a g r a m T a g A d d i t i o n a l I n f o " / > < / a : K e y V a l u e O f D i a g r a m O b j e c t K e y a n y T y p e z b w N T n L X > < a : K e y V a l u e O f D i a g r a m O b j e c t K e y a n y T y p e z b w N T n L X > < a : K e y > < K e y > M e a s u r e s \ S u m   o f   S c o p e   1   k g   C O 2 - e   1 6 < / K e y > < / a : K e y > < a : V a l u e   i : t y p e = " M e a s u r e G r i d N o d e V i e w S t a t e " > < C o l u m n > 1 1 < / C o l u m n > < L a y e d O u t > t r u e < / L a y e d O u t > < W a s U I I n v i s i b l e > t r u e < / W a s U I I n v i s i b l e > < / a : V a l u e > < / a : K e y V a l u e O f D i a g r a m O b j e c t K e y a n y T y p e z b w N T n L X > < a : K e y V a l u e O f D i a g r a m O b j e c t K e y a n y T y p e z b w N T n L X > < a : K e y > < K e y > M e a s u r e s \ S u m   o f   S c o p e   1   k g   C O 2 - e   1 6 \ T a g I n f o \ F o r m u l a < / K e y > < / a : K e y > < a : V a l u e   i : t y p e = " M e a s u r e G r i d V i e w S t a t e I D i a g r a m T a g A d d i t i o n a l I n f o " / > < / a : K e y V a l u e O f D i a g r a m O b j e c t K e y a n y T y p e z b w N T n L X > < a : K e y V a l u e O f D i a g r a m O b j e c t K e y a n y T y p e z b w N T n L X > < a : K e y > < K e y > M e a s u r e s \ S u m   o f   S c o p e   1   k g   C O 2 - e   1 6 \ T a g I n f o \ V a l u e < / K e y > < / a : K e y > < a : V a l u e   i : t y p e = " M e a s u r e G r i d V i e w S t a t e I D i a g r a m T a g A d d i t i o n a l I n f o " / > < / a : K e y V a l u e O f D i a g r a m O b j e c t K e y a n y T y p e z b w N T n L X > < a : K e y V a l u e O f D i a g r a m O b j e c t K e y a n y T y p e z b w N T n L X > < a : K e y > < K e y > M e a s u r e s \ S u m   o f   S c o p e   2   k g   C O 2 - e   1 6 < / K e y > < / a : K e y > < a : V a l u e   i : t y p e = " M e a s u r e G r i d N o d e V i e w S t a t e " > < C o l u m n > 1 2 < / C o l u m n > < L a y e d O u t > t r u e < / L a y e d O u t > < W a s U I I n v i s i b l e > t r u e < / W a s U I I n v i s i b l e > < / a : V a l u e > < / a : K e y V a l u e O f D i a g r a m O b j e c t K e y a n y T y p e z b w N T n L X > < a : K e y V a l u e O f D i a g r a m O b j e c t K e y a n y T y p e z b w N T n L X > < a : K e y > < K e y > M e a s u r e s \ S u m   o f   S c o p e   2   k g   C O 2 - e   1 6 \ T a g I n f o \ F o r m u l a < / K e y > < / a : K e y > < a : V a l u e   i : t y p e = " M e a s u r e G r i d V i e w S t a t e I D i a g r a m T a g A d d i t i o n a l I n f o " / > < / a : K e y V a l u e O f D i a g r a m O b j e c t K e y a n y T y p e z b w N T n L X > < a : K e y V a l u e O f D i a g r a m O b j e c t K e y a n y T y p e z b w N T n L X > < a : K e y > < K e y > M e a s u r e s \ S u m   o f   S c o p e   2   k g   C O 2 - e   1 6 \ T a g I n f o \ V a l u e < / K e y > < / a : K e y > < a : V a l u e   i : t y p e = " M e a s u r e G r i d V i e w S t a t e I D i a g r a m T a g A d d i t i o n a l I n f o " / > < / a : K e y V a l u e O f D i a g r a m O b j e c t K e y a n y T y p e z b w N T n L X > < a : K e y V a l u e O f D i a g r a m O b j e c t K e y a n y T y p e z b w N T n L X > < a : K e y > < K e y > M e a s u r e s \ S u m   o f   S c o p e   3   k g   C O 2 - e   1 6 < / K e y > < / a : K e y > < a : V a l u e   i : t y p e = " M e a s u r e G r i d N o d e V i e w S t a t e " > < C o l u m n > 1 3 < / C o l u m n > < L a y e d O u t > t r u e < / L a y e d O u t > < W a s U I I n v i s i b l e > t r u e < / W a s U I I n v i s i b l e > < / a : V a l u e > < / a : K e y V a l u e O f D i a g r a m O b j e c t K e y a n y T y p e z b w N T n L X > < a : K e y V a l u e O f D i a g r a m O b j e c t K e y a n y T y p e z b w N T n L X > < a : K e y > < K e y > M e a s u r e s \ S u m   o f   S c o p e   3   k g   C O 2 - e   1 6 \ T a g I n f o \ F o r m u l a < / K e y > < / a : K e y > < a : V a l u e   i : t y p e = " M e a s u r e G r i d V i e w S t a t e I D i a g r a m T a g A d d i t i o n a l I n f o " / > < / a : K e y V a l u e O f D i a g r a m O b j e c t K e y a n y T y p e z b w N T n L X > < a : K e y V a l u e O f D i a g r a m O b j e c t K e y a n y T y p e z b w N T n L X > < a : K e y > < K e y > M e a s u r e s \ S u m   o f   S c o p e   3   k g   C O 2 - e   1 6 \ T a g I n f o \ V a l u e < / K e y > < / a : K e y > < a : V a l u e   i : t y p e = " M e a s u r e G r i d V i e w S t a t e I D i a g r a m T a g A d d i t i o n a l I n f o " / > < / a : K e y V a l u e O f D i a g r a m O b j e c t K e y a n y T y p e z b w N T n L X > < a : K e y V a l u e O f D i a g r a m O b j e c t K e y a n y T y p e z b w N T n L X > < a : K e y > < K e y > M e a s u r e s \ S u m   o f   T o t a l   E m i s s i o n s   1 6 < / K e y > < / a : K e y > < a : V a l u e   i : t y p e = " M e a s u r e G r i d N o d e V i e w S t a t e " > < C o l u m n > 1 4 < / C o l u m n > < L a y e d O u t > t r u e < / L a y e d O u t > < W a s U I I n v i s i b l e > t r u e < / W a s U I I n v i s i b l e > < / a : V a l u e > < / a : K e y V a l u e O f D i a g r a m O b j e c t K e y a n y T y p e z b w N T n L X > < a : K e y V a l u e O f D i a g r a m O b j e c t K e y a n y T y p e z b w N T n L X > < a : K e y > < K e y > M e a s u r e s \ S u m   o f   T o t a l   E m i s s i o n s   1 6 \ T a g I n f o \ F o r m u l a < / K e y > < / a : K e y > < a : V a l u e   i : t y p e = " M e a s u r e G r i d V i e w S t a t e I D i a g r a m T a g A d d i t i o n a l I n f o " / > < / a : K e y V a l u e O f D i a g r a m O b j e c t K e y a n y T y p e z b w N T n L X > < a : K e y V a l u e O f D i a g r a m O b j e c t K e y a n y T y p e z b w N T n L X > < a : K e y > < K e y > M e a s u r e s \ S u m   o f   T o t a l   E m i s s i o n s   1 6 \ T a g I n f o \ V a l u e 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 C o l u m n s \ S o u r c e   N a m e < / K e y > < / a : K e y > < a : V a l u e   i : t y p e = " M e a s u r e G r i d N o d e V i e w S t a t e " > < C o l u m n > 1 < / C o l u m n > < L a y e d O u t > t r u e < / L a y e d O u t > < / a : V a l u e > < / a : K e y V a l u e O f D i a g r a m O b j e c t K e y a n y T y p e z b w N T n L X > < a : K e y V a l u e O f D i a g r a m O b j e c t K e y a n y T y p e z b w N T n L X > < a : K e y > < K e y > C o l u m n s \ A c t i v i t y   T y p e < / K e y > < / a : K e y > < a : V a l u e   i : t y p e = " M e a s u r e G r i d N o d e V i e w S t a t e " > < C o l u m n > 3 < / C o l u m n > < L a y e d O u t > t r u e < / L a y e d O u t > < / a : V a l u e > < / a : K e y V a l u e O f D i a g r a m O b j e c t K e y a n y T y p e z b w N T n L X > < a : K e y V a l u e O f D i a g r a m O b j e c t K e y a n y T y p e z b w N T n L X > < a : K e y > < K e y > C o l u m n s \ A c t i v i t y   T y p e   C o n t e x t < / K e y > < / a : K e y > < a : V a l u e   i : t y p e = " M e a s u r e G r i d N o d e V i e w S t a t e " > < C o l u m n > 2 < / C o l u m n > < L a y e d O u t > t r u e < / L a y e d O u t > < / a : V a l u e > < / a : K e y V a l u e O f D i a g r a m O b j e c t K e y a n y T y p e z b w N T n L X > < a : K e y V a l u e O f D i a g r a m O b j e c t K e y a n y T y p e z b w N T n L X > < a : K e y > < K e y > C o l u m n s \ E n t i t y < / K e y > < / a : K e y > < a : V a l u e   i : t y p e = " M e a s u r e G r i d N o d e V i e w S t a t e " > < C o l u m n > 5 < / C o l u m n > < L a y e d O u t > t r u e < / L a y e d O u t > < / a : V a l u e > < / a : K e y V a l u e O f D i a g r a m O b j e c t K e y a n y T y p e z b w N T n L X > < a : K e y V a l u e O f D i a g r a m O b j e c t K e y a n y T y p e z b w N T n L X > < a : K e y > < K e y > C o l u m n s \ F u e l < / K e y > < / a : K e y > < a : V a l u e   i : t y p e = " M e a s u r e G r i d N o d e V i e w S t a t e " > < C o l u m n > 4 < / C o l u m n > < L a y e d O u t > t r u e < / L a y e d O u t > < / a : V a l u e > < / a : K e y V a l u e O f D i a g r a m O b j e c t K e y a n y T y p e z b w N T n L X > < a : K e y V a l u e O f D i a g r a m O b j e c t K e y a n y T y p e z b w N T n L X > < a : K e y > < K e y > C o l u m n s \ S t a t e < / K e y > < / a : K e y > < a : V a l u e   i : t y p e = " M e a s u r e G r i d N o d e V i e w S t a t e " > < C o l u m n > 6 < / C o l u m n > < L a y e d O u t > t r u e < / L a y e d O u t > < / a : V a l u e > < / a : K e y V a l u e O f D i a g r a m O b j e c t K e y a n y T y p e z b w N T n L X > < a : K e y V a l u e O f D i a g r a m O b j e c t K e y a n y T y p e z b w N T n L X > < a : K e y > < K e y > C o l u m n s \ C o n s u m p t i o n   Q u a n t i t y   ( L ) < / K e y > < / a : K e y > < a : V a l u e   i : t y p e = " M e a s u r e G r i d N o d e V i e w S t a t e " > < C o l u m n > 7 < / C o l u m n > < L a y e d O u t > t r u e < / L a y e d O u t > < / a : V a l u e > < / a : K e y V a l u e O f D i a g r a m O b j e c t K e y a n y T y p e z b w N T n L X > < a : K e y V a l u e O f D i a g r a m O b j e c t K e y a n y T y p e z b w N T n L X > < a : K e y > < K e y > C o l u m n s \ C o n s u m p t i o n     U n i t s < / K e y > < / a : K e y > < a : V a l u e   i : t y p e = " M e a s u r e G r i d N o d e V i e w S t a t e " > < C o l u m n > 8 < / C o l u m n > < L a y e d O u t > t r u e < / L a y e d O u t > < / a : V a l u e > < / a : K e y V a l u e O f D i a g r a m O b j e c t K e y a n y T y p e z b w N T n L X > < a : K e y V a l u e O f D i a g r a m O b j e c t K e y a n y T y p e z b w N T n L X > < a : K e y > < K e y > C o l u m n s \ C o n s u m p t i o n   Q u a n t i t y < / K e y > < / a : K e y > < a : V a l u e   i : t y p e = " M e a s u r e G r i d N o d e V i e w S t a t e " > < C o l u m n > 9 < / C o l u m n > < L a y e d O u t > t r u e < / L a y e d O u t > < / a : V a l u e > < / a : K e y V a l u e O f D i a g r a m O b j e c t K e y a n y T y p e z b w N T n L X > < a : K e y V a l u e O f D i a g r a m O b j e c t K e y a n y T y p e z b w N T n L X > < a : K e y > < K e y > C o l u m n s \ T o t a l   G J < / K e y > < / a : K e y > < a : V a l u e   i : t y p e = " M e a s u r e G r i d N o d e V i e w S t a t e " > < C o l u m n > 1 0 < / C o l u m n > < L a y e d O u t > t r u e < / L a y e d O u t > < / a : V a l u e > < / a : K e y V a l u e O f D i a g r a m O b j e c t K e y a n y T y p e z b w N T n L X > < a : K e y V a l u e O f D i a g r a m O b j e c t K e y a n y T y p e z b w N T n L X > < a : K e y > < K e y > C o l u m n s \ S c o p e   1   k g   C O 2 - e < / K e y > < / a : K e y > < a : V a l u e   i : t y p e = " M e a s u r e G r i d N o d e V i e w S t a t e " > < C o l u m n > 1 1 < / C o l u m n > < L a y e d O u t > t r u e < / L a y e d O u t > < / a : V a l u e > < / a : K e y V a l u e O f D i a g r a m O b j e c t K e y a n y T y p e z b w N T n L X > < a : K e y V a l u e O f D i a g r a m O b j e c t K e y a n y T y p e z b w N T n L X > < a : K e y > < K e y > C o l u m n s \ S c o p e   2   k g   C O 2 - e < / K e y > < / a : K e y > < a : V a l u e   i : t y p e = " M e a s u r e G r i d N o d e V i e w S t a t e " > < C o l u m n > 1 2 < / C o l u m n > < L a y e d O u t > t r u e < / L a y e d O u t > < / a : V a l u e > < / a : K e y V a l u e O f D i a g r a m O b j e c t K e y a n y T y p e z b w N T n L X > < a : K e y V a l u e O f D i a g r a m O b j e c t K e y a n y T y p e z b w N T n L X > < a : K e y > < K e y > C o l u m n s \ S c o p e   3   k g   C O 2 - e < / K e y > < / a : K e y > < a : V a l u e   i : t y p e = " M e a s u r e G r i d N o d e V i e w S t a t e " > < C o l u m n > 1 3 < / C o l u m n > < L a y e d O u t > t r u e < / L a y e d O u t > < / a : V a l u e > < / a : K e y V a l u e O f D i a g r a m O b j e c t K e y a n y T y p e z b w N T n L X > < a : K e y V a l u e O f D i a g r a m O b j e c t K e y a n y T y p e z b w N T n L X > < a : K e y > < K e y > C o l u m n s \ T o t a l   E m i s s i o n s < / K e y > < / a : K e y > < a : V a l u e   i : t y p e = " M e a s u r e G r i d N o d e V i e w S t a t e " > < C o l u m n > 1 4 < / C o l u m n > < L a y e d O u t > t r u e < / L a y e d O u t > < / a : V a l u e > < / a : K e y V a l u e O f D i a g r a m O b j e c t K e y a n y T y p e z b w N T n L X > < a : K e y V a l u e O f D i a g r a m O b j e c t K e y a n y T y p e z b w N T n L X > < a : K e y > < K e y > L i n k s \ & l t ; C o l u m n s \ S u m   o f   C o n s u m p t i o n   Q u a n t i t y   8 & g t ; - & l t ; M e a s u r e s \ C o n s u m p t i o n   Q u a n t i t y & g t ; < / K e y > < / a : K e y > < a : V a l u e   i : t y p e = " M e a s u r e G r i d V i e w S t a t e I D i a g r a m L i n k " / > < / a : K e y V a l u e O f D i a g r a m O b j e c t K e y a n y T y p e z b w N T n L X > < a : K e y V a l u e O f D i a g r a m O b j e c t K e y a n y T y p e z b w N T n L X > < a : K e y > < K e y > L i n k s \ & l t ; C o l u m n s \ S u m   o f   C o n s u m p t i o n   Q u a n t i t y   8 & g t ; - & l t ; M e a s u r e s \ C o n s u m p t i o n   Q u a n t i t y & g t ; \ C O L U M N < / K e y > < / a : K e y > < a : V a l u e   i : t y p e = " M e a s u r e G r i d V i e w S t a t e I D i a g r a m L i n k E n d p o i n t " / > < / a : K e y V a l u e O f D i a g r a m O b j e c t K e y a n y T y p e z b w N T n L X > < a : K e y V a l u e O f D i a g r a m O b j e c t K e y a n y T y p e z b w N T n L X > < a : K e y > < K e y > L i n k s \ & l t ; C o l u m n s \ S u m   o f   C o n s u m p t i o n   Q u a n t i t y   8 & g t ; - & l t ; M e a s u r e s \ C o n s u m p t i o n   Q u a n t i t y & g t ; \ M E A S U R E < / K e y > < / a : K e y > < a : V a l u e   i : t y p e = " M e a s u r e G r i d V i e w S t a t e I D i a g r a m L i n k E n d p o i n t " / > < / a : K e y V a l u e O f D i a g r a m O b j e c t K e y a n y T y p e z b w N T n L X > < a : K e y V a l u e O f D i a g r a m O b j e c t K e y a n y T y p e z b w N T n L X > < a : K e y > < K e y > L i n k s \ & l t ; C o l u m n s \ S u m   o f   T o t a l   G J   1 6 & g t ; - & l t ; M e a s u r e s \ T o t a l   G J & g t ; < / K e y > < / a : K e y > < a : V a l u e   i : t y p e = " M e a s u r e G r i d V i e w S t a t e I D i a g r a m L i n k " / > < / a : K e y V a l u e O f D i a g r a m O b j e c t K e y a n y T y p e z b w N T n L X > < a : K e y V a l u e O f D i a g r a m O b j e c t K e y a n y T y p e z b w N T n L X > < a : K e y > < K e y > L i n k s \ & l t ; C o l u m n s \ S u m   o f   T o t a l   G J   1 6 & g t ; - & l t ; M e a s u r e s \ T o t a l   G J & g t ; \ C O L U M N < / K e y > < / a : K e y > < a : V a l u e   i : t y p e = " M e a s u r e G r i d V i e w S t a t e I D i a g r a m L i n k E n d p o i n t " / > < / a : K e y V a l u e O f D i a g r a m O b j e c t K e y a n y T y p e z b w N T n L X > < a : K e y V a l u e O f D i a g r a m O b j e c t K e y a n y T y p e z b w N T n L X > < a : K e y > < K e y > L i n k s \ & l t ; C o l u m n s \ S u m   o f   T o t a l   G J   1 6 & g t ; - & l t ; M e a s u r e s \ T o t a l   G J & g t ; \ M E A S U R E < / K e y > < / a : K e y > < a : V a l u e   i : t y p e = " M e a s u r e G r i d V i e w S t a t e I D i a g r a m L i n k E n d p o i n t " / > < / a : K e y V a l u e O f D i a g r a m O b j e c t K e y a n y T y p e z b w N T n L X > < a : K e y V a l u e O f D i a g r a m O b j e c t K e y a n y T y p e z b w N T n L X > < a : K e y > < K e y > L i n k s \ & l t ; C o l u m n s \ S u m   o f   S c o p e   1   k g   C O 2 - e   1 6 & g t ; - & l t ; M e a s u r e s \ S c o p e   1   k g   C O 2 - e & g t ; < / K e y > < / a : K e y > < a : V a l u e   i : t y p e = " M e a s u r e G r i d V i e w S t a t e I D i a g r a m L i n k " / > < / a : K e y V a l u e O f D i a g r a m O b j e c t K e y a n y T y p e z b w N T n L X > < a : K e y V a l u e O f D i a g r a m O b j e c t K e y a n y T y p e z b w N T n L X > < a : K e y > < K e y > L i n k s \ & l t ; C o l u m n s \ S u m   o f   S c o p e   1   k g   C O 2 - e   1 6 & g t ; - & l t ; M e a s u r e s \ S c o p e   1   k g   C O 2 - e & g t ; \ C O L U M N < / K e y > < / a : K e y > < a : V a l u e   i : t y p e = " M e a s u r e G r i d V i e w S t a t e I D i a g r a m L i n k E n d p o i n t " / > < / a : K e y V a l u e O f D i a g r a m O b j e c t K e y a n y T y p e z b w N T n L X > < a : K e y V a l u e O f D i a g r a m O b j e c t K e y a n y T y p e z b w N T n L X > < a : K e y > < K e y > L i n k s \ & l t ; C o l u m n s \ S u m   o f   S c o p e   1   k g   C O 2 - e   1 6 & g t ; - & l t ; M e a s u r e s \ S c o p e   1   k g   C O 2 - e & g t ; \ M E A S U R E < / K e y > < / a : K e y > < a : V a l u e   i : t y p e = " M e a s u r e G r i d V i e w S t a t e I D i a g r a m L i n k E n d p o i n t " / > < / a : K e y V a l u e O f D i a g r a m O b j e c t K e y a n y T y p e z b w N T n L X > < a : K e y V a l u e O f D i a g r a m O b j e c t K e y a n y T y p e z b w N T n L X > < a : K e y > < K e y > L i n k s \ & l t ; C o l u m n s \ S u m   o f   S c o p e   2   k g   C O 2 - e   1 6 & g t ; - & l t ; M e a s u r e s \ S c o p e   2   k g   C O 2 - e & g t ; < / K e y > < / a : K e y > < a : V a l u e   i : t y p e = " M e a s u r e G r i d V i e w S t a t e I D i a g r a m L i n k " / > < / a : K e y V a l u e O f D i a g r a m O b j e c t K e y a n y T y p e z b w N T n L X > < a : K e y V a l u e O f D i a g r a m O b j e c t K e y a n y T y p e z b w N T n L X > < a : K e y > < K e y > L i n k s \ & l t ; C o l u m n s \ S u m   o f   S c o p e   2   k g   C O 2 - e   1 6 & g t ; - & l t ; M e a s u r e s \ S c o p e   2   k g   C O 2 - e & g t ; \ C O L U M N < / K e y > < / a : K e y > < a : V a l u e   i : t y p e = " M e a s u r e G r i d V i e w S t a t e I D i a g r a m L i n k E n d p o i n t " / > < / a : K e y V a l u e O f D i a g r a m O b j e c t K e y a n y T y p e z b w N T n L X > < a : K e y V a l u e O f D i a g r a m O b j e c t K e y a n y T y p e z b w N T n L X > < a : K e y > < K e y > L i n k s \ & l t ; C o l u m n s \ S u m   o f   S c o p e   2   k g   C O 2 - e   1 6 & g t ; - & l t ; M e a s u r e s \ S c o p e   2   k g   C O 2 - e & g t ; \ M E A S U R E < / K e y > < / a : K e y > < a : V a l u e   i : t y p e = " M e a s u r e G r i d V i e w S t a t e I D i a g r a m L i n k E n d p o i n t " / > < / a : K e y V a l u e O f D i a g r a m O b j e c t K e y a n y T y p e z b w N T n L X > < a : K e y V a l u e O f D i a g r a m O b j e c t K e y a n y T y p e z b w N T n L X > < a : K e y > < K e y > L i n k s \ & l t ; C o l u m n s \ S u m   o f   S c o p e   3   k g   C O 2 - e   1 6 & g t ; - & l t ; M e a s u r e s \ S c o p e   3   k g   C O 2 - e & g t ; < / K e y > < / a : K e y > < a : V a l u e   i : t y p e = " M e a s u r e G r i d V i e w S t a t e I D i a g r a m L i n k " / > < / a : K e y V a l u e O f D i a g r a m O b j e c t K e y a n y T y p e z b w N T n L X > < a : K e y V a l u e O f D i a g r a m O b j e c t K e y a n y T y p e z b w N T n L X > < a : K e y > < K e y > L i n k s \ & l t ; C o l u m n s \ S u m   o f   S c o p e   3   k g   C O 2 - e   1 6 & g t ; - & l t ; M e a s u r e s \ S c o p e   3   k g   C O 2 - e & g t ; \ C O L U M N < / K e y > < / a : K e y > < a : V a l u e   i : t y p e = " M e a s u r e G r i d V i e w S t a t e I D i a g r a m L i n k E n d p o i n t " / > < / a : K e y V a l u e O f D i a g r a m O b j e c t K e y a n y T y p e z b w N T n L X > < a : K e y V a l u e O f D i a g r a m O b j e c t K e y a n y T y p e z b w N T n L X > < a : K e y > < K e y > L i n k s \ & l t ; C o l u m n s \ S u m   o f   S c o p e   3   k g   C O 2 - e   1 6 & g t ; - & l t ; M e a s u r e s \ S c o p e   3   k g   C O 2 - e & g t ; \ M E A S U R E < / K e y > < / a : K e y > < a : V a l u e   i : t y p e = " M e a s u r e G r i d V i e w S t a t e I D i a g r a m L i n k E n d p o i n t " / > < / a : K e y V a l u e O f D i a g r a m O b j e c t K e y a n y T y p e z b w N T n L X > < a : K e y V a l u e O f D i a g r a m O b j e c t K e y a n y T y p e z b w N T n L X > < a : K e y > < K e y > L i n k s \ & l t ; C o l u m n s \ S u m   o f   T o t a l   E m i s s i o n s   1 6 & g t ; - & l t ; M e a s u r e s \ T o t a l   E m i s s i o n s & g t ; < / K e y > < / a : K e y > < a : V a l u e   i : t y p e = " M e a s u r e G r i d V i e w S t a t e I D i a g r a m L i n k " / > < / a : K e y V a l u e O f D i a g r a m O b j e c t K e y a n y T y p e z b w N T n L X > < a : K e y V a l u e O f D i a g r a m O b j e c t K e y a n y T y p e z b w N T n L X > < a : K e y > < K e y > L i n k s \ & l t ; C o l u m n s \ S u m   o f   T o t a l   E m i s s i o n s   1 6 & g t ; - & l t ; M e a s u r e s \ T o t a l   E m i s s i o n s & g t ; \ C O L U M N < / K e y > < / a : K e y > < a : V a l u e   i : t y p e = " M e a s u r e G r i d V i e w S t a t e I D i a g r a m L i n k E n d p o i n t " / > < / a : K e y V a l u e O f D i a g r a m O b j e c t K e y a n y T y p e z b w N T n L X > < a : K e y V a l u e O f D i a g r a m O b j e c t K e y a n y T y p e z b w N T n L X > < a : K e y > < K e y > L i n k s \ & l t ; C o l u m n s \ S u m   o f   T o t a l   E m i s s i o n s   1 6 & g t ; - & l t ; M e a s u r e s \ T o t a l   E m i s s i o n s & g t ; \ M E A S U R E < / K e y > < / a : K e y > < a : V a l u e   i : t y p e = " M e a s u r e G r i d V i e w S t a t e I D i a g r a m L i n k E n d p o i n t " / > < / a : K e y V a l u e O f D i a g r a m O b j e c t K e y a n y T y p e z b w N T n L X > < / V i e w S t a t e s > < / D i a g r a m M a n a g e r . S e r i a l i z a b l e D i a g r a m > < D i a g r a m M a n a g e r . S e r i a l i z a b l e D i a g r a m > < A d a p t e r   i : t y p e = " M e a s u r e D i a g r a m S a n d b o x A d a p t e r " > < T a b l e N a m e > L P _ F l e e t 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 L P _ F l e e t < / 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 1 1 < / K e y > < / D i a g r a m O b j e c t K e y > < D i a g r a m O b j e c t K e y > < K e y > M e a s u r e s \ S u m   o f   C o n s u m p t i o n   Q u a n t i t y   1 1 \ T a g I n f o \ F o r m u l a < / K e y > < / D i a g r a m O b j e c t K e y > < D i a g r a m O b j e c t K e y > < K e y > M e a s u r e s \ S u m   o f   C o n s u m p t i o n   Q u a n t i t y   1 1 \ T a g I n f o \ V a l u e < / K e y > < / D i a g r a m O b j e c t K e y > < D i a g r a m O b j e c t K e y > < K e y > M e a s u r e s \ S u m   o f   T o t a l   G J   9 < / K e y > < / D i a g r a m O b j e c t K e y > < D i a g r a m O b j e c t K e y > < K e y > M e a s u r e s \ S u m   o f   T o t a l   G J   9 \ T a g I n f o \ F o r m u l a < / K e y > < / D i a g r a m O b j e c t K e y > < D i a g r a m O b j e c t K e y > < K e y > M e a s u r e s \ S u m   o f   T o t a l   G J   9 \ T a g I n f o \ V a l u e < / K e y > < / D i a g r a m O b j e c t K e y > < D i a g r a m O b j e c t K e y > < K e y > M e a s u r e s \ S u m   o f   S c o p e   1   k g   C O 2 - e   9 < / K e y > < / D i a g r a m O b j e c t K e y > < D i a g r a m O b j e c t K e y > < K e y > M e a s u r e s \ S u m   o f   S c o p e   1   k g   C O 2 - e   9 \ T a g I n f o \ F o r m u l a < / K e y > < / D i a g r a m O b j e c t K e y > < D i a g r a m O b j e c t K e y > < K e y > M e a s u r e s \ S u m   o f   S c o p e   1   k g   C O 2 - e   9 \ T a g I n f o \ V a l u e < / K e y > < / D i a g r a m O b j e c t K e y > < D i a g r a m O b j e c t K e y > < K e y > M e a s u r e s \ S u m   o f   S c o p e   2   k g   C O 2 - e   9 < / K e y > < / D i a g r a m O b j e c t K e y > < D i a g r a m O b j e c t K e y > < K e y > M e a s u r e s \ S u m   o f   S c o p e   2   k g   C O 2 - e   9 \ T a g I n f o \ F o r m u l a < / K e y > < / D i a g r a m O b j e c t K e y > < D i a g r a m O b j e c t K e y > < K e y > M e a s u r e s \ S u m   o f   S c o p e   2   k g   C O 2 - e   9 \ T a g I n f o \ V a l u e < / K e y > < / D i a g r a m O b j e c t K e y > < D i a g r a m O b j e c t K e y > < K e y > M e a s u r e s \ S u m   o f   S c o p e   3   k g   C O 2 - e   9 < / K e y > < / D i a g r a m O b j e c t K e y > < D i a g r a m O b j e c t K e y > < K e y > M e a s u r e s \ S u m   o f   S c o p e   3   k g   C O 2 - e   9 \ T a g I n f o \ F o r m u l a < / K e y > < / D i a g r a m O b j e c t K e y > < D i a g r a m O b j e c t K e y > < K e y > M e a s u r e s \ S u m   o f   S c o p e   3   k g   C O 2 - e   9 \ T a g I n f o \ V a l u e < / K e y > < / D i a g r a m O b j e c t K e y > < D i a g r a m O b j e c t K e y > < K e y > M e a s u r e s \ S u m   o f   T o t a l   E m i s s i o n s   9 < / K e y > < / D i a g r a m O b j e c t K e y > < D i a g r a m O b j e c t K e y > < K e y > M e a s u r e s \ S u m   o f   T o t a l   E m i s s i o n s   9 \ T a g I n f o \ F o r m u l a < / K e y > < / D i a g r a m O b j e c t K e y > < D i a g r a m O b j e c t K e y > < K e y > M e a s u r e s \ S u m   o f   T o t a l   E m i s s i o n s   9 \ T a g I n f o \ V a l u e < / K e y > < / D i a g r a m O b j e c t K e y > < D i a g r a m O b j e c t K e y > < K e y > C o l u m n s \ R e p o r t i n g   A l i a s < / K e y > < / D i a g r a m O b j e c t K e y > < D i a g r a m O b j e c t K e y > < K e y > C o l u m n s \ E n t i t y < / K e y > < / D i a g r a m O b j e c t K e y > < D i a g r a m O b j e c t K e y > < K e y > C o l u m n s \ F u e l < / K e y > < / D i a g r a m O b j e c t K e y > < D i a g r a m O b j e c t K e y > < K e y > C o l u m n s \ S t a t e < / K e y > < / D i a g r a m O b j e c t K e y > < D i a g r a m O b j e c t K e y > < K e y > C o l u m n s \ C o n s u m p t i o n   Q u a n t i t y   ( L ) < / K e y > < / D i a g r a m O b j e c t K e y > < D i a g r a m O b j e c t K e y > < K e y > C o l u m n s \ C o n s u m p t i o n 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 1 1 & g t ; - & l t ; M e a s u r e s \ C o n s u m p t i o n   Q u a n t i t y & g t ; < / K e y > < / D i a g r a m O b j e c t K e y > < D i a g r a m O b j e c t K e y > < K e y > L i n k s \ & l t ; C o l u m n s \ S u m   o f   C o n s u m p t i o n   Q u a n t i t y   1 1 & g t ; - & l t ; M e a s u r e s \ C o n s u m p t i o n   Q u a n t i t y & g t ; \ C O L U M N < / K e y > < / D i a g r a m O b j e c t K e y > < D i a g r a m O b j e c t K e y > < K e y > L i n k s \ & l t ; C o l u m n s \ S u m   o f   C o n s u m p t i o n   Q u a n t i t y   1 1 & g t ; - & l t ; M e a s u r e s \ C o n s u m p t i o n   Q u a n t i t y & g t ; \ M E A S U R E < / K e y > < / D i a g r a m O b j e c t K e y > < D i a g r a m O b j e c t K e y > < K e y > L i n k s \ & l t ; C o l u m n s \ S u m   o f   T o t a l   G J   9 & g t ; - & l t ; M e a s u r e s \ T o t a l   G J & g t ; < / K e y > < / D i a g r a m O b j e c t K e y > < D i a g r a m O b j e c t K e y > < K e y > L i n k s \ & l t ; C o l u m n s \ S u m   o f   T o t a l   G J   9 & g t ; - & l t ; M e a s u r e s \ T o t a l   G J & g t ; \ C O L U M N < / K e y > < / D i a g r a m O b j e c t K e y > < D i a g r a m O b j e c t K e y > < K e y > L i n k s \ & l t ; C o l u m n s \ S u m   o f   T o t a l   G J   9 & g t ; - & l t ; M e a s u r e s \ T o t a l   G J & g t ; \ M E A S U R E < / K e y > < / D i a g r a m O b j e c t K e y > < D i a g r a m O b j e c t K e y > < K e y > L i n k s \ & l t ; C o l u m n s \ S u m   o f   S c o p e   1   k g   C O 2 - e   9 & g t ; - & l t ; M e a s u r e s \ S c o p e   1   k g   C O 2 - e & g t ; < / K e y > < / D i a g r a m O b j e c t K e y > < D i a g r a m O b j e c t K e y > < K e y > L i n k s \ & l t ; C o l u m n s \ S u m   o f   S c o p e   1   k g   C O 2 - e   9 & g t ; - & l t ; M e a s u r e s \ S c o p e   1   k g   C O 2 - e & g t ; \ C O L U M N < / K e y > < / D i a g r a m O b j e c t K e y > < D i a g r a m O b j e c t K e y > < K e y > L i n k s \ & l t ; C o l u m n s \ S u m   o f   S c o p e   1   k g   C O 2 - e   9 & g t ; - & l t ; M e a s u r e s \ S c o p e   1   k g   C O 2 - e & g t ; \ M E A S U R E < / K e y > < / D i a g r a m O b j e c t K e y > < D i a g r a m O b j e c t K e y > < K e y > L i n k s \ & l t ; C o l u m n s \ S u m   o f   S c o p e   2   k g   C O 2 - e   9 & g t ; - & l t ; M e a s u r e s \ S c o p e   2   k g   C O 2 - e & g t ; < / K e y > < / D i a g r a m O b j e c t K e y > < D i a g r a m O b j e c t K e y > < K e y > L i n k s \ & l t ; C o l u m n s \ S u m   o f   S c o p e   2   k g   C O 2 - e   9 & g t ; - & l t ; M e a s u r e s \ S c o p e   2   k g   C O 2 - e & g t ; \ C O L U M N < / K e y > < / D i a g r a m O b j e c t K e y > < D i a g r a m O b j e c t K e y > < K e y > L i n k s \ & l t ; C o l u m n s \ S u m   o f   S c o p e   2   k g   C O 2 - e   9 & g t ; - & l t ; M e a s u r e s \ S c o p e   2   k g   C O 2 - e & g t ; \ M E A S U R E < / K e y > < / D i a g r a m O b j e c t K e y > < D i a g r a m O b j e c t K e y > < K e y > L i n k s \ & l t ; C o l u m n s \ S u m   o f   S c o p e   3   k g   C O 2 - e   9 & g t ; - & l t ; M e a s u r e s \ S c o p e   3   k g   C O 2 - e & g t ; < / K e y > < / D i a g r a m O b j e c t K e y > < D i a g r a m O b j e c t K e y > < K e y > L i n k s \ & l t ; C o l u m n s \ S u m   o f   S c o p e   3   k g   C O 2 - e   9 & g t ; - & l t ; M e a s u r e s \ S c o p e   3   k g   C O 2 - e & g t ; \ C O L U M N < / K e y > < / D i a g r a m O b j e c t K e y > < D i a g r a m O b j e c t K e y > < K e y > L i n k s \ & l t ; C o l u m n s \ S u m   o f   S c o p e   3   k g   C O 2 - e   9 & g t ; - & l t ; M e a s u r e s \ S c o p e   3   k g   C O 2 - e & g t ; \ M E A S U R E < / K e y > < / D i a g r a m O b j e c t K e y > < D i a g r a m O b j e c t K e y > < K e y > L i n k s \ & l t ; C o l u m n s \ S u m   o f   T o t a l   E m i s s i o n s   9 & g t ; - & l t ; M e a s u r e s \ T o t a l   E m i s s i o n s & g t ; < / K e y > < / D i a g r a m O b j e c t K e y > < D i a g r a m O b j e c t K e y > < K e y > L i n k s \ & l t ; C o l u m n s \ S u m   o f   T o t a l   E m i s s i o n s   9 & g t ; - & l t ; M e a s u r e s \ T o t a l   E m i s s i o n s & g t ; \ C O L U M N < / K e y > < / D i a g r a m O b j e c t K e y > < D i a g r a m O b j e c t K e y > < K e y > L i n k s \ & l t ; C o l u m n s \ S u m   o f   T o t a l   E m i s s i o n s   9 & g t ; - & l t ; M e a s u r e s \ T o t a l 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 1 1 < / K e y > < / a : K e y > < a : V a l u e   i : t y p e = " M e a s u r e G r i d N o d e V i e w S t a t e " > < C o l u m n > 6 < / C o l u m n > < L a y e d O u t > t r u e < / L a y e d O u t > < W a s U I I n v i s i b l e > t r u e < / W a s U I I n v i s i b l e > < / a : V a l u e > < / a : K e y V a l u e O f D i a g r a m O b j e c t K e y a n y T y p e z b w N T n L X > < a : K e y V a l u e O f D i a g r a m O b j e c t K e y a n y T y p e z b w N T n L X > < a : K e y > < K e y > M e a s u r e s \ S u m   o f   C o n s u m p t i o n   Q u a n t i t y   1 1 \ T a g I n f o \ F o r m u l a < / K e y > < / a : K e y > < a : V a l u e   i : t y p e = " M e a s u r e G r i d V i e w S t a t e I D i a g r a m T a g A d d i t i o n a l I n f o " / > < / a : K e y V a l u e O f D i a g r a m O b j e c t K e y a n y T y p e z b w N T n L X > < a : K e y V a l u e O f D i a g r a m O b j e c t K e y a n y T y p e z b w N T n L X > < a : K e y > < K e y > M e a s u r e s \ S u m   o f   C o n s u m p t i o n   Q u a n t i t y   1 1 \ T a g I n f o \ V a l u e < / K e y > < / a : K e y > < a : V a l u e   i : t y p e = " M e a s u r e G r i d V i e w S t a t e I D i a g r a m T a g A d d i t i o n a l I n f o " / > < / a : K e y V a l u e O f D i a g r a m O b j e c t K e y a n y T y p e z b w N T n L X > < a : K e y V a l u e O f D i a g r a m O b j e c t K e y a n y T y p e z b w N T n L X > < a : K e y > < K e y > M e a s u r e s \ S u m   o f   T o t a l   G J   9 < / K e y > < / a : K e y > < a : V a l u e   i : t y p e = " M e a s u r e G r i d N o d e V i e w S t a t e " > < C o l u m n > 7 < / C o l u m n > < L a y e d O u t > t r u e < / L a y e d O u t > < W a s U I I n v i s i b l e > t r u e < / W a s U I I n v i s i b l e > < / a : V a l u e > < / a : K e y V a l u e O f D i a g r a m O b j e c t K e y a n y T y p e z b w N T n L X > < a : K e y V a l u e O f D i a g r a m O b j e c t K e y a n y T y p e z b w N T n L X > < a : K e y > < K e y > M e a s u r e s \ S u m   o f   T o t a l   G J   9 \ T a g I n f o \ F o r m u l a < / K e y > < / a : K e y > < a : V a l u e   i : t y p e = " M e a s u r e G r i d V i e w S t a t e I D i a g r a m T a g A d d i t i o n a l I n f o " / > < / a : K e y V a l u e O f D i a g r a m O b j e c t K e y a n y T y p e z b w N T n L X > < a : K e y V a l u e O f D i a g r a m O b j e c t K e y a n y T y p e z b w N T n L X > < a : K e y > < K e y > M e a s u r e s \ S u m   o f   T o t a l   G J   9 \ T a g I n f o \ V a l u e < / K e y > < / a : K e y > < a : V a l u e   i : t y p e = " M e a s u r e G r i d V i e w S t a t e I D i a g r a m T a g A d d i t i o n a l I n f o " / > < / a : K e y V a l u e O f D i a g r a m O b j e c t K e y a n y T y p e z b w N T n L X > < a : K e y V a l u e O f D i a g r a m O b j e c t K e y a n y T y p e z b w N T n L X > < a : K e y > < K e y > M e a s u r e s \ S u m   o f   S c o p e   1   k g   C O 2 - e   9 < / K e y > < / a : K e y > < a : V a l u e   i : t y p e = " M e a s u r e G r i d N o d e V i e w S t a t e " > < C o l u m n > 8 < / C o l u m n > < L a y e d O u t > t r u e < / L a y e d O u t > < W a s U I I n v i s i b l e > t r u e < / W a s U I I n v i s i b l e > < / a : V a l u e > < / a : K e y V a l u e O f D i a g r a m O b j e c t K e y a n y T y p e z b w N T n L X > < a : K e y V a l u e O f D i a g r a m O b j e c t K e y a n y T y p e z b w N T n L X > < a : K e y > < K e y > M e a s u r e s \ S u m   o f   S c o p e   1   k g   C O 2 - e   9 \ T a g I n f o \ F o r m u l a < / K e y > < / a : K e y > < a : V a l u e   i : t y p e = " M e a s u r e G r i d V i e w S t a t e I D i a g r a m T a g A d d i t i o n a l I n f o " / > < / a : K e y V a l u e O f D i a g r a m O b j e c t K e y a n y T y p e z b w N T n L X > < a : K e y V a l u e O f D i a g r a m O b j e c t K e y a n y T y p e z b w N T n L X > < a : K e y > < K e y > M e a s u r e s \ S u m   o f   S c o p e   1   k g   C O 2 - e   9 \ T a g I n f o \ V a l u e < / K e y > < / a : K e y > < a : V a l u e   i : t y p e = " M e a s u r e G r i d V i e w S t a t e I D i a g r a m T a g A d d i t i o n a l I n f o " / > < / a : K e y V a l u e O f D i a g r a m O b j e c t K e y a n y T y p e z b w N T n L X > < a : K e y V a l u e O f D i a g r a m O b j e c t K e y a n y T y p e z b w N T n L X > < a : K e y > < K e y > M e a s u r e s \ S u m   o f   S c o p e   2   k g   C O 2 - e   9 < / K e y > < / a : K e y > < a : V a l u e   i : t y p e = " M e a s u r e G r i d N o d e V i e w S t a t e " > < C o l u m n > 9 < / C o l u m n > < L a y e d O u t > t r u e < / L a y e d O u t > < W a s U I I n v i s i b l e > t r u e < / W a s U I I n v i s i b l e > < / a : V a l u e > < / a : K e y V a l u e O f D i a g r a m O b j e c t K e y a n y T y p e z b w N T n L X > < a : K e y V a l u e O f D i a g r a m O b j e c t K e y a n y T y p e z b w N T n L X > < a : K e y > < K e y > M e a s u r e s \ S u m   o f   S c o p e   2   k g   C O 2 - e   9 \ T a g I n f o \ F o r m u l a < / K e y > < / a : K e y > < a : V a l u e   i : t y p e = " M e a s u r e G r i d V i e w S t a t e I D i a g r a m T a g A d d i t i o n a l I n f o " / > < / a : K e y V a l u e O f D i a g r a m O b j e c t K e y a n y T y p e z b w N T n L X > < a : K e y V a l u e O f D i a g r a m O b j e c t K e y a n y T y p e z b w N T n L X > < a : K e y > < K e y > M e a s u r e s \ S u m   o f   S c o p e   2   k g   C O 2 - e   9 \ T a g I n f o \ V a l u e < / K e y > < / a : K e y > < a : V a l u e   i : t y p e = " M e a s u r e G r i d V i e w S t a t e I D i a g r a m T a g A d d i t i o n a l I n f o " / > < / a : K e y V a l u e O f D i a g r a m O b j e c t K e y a n y T y p e z b w N T n L X > < a : K e y V a l u e O f D i a g r a m O b j e c t K e y a n y T y p e z b w N T n L X > < a : K e y > < K e y > M e a s u r e s \ S u m   o f   S c o p e   3   k g   C O 2 - e   9 < / K e y > < / a : K e y > < a : V a l u e   i : t y p e = " M e a s u r e G r i d N o d e V i e w S t a t e " > < C o l u m n > 1 0 < / C o l u m n > < L a y e d O u t > t r u e < / L a y e d O u t > < W a s U I I n v i s i b l e > t r u e < / W a s U I I n v i s i b l e > < / a : V a l u e > < / a : K e y V a l u e O f D i a g r a m O b j e c t K e y a n y T y p e z b w N T n L X > < a : K e y V a l u e O f D i a g r a m O b j e c t K e y a n y T y p e z b w N T n L X > < a : K e y > < K e y > M e a s u r e s \ S u m   o f   S c o p e   3   k g   C O 2 - e   9 \ T a g I n f o \ F o r m u l a < / K e y > < / a : K e y > < a : V a l u e   i : t y p e = " M e a s u r e G r i d V i e w S t a t e I D i a g r a m T a g A d d i t i o n a l I n f o " / > < / a : K e y V a l u e O f D i a g r a m O b j e c t K e y a n y T y p e z b w N T n L X > < a : K e y V a l u e O f D i a g r a m O b j e c t K e y a n y T y p e z b w N T n L X > < a : K e y > < K e y > M e a s u r e s \ S u m   o f   S c o p e   3   k g   C O 2 - e   9 \ T a g I n f o \ V a l u e < / K e y > < / a : K e y > < a : V a l u e   i : t y p e = " M e a s u r e G r i d V i e w S t a t e I D i a g r a m T a g A d d i t i o n a l I n f o " / > < / a : K e y V a l u e O f D i a g r a m O b j e c t K e y a n y T y p e z b w N T n L X > < a : K e y V a l u e O f D i a g r a m O b j e c t K e y a n y T y p e z b w N T n L X > < a : K e y > < K e y > M e a s u r e s \ S u m   o f   T o t a l   E m i s s i o n s   9 < / K e y > < / a : K e y > < a : V a l u e   i : t y p e = " M e a s u r e G r i d N o d e V i e w S t a t e " > < C o l u m n > 1 1 < / C o l u m n > < L a y e d O u t > t r u e < / L a y e d O u t > < W a s U I I n v i s i b l e > t r u e < / W a s U I I n v i s i b l e > < / a : V a l u e > < / a : K e y V a l u e O f D i a g r a m O b j e c t K e y a n y T y p e z b w N T n L X > < a : K e y V a l u e O f D i a g r a m O b j e c t K e y a n y T y p e z b w N T n L X > < a : K e y > < K e y > M e a s u r e s \ S u m   o f   T o t a l   E m i s s i o n s   9 \ T a g I n f o \ F o r m u l a < / K e y > < / a : K e y > < a : V a l u e   i : t y p e = " M e a s u r e G r i d V i e w S t a t e I D i a g r a m T a g A d d i t i o n a l I n f o " / > < / a : K e y V a l u e O f D i a g r a m O b j e c t K e y a n y T y p e z b w N T n L X > < a : K e y V a l u e O f D i a g r a m O b j e c t K e y a n y T y p e z b w N T n L X > < a : K e y > < K e y > M e a s u r e s \ S u m   o f   T o t a l   E m i s s i o n s   9 \ T a g I n f o \ V a l u e 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 C o l u m n s \ E n t i t y < / K e y > < / a : K e y > < a : V a l u e   i : t y p e = " M e a s u r e G r i d N o d e V i e w S t a t e " > < C o l u m n > 1 < / C o l u m n > < L a y e d O u t > t r u e < / L a y e d O u t > < / a : V a l u e > < / a : K e y V a l u e O f D i a g r a m O b j e c t K e y a n y T y p e z b w N T n L X > < a : K e y V a l u e O f D i a g r a m O b j e c t K e y a n y T y p e z b w N T n L X > < a : K e y > < K e y > C o l u m n s \ F u e l < / 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 C o l u m n s \ C o n s u m p t i o n   Q u a n t i t y   ( L ) < / K e y > < / a : K e y > < a : V a l u e   i : t y p e = " M e a s u r e G r i d N o d e V i e w S t a t e " > < C o l u m n > 5 < / C o l u m n > < L a y e d O u t > t r u e < / L a y e d O u t > < / a : V a l u e > < / a : K e y V a l u e O f D i a g r a m O b j e c t K e y a n y T y p e z b w N T n L X > < a : K e y V a l u e O f D i a g r a m O b j e c t K e y a n y T y p e z b w N T n L X > < a : K e y > < K e y > C o l u m n s \ C o n s u m p t i o n   U n i t s < / K e y > < / a : K e y > < a : V a l u e   i : t y p e = " M e a s u r e G r i d N o d e V i e w S t a t e " > < C o l u m n > 4 < / C o l u m n > < L a y e d O u t > t r u e < / L a y e d O u t > < / a : V a l u e > < / a : K e y V a l u e O f D i a g r a m O b j e c t K e y a n y T y p e z b w N T n L X > < a : K e y V a l u e O f D i a g r a m O b j e c t K e y a n y T y p e z b w N T n L X > < a : K e y > < K e y > C o l u m n s \ C o n s u m p t i o n   Q u a n t i t y < / K e y > < / a : K e y > < a : V a l u e   i : t y p e = " M e a s u r e G r i d N o d e V i e w S t a t e " > < C o l u m n > 6 < / C o l u m n > < L a y e d O u t > t r u e < / L a y e d O u t > < / a : V a l u e > < / a : K e y V a l u e O f D i a g r a m O b j e c t K e y a n y T y p e z b w N T n L X > < a : K e y V a l u e O f D i a g r a m O b j e c t K e y a n y T y p e z b w N T n L X > < a : K e y > < K e y > C o l u m n s \ T o t a l   G J < / K e y > < / a : K e y > < a : V a l u e   i : t y p e = " M e a s u r e G r i d N o d e V i e w S t a t e " > < C o l u m n > 7 < / C o l u m n > < L a y e d O u t > t r u e < / L a y e d O u t > < / a : V a l u e > < / a : K e y V a l u e O f D i a g r a m O b j e c t K e y a n y T y p e z b w N T n L X > < a : K e y V a l u e O f D i a g r a m O b j e c t K e y a n y T y p e z b w N T n L X > < a : K e y > < K e y > C o l u m n s \ S c o p e   1   k g   C O 2 - e < / K e y > < / a : K e y > < a : V a l u e   i : t y p e = " M e a s u r e G r i d N o d e V i e w S t a t e " > < C o l u m n > 8 < / C o l u m n > < L a y e d O u t > t r u e < / L a y e d O u t > < / a : V a l u e > < / a : K e y V a l u e O f D i a g r a m O b j e c t K e y a n y T y p e z b w N T n L X > < a : K e y V a l u e O f D i a g r a m O b j e c t K e y a n y T y p e z b w N T n L X > < a : K e y > < K e y > C o l u m n s \ S c o p e   2   k g   C O 2 - e < / K e y > < / a : K e y > < a : V a l u e   i : t y p e = " M e a s u r e G r i d N o d e V i e w S t a t e " > < C o l u m n > 9 < / C o l u m n > < L a y e d O u t > t r u e < / L a y e d O u t > < / a : V a l u e > < / a : K e y V a l u e O f D i a g r a m O b j e c t K e y a n y T y p e z b w N T n L X > < a : K e y V a l u e O f D i a g r a m O b j e c t K e y a n y T y p e z b w N T n L X > < a : K e y > < K e y > C o l u m n s \ S c o p e   3   k g   C O 2 - e < / K e y > < / a : K e y > < a : V a l u e   i : t y p e = " M e a s u r e G r i d N o d e V i e w S t a t e " > < C o l u m n > 1 0 < / C o l u m n > < L a y e d O u t > t r u e < / L a y e d O u t > < / a : V a l u e > < / a : K e y V a l u e O f D i a g r a m O b j e c t K e y a n y T y p e z b w N T n L X > < a : K e y V a l u e O f D i a g r a m O b j e c t K e y a n y T y p e z b w N T n L X > < a : K e y > < K e y > C o l u m n s \ T o t a l   E m i s s i o n s < / K e y > < / a : K e y > < a : V a l u e   i : t y p e = " M e a s u r e G r i d N o d e V i e w S t a t e " > < C o l u m n > 1 1 < / C o l u m n > < L a y e d O u t > t r u e < / L a y e d O u t > < / a : V a l u e > < / a : K e y V a l u e O f D i a g r a m O b j e c t K e y a n y T y p e z b w N T n L X > < a : K e y V a l u e O f D i a g r a m O b j e c t K e y a n y T y p e z b w N T n L X > < a : K e y > < K e y > L i n k s \ & l t ; C o l u m n s \ S u m   o f   C o n s u m p t i o n   Q u a n t i t y   1 1 & g t ; - & l t ; M e a s u r e s \ C o n s u m p t i o n   Q u a n t i t y & g t ; < / K e y > < / a : K e y > < a : V a l u e   i : t y p e = " M e a s u r e G r i d V i e w S t a t e I D i a g r a m L i n k " / > < / a : K e y V a l u e O f D i a g r a m O b j e c t K e y a n y T y p e z b w N T n L X > < a : K e y V a l u e O f D i a g r a m O b j e c t K e y a n y T y p e z b w N T n L X > < a : K e y > < K e y > L i n k s \ & l t ; C o l u m n s \ S u m   o f   C o n s u m p t i o n   Q u a n t i t y   1 1 & g t ; - & l t ; M e a s u r e s \ C o n s u m p t i o n   Q u a n t i t y & g t ; \ C O L U M N < / K e y > < / a : K e y > < a : V a l u e   i : t y p e = " M e a s u r e G r i d V i e w S t a t e I D i a g r a m L i n k E n d p o i n t " / > < / a : K e y V a l u e O f D i a g r a m O b j e c t K e y a n y T y p e z b w N T n L X > < a : K e y V a l u e O f D i a g r a m O b j e c t K e y a n y T y p e z b w N T n L X > < a : K e y > < K e y > L i n k s \ & l t ; C o l u m n s \ S u m   o f   C o n s u m p t i o n   Q u a n t i t y   1 1 & g t ; - & l t ; M e a s u r e s \ C o n s u m p t i o n   Q u a n t i t y & g t ; \ M E A S U R E < / K e y > < / a : K e y > < a : V a l u e   i : t y p e = " M e a s u r e G r i d V i e w S t a t e I D i a g r a m L i n k E n d p o i n t " / > < / a : K e y V a l u e O f D i a g r a m O b j e c t K e y a n y T y p e z b w N T n L X > < a : K e y V a l u e O f D i a g r a m O b j e c t K e y a n y T y p e z b w N T n L X > < a : K e y > < K e y > L i n k s \ & l t ; C o l u m n s \ S u m   o f   T o t a l   G J   9 & g t ; - & l t ; M e a s u r e s \ T o t a l   G J & g t ; < / K e y > < / a : K e y > < a : V a l u e   i : t y p e = " M e a s u r e G r i d V i e w S t a t e I D i a g r a m L i n k " / > < / a : K e y V a l u e O f D i a g r a m O b j e c t K e y a n y T y p e z b w N T n L X > < a : K e y V a l u e O f D i a g r a m O b j e c t K e y a n y T y p e z b w N T n L X > < a : K e y > < K e y > L i n k s \ & l t ; C o l u m n s \ S u m   o f   T o t a l   G J   9 & g t ; - & l t ; M e a s u r e s \ T o t a l   G J & g t ; \ C O L U M N < / K e y > < / a : K e y > < a : V a l u e   i : t y p e = " M e a s u r e G r i d V i e w S t a t e I D i a g r a m L i n k E n d p o i n t " / > < / a : K e y V a l u e O f D i a g r a m O b j e c t K e y a n y T y p e z b w N T n L X > < a : K e y V a l u e O f D i a g r a m O b j e c t K e y a n y T y p e z b w N T n L X > < a : K e y > < K e y > L i n k s \ & l t ; C o l u m n s \ S u m   o f   T o t a l   G J   9 & g t ; - & l t ; M e a s u r e s \ T o t a l   G J & g t ; \ M E A S U R E < / K e y > < / a : K e y > < a : V a l u e   i : t y p e = " M e a s u r e G r i d V i e w S t a t e I D i a g r a m L i n k E n d p o i n t " / > < / a : K e y V a l u e O f D i a g r a m O b j e c t K e y a n y T y p e z b w N T n L X > < a : K e y V a l u e O f D i a g r a m O b j e c t K e y a n y T y p e z b w N T n L X > < a : K e y > < K e y > L i n k s \ & l t ; C o l u m n s \ S u m   o f   S c o p e   1   k g   C O 2 - e   9 & g t ; - & l t ; M e a s u r e s \ S c o p e   1   k g   C O 2 - e & g t ; < / K e y > < / a : K e y > < a : V a l u e   i : t y p e = " M e a s u r e G r i d V i e w S t a t e I D i a g r a m L i n k " / > < / a : K e y V a l u e O f D i a g r a m O b j e c t K e y a n y T y p e z b w N T n L X > < a : K e y V a l u e O f D i a g r a m O b j e c t K e y a n y T y p e z b w N T n L X > < a : K e y > < K e y > L i n k s \ & l t ; C o l u m n s \ S u m   o f   S c o p e   1   k g   C O 2 - e   9 & g t ; - & l t ; M e a s u r e s \ S c o p e   1   k g   C O 2 - e & g t ; \ C O L U M N < / K e y > < / a : K e y > < a : V a l u e   i : t y p e = " M e a s u r e G r i d V i e w S t a t e I D i a g r a m L i n k E n d p o i n t " / > < / a : K e y V a l u e O f D i a g r a m O b j e c t K e y a n y T y p e z b w N T n L X > < a : K e y V a l u e O f D i a g r a m O b j e c t K e y a n y T y p e z b w N T n L X > < a : K e y > < K e y > L i n k s \ & l t ; C o l u m n s \ S u m   o f   S c o p e   1   k g   C O 2 - e   9 & g t ; - & l t ; M e a s u r e s \ S c o p e   1   k g   C O 2 - e & g t ; \ M E A S U R E < / K e y > < / a : K e y > < a : V a l u e   i : t y p e = " M e a s u r e G r i d V i e w S t a t e I D i a g r a m L i n k E n d p o i n t " / > < / a : K e y V a l u e O f D i a g r a m O b j e c t K e y a n y T y p e z b w N T n L X > < a : K e y V a l u e O f D i a g r a m O b j e c t K e y a n y T y p e z b w N T n L X > < a : K e y > < K e y > L i n k s \ & l t ; C o l u m n s \ S u m   o f   S c o p e   2   k g   C O 2 - e   9 & g t ; - & l t ; M e a s u r e s \ S c o p e   2   k g   C O 2 - e & g t ; < / K e y > < / a : K e y > < a : V a l u e   i : t y p e = " M e a s u r e G r i d V i e w S t a t e I D i a g r a m L i n k " / > < / a : K e y V a l u e O f D i a g r a m O b j e c t K e y a n y T y p e z b w N T n L X > < a : K e y V a l u e O f D i a g r a m O b j e c t K e y a n y T y p e z b w N T n L X > < a : K e y > < K e y > L i n k s \ & l t ; C o l u m n s \ S u m   o f   S c o p e   2   k g   C O 2 - e   9 & g t ; - & l t ; M e a s u r e s \ S c o p e   2   k g   C O 2 - e & g t ; \ C O L U M N < / K e y > < / a : K e y > < a : V a l u e   i : t y p e = " M e a s u r e G r i d V i e w S t a t e I D i a g r a m L i n k E n d p o i n t " / > < / a : K e y V a l u e O f D i a g r a m O b j e c t K e y a n y T y p e z b w N T n L X > < a : K e y V a l u e O f D i a g r a m O b j e c t K e y a n y T y p e z b w N T n L X > < a : K e y > < K e y > L i n k s \ & l t ; C o l u m n s \ S u m   o f   S c o p e   2   k g   C O 2 - e   9 & g t ; - & l t ; M e a s u r e s \ S c o p e   2   k g   C O 2 - e & g t ; \ M E A S U R E < / K e y > < / a : K e y > < a : V a l u e   i : t y p e = " M e a s u r e G r i d V i e w S t a t e I D i a g r a m L i n k E n d p o i n t " / > < / a : K e y V a l u e O f D i a g r a m O b j e c t K e y a n y T y p e z b w N T n L X > < a : K e y V a l u e O f D i a g r a m O b j e c t K e y a n y T y p e z b w N T n L X > < a : K e y > < K e y > L i n k s \ & l t ; C o l u m n s \ S u m   o f   S c o p e   3   k g   C O 2 - e   9 & g t ; - & l t ; M e a s u r e s \ S c o p e   3   k g   C O 2 - e & g t ; < / K e y > < / a : K e y > < a : V a l u e   i : t y p e = " M e a s u r e G r i d V i e w S t a t e I D i a g r a m L i n k " / > < / a : K e y V a l u e O f D i a g r a m O b j e c t K e y a n y T y p e z b w N T n L X > < a : K e y V a l u e O f D i a g r a m O b j e c t K e y a n y T y p e z b w N T n L X > < a : K e y > < K e y > L i n k s \ & l t ; C o l u m n s \ S u m   o f   S c o p e   3   k g   C O 2 - e   9 & g t ; - & l t ; M e a s u r e s \ S c o p e   3   k g   C O 2 - e & g t ; \ C O L U M N < / K e y > < / a : K e y > < a : V a l u e   i : t y p e = " M e a s u r e G r i d V i e w S t a t e I D i a g r a m L i n k E n d p o i n t " / > < / a : K e y V a l u e O f D i a g r a m O b j e c t K e y a n y T y p e z b w N T n L X > < a : K e y V a l u e O f D i a g r a m O b j e c t K e y a n y T y p e z b w N T n L X > < a : K e y > < K e y > L i n k s \ & l t ; C o l u m n s \ S u m   o f   S c o p e   3   k g   C O 2 - e   9 & g t ; - & l t ; M e a s u r e s \ S c o p e   3   k g   C O 2 - e & g t ; \ M E A S U R E < / K e y > < / a : K e y > < a : V a l u e   i : t y p e = " M e a s u r e G r i d V i e w S t a t e I D i a g r a m L i n k E n d p o i n t " / > < / a : K e y V a l u e O f D i a g r a m O b j e c t K e y a n y T y p e z b w N T n L X > < a : K e y V a l u e O f D i a g r a m O b j e c t K e y a n y T y p e z b w N T n L X > < a : K e y > < K e y > L i n k s \ & l t ; C o l u m n s \ S u m   o f   T o t a l   E m i s s i o n s   9 & g t ; - & l t ; M e a s u r e s \ T o t a l   E m i s s i o n s & g t ; < / K e y > < / a : K e y > < a : V a l u e   i : t y p e = " M e a s u r e G r i d V i e w S t a t e I D i a g r a m L i n k " / > < / a : K e y V a l u e O f D i a g r a m O b j e c t K e y a n y T y p e z b w N T n L X > < a : K e y V a l u e O f D i a g r a m O b j e c t K e y a n y T y p e z b w N T n L X > < a : K e y > < K e y > L i n k s \ & l t ; C o l u m n s \ S u m   o f   T o t a l   E m i s s i o n s   9 & g t ; - & l t ; M e a s u r e s \ T o t a l   E m i s s i o n s & g t ; \ C O L U M N < / K e y > < / a : K e y > < a : V a l u e   i : t y p e = " M e a s u r e G r i d V i e w S t a t e I D i a g r a m L i n k E n d p o i n t " / > < / a : K e y V a l u e O f D i a g r a m O b j e c t K e y a n y T y p e z b w N T n L X > < a : K e y V a l u e O f D i a g r a m O b j e c t K e y a n y T y p e z b w N T n L X > < a : K e y > < K e y > L i n k s \ & l t ; C o l u m n s \ S u m   o f   T o t a l   E m i s s i o n s   9 & g t ; - & l t ; M e a s u r e s \ T o t a l   E m i s s i o n s & g t ; \ M E A S U R E < / K e y > < / a : K e y > < a : V a l u e   i : t y p e = " M e a s u r e G r i d V i e w S t a t e I D i a g r a m L i n k E n d p o i n t " / > < / a : K e y V a l u e O f D i a g r a m O b j e c t K e y a n y T y p e z b w N T n L X > < / V i e w S t a t e s > < / D i a g r a m M a n a g e r . S e r i a l i z a b l e D i a g r a m > < D i a g r a m M a n a g e r . S e r i a l i z a b l e D i a g r a m > < A d a p t e r   i : t y p e = " M e a s u r e D i a g r a m S a n d b o x A d a p t e r " > < T a b l e N a m e > D C _ G e n s e t 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 D C _ G e n s e t < / 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 C o l u m n s \ R e p o r t i n g   A l i a s < / K e y > < / D i a g r a m O b j e c t K e y > < D i a g r a m O b j e c t K e y > < K e y > C o l u m n s \ F u e l < / K e y > < / D i a g r a m O b j e c t K e y > < D i a g r a m O b j e c t K e y > < K e y > C o l u m n s \ S t a t e < / K e y > < / D i a g r a m O b j e c t K e y > < D i a g r a m O b j e c t K e y > < K e y > C o l u m n s \ C o n s u m p t i o n   Q u a n t i t y   ( L ) < / K e y > < / D i a g r a m O b j e c t K e y > < D i a g r a m O b j e c t K e y > < K e y > C o l u m n s \ C o n s u m p t i o n     U n i t s < / K e y > < / D i a g r a m O b j e c t K e y > < D i a g r a m O b j e c t K e y > < K e y > C o l u m n s \ C o n s u m p t i o n   Q u a n t i t y < / K e y > < / D i a g r a m O b j e c t K e y > < D i a g r a m O b j e c t K e y > < K e y > C o l u m n s \ U o M < / 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 C o l u m n s \ F u e l < / K e y > < / a : K e y > < a : V a l u e   i : t y p e = " M e a s u r e G r i d N o d e V i e w S t a t e " > < C o l u m n > 1 < / C o l u m n > < L a y e d O u t > t r u e < / L a y e d O u t > < / a : V a l u e > < / a : K e y V a l u e O f D i a g r a m O b j e c t K e y a n y T y p e z b w N T n L X > < a : K e y V a l u e O f D i a g r a m O b j e c t K e y a n y T y p e z b w N T n L X > < a : K e y > < K e y > C o l u m n s \ S t a t e < / K e y > < / a : K e y > < a : V a l u e   i : t y p e = " M e a s u r e G r i d N o d e V i e w S t a t e " > < C o l u m n > 2 < / C o l u m n > < L a y e d O u t > t r u e < / L a y e d O u t > < / a : V a l u e > < / a : K e y V a l u e O f D i a g r a m O b j e c t K e y a n y T y p e z b w N T n L X > < a : K e y V a l u e O f D i a g r a m O b j e c t K e y a n y T y p e z b w N T n L X > < a : K e y > < K e y > C o l u m n s \ C o n s u m p t i o n   Q u a n t i t y   ( L ) < / K e y > < / a : K e y > < a : V a l u e   i : t y p e = " M e a s u r e G r i d N o d e V i e w S t a t e " > < C o l u m n > 3 < / C o l u m n > < L a y e d O u t > t r u e < / L a y e d O u t > < / a : V a l u e > < / a : K e y V a l u e O f D i a g r a m O b j e c t K e y a n y T y p e z b w N T n L X > < a : K e y V a l u e O f D i a g r a m O b j e c t K e y a n y T y p e z b w N T n L X > < a : K e y > < K e y > C o l u m n s \ C o n s u m p t i o n     U n i t s < / K e y > < / a : K e y > < a : V a l u e   i : t y p e = " M e a s u r e G r i d N o d e V i e w S t a t e " > < C o l u m n > 4 < / C o l u m n > < L a y e d O u t > t r u e < / L a y e d O u t > < / a : V a l u e > < / a : K e y V a l u e O f D i a g r a m O b j e c t K e y a n y T y p e z b w N T n L X > < a : K e y V a l u e O f D i a g r a m O b j e c t K e y a n y T y p e z b w N T n L X > < a : K e y > < K e y > C o l u m n s \ C o n s u m p t i o n   Q u a n t i t y < / K e y > < / a : K e y > < a : V a l u e   i : t y p e = " M e a s u r e G r i d N o d e V i e w S t a t e " > < C o l u m n > 1 1 < / C o l u m n > < L a y e d O u t > t r u e < / L a y e d O u t > < / a : V a l u e > < / a : K e y V a l u e O f D i a g r a m O b j e c t K e y a n y T y p e z b w N T n L X > < a : K e y V a l u e O f D i a g r a m O b j e c t K e y a n y T y p e z b w N T n L X > < a : K e y > < K e y > C o l u m n s \ U o M < / K e y > < / a : K e y > < a : V a l u e   i : t y p e = " M e a s u r e G r i d N o d e V i e w S t a t e " > < C o l u m n > 5 < / C o l u m n > < L a y e d O u t > t r u e < / L a y e d O u t > < / a : V a l u e > < / a : K e y V a l u e O f D i a g r a m O b j e c t K e y a n y T y p e z b w N T n L X > < a : K e y V a l u e O f D i a g r a m O b j e c t K e y a n y T y p e z b w N T n L X > < a : K e y > < K e y > C o l u m n s \ T o t a l   G J < / K e y > < / a : K e y > < a : V a l u e   i : t y p e = " M e a s u r e G r i d N o d e V i e w S t a t e " > < C o l u m n > 6 < / C o l u m n > < L a y e d O u t > t r u e < / L a y e d O u t > < / a : V a l u e > < / a : K e y V a l u e O f D i a g r a m O b j e c t K e y a n y T y p e z b w N T n L X > < a : K e y V a l u e O f D i a g r a m O b j e c t K e y a n y T y p e z b w N T n L X > < a : K e y > < K e y > C o l u m n s \ S c o p e   1   k g   C O 2 - e < / K e y > < / a : K e y > < a : V a l u e   i : t y p e = " M e a s u r e G r i d N o d e V i e w S t a t e " > < C o l u m n > 7 < / C o l u m n > < L a y e d O u t > t r u e < / L a y e d O u t > < / a : V a l u e > < / a : K e y V a l u e O f D i a g r a m O b j e c t K e y a n y T y p e z b w N T n L X > < a : K e y V a l u e O f D i a g r a m O b j e c t K e y a n y T y p e z b w N T n L X > < a : K e y > < K e y > C o l u m n s \ S c o p e   2   k g   C O 2 - e < / K e y > < / a : K e y > < a : V a l u e   i : t y p e = " M e a s u r e G r i d N o d e V i e w S t a t e " > < C o l u m n > 8 < / C o l u m n > < L a y e d O u t > t r u e < / L a y e d O u t > < / a : V a l u e > < / a : K e y V a l u e O f D i a g r a m O b j e c t K e y a n y T y p e z b w N T n L X > < a : K e y V a l u e O f D i a g r a m O b j e c t K e y a n y T y p e z b w N T n L X > < a : K e y > < K e y > C o l u m n s \ S c o p e   3   k g   C O 2 - e < / K e y > < / a : K e y > < a : V a l u e   i : t y p e = " M e a s u r e G r i d N o d e V i e w S t a t e " > < C o l u m n > 9 < / C o l u m n > < L a y e d O u t > t r u e < / L a y e d O u t > < / a : V a l u e > < / a : K e y V a l u e O f D i a g r a m O b j e c t K e y a n y T y p e z b w N T n L X > < a : K e y V a l u e O f D i a g r a m O b j e c t K e y a n y T y p e z b w N T n L X > < a : K e y > < K e y > C o l u m n s \ T o t a l   E m i s s i o n s < / K e y > < / a : K e y > < a : V a l u e   i : t y p e = " M e a s u r e G r i d N o d e V i e w S t a t e " > < C o l u m n > 1 0 < / C o l u m n > < L a y e d O u t > t r u e < / L a y e d O u t > < / a : V a l u e > < / a : K e y V a l u e O f D i a g r a m O b j e c t K e y a n y T y p e z b w N T n L X > < / V i e w S t a t e s > < / D i a g r a m M a n a g e r . S e r i a l i z a b l e D i a g r a m > < D i a g r a m M a n a g e r . S e r i a l i z a b l e D i a g r a m > < A d a p t e r   i : t y p e = " M e a s u r e D i a g r a m S a n d b o x A d a p t e r " > < T a b l e N a m e > S u m m a r y 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 S u m m a r y < / 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 1 5 < / K e y > < / D i a g r a m O b j e c t K e y > < D i a g r a m O b j e c t K e y > < K e y > M e a s u r e s \ S u m   o f   C o n s u m p t i o n   Q u a n t i t y   1 5 \ T a g I n f o \ F o r m u l a < / K e y > < / D i a g r a m O b j e c t K e y > < D i a g r a m O b j e c t K e y > < K e y > M e a s u r e s \ S u m   o f   T o t a l   G J   1 7 < / K e y > < / D i a g r a m O b j e c t K e y > < D i a g r a m O b j e c t K e y > < K e y > M e a s u r e s \ S u m   o f   T o t a l   G J   1 7 \ T a g I n f o \ F o r m u l a < / K e y > < / D i a g r a m O b j e c t K e y > < D i a g r a m O b j e c t K e y > < K e y > M e a s u r e s \ S u m   o f   S c o p e   1   k g   C O 2 - e   1 7 < / K e y > < / D i a g r a m O b j e c t K e y > < D i a g r a m O b j e c t K e y > < K e y > M e a s u r e s \ S u m   o f   S c o p e   1   k g   C O 2 - e   1 7 \ T a g I n f o \ F o r m u l a < / K e y > < / D i a g r a m O b j e c t K e y > < D i a g r a m O b j e c t K e y > < K e y > M e a s u r e s \ S u m   o f   S c o p e   2   k g   C O 2 - e   1 7 < / K e y > < / D i a g r a m O b j e c t K e y > < D i a g r a m O b j e c t K e y > < K e y > M e a s u r e s \ S u m   o f   S c o p e   2   k g   C O 2 - e   1 7 \ T a g I n f o \ F o r m u l a < / K e y > < / D i a g r a m O b j e c t K e y > < D i a g r a m O b j e c t K e y > < K e y > M e a s u r e s \ S u m   o f   S c o p e   3   k g   C O 2 - e   1 7 < / K e y > < / D i a g r a m O b j e c t K e y > < D i a g r a m O b j e c t K e y > < K e y > M e a s u r e s \ S u m   o f   S c o p e   3   k g   C O 2 - e   1 7 \ T a g I n f o \ F o r m u l a < / K e y > < / D i a g r a m O b j e c t K e y > < D i a g r a m O b j e c t K e y > < K e y > M e a s u r e s \ S u m   o f   T o t a l   E m i s s i o n s   1 7 < / K e y > < / D i a g r a m O b j e c t K e y > < D i a g r a m O b j e c t K e y > < K e y > M e a s u r e s \ S u m   o f   T o t a l   E m i s s i o n s   1 7 \ T a g I n f o \ F o r m u l a < / K e y > < / D i a g r a m O b j e c t K e y > < D i a g r a m O b j e c t K e y > < K e y > C o l u m n s \ R e p o r t i n g   A l i a s < / K e y > < / D i a g r a m O b j e c t K e y > < D i a g r a m O b j e c t K e y > < K e y > C o l u m n s \ U o M < / K e y > < / D i a g r a m O b j e c t K e y > < D i a g r a m O b j e c t K e y > < K e y > C o l u m n s \ P r i m a r y   C r i t e r i o n < / 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 1 5 & g t ; - & l t ; M e a s u r e s \ C o n s u m p t i o n   Q u a n t i t y & g t ; < / K e y > < / D i a g r a m O b j e c t K e y > < D i a g r a m O b j e c t K e y > < K e y > L i n k s \ & l t ; C o l u m n s \ S u m   o f   C o n s u m p t i o n   Q u a n t i t y   1 5 & g t ; - & l t ; M e a s u r e s \ C o n s u m p t i o n   Q u a n t i t y & g t ; \ C O L U M N < / K e y > < / D i a g r a m O b j e c t K e y > < D i a g r a m O b j e c t K e y > < K e y > L i n k s \ & l t ; C o l u m n s \ S u m   o f   C o n s u m p t i o n   Q u a n t i t y   1 5 & g t ; - & l t ; M e a s u r e s \ C o n s u m p t i o n   Q u a n t i t y & g t ; \ M E A S U R E < / K e y > < / D i a g r a m O b j e c t K e y > < D i a g r a m O b j e c t K e y > < K e y > L i n k s \ & l t ; C o l u m n s \ S u m   o f   T o t a l   G J   1 7 & g t ; - & l t ; M e a s u r e s \ T o t a l   G J & g t ; < / K e y > < / D i a g r a m O b j e c t K e y > < D i a g r a m O b j e c t K e y > < K e y > L i n k s \ & l t ; C o l u m n s \ S u m   o f   T o t a l   G J   1 7 & g t ; - & l t ; M e a s u r e s \ T o t a l   G J & g t ; \ C O L U M N < / K e y > < / D i a g r a m O b j e c t K e y > < D i a g r a m O b j e c t K e y > < K e y > L i n k s \ & l t ; C o l u m n s \ S u m   o f   T o t a l   G J   1 7 & g t ; - & l t ; M e a s u r e s \ T o t a l   G J & g t ; \ M E A S U R E < / K e y > < / D i a g r a m O b j e c t K e y > < D i a g r a m O b j e c t K e y > < K e y > L i n k s \ & l t ; C o l u m n s \ S u m   o f   S c o p e   1   k g   C O 2 - e   1 7 & g t ; - & l t ; M e a s u r e s \ S c o p e   1   k g   C O 2 - e & g t ; < / K e y > < / D i a g r a m O b j e c t K e y > < D i a g r a m O b j e c t K e y > < K e y > L i n k s \ & l t ; C o l u m n s \ S u m   o f   S c o p e   1   k g   C O 2 - e   1 7 & g t ; - & l t ; M e a s u r e s \ S c o p e   1   k g   C O 2 - e & g t ; \ C O L U M N < / K e y > < / D i a g r a m O b j e c t K e y > < D i a g r a m O b j e c t K e y > < K e y > L i n k s \ & l t ; C o l u m n s \ S u m   o f   S c o p e   1   k g   C O 2 - e   1 7 & g t ; - & l t ; M e a s u r e s \ S c o p e   1   k g   C O 2 - e & g t ; \ M E A S U R E < / K e y > < / D i a g r a m O b j e c t K e y > < D i a g r a m O b j e c t K e y > < K e y > L i n k s \ & l t ; C o l u m n s \ S u m   o f   S c o p e   2   k g   C O 2 - e   1 7 & g t ; - & l t ; M e a s u r e s \ S c o p e   2   k g   C O 2 - e & g t ; < / K e y > < / D i a g r a m O b j e c t K e y > < D i a g r a m O b j e c t K e y > < K e y > L i n k s \ & l t ; C o l u m n s \ S u m   o f   S c o p e   2   k g   C O 2 - e   1 7 & g t ; - & l t ; M e a s u r e s \ S c o p e   2   k g   C O 2 - e & g t ; \ C O L U M N < / K e y > < / D i a g r a m O b j e c t K e y > < D i a g r a m O b j e c t K e y > < K e y > L i n k s \ & l t ; C o l u m n s \ S u m   o f   S c o p e   2   k g   C O 2 - e   1 7 & g t ; - & l t ; M e a s u r e s \ S c o p e   2   k g   C O 2 - e & g t ; \ M E A S U R E < / K e y > < / D i a g r a m O b j e c t K e y > < D i a g r a m O b j e c t K e y > < K e y > L i n k s \ & l t ; C o l u m n s \ S u m   o f   S c o p e   3   k g   C O 2 - e   1 7 & g t ; - & l t ; M e a s u r e s \ S c o p e   3   k g   C O 2 - e & g t ; < / K e y > < / D i a g r a m O b j e c t K e y > < D i a g r a m O b j e c t K e y > < K e y > L i n k s \ & l t ; C o l u m n s \ S u m   o f   S c o p e   3   k g   C O 2 - e   1 7 & g t ; - & l t ; M e a s u r e s \ S c o p e   3   k g   C O 2 - e & g t ; \ C O L U M N < / K e y > < / D i a g r a m O b j e c t K e y > < D i a g r a m O b j e c t K e y > < K e y > L i n k s \ & l t ; C o l u m n s \ S u m   o f   S c o p e   3   k g   C O 2 - e   1 7 & g t ; - & l t ; M e a s u r e s \ S c o p e   3   k g   C O 2 - e & g t ; \ M E A S U R E < / K e y > < / D i a g r a m O b j e c t K e y > < D i a g r a m O b j e c t K e y > < K e y > L i n k s \ & l t ; C o l u m n s \ S u m   o f   T o t a l   E m i s s i o n s   1 7 & g t ; - & l t ; M e a s u r e s \ T o t a l   E m i s s i o n s & g t ; < / K e y > < / D i a g r a m O b j e c t K e y > < D i a g r a m O b j e c t K e y > < K e y > L i n k s \ & l t ; C o l u m n s \ S u m   o f   T o t a l   E m i s s i o n s   1 7 & g t ; - & l t ; M e a s u r e s \ T o t a l   E m i s s i o n s & g t ; \ C O L U M N < / K e y > < / D i a g r a m O b j e c t K e y > < D i a g r a m O b j e c t K e y > < K e y > L i n k s \ & l t ; C o l u m n s \ S u m   o f   T o t a l   E m i s s i o n s   1 7 & g t ; - & l t ; M e a s u r e s \ T o t a l 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 1 5 < / K e y > < / a : K e y > < a : V a l u e   i : t y p e = " M e a s u r e G r i d N o d e V i e w S t a t e " > < C o l u m n > 3 < / C o l u m n > < L a y e d O u t > t r u e < / L a y e d O u t > < W a s U I I n v i s i b l e > t r u e < / W a s U I I n v i s i b l e > < / a : V a l u e > < / a : K e y V a l u e O f D i a g r a m O b j e c t K e y a n y T y p e z b w N T n L X > < a : K e y V a l u e O f D i a g r a m O b j e c t K e y a n y T y p e z b w N T n L X > < a : K e y > < K e y > M e a s u r e s \ S u m   o f   C o n s u m p t i o n   Q u a n t i t y   1 5 \ T a g I n f o \ F o r m u l a < / K e y > < / a : K e y > < a : V a l u e   i : t y p e = " M e a s u r e G r i d V i e w S t a t e I D i a g r a m T a g A d d i t i o n a l I n f o " / > < / a : K e y V a l u e O f D i a g r a m O b j e c t K e y a n y T y p e z b w N T n L X > < a : K e y V a l u e O f D i a g r a m O b j e c t K e y a n y T y p e z b w N T n L X > < a : K e y > < K e y > M e a s u r e s \ S u m   o f   T o t a l   G J   1 7 < / K e y > < / a : K e y > < a : V a l u e   i : t y p e = " M e a s u r e G r i d N o d e V i e w S t a t e " > < C o l u m n > 4 < / C o l u m n > < L a y e d O u t > t r u e < / L a y e d O u t > < W a s U I I n v i s i b l e > t r u e < / W a s U I I n v i s i b l e > < / a : V a l u e > < / a : K e y V a l u e O f D i a g r a m O b j e c t K e y a n y T y p e z b w N T n L X > < a : K e y V a l u e O f D i a g r a m O b j e c t K e y a n y T y p e z b w N T n L X > < a : K e y > < K e y > M e a s u r e s \ S u m   o f   T o t a l   G J   1 7 \ T a g I n f o \ F o r m u l a < / K e y > < / a : K e y > < a : V a l u e   i : t y p e = " M e a s u r e G r i d V i e w S t a t e I D i a g r a m T a g A d d i t i o n a l I n f o " / > < / a : K e y V a l u e O f D i a g r a m O b j e c t K e y a n y T y p e z b w N T n L X > < a : K e y V a l u e O f D i a g r a m O b j e c t K e y a n y T y p e z b w N T n L X > < a : K e y > < K e y > M e a s u r e s \ S u m   o f   S c o p e   1   k g   C O 2 - e   1 7 < / K e y > < / a : K e y > < a : V a l u e   i : t y p e = " M e a s u r e G r i d N o d e V i e w S t a t e " > < C o l u m n > 5 < / C o l u m n > < L a y e d O u t > t r u e < / L a y e d O u t > < W a s U I I n v i s i b l e > t r u e < / W a s U I I n v i s i b l e > < / a : V a l u e > < / a : K e y V a l u e O f D i a g r a m O b j e c t K e y a n y T y p e z b w N T n L X > < a : K e y V a l u e O f D i a g r a m O b j e c t K e y a n y T y p e z b w N T n L X > < a : K e y > < K e y > M e a s u r e s \ S u m   o f   S c o p e   1   k g   C O 2 - e   1 7 \ T a g I n f o \ F o r m u l a < / K e y > < / a : K e y > < a : V a l u e   i : t y p e = " M e a s u r e G r i d V i e w S t a t e I D i a g r a m T a g A d d i t i o n a l I n f o " / > < / a : K e y V a l u e O f D i a g r a m O b j e c t K e y a n y T y p e z b w N T n L X > < a : K e y V a l u e O f D i a g r a m O b j e c t K e y a n y T y p e z b w N T n L X > < a : K e y > < K e y > M e a s u r e s \ S u m   o f   S c o p e   2   k g   C O 2 - e   1 7 < / K e y > < / a : K e y > < a : V a l u e   i : t y p e = " M e a s u r e G r i d N o d e V i e w S t a t e " > < C o l u m n > 6 < / C o l u m n > < L a y e d O u t > t r u e < / L a y e d O u t > < W a s U I I n v i s i b l e > t r u e < / W a s U I I n v i s i b l e > < / a : V a l u e > < / a : K e y V a l u e O f D i a g r a m O b j e c t K e y a n y T y p e z b w N T n L X > < a : K e y V a l u e O f D i a g r a m O b j e c t K e y a n y T y p e z b w N T n L X > < a : K e y > < K e y > M e a s u r e s \ S u m   o f   S c o p e   2   k g   C O 2 - e   1 7 \ T a g I n f o \ F o r m u l a < / K e y > < / a : K e y > < a : V a l u e   i : t y p e = " M e a s u r e G r i d V i e w S t a t e I D i a g r a m T a g A d d i t i o n a l I n f o " / > < / a : K e y V a l u e O f D i a g r a m O b j e c t K e y a n y T y p e z b w N T n L X > < a : K e y V a l u e O f D i a g r a m O b j e c t K e y a n y T y p e z b w N T n L X > < a : K e y > < K e y > M e a s u r e s \ S u m   o f   S c o p e   3   k g   C O 2 - e   1 7 < / K e y > < / a : K e y > < a : V a l u e   i : t y p e = " M e a s u r e G r i d N o d e V i e w S t a t e " > < C o l u m n > 7 < / C o l u m n > < L a y e d O u t > t r u e < / L a y e d O u t > < W a s U I I n v i s i b l e > t r u e < / W a s U I I n v i s i b l e > < / a : V a l u e > < / a : K e y V a l u e O f D i a g r a m O b j e c t K e y a n y T y p e z b w N T n L X > < a : K e y V a l u e O f D i a g r a m O b j e c t K e y a n y T y p e z b w N T n L X > < a : K e y > < K e y > M e a s u r e s \ S u m   o f   S c o p e   3   k g   C O 2 - e   1 7 \ T a g I n f o \ F o r m u l a < / K e y > < / a : K e y > < a : V a l u e   i : t y p e = " M e a s u r e G r i d V i e w S t a t e I D i a g r a m T a g A d d i t i o n a l I n f o " / > < / a : K e y V a l u e O f D i a g r a m O b j e c t K e y a n y T y p e z b w N T n L X > < a : K e y V a l u e O f D i a g r a m O b j e c t K e y a n y T y p e z b w N T n L X > < a : K e y > < K e y > M e a s u r e s \ S u m   o f   T o t a l   E m i s s i o n s   1 7 < / K e y > < / a : K e y > < a : V a l u e   i : t y p e = " M e a s u r e G r i d N o d e V i e w S t a t e " > < C o l u m n > 8 < / C o l u m n > < L a y e d O u t > t r u e < / L a y e d O u t > < W a s U I I n v i s i b l e > t r u e < / W a s U I I n v i s i b l e > < / a : V a l u e > < / a : K e y V a l u e O f D i a g r a m O b j e c t K e y a n y T y p e z b w N T n L X > < a : K e y V a l u e O f D i a g r a m O b j e c t K e y a n y T y p e z b w N T n L X > < a : K e y > < K e y > M e a s u r e s \ S u m   o f   T o t a l   E m i s s i o n s   1 7 \ T a g I n f o \ F o r m u l a < / 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 C o l u m n s \ U o M < / K e y > < / a : K e y > < a : V a l u e   i : t y p e = " M e a s u r e G r i d N o d e V i e w S t a t e " > < C o l u m n > 1 < / C o l u m n > < L a y e d O u t > t r u e < / L a y e d O u t > < / a : V a l u e > < / a : K e y V a l u e O f D i a g r a m O b j e c t K e y a n y T y p e z b w N T n L X > < a : K e y V a l u e O f D i a g r a m O b j e c t K e y a n y T y p e z b w N T n L X > < a : K e y > < K e y > C o l u m n s \ P r i m a r y   C r i t e r i o n < / K e y > < / a : K e y > < a : V a l u e   i : t y p e = " M e a s u r e G r i d N o d e V i e w S t a t e " > < C o l u m n > 2 < / C o l u m n > < L a y e d O u t > t r u e < / L a y e d O u t > < / a : V a l u e > < / a : K e y V a l u e O f D i a g r a m O b j e c t K e y a n y T y p e z b w N T n L X > < a : K e y V a l u e O f D i a g r a m O b j e c t K e y a n y T y p e z b w N T n L X > < a : K e y > < K e y > C o l u m n s \ C o n s u m p t i o n   Q u a n t i t y < / K e y > < / a : K e y > < a : V a l u e   i : t y p e = " M e a s u r e G r i d N o d e V i e w S t a t e " > < C o l u m n > 3 < / C o l u m n > < L a y e d O u t > t r u e < / L a y e d O u t > < / a : V a l u e > < / a : K e y V a l u e O f D i a g r a m O b j e c t K e y a n y T y p e z b w N T n L X > < a : K e y V a l u e O f D i a g r a m O b j e c t K e y a n y T y p e z b w N T n L X > < a : K e y > < K e y > C o l u m n s \ T o t a l   G J < / K e y > < / a : K e y > < a : V a l u e   i : t y p e = " M e a s u r e G r i d N o d e V i e w S t a t e " > < C o l u m n > 4 < / C o l u m n > < L a y e d O u t > t r u e < / L a y e d O u t > < / a : V a l u e > < / a : K e y V a l u e O f D i a g r a m O b j e c t K e y a n y T y p e z b w N T n L X > < a : K e y V a l u e O f D i a g r a m O b j e c t K e y a n y T y p e z b w N T n L X > < a : K e y > < K e y > C o l u m n s \ S c o p e   1   k g   C O 2 - e < / K e y > < / a : K e y > < a : V a l u e   i : t y p e = " M e a s u r e G r i d N o d e V i e w S t a t e " > < C o l u m n > 5 < / C o l u m n > < L a y e d O u t > t r u e < / L a y e d O u t > < / a : V a l u e > < / a : K e y V a l u e O f D i a g r a m O b j e c t K e y a n y T y p e z b w N T n L X > < a : K e y V a l u e O f D i a g r a m O b j e c t K e y a n y T y p e z b w N T n L X > < a : K e y > < K e y > C o l u m n s \ S c o p e   2   k g   C O 2 - e < / K e y > < / a : K e y > < a : V a l u e   i : t y p e = " M e a s u r e G r i d N o d e V i e w S t a t e " > < C o l u m n > 6 < / C o l u m n > < L a y e d O u t > t r u e < / L a y e d O u t > < / a : V a l u e > < / a : K e y V a l u e O f D i a g r a m O b j e c t K e y a n y T y p e z b w N T n L X > < a : K e y V a l u e O f D i a g r a m O b j e c t K e y a n y T y p e z b w N T n L X > < a : K e y > < K e y > C o l u m n s \ S c o p e   3   k g   C O 2 - e < / K e y > < / a : K e y > < a : V a l u e   i : t y p e = " M e a s u r e G r i d N o d e V i e w S t a t e " > < C o l u m n > 7 < / C o l u m n > < L a y e d O u t > t r u e < / L a y e d O u t > < / a : V a l u e > < / a : K e y V a l u e O f D i a g r a m O b j e c t K e y a n y T y p e z b w N T n L X > < a : K e y V a l u e O f D i a g r a m O b j e c t K e y a n y T y p e z b w N T n L X > < a : K e y > < K e y > C o l u m n s \ T o t a l   E m i s s i o n s < / K e y > < / a : K e y > < a : V a l u e   i : t y p e = " M e a s u r e G r i d N o d e V i e w S t a t e " > < C o l u m n > 8 < / C o l u m n > < L a y e d O u t > t r u e < / L a y e d O u t > < / a : V a l u e > < / a : K e y V a l u e O f D i a g r a m O b j e c t K e y a n y T y p e z b w N T n L X > < a : K e y V a l u e O f D i a g r a m O b j e c t K e y a n y T y p e z b w N T n L X > < a : K e y > < K e y > L i n k s \ & l t ; C o l u m n s \ S u m   o f   C o n s u m p t i o n   Q u a n t i t y   1 5 & g t ; - & l t ; M e a s u r e s \ C o n s u m p t i o n   Q u a n t i t y & g t ; < / K e y > < / a : K e y > < a : V a l u e   i : t y p e = " M e a s u r e G r i d V i e w S t a t e I D i a g r a m L i n k " / > < / a : K e y V a l u e O f D i a g r a m O b j e c t K e y a n y T y p e z b w N T n L X > < a : K e y V a l u e O f D i a g r a m O b j e c t K e y a n y T y p e z b w N T n L X > < a : K e y > < K e y > L i n k s \ & l t ; C o l u m n s \ S u m   o f   C o n s u m p t i o n   Q u a n t i t y   1 5 & g t ; - & l t ; M e a s u r e s \ C o n s u m p t i o n   Q u a n t i t y & g t ; \ C O L U M N < / K e y > < / a : K e y > < a : V a l u e   i : t y p e = " M e a s u r e G r i d V i e w S t a t e I D i a g r a m L i n k E n d p o i n t " / > < / a : K e y V a l u e O f D i a g r a m O b j e c t K e y a n y T y p e z b w N T n L X > < a : K e y V a l u e O f D i a g r a m O b j e c t K e y a n y T y p e z b w N T n L X > < a : K e y > < K e y > L i n k s \ & l t ; C o l u m n s \ S u m   o f   C o n s u m p t i o n   Q u a n t i t y   1 5 & g t ; - & l t ; M e a s u r e s \ C o n s u m p t i o n   Q u a n t i t y & g t ; \ M E A S U R E < / K e y > < / a : K e y > < a : V a l u e   i : t y p e = " M e a s u r e G r i d V i e w S t a t e I D i a g r a m L i n k E n d p o i n t " / > < / a : K e y V a l u e O f D i a g r a m O b j e c t K e y a n y T y p e z b w N T n L X > < a : K e y V a l u e O f D i a g r a m O b j e c t K e y a n y T y p e z b w N T n L X > < a : K e y > < K e y > L i n k s \ & l t ; C o l u m n s \ S u m   o f   T o t a l   G J   1 7 & g t ; - & l t ; M e a s u r e s \ T o t a l   G J & g t ; < / K e y > < / a : K e y > < a : V a l u e   i : t y p e = " M e a s u r e G r i d V i e w S t a t e I D i a g r a m L i n k " / > < / a : K e y V a l u e O f D i a g r a m O b j e c t K e y a n y T y p e z b w N T n L X > < a : K e y V a l u e O f D i a g r a m O b j e c t K e y a n y T y p e z b w N T n L X > < a : K e y > < K e y > L i n k s \ & l t ; C o l u m n s \ S u m   o f   T o t a l   G J   1 7 & g t ; - & l t ; M e a s u r e s \ T o t a l   G J & g t ; \ C O L U M N < / K e y > < / a : K e y > < a : V a l u e   i : t y p e = " M e a s u r e G r i d V i e w S t a t e I D i a g r a m L i n k E n d p o i n t " / > < / a : K e y V a l u e O f D i a g r a m O b j e c t K e y a n y T y p e z b w N T n L X > < a : K e y V a l u e O f D i a g r a m O b j e c t K e y a n y T y p e z b w N T n L X > < a : K e y > < K e y > L i n k s \ & l t ; C o l u m n s \ S u m   o f   T o t a l   G J   1 7 & g t ; - & l t ; M e a s u r e s \ T o t a l   G J & g t ; \ M E A S U R E < / K e y > < / a : K e y > < a : V a l u e   i : t y p e = " M e a s u r e G r i d V i e w S t a t e I D i a g r a m L i n k E n d p o i n t " / > < / a : K e y V a l u e O f D i a g r a m O b j e c t K e y a n y T y p e z b w N T n L X > < a : K e y V a l u e O f D i a g r a m O b j e c t K e y a n y T y p e z b w N T n L X > < a : K e y > < K e y > L i n k s \ & l t ; C o l u m n s \ S u m   o f   S c o p e   1   k g   C O 2 - e   1 7 & g t ; - & l t ; M e a s u r e s \ S c o p e   1   k g   C O 2 - e & g t ; < / K e y > < / a : K e y > < a : V a l u e   i : t y p e = " M e a s u r e G r i d V i e w S t a t e I D i a g r a m L i n k " / > < / a : K e y V a l u e O f D i a g r a m O b j e c t K e y a n y T y p e z b w N T n L X > < a : K e y V a l u e O f D i a g r a m O b j e c t K e y a n y T y p e z b w N T n L X > < a : K e y > < K e y > L i n k s \ & l t ; C o l u m n s \ S u m   o f   S c o p e   1   k g   C O 2 - e   1 7 & g t ; - & l t ; M e a s u r e s \ S c o p e   1   k g   C O 2 - e & g t ; \ C O L U M N < / K e y > < / a : K e y > < a : V a l u e   i : t y p e = " M e a s u r e G r i d V i e w S t a t e I D i a g r a m L i n k E n d p o i n t " / > < / a : K e y V a l u e O f D i a g r a m O b j e c t K e y a n y T y p e z b w N T n L X > < a : K e y V a l u e O f D i a g r a m O b j e c t K e y a n y T y p e z b w N T n L X > < a : K e y > < K e y > L i n k s \ & l t ; C o l u m n s \ S u m   o f   S c o p e   1   k g   C O 2 - e   1 7 & g t ; - & l t ; M e a s u r e s \ S c o p e   1   k g   C O 2 - e & g t ; \ M E A S U R E < / K e y > < / a : K e y > < a : V a l u e   i : t y p e = " M e a s u r e G r i d V i e w S t a t e I D i a g r a m L i n k E n d p o i n t " / > < / a : K e y V a l u e O f D i a g r a m O b j e c t K e y a n y T y p e z b w N T n L X > < a : K e y V a l u e O f D i a g r a m O b j e c t K e y a n y T y p e z b w N T n L X > < a : K e y > < K e y > L i n k s \ & l t ; C o l u m n s \ S u m   o f   S c o p e   2   k g   C O 2 - e   1 7 & g t ; - & l t ; M e a s u r e s \ S c o p e   2   k g   C O 2 - e & g t ; < / K e y > < / a : K e y > < a : V a l u e   i : t y p e = " M e a s u r e G r i d V i e w S t a t e I D i a g r a m L i n k " / > < / a : K e y V a l u e O f D i a g r a m O b j e c t K e y a n y T y p e z b w N T n L X > < a : K e y V a l u e O f D i a g r a m O b j e c t K e y a n y T y p e z b w N T n L X > < a : K e y > < K e y > L i n k s \ & l t ; C o l u m n s \ S u m   o f   S c o p e   2   k g   C O 2 - e   1 7 & g t ; - & l t ; M e a s u r e s \ S c o p e   2   k g   C O 2 - e & g t ; \ C O L U M N < / K e y > < / a : K e y > < a : V a l u e   i : t y p e = " M e a s u r e G r i d V i e w S t a t e I D i a g r a m L i n k E n d p o i n t " / > < / a : K e y V a l u e O f D i a g r a m O b j e c t K e y a n y T y p e z b w N T n L X > < a : K e y V a l u e O f D i a g r a m O b j e c t K e y a n y T y p e z b w N T n L X > < a : K e y > < K e y > L i n k s \ & l t ; C o l u m n s \ S u m   o f   S c o p e   2   k g   C O 2 - e   1 7 & g t ; - & l t ; M e a s u r e s \ S c o p e   2   k g   C O 2 - e & g t ; \ M E A S U R E < / K e y > < / a : K e y > < a : V a l u e   i : t y p e = " M e a s u r e G r i d V i e w S t a t e I D i a g r a m L i n k E n d p o i n t " / > < / a : K e y V a l u e O f D i a g r a m O b j e c t K e y a n y T y p e z b w N T n L X > < a : K e y V a l u e O f D i a g r a m O b j e c t K e y a n y T y p e z b w N T n L X > < a : K e y > < K e y > L i n k s \ & l t ; C o l u m n s \ S u m   o f   S c o p e   3   k g   C O 2 - e   1 7 & g t ; - & l t ; M e a s u r e s \ S c o p e   3   k g   C O 2 - e & g t ; < / K e y > < / a : K e y > < a : V a l u e   i : t y p e = " M e a s u r e G r i d V i e w S t a t e I D i a g r a m L i n k " / > < / a : K e y V a l u e O f D i a g r a m O b j e c t K e y a n y T y p e z b w N T n L X > < a : K e y V a l u e O f D i a g r a m O b j e c t K e y a n y T y p e z b w N T n L X > < a : K e y > < K e y > L i n k s \ & l t ; C o l u m n s \ S u m   o f   S c o p e   3   k g   C O 2 - e   1 7 & g t ; - & l t ; M e a s u r e s \ S c o p e   3   k g   C O 2 - e & g t ; \ C O L U M N < / K e y > < / a : K e y > < a : V a l u e   i : t y p e = " M e a s u r e G r i d V i e w S t a t e I D i a g r a m L i n k E n d p o i n t " / > < / a : K e y V a l u e O f D i a g r a m O b j e c t K e y a n y T y p e z b w N T n L X > < a : K e y V a l u e O f D i a g r a m O b j e c t K e y a n y T y p e z b w N T n L X > < a : K e y > < K e y > L i n k s \ & l t ; C o l u m n s \ S u m   o f   S c o p e   3   k g   C O 2 - e   1 7 & g t ; - & l t ; M e a s u r e s \ S c o p e   3   k g   C O 2 - e & g t ; \ M E A S U R E < / K e y > < / a : K e y > < a : V a l u e   i : t y p e = " M e a s u r e G r i d V i e w S t a t e I D i a g r a m L i n k E n d p o i n t " / > < / a : K e y V a l u e O f D i a g r a m O b j e c t K e y a n y T y p e z b w N T n L X > < a : K e y V a l u e O f D i a g r a m O b j e c t K e y a n y T y p e z b w N T n L X > < a : K e y > < K e y > L i n k s \ & l t ; C o l u m n s \ S u m   o f   T o t a l   E m i s s i o n s   1 7 & g t ; - & l t ; M e a s u r e s \ T o t a l   E m i s s i o n s & g t ; < / K e y > < / a : K e y > < a : V a l u e   i : t y p e = " M e a s u r e G r i d V i e w S t a t e I D i a g r a m L i n k " / > < / a : K e y V a l u e O f D i a g r a m O b j e c t K e y a n y T y p e z b w N T n L X > < a : K e y V a l u e O f D i a g r a m O b j e c t K e y a n y T y p e z b w N T n L X > < a : K e y > < K e y > L i n k s \ & l t ; C o l u m n s \ S u m   o f   T o t a l   E m i s s i o n s   1 7 & g t ; - & l t ; M e a s u r e s \ T o t a l   E m i s s i o n s & g t ; \ C O L U M N < / K e y > < / a : K e y > < a : V a l u e   i : t y p e = " M e a s u r e G r i d V i e w S t a t e I D i a g r a m L i n k E n d p o i n t " / > < / a : K e y V a l u e O f D i a g r a m O b j e c t K e y a n y T y p e z b w N T n L X > < a : K e y V a l u e O f D i a g r a m O b j e c t K e y a n y T y p e z b w N T n L X > < a : K e y > < K e y > L i n k s \ & l t ; C o l u m n s \ S u m   o f   T o t a l   E m i s s i o n s   1 7 & g t ; - & l t ; M e a s u r e s \ T o t a l   E m i s s i o n s & g t ; \ M E A S U R E < / K e y > < / a : K e y > < a : V a l u e   i : t y p e = " M e a s u r e G r i d V i e w S t a t e I D i a g r a m L i n k E n d p o i n t " / > < / a : K e y V a l u e O f D i a g r a m O b j e c t K e y a n y T y p e z b w N T n L X > < / V i e w S t a t e s > < / D i a g r a m M a n a g e r . S e r i a l i z a b l e D i a g r a m > < D i a g r a m M a n a g e r . S e r i a l i z a b l e D i a g r a m > < A d a p t e r   i : t y p e = " M e a s u r e D i a g r a m S a n d b o x A d a p t e r " > < T a b l e N a m e > S a v i n g s _ D a t a 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 S a v i n g s _ D a t a < / 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 A n n u a l   E n e r g y   S a v i n g s   ( K W h ) < / K e y > < / D i a g r a m O b j e c t K e y > < D i a g r a m O b j e c t K e y > < K e y > M e a s u r e s \ S u m   o f   A n n u a l   E n e r g y   S a v i n g s   ( K W h ) \ T a g I n f o \ F o r m u l a < / K e y > < / D i a g r a m O b j e c t K e y > < D i a g r a m O b j e c t K e y > < K e y > M e a s u r e s \ S u m   o f   A n n u a l   E n e r g y   S a v i n g s   ( K W h ) \ T a g I n f o \ V a l u e < / K e y > < / D i a g r a m O b j e c t K e y > < D i a g r a m O b j e c t K e y > < K e y > M e a s u r e s \ S u m   o f   S c o p e   2   k g   C O 2 - e   1 8 < / K e y > < / D i a g r a m O b j e c t K e y > < D i a g r a m O b j e c t K e y > < K e y > M e a s u r e s \ S u m   o f   S c o p e   2   k g   C O 2 - e   1 8 \ T a g I n f o \ F o r m u l a < / K e y > < / D i a g r a m O b j e c t K e y > < D i a g r a m O b j e c t K e y > < K e y > M e a s u r e s \ S u m   o f   S c o p e   2   k g   C O 2 - e   1 8 \ T a g I n f o \ V a l u e < / K e y > < / D i a g r a m O b j e c t K e y > < D i a g r a m O b j e c t K e y > < K e y > M e a s u r e s \ S u m   o f   S c o p e   3   k g   C O 2 - e   1 9 < / K e y > < / D i a g r a m O b j e c t K e y > < D i a g r a m O b j e c t K e y > < K e y > M e a s u r e s \ S u m   o f   S c o p e   3   k g   C O 2 - e   1 9 \ T a g I n f o \ F o r m u l a < / K e y > < / D i a g r a m O b j e c t K e y > < D i a g r a m O b j e c t K e y > < K e y > M e a s u r e s \ S u m   o f   S c o p e   3   k g   C O 2 - e   1 9 \ T a g I n f o \ V a l u e < / K e y > < / D i a g r a m O b j e c t K e y > < D i a g r a m O b j e c t K e y > < K e y > M e a s u r e s \ S u m   o f   T o t a l   T o n n e s < / K e y > < / D i a g r a m O b j e c t K e y > < D i a g r a m O b j e c t K e y > < K e y > M e a s u r e s \ S u m   o f   T o t a l   T o n n e s \ T a g I n f o \ F o r m u l a < / K e y > < / D i a g r a m O b j e c t K e y > < D i a g r a m O b j e c t K e y > < K e y > M e a s u r e s \ S u m   o f   T o t a l   T o n n e s \ T a g I n f o \ V a l u e < / K e y > < / D i a g r a m O b j e c t K e y > < D i a g r a m O b j e c t K e y > < K e y > C o l u m n s \ R e p o r t i n g   A l i a s < / K e y > < / D i a g r a m O b j e c t K e y > < D i a g r a m O b j e c t K e y > < K e y > C o l u m n s \ P r o g r a m < / K e y > < / D i a g r a m O b j e c t K e y > < D i a g r a m O b j e c t K e y > < K e y > C o l u m n s \ R e l e a s e   / B u l k < / K e y > < / D i a g r a m O b j e c t K e y > < D i a g r a m O b j e c t K e y > < K e y > C o l u m n s \ O I D < / K e y > < / D i a g r a m O b j e c t K e y > < D i a g r a m O b j e c t K e y > < K e y > C o l u m n s \ S t a t e < / K e y > < / D i a g r a m O b j e c t K e y > < D i a g r a m O b j e c t K e y > < K e y > C o l u m n s \ S i t e   N a m e < / K e y > < / D i a g r a m O b j e c t K e y > < D i a g r a m O b j e c t K e y > < K e y > C o l u m n s \ A d d r e s s   I D < / K e y > < / D i a g r a m O b j e c t K e y > < D i a g r a m O b j e c t K e y > < K e y > C o l u m n s \ D e s c r i p t i o n   o f   A c t i o n s < / K e y > < / D i a g r a m O b j e c t K e y > < D i a g r a m O b j e c t K e y > < K e y > C o l u m n s \ R e p o r t   c a t e g o r y < / K e y > < / D i a g r a m O b j e c t K e y > < D i a g r a m O b j e c t K e y > < K e y > C o l u m n s \ C D P   c a t e g o r y < / K e y > < / D i a g r a m O b j e c t K e y > < D i a g r a m O b j e c t K e y > < K e y > C o l u m n s \ A c t u a l   C o m p l e t i o n   D a t e < / K e y > < / D i a g r a m O b j e c t K e y > < D i a g r a m O b j e c t K e y > < K e y > C o l u m n s \ A n n u a l   E n e r g y   S a v i n g s   ( K W h ) < / K e y > < / D i a g r a m O b j e c t K e y > < D i a g r a m O b j e c t K e y > < K e y > C o l u m n s \ S c o p e   2   k g   C O 2 - e < / K e y > < / D i a g r a m O b j e c t K e y > < D i a g r a m O b j e c t K e y > < K e y > C o l u m n s \ S c o p e   3   k g   C O 2 - e < / K e y > < / D i a g r a m O b j e c t K e y > < D i a g r a m O b j e c t K e y > < K e y > C o l u m n s \ T o t a l   T o n n e s < / K e y > < / D i a g r a m O b j e c t K e y > < D i a g r a m O b j e c t K e y > < K e y > C o l u m n s \ T o t a l   G J < / K e y > < / D i a g r a m O b j e c t K e y > < D i a g r a m O b j e c t K e y > < K e y > L i n k s \ & l t ; C o l u m n s \ S u m   o f   A n n u a l   E n e r g y   S a v i n g s   ( K W h ) & g t ; - & l t ; M e a s u r e s \ A n n u a l   E n e r g y   S a v i n g s   ( K W h ) & g t ; < / K e y > < / D i a g r a m O b j e c t K e y > < D i a g r a m O b j e c t K e y > < K e y > L i n k s \ & l t ; C o l u m n s \ S u m   o f   A n n u a l   E n e r g y   S a v i n g s   ( K W h ) & g t ; - & l t ; M e a s u r e s \ A n n u a l   E n e r g y   S a v i n g s   ( K W h ) & g t ; \ C O L U M N < / K e y > < / D i a g r a m O b j e c t K e y > < D i a g r a m O b j e c t K e y > < K e y > L i n k s \ & l t ; C o l u m n s \ S u m   o f   A n n u a l   E n e r g y   S a v i n g s   ( K W h ) & g t ; - & l t ; M e a s u r e s \ A n n u a l   E n e r g y   S a v i n g s   ( K W h ) & g t ; \ M E A S U R E < / K e y > < / D i a g r a m O b j e c t K e y > < D i a g r a m O b j e c t K e y > < K e y > L i n k s \ & l t ; C o l u m n s \ S u m   o f   S c o p e   2   k g   C O 2 - e   1 8 & g t ; - & l t ; M e a s u r e s \ S c o p e   2   k g   C O 2 - e & g t ; < / K e y > < / D i a g r a m O b j e c t K e y > < D i a g r a m O b j e c t K e y > < K e y > L i n k s \ & l t ; C o l u m n s \ S u m   o f   S c o p e   2   k g   C O 2 - e   1 8 & g t ; - & l t ; M e a s u r e s \ S c o p e   2   k g   C O 2 - e & g t ; \ C O L U M N < / K e y > < / D i a g r a m O b j e c t K e y > < D i a g r a m O b j e c t K e y > < K e y > L i n k s \ & l t ; C o l u m n s \ S u m   o f   S c o p e   2   k g   C O 2 - e   1 8 & g t ; - & l t ; M e a s u r e s \ S c o p e   2   k g   C O 2 - e & g t ; \ M E A S U R E < / K e y > < / D i a g r a m O b j e c t K e y > < D i a g r a m O b j e c t K e y > < K e y > L i n k s \ & l t ; C o l u m n s \ S u m   o f   S c o p e   3   k g   C O 2 - e   1 9 & g t ; - & l t ; M e a s u r e s \ S c o p e   3   k g   C O 2 - e & g t ; < / K e y > < / D i a g r a m O b j e c t K e y > < D i a g r a m O b j e c t K e y > < K e y > L i n k s \ & l t ; C o l u m n s \ S u m   o f   S c o p e   3   k g   C O 2 - e   1 9 & g t ; - & l t ; M e a s u r e s \ S c o p e   3   k g   C O 2 - e & g t ; \ C O L U M N < / K e y > < / D i a g r a m O b j e c t K e y > < D i a g r a m O b j e c t K e y > < K e y > L i n k s \ & l t ; C o l u m n s \ S u m   o f   S c o p e   3   k g   C O 2 - e   1 9 & g t ; - & l t ; M e a s u r e s \ S c o p e   3   k g   C O 2 - e & g t ; \ M E A S U R E < / K e y > < / D i a g r a m O b j e c t K e y > < D i a g r a m O b j e c t K e y > < K e y > L i n k s \ & l t ; C o l u m n s \ S u m   o f   T o t a l   T o n n e s & g t ; - & l t ; M e a s u r e s \ T o t a l   T o n n e s & g t ; < / K e y > < / D i a g r a m O b j e c t K e y > < D i a g r a m O b j e c t K e y > < K e y > L i n k s \ & l t ; C o l u m n s \ S u m   o f   T o t a l   T o n n e s & g t ; - & l t ; M e a s u r e s \ T o t a l   T o n n e s & g t ; \ C O L U M N < / K e y > < / D i a g r a m O b j e c t K e y > < D i a g r a m O b j e c t K e y > < K e y > L i n k s \ & l t ; C o l u m n s \ S u m   o f   T o t a l   T o n n e s & g t ; - & l t ; M e a s u r e s \ T o t a l   T o n n e s & g t ; \ M E A S U R E 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 A n n u a l   E n e r g y   S a v i n g s   ( K W h ) < / K e y > < / a : K e y > < a : V a l u e   i : t y p e = " M e a s u r e G r i d N o d e V i e w S t a t e " > < C o l u m n > 1 1 < / C o l u m n > < L a y e d O u t > t r u e < / L a y e d O u t > < W a s U I I n v i s i b l e > t r u e < / W a s U I I n v i s i b l e > < / a : V a l u e > < / a : K e y V a l u e O f D i a g r a m O b j e c t K e y a n y T y p e z b w N T n L X > < a : K e y V a l u e O f D i a g r a m O b j e c t K e y a n y T y p e z b w N T n L X > < a : K e y > < K e y > M e a s u r e s \ S u m   o f   A n n u a l   E n e r g y   S a v i n g s   ( K W h ) \ T a g I n f o \ F o r m u l a < / K e y > < / a : K e y > < a : V a l u e   i : t y p e = " M e a s u r e G r i d V i e w S t a t e I D i a g r a m T a g A d d i t i o n a l I n f o " / > < / a : K e y V a l u e O f D i a g r a m O b j e c t K e y a n y T y p e z b w N T n L X > < a : K e y V a l u e O f D i a g r a m O b j e c t K e y a n y T y p e z b w N T n L X > < a : K e y > < K e y > M e a s u r e s \ S u m   o f   A n n u a l   E n e r g y   S a v i n g s   ( K W h ) \ T a g I n f o \ V a l u e < / K e y > < / a : K e y > < a : V a l u e   i : t y p e = " M e a s u r e G r i d V i e w S t a t e I D i a g r a m T a g A d d i t i o n a l I n f o " / > < / a : K e y V a l u e O f D i a g r a m O b j e c t K e y a n y T y p e z b w N T n L X > < a : K e y V a l u e O f D i a g r a m O b j e c t K e y a n y T y p e z b w N T n L X > < a : K e y > < K e y > M e a s u r e s \ S u m   o f   S c o p e   2   k g   C O 2 - e   1 8 < / K e y > < / a : K e y > < a : V a l u e   i : t y p e = " M e a s u r e G r i d N o d e V i e w S t a t e " > < C o l u m n > 1 2 < / C o l u m n > < L a y e d O u t > t r u e < / L a y e d O u t > < W a s U I I n v i s i b l e > t r u e < / W a s U I I n v i s i b l e > < / a : V a l u e > < / a : K e y V a l u e O f D i a g r a m O b j e c t K e y a n y T y p e z b w N T n L X > < a : K e y V a l u e O f D i a g r a m O b j e c t K e y a n y T y p e z b w N T n L X > < a : K e y > < K e y > M e a s u r e s \ S u m   o f   S c o p e   2   k g   C O 2 - e   1 8 \ T a g I n f o \ F o r m u l a < / K e y > < / a : K e y > < a : V a l u e   i : t y p e = " M e a s u r e G r i d V i e w S t a t e I D i a g r a m T a g A d d i t i o n a l I n f o " / > < / a : K e y V a l u e O f D i a g r a m O b j e c t K e y a n y T y p e z b w N T n L X > < a : K e y V a l u e O f D i a g r a m O b j e c t K e y a n y T y p e z b w N T n L X > < a : K e y > < K e y > M e a s u r e s \ S u m   o f   S c o p e   2   k g   C O 2 - e   1 8 \ T a g I n f o \ V a l u e < / K e y > < / a : K e y > < a : V a l u e   i : t y p e = " M e a s u r e G r i d V i e w S t a t e I D i a g r a m T a g A d d i t i o n a l I n f o " / > < / a : K e y V a l u e O f D i a g r a m O b j e c t K e y a n y T y p e z b w N T n L X > < a : K e y V a l u e O f D i a g r a m O b j e c t K e y a n y T y p e z b w N T n L X > < a : K e y > < K e y > M e a s u r e s \ S u m   o f   S c o p e   3   k g   C O 2 - e   1 9 < / K e y > < / a : K e y > < a : V a l u e   i : t y p e = " M e a s u r e G r i d N o d e V i e w S t a t e " > < C o l u m n > 1 3 < / C o l u m n > < L a y e d O u t > t r u e < / L a y e d O u t > < W a s U I I n v i s i b l e > t r u e < / W a s U I I n v i s i b l e > < / a : V a l u e > < / a : K e y V a l u e O f D i a g r a m O b j e c t K e y a n y T y p e z b w N T n L X > < a : K e y V a l u e O f D i a g r a m O b j e c t K e y a n y T y p e z b w N T n L X > < a : K e y > < K e y > M e a s u r e s \ S u m   o f   S c o p e   3   k g   C O 2 - e   1 9 \ T a g I n f o \ F o r m u l a < / K e y > < / a : K e y > < a : V a l u e   i : t y p e = " M e a s u r e G r i d V i e w S t a t e I D i a g r a m T a g A d d i t i o n a l I n f o " / > < / a : K e y V a l u e O f D i a g r a m O b j e c t K e y a n y T y p e z b w N T n L X > < a : K e y V a l u e O f D i a g r a m O b j e c t K e y a n y T y p e z b w N T n L X > < a : K e y > < K e y > M e a s u r e s \ S u m   o f   S c o p e   3   k g   C O 2 - e   1 9 \ T a g I n f o \ V a l u e < / K e y > < / a : K e y > < a : V a l u e   i : t y p e = " M e a s u r e G r i d V i e w S t a t e I D i a g r a m T a g A d d i t i o n a l I n f o " / > < / a : K e y V a l u e O f D i a g r a m O b j e c t K e y a n y T y p e z b w N T n L X > < a : K e y V a l u e O f D i a g r a m O b j e c t K e y a n y T y p e z b w N T n L X > < a : K e y > < K e y > M e a s u r e s \ S u m   o f   T o t a l   T o n n e s < / K e y > < / a : K e y > < a : V a l u e   i : t y p e = " M e a s u r e G r i d N o d e V i e w S t a t e " > < C o l u m n > 1 4 < / C o l u m n > < L a y e d O u t > t r u e < / L a y e d O u t > < W a s U I I n v i s i b l e > t r u e < / W a s U I I n v i s i b l e > < / a : V a l u e > < / a : K e y V a l u e O f D i a g r a m O b j e c t K e y a n y T y p e z b w N T n L X > < a : K e y V a l u e O f D i a g r a m O b j e c t K e y a n y T y p e z b w N T n L X > < a : K e y > < K e y > M e a s u r e s \ S u m   o f   T o t a l   T o n n e s \ T a g I n f o \ F o r m u l a < / K e y > < / a : K e y > < a : V a l u e   i : t y p e = " M e a s u r e G r i d V i e w S t a t e I D i a g r a m T a g A d d i t i o n a l I n f o " / > < / a : K e y V a l u e O f D i a g r a m O b j e c t K e y a n y T y p e z b w N T n L X > < a : K e y V a l u e O f D i a g r a m O b j e c t K e y a n y T y p e z b w N T n L X > < a : K e y > < K e y > M e a s u r e s \ S u m   o f   T o t a l   T o n n e s \ T a g I n f o \ V a l u e 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 C o l u m n s \ P r o g r a m < / K e y > < / a : K e y > < a : V a l u e   i : t y p e = " M e a s u r e G r i d N o d e V i e w S t a t e " > < C o l u m n > 1 < / C o l u m n > < L a y e d O u t > t r u e < / L a y e d O u t > < / a : V a l u e > < / a : K e y V a l u e O f D i a g r a m O b j e c t K e y a n y T y p e z b w N T n L X > < a : K e y V a l u e O f D i a g r a m O b j e c t K e y a n y T y p e z b w N T n L X > < a : K e y > < K e y > C o l u m n s \ R e l e a s e   / B u l k < / K e y > < / a : K e y > < a : V a l u e   i : t y p e = " M e a s u r e G r i d N o d e V i e w S t a t e " > < C o l u m n > 2 < / C o l u m n > < L a y e d O u t > t r u e < / L a y e d O u t > < / a : V a l u e > < / a : K e y V a l u e O f D i a g r a m O b j e c t K e y a n y T y p e z b w N T n L X > < a : K e y V a l u e O f D i a g r a m O b j e c t K e y a n y T y p e z b w N T n L X > < a : K e y > < K e y > C o l u m n s \ O I D < / K e y > < / a : K e y > < a : V a l u e   i : t y p e = " M e a s u r e G r i d N o d e V i e w S t a t e " > < C o l u m n > 3 < / C o l u m n > < L a y e d O u t > t r u e < / L a y e d O u t > < / a : V a l u e > < / a : K e y V a l u e O f D i a g r a m O b j e c t K e y a n y T y p e z b w N T n L X > < a : K e y V a l u e O f D i a g r a m O b j e c t K e y a n y T y p e z b w N T n L X > < a : K e y > < K e y > C o l u m n s \ S t a t e < / K e y > < / a : K e y > < a : V a l u e   i : t y p e = " M e a s u r e G r i d N o d e V i e w S t a t e " > < C o l u m n > 4 < / C o l u m n > < L a y e d O u t > t r u e < / L a y e d O u t > < / a : V a l u e > < / a : K e y V a l u e O f D i a g r a m O b j e c t K e y a n y T y p e z b w N T n L X > < a : K e y V a l u e O f D i a g r a m O b j e c t K e y a n y T y p e z b w N T n L X > < a : K e y > < K e y > C o l u m n s \ S i t e   N a m e < / K e y > < / a : K e y > < a : V a l u e   i : t y p e = " M e a s u r e G r i d N o d e V i e w S t a t e " > < C o l u m n > 5 < / C o l u m n > < L a y e d O u t > t r u e < / L a y e d O u t > < / a : V a l u e > < / a : K e y V a l u e O f D i a g r a m O b j e c t K e y a n y T y p e z b w N T n L X > < a : K e y V a l u e O f D i a g r a m O b j e c t K e y a n y T y p e z b w N T n L X > < a : K e y > < K e y > C o l u m n s \ A d d r e s s   I D < / K e y > < / a : K e y > < a : V a l u e   i : t y p e = " M e a s u r e G r i d N o d e V i e w S t a t e " > < C o l u m n > 6 < / C o l u m n > < L a y e d O u t > t r u e < / L a y e d O u t > < / a : V a l u e > < / a : K e y V a l u e O f D i a g r a m O b j e c t K e y a n y T y p e z b w N T n L X > < a : K e y V a l u e O f D i a g r a m O b j e c t K e y a n y T y p e z b w N T n L X > < a : K e y > < K e y > C o l u m n s \ D e s c r i p t i o n   o f   A c t i o n s < / K e y > < / a : K e y > < a : V a l u e   i : t y p e = " M e a s u r e G r i d N o d e V i e w S t a t e " > < C o l u m n > 7 < / C o l u m n > < L a y e d O u t > t r u e < / L a y e d O u t > < / a : V a l u e > < / a : K e y V a l u e O f D i a g r a m O b j e c t K e y a n y T y p e z b w N T n L X > < a : K e y V a l u e O f D i a g r a m O b j e c t K e y a n y T y p e z b w N T n L X > < a : K e y > < K e y > C o l u m n s \ R e p o r t   c a t e g o r y < / K e y > < / a : K e y > < a : V a l u e   i : t y p e = " M e a s u r e G r i d N o d e V i e w S t a t e " > < C o l u m n > 8 < / C o l u m n > < L a y e d O u t > t r u e < / L a y e d O u t > < / a : V a l u e > < / a : K e y V a l u e O f D i a g r a m O b j e c t K e y a n y T y p e z b w N T n L X > < a : K e y V a l u e O f D i a g r a m O b j e c t K e y a n y T y p e z b w N T n L X > < a : K e y > < K e y > C o l u m n s \ C D P   c a t e g o r y < / K e y > < / a : K e y > < a : V a l u e   i : t y p e = " M e a s u r e G r i d N o d e V i e w S t a t e " > < C o l u m n > 9 < / C o l u m n > < L a y e d O u t > t r u e < / L a y e d O u t > < / a : V a l u e > < / a : K e y V a l u e O f D i a g r a m O b j e c t K e y a n y T y p e z b w N T n L X > < a : K e y V a l u e O f D i a g r a m O b j e c t K e y a n y T y p e z b w N T n L X > < a : K e y > < K e y > C o l u m n s \ A c t u a l   C o m p l e t i o n   D a t e < / K e y > < / a : K e y > < a : V a l u e   i : t y p e = " M e a s u r e G r i d N o d e V i e w S t a t e " > < C o l u m n > 1 0 < / C o l u m n > < L a y e d O u t > t r u e < / L a y e d O u t > < / a : V a l u e > < / a : K e y V a l u e O f D i a g r a m O b j e c t K e y a n y T y p e z b w N T n L X > < a : K e y V a l u e O f D i a g r a m O b j e c t K e y a n y T y p e z b w N T n L X > < a : K e y > < K e y > C o l u m n s \ A n n u a l   E n e r g y   S a v i n g s   ( K W h ) < / K e y > < / a : K e y > < a : V a l u e   i : t y p e = " M e a s u r e G r i d N o d e V i e w S t a t e " > < C o l u m n > 1 1 < / C o l u m n > < L a y e d O u t > t r u e < / L a y e d O u t > < / a : V a l u e > < / a : K e y V a l u e O f D i a g r a m O b j e c t K e y a n y T y p e z b w N T n L X > < a : K e y V a l u e O f D i a g r a m O b j e c t K e y a n y T y p e z b w N T n L X > < a : K e y > < K e y > C o l u m n s \ S c o p e   2   k g   C O 2 - e < / K e y > < / a : K e y > < a : V a l u e   i : t y p e = " M e a s u r e G r i d N o d e V i e w S t a t e " > < C o l u m n > 1 2 < / C o l u m n > < L a y e d O u t > t r u e < / L a y e d O u t > < / a : V a l u e > < / a : K e y V a l u e O f D i a g r a m O b j e c t K e y a n y T y p e z b w N T n L X > < a : K e y V a l u e O f D i a g r a m O b j e c t K e y a n y T y p e z b w N T n L X > < a : K e y > < K e y > C o l u m n s \ S c o p e   3   k g   C O 2 - e < / K e y > < / a : K e y > < a : V a l u e   i : t y p e = " M e a s u r e G r i d N o d e V i e w S t a t e " > < C o l u m n > 1 3 < / C o l u m n > < L a y e d O u t > t r u e < / L a y e d O u t > < / a : V a l u e > < / a : K e y V a l u e O f D i a g r a m O b j e c t K e y a n y T y p e z b w N T n L X > < a : K e y V a l u e O f D i a g r a m O b j e c t K e y a n y T y p e z b w N T n L X > < a : K e y > < K e y > C o l u m n s \ T o t a l   T o n n e s < / K e y > < / a : K e y > < a : V a l u e   i : t y p e = " M e a s u r e G r i d N o d e V i e w S t a t e " > < C o l u m n > 1 4 < / C o l u m n > < L a y e d O u t > t r u e < / L a y e d O u t > < / a : V a l u e > < / a : K e y V a l u e O f D i a g r a m O b j e c t K e y a n y T y p e z b w N T n L X > < a : K e y V a l u e O f D i a g r a m O b j e c t K e y a n y T y p e z b w N T n L X > < a : K e y > < K e y > C o l u m n s \ T o t a l   G J < / K e y > < / a : K e y > < a : V a l u e   i : t y p e = " M e a s u r e G r i d N o d e V i e w S t a t e " > < C o l u m n > 1 5 < / C o l u m n > < L a y e d O u t > t r u e < / L a y e d O u t > < / a : V a l u e > < / a : K e y V a l u e O f D i a g r a m O b j e c t K e y a n y T y p e z b w N T n L X > < a : K e y V a l u e O f D i a g r a m O b j e c t K e y a n y T y p e z b w N T n L X > < a : K e y > < K e y > L i n k s \ & l t ; C o l u m n s \ S u m   o f   A n n u a l   E n e r g y   S a v i n g s   ( K W h ) & g t ; - & l t ; M e a s u r e s \ A n n u a l   E n e r g y   S a v i n g s   ( K W h ) & g t ; < / K e y > < / a : K e y > < a : V a l u e   i : t y p e = " M e a s u r e G r i d V i e w S t a t e I D i a g r a m L i n k " / > < / a : K e y V a l u e O f D i a g r a m O b j e c t K e y a n y T y p e z b w N T n L X > < a : K e y V a l u e O f D i a g r a m O b j e c t K e y a n y T y p e z b w N T n L X > < a : K e y > < K e y > L i n k s \ & l t ; C o l u m n s \ S u m   o f   A n n u a l   E n e r g y   S a v i n g s   ( K W h ) & g t ; - & l t ; M e a s u r e s \ A n n u a l   E n e r g y   S a v i n g s   ( K W h ) & g t ; \ C O L U M N < / K e y > < / a : K e y > < a : V a l u e   i : t y p e = " M e a s u r e G r i d V i e w S t a t e I D i a g r a m L i n k E n d p o i n t " / > < / a : K e y V a l u e O f D i a g r a m O b j e c t K e y a n y T y p e z b w N T n L X > < a : K e y V a l u e O f D i a g r a m O b j e c t K e y a n y T y p e z b w N T n L X > < a : K e y > < K e y > L i n k s \ & l t ; C o l u m n s \ S u m   o f   A n n u a l   E n e r g y   S a v i n g s   ( K W h ) & g t ; - & l t ; M e a s u r e s \ A n n u a l   E n e r g y   S a v i n g s   ( K W h ) & g t ; \ M E A S U R E < / K e y > < / a : K e y > < a : V a l u e   i : t y p e = " M e a s u r e G r i d V i e w S t a t e I D i a g r a m L i n k E n d p o i n t " / > < / a : K e y V a l u e O f D i a g r a m O b j e c t K e y a n y T y p e z b w N T n L X > < a : K e y V a l u e O f D i a g r a m O b j e c t K e y a n y T y p e z b w N T n L X > < a : K e y > < K e y > L i n k s \ & l t ; C o l u m n s \ S u m   o f   S c o p e   2   k g   C O 2 - e   1 8 & g t ; - & l t ; M e a s u r e s \ S c o p e   2   k g   C O 2 - e & g t ; < / K e y > < / a : K e y > < a : V a l u e   i : t y p e = " M e a s u r e G r i d V i e w S t a t e I D i a g r a m L i n k " / > < / a : K e y V a l u e O f D i a g r a m O b j e c t K e y a n y T y p e z b w N T n L X > < a : K e y V a l u e O f D i a g r a m O b j e c t K e y a n y T y p e z b w N T n L X > < a : K e y > < K e y > L i n k s \ & l t ; C o l u m n s \ S u m   o f   S c o p e   2   k g   C O 2 - e   1 8 & g t ; - & l t ; M e a s u r e s \ S c o p e   2   k g   C O 2 - e & g t ; \ C O L U M N < / K e y > < / a : K e y > < a : V a l u e   i : t y p e = " M e a s u r e G r i d V i e w S t a t e I D i a g r a m L i n k E n d p o i n t " / > < / a : K e y V a l u e O f D i a g r a m O b j e c t K e y a n y T y p e z b w N T n L X > < a : K e y V a l u e O f D i a g r a m O b j e c t K e y a n y T y p e z b w N T n L X > < a : K e y > < K e y > L i n k s \ & l t ; C o l u m n s \ S u m   o f   S c o p e   2   k g   C O 2 - e   1 8 & g t ; - & l t ; M e a s u r e s \ S c o p e   2   k g   C O 2 - e & g t ; \ M E A S U R E < / K e y > < / a : K e y > < a : V a l u e   i : t y p e = " M e a s u r e G r i d V i e w S t a t e I D i a g r a m L i n k E n d p o i n t " / > < / a : K e y V a l u e O f D i a g r a m O b j e c t K e y a n y T y p e z b w N T n L X > < a : K e y V a l u e O f D i a g r a m O b j e c t K e y a n y T y p e z b w N T n L X > < a : K e y > < K e y > L i n k s \ & l t ; C o l u m n s \ S u m   o f   S c o p e   3   k g   C O 2 - e   1 9 & g t ; - & l t ; M e a s u r e s \ S c o p e   3   k g   C O 2 - e & g t ; < / K e y > < / a : K e y > < a : V a l u e   i : t y p e = " M e a s u r e G r i d V i e w S t a t e I D i a g r a m L i n k " / > < / a : K e y V a l u e O f D i a g r a m O b j e c t K e y a n y T y p e z b w N T n L X > < a : K e y V a l u e O f D i a g r a m O b j e c t K e y a n y T y p e z b w N T n L X > < a : K e y > < K e y > L i n k s \ & l t ; C o l u m n s \ S u m   o f   S c o p e   3   k g   C O 2 - e   1 9 & g t ; - & l t ; M e a s u r e s \ S c o p e   3   k g   C O 2 - e & g t ; \ C O L U M N < / K e y > < / a : K e y > < a : V a l u e   i : t y p e = " M e a s u r e G r i d V i e w S t a t e I D i a g r a m L i n k E n d p o i n t " / > < / a : K e y V a l u e O f D i a g r a m O b j e c t K e y a n y T y p e z b w N T n L X > < a : K e y V a l u e O f D i a g r a m O b j e c t K e y a n y T y p e z b w N T n L X > < a : K e y > < K e y > L i n k s \ & l t ; C o l u m n s \ S u m   o f   S c o p e   3   k g   C O 2 - e   1 9 & g t ; - & l t ; M e a s u r e s \ S c o p e   3   k g   C O 2 - e & g t ; \ M E A S U R E < / K e y > < / a : K e y > < a : V a l u e   i : t y p e = " M e a s u r e G r i d V i e w S t a t e I D i a g r a m L i n k E n d p o i n t " / > < / a : K e y V a l u e O f D i a g r a m O b j e c t K e y a n y T y p e z b w N T n L X > < a : K e y V a l u e O f D i a g r a m O b j e c t K e y a n y T y p e z b w N T n L X > < a : K e y > < K e y > L i n k s \ & l t ; C o l u m n s \ S u m   o f   T o t a l   T o n n e s & g t ; - & l t ; M e a s u r e s \ T o t a l   T o n n e s & g t ; < / K e y > < / a : K e y > < a : V a l u e   i : t y p e = " M e a s u r e G r i d V i e w S t a t e I D i a g r a m L i n k " / > < / a : K e y V a l u e O f D i a g r a m O b j e c t K e y a n y T y p e z b w N T n L X > < a : K e y V a l u e O f D i a g r a m O b j e c t K e y a n y T y p e z b w N T n L X > < a : K e y > < K e y > L i n k s \ & l t ; C o l u m n s \ S u m   o f   T o t a l   T o n n e s & g t ; - & l t ; M e a s u r e s \ T o t a l   T o n n e s & g t ; \ C O L U M N < / K e y > < / a : K e y > < a : V a l u e   i : t y p e = " M e a s u r e G r i d V i e w S t a t e I D i a g r a m L i n k E n d p o i n t " / > < / a : K e y V a l u e O f D i a g r a m O b j e c t K e y a n y T y p e z b w N T n L X > < a : K e y V a l u e O f D i a g r a m O b j e c t K e y a n y T y p e z b w N T n L X > < a : K e y > < K e y > L i n k s \ & l t ; C o l u m n s \ S u m   o f   T o t a l   T o n n e s & g t ; - & l t ; M e a s u r e s \ T o t a l   T o n n e s & g t ; \ M E A S U R E 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 T a g s \ T a b l e s \ & l t ; T a b l e s \ G H G & g t ; < / K e y > < / D i a g r a m O b j e c t K e y > < D i a g r a m O b j e c t K e y > < K e y > D y n a m i c   T a g s \ T a b l e s \ & l t ; T a b l e s \ F l i g h t _ M o d e l & g t ; < / K e y > < / D i a g r a m O b j e c t K e y > < D i a g r a m O b j e c t K e y > < K e y > D y n a m i c   T a g s \ T a b l e s \ & l t ; T a b l e s \ P a p e r _ C S R & g t ; < / K e y > < / D i a g r a m O b j e c t K e y > < D i a g r a m O b j e c t K e y > < K e y > D y n a m i c   T a g s \ T a b l e s \ & l t ; T a b l e s \ S a v i n g s _ D a t a & g t ; < / K e y > < / D i a g r a m O b j e c t K e y > < D i a g r a m O b j e c t K e y > < K e y > D y n a m i c   T a g s \ T a b l e s \ & l t ; T a b l e s \ S u m m a r y & g t ; < / K e y > < / D i a g r a m O b j e c t K e y > < D i a g r a m O b j e c t K e y > < K e y > D y n a m i c   T a g s \ T a b l e s \ & l t ; T a b l e s \ B C A _ R e m o v a l & g t ; < / K e y > < / D i a g r a m O b j e c t K e y > < D i a g r a m O b j e c t K e y > < K e y > D y n a m i c   T a g s \ T a b l e s \ & l t ; T a b l e s \ N B N _ R e m o v a l & g t ; < / K e y > < / D i a g r a m O b j e c t K e y > < D i a g r a m O b j e c t K e y > < K e y > D y n a m i c   T a g s \ T a b l e s \ & l t ; T a b l e s \ S E _ G a s & g t ; < / K e y > < / D i a g r a m O b j e c t K e y > < D i a g r a m O b j e c t K e y > < K e y > D y n a m i c   T a g s \ T a b l e s \ & l t ; T a b l e s \ N E T _ G e n s e t _ G r o u n d s & g t ; < / K e y > < / D i a g r a m O b j e c t K e y > < D i a g r a m O b j e c t K e y > < K e y > D y n a m i c   T a g s \ T a b l e s \ & l t ; T a b l e s \ P e r c e n t a g e _ E s t i m a t e s & g t ; < / K e y > < / D i a g r a m O b j e c t K e y > < D i a g r a m O b j e c t K e y > < K e y > D y n a m i c   T a g s \ T a b l e s \ & l t ; T a b l e s \ P i t w a t e r & g t ; < / K e y > < / D i a g r a m O b j e c t K e y > < D i a g r a m O b j e c t K e y > < K e y > D y n a m i c   T a g s \ T a b l e s \ & l t ; T a b l e s \ S o l a r & g t ; < / K e y > < / D i a g r a m O b j e c t K e y > < D i a g r a m O b j e c t K e y > < K e y > D y n a m i c   T a g s \ T a b l e s \ & l t ; T a b l e s \ G r o u n d s _ F u e l s & g t ; < / K e y > < / D i a g r a m O b j e c t K e y > < D i a g r a m O b j e c t K e y > < K e y > D y n a m i c   T a g s \ T a b l e s \ & l t ; T a b l e s \ C o n t r a c t o r _ F u e l s & g t ; < / K e y > < / D i a g r a m O b j e c t K e y > < D i a g r a m O b j e c t K e y > < K e y > D y n a m i c   T a g s \ T a b l e s \ & l t ; T a b l e s \ A V I S & g t ; < / K e y > < / D i a g r a m O b j e c t K e y > < D i a g r a m O b j e c t K e y > < K e y > D y n a m i c   T a g s \ T a b l e s \ & l t ; T a b l e s \ L P _ F l e e t & g t ; < / K e y > < / D i a g r a m O b j e c t K e y > < D i a g r a m O b j e c t K e y > < K e y > D y n a m i c   T a g s \ T a b l e s \ & l t ; T a b l e s \ N O N _ G e n s e t & g t ; < / K e y > < / D i a g r a m O b j e c t K e y > < D i a g r a m O b j e c t K e y > < K e y > D y n a m i c   T a g s \ T a b l e s \ & l t ; T a b l e s \ D C _ G e n s e t & g t ; < / K e y > < / D i a g r a m O b j e c t K e y > < D i a g r a m O b j e c t K e y > < K e y > D y n a m i c   T a g s \ T a b l e s \ & l t ; T a b l e s \ T e l s t r a B C A & g t ; < / K e y > < / D i a g r a m O b j e c t K e y > < D i a g r a m O b j e c t K e y > < K e y > D y n a m i c   T a g s \ T a b l e s \ & l t ; T a b l e s \ L P _ S t a t i o n a r y & g t ; < / K e y > < / D i a g r a m O b j e c t K e y > < D i a g r a m O b j e c t K e y > < K e y > T a b l e s \ G H G < / K e y > < / D i a g r a m O b j e c t K e y > < D i a g r a m O b j e c t K e y > < K e y > T a b l e s \ G H G \ C o l u m n s \ R e p o r t i n g   A l i a s < / K e y > < / D i a g r a m O b j e c t K e y > < D i a g r a m O b j e c t K e y > < K e y > T a b l e s \ G H G \ C o l u m n s \ E n e r g y   C a t e g o r y < / K e y > < / D i a g r a m O b j e c t K e y > < D i a g r a m O b j e c t K e y > < K e y > T a b l e s \ G H G \ C o l u m n s \ P u r p o s e < / K e y > < / D i a g r a m O b j e c t K e y > < D i a g r a m O b j e c t K e y > < K e y > T a b l e s \ G H G \ C o l u m n s \ S t a t e < / K e y > < / D i a g r a m O b j e c t K e y > < D i a g r a m O b j e c t K e y > < K e y > T a b l e s \ G H G \ C o l u m n s \ D e f a u l t   U n i t < / K e y > < / D i a g r a m O b j e c t K e y > < D i a g r a m O b j e c t K e y > < K e y > T a b l e s \ G H G \ C o l u m n s \ U n i t   C o n v e r s i o n   F a c t o r < / K e y > < / D i a g r a m O b j e c t K e y > < D i a g r a m O b j e c t K e y > < K e y > T a b l e s \ G H G \ C o l u m n s \ U n i t < / K e y > < / D i a g r a m O b j e c t K e y > < D i a g r a m O b j e c t K e y > < K e y > T a b l e s \ G H G \ C o l u m n s \ E n e r g y   c o n t e n t   f a c t o r < / K e y > < / D i a g r a m O b j e c t K e y > < D i a g r a m O b j e c t K e y > < K e y > T a b l e s \ G H G \ C o l u m n s \ E C   U n i t < / K e y > < / D i a g r a m O b j e c t K e y > < D i a g r a m O b j e c t K e y > < K e y > T a b l e s \ G H G \ C o l u m n s \ S c o p e   1   E m i s s i o n   f a c t o r < / K e y > < / D i a g r a m O b j e c t K e y > < D i a g r a m O b j e c t K e y > < K e y > T a b l e s \ G H G \ C o l u m n s \ S c o p e   2   E m i s s i o n   f a c t o r < / K e y > < / D i a g r a m O b j e c t K e y > < D i a g r a m O b j e c t K e y > < K e y > T a b l e s \ G H G \ C o l u m n s \ S c o p e   3   E m i s s i o n   f a c t o r < / K e y > < / D i a g r a m O b j e c t K e y > < D i a g r a m O b j e c t K e y > < K e y > T a b l e s \ G H G \ C o l u m n s \ E F   U n i t < / K e y > < / D i a g r a m O b j e c t K e y > < D i a g r a m O b j e c t K e y > < K e y > T a b l e s \ G H G \ C o l u m n s \ D a t a   S o u r c e   ( s c o p e   1 ) < / K e y > < / D i a g r a m O b j e c t K e y > < D i a g r a m O b j e c t K e y > < K e y > T a b l e s \ G H G \ C o l u m n s \ D a t a   S o u r c e   ( s c o p e   2 ) < / K e y > < / D i a g r a m O b j e c t K e y > < D i a g r a m O b j e c t K e y > < K e y > T a b l e s \ G H G \ C o l u m n s \ D a t a   S o u r c e   ( s c o p e   3 ) < / K e y > < / D i a g r a m O b j e c t K e y > < D i a g r a m O b j e c t K e y > < K e y > T a b l e s \ F l i g h t _ M o d e l < / K e y > < / D i a g r a m O b j e c t K e y > < D i a g r a m O b j e c t K e y > < K e y > T a b l e s \ F l i g h t _ M o d e l \ C o l u m n s \ R e p o r t i n g   A l i a s < / K e y > < / D i a g r a m O b j e c t K e y > < D i a g r a m O b j e c t K e y > < K e y > T a b l e s \ F l i g h t _ M o d e l \ C o l u m n s \ U n i t < / K e y > < / D i a g r a m O b j e c t K e y > < D i a g r a m O b j e c t K e y > < K e y > T a b l e s \ F l i g h t _ M o d e l \ M e a s u r e s \ S u m   o f   U n i t < / K e y > < / D i a g r a m O b j e c t K e y > < D i a g r a m O b j e c t K e y > < K e y > T a b l e s \ F l i g h t _ M o d e l \ S u m   o f   U n i t \ A d d i t i o n a l   I n f o \ I m p l i c i t   C a l c u l a t e d   F i e l d < / K e y > < / D i a g r a m O b j e c t K e y > < D i a g r a m O b j e c t K e y > < K e y > T a b l e s \ P a p e r _ C S R < / K e y > < / D i a g r a m O b j e c t K e y > < D i a g r a m O b j e c t K e y > < K e y > T a b l e s \ P a p e r _ C S R \ C o l u m n s \ R e p o r t i n g   A l i a s < / K e y > < / D i a g r a m O b j e c t K e y > < D i a g r a m O b j e c t K e y > < K e y > T a b l e s \ P a p e r _ C S R \ C o l u m n s \ t < / K e y > < / D i a g r a m O b j e c t K e y > < D i a g r a m O b j e c t K e y > < K e y > T a b l e s \ S a v i n g s _ D a t a < / K e y > < / D i a g r a m O b j e c t K e y > < D i a g r a m O b j e c t K e y > < K e y > T a b l e s \ S a v i n g s _ D a t a \ C o l u m n s \ R e p o r t i n g   A l i a s < / K e y > < / D i a g r a m O b j e c t K e y > < D i a g r a m O b j e c t K e y > < K e y > T a b l e s \ S a v i n g s _ D a t a \ C o l u m n s \ P r o g r a m < / K e y > < / D i a g r a m O b j e c t K e y > < D i a g r a m O b j e c t K e y > < K e y > T a b l e s \ S a v i n g s _ D a t a \ C o l u m n s \ R e l e a s e   / B u l k < / K e y > < / D i a g r a m O b j e c t K e y > < D i a g r a m O b j e c t K e y > < K e y > T a b l e s \ S a v i n g s _ D a t a \ C o l u m n s \ O I D < / K e y > < / D i a g r a m O b j e c t K e y > < D i a g r a m O b j e c t K e y > < K e y > T a b l e s \ S a v i n g s _ D a t a \ C o l u m n s \ S t a t e < / K e y > < / D i a g r a m O b j e c t K e y > < D i a g r a m O b j e c t K e y > < K e y > T a b l e s \ S a v i n g s _ D a t a \ C o l u m n s \ S i t e   N a m e < / K e y > < / D i a g r a m O b j e c t K e y > < D i a g r a m O b j e c t K e y > < K e y > T a b l e s \ S a v i n g s _ D a t a \ C o l u m n s \ A d d r e s s   I D < / K e y > < / D i a g r a m O b j e c t K e y > < D i a g r a m O b j e c t K e y > < K e y > T a b l e s \ S a v i n g s _ D a t a \ C o l u m n s \ D e s c r i p t i o n   o f   A c t i o n s < / K e y > < / D i a g r a m O b j e c t K e y > < D i a g r a m O b j e c t K e y > < K e y > T a b l e s \ S a v i n g s _ D a t a \ C o l u m n s \ R e p o r t   c a t e g o r y < / K e y > < / D i a g r a m O b j e c t K e y > < D i a g r a m O b j e c t K e y > < K e y > T a b l e s \ S a v i n g s _ D a t a \ C o l u m n s \ C D P   c a t e g o r y < / K e y > < / D i a g r a m O b j e c t K e y > < D i a g r a m O b j e c t K e y > < K e y > T a b l e s \ S a v i n g s _ D a t a \ C o l u m n s \ A c t u a l   C o m p l e t i o n   D a t e < / K e y > < / D i a g r a m O b j e c t K e y > < D i a g r a m O b j e c t K e y > < K e y > T a b l e s \ S a v i n g s _ D a t a \ C o l u m n s \ A n n u a l   E n e r g y   S a v i n g s   ( K W h ) < / K e y > < / D i a g r a m O b j e c t K e y > < D i a g r a m O b j e c t K e y > < K e y > T a b l e s \ S a v i n g s _ D a t a \ C o l u m n s \ S c o p e   2   k g   C O 2 - e < / K e y > < / D i a g r a m O b j e c t K e y > < D i a g r a m O b j e c t K e y > < K e y > T a b l e s \ S a v i n g s _ D a t a \ C o l u m n s \ S c o p e   3   k g   C O 2 - e < / K e y > < / D i a g r a m O b j e c t K e y > < D i a g r a m O b j e c t K e y > < K e y > T a b l e s \ S a v i n g s _ D a t a \ C o l u m n s \ T o t a l   T o n n e s < / K e y > < / D i a g r a m O b j e c t K e y > < D i a g r a m O b j e c t K e y > < K e y > T a b l e s \ S a v i n g s _ D a t a \ C o l u m n s \ T o t a l   G J < / K e y > < / D i a g r a m O b j e c t K e y > < D i a g r a m O b j e c t K e y > < K e y > T a b l e s \ S a v i n g s _ D a t a \ M e a s u r e s \ S u m   o f   A n n u a l   E n e r g y   S a v i n g s   ( K W h ) < / K e y > < / D i a g r a m O b j e c t K e y > < D i a g r a m O b j e c t K e y > < K e y > T a b l e s \ S a v i n g s _ D a t a \ S u m   o f   A n n u a l   E n e r g y   S a v i n g s   ( K W h ) \ A d d i t i o n a l   I n f o \ I m p l i c i t   C a l c u l a t e d   F i e l d < / K e y > < / D i a g r a m O b j e c t K e y > < D i a g r a m O b j e c t K e y > < K e y > T a b l e s \ S a v i n g s _ D a t a \ M e a s u r e s \ S u m   o f   S c o p e   2   k g   C O 2 - e   1 8 < / K e y > < / D i a g r a m O b j e c t K e y > < D i a g r a m O b j e c t K e y > < K e y > T a b l e s \ S a v i n g s _ D a t a \ S u m   o f   S c o p e   2   k g   C O 2 - e   1 8 \ A d d i t i o n a l   I n f o \ I m p l i c i t   C a l c u l a t e d   F i e l d < / K e y > < / D i a g r a m O b j e c t K e y > < D i a g r a m O b j e c t K e y > < K e y > T a b l e s \ S a v i n g s _ D a t a \ M e a s u r e s \ S u m   o f   S c o p e   3   k g   C O 2 - e   1 9 < / K e y > < / D i a g r a m O b j e c t K e y > < D i a g r a m O b j e c t K e y > < K e y > T a b l e s \ S a v i n g s _ D a t a \ S u m   o f   S c o p e   3   k g   C O 2 - e   1 9 \ A d d i t i o n a l   I n f o \ I m p l i c i t   C a l c u l a t e d   F i e l d < / K e y > < / D i a g r a m O b j e c t K e y > < D i a g r a m O b j e c t K e y > < K e y > T a b l e s \ S a v i n g s _ D a t a \ M e a s u r e s \ S u m   o f   T o t a l   T o n n e s < / K e y > < / D i a g r a m O b j e c t K e y > < D i a g r a m O b j e c t K e y > < K e y > T a b l e s \ S a v i n g s _ D a t a \ S u m   o f   T o t a l   T o n n e s \ A d d i t i o n a l   I n f o \ I m p l i c i t   C a l c u l a t e d   F i e l d < / K e y > < / D i a g r a m O b j e c t K e y > < D i a g r a m O b j e c t K e y > < K e y > T a b l e s \ S u m m a r y < / K e y > < / D i a g r a m O b j e c t K e y > < D i a g r a m O b j e c t K e y > < K e y > T a b l e s \ S u m m a r y \ C o l u m n s \ R e p o r t i n g   A l i a s < / K e y > < / D i a g r a m O b j e c t K e y > < D i a g r a m O b j e c t K e y > < K e y > T a b l e s \ S u m m a r y \ C o l u m n s \ U o M < / K e y > < / D i a g r a m O b j e c t K e y > < D i a g r a m O b j e c t K e y > < K e y > T a b l e s \ S u m m a r y \ C o l u m n s \ P r i m a r y   C r i t e r i o n < / K e y > < / D i a g r a m O b j e c t K e y > < D i a g r a m O b j e c t K e y > < K e y > T a b l e s \ S u m m a r y \ C o l u m n s \ C o n s u m p t i o n   Q u a n t i t y < / K e y > < / D i a g r a m O b j e c t K e y > < D i a g r a m O b j e c t K e y > < K e y > T a b l e s \ S u m m a r y \ C o l u m n s \ T o t a l   G J < / K e y > < / D i a g r a m O b j e c t K e y > < D i a g r a m O b j e c t K e y > < K e y > T a b l e s \ S u m m a r y \ C o l u m n s \ S c o p e   1   k g   C O 2 - e < / K e y > < / D i a g r a m O b j e c t K e y > < D i a g r a m O b j e c t K e y > < K e y > T a b l e s \ S u m m a r y \ C o l u m n s \ S c o p e   2   k g   C O 2 - e < / K e y > < / D i a g r a m O b j e c t K e y > < D i a g r a m O b j e c t K e y > < K e y > T a b l e s \ S u m m a r y \ C o l u m n s \ S c o p e   3   k g   C O 2 - e < / K e y > < / D i a g r a m O b j e c t K e y > < D i a g r a m O b j e c t K e y > < K e y > T a b l e s \ S u m m a r y \ C o l u m n s \ T o t a l   E m i s s i o n s < / K e y > < / D i a g r a m O b j e c t K e y > < D i a g r a m O b j e c t K e y > < K e y > T a b l e s \ S u m m a r y \ M e a s u r e s \ S u m   o f   C o n s u m p t i o n   Q u a n t i t y   1 5 < / K e y > < / D i a g r a m O b j e c t K e y > < D i a g r a m O b j e c t K e y > < K e y > T a b l e s \ S u m m a r y \ S u m   o f   C o n s u m p t i o n   Q u a n t i t y   1 5 \ A d d i t i o n a l   I n f o \ I m p l i c i t   C a l c u l a t e d   F i e l d < / K e y > < / D i a g r a m O b j e c t K e y > < D i a g r a m O b j e c t K e y > < K e y > T a b l e s \ S u m m a r y \ M e a s u r e s \ S u m   o f   T o t a l   G J   1 7 < / K e y > < / D i a g r a m O b j e c t K e y > < D i a g r a m O b j e c t K e y > < K e y > T a b l e s \ S u m m a r y \ S u m   o f   T o t a l   G J   1 7 \ A d d i t i o n a l   I n f o \ I m p l i c i t   C a l c u l a t e d   F i e l d < / K e y > < / D i a g r a m O b j e c t K e y > < D i a g r a m O b j e c t K e y > < K e y > T a b l e s \ S u m m a r y \ M e a s u r e s \ S u m   o f   S c o p e   1   k g   C O 2 - e   1 7 < / K e y > < / D i a g r a m O b j e c t K e y > < D i a g r a m O b j e c t K e y > < K e y > T a b l e s \ S u m m a r y \ S u m   o f   S c o p e   1   k g   C O 2 - e   1 7 \ A d d i t i o n a l   I n f o \ I m p l i c i t   C a l c u l a t e d   F i e l d < / K e y > < / D i a g r a m O b j e c t K e y > < D i a g r a m O b j e c t K e y > < K e y > T a b l e s \ S u m m a r y \ M e a s u r e s \ S u m   o f   S c o p e   2   k g   C O 2 - e   1 7 < / K e y > < / D i a g r a m O b j e c t K e y > < D i a g r a m O b j e c t K e y > < K e y > T a b l e s \ S u m m a r y \ S u m   o f   S c o p e   2   k g   C O 2 - e   1 7 \ A d d i t i o n a l   I n f o \ I m p l i c i t   C a l c u l a t e d   F i e l d < / K e y > < / D i a g r a m O b j e c t K e y > < D i a g r a m O b j e c t K e y > < K e y > T a b l e s \ S u m m a r y \ M e a s u r e s \ S u m   o f   S c o p e   3   k g   C O 2 - e   1 7 < / K e y > < / D i a g r a m O b j e c t K e y > < D i a g r a m O b j e c t K e y > < K e y > T a b l e s \ S u m m a r y \ S u m   o f   S c o p e   3   k g   C O 2 - e   1 7 \ A d d i t i o n a l   I n f o \ I m p l i c i t   C a l c u l a t e d   F i e l d < / K e y > < / D i a g r a m O b j e c t K e y > < D i a g r a m O b j e c t K e y > < K e y > T a b l e s \ S u m m a r y \ M e a s u r e s \ S u m   o f   T o t a l   E m i s s i o n s   1 7 < / K e y > < / D i a g r a m O b j e c t K e y > < D i a g r a m O b j e c t K e y > < K e y > T a b l e s \ S u m m a r y \ S u m   o f   T o t a l   E m i s s i o n s   1 7 \ A d d i t i o n a l   I n f o \ I m p l i c i t   C a l c u l a t e d   F i e l d < / K e y > < / D i a g r a m O b j e c t K e y > < D i a g r a m O b j e c t K e y > < K e y > T a b l e s \ B C A _ R e m o v a l < / K e y > < / D i a g r a m O b j e c t K e y > < D i a g r a m O b j e c t K e y > < K e y > T a b l e s \ B C A _ R e m o v a l \ C o l u m n s \ R e p o r t i n g   A l i a s < / K e y > < / D i a g r a m O b j e c t K e y > < D i a g r a m O b j e c t K e y > < K e y > T a b l e s \ B C A _ R e m o v a l \ C o l u m n s \ C o n s u m p t i o n   Q u a n t i t y < / K e y > < / D i a g r a m O b j e c t K e y > < D i a g r a m O b j e c t K e y > < K e y > T a b l e s \ B C A _ R e m o v a l \ C o l u m n s \ S c o p e   2   k g   C O 2 - e < / K e y > < / D i a g r a m O b j e c t K e y > < D i a g r a m O b j e c t K e y > < K e y > T a b l e s \ B C A _ R e m o v a l \ C o l u m n s \ S c o p e   1   k g   C O 2 - e < / K e y > < / D i a g r a m O b j e c t K e y > < D i a g r a m O b j e c t K e y > < K e y > T a b l e s \ B C A _ R e m o v a l \ C o l u m n s \ S c o p e   3   k g   C O 2 - e < / K e y > < / D i a g r a m O b j e c t K e y > < D i a g r a m O b j e c t K e y > < K e y > T a b l e s \ B C A _ R e m o v a l \ C o l u m n s \ T o t a l   G J < / K e y > < / D i a g r a m O b j e c t K e y > < D i a g r a m O b j e c t K e y > < K e y > T a b l e s \ B C A _ R e m o v a l \ C o l u m n s \ T o t a l   E m i s s i o n s < / K e y > < / D i a g r a m O b j e c t K e y > < D i a g r a m O b j e c t K e y > < K e y > T a b l e s \ B C A _ R e m o v a l \ M e a s u r e s \ S u m   o f   C o n s u m p t i o n   Q u a n t i t y < / K e y > < / D i a g r a m O b j e c t K e y > < D i a g r a m O b j e c t K e y > < K e y > T a b l e s \ B C A _ R e m o v a l \ S u m   o f   C o n s u m p t i o n   Q u a n t i t y \ A d d i t i o n a l   I n f o \ I m p l i c i t   C a l c u l a t e d   F i e l d < / K e y > < / D i a g r a m O b j e c t K e y > < D i a g r a m O b j e c t K e y > < K e y > T a b l e s \ B C A _ R e m o v a l \ M e a s u r e s \ S u m   o f   S c o p e   2   k g   C O 2 - e   3 < / K e y > < / D i a g r a m O b j e c t K e y > < D i a g r a m O b j e c t K e y > < K e y > T a b l e s \ B C A _ R e m o v a l \ S u m   o f   S c o p e   2   k g   C O 2 - e   3 \ A d d i t i o n a l   I n f o \ I m p l i c i t   C a l c u l a t e d   F i e l d < / K e y > < / D i a g r a m O b j e c t K e y > < D i a g r a m O b j e c t K e y > < K e y > T a b l e s \ B C A _ R e m o v a l \ M e a s u r e s \ S u m   o f   T o t a l   G J   2 < / K e y > < / D i a g r a m O b j e c t K e y > < D i a g r a m O b j e c t K e y > < K e y > T a b l e s \ B C A _ R e m o v a l \ S u m   o f   T o t a l   G J   2 \ A d d i t i o n a l   I n f o \ I m p l i c i t   C a l c u l a t e d   F i e l d < / K e y > < / D i a g r a m O b j e c t K e y > < D i a g r a m O b j e c t K e y > < K e y > T a b l e s \ B C A _ R e m o v a l \ M e a s u r e s \ S u m   o f   S c o p e   1   k g   C O 2 - e   2 < / K e y > < / D i a g r a m O b j e c t K e y > < D i a g r a m O b j e c t K e y > < K e y > T a b l e s \ B C A _ R e m o v a l \ S u m   o f   S c o p e   1   k g   C O 2 - e   2 \ A d d i t i o n a l   I n f o \ I m p l i c i t   C a l c u l a t e d   F i e l d < / K e y > < / D i a g r a m O b j e c t K e y > < D i a g r a m O b j e c t K e y > < K e y > T a b l e s \ B C A _ R e m o v a l \ M e a s u r e s \ S u m   o f   S c o p e   3   k g   C O 2 - e   2 < / K e y > < / D i a g r a m O b j e c t K e y > < D i a g r a m O b j e c t K e y > < K e y > T a b l e s \ B C A _ R e m o v a l \ S u m   o f   S c o p e   3   k g   C O 2 - e   2 \ A d d i t i o n a l   I n f o \ I m p l i c i t   C a l c u l a t e d   F i e l d < / K e y > < / D i a g r a m O b j e c t K e y > < D i a g r a m O b j e c t K e y > < K e y > T a b l e s \ B C A _ R e m o v a l \ M e a s u r e s \ S u m   o f   T o t a l   E m i s s i o n s   2 < / K e y > < / D i a g r a m O b j e c t K e y > < D i a g r a m O b j e c t K e y > < K e y > T a b l e s \ B C A _ R e m o v a l \ S u m   o f   T o t a l   E m i s s i o n s   2 \ A d d i t i o n a l   I n f o \ I m p l i c i t   C a l c u l a t e d   F i e l d < / K e y > < / D i a g r a m O b j e c t K e y > < D i a g r a m O b j e c t K e y > < K e y > T a b l e s \ N B N _ R e m o v a l < / K e y > < / D i a g r a m O b j e c t K e y > < D i a g r a m O b j e c t K e y > < K e y > T a b l e s \ N B N _ R e m o v a l \ C o l u m n s \ R e p o r t i n g   A l i a s < / K e y > < / D i a g r a m O b j e c t K e y > < D i a g r a m O b j e c t K e y > < K e y > T a b l e s \ N B N _ R e m o v a l \ C o l u m n s \ C o n s u m p t i o n   Q u a n t i t y < / K e y > < / D i a g r a m O b j e c t K e y > < D i a g r a m O b j e c t K e y > < K e y > T a b l e s \ N B N _ R e m o v a l \ C o l u m n s \ S c o p e   1   k g   C O 2 - e < / K e y > < / D i a g r a m O b j e c t K e y > < D i a g r a m O b j e c t K e y > < K e y > T a b l e s \ N B N _ R e m o v a l \ C o l u m n s \ S c o p e   2   k g   C O 2 - e < / K e y > < / D i a g r a m O b j e c t K e y > < D i a g r a m O b j e c t K e y > < K e y > T a b l e s \ N B N _ R e m o v a l \ C o l u m n s \ S c o p e   3   k g   C O 2 - e < / K e y > < / D i a g r a m O b j e c t K e y > < D i a g r a m O b j e c t K e y > < K e y > T a b l e s \ N B N _ R e m o v a l \ C o l u m n s \ T o t a l   G J < / K e y > < / D i a g r a m O b j e c t K e y > < D i a g r a m O b j e c t K e y > < K e y > T a b l e s \ N B N _ R e m o v a l \ C o l u m n s \ T o t a l   E m i s s i o n s < / K e y > < / D i a g r a m O b j e c t K e y > < D i a g r a m O b j e c t K e y > < K e y > T a b l e s \ N B N _ R e m o v a l \ M e a s u r e s \ S u m   o f   C o n s u m p t i o n   Q u a n t i t y   3 < / K e y > < / D i a g r a m O b j e c t K e y > < D i a g r a m O b j e c t K e y > < K e y > T a b l e s \ N B N _ R e m o v a l \ S u m   o f   C o n s u m p t i o n   Q u a n t i t y   3 \ A d d i t i o n a l   I n f o \ I m p l i c i t   C a l c u l a t e d   F i e l d < / K e y > < / D i a g r a m O b j e c t K e y > < D i a g r a m O b j e c t K e y > < K e y > T a b l e s \ N B N _ R e m o v a l \ M e a s u r e s \ S u m   o f   T o t a l   G J   3 < / K e y > < / D i a g r a m O b j e c t K e y > < D i a g r a m O b j e c t K e y > < K e y > T a b l e s \ N B N _ R e m o v a l \ S u m   o f   T o t a l   G J   3 \ A d d i t i o n a l   I n f o \ I m p l i c i t   C a l c u l a t e d   F i e l d < / K e y > < / D i a g r a m O b j e c t K e y > < D i a g r a m O b j e c t K e y > < K e y > T a b l e s \ N B N _ R e m o v a l \ M e a s u r e s \ S u m   o f   S c o p e   1   k g   C O 2 - e   3 < / K e y > < / D i a g r a m O b j e c t K e y > < D i a g r a m O b j e c t K e y > < K e y > T a b l e s \ N B N _ R e m o v a l \ S u m   o f   S c o p e   1   k g   C O 2 - e   3 \ A d d i t i o n a l   I n f o \ I m p l i c i t   C a l c u l a t e d   F i e l d < / K e y > < / D i a g r a m O b j e c t K e y > < D i a g r a m O b j e c t K e y > < K e y > T a b l e s \ N B N _ R e m o v a l \ M e a s u r e s \ S u m   o f   S c o p e   2   k g   C O 2 - e < / K e y > < / D i a g r a m O b j e c t K e y > < D i a g r a m O b j e c t K e y > < K e y > T a b l e s \ N B N _ R e m o v a l \ S u m   o f   S c o p e   2   k g   C O 2 - e \ A d d i t i o n a l   I n f o \ I m p l i c i t   C a l c u l a t e d   F i e l d < / K e y > < / D i a g r a m O b j e c t K e y > < D i a g r a m O b j e c t K e y > < K e y > T a b l e s \ N B N _ R e m o v a l \ M e a s u r e s \ S u m   o f   S c o p e   3   k g   C O 2 - e   3 < / K e y > < / D i a g r a m O b j e c t K e y > < D i a g r a m O b j e c t K e y > < K e y > T a b l e s \ N B N _ R e m o v a l \ S u m   o f   S c o p e   3   k g   C O 2 - e   3 \ A d d i t i o n a l   I n f o \ I m p l i c i t   C a l c u l a t e d   F i e l d < / K e y > < / D i a g r a m O b j e c t K e y > < D i a g r a m O b j e c t K e y > < K e y > T a b l e s \ N B N _ R e m o v a l \ M e a s u r e s \ S u m   o f   T o t a l   E m i s s i o n s   3 < / K e y > < / D i a g r a m O b j e c t K e y > < D i a g r a m O b j e c t K e y > < K e y > T a b l e s \ N B N _ R e m o v a l \ S u m   o f   T o t a l   E m i s s i o n s   3 \ A d d i t i o n a l   I n f o \ I m p l i c i t   C a l c u l a t e d   F i e l d < / K e y > < / D i a g r a m O b j e c t K e y > < D i a g r a m O b j e c t K e y > < K e y > T a b l e s \ S E _ G a s < / K e y > < / D i a g r a m O b j e c t K e y > < D i a g r a m O b j e c t K e y > < K e y > T a b l e s \ S E _ G a s \ C o l u m n s \ R e p o r t i n g   A l i a s < / K e y > < / D i a g r a m O b j e c t K e y > < D i a g r a m O b j e c t K e y > < K e y > T a b l e s \ S E _ G a s \ C o l u m n s \ S t a t e < / K e y > < / D i a g r a m O b j e c t K e y > < D i a g r a m O b j e c t K e y > < K e y > T a b l e s \ S E _ G a s \ C o l u m n s \ C o n s u m p t i o n   Q u a n i t y < / K e y > < / D i a g r a m O b j e c t K e y > < D i a g r a m O b j e c t K e y > < K e y > T a b l e s \ S E _ G a s \ C o l u m n s \ S c o p e   1   k g   C O 2 - e < / K e y > < / D i a g r a m O b j e c t K e y > < D i a g r a m O b j e c t K e y > < K e y > T a b l e s \ S E _ G a s \ C o l u m n s \ S c o p e   2   k g   C O 2 - e < / K e y > < / D i a g r a m O b j e c t K e y > < D i a g r a m O b j e c t K e y > < K e y > T a b l e s \ S E _ G a s \ C o l u m n s \ S c o p e   3   k g   C O 2 - e < / K e y > < / D i a g r a m O b j e c t K e y > < D i a g r a m O b j e c t K e y > < K e y > T a b l e s \ S E _ G a s \ C o l u m n s \ T o t a l   G J < / K e y > < / D i a g r a m O b j e c t K e y > < D i a g r a m O b j e c t K e y > < K e y > T a b l e s \ S E _ G a s \ C o l u m n s \ T o t a l   E m i s s i o n s < / K e y > < / D i a g r a m O b j e c t K e y > < D i a g r a m O b j e c t K e y > < K e y > T a b l e s \ S E _ G a s \ M e a s u r e s \ S u m   o f   C o n s u m p t i o n   Q u a n i t y < / K e y > < / D i a g r a m O b j e c t K e y > < D i a g r a m O b j e c t K e y > < K e y > T a b l e s \ S E _ G a s \ S u m   o f   C o n s u m p t i o n   Q u a n i t y \ A d d i t i o n a l   I n f o \ I m p l i c i t   C a l c u l a t e d   F i e l d < / K e y > < / D i a g r a m O b j e c t K e y > < D i a g r a m O b j e c t K e y > < K e y > T a b l e s \ S E _ G a s \ M e a s u r e s \ S u m   o f   S c o p e   1   k g   C O 2 - e   6 < / K e y > < / D i a g r a m O b j e c t K e y > < D i a g r a m O b j e c t K e y > < K e y > T a b l e s \ S E _ G a s \ S u m   o f   S c o p e   1   k g   C O 2 - e   6 \ A d d i t i o n a l   I n f o \ I m p l i c i t   C a l c u l a t e d   F i e l d < / K e y > < / D i a g r a m O b j e c t K e y > < D i a g r a m O b j e c t K e y > < K e y > T a b l e s \ S E _ G a s \ M e a s u r e s \ S u m   o f   T o t a l   G J   6 < / K e y > < / D i a g r a m O b j e c t K e y > < D i a g r a m O b j e c t K e y > < K e y > T a b l e s \ S E _ G a s \ S u m   o f   T o t a l   G J   6 \ A d d i t i o n a l   I n f o \ I m p l i c i t   C a l c u l a t e d   F i e l d < / K e y > < / D i a g r a m O b j e c t K e y > < D i a g r a m O b j e c t K e y > < K e y > T a b l e s \ S E _ G a s \ M e a s u r e s \ S u m   o f   S c o p e   2   k g   C O 2 - e   6 < / K e y > < / D i a g r a m O b j e c t K e y > < D i a g r a m O b j e c t K e y > < K e y > T a b l e s \ S E _ G a s \ S u m   o f   S c o p e   2   k g   C O 2 - e   6 \ A d d i t i o n a l   I n f o \ I m p l i c i t   C a l c u l a t e d   F i e l d < / K e y > < / D i a g r a m O b j e c t K e y > < D i a g r a m O b j e c t K e y > < K e y > T a b l e s \ S E _ G a s \ M e a s u r e s \ S u m   o f   S c o p e   3   k g   C O 2 - e   6 < / K e y > < / D i a g r a m O b j e c t K e y > < D i a g r a m O b j e c t K e y > < K e y > T a b l e s \ S E _ G a s \ S u m   o f   S c o p e   3   k g   C O 2 - e   6 \ A d d i t i o n a l   I n f o \ I m p l i c i t   C a l c u l a t e d   F i e l d < / K e y > < / D i a g r a m O b j e c t K e y > < D i a g r a m O b j e c t K e y > < K e y > T a b l e s \ S E _ G a s \ M e a s u r e s \ S u m   o f   T o t a l   E m i s s i o n s   6 < / K e y > < / D i a g r a m O b j e c t K e y > < D i a g r a m O b j e c t K e y > < K e y > T a b l e s \ S E _ G a s \ S u m   o f   T o t a l   E m i s s i o n s   6 \ A d d i t i o n a l   I n f o \ I m p l i c i t   C a l c u l a t e d   F i e l d < / K e y > < / D i a g r a m O b j e c t K e y > < D i a g r a m O b j e c t K e y > < K e y > T a b l e s \ N E T _ G e n s e t _ G r o u n d s < / K e y > < / D i a g r a m O b j e c t K e y > < D i a g r a m O b j e c t K e y > < K e y > T a b l e s \ N E T _ G e n s e t _ G r o u n d s \ C o l u m n s \ R e p o r t i n g   A l i a s < / K e y > < / D i a g r a m O b j e c t K e y > < D i a g r a m O b j e c t K e y > < K e y > T a b l e s \ N E T _ G e n s e t _ G r o u n d s \ C o l u m n s \ E m i s s i o n   s o u r c e < / K e y > < / D i a g r a m O b j e c t K e y > < D i a g r a m O b j e c t K e y > < K e y > T a b l e s \ N E T _ G e n s e t _ G r o u n d s \ C o l u m n s \ E n t i t y < / K e y > < / D i a g r a m O b j e c t K e y > < D i a g r a m O b j e c t K e y > < K e y > T a b l e s \ N E T _ G e n s e t _ G r o u n d s \ C o l u m n s \ F u e l < / K e y > < / D i a g r a m O b j e c t K e y > < D i a g r a m O b j e c t K e y > < K e y > T a b l e s \ N E T _ G e n s e t _ G r o u n d s \ C o l u m n s \ S t a t e < / K e y > < / D i a g r a m O b j e c t K e y > < D i a g r a m O b j e c t K e y > < K e y > T a b l e s \ N E T _ G e n s e t _ G r o u n d s \ C o l u m n s \ P r o d u c t i o n   Q u a n t i t y < / K e y > < / D i a g r a m O b j e c t K e y > < D i a g r a m O b j e c t K e y > < K e y > T a b l e s \ N E T _ G e n s e t _ G r o u n d s \ C o l u m n s \ P r o d u c t i o n     U n i t s < / K e y > < / D i a g r a m O b j e c t K e y > < D i a g r a m O b j e c t K e y > < K e y > T a b l e s \ N E T _ G e n s e t _ G r o u n d s \ C o l u m n s \ C o n s u m p t i o n   Q u a n t i t y < / K e y > < / D i a g r a m O b j e c t K e y > < D i a g r a m O b j e c t K e y > < K e y > T a b l e s \ N E T _ G e n s e t _ G r o u n d s \ C o l u m n s \ T o t a l   G J < / K e y > < / D i a g r a m O b j e c t K e y > < D i a g r a m O b j e c t K e y > < K e y > T a b l e s \ N E T _ G e n s e t _ G r o u n d s \ C o l u m n s \ S c o p e   1   k g   C O 2 - e < / K e y > < / D i a g r a m O b j e c t K e y > < D i a g r a m O b j e c t K e y > < K e y > T a b l e s \ N E T _ G e n s e t _ G r o u n d s \ C o l u m n s \ S c o p e   2   k g   C O 2 - e < / K e y > < / D i a g r a m O b j e c t K e y > < D i a g r a m O b j e c t K e y > < K e y > T a b l e s \ N E T _ G e n s e t _ G r o u n d s \ C o l u m n s \ S c o p e   3   k g   C O 2 - e < / K e y > < / D i a g r a m O b j e c t K e y > < D i a g r a m O b j e c t K e y > < K e y > T a b l e s \ N E T _ G e n s e t _ G r o u n d s \ C o l u m n s \ T o t a l   E m i s s i o n s < / K e y > < / D i a g r a m O b j e c t K e y > < D i a g r a m O b j e c t K e y > < K e y > T a b l e s \ N E T _ G e n s e t _ G r o u n d s \ M e a s u r e s \ S u m   o f   C o n s u m p t i o n   Q u a n t i t y   6 < / K e y > < / D i a g r a m O b j e c t K e y > < D i a g r a m O b j e c t K e y > < K e y > T a b l e s \ N E T _ G e n s e t _ G r o u n d s \ S u m   o f   C o n s u m p t i o n   Q u a n t i t y   6 \ A d d i t i o n a l   I n f o \ I m p l i c i t   C a l c u l a t e d   F i e l d < / K e y > < / D i a g r a m O b j e c t K e y > < D i a g r a m O b j e c t K e y > < K e y > T a b l e s \ N E T _ G e n s e t _ G r o u n d s \ M e a s u r e s \ S u m   o f   T o t a l   G J   1 3 < / K e y > < / D i a g r a m O b j e c t K e y > < D i a g r a m O b j e c t K e y > < K e y > T a b l e s \ N E T _ G e n s e t _ G r o u n d s \ S u m   o f   T o t a l   G J   1 3 \ A d d i t i o n a l   I n f o \ I m p l i c i t   C a l c u l a t e d   F i e l d < / K e y > < / D i a g r a m O b j e c t K e y > < D i a g r a m O b j e c t K e y > < K e y > T a b l e s \ N E T _ G e n s e t _ G r o u n d s \ M e a s u r e s \ S u m   o f   S c o p e   1   k g   C O 2 - e   1 3 < / K e y > < / D i a g r a m O b j e c t K e y > < D i a g r a m O b j e c t K e y > < K e y > T a b l e s \ N E T _ G e n s e t _ G r o u n d s \ S u m   o f   S c o p e   1   k g   C O 2 - e   1 3 \ A d d i t i o n a l   I n f o \ I m p l i c i t   C a l c u l a t e d   F i e l d < / K e y > < / D i a g r a m O b j e c t K e y > < D i a g r a m O b j e c t K e y > < K e y > T a b l e s \ N E T _ G e n s e t _ G r o u n d s \ M e a s u r e s \ S u m   o f   S c o p e   2   k g   C O 2 - e   1 3 < / K e y > < / D i a g r a m O b j e c t K e y > < D i a g r a m O b j e c t K e y > < K e y > T a b l e s \ N E T _ G e n s e t _ G r o u n d s \ S u m   o f   S c o p e   2   k g   C O 2 - e   1 3 \ A d d i t i o n a l   I n f o \ I m p l i c i t   C a l c u l a t e d   F i e l d < / K e y > < / D i a g r a m O b j e c t K e y > < D i a g r a m O b j e c t K e y > < K e y > T a b l e s \ N E T _ G e n s e t _ G r o u n d s \ M e a s u r e s \ S u m   o f   S c o p e   3   k g   C O 2 - e   1 3 < / K e y > < / D i a g r a m O b j e c t K e y > < D i a g r a m O b j e c t K e y > < K e y > T a b l e s \ N E T _ G e n s e t _ G r o u n d s \ S u m   o f   S c o p e   3   k g   C O 2 - e   1 3 \ A d d i t i o n a l   I n f o \ I m p l i c i t   C a l c u l a t e d   F i e l d < / K e y > < / D i a g r a m O b j e c t K e y > < D i a g r a m O b j e c t K e y > < K e y > T a b l e s \ N E T _ G e n s e t _ G r o u n d s \ M e a s u r e s \ S u m   o f   T o t a l   E m i s s i o n s   1 3 < / K e y > < / D i a g r a m O b j e c t K e y > < D i a g r a m O b j e c t K e y > < K e y > T a b l e s \ N E T _ G e n s e t _ G r o u n d s \ S u m   o f   T o t a l   E m i s s i o n s   1 3 \ A d d i t i o n a l   I n f o \ I m p l i c i t   C a l c u l a t e d   F i e l d < / K e y > < / D i a g r a m O b j e c t K e y > < D i a g r a m O b j e c t K e y > < K e y > T a b l e s \ P e r c e n t a g e _ E s t i m a t e s < / K e y > < / D i a g r a m O b j e c t K e y > < D i a g r a m O b j e c t K e y > < K e y > T a b l e s \ P e r c e n t a g e _ E s t i m a t e s \ C o l u m n s \ E n t i t y < / K e y > < / D i a g r a m O b j e c t K e y > < D i a g r a m O b j e c t K e y > < K e y > T a b l e s \ P e r c e n t a g e _ E s t i m a t e s \ C o l u m n s \ S i t e   A d d r e s s < / K e y > < / D i a g r a m O b j e c t K e y > < D i a g r a m O b j e c t K e y > < K e y > T a b l e s \ P e r c e n t a g e _ E s t i m a t e s \ C o l u m n s \ S i t e   n a m e / V e h i c l e   n a m e < / K e y > < / D i a g r a m O b j e c t K e y > < D i a g r a m O b j e c t K e y > < K e y > T a b l e s \ P e r c e n t a g e _ E s t i m a t e s \ C o l u m n s \ S t a t e < / K e y > < / D i a g r a m O b j e c t K e y > < D i a g r a m O b j e c t K e y > < K e y > T a b l e s \ P e r c e n t a g e _ E s t i m a t e s \ C o l u m n s \ P r o c e d u r e   t o   C a p t u r e   d a t a < / K e y > < / D i a g r a m O b j e c t K e y > < D i a g r a m O b j e c t K e y > < K e y > T a b l e s \ P e r c e n t a g e _ E s t i m a t e s \ C o l u m n s \ E s t i m a t i o n   M e t h o d   ( i f   r e l e v a n t ) < / K e y > < / D i a g r a m O b j e c t K e y > < D i a g r a m O b j e c t K e y > < K e y > T a b l e s \ P e r c e n t a g e _ E s t i m a t e s \ C o l u m n s \ Q u a n t i t y < / K e y > < / D i a g r a m O b j e c t K e y > < D i a g r a m O b j e c t K e y > < K e y > T a b l e s \ P e r c e n t a g e _ E s t i m a t e s \ C o l u m n s \ A p p o r t i o n e d   Q u a n t i t y < / K e y > < / D i a g r a m O b j e c t K e y > < D i a g r a m O b j e c t K e y > < K e y > T a b l e s \ P e r c e n t a g e _ E s t i m a t e s \ C o l u m n s \ C o n s u m p t i o n   Q u a n t i t y < / K e y > < / D i a g r a m O b j e c t K e y > < D i a g r a m O b j e c t K e y > < K e y > T a b l e s \ P e r c e n t a g e _ E s t i m a t e s \ C o l u m n s \ U s e   o f   f u e l < / K e y > < / D i a g r a m O b j e c t K e y > < D i a g r a m O b j e c t K e y > < K e y > T a b l e s \ P e r c e n t a g e _ E s t i m a t e s \ C o l u m n s \ P e r i o d   E n d < / K e y > < / D i a g r a m O b j e c t K e y > < D i a g r a m O b j e c t K e y > < K e y > T a b l e s \ P e r c e n t a g e _ E s t i m a t e s \ C o l u m n s \ D a y s < / K e y > < / D i a g r a m O b j e c t K e y > < D i a g r a m O b j e c t K e y > < K e y > T a b l e s \ P e r c e n t a g e _ E s t i m a t e s \ C o l u m n s \ G e n e r a t o r   M a k e & g t ; m o d e l < / K e y > < / D i a g r a m O b j e c t K e y > < D i a g r a m O b j e c t K e y > < K e y > T a b l e s \ P e r c e n t a g e _ E s t i m a t e s \ C o l u m n s \ E s t i m a t e d   r u n   t i m e   ( h o u r s ) < / K e y > < / D i a g r a m O b j e c t K e y > < D i a g r a m O b j e c t K e y > < K e y > T a b l e s \ P e r c e n t a g e _ E s t i m a t e s \ C o l u m n s \ I n s t a l l e d   C a p a c i t y < / K e y > < / D i a g r a m O b j e c t K e y > < D i a g r a m O b j e c t K e y > < K e y > T a b l e s \ P e r c e n t a g e _ E s t i m a t e s \ C o l u m n s \ D e r a t e d   C a p a c i t y < / K e y > < / D i a g r a m O b j e c t K e y > < D i a g r a m O b j e c t K e y > < K e y > T a b l e s \ P e r c e n t a g e _ E s t i m a t e s \ C o l u m n s \ G e n e r a t o r   U n i t s < / K e y > < / D i a g r a m O b j e c t K e y > < D i a g r a m O b j e c t K e y > < K e y > T a b l e s \ P e r c e n t a g e _ E s t i m a t e s \ C o l u m n s \ R e p o r t i n g   A l i a s < / K e y > < / D i a g r a m O b j e c t K e y > < D i a g r a m O b j e c t K e y > < K e y > T a b l e s \ P e r c e n t a g e _ E s t i m a t e s \ C o l u m n s \ T o t a l   G J < / K e y > < / D i a g r a m O b j e c t K e y > < D i a g r a m O b j e c t K e y > < K e y > T a b l e s \ P e r c e n t a g e _ E s t i m a t e s \ C o l u m n s \ S c o p e   1   k g   C O 2 - e < / K e y > < / D i a g r a m O b j e c t K e y > < D i a g r a m O b j e c t K e y > < K e y > T a b l e s \ P e r c e n t a g e _ E s t i m a t e s \ C o l u m n s \ S c o p e   2   k g   C O 2 - e < / K e y > < / D i a g r a m O b j e c t K e y > < D i a g r a m O b j e c t K e y > < K e y > T a b l e s \ P e r c e n t a g e _ E s t i m a t e s \ C o l u m n s \ S c o p e   3   k g   C O 2 - e < / K e y > < / D i a g r a m O b j e c t K e y > < D i a g r a m O b j e c t K e y > < K e y > T a b l e s \ P e r c e n t a g e _ E s t i m a t e s \ C o l u m n s \ T o t a l   E m i s s i o n s < / K e y > < / D i a g r a m O b j e c t K e y > < D i a g r a m O b j e c t K e y > < K e y > T a b l e s \ P e r c e n t a g e _ E s t i m a t e s \ M e a s u r e s \ S u m   o f   C o n s u m p t i o n   Q u a n t i t y   5 < / K e y > < / D i a g r a m O b j e c t K e y > < D i a g r a m O b j e c t K e y > < K e y > T a b l e s \ P e r c e n t a g e _ E s t i m a t e s \ S u m   o f   C o n s u m p t i o n   Q u a n t i t y   5 \ A d d i t i o n a l   I n f o \ I m p l i c i t   C a l c u l a t e d   F i e l d < / K e y > < / D i a g r a m O b j e c t K e y > < D i a g r a m O b j e c t K e y > < K e y > T a b l e s \ P e r c e n t a g e _ E s t i m a t e s \ M e a s u r e s \ S u m   o f   T o t a l   G J   5 < / K e y > < / D i a g r a m O b j e c t K e y > < D i a g r a m O b j e c t K e y > < K e y > T a b l e s \ P e r c e n t a g e _ E s t i m a t e s \ S u m   o f   T o t a l   G J   5 \ A d d i t i o n a l   I n f o \ I m p l i c i t   C a l c u l a t e d   F i e l d < / K e y > < / D i a g r a m O b j e c t K e y > < D i a g r a m O b j e c t K e y > < K e y > T a b l e s \ P e r c e n t a g e _ E s t i m a t e s \ M e a s u r e s \ S u m   o f   S c o p e   1   k g   C O 2 - e   5 < / K e y > < / D i a g r a m O b j e c t K e y > < D i a g r a m O b j e c t K e y > < K e y > T a b l e s \ P e r c e n t a g e _ E s t i m a t e s \ S u m   o f   S c o p e   1   k g   C O 2 - e   5 \ A d d i t i o n a l   I n f o \ I m p l i c i t   C a l c u l a t e d   F i e l d < / K e y > < / D i a g r a m O b j e c t K e y > < D i a g r a m O b j e c t K e y > < K e y > T a b l e s \ P e r c e n t a g e _ E s t i m a t e s \ M e a s u r e s \ S u m   o f   S c o p e   2   k g   C O 2 - e   5 < / K e y > < / D i a g r a m O b j e c t K e y > < D i a g r a m O b j e c t K e y > < K e y > T a b l e s \ P e r c e n t a g e _ E s t i m a t e s \ S u m   o f   S c o p e   2   k g   C O 2 - e   5 \ A d d i t i o n a l   I n f o \ I m p l i c i t   C a l c u l a t e d   F i e l d < / K e y > < / D i a g r a m O b j e c t K e y > < D i a g r a m O b j e c t K e y > < K e y > T a b l e s \ P e r c e n t a g e _ E s t i m a t e s \ M e a s u r e s \ S u m   o f   S c o p e   3   k g   C O 2 - e   5 < / K e y > < / D i a g r a m O b j e c t K e y > < D i a g r a m O b j e c t K e y > < K e y > T a b l e s \ P e r c e n t a g e _ E s t i m a t e s \ S u m   o f   S c o p e   3   k g   C O 2 - e   5 \ A d d i t i o n a l   I n f o \ I m p l i c i t   C a l c u l a t e d   F i e l d < / K e y > < / D i a g r a m O b j e c t K e y > < D i a g r a m O b j e c t K e y > < K e y > T a b l e s \ P e r c e n t a g e _ E s t i m a t e s \ M e a s u r e s \ S u m   o f   T o t a l   E m i s s i o n s   5 < / K e y > < / D i a g r a m O b j e c t K e y > < D i a g r a m O b j e c t K e y > < K e y > T a b l e s \ P e r c e n t a g e _ E s t i m a t e s \ S u m   o f   T o t a l   E m i s s i o n s   5 \ A d d i t i o n a l   I n f o \ I m p l i c i t   C a l c u l a t e d   F i e l d < / K e y > < / D i a g r a m O b j e c t K e y > < D i a g r a m O b j e c t K e y > < K e y > T a b l e s \ P i t w a t e r < / K e y > < / D i a g r a m O b j e c t K e y > < D i a g r a m O b j e c t K e y > < K e y > T a b l e s \ P i t w a t e r \ C o l u m n s \ R e p o r t i n g   a l i a s < / K e y > < / D i a g r a m O b j e c t K e y > < D i a g r a m O b j e c t K e y > < K e y > T a b l e s \ P i t w a t e r \ C o l u m n s \ S t a t e < / K e y > < / D i a g r a m O b j e c t K e y > < D i a g r a m O b j e c t K e y > < K e y > T a b l e s \ P i t w a t e r \ C o l u m n s \ k L < / K e y > < / D i a g r a m O b j e c t K e y > < D i a g r a m O b j e c t K e y > < K e y > T a b l e s \ P i t w a t e r \ C o l u m n s \ T o t a l   G J < / K e y > < / D i a g r a m O b j e c t K e y > < D i a g r a m O b j e c t K e y > < K e y > T a b l e s \ P i t w a t e r \ C o l u m n s \ C o n s u m p t i o n   Q u a n t i t y < / K e y > < / D i a g r a m O b j e c t K e y > < D i a g r a m O b j e c t K e y > < K e y > T a b l e s \ P i t w a t e r \ C o l u m n s \ S c o p e   1   k g   C O 2 - e < / K e y > < / D i a g r a m O b j e c t K e y > < D i a g r a m O b j e c t K e y > < K e y > T a b l e s \ P i t w a t e r \ C o l u m n s \ S c o p e   2   k g   C O 2 - e < / K e y > < / D i a g r a m O b j e c t K e y > < D i a g r a m O b j e c t K e y > < K e y > T a b l e s \ P i t w a t e r \ C o l u m n s \ S c o p e   3   k g   C O 2 - e < / K e y > < / D i a g r a m O b j e c t K e y > < D i a g r a m O b j e c t K e y > < K e y > T a b l e s \ P i t w a t e r \ C o l u m n s \ T o t a l   E m i s s i o n s < / K e y > < / D i a g r a m O b j e c t K e y > < D i a g r a m O b j e c t K e y > < K e y > T a b l e s \ P i t w a t e r \ M e a s u r e s \ S u m   o f   C o n s u m p t i o n   Q u a n t i t y   9 < / K e y > < / D i a g r a m O b j e c t K e y > < D i a g r a m O b j e c t K e y > < K e y > T a b l e s \ P i t w a t e r \ S u m   o f   C o n s u m p t i o n   Q u a n t i t y   9 \ A d d i t i o n a l   I n f o \ I m p l i c i t   C a l c u l a t e d   F i e l d < / K e y > < / D i a g r a m O b j e c t K e y > < D i a g r a m O b j e c t K e y > < K e y > T a b l e s \ P i t w a t e r \ M e a s u r e s \ S u m   o f   k L < / K e y > < / D i a g r a m O b j e c t K e y > < D i a g r a m O b j e c t K e y > < K e y > T a b l e s \ P i t w a t e r \ S u m   o f   k L \ A d d i t i o n a l   I n f o \ I m p l i c i t   C a l c u l a t e d   F i e l d < / K e y > < / D i a g r a m O b j e c t K e y > < D i a g r a m O b j e c t K e y > < K e y > T a b l e s \ P i t w a t e r \ M e a s u r e s \ S u m   o f   S c o p e   1   k g   C O 2 - e   1 5 < / K e y > < / D i a g r a m O b j e c t K e y > < D i a g r a m O b j e c t K e y > < K e y > T a b l e s \ P i t w a t e r \ S u m   o f   S c o p e   1   k g   C O 2 - e   1 5 \ A d d i t i o n a l   I n f o \ I m p l i c i t   C a l c u l a t e d   F i e l d < / K e y > < / D i a g r a m O b j e c t K e y > < D i a g r a m O b j e c t K e y > < K e y > T a b l e s \ P i t w a t e r \ M e a s u r e s \ S u m   o f   T o t a l   G J   1 5 < / K e y > < / D i a g r a m O b j e c t K e y > < D i a g r a m O b j e c t K e y > < K e y > T a b l e s \ P i t w a t e r \ S u m   o f   T o t a l   G J   1 5 \ A d d i t i o n a l   I n f o \ I m p l i c i t   C a l c u l a t e d   F i e l d < / K e y > < / D i a g r a m O b j e c t K e y > < D i a g r a m O b j e c t K e y > < K e y > T a b l e s \ P i t w a t e r \ M e a s u r e s \ S u m   o f   S c o p e   2   k g   C O 2 - e   1 5 < / K e y > < / D i a g r a m O b j e c t K e y > < D i a g r a m O b j e c t K e y > < K e y > T a b l e s \ P i t w a t e r \ S u m   o f   S c o p e   2   k g   C O 2 - e   1 5 \ A d d i t i o n a l   I n f o \ I m p l i c i t   C a l c u l a t e d   F i e l d < / K e y > < / D i a g r a m O b j e c t K e y > < D i a g r a m O b j e c t K e y > < K e y > T a b l e s \ P i t w a t e r \ M e a s u r e s \ S u m   o f   S c o p e   3   k g   C O 2 - e   1 5 < / K e y > < / D i a g r a m O b j e c t K e y > < D i a g r a m O b j e c t K e y > < K e y > T a b l e s \ P i t w a t e r \ S u m   o f   S c o p e   3   k g   C O 2 - e   1 5 \ A d d i t i o n a l   I n f o \ I m p l i c i t   C a l c u l a t e d   F i e l d < / K e y > < / D i a g r a m O b j e c t K e y > < D i a g r a m O b j e c t K e y > < K e y > T a b l e s \ P i t w a t e r \ M e a s u r e s \ S u m   o f   T o t a l   E m i s s i o n s   1 5 < / K e y > < / D i a g r a m O b j e c t K e y > < D i a g r a m O b j e c t K e y > < K e y > T a b l e s \ P i t w a t e r \ S u m   o f   T o t a l   E m i s s i o n s   1 5 \ A d d i t i o n a l   I n f o \ I m p l i c i t   C a l c u l a t e d   F i e l d < / K e y > < / D i a g r a m O b j e c t K e y > < D i a g r a m O b j e c t K e y > < K e y > T a b l e s \ S o l a r < / K e y > < / D i a g r a m O b j e c t K e y > < D i a g r a m O b j e c t K e y > < K e y > T a b l e s \ S o l a r \ C o l u m n s \ S o u r c e   N a m e < / K e y > < / D i a g r a m O b j e c t K e y > < D i a g r a m O b j e c t K e y > < K e y > T a b l e s \ S o l a r \ C o l u m n s \ R e p o r t i n g   A l i a s < / K e y > < / D i a g r a m O b j e c t K e y > < D i a g r a m O b j e c t K e y > < K e y > T a b l e s \ S o l a r \ C o l u m n s \ A c t i v i t y   T y p e < / K e y > < / D i a g r a m O b j e c t K e y > < D i a g r a m O b j e c t K e y > < K e y > T a b l e s \ S o l a r \ C o l u m n s \ A c t i v i t y   T y p e   C o n t e x t < / K e y > < / D i a g r a m O b j e c t K e y > < D i a g r a m O b j e c t K e y > < K e y > T a b l e s \ S o l a r \ C o l u m n s \ E n t i t y < / K e y > < / D i a g r a m O b j e c t K e y > < D i a g r a m O b j e c t K e y > < K e y > T a b l e s \ S o l a r \ C o l u m n s \ S t a t e < / K e y > < / D i a g r a m O b j e c t K e y > < D i a g r a m O b j e c t K e y > < K e y > T a b l e s \ S o l a r \ C o l u m n s \ P r o d u c t i o n   Q u a n t i t y < / K e y > < / D i a g r a m O b j e c t K e y > < D i a g r a m O b j e c t K e y > < K e y > T a b l e s \ S o l a r \ C o l u m n s \ P r o d u c t i o n   U n i t < / K e y > < / D i a g r a m O b j e c t K e y > < D i a g r a m O b j e c t K e y > < K e y > T a b l e s \ S o l a r \ C o l u m n s \ C o n s u m p t i o n   Q u a n t i t i y < / K e y > < / D i a g r a m O b j e c t K e y > < D i a g r a m O b j e c t K e y > < K e y > T a b l e s \ S o l a r \ C o l u m n s \ S c o p e   1   k g   C O 2 - e < / K e y > < / D i a g r a m O b j e c t K e y > < D i a g r a m O b j e c t K e y > < K e y > T a b l e s \ S o l a r \ C o l u m n s \ S c o p e   2   k g   C O 2 - e < / K e y > < / D i a g r a m O b j e c t K e y > < D i a g r a m O b j e c t K e y > < K e y > T a b l e s \ S o l a r \ C o l u m n s \ S c o p e   3   k g   C O 2 - e < / K e y > < / D i a g r a m O b j e c t K e y > < D i a g r a m O b j e c t K e y > < K e y > T a b l e s \ S o l a r \ C o l u m n s \ T o t a l   G J < / K e y > < / D i a g r a m O b j e c t K e y > < D i a g r a m O b j e c t K e y > < K e y > T a b l e s \ S o l a r \ C o l u m n s \ T o t a l   E m i s s i o n s < / K e y > < / D i a g r a m O b j e c t K e y > < D i a g r a m O b j e c t K e y > < K e y > T a b l e s \ S o l a r \ M e a s u r e s \ S u m   o f   C o n s u m p t i o n   Q u a n t i t i y < / K e y > < / D i a g r a m O b j e c t K e y > < D i a g r a m O b j e c t K e y > < K e y > T a b l e s \ S o l a r \ S u m   o f   C o n s u m p t i o n   Q u a n t i t i y \ A d d i t i o n a l   I n f o \ I m p l i c i t   C a l c u l a t e d   F i e l d < / K e y > < / D i a g r a m O b j e c t K e y > < D i a g r a m O b j e c t K e y > < K e y > T a b l e s \ S o l a r \ M e a s u r e s \ S u m   o f   S c o p e   1   k g   C O 2 - e   7 < / K e y > < / D i a g r a m O b j e c t K e y > < D i a g r a m O b j e c t K e y > < K e y > T a b l e s \ S o l a r \ S u m   o f   S c o p e   1   k g   C O 2 - e   7 \ A d d i t i o n a l   I n f o \ I m p l i c i t   C a l c u l a t e d   F i e l d < / K e y > < / D i a g r a m O b j e c t K e y > < D i a g r a m O b j e c t K e y > < K e y > T a b l e s \ S o l a r \ M e a s u r e s \ S u m   o f   S c o p e   2   k g   C O 2 - e   7 < / K e y > < / D i a g r a m O b j e c t K e y > < D i a g r a m O b j e c t K e y > < K e y > T a b l e s \ S o l a r \ S u m   o f   S c o p e   2   k g   C O 2 - e   7 \ A d d i t i o n a l   I n f o \ I m p l i c i t   C a l c u l a t e d   F i e l d < / K e y > < / D i a g r a m O b j e c t K e y > < D i a g r a m O b j e c t K e y > < K e y > T a b l e s \ S o l a r \ M e a s u r e s \ S u m   o f   S c o p e   3   k g   C O 2 - e   7 < / K e y > < / D i a g r a m O b j e c t K e y > < D i a g r a m O b j e c t K e y > < K e y > T a b l e s \ S o l a r \ S u m   o f   S c o p e   3   k g   C O 2 - e   7 \ A d d i t i o n a l   I n f o \ I m p l i c i t   C a l c u l a t e d   F i e l d < / K e y > < / D i a g r a m O b j e c t K e y > < D i a g r a m O b j e c t K e y > < K e y > T a b l e s \ S o l a r \ M e a s u r e s \ S u m   o f   T o t a l   G J   7 < / K e y > < / D i a g r a m O b j e c t K e y > < D i a g r a m O b j e c t K e y > < K e y > T a b l e s \ S o l a r \ S u m   o f   T o t a l   G J   7 \ A d d i t i o n a l   I n f o \ I m p l i c i t   C a l c u l a t e d   F i e l d < / K e y > < / D i a g r a m O b j e c t K e y > < D i a g r a m O b j e c t K e y > < K e y > T a b l e s \ S o l a r \ M e a s u r e s \ S u m   o f   T o t a l   E m i s s i o n s   7 < / K e y > < / D i a g r a m O b j e c t K e y > < D i a g r a m O b j e c t K e y > < K e y > T a b l e s \ S o l a r \ S u m   o f   T o t a l   E m i s s i o n s   7 \ A d d i t i o n a l   I n f o \ I m p l i c i t   C a l c u l a t e d   F i e l d < / K e y > < / D i a g r a m O b j e c t K e y > < D i a g r a m O b j e c t K e y > < K e y > T a b l e s \ G r o u n d s _ F u e l s < / K e y > < / D i a g r a m O b j e c t K e y > < D i a g r a m O b j e c t K e y > < K e y > T a b l e s \ G r o u n d s _ F u e l s \ C o l u m n s \ R e p o r t i n g   A l i a s < / K e y > < / D i a g r a m O b j e c t K e y > < D i a g r a m O b j e c t K e y > < K e y > T a b l e s \ G r o u n d s _ F u e l s \ C o l u m n s \ S o u r c e   N a m e < / K e y > < / D i a g r a m O b j e c t K e y > < D i a g r a m O b j e c t K e y > < K e y > T a b l e s \ G r o u n d s _ F u e l s \ C o l u m n s \ A c t i v i t y   T y p e < / K e y > < / D i a g r a m O b j e c t K e y > < D i a g r a m O b j e c t K e y > < K e y > T a b l e s \ G r o u n d s _ F u e l s \ C o l u m n s \ A c t i v i t y   T y p e   C o n t e x t < / K e y > < / D i a g r a m O b j e c t K e y > < D i a g r a m O b j e c t K e y > < K e y > T a b l e s \ G r o u n d s _ F u e l s \ C o l u m n s \ E n t i t y < / K e y > < / D i a g r a m O b j e c t K e y > < D i a g r a m O b j e c t K e y > < K e y > T a b l e s \ G r o u n d s _ F u e l s \ C o l u m n s \ F u e l < / K e y > < / D i a g r a m O b j e c t K e y > < D i a g r a m O b j e c t K e y > < K e y > T a b l e s \ G r o u n d s _ F u e l s \ C o l u m n s \ S t a t e < / K e y > < / D i a g r a m O b j e c t K e y > < D i a g r a m O b j e c t K e y > < K e y > T a b l e s \ G r o u n d s _ F u e l s \ C o l u m n s \ C o n s u m p t i o n   Q u a n t i t y   ( L ) < / K e y > < / D i a g r a m O b j e c t K e y > < D i a g r a m O b j e c t K e y > < K e y > T a b l e s \ G r o u n d s _ F u e l s \ C o l u m n s \ C o n s u m p t i o n     U n i t s < / K e y > < / D i a g r a m O b j e c t K e y > < D i a g r a m O b j e c t K e y > < K e y > T a b l e s \ G r o u n d s _ F u e l s \ C o l u m n s \ C o n s u m p t i o n   Q u a n t i t y < / K e y > < / D i a g r a m O b j e c t K e y > < D i a g r a m O b j e c t K e y > < K e y > T a b l e s \ G r o u n d s _ F u e l s \ C o l u m n s \ T o t a l   G J < / K e y > < / D i a g r a m O b j e c t K e y > < D i a g r a m O b j e c t K e y > < K e y > T a b l e s \ G r o u n d s _ F u e l s \ C o l u m n s \ S c o p e   1   k g   C O 2 - e < / K e y > < / D i a g r a m O b j e c t K e y > < D i a g r a m O b j e c t K e y > < K e y > T a b l e s \ G r o u n d s _ F u e l s \ C o l u m n s \ S c o p e   2   k g   C O 2 - e < / K e y > < / D i a g r a m O b j e c t K e y > < D i a g r a m O b j e c t K e y > < K e y > T a b l e s \ G r o u n d s _ F u e l s \ C o l u m n s \ S c o p e   3   k g   C O 2 - e < / K e y > < / D i a g r a m O b j e c t K e y > < D i a g r a m O b j e c t K e y > < K e y > T a b l e s \ G r o u n d s _ F u e l s \ C o l u m n s \ T o t a l   E m i s s i o n s < / K e y > < / D i a g r a m O b j e c t K e y > < D i a g r a m O b j e c t K e y > < K e y > T a b l e s \ G r o u n d s _ F u e l s \ M e a s u r e s \ S u m   o f   C o n s u m p t i o n   Q u a n t i t y   8 < / K e y > < / D i a g r a m O b j e c t K e y > < D i a g r a m O b j e c t K e y > < K e y > T a b l e s \ G r o u n d s _ F u e l s \ S u m   o f   C o n s u m p t i o n   Q u a n t i t y   8 \ A d d i t i o n a l   I n f o \ I m p l i c i t   C a l c u l a t e d   F i e l d < / K e y > < / D i a g r a m O b j e c t K e y > < D i a g r a m O b j e c t K e y > < K e y > T a b l e s \ G r o u n d s _ F u e l s \ M e a s u r e s \ S u m   o f   T o t a l   G J   1 6 < / K e y > < / D i a g r a m O b j e c t K e y > < D i a g r a m O b j e c t K e y > < K e y > T a b l e s \ G r o u n d s _ F u e l s \ S u m   o f   T o t a l   G J   1 6 \ A d d i t i o n a l   I n f o \ I m p l i c i t   C a l c u l a t e d   F i e l d < / K e y > < / D i a g r a m O b j e c t K e y > < D i a g r a m O b j e c t K e y > < K e y > T a b l e s \ G r o u n d s _ F u e l s \ M e a s u r e s \ S u m   o f   S c o p e   1   k g   C O 2 - e   1 6 < / K e y > < / D i a g r a m O b j e c t K e y > < D i a g r a m O b j e c t K e y > < K e y > T a b l e s \ G r o u n d s _ F u e l s \ S u m   o f   S c o p e   1   k g   C O 2 - e   1 6 \ A d d i t i o n a l   I n f o \ I m p l i c i t   C a l c u l a t e d   F i e l d < / K e y > < / D i a g r a m O b j e c t K e y > < D i a g r a m O b j e c t K e y > < K e y > T a b l e s \ G r o u n d s _ F u e l s \ M e a s u r e s \ S u m   o f   S c o p e   2   k g   C O 2 - e   1 6 < / K e y > < / D i a g r a m O b j e c t K e y > < D i a g r a m O b j e c t K e y > < K e y > T a b l e s \ G r o u n d s _ F u e l s \ S u m   o f   S c o p e   2   k g   C O 2 - e   1 6 \ A d d i t i o n a l   I n f o \ I m p l i c i t   C a l c u l a t e d   F i e l d < / K e y > < / D i a g r a m O b j e c t K e y > < D i a g r a m O b j e c t K e y > < K e y > T a b l e s \ G r o u n d s _ F u e l s \ M e a s u r e s \ S u m   o f   S c o p e   3   k g   C O 2 - e   1 6 < / K e y > < / D i a g r a m O b j e c t K e y > < D i a g r a m O b j e c t K e y > < K e y > T a b l e s \ G r o u n d s _ F u e l s \ S u m   o f   S c o p e   3   k g   C O 2 - e   1 6 \ A d d i t i o n a l   I n f o \ I m p l i c i t   C a l c u l a t e d   F i e l d < / K e y > < / D i a g r a m O b j e c t K e y > < D i a g r a m O b j e c t K e y > < K e y > T a b l e s \ G r o u n d s _ F u e l s \ M e a s u r e s \ S u m   o f   T o t a l   E m i s s i o n s   1 6 < / K e y > < / D i a g r a m O b j e c t K e y > < D i a g r a m O b j e c t K e y > < K e y > T a b l e s \ G r o u n d s _ F u e l s \ S u m   o f   T o t a l   E m i s s i o n s   1 6 \ A d d i t i o n a l   I n f o \ I m p l i c i t   C a l c u l a t e d   F i e l d < / K e y > < / D i a g r a m O b j e c t K e y > < D i a g r a m O b j e c t K e y > < K e y > T a b l e s \ C o n t r a c t o r _ F u e l s < / K e y > < / D i a g r a m O b j e c t K e y > < D i a g r a m O b j e c t K e y > < K e y > T a b l e s \ C o n t r a c t o r _ F u e l s \ C o l u m n s \ R e p o r t i n g   A l i a s < / K e y > < / D i a g r a m O b j e c t K e y > < D i a g r a m O b j e c t K e y > < K e y > T a b l e s \ C o n t r a c t o r _ F u e l s \ C o l u m n s \ C o n t r a c t o r   t y p e < / K e y > < / D i a g r a m O b j e c t K e y > < D i a g r a m O b j e c t K e y > < K e y > T a b l e s \ C o n t r a c t o r _ F u e l s \ C o l u m n s \ S o u r c e   N a m e < / K e y > < / D i a g r a m O b j e c t K e y > < D i a g r a m O b j e c t K e y > < K e y > T a b l e s \ C o n t r a c t o r _ F u e l s \ C o l u m n s \ A c t i v i t y   T y p e < / K e y > < / D i a g r a m O b j e c t K e y > < D i a g r a m O b j e c t K e y > < K e y > T a b l e s \ C o n t r a c t o r _ F u e l s \ C o l u m n s \ A c t i v i t y   T y p e   C o n t e x t < / K e y > < / D i a g r a m O b j e c t K e y > < D i a g r a m O b j e c t K e y > < K e y > T a b l e s \ C o n t r a c t o r _ F u e l s \ C o l u m n s \ E n t i t y < / K e y > < / D i a g r a m O b j e c t K e y > < D i a g r a m O b j e c t K e y > < K e y > T a b l e s \ C o n t r a c t o r _ F u e l s \ C o l u m n s \ F u e l < / K e y > < / D i a g r a m O b j e c t K e y > < D i a g r a m O b j e c t K e y > < K e y > T a b l e s \ C o n t r a c t o r _ F u e l s \ C o l u m n s \ S t a t e < / K e y > < / D i a g r a m O b j e c t K e y > < D i a g r a m O b j e c t K e y > < K e y > T a b l e s \ C o n t r a c t o r _ F u e l s \ C o l u m n s \ C o n s u m p t i o n   Q u a n t i t y   ( L ) < / K e y > < / D i a g r a m O b j e c t K e y > < D i a g r a m O b j e c t K e y > < K e y > T a b l e s \ C o n t r a c t o r _ F u e l s \ C o l u m n s \ C o n s u m p t i o n     U n i t s < / K e y > < / D i a g r a m O b j e c t K e y > < D i a g r a m O b j e c t K e y > < K e y > T a b l e s \ C o n t r a c t o r _ F u e l s \ C o l u m n s \ C o n s u m p t i o n   Q u a n t i t y < / K e y > < / D i a g r a m O b j e c t K e y > < D i a g r a m O b j e c t K e y > < K e y > T a b l e s \ C o n t r a c t o r _ F u e l s \ C o l u m n s \ T o t a l   G J < / K e y > < / D i a g r a m O b j e c t K e y > < D i a g r a m O b j e c t K e y > < K e y > T a b l e s \ C o n t r a c t o r _ F u e l s \ C o l u m n s \ S c o p e   1   k g   C O 2 - e < / K e y > < / D i a g r a m O b j e c t K e y > < D i a g r a m O b j e c t K e y > < K e y > T a b l e s \ C o n t r a c t o r _ F u e l s \ C o l u m n s \ S c o p e   2   k g   C O 2 - e < / K e y > < / D i a g r a m O b j e c t K e y > < D i a g r a m O b j e c t K e y > < K e y > T a b l e s \ C o n t r a c t o r _ F u e l s \ C o l u m n s \ S c o p e   3   k g   C O 2 - e < / K e y > < / D i a g r a m O b j e c t K e y > < D i a g r a m O b j e c t K e y > < K e y > T a b l e s \ C o n t r a c t o r _ F u e l s \ C o l u m n s \ T o t a l   E m i s s i o n s < / K e y > < / D i a g r a m O b j e c t K e y > < D i a g r a m O b j e c t K e y > < K e y > T a b l e s \ C o n t r a c t o r _ F u e l s \ M e a s u r e s \ S u m   o f   C o n s u m p t i o n   Q u a n t i t y   1 0 < / K e y > < / D i a g r a m O b j e c t K e y > < D i a g r a m O b j e c t K e y > < K e y > T a b l e s \ C o n t r a c t o r _ F u e l s \ S u m   o f   C o n s u m p t i o n   Q u a n t i t y   1 0 \ A d d i t i o n a l   I n f o \ I m p l i c i t   C a l c u l a t e d   F i e l d < / K e y > < / D i a g r a m O b j e c t K e y > < D i a g r a m O b j e c t K e y > < K e y > T a b l e s \ C o n t r a c t o r _ F u e l s \ M e a s u r e s \ S u m   o f   T o t a l   G J   1 0 < / K e y > < / D i a g r a m O b j e c t K e y > < D i a g r a m O b j e c t K e y > < K e y > T a b l e s \ C o n t r a c t o r _ F u e l s \ S u m   o f   T o t a l   G J   1 0 \ A d d i t i o n a l   I n f o \ I m p l i c i t   C a l c u l a t e d   F i e l d < / K e y > < / D i a g r a m O b j e c t K e y > < D i a g r a m O b j e c t K e y > < K e y > T a b l e s \ C o n t r a c t o r _ F u e l s \ M e a s u r e s \ S u m   o f   S c o p e   1   k g   C O 2 - e   1 0 < / K e y > < / D i a g r a m O b j e c t K e y > < D i a g r a m O b j e c t K e y > < K e y > T a b l e s \ C o n t r a c t o r _ F u e l s \ S u m   o f   S c o p e   1   k g   C O 2 - e   1 0 \ A d d i t i o n a l   I n f o \ I m p l i c i t   C a l c u l a t e d   F i e l d < / K e y > < / D i a g r a m O b j e c t K e y > < D i a g r a m O b j e c t K e y > < K e y > T a b l e s \ C o n t r a c t o r _ F u e l s \ M e a s u r e s \ S u m   o f   S c o p e   2   k g   C O 2 - e   1 0 < / K e y > < / D i a g r a m O b j e c t K e y > < D i a g r a m O b j e c t K e y > < K e y > T a b l e s \ C o n t r a c t o r _ F u e l s \ S u m   o f   S c o p e   2   k g   C O 2 - e   1 0 \ A d d i t i o n a l   I n f o \ I m p l i c i t   C a l c u l a t e d   F i e l d < / K e y > < / D i a g r a m O b j e c t K e y > < D i a g r a m O b j e c t K e y > < K e y > T a b l e s \ C o n t r a c t o r _ F u e l s \ M e a s u r e s \ S u m   o f   S c o p e   3   k g   C O 2 - e   1 0 < / K e y > < / D i a g r a m O b j e c t K e y > < D i a g r a m O b j e c t K e y > < K e y > T a b l e s \ C o n t r a c t o r _ F u e l s \ S u m   o f   S c o p e   3   k g   C O 2 - e   1 0 \ A d d i t i o n a l   I n f o \ I m p l i c i t   C a l c u l a t e d   F i e l d < / K e y > < / D i a g r a m O b j e c t K e y > < D i a g r a m O b j e c t K e y > < K e y > T a b l e s \ C o n t r a c t o r _ F u e l s \ M e a s u r e s \ S u m   o f   T o t a l   E m i s s i o n s   1 0 < / K e y > < / D i a g r a m O b j e c t K e y > < D i a g r a m O b j e c t K e y > < K e y > T a b l e s \ C o n t r a c t o r _ F u e l s \ S u m   o f   T o t a l   E m i s s i o n s   1 0 \ A d d i t i o n a l   I n f o \ I m p l i c i t   C a l c u l a t e d   F i e l d < / K e y > < / D i a g r a m O b j e c t K e y > < D i a g r a m O b j e c t K e y > < K e y > T a b l e s \ A V I S < / K e y > < / D i a g r a m O b j e c t K e y > < D i a g r a m O b j e c t K e y > < K e y > T a b l e s \ A V I S \ C o l u m n s \ R e p o r t i n g   A l i a s < / K e y > < / D i a g r a m O b j e c t K e y > < D i a g r a m O b j e c t K e y > < K e y > T a b l e s \ A V I S \ C o l u m n s \ S o u r c e   N a m e < / K e y > < / D i a g r a m O b j e c t K e y > < D i a g r a m O b j e c t K e y > < K e y > T a b l e s \ A V I S \ C o l u m n s \ A c t i v i t y   T y p e < / K e y > < / D i a g r a m O b j e c t K e y > < D i a g r a m O b j e c t K e y > < K e y > T a b l e s \ A V I S \ C o l u m n s \ A c t i v i t y   T y p e   C o n t e x t < / K e y > < / D i a g r a m O b j e c t K e y > < D i a g r a m O b j e c t K e y > < K e y > T a b l e s \ A V I S \ C o l u m n s \ E n t i t y < / K e y > < / D i a g r a m O b j e c t K e y > < D i a g r a m O b j e c t K e y > < K e y > T a b l e s \ A V I S \ C o l u m n s \ F u e l < / K e y > < / D i a g r a m O b j e c t K e y > < D i a g r a m O b j e c t K e y > < K e y > T a b l e s \ A V I S \ C o l u m n s \ S t a t e < / K e y > < / D i a g r a m O b j e c t K e y > < D i a g r a m O b j e c t K e y > < K e y > T a b l e s \ A V I S \ C o l u m n s \ C o n s u m p t i o n   Q u a n t i t y   ( L ) < / K e y > < / D i a g r a m O b j e c t K e y > < D i a g r a m O b j e c t K e y > < K e y > T a b l e s \ A V I S \ C o l u m n s \ C o n s u m p t i o n   U n i t s < / K e y > < / D i a g r a m O b j e c t K e y > < D i a g r a m O b j e c t K e y > < K e y > T a b l e s \ A V I S \ C o l u m n s \ C o n s u m p t i o n   Q u a n t i t y < / K e y > < / D i a g r a m O b j e c t K e y > < D i a g r a m O b j e c t K e y > < K e y > T a b l e s \ A V I S \ C o l u m n s \ T o t a l   G J < / K e y > < / D i a g r a m O b j e c t K e y > < D i a g r a m O b j e c t K e y > < K e y > T a b l e s \ A V I S \ C o l u m n s \ S c o p e   1   k g   C O 2 - e < / K e y > < / D i a g r a m O b j e c t K e y > < D i a g r a m O b j e c t K e y > < K e y > T a b l e s \ A V I S \ C o l u m n s \ S c o p e   2   k g   C O 2 - e < / K e y > < / D i a g r a m O b j e c t K e y > < D i a g r a m O b j e c t K e y > < K e y > T a b l e s \ A V I S \ C o l u m n s \ S c o p e   3   k g   C O 2 - e < / K e y > < / D i a g r a m O b j e c t K e y > < D i a g r a m O b j e c t K e y > < K e y > T a b l e s \ A V I S \ C o l u m n s \ T o t a l   E m i s s i o n s < / K e y > < / D i a g r a m O b j e c t K e y > < D i a g r a m O b j e c t K e y > < K e y > T a b l e s \ A V I S \ M e a s u r e s \ S u m   o f   C o n s u m p t i o n   Q u a n t i t y   1 3 < / K e y > < / D i a g r a m O b j e c t K e y > < D i a g r a m O b j e c t K e y > < K e y > T a b l e s \ A V I S \ S u m   o f   C o n s u m p t i o n   Q u a n t i t y   1 3 \ A d d i t i o n a l   I n f o \ I m p l i c i t   C a l c u l a t e d   F i e l d < / K e y > < / D i a g r a m O b j e c t K e y > < D i a g r a m O b j e c t K e y > < K e y > T a b l e s \ A V I S \ M e a s u r e s \ S u m   o f   T o t a l   G J   8 < / K e y > < / D i a g r a m O b j e c t K e y > < D i a g r a m O b j e c t K e y > < K e y > T a b l e s \ A V I S \ S u m   o f   T o t a l   G J   8 \ A d d i t i o n a l   I n f o \ I m p l i c i t   C a l c u l a t e d   F i e l d < / K e y > < / D i a g r a m O b j e c t K e y > < D i a g r a m O b j e c t K e y > < K e y > T a b l e s \ A V I S \ M e a s u r e s \ S u m   o f   S c o p e   1   k g   C O 2 - e   8 < / K e y > < / D i a g r a m O b j e c t K e y > < D i a g r a m O b j e c t K e y > < K e y > T a b l e s \ A V I S \ S u m   o f   S c o p e   1   k g   C O 2 - e   8 \ A d d i t i o n a l   I n f o \ I m p l i c i t   C a l c u l a t e d   F i e l d < / K e y > < / D i a g r a m O b j e c t K e y > < D i a g r a m O b j e c t K e y > < K e y > T a b l e s \ A V I S \ M e a s u r e s \ S u m   o f   S c o p e   2   k g   C O 2 - e   8 < / K e y > < / D i a g r a m O b j e c t K e y > < D i a g r a m O b j e c t K e y > < K e y > T a b l e s \ A V I S \ S u m   o f   S c o p e   2   k g   C O 2 - e   8 \ A d d i t i o n a l   I n f o \ I m p l i c i t   C a l c u l a t e d   F i e l d < / K e y > < / D i a g r a m O b j e c t K e y > < D i a g r a m O b j e c t K e y > < K e y > T a b l e s \ A V I S \ M e a s u r e s \ S u m   o f   S c o p e   3   k g   C O 2 - e   8 < / K e y > < / D i a g r a m O b j e c t K e y > < D i a g r a m O b j e c t K e y > < K e y > T a b l e s \ A V I S \ S u m   o f   S c o p e   3   k g   C O 2 - e   8 \ A d d i t i o n a l   I n f o \ I m p l i c i t   C a l c u l a t e d   F i e l d < / K e y > < / D i a g r a m O b j e c t K e y > < D i a g r a m O b j e c t K e y > < K e y > T a b l e s \ A V I S \ M e a s u r e s \ S u m   o f   T o t a l   E m i s s i o n s   8 < / K e y > < / D i a g r a m O b j e c t K e y > < D i a g r a m O b j e c t K e y > < K e y > T a b l e s \ A V I S \ S u m   o f   T o t a l   E m i s s i o n s   8 \ A d d i t i o n a l   I n f o \ I m p l i c i t   C a l c u l a t e d   F i e l d < / K e y > < / D i a g r a m O b j e c t K e y > < D i a g r a m O b j e c t K e y > < K e y > T a b l e s \ L P _ F l e e t < / K e y > < / D i a g r a m O b j e c t K e y > < D i a g r a m O b j e c t K e y > < K e y > T a b l e s \ L P _ F l e e t \ C o l u m n s \ R e p o r t i n g   A l i a s < / K e y > < / D i a g r a m O b j e c t K e y > < D i a g r a m O b j e c t K e y > < K e y > T a b l e s \ L P _ F l e e t \ C o l u m n s \ E n t i t y < / K e y > < / D i a g r a m O b j e c t K e y > < D i a g r a m O b j e c t K e y > < K e y > T a b l e s \ L P _ F l e e t \ C o l u m n s \ F u e l < / K e y > < / D i a g r a m O b j e c t K e y > < D i a g r a m O b j e c t K e y > < K e y > T a b l e s \ L P _ F l e e t \ C o l u m n s \ S t a t e < / K e y > < / D i a g r a m O b j e c t K e y > < D i a g r a m O b j e c t K e y > < K e y > T a b l e s \ L P _ F l e e t \ C o l u m n s \ C o n s u m p t i o n   Q u a n t i t y   ( L ) < / K e y > < / D i a g r a m O b j e c t K e y > < D i a g r a m O b j e c t K e y > < K e y > T a b l e s \ L P _ F l e e t \ C o l u m n s \ C o n s u m p t i o n   U n i t s < / K e y > < / D i a g r a m O b j e c t K e y > < D i a g r a m O b j e c t K e y > < K e y > T a b l e s \ L P _ F l e e t \ C o l u m n s \ C o n s u m p t i o n   Q u a n t i t y < / K e y > < / D i a g r a m O b j e c t K e y > < D i a g r a m O b j e c t K e y > < K e y > T a b l e s \ L P _ F l e e t \ C o l u m n s \ T o t a l   G J < / K e y > < / D i a g r a m O b j e c t K e y > < D i a g r a m O b j e c t K e y > < K e y > T a b l e s \ L P _ F l e e t \ C o l u m n s \ S c o p e   1   k g   C O 2 - e < / K e y > < / D i a g r a m O b j e c t K e y > < D i a g r a m O b j e c t K e y > < K e y > T a b l e s \ L P _ F l e e t \ C o l u m n s \ S c o p e   2   k g   C O 2 - e < / K e y > < / D i a g r a m O b j e c t K e y > < D i a g r a m O b j e c t K e y > < K e y > T a b l e s \ L P _ F l e e t \ C o l u m n s \ S c o p e   3   k g   C O 2 - e < / K e y > < / D i a g r a m O b j e c t K e y > < D i a g r a m O b j e c t K e y > < K e y > T a b l e s \ L P _ F l e e t \ C o l u m n s \ T o t a l   E m i s s i o n s < / K e y > < / D i a g r a m O b j e c t K e y > < D i a g r a m O b j e c t K e y > < K e y > T a b l e s \ L P _ F l e e t \ M e a s u r e s \ S u m   o f   C o n s u m p t i o n   Q u a n t i t y   1 1 < / K e y > < / D i a g r a m O b j e c t K e y > < D i a g r a m O b j e c t K e y > < K e y > T a b l e s \ L P _ F l e e t \ S u m   o f   C o n s u m p t i o n   Q u a n t i t y   1 1 \ A d d i t i o n a l   I n f o \ I m p l i c i t   C a l c u l a t e d   F i e l d < / K e y > < / D i a g r a m O b j e c t K e y > < D i a g r a m O b j e c t K e y > < K e y > T a b l e s \ L P _ F l e e t \ M e a s u r e s \ S u m   o f   T o t a l   G J   9 < / K e y > < / D i a g r a m O b j e c t K e y > < D i a g r a m O b j e c t K e y > < K e y > T a b l e s \ L P _ F l e e t \ S u m   o f   T o t a l   G J   9 \ A d d i t i o n a l   I n f o \ I m p l i c i t   C a l c u l a t e d   F i e l d < / K e y > < / D i a g r a m O b j e c t K e y > < D i a g r a m O b j e c t K e y > < K e y > T a b l e s \ L P _ F l e e t \ M e a s u r e s \ S u m   o f   S c o p e   1   k g   C O 2 - e   9 < / K e y > < / D i a g r a m O b j e c t K e y > < D i a g r a m O b j e c t K e y > < K e y > T a b l e s \ L P _ F l e e t \ S u m   o f   S c o p e   1   k g   C O 2 - e   9 \ A d d i t i o n a l   I n f o \ I m p l i c i t   C a l c u l a t e d   F i e l d < / K e y > < / D i a g r a m O b j e c t K e y > < D i a g r a m O b j e c t K e y > < K e y > T a b l e s \ L P _ F l e e t \ M e a s u r e s \ S u m   o f   S c o p e   2   k g   C O 2 - e   9 < / K e y > < / D i a g r a m O b j e c t K e y > < D i a g r a m O b j e c t K e y > < K e y > T a b l e s \ L P _ F l e e t \ S u m   o f   S c o p e   2   k g   C O 2 - e   9 \ A d d i t i o n a l   I n f o \ I m p l i c i t   C a l c u l a t e d   F i e l d < / K e y > < / D i a g r a m O b j e c t K e y > < D i a g r a m O b j e c t K e y > < K e y > T a b l e s \ L P _ F l e e t \ M e a s u r e s \ S u m   o f   S c o p e   3   k g   C O 2 - e   9 < / K e y > < / D i a g r a m O b j e c t K e y > < D i a g r a m O b j e c t K e y > < K e y > T a b l e s \ L P _ F l e e t \ S u m   o f   S c o p e   3   k g   C O 2 - e   9 \ A d d i t i o n a l   I n f o \ I m p l i c i t   C a l c u l a t e d   F i e l d < / K e y > < / D i a g r a m O b j e c t K e y > < D i a g r a m O b j e c t K e y > < K e y > T a b l e s \ L P _ F l e e t \ M e a s u r e s \ S u m   o f   T o t a l   E m i s s i o n s   9 < / K e y > < / D i a g r a m O b j e c t K e y > < D i a g r a m O b j e c t K e y > < K e y > T a b l e s \ L P _ F l e e t \ S u m   o f   T o t a l   E m i s s i o n s   9 \ A d d i t i o n a l   I n f o \ I m p l i c i t   C a l c u l a t e d   F i e l d < / K e y > < / D i a g r a m O b j e c t K e y > < D i a g r a m O b j e c t K e y > < K e y > T a b l e s \ N O N _ G e n s e t < / K e y > < / D i a g r a m O b j e c t K e y > < D i a g r a m O b j e c t K e y > < K e y > T a b l e s \ N O N _ G e n s e t \ C o l u m n s \ R e p o r t i n g   A l i a s < / K e y > < / D i a g r a m O b j e c t K e y > < D i a g r a m O b j e c t K e y > < K e y > T a b l e s \ N O N _ G e n s e t \ C o l u m n s \ S o u r c e   N a m e < / K e y > < / D i a g r a m O b j e c t K e y > < D i a g r a m O b j e c t K e y > < K e y > T a b l e s \ N O N _ G e n s e t \ C o l u m n s \ A c t i v i t y   T y p e < / K e y > < / D i a g r a m O b j e c t K e y > < D i a g r a m O b j e c t K e y > < K e y > T a b l e s \ N O N _ G e n s e t \ C o l u m n s \ A c t i v i t y   T y p e   C o n t e x t < / K e y > < / D i a g r a m O b j e c t K e y > < D i a g r a m O b j e c t K e y > < K e y > T a b l e s \ N O N _ G e n s e t \ C o l u m n s \ E n t i t y < / K e y > < / D i a g r a m O b j e c t K e y > < D i a g r a m O b j e c t K e y > < K e y > T a b l e s \ N O N _ G e n s e t \ C o l u m n s \ F u e l < / K e y > < / D i a g r a m O b j e c t K e y > < D i a g r a m O b j e c t K e y > < K e y > T a b l e s \ N O N _ G e n s e t \ C o l u m n s \ S t a t e < / K e y > < / D i a g r a m O b j e c t K e y > < D i a g r a m O b j e c t K e y > < K e y > T a b l e s \ N O N _ G e n s e t \ C o l u m n s \ C o n s u m p t i o n   Q u a n t i t y   ( L ) < / K e y > < / D i a g r a m O b j e c t K e y > < D i a g r a m O b j e c t K e y > < K e y > T a b l e s \ N O N _ G e n s e t \ C o l u m n s \ P r o d u c t i o n     U n i t s < / K e y > < / D i a g r a m O b j e c t K e y > < D i a g r a m O b j e c t K e y > < K e y > T a b l e s \ N O N _ G e n s e t \ C o l u m n s \ C o n s u m p t i o n   Q u a n t i t y < / K e y > < / D i a g r a m O b j e c t K e y > < D i a g r a m O b j e c t K e y > < K e y > T a b l e s \ N O N _ G e n s e t \ C o l u m n s \ T o t a l   G J < / K e y > < / D i a g r a m O b j e c t K e y > < D i a g r a m O b j e c t K e y > < K e y > T a b l e s \ N O N _ G e n s e t \ C o l u m n s \ S c o p e   1   k g   C O 2 - e < / K e y > < / D i a g r a m O b j e c t K e y > < D i a g r a m O b j e c t K e y > < K e y > T a b l e s \ N O N _ G e n s e t \ C o l u m n s \ S c o p e   2   k g   C O 2 - e < / K e y > < / D i a g r a m O b j e c t K e y > < D i a g r a m O b j e c t K e y > < K e y > T a b l e s \ N O N _ G e n s e t \ C o l u m n s \ S c o p e   3   k g   C O 2 - e < / K e y > < / D i a g r a m O b j e c t K e y > < D i a g r a m O b j e c t K e y > < K e y > T a b l e s \ N O N _ G e n s e t \ C o l u m n s \ T o t a l   E m i s s i o n s < / K e y > < / D i a g r a m O b j e c t K e y > < D i a g r a m O b j e c t K e y > < K e y > T a b l e s \ N O N _ G e n s e t \ M e a s u r e s \ S u m   o f   C o n s u m p t i o n   Q u a n t i t y   7 < / K e y > < / D i a g r a m O b j e c t K e y > < D i a g r a m O b j e c t K e y > < K e y > T a b l e s \ N O N _ G e n s e t \ S u m   o f   C o n s u m p t i o n   Q u a n t i t y   7 \ A d d i t i o n a l   I n f o \ I m p l i c i t   C a l c u l a t e d   F i e l d < / K e y > < / D i a g r a m O b j e c t K e y > < D i a g r a m O b j e c t K e y > < K e y > T a b l e s \ N O N _ G e n s e t \ M e a s u r e s \ S u m   o f   T o t a l   G J   1 4 < / K e y > < / D i a g r a m O b j e c t K e y > < D i a g r a m O b j e c t K e y > < K e y > T a b l e s \ N O N _ G e n s e t \ S u m   o f   T o t a l   G J   1 4 \ A d d i t i o n a l   I n f o \ I m p l i c i t   C a l c u l a t e d   F i e l d < / K e y > < / D i a g r a m O b j e c t K e y > < D i a g r a m O b j e c t K e y > < K e y > T a b l e s \ N O N _ G e n s e t \ M e a s u r e s \ S u m   o f   S c o p e   1   k g   C O 2 - e   1 4 < / K e y > < / D i a g r a m O b j e c t K e y > < D i a g r a m O b j e c t K e y > < K e y > T a b l e s \ N O N _ G e n s e t \ S u m   o f   S c o p e   1   k g   C O 2 - e   1 4 \ A d d i t i o n a l   I n f o \ I m p l i c i t   C a l c u l a t e d   F i e l d < / K e y > < / D i a g r a m O b j e c t K e y > < D i a g r a m O b j e c t K e y > < K e y > T a b l e s \ N O N _ G e n s e t \ M e a s u r e s \ S u m   o f   S c o p e   2   k g   C O 2 - e   1 4 < / K e y > < / D i a g r a m O b j e c t K e y > < D i a g r a m O b j e c t K e y > < K e y > T a b l e s \ N O N _ G e n s e t \ S u m   o f   S c o p e   2   k g   C O 2 - e   1 4 \ A d d i t i o n a l   I n f o \ I m p l i c i t   C a l c u l a t e d   F i e l d < / K e y > < / D i a g r a m O b j e c t K e y > < D i a g r a m O b j e c t K e y > < K e y > T a b l e s \ N O N _ G e n s e t \ M e a s u r e s \ S u m   o f   S c o p e   3   k g   C O 2 - e   1 4 < / K e y > < / D i a g r a m O b j e c t K e y > < D i a g r a m O b j e c t K e y > < K e y > T a b l e s \ N O N _ G e n s e t \ S u m   o f   S c o p e   3   k g   C O 2 - e   1 4 \ A d d i t i o n a l   I n f o \ I m p l i c i t   C a l c u l a t e d   F i e l d < / K e y > < / D i a g r a m O b j e c t K e y > < D i a g r a m O b j e c t K e y > < K e y > T a b l e s \ N O N _ G e n s e t \ M e a s u r e s \ S u m   o f   T o t a l   E m i s s i o n s   1 4 < / K e y > < / D i a g r a m O b j e c t K e y > < D i a g r a m O b j e c t K e y > < K e y > T a b l e s \ N O N _ G e n s e t \ S u m   o f   T o t a l   E m i s s i o n s   1 4 \ A d d i t i o n a l   I n f o \ I m p l i c i t   C a l c u l a t e d   F i e l d < / K e y > < / D i a g r a m O b j e c t K e y > < D i a g r a m O b j e c t K e y > < K e y > T a b l e s \ D C _ G e n s e t < / K e y > < / D i a g r a m O b j e c t K e y > < D i a g r a m O b j e c t K e y > < K e y > T a b l e s \ D C _ G e n s e t \ C o l u m n s \ R e p o r t i n g   A l i a s < / K e y > < / D i a g r a m O b j e c t K e y > < D i a g r a m O b j e c t K e y > < K e y > T a b l e s \ D C _ G e n s e t \ C o l u m n s \ F u e l < / K e y > < / D i a g r a m O b j e c t K e y > < D i a g r a m O b j e c t K e y > < K e y > T a b l e s \ D C _ G e n s e t \ C o l u m n s \ S t a t e < / K e y > < / D i a g r a m O b j e c t K e y > < D i a g r a m O b j e c t K e y > < K e y > T a b l e s \ D C _ G e n s e t \ C o l u m n s \ C o n s u m p t i o n   Q u a n t i t y   ( L ) < / K e y > < / D i a g r a m O b j e c t K e y > < D i a g r a m O b j e c t K e y > < K e y > T a b l e s \ D C _ G e n s e t \ C o l u m n s \ C o n s u m p t i o n     U n i t s < / K e y > < / D i a g r a m O b j e c t K e y > < D i a g r a m O b j e c t K e y > < K e y > T a b l e s \ D C _ G e n s e t \ C o l u m n s \ C o n s u m p t i o n   Q u a n t i t y < / K e y > < / D i a g r a m O b j e c t K e y > < D i a g r a m O b j e c t K e y > < K e y > T a b l e s \ D C _ G e n s e t \ C o l u m n s \ U o M < / K e y > < / D i a g r a m O b j e c t K e y > < D i a g r a m O b j e c t K e y > < K e y > T a b l e s \ D C _ G e n s e t \ C o l u m n s \ T o t a l   G J < / K e y > < / D i a g r a m O b j e c t K e y > < D i a g r a m O b j e c t K e y > < K e y > T a b l e s \ D C _ G e n s e t \ C o l u m n s \ S c o p e   1   k g   C O 2 - e < / K e y > < / D i a g r a m O b j e c t K e y > < D i a g r a m O b j e c t K e y > < K e y > T a b l e s \ D C _ G e n s e t \ C o l u m n s \ S c o p e   2   k g   C O 2 - e < / K e y > < / D i a g r a m O b j e c t K e y > < D i a g r a m O b j e c t K e y > < K e y > T a b l e s \ D C _ G e n s e t \ C o l u m n s \ S c o p e   3   k g   C O 2 - e < / K e y > < / D i a g r a m O b j e c t K e y > < D i a g r a m O b j e c t K e y > < K e y > T a b l e s \ D C _ G e n s e t \ C o l u m n s \ T o t a l   E m i s s i o n s < / K e y > < / D i a g r a m O b j e c t K e y > < D i a g r a m O b j e c t K e y > < K e y > T a b l e s \ D C _ G e n s e t \ M e a s u r e s \ S u m   o f   C o n s u m p t i o n   Q u a n t i t y   1 4 < / K e y > < / D i a g r a m O b j e c t K e y > < D i a g r a m O b j e c t K e y > < K e y > T a b l e s \ D C _ G e n s e t \ S u m   o f   C o n s u m p t i o n   Q u a n t i t y   1 4 \ A d d i t i o n a l   I n f o \ I m p l i c i t   C a l c u l a t e d   F i e l d < / K e y > < / D i a g r a m O b j e c t K e y > < D i a g r a m O b j e c t K e y > < K e y > T a b l e s \ D C _ G e n s e t \ M e a s u r e s \ S u m   o f   T o t a l   G J   1 1 < / K e y > < / D i a g r a m O b j e c t K e y > < D i a g r a m O b j e c t K e y > < K e y > T a b l e s \ D C _ G e n s e t \ S u m   o f   T o t a l   G J   1 1 \ A d d i t i o n a l   I n f o \ I m p l i c i t   C a l c u l a t e d   F i e l d < / K e y > < / D i a g r a m O b j e c t K e y > < D i a g r a m O b j e c t K e y > < K e y > T a b l e s \ D C _ G e n s e t \ M e a s u r e s \ S u m   o f   S c o p e   1   k g   C O 2 - e   1 1 < / K e y > < / D i a g r a m O b j e c t K e y > < D i a g r a m O b j e c t K e y > < K e y > T a b l e s \ D C _ G e n s e t \ S u m   o f   S c o p e   1   k g   C O 2 - e   1 1 \ A d d i t i o n a l   I n f o \ I m p l i c i t   C a l c u l a t e d   F i e l d < / K e y > < / D i a g r a m O b j e c t K e y > < D i a g r a m O b j e c t K e y > < K e y > T a b l e s \ D C _ G e n s e t \ M e a s u r e s \ S u m   o f   S c o p e   2   k g   C O 2 - e   1 1 < / K e y > < / D i a g r a m O b j e c t K e y > < D i a g r a m O b j e c t K e y > < K e y > T a b l e s \ D C _ G e n s e t \ S u m   o f   S c o p e   2   k g   C O 2 - e   1 1 \ A d d i t i o n a l   I n f o \ I m p l i c i t   C a l c u l a t e d   F i e l d < / K e y > < / D i a g r a m O b j e c t K e y > < D i a g r a m O b j e c t K e y > < K e y > T a b l e s \ D C _ G e n s e t \ M e a s u r e s \ S u m   o f   S c o p e   3   k g   C O 2 - e   1 1 < / K e y > < / D i a g r a m O b j e c t K e y > < D i a g r a m O b j e c t K e y > < K e y > T a b l e s \ D C _ G e n s e t \ S u m   o f   S c o p e   3   k g   C O 2 - e   1 1 \ A d d i t i o n a l   I n f o \ I m p l i c i t   C a l c u l a t e d   F i e l d < / K e y > < / D i a g r a m O b j e c t K e y > < D i a g r a m O b j e c t K e y > < K e y > T a b l e s \ D C _ G e n s e t \ M e a s u r e s \ S u m   o f   T o t a l   E m i s s i o n s   1 1 < / K e y > < / D i a g r a m O b j e c t K e y > < D i a g r a m O b j e c t K e y > < K e y > T a b l e s \ D C _ G e n s e t \ S u m   o f   T o t a l   E m i s s i o n s   1 1 \ A d d i t i o n a l   I n f o \ I m p l i c i t   C a l c u l a t e d   F i e l d < / K e y > < / D i a g r a m O b j e c t K e y > < D i a g r a m O b j e c t K e y > < K e y > T a b l e s \ T e l s t r a B C A < / K e y > < / D i a g r a m O b j e c t K e y > < D i a g r a m O b j e c t K e y > < K e y > T a b l e s \ T e l s t r a B C A \ C o l u m n s \ R e p o r t i n g   A l i a s < / K e y > < / D i a g r a m O b j e c t K e y > < D i a g r a m O b j e c t K e y > < K e y > T a b l e s \ T e l s t r a B C A \ C o l u m n s \ C o n s u m p t i o n   Q u a n t i t y < / K e y > < / D i a g r a m O b j e c t K e y > < D i a g r a m O b j e c t K e y > < K e y > T a b l e s \ T e l s t r a B C A \ C o l u m n s \ T o t a l   G J < / K e y > < / D i a g r a m O b j e c t K e y > < D i a g r a m O b j e c t K e y > < K e y > T a b l e s \ T e l s t r a B C A \ C o l u m n s \ S c o p e   1   k g   C O 2 - e < / K e y > < / D i a g r a m O b j e c t K e y > < D i a g r a m O b j e c t K e y > < K e y > T a b l e s \ T e l s t r a B C A \ C o l u m n s \ S c o p e   2   k g   C O 2 - e < / K e y > < / D i a g r a m O b j e c t K e y > < D i a g r a m O b j e c t K e y > < K e y > T a b l e s \ T e l s t r a B C A \ C o l u m n s \ S c o p e   3   k g   C O 2 - e < / K e y > < / D i a g r a m O b j e c t K e y > < D i a g r a m O b j e c t K e y > < K e y > T a b l e s \ T e l s t r a B C A \ C o l u m n s \ T o t a l   E m i s s i o n s < / K e y > < / D i a g r a m O b j e c t K e y > < D i a g r a m O b j e c t K e y > < K e y > T a b l e s \ T e l s t r a B C A \ M e a s u r e s \ S u m   o f   C o n s u m p t i o n   Q u a n t i t y   4 < / K e y > < / D i a g r a m O b j e c t K e y > < D i a g r a m O b j e c t K e y > < K e y > T a b l e s \ T e l s t r a B C A \ S u m   o f   C o n s u m p t i o n   Q u a n t i t y   4 \ A d d i t i o n a l   I n f o \ I m p l i c i t   C a l c u l a t e d   F i e l d < / K e y > < / D i a g r a m O b j e c t K e y > < D i a g r a m O b j e c t K e y > < K e y > T a b l e s \ T e l s t r a B C A \ M e a s u r e s \ S u m   o f   T o t a l   G J   4 < / K e y > < / D i a g r a m O b j e c t K e y > < D i a g r a m O b j e c t K e y > < K e y > T a b l e s \ T e l s t r a B C A \ S u m   o f   T o t a l   G J   4 \ A d d i t i o n a l   I n f o \ I m p l i c i t   C a l c u l a t e d   F i e l d < / K e y > < / D i a g r a m O b j e c t K e y > < D i a g r a m O b j e c t K e y > < K e y > T a b l e s \ T e l s t r a B C A \ M e a s u r e s \ S u m   o f   S c o p e   1   k g   C O 2 - e   4 < / K e y > < / D i a g r a m O b j e c t K e y > < D i a g r a m O b j e c t K e y > < K e y > T a b l e s \ T e l s t r a B C A \ S u m   o f   S c o p e   1   k g   C O 2 - e   4 \ A d d i t i o n a l   I n f o \ I m p l i c i t   C a l c u l a t e d   F i e l d < / K e y > < / D i a g r a m O b j e c t K e y > < D i a g r a m O b j e c t K e y > < K e y > T a b l e s \ T e l s t r a B C A \ M e a s u r e s \ S u m   o f   S c o p e   2   k g   C O 2 - e   4 < / K e y > < / D i a g r a m O b j e c t K e y > < D i a g r a m O b j e c t K e y > < K e y > T a b l e s \ T e l s t r a B C A \ S u m   o f   S c o p e   2   k g   C O 2 - e   4 \ A d d i t i o n a l   I n f o \ I m p l i c i t   C a l c u l a t e d   F i e l d < / K e y > < / D i a g r a m O b j e c t K e y > < D i a g r a m O b j e c t K e y > < K e y > T a b l e s \ T e l s t r a B C A \ M e a s u r e s \ S u m   o f   S c o p e   3   k g   C O 2 - e   4 < / K e y > < / D i a g r a m O b j e c t K e y > < D i a g r a m O b j e c t K e y > < K e y > T a b l e s \ T e l s t r a B C A \ S u m   o f   S c o p e   3   k g   C O 2 - e   4 \ A d d i t i o n a l   I n f o \ I m p l i c i t   C a l c u l a t e d   F i e l d < / K e y > < / D i a g r a m O b j e c t K e y > < D i a g r a m O b j e c t K e y > < K e y > T a b l e s \ T e l s t r a B C A \ M e a s u r e s \ S u m   o f   T o t a l   E m i s s i o n s   4 < / K e y > < / D i a g r a m O b j e c t K e y > < D i a g r a m O b j e c t K e y > < K e y > T a b l e s \ T e l s t r a B C A \ S u m   o f   T o t a l   E m i s s i o n s   4 \ A d d i t i o n a l   I n f o \ I m p l i c i t   C a l c u l a t e d   F i e l d < / K e y > < / D i a g r a m O b j e c t K e y > < D i a g r a m O b j e c t K e y > < K e y > T a b l e s \ L P _ S t a t i o n a r y < / K e y > < / D i a g r a m O b j e c t K e y > < D i a g r a m O b j e c t K e y > < K e y > T a b l e s \ L P _ S t a t i o n a r y \ C o l u m n s \ R e p o r t i n g   A l i a s < / K e y > < / D i a g r a m O b j e c t K e y > < D i a g r a m O b j e c t K e y > < K e y > T a b l e s \ L P _ S t a t i o n a r y \ C o l u m n s \ E n t i t y < / K e y > < / D i a g r a m O b j e c t K e y > < D i a g r a m O b j e c t K e y > < K e y > T a b l e s \ L P _ S t a t i o n a r y \ C o l u m n s \ F u e l < / K e y > < / D i a g r a m O b j e c t K e y > < D i a g r a m O b j e c t K e y > < K e y > T a b l e s \ L P _ S t a t i o n a r y \ C o l u m n s \ S t a t e < / K e y > < / D i a g r a m O b j e c t K e y > < D i a g r a m O b j e c t K e y > < K e y > T a b l e s \ L P _ S t a t i o n a r y \ C o l u m n s \ C o n s u m p t i o n   Q u a n t i t y   ( L ) < / K e y > < / D i a g r a m O b j e c t K e y > < D i a g r a m O b j e c t K e y > < K e y > T a b l e s \ L P _ S t a t i o n a r y \ C o l u m n s \ C o n s u m p t i o n   U n i t s < / K e y > < / D i a g r a m O b j e c t K e y > < D i a g r a m O b j e c t K e y > < K e y > T a b l e s \ L P _ S t a t i o n a r y \ C o l u m n s \ C o n s u m p t i o n   Q u a n t i t y < / K e y > < / D i a g r a m O b j e c t K e y > < D i a g r a m O b j e c t K e y > < K e y > T a b l e s \ L P _ S t a t i o n a r y \ C o l u m n s \ T o t a l   G J < / K e y > < / D i a g r a m O b j e c t K e y > < D i a g r a m O b j e c t K e y > < K e y > T a b l e s \ L P _ S t a t i o n a r y \ C o l u m n s \ S c o p e   1   k g   C O 2 - e < / K e y > < / D i a g r a m O b j e c t K e y > < D i a g r a m O b j e c t K e y > < K e y > T a b l e s \ L P _ S t a t i o n a r y \ C o l u m n s \ S c o p e   2   k g   C O 2 - e < / K e y > < / D i a g r a m O b j e c t K e y > < D i a g r a m O b j e c t K e y > < K e y > T a b l e s \ L P _ S t a t i o n a r y \ C o l u m n s \ S c o p e   3   k g   C O 2 - e < / K e y > < / D i a g r a m O b j e c t K e y > < D i a g r a m O b j e c t K e y > < K e y > T a b l e s \ L P _ S t a t i o n a r y \ C o l u m n s \ T o t a l   E m i s s i o n s < / K e y > < / D i a g r a m O b j e c t K e y > < D i a g r a m O b j e c t K e y > < K e y > T a b l e s \ L P _ S t a t i o n a r y \ M e a s u r e s \ S u m   o f   C o n s u m p t i o n   Q u a n t i t y   1 2 < / K e y > < / D i a g r a m O b j e c t K e y > < D i a g r a m O b j e c t K e y > < K e y > T a b l e s \ L P _ S t a t i o n a r y \ S u m   o f   C o n s u m p t i o n   Q u a n t i t y   1 2 \ A d d i t i o n a l   I n f o \ I m p l i c i t   C a l c u l a t e d   F i e l d < / K e y > < / D i a g r a m O b j e c t K e y > < D i a g r a m O b j e c t K e y > < K e y > T a b l e s \ L P _ S t a t i o n a r y \ M e a s u r e s \ S u m   o f   T o t a l   G J   1 2 < / K e y > < / D i a g r a m O b j e c t K e y > < D i a g r a m O b j e c t K e y > < K e y > T a b l e s \ L P _ S t a t i o n a r y \ S u m   o f   T o t a l   G J   1 2 \ A d d i t i o n a l   I n f o \ I m p l i c i t   C a l c u l a t e d   F i e l d < / K e y > < / D i a g r a m O b j e c t K e y > < D i a g r a m O b j e c t K e y > < K e y > T a b l e s \ L P _ S t a t i o n a r y \ M e a s u r e s \ S u m   o f   S c o p e   1   k g   C O 2 - e   1 2 < / K e y > < / D i a g r a m O b j e c t K e y > < D i a g r a m O b j e c t K e y > < K e y > T a b l e s \ L P _ S t a t i o n a r y \ S u m   o f   S c o p e   1   k g   C O 2 - e   1 2 \ A d d i t i o n a l   I n f o \ I m p l i c i t   C a l c u l a t e d   F i e l d < / K e y > < / D i a g r a m O b j e c t K e y > < D i a g r a m O b j e c t K e y > < K e y > T a b l e s \ L P _ S t a t i o n a r y \ M e a s u r e s \ S u m   o f   S c o p e   2   k g   C O 2 - e   1 2 < / K e y > < / D i a g r a m O b j e c t K e y > < D i a g r a m O b j e c t K e y > < K e y > T a b l e s \ L P _ S t a t i o n a r y \ S u m   o f   S c o p e   2   k g   C O 2 - e   1 2 \ A d d i t i o n a l   I n f o \ I m p l i c i t   C a l c u l a t e d   F i e l d < / K e y > < / D i a g r a m O b j e c t K e y > < D i a g r a m O b j e c t K e y > < K e y > T a b l e s \ L P _ S t a t i o n a r y \ M e a s u r e s \ S u m   o f   S c o p e   3   k g   C O 2 - e   1 2 < / K e y > < / D i a g r a m O b j e c t K e y > < D i a g r a m O b j e c t K e y > < K e y > T a b l e s \ L P _ S t a t i o n a r y \ S u m   o f   S c o p e   3   k g   C O 2 - e   1 2 \ A d d i t i o n a l   I n f o \ I m p l i c i t   C a l c u l a t e d   F i e l d < / K e y > < / D i a g r a m O b j e c t K e y > < D i a g r a m O b j e c t K e y > < K e y > T a b l e s \ L P _ S t a t i o n a r y \ M e a s u r e s \ S u m   o f   T o t a l   E m i s s i o n s   1 2 < / K e y > < / D i a g r a m O b j e c t K e y > < D i a g r a m O b j e c t K e y > < K e y > T a b l e s \ L P _ S t a t i o n a r y \ S u m   o f   T o t a l   E m i s s i o n s   1 2 \ A d d i t i o n a l   I n f o \ I m p l i c i t   C a l c u l a t e d   F i e l d < / K e y > < / D i a g r a m O b j e c t K e y > < D i a g r a m O b j e c t K e y > < K e y > R e l a t i o n s h i p s \ & l t ; T a b l e s \ B C A _ R e m o v a l \ C o l u m n s \ R e p o r t i n g   A l i a s & g t ; - & l t ; T a b l e s \ E n t i t y \ C o l u m n s \ R e p o r t i n g   A l i a s & g t ; < / K e y > < / D i a g r a m O b j e c t K e y > < D i a g r a m O b j e c t K e y > < K e y > R e l a t i o n s h i p s \ & l t ; T a b l e s \ B C A _ R e m o v a l \ C o l u m n s \ R e p o r t i n g   A l i a s & g t ; - & l t ; T a b l e s \ E n t i t y \ C o l u m n s \ R e p o r t i n g   A l i a s & g t ; \ F K < / K e y > < / D i a g r a m O b j e c t K e y > < D i a g r a m O b j e c t K e y > < K e y > R e l a t i o n s h i p s \ & l t ; T a b l e s \ B C A _ R e m o v a l \ C o l u m n s \ R e p o r t i n g   A l i a s & g t ; - & l t ; T a b l e s \ E n t i t y \ C o l u m n s \ R e p o r t i n g   A l i a s & g t ; \ P K < / K e y > < / D i a g r a m O b j e c t K e y > < D i a g r a m O b j e c t K e y > < K e y > R e l a t i o n s h i p s \ & l t ; T a b l e s \ B C A _ R e m o v a l \ C o l u m n s \ R e p o r t i n g   A l i a s & g t ; - & l t ; T a b l e s \ G H G \ C o l u m n s \ R e p o r t i n g   A l i a s & g t ; < / K e y > < / D i a g r a m O b j e c t K e y > < D i a g r a m O b j e c t K e y > < K e y > R e l a t i o n s h i p s \ & l t ; T a b l e s \ B C A _ R e m o v a l \ C o l u m n s \ R e p o r t i n g   A l i a s & g t ; - & l t ; T a b l e s \ G H G \ C o l u m n s \ R e p o r t i n g   A l i a s & g t ; \ F K < / K e y > < / D i a g r a m O b j e c t K e y > < D i a g r a m O b j e c t K e y > < K e y > R e l a t i o n s h i p s \ & l t ; T a b l e s \ B C A _ R e m o v a l \ C o l u m n s \ R e p o r t i n g   A l i a s & g t ; - & l t ; T a b l e s \ G H G \ C o l u m n s \ R e p o r t i n g   A l i a s & g t ; \ P K < / K e y > < / D i a g r a m O b j e c t K e y > < D i a g r a m O b j e c t K e y > < K e y > R e l a t i o n s h i p s \ & l t ; T a b l e s \ N B N _ R e m o v a l \ C o l u m n s \ R e p o r t i n g   A l i a s & g t ; - & l t ; T a b l e s \ E n t i t y \ C o l u m n s \ R e p o r t i n g   A l i a s & g t ; < / K e y > < / D i a g r a m O b j e c t K e y > < D i a g r a m O b j e c t K e y > < K e y > R e l a t i o n s h i p s \ & l t ; T a b l e s \ N B N _ R e m o v a l \ C o l u m n s \ R e p o r t i n g   A l i a s & g t ; - & l t ; T a b l e s \ E n t i t y \ C o l u m n s \ R e p o r t i n g   A l i a s & g t ; \ F K < / K e y > < / D i a g r a m O b j e c t K e y > < D i a g r a m O b j e c t K e y > < K e y > R e l a t i o n s h i p s \ & l t ; T a b l e s \ N B N _ R e m o v a l \ C o l u m n s \ R e p o r t i n g   A l i a s & g t ; - & l t ; T a b l e s \ E n t i t y \ C o l u m n s \ R e p o r t i n g   A l i a s & g t ; \ P K < / K e y > < / D i a g r a m O b j e c t K e y > < D i a g r a m O b j e c t K e y > < K e y > R e l a t i o n s h i p s \ & l t ; T a b l e s \ N B N _ R e m o v a l \ C o l u m n s \ R e p o r t i n g   A l i a s & g t ; - & l t ; T a b l e s \ G H G \ C o l u m n s \ R e p o r t i n g   A l i a s & g t ; < / K e y > < / D i a g r a m O b j e c t K e y > < D i a g r a m O b j e c t K e y > < K e y > R e l a t i o n s h i p s \ & l t ; T a b l e s \ N B N _ R e m o v a l \ C o l u m n s \ R e p o r t i n g   A l i a s & g t ; - & l t ; T a b l e s \ G H G \ C o l u m n s \ R e p o r t i n g   A l i a s & g t ; \ F K < / K e y > < / D i a g r a m O b j e c t K e y > < D i a g r a m O b j e c t K e y > < K e y > R e l a t i o n s h i p s \ & l t ; T a b l e s \ N B N _ R e m o v a l \ C o l u m n s \ R e p o r t i n g   A l i a s & g t ; - & l t ; T a b l e s \ G H G \ C o l u m n s \ R e p o r t i n g   A l i a s & g t ; \ P K < / K e y > < / D i a g r a m O b j e c t K e y > < D i a g r a m O b j e c t K e y > < K e y > R e l a t i o n s h i p s \ & l t ; T a b l e s \ S E _ G a s \ C o l u m n s \ R e p o r t i n g   A l i a s & g t ; - & l t ; T a b l e s \ E n t i t y \ C o l u m n s \ R e p o r t i n g   A l i a s & g t ; < / K e y > < / D i a g r a m O b j e c t K e y > < D i a g r a m O b j e c t K e y > < K e y > R e l a t i o n s h i p s \ & l t ; T a b l e s \ S E _ G a s \ C o l u m n s \ R e p o r t i n g   A l i a s & g t ; - & l t ; T a b l e s \ E n t i t y \ C o l u m n s \ R e p o r t i n g   A l i a s & g t ; \ F K < / K e y > < / D i a g r a m O b j e c t K e y > < D i a g r a m O b j e c t K e y > < K e y > R e l a t i o n s h i p s \ & l t ; T a b l e s \ S E _ G a s \ C o l u m n s \ R e p o r t i n g   A l i a s & g t ; - & l t ; T a b l e s \ E n t i t y \ C o l u m n s \ R e p o r t i n g   A l i a s & g t ; \ P K < / K e y > < / D i a g r a m O b j e c t K e y > < D i a g r a m O b j e c t K e y > < K e y > R e l a t i o n s h i p s \ & l t ; T a b l e s \ S E _ G a s \ C o l u m n s \ R e p o r t i n g   A l i a s & g t ; - & l t ; T a b l e s \ G H G \ C o l u m n s \ R e p o r t i n g   A l i a s & g t ; < / K e y > < / D i a g r a m O b j e c t K e y > < D i a g r a m O b j e c t K e y > < K e y > R e l a t i o n s h i p s \ & l t ; T a b l e s \ S E _ G a s \ C o l u m n s \ R e p o r t i n g   A l i a s & g t ; - & l t ; T a b l e s \ G H G \ C o l u m n s \ R e p o r t i n g   A l i a s & g t ; \ F K < / K e y > < / D i a g r a m O b j e c t K e y > < D i a g r a m O b j e c t K e y > < K e y > R e l a t i o n s h i p s \ & l t ; T a b l e s \ S E _ G a s \ C o l u m n s \ R e p o r t i n g   A l i a s & g t ; - & l t ; T a b l e s \ G H G \ C o l u m n s \ R e p o r t i n g   A l i a s & g t ; \ P K < / K e y > < / D i a g r a m O b j e c t K e y > < D i a g r a m O b j e c t K e y > < K e y > R e l a t i o n s h i p s \ & l t ; T a b l e s \ N E T _ G e n s e t _ G r o u n d s \ C o l u m n s \ R e p o r t i n g   A l i a s & g t ; - & l t ; T a b l e s \ E n t i t y \ C o l u m n s \ R e p o r t i n g   A l i a s & g t ; < / K e y > < / D i a g r a m O b j e c t K e y > < D i a g r a m O b j e c t K e y > < K e y > R e l a t i o n s h i p s \ & l t ; T a b l e s \ N E T _ G e n s e t _ G r o u n d s \ C o l u m n s \ R e p o r t i n g   A l i a s & g t ; - & l t ; T a b l e s \ E n t i t y \ C o l u m n s \ R e p o r t i n g   A l i a s & g t ; \ F K < / K e y > < / D i a g r a m O b j e c t K e y > < D i a g r a m O b j e c t K e y > < K e y > R e l a t i o n s h i p s \ & l t ; T a b l e s \ N E T _ G e n s e t _ G r o u n d s \ C o l u m n s \ R e p o r t i n g   A l i a s & g t ; - & l t ; T a b l e s \ E n t i t y \ C o l u m n s \ R e p o r t i n g   A l i a s & g t ; \ P K < / K e y > < / D i a g r a m O b j e c t K e y > < D i a g r a m O b j e c t K e y > < K e y > R e l a t i o n s h i p s \ & l t ; T a b l e s \ N E T _ G e n s e t _ G r o u n d s \ C o l u m n s \ R e p o r t i n g   A l i a s & g t ; - & l t ; T a b l e s \ G H G \ C o l u m n s \ R e p o r t i n g   A l i a s & g t ; < / K e y > < / D i a g r a m O b j e c t K e y > < D i a g r a m O b j e c t K e y > < K e y > R e l a t i o n s h i p s \ & l t ; T a b l e s \ N E T _ G e n s e t _ G r o u n d s \ C o l u m n s \ R e p o r t i n g   A l i a s & g t ; - & l t ; T a b l e s \ G H G \ C o l u m n s \ R e p o r t i n g   A l i a s & g t ; \ F K < / K e y > < / D i a g r a m O b j e c t K e y > < D i a g r a m O b j e c t K e y > < K e y > R e l a t i o n s h i p s \ & l t ; T a b l e s \ N E T _ G e n s e t _ G r o u n d s \ C o l u m n s \ R e p o r t i n g   A l i a s & g t ; - & l t ; T a b l e s \ G H G \ C o l u m n s \ R e p o r t i n g   A l i a s & g t ; \ P K < / K e y > < / D i a g r a m O b j e c t K e y > < D i a g r a m O b j e c t K e y > < K e y > R e l a t i o n s h i p s \ & l t ; T a b l e s \ P e r c e n t a g e _ E s t i m a t e s \ C o l u m n s \ R e p o r t i n g   A l i a s & g t ; - & l t ; T a b l e s \ E n t i t y \ C o l u m n s \ R e p o r t i n g   A l i a s & g t ; < / K e y > < / D i a g r a m O b j e c t K e y > < D i a g r a m O b j e c t K e y > < K e y > R e l a t i o n s h i p s \ & l t ; T a b l e s \ P e r c e n t a g e _ E s t i m a t e s \ C o l u m n s \ R e p o r t i n g   A l i a s & g t ; - & l t ; T a b l e s \ E n t i t y \ C o l u m n s \ R e p o r t i n g   A l i a s & g t ; \ F K < / K e y > < / D i a g r a m O b j e c t K e y > < D i a g r a m O b j e c t K e y > < K e y > R e l a t i o n s h i p s \ & l t ; T a b l e s \ P e r c e n t a g e _ E s t i m a t e s \ C o l u m n s \ R e p o r t i n g   A l i a s & g t ; - & l t ; T a b l e s \ E n t i t y \ C o l u m n s \ R e p o r t i n g   A l i a s & g t ; \ P K < / K e y > < / D i a g r a m O b j e c t K e y > < D i a g r a m O b j e c t K e y > < K e y > R e l a t i o n s h i p s \ & l t ; T a b l e s \ P e r c e n t a g e _ E s t i m a t e s \ C o l u m n s \ R e p o r t i n g   A l i a s & g t ; - & l t ; T a b l e s \ G H G \ C o l u m n s \ R e p o r t i n g   A l i a s & g t ; < / K e y > < / D i a g r a m O b j e c t K e y > < D i a g r a m O b j e c t K e y > < K e y > R e l a t i o n s h i p s \ & l t ; T a b l e s \ P e r c e n t a g e _ E s t i m a t e s \ C o l u m n s \ R e p o r t i n g   A l i a s & g t ; - & l t ; T a b l e s \ G H G \ C o l u m n s \ R e p o r t i n g   A l i a s & g t ; \ F K < / K e y > < / D i a g r a m O b j e c t K e y > < D i a g r a m O b j e c t K e y > < K e y > R e l a t i o n s h i p s \ & l t ; T a b l e s \ P e r c e n t a g e _ E s t i m a t e s \ C o l u m n s \ R e p o r t i n g   A l i a s & g t ; - & l t ; T a b l e s \ G H G \ C o l u m n s \ R e p o r t i n g   A l i a s & g t ; \ P K < / K e y > < / D i a g r a m O b j e c t K e y > < D i a g r a m O b j e c t K e y > < K e y > R e l a t i o n s h i p s \ & l t ; T a b l e s \ P i t w a t e r \ C o l u m n s \ R e p o r t i n g   a l i a s & g t ; - & l t ; T a b l e s \ E n t i t y \ C o l u m n s \ R e p o r t i n g   A l i a s & g t ; < / K e y > < / D i a g r a m O b j e c t K e y > < D i a g r a m O b j e c t K e y > < K e y > R e l a t i o n s h i p s \ & l t ; T a b l e s \ P i t w a t e r \ C o l u m n s \ R e p o r t i n g   a l i a s & g t ; - & l t ; T a b l e s \ E n t i t y \ C o l u m n s \ R e p o r t i n g   A l i a s & g t ; \ F K < / K e y > < / D i a g r a m O b j e c t K e y > < D i a g r a m O b j e c t K e y > < K e y > R e l a t i o n s h i p s \ & l t ; T a b l e s \ P i t w a t e r \ C o l u m n s \ R e p o r t i n g   a l i a s & g t ; - & l t ; T a b l e s \ E n t i t y \ C o l u m n s \ R e p o r t i n g   A l i a s & g t ; \ P K < / K e y > < / D i a g r a m O b j e c t K e y > < D i a g r a m O b j e c t K e y > < K e y > R e l a t i o n s h i p s \ & l t ; T a b l e s \ P i t w a t e r \ C o l u m n s \ R e p o r t i n g   a l i a s & g t ; - & l t ; T a b l e s \ G H G \ C o l u m n s \ R e p o r t i n g   A l i a s & g t ; < / K e y > < / D i a g r a m O b j e c t K e y > < D i a g r a m O b j e c t K e y > < K e y > R e l a t i o n s h i p s \ & l t ; T a b l e s \ P i t w a t e r \ C o l u m n s \ R e p o r t i n g   a l i a s & g t ; - & l t ; T a b l e s \ G H G \ C o l u m n s \ R e p o r t i n g   A l i a s & g t ; \ F K < / K e y > < / D i a g r a m O b j e c t K e y > < D i a g r a m O b j e c t K e y > < K e y > R e l a t i o n s h i p s \ & l t ; T a b l e s \ P i t w a t e r \ C o l u m n s \ R e p o r t i n g   a l i a s & g t ; - & l t ; T a b l e s \ G H G \ C o l u m n s \ R e p o r t i n g   A l i a s & g t ; \ P K < / K e y > < / D i a g r a m O b j e c t K e y > < D i a g r a m O b j e c t K e y > < K e y > R e l a t i o n s h i p s \ & l t ; T a b l e s \ S o l a r \ C o l u m n s \ R e p o r t i n g   A l i a s & g t ; - & l t ; T a b l e s \ G H G \ C o l u m n s \ R e p o r t i n g   A l i a s & g t ; < / K e y > < / D i a g r a m O b j e c t K e y > < D i a g r a m O b j e c t K e y > < K e y > R e l a t i o n s h i p s \ & l t ; T a b l e s \ S o l a r \ C o l u m n s \ R e p o r t i n g   A l i a s & g t ; - & l t ; T a b l e s \ G H G \ C o l u m n s \ R e p o r t i n g   A l i a s & g t ; \ F K < / K e y > < / D i a g r a m O b j e c t K e y > < D i a g r a m O b j e c t K e y > < K e y > R e l a t i o n s h i p s \ & l t ; T a b l e s \ S o l a r \ C o l u m n s \ R e p o r t i n g   A l i a s & g t ; - & l t ; T a b l e s \ G H G \ C o l u m n s \ R e p o r t i n g   A l i a s & g t ; \ P K < / K e y > < / D i a g r a m O b j e c t K e y > < D i a g r a m O b j e c t K e y > < K e y > R e l a t i o n s h i p s \ & l t ; T a b l e s \ S o l a r \ C o l u m n s \ R e p o r t i n g   A l i a s & g t ; - & l t ; T a b l e s \ E n t i t y \ C o l u m n s \ R e p o r t i n g   A l i a s & g t ; < / K e y > < / D i a g r a m O b j e c t K e y > < D i a g r a m O b j e c t K e y > < K e y > R e l a t i o n s h i p s \ & l t ; T a b l e s \ S o l a r \ C o l u m n s \ R e p o r t i n g   A l i a s & g t ; - & l t ; T a b l e s \ E n t i t y \ C o l u m n s \ R e p o r t i n g   A l i a s & g t ; \ F K < / K e y > < / D i a g r a m O b j e c t K e y > < D i a g r a m O b j e c t K e y > < K e y > R e l a t i o n s h i p s \ & l t ; T a b l e s \ S o l a r \ C o l u m n s \ R e p o r t i n g   A l i a s & g t ; - & l t ; T a b l e s \ E n t i t y \ C o l u m n s \ R e p o r t i n g   A l i a s & g t ; \ P K < / K e y > < / D i a g r a m O b j e c t K e y > < D i a g r a m O b j e c t K e y > < K e y > R e l a t i o n s h i p s \ & l t ; T a b l e s \ G r o u n d s _ F u e l s \ C o l u m n s \ R e p o r t i n g   A l i a s & g t ; - & l t ; T a b l e s \ G H G \ C o l u m n s \ R e p o r t i n g   A l i a s & g t ; < / K e y > < / D i a g r a m O b j e c t K e y > < D i a g r a m O b j e c t K e y > < K e y > R e l a t i o n s h i p s \ & l t ; T a b l e s \ G r o u n d s _ F u e l s \ C o l u m n s \ R e p o r t i n g   A l i a s & g t ; - & l t ; T a b l e s \ G H G \ C o l u m n s \ R e p o r t i n g   A l i a s & g t ; \ F K < / K e y > < / D i a g r a m O b j e c t K e y > < D i a g r a m O b j e c t K e y > < K e y > R e l a t i o n s h i p s \ & l t ; T a b l e s \ G r o u n d s _ F u e l s \ C o l u m n s \ R e p o r t i n g   A l i a s & g t ; - & l t ; T a b l e s \ G H G \ C o l u m n s \ R e p o r t i n g   A l i a s & g t ; \ P K < / K e y > < / D i a g r a m O b j e c t K e y > < D i a g r a m O b j e c t K e y > < K e y > R e l a t i o n s h i p s \ & l t ; T a b l e s \ G r o u n d s _ F u e l s \ C o l u m n s \ R e p o r t i n g   A l i a s & g t ; - & l t ; T a b l e s \ E n t i t y \ C o l u m n s \ R e p o r t i n g   A l i a s & g t ; < / K e y > < / D i a g r a m O b j e c t K e y > < D i a g r a m O b j e c t K e y > < K e y > R e l a t i o n s h i p s \ & l t ; T a b l e s \ G r o u n d s _ F u e l s \ C o l u m n s \ R e p o r t i n g   A l i a s & g t ; - & l t ; T a b l e s \ E n t i t y \ C o l u m n s \ R e p o r t i n g   A l i a s & g t ; \ F K < / K e y > < / D i a g r a m O b j e c t K e y > < D i a g r a m O b j e c t K e y > < K e y > R e l a t i o n s h i p s \ & l t ; T a b l e s \ G r o u n d s _ F u e l s \ C o l u m n s \ R e p o r t i n g   A l i a s & g t ; - & l t ; T a b l e s \ E n t i t y \ C o l u m n s \ R e p o r t i n g   A l i a s & g t ; \ P K < / K e y > < / D i a g r a m O b j e c t K e y > < D i a g r a m O b j e c t K e y > < K e y > R e l a t i o n s h i p s \ & l t ; T a b l e s \ C o n t r a c t o r _ F u e l s \ C o l u m n s \ R e p o r t i n g   A l i a s & g t ; - & l t ; T a b l e s \ G H G \ C o l u m n s \ R e p o r t i n g   A l i a s & g t ; < / K e y > < / D i a g r a m O b j e c t K e y > < D i a g r a m O b j e c t K e y > < K e y > R e l a t i o n s h i p s \ & l t ; T a b l e s \ C o n t r a c t o r _ F u e l s \ C o l u m n s \ R e p o r t i n g   A l i a s & g t ; - & l t ; T a b l e s \ G H G \ C o l u m n s \ R e p o r t i n g   A l i a s & g t ; \ F K < / K e y > < / D i a g r a m O b j e c t K e y > < D i a g r a m O b j e c t K e y > < K e y > R e l a t i o n s h i p s \ & l t ; T a b l e s \ C o n t r a c t o r _ F u e l s \ C o l u m n s \ R e p o r t i n g   A l i a s & g t ; - & l t ; T a b l e s \ G H G \ C o l u m n s \ R e p o r t i n g   A l i a s & g t ; \ P K < / K e y > < / D i a g r a m O b j e c t K e y > < D i a g r a m O b j e c t K e y > < K e y > R e l a t i o n s h i p s \ & l t ; T a b l e s \ C o n t r a c t o r _ F u e l s \ C o l u m n s \ R e p o r t i n g   A l i a s & g t ; - & l t ; T a b l e s \ E n t i t y \ C o l u m n s \ R e p o r t i n g   A l i a s & g t ; < / K e y > < / D i a g r a m O b j e c t K e y > < D i a g r a m O b j e c t K e y > < K e y > R e l a t i o n s h i p s \ & l t ; T a b l e s \ C o n t r a c t o r _ F u e l s \ C o l u m n s \ R e p o r t i n g   A l i a s & g t ; - & l t ; T a b l e s \ E n t i t y \ C o l u m n s \ R e p o r t i n g   A l i a s & g t ; \ F K < / K e y > < / D i a g r a m O b j e c t K e y > < D i a g r a m O b j e c t K e y > < K e y > R e l a t i o n s h i p s \ & l t ; T a b l e s \ C o n t r a c t o r _ F u e l s \ C o l u m n s \ R e p o r t i n g   A l i a s & g t ; - & l t ; T a b l e s \ E n t i t y \ C o l u m n s \ R e p o r t i n g   A l i a s & g t ; \ P K < / K e y > < / D i a g r a m O b j e c t K e y > < D i a g r a m O b j e c t K e y > < K e y > R e l a t i o n s h i p s \ & l t ; T a b l e s \ A V I S \ C o l u m n s \ R e p o r t i n g   A l i a s & g t ; - & l t ; T a b l e s \ G H G \ C o l u m n s \ R e p o r t i n g   A l i a s & g t ; < / K e y > < / D i a g r a m O b j e c t K e y > < D i a g r a m O b j e c t K e y > < K e y > R e l a t i o n s h i p s \ & l t ; T a b l e s \ A V I S \ C o l u m n s \ R e p o r t i n g   A l i a s & g t ; - & l t ; T a b l e s \ G H G \ C o l u m n s \ R e p o r t i n g   A l i a s & g t ; \ F K < / K e y > < / D i a g r a m O b j e c t K e y > < D i a g r a m O b j e c t K e y > < K e y > R e l a t i o n s h i p s \ & l t ; T a b l e s \ A V I S \ C o l u m n s \ R e p o r t i n g   A l i a s & g t ; - & l t ; T a b l e s \ G H G \ C o l u m n s \ R e p o r t i n g   A l i a s & g t ; \ P K < / K e y > < / D i a g r a m O b j e c t K e y > < D i a g r a m O b j e c t K e y > < K e y > R e l a t i o n s h i p s \ & l t ; T a b l e s \ A V I S \ C o l u m n s \ R e p o r t i n g   A l i a s & g t ; - & l t ; T a b l e s \ E n t i t y \ C o l u m n s \ R e p o r t i n g   A l i a s & g t ; < / K e y > < / D i a g r a m O b j e c t K e y > < D i a g r a m O b j e c t K e y > < K e y > R e l a t i o n s h i p s \ & l t ; T a b l e s \ A V I S \ C o l u m n s \ R e p o r t i n g   A l i a s & g t ; - & l t ; T a b l e s \ E n t i t y \ C o l u m n s \ R e p o r t i n g   A l i a s & g t ; \ F K < / K e y > < / D i a g r a m O b j e c t K e y > < D i a g r a m O b j e c t K e y > < K e y > R e l a t i o n s h i p s \ & l t ; T a b l e s \ A V I S \ C o l u m n s \ R e p o r t i n g   A l i a s & g t ; - & l t ; T a b l e s \ E n t i t y \ C o l u m n s \ R e p o r t i n g   A l i a s & g t ; \ P K < / K e y > < / D i a g r a m O b j e c t K e y > < D i a g r a m O b j e c t K e y > < K e y > R e l a t i o n s h i p s \ & l t ; T a b l e s \ L P _ F l e e t \ C o l u m n s \ R e p o r t i n g   A l i a s & g t ; - & l t ; T a b l e s \ G H G \ C o l u m n s \ R e p o r t i n g   A l i a s & g t ; < / K e y > < / D i a g r a m O b j e c t K e y > < D i a g r a m O b j e c t K e y > < K e y > R e l a t i o n s h i p s \ & l t ; T a b l e s \ L P _ F l e e t \ C o l u m n s \ R e p o r t i n g   A l i a s & g t ; - & l t ; T a b l e s \ G H G \ C o l u m n s \ R e p o r t i n g   A l i a s & g t ; \ F K < / K e y > < / D i a g r a m O b j e c t K e y > < D i a g r a m O b j e c t K e y > < K e y > R e l a t i o n s h i p s \ & l t ; T a b l e s \ L P _ F l e e t \ C o l u m n s \ R e p o r t i n g   A l i a s & g t ; - & l t ; T a b l e s \ G H G \ C o l u m n s \ R e p o r t i n g   A l i a s & g t ; \ P K < / K e y > < / D i a g r a m O b j e c t K e y > < D i a g r a m O b j e c t K e y > < K e y > R e l a t i o n s h i p s \ & l t ; T a b l e s \ L P _ F l e e t \ C o l u m n s \ R e p o r t i n g   A l i a s & g t ; - & l t ; T a b l e s \ E n t i t y \ C o l u m n s \ R e p o r t i n g   A l i a s & g t ; < / K e y > < / D i a g r a m O b j e c t K e y > < D i a g r a m O b j e c t K e y > < K e y > R e l a t i o n s h i p s \ & l t ; T a b l e s \ L P _ F l e e t \ C o l u m n s \ R e p o r t i n g   A l i a s & g t ; - & l t ; T a b l e s \ E n t i t y \ C o l u m n s \ R e p o r t i n g   A l i a s & g t ; \ F K < / K e y > < / D i a g r a m O b j e c t K e y > < D i a g r a m O b j e c t K e y > < K e y > R e l a t i o n s h i p s \ & l t ; T a b l e s \ L P _ F l e e t \ C o l u m n s \ R e p o r t i n g   A l i a s & g t ; - & l t ; T a b l e s \ E n t i t y \ C o l u m n s \ R e p o r t i n g   A l i a s & g t ; \ P K < / K e y > < / D i a g r a m O b j e c t K e y > < D i a g r a m O b j e c t K e y > < K e y > R e l a t i o n s h i p s \ & l t ; T a b l e s \ N O N _ G e n s e t \ C o l u m n s \ R e p o r t i n g   A l i a s & g t ; - & l t ; T a b l e s \ G H G \ C o l u m n s \ R e p o r t i n g   A l i a s & g t ; < / K e y > < / D i a g r a m O b j e c t K e y > < D i a g r a m O b j e c t K e y > < K e y > R e l a t i o n s h i p s \ & l t ; T a b l e s \ N O N _ G e n s e t \ C o l u m n s \ R e p o r t i n g   A l i a s & g t ; - & l t ; T a b l e s \ G H G \ C o l u m n s \ R e p o r t i n g   A l i a s & g t ; \ F K < / K e y > < / D i a g r a m O b j e c t K e y > < D i a g r a m O b j e c t K e y > < K e y > R e l a t i o n s h i p s \ & l t ; T a b l e s \ N O N _ G e n s e t \ C o l u m n s \ R e p o r t i n g   A l i a s & g t ; - & l t ; T a b l e s \ G H G \ C o l u m n s \ R e p o r t i n g   A l i a s & g t ; \ P K < / K e y > < / D i a g r a m O b j e c t K e y > < D i a g r a m O b j e c t K e y > < K e y > R e l a t i o n s h i p s \ & l t ; T a b l e s \ N O N _ G e n s e t \ C o l u m n s \ R e p o r t i n g   A l i a s & g t ; - & l t ; T a b l e s \ E n t i t y \ C o l u m n s \ R e p o r t i n g   A l i a s & g t ; < / K e y > < / D i a g r a m O b j e c t K e y > < D i a g r a m O b j e c t K e y > < K e y > R e l a t i o n s h i p s \ & l t ; T a b l e s \ N O N _ G e n s e t \ C o l u m n s \ R e p o r t i n g   A l i a s & g t ; - & l t ; T a b l e s \ E n t i t y \ C o l u m n s \ R e p o r t i n g   A l i a s & g t ; \ F K < / K e y > < / D i a g r a m O b j e c t K e y > < D i a g r a m O b j e c t K e y > < K e y > R e l a t i o n s h i p s \ & l t ; T a b l e s \ N O N _ G e n s e t \ C o l u m n s \ R e p o r t i n g   A l i a s & g t ; - & l t ; T a b l e s \ E n t i t y \ C o l u m n s \ R e p o r t i n g   A l i a s & g t ; \ P K < / K e y > < / D i a g r a m O b j e c t K e y > < D i a g r a m O b j e c t K e y > < K e y > R e l a t i o n s h i p s \ & l t ; T a b l e s \ D C _ G e n s e t \ C o l u m n s \ R e p o r t i n g   A l i a s & g t ; - & l t ; T a b l e s \ E n t i t y \ C o l u m n s \ R e p o r t i n g   A l i a s & g t ; < / K e y > < / D i a g r a m O b j e c t K e y > < D i a g r a m O b j e c t K e y > < K e y > R e l a t i o n s h i p s \ & l t ; T a b l e s \ D C _ G e n s e t \ C o l u m n s \ R e p o r t i n g   A l i a s & g t ; - & l t ; T a b l e s \ E n t i t y \ C o l u m n s \ R e p o r t i n g   A l i a s & g t ; \ F K < / K e y > < / D i a g r a m O b j e c t K e y > < D i a g r a m O b j e c t K e y > < K e y > R e l a t i o n s h i p s \ & l t ; T a b l e s \ D C _ G e n s e t \ C o l u m n s \ R e p o r t i n g   A l i a s & g t ; - & l t ; T a b l e s \ E n t i t y \ C o l u m n s \ R e p o r t i n g   A l i a s & g t ; \ P K < / K e y > < / D i a g r a m O b j e c t K e y > < D i a g r a m O b j e c t K e y > < K e y > R e l a t i o n s h i p s \ & l t ; T a b l e s \ D C _ G e n s e t \ C o l u m n s \ R e p o r t i n g   A l i a s & g t ; - & l t ; T a b l e s \ G H G \ C o l u m n s \ R e p o r t i n g   A l i a s & g t ; < / K e y > < / D i a g r a m O b j e c t K e y > < D i a g r a m O b j e c t K e y > < K e y > R e l a t i o n s h i p s \ & l t ; T a b l e s \ D C _ G e n s e t \ C o l u m n s \ R e p o r t i n g   A l i a s & g t ; - & l t ; T a b l e s \ G H G \ C o l u m n s \ R e p o r t i n g   A l i a s & g t ; \ F K < / K e y > < / D i a g r a m O b j e c t K e y > < D i a g r a m O b j e c t K e y > < K e y > R e l a t i o n s h i p s \ & l t ; T a b l e s \ D C _ G e n s e t \ C o l u m n s \ R e p o r t i n g   A l i a s & g t ; - & l t ; T a b l e s \ G H G \ C o l u m n s \ R e p o r t i n g   A l i a s & g t ; \ P K < / K e y > < / D i a g r a m O b j e c t K e y > < D i a g r a m O b j e c t K e y > < K e y > R e l a t i o n s h i p s \ & l t ; T a b l e s \ T e l s t r a B C A \ C o l u m n s \ R e p o r t i n g   A l i a s & g t ; - & l t ; T a b l e s \ E n t i t y \ C o l u m n s \ R e p o r t i n g   A l i a s & g t ; < / K e y > < / D i a g r a m O b j e c t K e y > < D i a g r a m O b j e c t K e y > < K e y > R e l a t i o n s h i p s \ & l t ; T a b l e s \ T e l s t r a B C A \ C o l u m n s \ R e p o r t i n g   A l i a s & g t ; - & l t ; T a b l e s \ E n t i t y \ C o l u m n s \ R e p o r t i n g   A l i a s & g t ; \ F K < / K e y > < / D i a g r a m O b j e c t K e y > < D i a g r a m O b j e c t K e y > < K e y > R e l a t i o n s h i p s \ & l t ; T a b l e s \ T e l s t r a B C A \ C o l u m n s \ R e p o r t i n g   A l i a s & g t ; - & l t ; T a b l e s \ E n t i t y \ C o l u m n s \ R e p o r t i n g   A l i a s & g t ; \ P K < / K e y > < / D i a g r a m O b j e c t K e y > < D i a g r a m O b j e c t K e y > < K e y > R e l a t i o n s h i p s \ & l t ; T a b l e s \ T e l s t r a B C A \ C o l u m n s \ R e p o r t i n g   A l i a s & g t ; - & l t ; T a b l e s \ G H G \ C o l u m n s \ R e p o r t i n g   A l i a s & g t ; < / K e y > < / D i a g r a m O b j e c t K e y > < D i a g r a m O b j e c t K e y > < K e y > R e l a t i o n s h i p s \ & l t ; T a b l e s \ T e l s t r a B C A \ C o l u m n s \ R e p o r t i n g   A l i a s & g t ; - & l t ; T a b l e s \ G H G \ C o l u m n s \ R e p o r t i n g   A l i a s & g t ; \ F K < / K e y > < / D i a g r a m O b j e c t K e y > < D i a g r a m O b j e c t K e y > < K e y > R e l a t i o n s h i p s \ & l t ; T a b l e s \ T e l s t r a B C A \ C o l u m n s \ R e p o r t i n g   A l i a s & g t ; - & l t ; T a b l e s \ G H G \ C o l u m n s \ R e p o r t i n g   A l i a s & g t ; \ P K < / K e y > < / D i a g r a m O b j e c t K e y > < D i a g r a m O b j e c t K e y > < K e y > R e l a t i o n s h i p s \ & l t ; T a b l e s \ L P _ S t a t i o n a r y \ C o l u m n s \ R e p o r t i n g   A l i a s & g t ; - & l t ; T a b l e s \ E n t i t y \ C o l u m n s \ R e p o r t i n g   A l i a s & g t ; < / K e y > < / D i a g r a m O b j e c t K e y > < D i a g r a m O b j e c t K e y > < K e y > R e l a t i o n s h i p s \ & l t ; T a b l e s \ L P _ S t a t i o n a r y \ C o l u m n s \ R e p o r t i n g   A l i a s & g t ; - & l t ; T a b l e s \ E n t i t y \ C o l u m n s \ R e p o r t i n g   A l i a s & g t ; \ F K < / K e y > < / D i a g r a m O b j e c t K e y > < D i a g r a m O b j e c t K e y > < K e y > R e l a t i o n s h i p s \ & l t ; T a b l e s \ L P _ S t a t i o n a r y \ C o l u m n s \ R e p o r t i n g   A l i a s & g t ; - & l t ; T a b l e s \ E n t i t y \ C o l u m n s \ R e p o r t i n g   A l i a s & g t ; \ P K < / K e y > < / D i a g r a m O b j e c t K e y > < D i a g r a m O b j e c t K e y > < K e y > R e l a t i o n s h i p s \ & l t ; T a b l e s \ L P _ S t a t i o n a r y \ C o l u m n s \ R e p o r t i n g   A l i a s & g t ; - & l t ; T a b l e s \ G H G \ C o l u m n s \ R e p o r t i n g   A l i a s & g t ; < / K e y > < / D i a g r a m O b j e c t K e y > < D i a g r a m O b j e c t K e y > < K e y > R e l a t i o n s h i p s \ & l t ; T a b l e s \ L P _ S t a t i o n a r y \ C o l u m n s \ R e p o r t i n g   A l i a s & g t ; - & l t ; T a b l e s \ G H G \ C o l u m n s \ R e p o r t i n g   A l i a s & g t ; \ F K < / K e y > < / D i a g r a m O b j e c t K e y > < D i a g r a m O b j e c t K e y > < K e y > R e l a t i o n s h i p s \ & l t ; T a b l e s \ L P _ S t a t i o n a r y \ C o l u m n s \ R e p o r t i n g   A l i a s & g t ; - & l t ; T a b l e s \ G H G \ C o l u m n s \ R e p o r t i n g   A l i a s & g t ; \ P K < / K e y > < / D i a g r a m O b j e c t K e y > < D i a g r a m O b j e c t K e y > < K e y > R e l a t i o n s h i p s \ & l t ; T a b l e s \ S u m m a r y \ C o l u m n s \ R e p o r t i n g   A l i a s & g t ; - & l t ; T a b l e s \ E n t i t y \ C o l u m n s \ R e p o r t i n g   A l i a s & g t ; < / K e y > < / D i a g r a m O b j e c t K e y > < D i a g r a m O b j e c t K e y > < K e y > R e l a t i o n s h i p s \ & l t ; T a b l e s \ S u m m a r y \ C o l u m n s \ R e p o r t i n g   A l i a s & g t ; - & l t ; T a b l e s \ E n t i t y \ C o l u m n s \ R e p o r t i n g   A l i a s & g t ; \ F K < / K e y > < / D i a g r a m O b j e c t K e y > < D i a g r a m O b j e c t K e y > < K e y > R e l a t i o n s h i p s \ & l t ; T a b l e s \ S u m m a r y \ C o l u m n s \ R e p o r t i n g   A l i a s & g t ; - & l t ; T a b l e s \ E n t i t y \ C o l u m n s \ R e p o r t i n g   A l i a s & g t ; \ P K < / K e y > < / D i a g r a m O b j e c t K e y > < D i a g r a m O b j e c t K e y > < K e y > R e l a t i o n s h i p s \ & l t ; T a b l e s \ S a v i n g s _ D a t a \ C o l u m n s \ R e p o r t i n g   A l i a s & g t ; - & l t ; T a b l e s \ G H G \ C o l u m n s \ R e p o r t i n g   A l i a s & g t ; < / K e y > < / D i a g r a m O b j e c t K e y > < D i a g r a m O b j e c t K e y > < K e y > R e l a t i o n s h i p s \ & l t ; T a b l e s \ S a v i n g s _ D a t a \ C o l u m n s \ R e p o r t i n g   A l i a s & g t ; - & l t ; T a b l e s \ G H G \ C o l u m n s \ R e p o r t i n g   A l i a s & g t ; \ F K < / K e y > < / D i a g r a m O b j e c t K e y > < D i a g r a m O b j e c t K e y > < K e y > R e l a t i o n s h i p s \ & l t ; T a b l e s \ S a v i n g s _ D a t a \ C o l u m n s \ R e p o r t i n g   A l i a s & g t ; - & l t ; T a b l e s \ G H G \ C o l u m n s \ R e p o r t i n g   A l i a s & g t ; \ P K < / K e y > < / D i a g r a m O b j e c t K e y > < / A l l K e y s > < S e l e c t e d K e y s > < D i a g r a m O b j e c t K e y > < K e y > T a b l e s \ P e r c e n t a g e _ E s t i m a t e s 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 T a g s \ T a b l e s \ & l t ; T a b l e s \ G H G & g t ; < / K e y > < / a : K e y > < a : V a l u e   i : t y p e = " D i a g r a m D i s p l a y T a g V i e w S t a t e " > < I s N o t F i l t e r e d O u t > t r u e < / I s N o t F i l t e r e d O u t > < / a : V a l u e > < / a : K e y V a l u e O f D i a g r a m O b j e c t K e y a n y T y p e z b w N T n L X > < a : K e y V a l u e O f D i a g r a m O b j e c t K e y a n y T y p e z b w N T n L X > < a : K e y > < K e y > D y n a m i c   T a g s \ T a b l e s \ & l t ; T a b l e s \ F l i g h t _ M o d e l & g t ; < / K e y > < / a : K e y > < a : V a l u e   i : t y p e = " D i a g r a m D i s p l a y T a g V i e w S t a t e " > < I s N o t F i l t e r e d O u t > t r u e < / I s N o t F i l t e r e d O u t > < / a : V a l u e > < / a : K e y V a l u e O f D i a g r a m O b j e c t K e y a n y T y p e z b w N T n L X > < a : K e y V a l u e O f D i a g r a m O b j e c t K e y a n y T y p e z b w N T n L X > < a : K e y > < K e y > D y n a m i c   T a g s \ T a b l e s \ & l t ; T a b l e s \ P a p e r _ C S R & g t ; < / K e y > < / a : K e y > < a : V a l u e   i : t y p e = " D i a g r a m D i s p l a y T a g V i e w S t a t e " > < I s N o t F i l t e r e d O u t > t r u e < / I s N o t F i l t e r e d O u t > < / a : V a l u e > < / a : K e y V a l u e O f D i a g r a m O b j e c t K e y a n y T y p e z b w N T n L X > < a : K e y V a l u e O f D i a g r a m O b j e c t K e y a n y T y p e z b w N T n L X > < a : K e y > < K e y > D y n a m i c   T a g s \ T a b l e s \ & l t ; T a b l e s \ S a v i n g s _ D a t a & g t ; < / K e y > < / a : K e y > < a : V a l u e   i : t y p e = " D i a g r a m D i s p l a y T a g V i e w S t a t e " > < I s N o t F i l t e r e d O u t > t r u e < / I s N o t F i l t e r e d O u t > < / a : V a l u e > < / a : K e y V a l u e O f D i a g r a m O b j e c t K e y a n y T y p e z b w N T n L X > < a : K e y V a l u e O f D i a g r a m O b j e c t K e y a n y T y p e z b w N T n L X > < a : K e y > < K e y > D y n a m i c   T a g s \ T a b l e s \ & l t ; T a b l e s \ S u m m a r y & g t ; < / K e y > < / a : K e y > < a : V a l u e   i : t y p e = " D i a g r a m D i s p l a y T a g V i e w S t a t e " > < I s N o t F i l t e r e d O u t > t r u e < / I s N o t F i l t e r e d O u t > < / a : V a l u e > < / a : K e y V a l u e O f D i a g r a m O b j e c t K e y a n y T y p e z b w N T n L X > < a : K e y V a l u e O f D i a g r a m O b j e c t K e y a n y T y p e z b w N T n L X > < a : K e y > < K e y > D y n a m i c   T a g s \ T a b l e s \ & l t ; T a b l e s \ B C A _ R e m o v a l & g t ; < / K e y > < / a : K e y > < a : V a l u e   i : t y p e = " D i a g r a m D i s p l a y T a g V i e w S t a t e " > < I s N o t F i l t e r e d O u t > t r u e < / I s N o t F i l t e r e d O u t > < / a : V a l u e > < / a : K e y V a l u e O f D i a g r a m O b j e c t K e y a n y T y p e z b w N T n L X > < a : K e y V a l u e O f D i a g r a m O b j e c t K e y a n y T y p e z b w N T n L X > < a : K e y > < K e y > D y n a m i c   T a g s \ T a b l e s \ & l t ; T a b l e s \ N B N _ R e m o v a l & g t ; < / K e y > < / a : K e y > < a : V a l u e   i : t y p e = " D i a g r a m D i s p l a y T a g V i e w S t a t e " > < I s N o t F i l t e r e d O u t > t r u e < / I s N o t F i l t e r e d O u t > < / a : V a l u e > < / a : K e y V a l u e O f D i a g r a m O b j e c t K e y a n y T y p e z b w N T n L X > < a : K e y V a l u e O f D i a g r a m O b j e c t K e y a n y T y p e z b w N T n L X > < a : K e y > < K e y > D y n a m i c   T a g s \ T a b l e s \ & l t ; T a b l e s \ S E _ G a s & g t ; < / K e y > < / a : K e y > < a : V a l u e   i : t y p e = " D i a g r a m D i s p l a y T a g V i e w S t a t e " > < I s N o t F i l t e r e d O u t > t r u e < / I s N o t F i l t e r e d O u t > < / a : V a l u e > < / a : K e y V a l u e O f D i a g r a m O b j e c t K e y a n y T y p e z b w N T n L X > < a : K e y V a l u e O f D i a g r a m O b j e c t K e y a n y T y p e z b w N T n L X > < a : K e y > < K e y > D y n a m i c   T a g s \ T a b l e s \ & l t ; T a b l e s \ N E T _ G e n s e t _ G r o u n d s & g t ; < / K e y > < / a : K e y > < a : V a l u e   i : t y p e = " D i a g r a m D i s p l a y T a g V i e w S t a t e " > < I s N o t F i l t e r e d O u t > t r u e < / I s N o t F i l t e r e d O u t > < / a : V a l u e > < / a : K e y V a l u e O f D i a g r a m O b j e c t K e y a n y T y p e z b w N T n L X > < a : K e y V a l u e O f D i a g r a m O b j e c t K e y a n y T y p e z b w N T n L X > < a : K e y > < K e y > D y n a m i c   T a g s \ T a b l e s \ & l t ; T a b l e s \ P e r c e n t a g e _ E s t i m a t e s & g t ; < / K e y > < / a : K e y > < a : V a l u e   i : t y p e = " D i a g r a m D i s p l a y T a g V i e w S t a t e " > < I s N o t F i l t e r e d O u t > t r u e < / I s N o t F i l t e r e d O u t > < / a : V a l u e > < / a : K e y V a l u e O f D i a g r a m O b j e c t K e y a n y T y p e z b w N T n L X > < a : K e y V a l u e O f D i a g r a m O b j e c t K e y a n y T y p e z b w N T n L X > < a : K e y > < K e y > D y n a m i c   T a g s \ T a b l e s \ & l t ; T a b l e s \ P i t w a t e r & g t ; < / K e y > < / a : K e y > < a : V a l u e   i : t y p e = " D i a g r a m D i s p l a y T a g V i e w S t a t e " > < I s N o t F i l t e r e d O u t > t r u e < / I s N o t F i l t e r e d O u t > < / a : V a l u e > < / a : K e y V a l u e O f D i a g r a m O b j e c t K e y a n y T y p e z b w N T n L X > < a : K e y V a l u e O f D i a g r a m O b j e c t K e y a n y T y p e z b w N T n L X > < a : K e y > < K e y > D y n a m i c   T a g s \ T a b l e s \ & l t ; T a b l e s \ S o l a r & g t ; < / K e y > < / a : K e y > < a : V a l u e   i : t y p e = " D i a g r a m D i s p l a y T a g V i e w S t a t e " > < I s N o t F i l t e r e d O u t > t r u e < / I s N o t F i l t e r e d O u t > < / a : V a l u e > < / a : K e y V a l u e O f D i a g r a m O b j e c t K e y a n y T y p e z b w N T n L X > < a : K e y V a l u e O f D i a g r a m O b j e c t K e y a n y T y p e z b w N T n L X > < a : K e y > < K e y > D y n a m i c   T a g s \ T a b l e s \ & l t ; T a b l e s \ G r o u n d s _ F u e l s & g t ; < / K e y > < / a : K e y > < a : V a l u e   i : t y p e = " D i a g r a m D i s p l a y T a g V i e w S t a t e " > < I s N o t F i l t e r e d O u t > t r u e < / I s N o t F i l t e r e d O u t > < / a : V a l u e > < / a : K e y V a l u e O f D i a g r a m O b j e c t K e y a n y T y p e z b w N T n L X > < a : K e y V a l u e O f D i a g r a m O b j e c t K e y a n y T y p e z b w N T n L X > < a : K e y > < K e y > D y n a m i c   T a g s \ T a b l e s \ & l t ; T a b l e s \ C o n t r a c t o r _ F u e l s & g t ; < / K e y > < / a : K e y > < a : V a l u e   i : t y p e = " D i a g r a m D i s p l a y T a g V i e w S t a t e " > < I s N o t F i l t e r e d O u t > t r u e < / I s N o t F i l t e r e d O u t > < / a : V a l u e > < / a : K e y V a l u e O f D i a g r a m O b j e c t K e y a n y T y p e z b w N T n L X > < a : K e y V a l u e O f D i a g r a m O b j e c t K e y a n y T y p e z b w N T n L X > < a : K e y > < K e y > D y n a m i c   T a g s \ T a b l e s \ & l t ; T a b l e s \ A V I S & g t ; < / K e y > < / a : K e y > < a : V a l u e   i : t y p e = " D i a g r a m D i s p l a y T a g V i e w S t a t e " > < I s N o t F i l t e r e d O u t > t r u e < / I s N o t F i l t e r e d O u t > < / a : V a l u e > < / a : K e y V a l u e O f D i a g r a m O b j e c t K e y a n y T y p e z b w N T n L X > < a : K e y V a l u e O f D i a g r a m O b j e c t K e y a n y T y p e z b w N T n L X > < a : K e y > < K e y > D y n a m i c   T a g s \ T a b l e s \ & l t ; T a b l e s \ L P _ F l e e t & g t ; < / K e y > < / a : K e y > < a : V a l u e   i : t y p e = " D i a g r a m D i s p l a y T a g V i e w S t a t e " > < I s N o t F i l t e r e d O u t > t r u e < / I s N o t F i l t e r e d O u t > < / a : V a l u e > < / a : K e y V a l u e O f D i a g r a m O b j e c t K e y a n y T y p e z b w N T n L X > < a : K e y V a l u e O f D i a g r a m O b j e c t K e y a n y T y p e z b w N T n L X > < a : K e y > < K e y > D y n a m i c   T a g s \ T a b l e s \ & l t ; T a b l e s \ N O N _ G e n s e t & g t ; < / K e y > < / a : K e y > < a : V a l u e   i : t y p e = " D i a g r a m D i s p l a y T a g V i e w S t a t e " > < I s N o t F i l t e r e d O u t > t r u e < / I s N o t F i l t e r e d O u t > < / a : V a l u e > < / a : K e y V a l u e O f D i a g r a m O b j e c t K e y a n y T y p e z b w N T n L X > < a : K e y V a l u e O f D i a g r a m O b j e c t K e y a n y T y p e z b w N T n L X > < a : K e y > < K e y > D y n a m i c   T a g s \ T a b l e s \ & l t ; T a b l e s \ D C _ G e n s e t & g t ; < / K e y > < / a : K e y > < a : V a l u e   i : t y p e = " D i a g r a m D i s p l a y T a g V i e w S t a t e " > < I s N o t F i l t e r e d O u t > t r u e < / I s N o t F i l t e r e d O u t > < / a : V a l u e > < / a : K e y V a l u e O f D i a g r a m O b j e c t K e y a n y T y p e z b w N T n L X > < a : K e y V a l u e O f D i a g r a m O b j e c t K e y a n y T y p e z b w N T n L X > < a : K e y > < K e y > D y n a m i c   T a g s \ T a b l e s \ & l t ; T a b l e s \ T e l s t r a B C A & g t ; < / K e y > < / a : K e y > < a : V a l u e   i : t y p e = " D i a g r a m D i s p l a y T a g V i e w S t a t e " > < I s N o t F i l t e r e d O u t > t r u e < / I s N o t F i l t e r e d O u t > < / a : V a l u e > < / a : K e y V a l u e O f D i a g r a m O b j e c t K e y a n y T y p e z b w N T n L X > < a : K e y V a l u e O f D i a g r a m O b j e c t K e y a n y T y p e z b w N T n L X > < a : K e y > < K e y > D y n a m i c   T a g s \ T a b l e s \ & l t ; T a b l e s \ L P _ S t a t i o n a r y & g t ; < / K e y > < / a : K e y > < a : V a l u e   i : t y p e = " D i a g r a m D i s p l a y T a g V i e w S t a t e " > < I s N o t F i l t e r e d O u t > t r u e < / I s N o t F i l t e r e d O u t > < / a : V a l u e > < / a : K e y V a l u e O f D i a g r a m O b j e c t K e y a n y T y p e z b w N T n L X > < a : K e y V a l u e O f D i a g r a m O b j e c t K e y a n y T y p e z b w N T n L X > < a : K e y > < K e y > T a b l e s \ G H G < / K e y > < / a : K e y > < a : V a l u e   i : t y p e = " D i a g r a m D i s p l a y N o d e V i e w S t a t e " > < H e i g h t > 1 5 0 < / H e i g h t > < I s E x p a n d e d > t r u e < / I s E x p a n d e d > < L a y e d O u t > t r u e < / L a y e d O u t > < L e f t > 3 2 8 < / L e f t > < T a b I n d e x > 7 < / T a b I n d e x > < T o p > 2 1 9 < / T o p > < W i d t h > 2 0 0 < / W i d t h > < / a : V a l u e > < / a : K e y V a l u e O f D i a g r a m O b j e c t K e y a n y T y p e z b w N T n L X > < a : K e y V a l u e O f D i a g r a m O b j e c t K e y a n y T y p e z b w N T n L X > < a : K e y > < K e y > T a b l e s \ G H G \ C o l u m n s \ R e p o r t i n g   A l i a s < / K e y > < / a : K e y > < a : V a l u e   i : t y p e = " D i a g r a m D i s p l a y N o d e V i e w S t a t e " > < H e i g h t > 1 5 0 < / H e i g h t > < I s E x p a n d e d > t r u e < / I s E x p a n d e d > < W i d t h > 2 0 0 < / W i d t h > < / a : V a l u e > < / a : K e y V a l u e O f D i a g r a m O b j e c t K e y a n y T y p e z b w N T n L X > < a : K e y V a l u e O f D i a g r a m O b j e c t K e y a n y T y p e z b w N T n L X > < a : K e y > < K e y > T a b l e s \ G H G \ C o l u m n s \ E n e r g y   C a t e g o r y < / K e y > < / a : K e y > < a : V a l u e   i : t y p e = " D i a g r a m D i s p l a y N o d e V i e w S t a t e " > < H e i g h t > 1 5 0 < / H e i g h t > < I s E x p a n d e d > t r u e < / I s E x p a n d e d > < W i d t h > 2 0 0 < / W i d t h > < / a : V a l u e > < / a : K e y V a l u e O f D i a g r a m O b j e c t K e y a n y T y p e z b w N T n L X > < a : K e y V a l u e O f D i a g r a m O b j e c t K e y a n y T y p e z b w N T n L X > < a : K e y > < K e y > T a b l e s \ G H G \ C o l u m n s \ P u r p o s e < / K e y > < / a : K e y > < a : V a l u e   i : t y p e = " D i a g r a m D i s p l a y N o d e V i e w S t a t e " > < H e i g h t > 1 5 0 < / H e i g h t > < I s E x p a n d e d > t r u e < / I s E x p a n d e d > < W i d t h > 2 0 0 < / W i d t h > < / a : V a l u e > < / a : K e y V a l u e O f D i a g r a m O b j e c t K e y a n y T y p e z b w N T n L X > < a : K e y V a l u e O f D i a g r a m O b j e c t K e y a n y T y p e z b w N T n L X > < a : K e y > < K e y > T a b l e s \ G H G \ C o l u m n s \ S t a t e < / K e y > < / a : K e y > < a : V a l u e   i : t y p e = " D i a g r a m D i s p l a y N o d e V i e w S t a t e " > < H e i g h t > 1 5 0 < / H e i g h t > < I s E x p a n d e d > t r u e < / I s E x p a n d e d > < W i d t h > 2 0 0 < / W i d t h > < / a : V a l u e > < / a : K e y V a l u e O f D i a g r a m O b j e c t K e y a n y T y p e z b w N T n L X > < a : K e y V a l u e O f D i a g r a m O b j e c t K e y a n y T y p e z b w N T n L X > < a : K e y > < K e y > T a b l e s \ G H G \ C o l u m n s \ D e f a u l t   U n i t < / K e y > < / a : K e y > < a : V a l u e   i : t y p e = " D i a g r a m D i s p l a y N o d e V i e w S t a t e " > < H e i g h t > 1 5 0 < / H e i g h t > < I s E x p a n d e d > t r u e < / I s E x p a n d e d > < W i d t h > 2 0 0 < / W i d t h > < / a : V a l u e > < / a : K e y V a l u e O f D i a g r a m O b j e c t K e y a n y T y p e z b w N T n L X > < a : K e y V a l u e O f D i a g r a m O b j e c t K e y a n y T y p e z b w N T n L X > < a : K e y > < K e y > T a b l e s \ G H G \ C o l u m n s \ U n i t   C o n v e r s i o n   F a c t o r < / K e y > < / a : K e y > < a : V a l u e   i : t y p e = " D i a g r a m D i s p l a y N o d e V i e w S t a t e " > < H e i g h t > 1 5 0 < / H e i g h t > < I s E x p a n d e d > t r u e < / I s E x p a n d e d > < W i d t h > 2 0 0 < / W i d t h > < / a : V a l u e > < / a : K e y V a l u e O f D i a g r a m O b j e c t K e y a n y T y p e z b w N T n L X > < a : K e y V a l u e O f D i a g r a m O b j e c t K e y a n y T y p e z b w N T n L X > < a : K e y > < K e y > T a b l e s \ G H G \ C o l u m n s \ U n i t < / K e y > < / a : K e y > < a : V a l u e   i : t y p e = " D i a g r a m D i s p l a y N o d e V i e w S t a t e " > < H e i g h t > 1 5 0 < / H e i g h t > < I s E x p a n d e d > t r u e < / I s E x p a n d e d > < W i d t h > 2 0 0 < / W i d t h > < / a : V a l u e > < / a : K e y V a l u e O f D i a g r a m O b j e c t K e y a n y T y p e z b w N T n L X > < a : K e y V a l u e O f D i a g r a m O b j e c t K e y a n y T y p e z b w N T n L X > < a : K e y > < K e y > T a b l e s \ G H G \ C o l u m n s \ E n e r g y   c o n t e n t   f a c t o r < / K e y > < / a : K e y > < a : V a l u e   i : t y p e = " D i a g r a m D i s p l a y N o d e V i e w S t a t e " > < H e i g h t > 1 5 0 < / H e i g h t > < I s E x p a n d e d > t r u e < / I s E x p a n d e d > < W i d t h > 2 0 0 < / W i d t h > < / a : V a l u e > < / a : K e y V a l u e O f D i a g r a m O b j e c t K e y a n y T y p e z b w N T n L X > < a : K e y V a l u e O f D i a g r a m O b j e c t K e y a n y T y p e z b w N T n L X > < a : K e y > < K e y > T a b l e s \ G H G \ C o l u m n s \ E C   U n i t < / K e y > < / a : K e y > < a : V a l u e   i : t y p e = " D i a g r a m D i s p l a y N o d e V i e w S t a t e " > < H e i g h t > 1 5 0 < / H e i g h t > < I s E x p a n d e d > t r u e < / I s E x p a n d e d > < W i d t h > 2 0 0 < / W i d t h > < / a : V a l u e > < / a : K e y V a l u e O f D i a g r a m O b j e c t K e y a n y T y p e z b w N T n L X > < a : K e y V a l u e O f D i a g r a m O b j e c t K e y a n y T y p e z b w N T n L X > < a : K e y > < K e y > T a b l e s \ G H G \ C o l u m n s \ S c o p e   1   E m i s s i o n   f a c t o r < / K e y > < / a : K e y > < a : V a l u e   i : t y p e = " D i a g r a m D i s p l a y N o d e V i e w S t a t e " > < H e i g h t > 1 5 0 < / H e i g h t > < I s E x p a n d e d > t r u e < / I s E x p a n d e d > < W i d t h > 2 0 0 < / W i d t h > < / a : V a l u e > < / a : K e y V a l u e O f D i a g r a m O b j e c t K e y a n y T y p e z b w N T n L X > < a : K e y V a l u e O f D i a g r a m O b j e c t K e y a n y T y p e z b w N T n L X > < a : K e y > < K e y > T a b l e s \ G H G \ C o l u m n s \ S c o p e   2   E m i s s i o n   f a c t o r < / K e y > < / a : K e y > < a : V a l u e   i : t y p e = " D i a g r a m D i s p l a y N o d e V i e w S t a t e " > < H e i g h t > 1 5 0 < / H e i g h t > < I s E x p a n d e d > t r u e < / I s E x p a n d e d > < W i d t h > 2 0 0 < / W i d t h > < / a : V a l u e > < / a : K e y V a l u e O f D i a g r a m O b j e c t K e y a n y T y p e z b w N T n L X > < a : K e y V a l u e O f D i a g r a m O b j e c t K e y a n y T y p e z b w N T n L X > < a : K e y > < K e y > T a b l e s \ G H G \ C o l u m n s \ S c o p e   3   E m i s s i o n   f a c t o r < / K e y > < / a : K e y > < a : V a l u e   i : t y p e = " D i a g r a m D i s p l a y N o d e V i e w S t a t e " > < H e i g h t > 1 5 0 < / H e i g h t > < I s E x p a n d e d > t r u e < / I s E x p a n d e d > < W i d t h > 2 0 0 < / W i d t h > < / a : V a l u e > < / a : K e y V a l u e O f D i a g r a m O b j e c t K e y a n y T y p e z b w N T n L X > < a : K e y V a l u e O f D i a g r a m O b j e c t K e y a n y T y p e z b w N T n L X > < a : K e y > < K e y > T a b l e s \ G H G \ C o l u m n s \ E F   U n i t < / K e y > < / a : K e y > < a : V a l u e   i : t y p e = " D i a g r a m D i s p l a y N o d e V i e w S t a t e " > < H e i g h t > 1 5 0 < / H e i g h t > < I s E x p a n d e d > t r u e < / I s E x p a n d e d > < W i d t h > 2 0 0 < / W i d t h > < / a : V a l u e > < / a : K e y V a l u e O f D i a g r a m O b j e c t K e y a n y T y p e z b w N T n L X > < a : K e y V a l u e O f D i a g r a m O b j e c t K e y a n y T y p e z b w N T n L X > < a : K e y > < K e y > T a b l e s \ G H G \ C o l u m n s \ D a t a   S o u r c e   ( s c o p e   1 ) < / K e y > < / a : K e y > < a : V a l u e   i : t y p e = " D i a g r a m D i s p l a y N o d e V i e w S t a t e " > < H e i g h t > 1 5 0 < / H e i g h t > < I s E x p a n d e d > t r u e < / I s E x p a n d e d > < W i d t h > 2 0 0 < / W i d t h > < / a : V a l u e > < / a : K e y V a l u e O f D i a g r a m O b j e c t K e y a n y T y p e z b w N T n L X > < a : K e y V a l u e O f D i a g r a m O b j e c t K e y a n y T y p e z b w N T n L X > < a : K e y > < K e y > T a b l e s \ G H G \ C o l u m n s \ D a t a   S o u r c e   ( s c o p e   2 ) < / K e y > < / a : K e y > < a : V a l u e   i : t y p e = " D i a g r a m D i s p l a y N o d e V i e w S t a t e " > < H e i g h t > 1 5 0 < / H e i g h t > < I s E x p a n d e d > t r u e < / I s E x p a n d e d > < W i d t h > 2 0 0 < / W i d t h > < / a : V a l u e > < / a : K e y V a l u e O f D i a g r a m O b j e c t K e y a n y T y p e z b w N T n L X > < a : K e y V a l u e O f D i a g r a m O b j e c t K e y a n y T y p e z b w N T n L X > < a : K e y > < K e y > T a b l e s \ G H G \ C o l u m n s \ D a t a   S o u r c e   ( s c o p e   3 ) < / K e y > < / a : K e y > < a : V a l u e   i : t y p e = " D i a g r a m D i s p l a y N o d e V i e w S t a t e " > < H e i g h t > 1 5 0 < / H e i g h t > < I s E x p a n d e d > t r u e < / I s E x p a n d e d > < W i d t h > 2 0 0 < / W i d t h > < / a : V a l u e > < / a : K e y V a l u e O f D i a g r a m O b j e c t K e y a n y T y p e z b w N T n L X > < a : K e y V a l u e O f D i a g r a m O b j e c t K e y a n y T y p e z b w N T n L X > < a : K e y > < K e y > T a b l e s \ F l i g h t _ M o d e l < / K e y > < / a : K e y > < a : V a l u e   i : t y p e = " D i a g r a m D i s p l a y N o d e V i e w S t a t e " > < H e i g h t > 1 5 0 < / H e i g h t > < I s E x p a n d e d > t r u e < / I s E x p a n d e d > < L a y e d O u t > t r u e < / L a y e d O u t > < L e f t > 1 2 8 9 . 7 1 1 4 3 1 7 0 2 9 9 7 5 < / L e f t > < T a b I n d e x > 5 < / T a b I n d e x > < W i d t h > 2 0 0 < / W i d t h > < / a : V a l u e > < / a : K e y V a l u e O f D i a g r a m O b j e c t K e y a n y T y p e z b w N T n L X > < a : K e y V a l u e O f D i a g r a m O b j e c t K e y a n y T y p e z b w N T n L X > < a : K e y > < K e y > T a b l e s \ F l i g h t _ M o d e l \ C o l u m n s \ R e p o r t i n g   A l i a s < / K e y > < / a : K e y > < a : V a l u e   i : t y p e = " D i a g r a m D i s p l a y N o d e V i e w S t a t e " > < H e i g h t > 1 5 0 < / H e i g h t > < I s E x p a n d e d > t r u e < / I s E x p a n d e d > < W i d t h > 2 0 0 < / W i d t h > < / a : V a l u e > < / a : K e y V a l u e O f D i a g r a m O b j e c t K e y a n y T y p e z b w N T n L X > < a : K e y V a l u e O f D i a g r a m O b j e c t K e y a n y T y p e z b w N T n L X > < a : K e y > < K e y > T a b l e s \ F l i g h t _ M o d e l \ C o l u m n s \ U n i t < / K e y > < / a : K e y > < a : V a l u e   i : t y p e = " D i a g r a m D i s p l a y N o d e V i e w S t a t e " > < H e i g h t > 1 5 0 < / H e i g h t > < I s E x p a n d e d > t r u e < / I s E x p a n d e d > < W i d t h > 2 0 0 < / W i d t h > < / a : V a l u e > < / a : K e y V a l u e O f D i a g r a m O b j e c t K e y a n y T y p e z b w N T n L X > < a : K e y V a l u e O f D i a g r a m O b j e c t K e y a n y T y p e z b w N T n L X > < a : K e y > < K e y > T a b l e s \ F l i g h t _ M o d e l \ M e a s u r e s \ S u m   o f   U n i t < / K e y > < / a : K e y > < a : V a l u e   i : t y p e = " D i a g r a m D i s p l a y N o d e V i e w S t a t e " > < H e i g h t > 1 5 0 < / H e i g h t > < I s E x p a n d e d > t r u e < / I s E x p a n d e d > < W i d t h > 2 0 0 < / W i d t h > < / a : V a l u e > < / a : K e y V a l u e O f D i a g r a m O b j e c t K e y a n y T y p e z b w N T n L X > < a : K e y V a l u e O f D i a g r a m O b j e c t K e y a n y T y p e z b w N T n L X > < a : K e y > < K e y > T a b l e s \ F l i g h t _ M o d e l \ S u m   o f   U n i t \ A d d i t i o n a l   I n f o \ I m p l i c i t   C a l c u l a t e d   F i e l d < / K e y > < / a : K e y > < a : V a l u e   i : t y p e = " D i a g r a m D i s p l a y V i e w S t a t e I D i a g r a m T a g A d d i t i o n a l I n f o " / > < / a : K e y V a l u e O f D i a g r a m O b j e c t K e y a n y T y p e z b w N T n L X > < a : K e y V a l u e O f D i a g r a m O b j e c t K e y a n y T y p e z b w N T n L X > < a : K e y > < K e y > T a b l e s \ P a p e r _ C S R < / K e y > < / a : K e y > < a : V a l u e   i : t y p e = " D i a g r a m D i s p l a y N o d e V i e w S t a t e " > < H e i g h t > 1 5 0 < / H e i g h t > < I s E x p a n d e d > t r u e < / I s E x p a n d e d > < L a y e d O u t > t r u e < / L a y e d O u t > < L e f t > 1 2 9 7 . 5 1 9 0 5 2 8 3 8 3 2 9 1 < / L e f t > < T a b I n d e x > 1 1 < / T a b I n d e x > < T o p > 2 1 1 . 2 5 < / T o p > < W i d t h > 2 0 0 < / W i d t h > < / a : V a l u e > < / a : K e y V a l u e O f D i a g r a m O b j e c t K e y a n y T y p e z b w N T n L X > < a : K e y V a l u e O f D i a g r a m O b j e c t K e y a n y T y p e z b w N T n L X > < a : K e y > < K e y > T a b l e s \ P a p e r _ C S R \ C o l u m n s \ R e p o r t i n g   A l i a s < / K e y > < / a : K e y > < a : V a l u e   i : t y p e = " D i a g r a m D i s p l a y N o d e V i e w S t a t e " > < H e i g h t > 1 5 0 < / H e i g h t > < I s E x p a n d e d > t r u e < / I s E x p a n d e d > < W i d t h > 2 0 0 < / W i d t h > < / a : V a l u e > < / a : K e y V a l u e O f D i a g r a m O b j e c t K e y a n y T y p e z b w N T n L X > < a : K e y V a l u e O f D i a g r a m O b j e c t K e y a n y T y p e z b w N T n L X > < a : K e y > < K e y > T a b l e s \ P a p e r _ C S R \ C o l u m n s \ t < / K e y > < / a : K e y > < a : V a l u e   i : t y p e = " D i a g r a m D i s p l a y N o d e V i e w S t a t e " > < H e i g h t > 1 5 0 < / H e i g h t > < I s E x p a n d e d > t r u e < / I s E x p a n d e d > < W i d t h > 2 0 0 < / W i d t h > < / a : V a l u e > < / a : K e y V a l u e O f D i a g r a m O b j e c t K e y a n y T y p e z b w N T n L X > < a : K e y V a l u e O f D i a g r a m O b j e c t K e y a n y T y p e z b w N T n L X > < a : K e y > < K e y > T a b l e s \ S a v i n g s _ D a t a < / K e y > < / a : K e y > < a : V a l u e   i : t y p e = " D i a g r a m D i s p l a y N o d e V i e w S t a t e " > < H e i g h t > 1 5 0 < / H e i g h t > < I s E x p a n d e d > t r u e < / I s E x p a n d e d > < L a y e d O u t > t r u e < / L a y e d O u t > < L e f t > 1 3 0 0 . 5 1 9 0 5 2 8 3 8 3 2 9 1 < / L e f t > < T a b I n d e x > 1 7 < / T a b I n d e x > < T o p > 4 1 7 . 2 5 < / T o p > < W i d t h > 2 0 0 < / W i d t h > < / a : V a l u e > < / a : K e y V a l u e O f D i a g r a m O b j e c t K e y a n y T y p e z b w N T n L X > < a : K e y V a l u e O f D i a g r a m O b j e c t K e y a n y T y p e z b w N T n L X > < a : K e y > < K e y > T a b l e s \ S a v i n g s _ D a t a \ C o l u m n s \ R e p o r t i n g   A l i a s < / K e y > < / a : K e y > < a : V a l u e   i : t y p e = " D i a g r a m D i s p l a y N o d e V i e w S t a t e " > < H e i g h t > 1 5 0 < / H e i g h t > < I s E x p a n d e d > t r u e < / I s E x p a n d e d > < W i d t h > 2 0 0 < / W i d t h > < / a : V a l u e > < / a : K e y V a l u e O f D i a g r a m O b j e c t K e y a n y T y p e z b w N T n L X > < a : K e y V a l u e O f D i a g r a m O b j e c t K e y a n y T y p e z b w N T n L X > < a : K e y > < K e y > T a b l e s \ S a v i n g s _ D a t a \ C o l u m n s \ P r o g r a m < / K e y > < / a : K e y > < a : V a l u e   i : t y p e = " D i a g r a m D i s p l a y N o d e V i e w S t a t e " > < H e i g h t > 1 5 0 < / H e i g h t > < I s E x p a n d e d > t r u e < / I s E x p a n d e d > < W i d t h > 2 0 0 < / W i d t h > < / a : V a l u e > < / a : K e y V a l u e O f D i a g r a m O b j e c t K e y a n y T y p e z b w N T n L X > < a : K e y V a l u e O f D i a g r a m O b j e c t K e y a n y T y p e z b w N T n L X > < a : K e y > < K e y > T a b l e s \ S a v i n g s _ D a t a \ C o l u m n s \ R e l e a s e   / B u l k < / K e y > < / a : K e y > < a : V a l u e   i : t y p e = " D i a g r a m D i s p l a y N o d e V i e w S t a t e " > < H e i g h t > 1 5 0 < / H e i g h t > < I s E x p a n d e d > t r u e < / I s E x p a n d e d > < W i d t h > 2 0 0 < / W i d t h > < / a : V a l u e > < / a : K e y V a l u e O f D i a g r a m O b j e c t K e y a n y T y p e z b w N T n L X > < a : K e y V a l u e O f D i a g r a m O b j e c t K e y a n y T y p e z b w N T n L X > < a : K e y > < K e y > T a b l e s \ S a v i n g s _ D a t a \ C o l u m n s \ O I D < / K e y > < / a : K e y > < a : V a l u e   i : t y p e = " D i a g r a m D i s p l a y N o d e V i e w S t a t e " > < H e i g h t > 1 5 0 < / H e i g h t > < I s E x p a n d e d > t r u e < / I s E x p a n d e d > < W i d t h > 2 0 0 < / W i d t h > < / a : V a l u e > < / a : K e y V a l u e O f D i a g r a m O b j e c t K e y a n y T y p e z b w N T n L X > < a : K e y V a l u e O f D i a g r a m O b j e c t K e y a n y T y p e z b w N T n L X > < a : K e y > < K e y > T a b l e s \ S a v i n g s _ D a t a \ C o l u m n s \ S t a t e < / K e y > < / a : K e y > < a : V a l u e   i : t y p e = " D i a g r a m D i s p l a y N o d e V i e w S t a t e " > < H e i g h t > 1 5 0 < / H e i g h t > < I s E x p a n d e d > t r u e < / I s E x p a n d e d > < W i d t h > 2 0 0 < / W i d t h > < / a : V a l u e > < / a : K e y V a l u e O f D i a g r a m O b j e c t K e y a n y T y p e z b w N T n L X > < a : K e y V a l u e O f D i a g r a m O b j e c t K e y a n y T y p e z b w N T n L X > < a : K e y > < K e y > T a b l e s \ S a v i n g s _ D a t a \ C o l u m n s \ S i t e   N a m e < / K e y > < / a : K e y > < a : V a l u e   i : t y p e = " D i a g r a m D i s p l a y N o d e V i e w S t a t e " > < H e i g h t > 1 5 0 < / H e i g h t > < I s E x p a n d e d > t r u e < / I s E x p a n d e d > < W i d t h > 2 0 0 < / W i d t h > < / a : V a l u e > < / a : K e y V a l u e O f D i a g r a m O b j e c t K e y a n y T y p e z b w N T n L X > < a : K e y V a l u e O f D i a g r a m O b j e c t K e y a n y T y p e z b w N T n L X > < a : K e y > < K e y > T a b l e s \ S a v i n g s _ D a t a \ C o l u m n s \ A d d r e s s   I D < / K e y > < / a : K e y > < a : V a l u e   i : t y p e = " D i a g r a m D i s p l a y N o d e V i e w S t a t e " > < H e i g h t > 1 5 0 < / H e i g h t > < I s E x p a n d e d > t r u e < / I s E x p a n d e d > < W i d t h > 2 0 0 < / W i d t h > < / a : V a l u e > < / a : K e y V a l u e O f D i a g r a m O b j e c t K e y a n y T y p e z b w N T n L X > < a : K e y V a l u e O f D i a g r a m O b j e c t K e y a n y T y p e z b w N T n L X > < a : K e y > < K e y > T a b l e s \ S a v i n g s _ D a t a \ C o l u m n s \ D e s c r i p t i o n   o f   A c t i o n s < / K e y > < / a : K e y > < a : V a l u e   i : t y p e = " D i a g r a m D i s p l a y N o d e V i e w S t a t e " > < H e i g h t > 1 5 0 < / H e i g h t > < I s E x p a n d e d > t r u e < / I s E x p a n d e d > < W i d t h > 2 0 0 < / W i d t h > < / a : V a l u e > < / a : K e y V a l u e O f D i a g r a m O b j e c t K e y a n y T y p e z b w N T n L X > < a : K e y V a l u e O f D i a g r a m O b j e c t K e y a n y T y p e z b w N T n L X > < a : K e y > < K e y > T a b l e s \ S a v i n g s _ D a t a \ C o l u m n s \ R e p o r t   c a t e g o r y < / K e y > < / a : K e y > < a : V a l u e   i : t y p e = " D i a g r a m D i s p l a y N o d e V i e w S t a t e " > < H e i g h t > 1 5 0 < / H e i g h t > < I s E x p a n d e d > t r u e < / I s E x p a n d e d > < W i d t h > 2 0 0 < / W i d t h > < / a : V a l u e > < / a : K e y V a l u e O f D i a g r a m O b j e c t K e y a n y T y p e z b w N T n L X > < a : K e y V a l u e O f D i a g r a m O b j e c t K e y a n y T y p e z b w N T n L X > < a : K e y > < K e y > T a b l e s \ S a v i n g s _ D a t a \ C o l u m n s \ C D P   c a t e g o r y < / K e y > < / a : K e y > < a : V a l u e   i : t y p e = " D i a g r a m D i s p l a y N o d e V i e w S t a t e " > < H e i g h t > 1 5 0 < / H e i g h t > < I s E x p a n d e d > t r u e < / I s E x p a n d e d > < W i d t h > 2 0 0 < / W i d t h > < / a : V a l u e > < / a : K e y V a l u e O f D i a g r a m O b j e c t K e y a n y T y p e z b w N T n L X > < a : K e y V a l u e O f D i a g r a m O b j e c t K e y a n y T y p e z b w N T n L X > < a : K e y > < K e y > T a b l e s \ S a v i n g s _ D a t a \ C o l u m n s \ A c t u a l   C o m p l e t i o n   D a t e < / K e y > < / a : K e y > < a : V a l u e   i : t y p e = " D i a g r a m D i s p l a y N o d e V i e w S t a t e " > < H e i g h t > 1 5 0 < / H e i g h t > < I s E x p a n d e d > t r u e < / I s E x p a n d e d > < W i d t h > 2 0 0 < / W i d t h > < / a : V a l u e > < / a : K e y V a l u e O f D i a g r a m O b j e c t K e y a n y T y p e z b w N T n L X > < a : K e y V a l u e O f D i a g r a m O b j e c t K e y a n y T y p e z b w N T n L X > < a : K e y > < K e y > T a b l e s \ S a v i n g s _ D a t a \ C o l u m n s \ A n n u a l   E n e r g y   S a v i n g s   ( K W h ) < / K e y > < / a : K e y > < a : V a l u e   i : t y p e = " D i a g r a m D i s p l a y N o d e V i e w S t a t e " > < H e i g h t > 1 5 0 < / H e i g h t > < I s E x p a n d e d > t r u e < / I s E x p a n d e d > < W i d t h > 2 0 0 < / W i d t h > < / a : V a l u e > < / a : K e y V a l u e O f D i a g r a m O b j e c t K e y a n y T y p e z b w N T n L X > < a : K e y V a l u e O f D i a g r a m O b j e c t K e y a n y T y p e z b w N T n L X > < a : K e y > < K e y > T a b l e s \ S a v i n g s _ D a t a \ C o l u m n s \ S c o p e   2   k g   C O 2 - e < / K e y > < / a : K e y > < a : V a l u e   i : t y p e = " D i a g r a m D i s p l a y N o d e V i e w S t a t e " > < H e i g h t > 1 5 0 < / H e i g h t > < I s E x p a n d e d > t r u e < / I s E x p a n d e d > < W i d t h > 2 0 0 < / W i d t h > < / a : V a l u e > < / a : K e y V a l u e O f D i a g r a m O b j e c t K e y a n y T y p e z b w N T n L X > < a : K e y V a l u e O f D i a g r a m O b j e c t K e y a n y T y p e z b w N T n L X > < a : K e y > < K e y > T a b l e s \ S a v i n g s _ D a t a \ C o l u m n s \ S c o p e   3   k g   C O 2 - e < / K e y > < / a : K e y > < a : V a l u e   i : t y p e = " D i a g r a m D i s p l a y N o d e V i e w S t a t e " > < H e i g h t > 1 5 0 < / H e i g h t > < I s E x p a n d e d > t r u e < / I s E x p a n d e d > < W i d t h > 2 0 0 < / W i d t h > < / a : V a l u e > < / a : K e y V a l u e O f D i a g r a m O b j e c t K e y a n y T y p e z b w N T n L X > < a : K e y V a l u e O f D i a g r a m O b j e c t K e y a n y T y p e z b w N T n L X > < a : K e y > < K e y > T a b l e s \ S a v i n g s _ D a t a \ C o l u m n s \ T o t a l   T o n n e s < / K e y > < / a : K e y > < a : V a l u e   i : t y p e = " D i a g r a m D i s p l a y N o d e V i e w S t a t e " > < H e i g h t > 1 5 0 < / H e i g h t > < I s E x p a n d e d > t r u e < / I s E x p a n d e d > < W i d t h > 2 0 0 < / W i d t h > < / a : V a l u e > < / a : K e y V a l u e O f D i a g r a m O b j e c t K e y a n y T y p e z b w N T n L X > < a : K e y V a l u e O f D i a g r a m O b j e c t K e y a n y T y p e z b w N T n L X > < a : K e y > < K e y > T a b l e s \ S a v i n g s _ D a t a \ C o l u m n s \ T o t a l   G J < / K e y > < / a : K e y > < a : V a l u e   i : t y p e = " D i a g r a m D i s p l a y N o d e V i e w S t a t e " > < H e i g h t > 1 5 0 < / H e i g h t > < I s E x p a n d e d > t r u e < / I s E x p a n d e d > < W i d t h > 2 0 0 < / W i d t h > < / a : V a l u e > < / a : K e y V a l u e O f D i a g r a m O b j e c t K e y a n y T y p e z b w N T n L X > < a : K e y V a l u e O f D i a g r a m O b j e c t K e y a n y T y p e z b w N T n L X > < a : K e y > < K e y > T a b l e s \ S a v i n g s _ D a t a \ M e a s u r e s \ S u m   o f   A n n u a l   E n e r g y   S a v i n g s   ( K W h ) < / K e y > < / a : K e y > < a : V a l u e   i : t y p e = " D i a g r a m D i s p l a y N o d e V i e w S t a t e " > < H e i g h t > 1 5 0 < / H e i g h t > < I s E x p a n d e d > t r u e < / I s E x p a n d e d > < W i d t h > 2 0 0 < / W i d t h > < / a : V a l u e > < / a : K e y V a l u e O f D i a g r a m O b j e c t K e y a n y T y p e z b w N T n L X > < a : K e y V a l u e O f D i a g r a m O b j e c t K e y a n y T y p e z b w N T n L X > < a : K e y > < K e y > T a b l e s \ S a v i n g s _ D a t a \ S u m   o f   A n n u a l   E n e r g y   S a v i n g s   ( K W h ) \ A d d i t i o n a l   I n f o \ I m p l i c i t   C a l c u l a t e d   F i e l d < / K e y > < / a : K e y > < a : V a l u e   i : t y p e = " D i a g r a m D i s p l a y V i e w S t a t e I D i a g r a m T a g A d d i t i o n a l I n f o " / > < / a : K e y V a l u e O f D i a g r a m O b j e c t K e y a n y T y p e z b w N T n L X > < a : K e y V a l u e O f D i a g r a m O b j e c t K e y a n y T y p e z b w N T n L X > < a : K e y > < K e y > T a b l e s \ S a v i n g s _ D a t a \ M e a s u r e s \ S u m   o f   S c o p e   2   k g   C O 2 - e   1 8 < / K e y > < / a : K e y > < a : V a l u e   i : t y p e = " D i a g r a m D i s p l a y N o d e V i e w S t a t e " > < H e i g h t > 1 5 0 < / H e i g h t > < I s E x p a n d e d > t r u e < / I s E x p a n d e d > < W i d t h > 2 0 0 < / W i d t h > < / a : V a l u e > < / a : K e y V a l u e O f D i a g r a m O b j e c t K e y a n y T y p e z b w N T n L X > < a : K e y V a l u e O f D i a g r a m O b j e c t K e y a n y T y p e z b w N T n L X > < a : K e y > < K e y > T a b l e s \ S a v i n g s _ D a t a \ S u m   o f   S c o p e   2   k g   C O 2 - e   1 8 \ A d d i t i o n a l   I n f o \ I m p l i c i t   C a l c u l a t e d   F i e l d < / K e y > < / a : K e y > < a : V a l u e   i : t y p e = " D i a g r a m D i s p l a y V i e w S t a t e I D i a g r a m T a g A d d i t i o n a l I n f o " / > < / a : K e y V a l u e O f D i a g r a m O b j e c t K e y a n y T y p e z b w N T n L X > < a : K e y V a l u e O f D i a g r a m O b j e c t K e y a n y T y p e z b w N T n L X > < a : K e y > < K e y > T a b l e s \ S a v i n g s _ D a t a \ M e a s u r e s \ S u m   o f   S c o p e   3   k g   C O 2 - e   1 9 < / K e y > < / a : K e y > < a : V a l u e   i : t y p e = " D i a g r a m D i s p l a y N o d e V i e w S t a t e " > < H e i g h t > 1 5 0 < / H e i g h t > < I s E x p a n d e d > t r u e < / I s E x p a n d e d > < W i d t h > 2 0 0 < / W i d t h > < / a : V a l u e > < / a : K e y V a l u e O f D i a g r a m O b j e c t K e y a n y T y p e z b w N T n L X > < a : K e y V a l u e O f D i a g r a m O b j e c t K e y a n y T y p e z b w N T n L X > < a : K e y > < K e y > T a b l e s \ S a v i n g s _ D a t a \ S u m   o f   S c o p e   3   k g   C O 2 - e   1 9 \ A d d i t i o n a l   I n f o \ I m p l i c i t   C a l c u l a t e d   F i e l d < / K e y > < / a : K e y > < a : V a l u e   i : t y p e = " D i a g r a m D i s p l a y V i e w S t a t e I D i a g r a m T a g A d d i t i o n a l I n f o " / > < / a : K e y V a l u e O f D i a g r a m O b j e c t K e y a n y T y p e z b w N T n L X > < a : K e y V a l u e O f D i a g r a m O b j e c t K e y a n y T y p e z b w N T n L X > < a : K e y > < K e y > T a b l e s \ S a v i n g s _ D a t a \ M e a s u r e s \ S u m   o f   T o t a l   T o n n e s < / K e y > < / a : K e y > < a : V a l u e   i : t y p e = " D i a g r a m D i s p l a y N o d e V i e w S t a t e " > < H e i g h t > 1 5 0 < / H e i g h t > < I s E x p a n d e d > t r u e < / I s E x p a n d e d > < W i d t h > 2 0 0 < / W i d t h > < / a : V a l u e > < / a : K e y V a l u e O f D i a g r a m O b j e c t K e y a n y T y p e z b w N T n L X > < a : K e y V a l u e O f D i a g r a m O b j e c t K e y a n y T y p e z b w N T n L X > < a : K e y > < K e y > T a b l e s \ S a v i n g s _ D a t a \ S u m   o f   T o t a l   T o n n e s \ A d d i t i o n a l   I n f o \ I m p l i c i t   C a l c u l a t e d   F i e l d < / K e y > < / a : K e y > < a : V a l u e   i : t y p e = " D i a g r a m D i s p l a y V i e w S t a t e I D i a g r a m T a g A d d i t i o n a l I n f o " / > < / a : K e y V a l u e O f D i a g r a m O b j e c t K e y a n y T y p e z b w N T n L X > < a : K e y V a l u e O f D i a g r a m O b j e c t K e y a n y T y p e z b w N T n L X > < a : K e y > < K e y > T a b l e s \ S u m m a r y < / K e y > < / a : K e y > < a : V a l u e   i : t y p e = " D i a g r a m D i s p l a y N o d e V i e w S t a t e " > < H e i g h t > 1 5 0 < / H e i g h t > < I s E x p a n d e d > t r u e < / I s E x p a n d e d > < L a y e d O u t > t r u e < / L a y e d O u t > < L e f t > 1 0 6 7 . 7 1 1 4 3 1 7 0 2 9 9 7 5 < / L e f t > < T a b I n d e x > 1 6 < / T a b I n d e x > < T o p > 4 1 9 . 2 5 < / T o p > < W i d t h > 2 0 0 < / W i d t h > < / a : V a l u e > < / a : K e y V a l u e O f D i a g r a m O b j e c t K e y a n y T y p e z b w N T n L X > < a : K e y V a l u e O f D i a g r a m O b j e c t K e y a n y T y p e z b w N T n L X > < a : K e y > < K e y > T a b l e s \ S u m m a r y \ C o l u m n s \ R e p o r t i n g   A l i a s < / K e y > < / a : K e y > < a : V a l u e   i : t y p e = " D i a g r a m D i s p l a y N o d e V i e w S t a t e " > < H e i g h t > 1 5 0 < / H e i g h t > < I s E x p a n d e d > t r u e < / I s E x p a n d e d > < W i d t h > 2 0 0 < / W i d t h > < / a : V a l u e > < / a : K e y V a l u e O f D i a g r a m O b j e c t K e y a n y T y p e z b w N T n L X > < a : K e y V a l u e O f D i a g r a m O b j e c t K e y a n y T y p e z b w N T n L X > < a : K e y > < K e y > T a b l e s \ S u m m a r y \ C o l u m n s \ U o M < / K e y > < / a : K e y > < a : V a l u e   i : t y p e = " D i a g r a m D i s p l a y N o d e V i e w S t a t e " > < H e i g h t > 1 5 0 < / H e i g h t > < I s E x p a n d e d > t r u e < / I s E x p a n d e d > < W i d t h > 2 0 0 < / W i d t h > < / a : V a l u e > < / a : K e y V a l u e O f D i a g r a m O b j e c t K e y a n y T y p e z b w N T n L X > < a : K e y V a l u e O f D i a g r a m O b j e c t K e y a n y T y p e z b w N T n L X > < a : K e y > < K e y > T a b l e s \ S u m m a r y \ C o l u m n s \ P r i m a r y   C r i t e r i o n < / K e y > < / a : K e y > < a : V a l u e   i : t y p e = " D i a g r a m D i s p l a y N o d e V i e w S t a t e " > < H e i g h t > 1 5 0 < / H e i g h t > < I s E x p a n d e d > t r u e < / I s E x p a n d e d > < W i d t h > 2 0 0 < / W i d t h > < / a : V a l u e > < / a : K e y V a l u e O f D i a g r a m O b j e c t K e y a n y T y p e z b w N T n L X > < a : K e y V a l u e O f D i a g r a m O b j e c t K e y a n y T y p e z b w N T n L X > < a : K e y > < K e y > T a b l e s \ S u m m a r y \ C o l u m n s \ C o n s u m p t i o n   Q u a n t i t y < / K e y > < / a : K e y > < a : V a l u e   i : t y p e = " D i a g r a m D i s p l a y N o d e V i e w S t a t e " > < H e i g h t > 1 5 0 < / H e i g h t > < I s E x p a n d e d > t r u e < / I s E x p a n d e d > < W i d t h > 2 0 0 < / W i d t h > < / a : V a l u e > < / a : K e y V a l u e O f D i a g r a m O b j e c t K e y a n y T y p e z b w N T n L X > < a : K e y V a l u e O f D i a g r a m O b j e c t K e y a n y T y p e z b w N T n L X > < a : K e y > < K e y > T a b l e s \ S u m m a r y \ C o l u m n s \ T o t a l   G J < / K e y > < / a : K e y > < a : V a l u e   i : t y p e = " D i a g r a m D i s p l a y N o d e V i e w S t a t e " > < H e i g h t > 1 5 0 < / H e i g h t > < I s E x p a n d e d > t r u e < / I s E x p a n d e d > < W i d t h > 2 0 0 < / W i d t h > < / a : V a l u e > < / a : K e y V a l u e O f D i a g r a m O b j e c t K e y a n y T y p e z b w N T n L X > < a : K e y V a l u e O f D i a g r a m O b j e c t K e y a n y T y p e z b w N T n L X > < a : K e y > < K e y > T a b l e s \ S u m m a r y \ C o l u m n s \ S c o p e   1   k g   C O 2 - e < / K e y > < / a : K e y > < a : V a l u e   i : t y p e = " D i a g r a m D i s p l a y N o d e V i e w S t a t e " > < H e i g h t > 1 5 0 < / H e i g h t > < I s E x p a n d e d > t r u e < / I s E x p a n d e d > < W i d t h > 2 0 0 < / W i d t h > < / a : V a l u e > < / a : K e y V a l u e O f D i a g r a m O b j e c t K e y a n y T y p e z b w N T n L X > < a : K e y V a l u e O f D i a g r a m O b j e c t K e y a n y T y p e z b w N T n L X > < a : K e y > < K e y > T a b l e s \ S u m m a r y \ C o l u m n s \ S c o p e   2   k g   C O 2 - e < / K e y > < / a : K e y > < a : V a l u e   i : t y p e = " D i a g r a m D i s p l a y N o d e V i e w S t a t e " > < H e i g h t > 1 5 0 < / H e i g h t > < I s E x p a n d e d > t r u e < / I s E x p a n d e d > < W i d t h > 2 0 0 < / W i d t h > < / a : V a l u e > < / a : K e y V a l u e O f D i a g r a m O b j e c t K e y a n y T y p e z b w N T n L X > < a : K e y V a l u e O f D i a g r a m O b j e c t K e y a n y T y p e z b w N T n L X > < a : K e y > < K e y > T a b l e s \ S u m m a r y \ C o l u m n s \ S c o p e   3   k g   C O 2 - e < / K e y > < / a : K e y > < a : V a l u e   i : t y p e = " D i a g r a m D i s p l a y N o d e V i e w S t a t e " > < H e i g h t > 1 5 0 < / H e i g h t > < I s E x p a n d e d > t r u e < / I s E x p a n d e d > < W i d t h > 2 0 0 < / W i d t h > < / a : V a l u e > < / a : K e y V a l u e O f D i a g r a m O b j e c t K e y a n y T y p e z b w N T n L X > < a : K e y V a l u e O f D i a g r a m O b j e c t K e y a n y T y p e z b w N T n L X > < a : K e y > < K e y > T a b l e s \ S u m m a r y \ C o l u m n s \ T o t a l   E m i s s i o n s < / K e y > < / a : K e y > < a : V a l u e   i : t y p e = " D i a g r a m D i s p l a y N o d e V i e w S t a t e " > < H e i g h t > 1 5 0 < / H e i g h t > < I s E x p a n d e d > t r u e < / I s E x p a n d e d > < W i d t h > 2 0 0 < / W i d t h > < / a : V a l u e > < / a : K e y V a l u e O f D i a g r a m O b j e c t K e y a n y T y p e z b w N T n L X > < a : K e y V a l u e O f D i a g r a m O b j e c t K e y a n y T y p e z b w N T n L X > < a : K e y > < K e y > T a b l e s \ S u m m a r y \ M e a s u r e s \ S u m   o f   C o n s u m p t i o n   Q u a n t i t y   1 5 < / K e y > < / a : K e y > < a : V a l u e   i : t y p e = " D i a g r a m D i s p l a y N o d e V i e w S t a t e " > < H e i g h t > 1 5 0 < / H e i g h t > < I s E x p a n d e d > t r u e < / I s E x p a n d e d > < W i d t h > 2 0 0 < / W i d t h > < / a : V a l u e > < / a : K e y V a l u e O f D i a g r a m O b j e c t K e y a n y T y p e z b w N T n L X > < a : K e y V a l u e O f D i a g r a m O b j e c t K e y a n y T y p e z b w N T n L X > < a : K e y > < K e y > T a b l e s \ S u m m a r y \ S u m   o f   C o n s u m p t i o n   Q u a n t i t y   1 5 \ A d d i t i o n a l   I n f o \ I m p l i c i t   C a l c u l a t e d   F i e l d < / K e y > < / a : K e y > < a : V a l u e   i : t y p e = " D i a g r a m D i s p l a y V i e w S t a t e I D i a g r a m T a g A d d i t i o n a l I n f o " / > < / a : K e y V a l u e O f D i a g r a m O b j e c t K e y a n y T y p e z b w N T n L X > < a : K e y V a l u e O f D i a g r a m O b j e c t K e y a n y T y p e z b w N T n L X > < a : K e y > < K e y > T a b l e s \ S u m m a r y \ M e a s u r e s \ S u m   o f   T o t a l   G J   1 7 < / K e y > < / a : K e y > < a : V a l u e   i : t y p e = " D i a g r a m D i s p l a y N o d e V i e w S t a t e " > < H e i g h t > 1 5 0 < / H e i g h t > < I s E x p a n d e d > t r u e < / I s E x p a n d e d > < W i d t h > 2 0 0 < / W i d t h > < / a : V a l u e > < / a : K e y V a l u e O f D i a g r a m O b j e c t K e y a n y T y p e z b w N T n L X > < a : K e y V a l u e O f D i a g r a m O b j e c t K e y a n y T y p e z b w N T n L X > < a : K e y > < K e y > T a b l e s \ S u m m a r y \ S u m   o f   T o t a l   G J   1 7 \ A d d i t i o n a l   I n f o \ I m p l i c i t   C a l c u l a t e d   F i e l d < / K e y > < / a : K e y > < a : V a l u e   i : t y p e = " D i a g r a m D i s p l a y V i e w S t a t e I D i a g r a m T a g A d d i t i o n a l I n f o " / > < / a : K e y V a l u e O f D i a g r a m O b j e c t K e y a n y T y p e z b w N T n L X > < a : K e y V a l u e O f D i a g r a m O b j e c t K e y a n y T y p e z b w N T n L X > < a : K e y > < K e y > T a b l e s \ S u m m a r y \ M e a s u r e s \ S u m   o f   S c o p e   1   k g   C O 2 - e   1 7 < / K e y > < / a : K e y > < a : V a l u e   i : t y p e = " D i a g r a m D i s p l a y N o d e V i e w S t a t e " > < H e i g h t > 1 5 0 < / H e i g h t > < I s E x p a n d e d > t r u e < / I s E x p a n d e d > < W i d t h > 2 0 0 < / W i d t h > < / a : V a l u e > < / a : K e y V a l u e O f D i a g r a m O b j e c t K e y a n y T y p e z b w N T n L X > < a : K e y V a l u e O f D i a g r a m O b j e c t K e y a n y T y p e z b w N T n L X > < a : K e y > < K e y > T a b l e s \ S u m m a r y \ S u m   o f   S c o p e   1   k g   C O 2 - e   1 7 \ A d d i t i o n a l   I n f o \ I m p l i c i t   C a l c u l a t e d   F i e l d < / K e y > < / a : K e y > < a : V a l u e   i : t y p e = " D i a g r a m D i s p l a y V i e w S t a t e I D i a g r a m T a g A d d i t i o n a l I n f o " / > < / a : K e y V a l u e O f D i a g r a m O b j e c t K e y a n y T y p e z b w N T n L X > < a : K e y V a l u e O f D i a g r a m O b j e c t K e y a n y T y p e z b w N T n L X > < a : K e y > < K e y > T a b l e s \ S u m m a r y \ M e a s u r e s \ S u m   o f   S c o p e   2   k g   C O 2 - e   1 7 < / K e y > < / a : K e y > < a : V a l u e   i : t y p e = " D i a g r a m D i s p l a y N o d e V i e w S t a t e " > < H e i g h t > 1 5 0 < / H e i g h t > < I s E x p a n d e d > t r u e < / I s E x p a n d e d > < W i d t h > 2 0 0 < / W i d t h > < / a : V a l u e > < / a : K e y V a l u e O f D i a g r a m O b j e c t K e y a n y T y p e z b w N T n L X > < a : K e y V a l u e O f D i a g r a m O b j e c t K e y a n y T y p e z b w N T n L X > < a : K e y > < K e y > T a b l e s \ S u m m a r y \ S u m   o f   S c o p e   2   k g   C O 2 - e   1 7 \ A d d i t i o n a l   I n f o \ I m p l i c i t   C a l c u l a t e d   F i e l d < / K e y > < / a : K e y > < a : V a l u e   i : t y p e = " D i a g r a m D i s p l a y V i e w S t a t e I D i a g r a m T a g A d d i t i o n a l I n f o " / > < / a : K e y V a l u e O f D i a g r a m O b j e c t K e y a n y T y p e z b w N T n L X > < a : K e y V a l u e O f D i a g r a m O b j e c t K e y a n y T y p e z b w N T n L X > < a : K e y > < K e y > T a b l e s \ S u m m a r y \ M e a s u r e s \ S u m   o f   S c o p e   3   k g   C O 2 - e   1 7 < / K e y > < / a : K e y > < a : V a l u e   i : t y p e = " D i a g r a m D i s p l a y N o d e V i e w S t a t e " > < H e i g h t > 1 5 0 < / H e i g h t > < I s E x p a n d e d > t r u e < / I s E x p a n d e d > < W i d t h > 2 0 0 < / W i d t h > < / a : V a l u e > < / a : K e y V a l u e O f D i a g r a m O b j e c t K e y a n y T y p e z b w N T n L X > < a : K e y V a l u e O f D i a g r a m O b j e c t K e y a n y T y p e z b w N T n L X > < a : K e y > < K e y > T a b l e s \ S u m m a r y \ S u m   o f   S c o p e   3   k g   C O 2 - e   1 7 \ A d d i t i o n a l   I n f o \ I m p l i c i t   C a l c u l a t e d   F i e l d < / K e y > < / a : K e y > < a : V a l u e   i : t y p e = " D i a g r a m D i s p l a y V i e w S t a t e I D i a g r a m T a g A d d i t i o n a l I n f o " / > < / a : K e y V a l u e O f D i a g r a m O b j e c t K e y a n y T y p e z b w N T n L X > < a : K e y V a l u e O f D i a g r a m O b j e c t K e y a n y T y p e z b w N T n L X > < a : K e y > < K e y > T a b l e s \ S u m m a r y \ M e a s u r e s \ S u m   o f   T o t a l   E m i s s i o n s   1 7 < / K e y > < / a : K e y > < a : V a l u e   i : t y p e = " D i a g r a m D i s p l a y N o d e V i e w S t a t e " > < H e i g h t > 1 5 0 < / H e i g h t > < I s E x p a n d e d > t r u e < / I s E x p a n d e d > < W i d t h > 2 0 0 < / W i d t h > < / a : V a l u e > < / a : K e y V a l u e O f D i a g r a m O b j e c t K e y a n y T y p e z b w N T n L X > < a : K e y V a l u e O f D i a g r a m O b j e c t K e y a n y T y p e z b w N T n L X > < a : K e y > < K e y > T a b l e s \ S u m m a r y \ S u m   o f   T o t a l   E m i s s i o n s   1 7 \ A d d i t i o n a l   I n f o \ I m p l i c i t   C a l c u l a t e d   F i e l d < / K e y > < / a : K e y > < a : V a l u e   i : t y p e = " D i a g r a m D i s p l a y V i e w S t a t e I D i a g r a m T a g A d d i t i o n a l I n f o " / > < / a : K e y V a l u e O f D i a g r a m O b j e c t K e y a n y T y p e z b w N T n L X > < a : K e y V a l u e O f D i a g r a m O b j e c t K e y a n y T y p e z b w N T n L X > < a : K e y > < K e y > T a b l e s \ B C A _ R e m o v a l < / K e y > < / a : K e y > < a : V a l u e   i : t y p e = " D i a g r a m D i s p l a y N o d e V i e w S t a t e " > < H e i g h t > 1 5 0 < / H e i g h t > < I s E x p a n d e d > t r u e < / I s E x p a n d e d > < L a y e d O u t > t r u e < / L a y e d O u t > < L e f t > 3 2 9 . 9 0 3 8 1 0 5 6 7 6 6 5 8 < / L e f t > < T a b I n d e x > 1 < / T a b I n d e x > < W i d t h > 2 0 0 < / W i d t h > < / a : V a l u e > < / a : K e y V a l u e O f D i a g r a m O b j e c t K e y a n y T y p e z b w N T n L X > < a : K e y V a l u e O f D i a g r a m O b j e c t K e y a n y T y p e z b w N T n L X > < a : K e y > < K e y > T a b l e s \ B C A _ R e m o v a l \ C o l u m n s \ R e p o r t i n g   A l i a s < / K e y > < / a : K e y > < a : V a l u e   i : t y p e = " D i a g r a m D i s p l a y N o d e V i e w S t a t e " > < H e i g h t > 1 5 0 < / H e i g h t > < I s E x p a n d e d > t r u e < / I s E x p a n d e d > < W i d t h > 2 0 0 < / W i d t h > < / a : V a l u e > < / a : K e y V a l u e O f D i a g r a m O b j e c t K e y a n y T y p e z b w N T n L X > < a : K e y V a l u e O f D i a g r a m O b j e c t K e y a n y T y p e z b w N T n L X > < a : K e y > < K e y > T a b l e s \ B C A _ R e m o v a l \ C o l u m n s \ C o n s u m p t i o n   Q u a n t i t y < / K e y > < / a : K e y > < a : V a l u e   i : t y p e = " D i a g r a m D i s p l a y N o d e V i e w S t a t e " > < H e i g h t > 1 5 0 < / H e i g h t > < I s E x p a n d e d > t r u e < / I s E x p a n d e d > < W i d t h > 2 0 0 < / W i d t h > < / a : V a l u e > < / a : K e y V a l u e O f D i a g r a m O b j e c t K e y a n y T y p e z b w N T n L X > < a : K e y V a l u e O f D i a g r a m O b j e c t K e y a n y T y p e z b w N T n L X > < a : K e y > < K e y > T a b l e s \ B C A _ R e m o v a l \ C o l u m n s \ S c o p e   2   k g   C O 2 - e < / K e y > < / a : K e y > < a : V a l u e   i : t y p e = " D i a g r a m D i s p l a y N o d e V i e w S t a t e " > < H e i g h t > 1 5 0 < / H e i g h t > < I s E x p a n d e d > t r u e < / I s E x p a n d e d > < W i d t h > 2 0 0 < / W i d t h > < / a : V a l u e > < / a : K e y V a l u e O f D i a g r a m O b j e c t K e y a n y T y p e z b w N T n L X > < a : K e y V a l u e O f D i a g r a m O b j e c t K e y a n y T y p e z b w N T n L X > < a : K e y > < K e y > T a b l e s \ B C A _ R e m o v a l \ C o l u m n s \ S c o p e   1   k g   C O 2 - e < / K e y > < / a : K e y > < a : V a l u e   i : t y p e = " D i a g r a m D i s p l a y N o d e V i e w S t a t e " > < H e i g h t > 1 5 0 < / H e i g h t > < I s E x p a n d e d > t r u e < / I s E x p a n d e d > < W i d t h > 2 0 0 < / W i d t h > < / a : V a l u e > < / a : K e y V a l u e O f D i a g r a m O b j e c t K e y a n y T y p e z b w N T n L X > < a : K e y V a l u e O f D i a g r a m O b j e c t K e y a n y T y p e z b w N T n L X > < a : K e y > < K e y > T a b l e s \ B C A _ R e m o v a l \ C o l u m n s \ S c o p e   3   k g   C O 2 - e < / K e y > < / a : K e y > < a : V a l u e   i : t y p e = " D i a g r a m D i s p l a y N o d e V i e w S t a t e " > < H e i g h t > 1 5 0 < / H e i g h t > < I s E x p a n d e d > t r u e < / I s E x p a n d e d > < W i d t h > 2 0 0 < / W i d t h > < / a : V a l u e > < / a : K e y V a l u e O f D i a g r a m O b j e c t K e y a n y T y p e z b w N T n L X > < a : K e y V a l u e O f D i a g r a m O b j e c t K e y a n y T y p e z b w N T n L X > < a : K e y > < K e y > T a b l e s \ B C A _ R e m o v a l \ C o l u m n s \ T o t a l   G J < / K e y > < / a : K e y > < a : V a l u e   i : t y p e = " D i a g r a m D i s p l a y N o d e V i e w S t a t e " > < H e i g h t > 1 5 0 < / H e i g h t > < I s E x p a n d e d > t r u e < / I s E x p a n d e d > < W i d t h > 2 0 0 < / W i d t h > < / a : V a l u e > < / a : K e y V a l u e O f D i a g r a m O b j e c t K e y a n y T y p e z b w N T n L X > < a : K e y V a l u e O f D i a g r a m O b j e c t K e y a n y T y p e z b w N T n L X > < a : K e y > < K e y > T a b l e s \ B C A _ R e m o v a l \ C o l u m n s \ T o t a l   E m i s s i o n s < / K e y > < / a : K e y > < a : V a l u e   i : t y p e = " D i a g r a m D i s p l a y N o d e V i e w S t a t e " > < H e i g h t > 1 5 0 < / H e i g h t > < I s E x p a n d e d > t r u e < / I s E x p a n d e d > < W i d t h > 2 0 0 < / W i d t h > < / a : V a l u e > < / a : K e y V a l u e O f D i a g r a m O b j e c t K e y a n y T y p e z b w N T n L X > < a : K e y V a l u e O f D i a g r a m O b j e c t K e y a n y T y p e z b w N T n L X > < a : K e y > < K e y > T a b l e s \ B C A _ R e m o v a l \ M e a s u r e s \ S u m   o f   C o n s u m p t i o n   Q u a n t i t y < / K e y > < / a : K e y > < a : V a l u e   i : t y p e = " D i a g r a m D i s p l a y N o d e V i e w S t a t e " > < H e i g h t > 1 5 0 < / H e i g h t > < I s E x p a n d e d > t r u e < / I s E x p a n d e d > < W i d t h > 2 0 0 < / W i d t h > < / a : V a l u e > < / a : K e y V a l u e O f D i a g r a m O b j e c t K e y a n y T y p e z b w N T n L X > < a : K e y V a l u e O f D i a g r a m O b j e c t K e y a n y T y p e z b w N T n L X > < a : K e y > < K e y > T a b l e s \ B C A _ R e m o v a l \ S u m   o f   C o n s u m p t i o n   Q u a n t i t y \ A d d i t i o n a l   I n f o \ I m p l i c i t   C a l c u l a t e d   F i e l d < / K e y > < / a : K e y > < a : V a l u e   i : t y p e = " D i a g r a m D i s p l a y V i e w S t a t e I D i a g r a m T a g A d d i t i o n a l I n f o " / > < / a : K e y V a l u e O f D i a g r a m O b j e c t K e y a n y T y p e z b w N T n L X > < a : K e y V a l u e O f D i a g r a m O b j e c t K e y a n y T y p e z b w N T n L X > < a : K e y > < K e y > T a b l e s \ B C A _ R e m o v a l \ M e a s u r e s \ S u m   o f   S c o p e   2   k g   C O 2 - e   3 < / K e y > < / a : K e y > < a : V a l u e   i : t y p e = " D i a g r a m D i s p l a y N o d e V i e w S t a t e " > < H e i g h t > 1 5 0 < / H e i g h t > < I s E x p a n d e d > t r u e < / I s E x p a n d e d > < W i d t h > 2 0 0 < / W i d t h > < / a : V a l u e > < / a : K e y V a l u e O f D i a g r a m O b j e c t K e y a n y T y p e z b w N T n L X > < a : K e y V a l u e O f D i a g r a m O b j e c t K e y a n y T y p e z b w N T n L X > < a : K e y > < K e y > T a b l e s \ B C A _ R e m o v a l \ S u m   o f   S c o p e   2   k g   C O 2 - e   3 \ A d d i t i o n a l   I n f o \ I m p l i c i t   C a l c u l a t e d   F i e l d < / K e y > < / a : K e y > < a : V a l u e   i : t y p e = " D i a g r a m D i s p l a y V i e w S t a t e I D i a g r a m T a g A d d i t i o n a l I n f o " / > < / a : K e y V a l u e O f D i a g r a m O b j e c t K e y a n y T y p e z b w N T n L X > < a : K e y V a l u e O f D i a g r a m O b j e c t K e y a n y T y p e z b w N T n L X > < a : K e y > < K e y > T a b l e s \ B C A _ R e m o v a l \ M e a s u r e s \ S u m   o f   T o t a l   G J   2 < / K e y > < / a : K e y > < a : V a l u e   i : t y p e = " D i a g r a m D i s p l a y N o d e V i e w S t a t e " > < H e i g h t > 1 5 0 < / H e i g h t > < I s E x p a n d e d > t r u e < / I s E x p a n d e d > < W i d t h > 2 0 0 < / W i d t h > < / a : V a l u e > < / a : K e y V a l u e O f D i a g r a m O b j e c t K e y a n y T y p e z b w N T n L X > < a : K e y V a l u e O f D i a g r a m O b j e c t K e y a n y T y p e z b w N T n L X > < a : K e y > < K e y > T a b l e s \ B C A _ R e m o v a l \ S u m   o f   T o t a l   G J   2 \ A d d i t i o n a l   I n f o \ I m p l i c i t   C a l c u l a t e d   F i e l d < / K e y > < / a : K e y > < a : V a l u e   i : t y p e = " D i a g r a m D i s p l a y V i e w S t a t e I D i a g r a m T a g A d d i t i o n a l I n f o " / > < / a : K e y V a l u e O f D i a g r a m O b j e c t K e y a n y T y p e z b w N T n L X > < a : K e y V a l u e O f D i a g r a m O b j e c t K e y a n y T y p e z b w N T n L X > < a : K e y > < K e y > T a b l e s \ B C A _ R e m o v a l \ M e a s u r e s \ S u m   o f   S c o p e   1   k g   C O 2 - e   2 < / K e y > < / a : K e y > < a : V a l u e   i : t y p e = " D i a g r a m D i s p l a y N o d e V i e w S t a t e " > < H e i g h t > 1 5 0 < / H e i g h t > < I s E x p a n d e d > t r u e < / I s E x p a n d e d > < W i d t h > 2 0 0 < / W i d t h > < / a : V a l u e > < / a : K e y V a l u e O f D i a g r a m O b j e c t K e y a n y T y p e z b w N T n L X > < a : K e y V a l u e O f D i a g r a m O b j e c t K e y a n y T y p e z b w N T n L X > < a : K e y > < K e y > T a b l e s \ B C A _ R e m o v a l \ S u m   o f   S c o p e   1   k g   C O 2 - e   2 \ A d d i t i o n a l   I n f o \ I m p l i c i t   C a l c u l a t e d   F i e l d < / K e y > < / a : K e y > < a : V a l u e   i : t y p e = " D i a g r a m D i s p l a y V i e w S t a t e I D i a g r a m T a g A d d i t i o n a l I n f o " / > < / a : K e y V a l u e O f D i a g r a m O b j e c t K e y a n y T y p e z b w N T n L X > < a : K e y V a l u e O f D i a g r a m O b j e c t K e y a n y T y p e z b w N T n L X > < a : K e y > < K e y > T a b l e s \ B C A _ R e m o v a l \ M e a s u r e s \ S u m   o f   S c o p e   3   k g   C O 2 - e   2 < / K e y > < / a : K e y > < a : V a l u e   i : t y p e = " D i a g r a m D i s p l a y N o d e V i e w S t a t e " > < H e i g h t > 1 5 0 < / H e i g h t > < I s E x p a n d e d > t r u e < / I s E x p a n d e d > < W i d t h > 2 0 0 < / W i d t h > < / a : V a l u e > < / a : K e y V a l u e O f D i a g r a m O b j e c t K e y a n y T y p e z b w N T n L X > < a : K e y V a l u e O f D i a g r a m O b j e c t K e y a n y T y p e z b w N T n L X > < a : K e y > < K e y > T a b l e s \ B C A _ R e m o v a l \ S u m   o f   S c o p e   3   k g   C O 2 - e   2 \ A d d i t i o n a l   I n f o \ I m p l i c i t   C a l c u l a t e d   F i e l d < / K e y > < / a : K e y > < a : V a l u e   i : t y p e = " D i a g r a m D i s p l a y V i e w S t a t e I D i a g r a m T a g A d d i t i o n a l I n f o " / > < / a : K e y V a l u e O f D i a g r a m O b j e c t K e y a n y T y p e z b w N T n L X > < a : K e y V a l u e O f D i a g r a m O b j e c t K e y a n y T y p e z b w N T n L X > < a : K e y > < K e y > T a b l e s \ B C A _ R e m o v a l \ M e a s u r e s \ S u m   o f   T o t a l   E m i s s i o n s   2 < / K e y > < / a : K e y > < a : V a l u e   i : t y p e = " D i a g r a m D i s p l a y N o d e V i e w S t a t e " > < H e i g h t > 1 5 0 < / H e i g h t > < I s E x p a n d e d > t r u e < / I s E x p a n d e d > < W i d t h > 2 0 0 < / W i d t h > < / a : V a l u e > < / a : K e y V a l u e O f D i a g r a m O b j e c t K e y a n y T y p e z b w N T n L X > < a : K e y V a l u e O f D i a g r a m O b j e c t K e y a n y T y p e z b w N T n L X > < a : K e y > < K e y > T a b l e s \ B C A _ R e m o v a l \ S u m   o f   T o t a l   E m i s s i o n s   2 \ A d d i t i o n a l   I n f o \ I m p l i c i t   C a l c u l a t e d   F i e l d < / K e y > < / a : K e y > < a : V a l u e   i : t y p e = " D i a g r a m D i s p l a y V i e w S t a t e I D i a g r a m T a g A d d i t i o n a l I n f o " / > < / a : K e y V a l u e O f D i a g r a m O b j e c t K e y a n y T y p e z b w N T n L X > < a : K e y V a l u e O f D i a g r a m O b j e c t K e y a n y T y p e z b w N T n L X > < a : K e y > < K e y > T a b l e s \ N B N _ R e m o v a l < / K e y > < / a : K e y > < a : V a l u e   i : t y p e = " D i a g r a m D i s p l a y N o d e V i e w S t a t e " > < H e i g h t > 1 5 0 < / H e i g h t > < I s E x p a n d e d > t r u e < / I s E x p a n d e d > < L a y e d O u t > t r u e < / L a y e d O u t > < L e f t > 5 7 4 . 9 0 3 8 1 0 5 6 7 6 6 5 8 < / L e f t > < S c r o l l V e r t i c a l O f f s e t > 3 < / S c r o l l V e r t i c a l O f f s e t > < T a b I n d e x > 2 < / T a b I n d e x > < T o p > 3 < / T o p > < W i d t h > 2 0 0 < / W i d t h > < / a : V a l u e > < / a : K e y V a l u e O f D i a g r a m O b j e c t K e y a n y T y p e z b w N T n L X > < a : K e y V a l u e O f D i a g r a m O b j e c t K e y a n y T y p e z b w N T n L X > < a : K e y > < K e y > T a b l e s \ N B N _ R e m o v a l \ C o l u m n s \ R e p o r t i n g   A l i a s < / K e y > < / a : K e y > < a : V a l u e   i : t y p e = " D i a g r a m D i s p l a y N o d e V i e w S t a t e " > < H e i g h t > 1 5 0 < / H e i g h t > < I s E x p a n d e d > t r u e < / I s E x p a n d e d > < W i d t h > 2 0 0 < / W i d t h > < / a : V a l u e > < / a : K e y V a l u e O f D i a g r a m O b j e c t K e y a n y T y p e z b w N T n L X > < a : K e y V a l u e O f D i a g r a m O b j e c t K e y a n y T y p e z b w N T n L X > < a : K e y > < K e y > T a b l e s \ N B N _ R e m o v a l \ C o l u m n s \ C o n s u m p t i o n   Q u a n t i t y < / K e y > < / a : K e y > < a : V a l u e   i : t y p e = " D i a g r a m D i s p l a y N o d e V i e w S t a t e " > < H e i g h t > 1 5 0 < / H e i g h t > < I s E x p a n d e d > t r u e < / I s E x p a n d e d > < W i d t h > 2 0 0 < / W i d t h > < / a : V a l u e > < / a : K e y V a l u e O f D i a g r a m O b j e c t K e y a n y T y p e z b w N T n L X > < a : K e y V a l u e O f D i a g r a m O b j e c t K e y a n y T y p e z b w N T n L X > < a : K e y > < K e y > T a b l e s \ N B N _ R e m o v a l \ C o l u m n s \ S c o p e   1   k g   C O 2 - e < / K e y > < / a : K e y > < a : V a l u e   i : t y p e = " D i a g r a m D i s p l a y N o d e V i e w S t a t e " > < H e i g h t > 1 5 0 < / H e i g h t > < I s E x p a n d e d > t r u e < / I s E x p a n d e d > < W i d t h > 2 0 0 < / W i d t h > < / a : V a l u e > < / a : K e y V a l u e O f D i a g r a m O b j e c t K e y a n y T y p e z b w N T n L X > < a : K e y V a l u e O f D i a g r a m O b j e c t K e y a n y T y p e z b w N T n L X > < a : K e y > < K e y > T a b l e s \ N B N _ R e m o v a l \ C o l u m n s \ S c o p e   2   k g   C O 2 - e < / K e y > < / a : K e y > < a : V a l u e   i : t y p e = " D i a g r a m D i s p l a y N o d e V i e w S t a t e " > < H e i g h t > 1 5 0 < / H e i g h t > < I s E x p a n d e d > t r u e < / I s E x p a n d e d > < W i d t h > 2 0 0 < / W i d t h > < / a : V a l u e > < / a : K e y V a l u e O f D i a g r a m O b j e c t K e y a n y T y p e z b w N T n L X > < a : K e y V a l u e O f D i a g r a m O b j e c t K e y a n y T y p e z b w N T n L X > < a : K e y > < K e y > T a b l e s \ N B N _ R e m o v a l \ C o l u m n s \ S c o p e   3   k g   C O 2 - e < / K e y > < / a : K e y > < a : V a l u e   i : t y p e = " D i a g r a m D i s p l a y N o d e V i e w S t a t e " > < H e i g h t > 1 5 0 < / H e i g h t > < I s E x p a n d e d > t r u e < / I s E x p a n d e d > < W i d t h > 2 0 0 < / W i d t h > < / a : V a l u e > < / a : K e y V a l u e O f D i a g r a m O b j e c t K e y a n y T y p e z b w N T n L X > < a : K e y V a l u e O f D i a g r a m O b j e c t K e y a n y T y p e z b w N T n L X > < a : K e y > < K e y > T a b l e s \ N B N _ R e m o v a l \ C o l u m n s \ T o t a l   G J < / K e y > < / a : K e y > < a : V a l u e   i : t y p e = " D i a g r a m D i s p l a y N o d e V i e w S t a t e " > < H e i g h t > 1 5 0 < / H e i g h t > < I s E x p a n d e d > t r u e < / I s E x p a n d e d > < W i d t h > 2 0 0 < / W i d t h > < / a : V a l u e > < / a : K e y V a l u e O f D i a g r a m O b j e c t K e y a n y T y p e z b w N T n L X > < a : K e y V a l u e O f D i a g r a m O b j e c t K e y a n y T y p e z b w N T n L X > < a : K e y > < K e y > T a b l e s \ N B N _ R e m o v a l \ C o l u m n s \ T o t a l   E m i s s i o n s < / K e y > < / a : K e y > < a : V a l u e   i : t y p e = " D i a g r a m D i s p l a y N o d e V i e w S t a t e " > < H e i g h t > 1 5 0 < / H e i g h t > < I s E x p a n d e d > t r u e < / I s E x p a n d e d > < W i d t h > 2 0 0 < / W i d t h > < / a : V a l u e > < / a : K e y V a l u e O f D i a g r a m O b j e c t K e y a n y T y p e z b w N T n L X > < a : K e y V a l u e O f D i a g r a m O b j e c t K e y a n y T y p e z b w N T n L X > < a : K e y > < K e y > T a b l e s \ N B N _ R e m o v a l \ M e a s u r e s \ S u m   o f   C o n s u m p t i o n   Q u a n t i t y   3 < / K e y > < / a : K e y > < a : V a l u e   i : t y p e = " D i a g r a m D i s p l a y N o d e V i e w S t a t e " > < H e i g h t > 1 5 0 < / H e i g h t > < I s E x p a n d e d > t r u e < / I s E x p a n d e d > < W i d t h > 2 0 0 < / W i d t h > < / a : V a l u e > < / a : K e y V a l u e O f D i a g r a m O b j e c t K e y a n y T y p e z b w N T n L X > < a : K e y V a l u e O f D i a g r a m O b j e c t K e y a n y T y p e z b w N T n L X > < a : K e y > < K e y > T a b l e s \ N B N _ R e m o v a l \ S u m   o f   C o n s u m p t i o n   Q u a n t i t y   3 \ A d d i t i o n a l   I n f o \ I m p l i c i t   C a l c u l a t e d   F i e l d < / K e y > < / a : K e y > < a : V a l u e   i : t y p e = " D i a g r a m D i s p l a y V i e w S t a t e I D i a g r a m T a g A d d i t i o n a l I n f o " / > < / a : K e y V a l u e O f D i a g r a m O b j e c t K e y a n y T y p e z b w N T n L X > < a : K e y V a l u e O f D i a g r a m O b j e c t K e y a n y T y p e z b w N T n L X > < a : K e y > < K e y > T a b l e s \ N B N _ R e m o v a l \ M e a s u r e s \ S u m   o f   T o t a l   G J   3 < / K e y > < / a : K e y > < a : V a l u e   i : t y p e = " D i a g r a m D i s p l a y N o d e V i e w S t a t e " > < H e i g h t > 1 5 0 < / H e i g h t > < I s E x p a n d e d > t r u e < / I s E x p a n d e d > < W i d t h > 2 0 0 < / W i d t h > < / a : V a l u e > < / a : K e y V a l u e O f D i a g r a m O b j e c t K e y a n y T y p e z b w N T n L X > < a : K e y V a l u e O f D i a g r a m O b j e c t K e y a n y T y p e z b w N T n L X > < a : K e y > < K e y > T a b l e s \ N B N _ R e m o v a l \ S u m   o f   T o t a l   G J   3 \ A d d i t i o n a l   I n f o \ I m p l i c i t   C a l c u l a t e d   F i e l d < / K e y > < / a : K e y > < a : V a l u e   i : t y p e = " D i a g r a m D i s p l a y V i e w S t a t e I D i a g r a m T a g A d d i t i o n a l I n f o " / > < / a : K e y V a l u e O f D i a g r a m O b j e c t K e y a n y T y p e z b w N T n L X > < a : K e y V a l u e O f D i a g r a m O b j e c t K e y a n y T y p e z b w N T n L X > < a : K e y > < K e y > T a b l e s \ N B N _ R e m o v a l \ M e a s u r e s \ S u m   o f   S c o p e   1   k g   C O 2 - e   3 < / K e y > < / a : K e y > < a : V a l u e   i : t y p e = " D i a g r a m D i s p l a y N o d e V i e w S t a t e " > < H e i g h t > 1 5 0 < / H e i g h t > < I s E x p a n d e d > t r u e < / I s E x p a n d e d > < W i d t h > 2 0 0 < / W i d t h > < / a : V a l u e > < / a : K e y V a l u e O f D i a g r a m O b j e c t K e y a n y T y p e z b w N T n L X > < a : K e y V a l u e O f D i a g r a m O b j e c t K e y a n y T y p e z b w N T n L X > < a : K e y > < K e y > T a b l e s \ N B N _ R e m o v a l \ S u m   o f   S c o p e   1   k g   C O 2 - e   3 \ A d d i t i o n a l   I n f o \ I m p l i c i t   C a l c u l a t e d   F i e l d < / K e y > < / a : K e y > < a : V a l u e   i : t y p e = " D i a g r a m D i s p l a y V i e w S t a t e I D i a g r a m T a g A d d i t i o n a l I n f o " / > < / a : K e y V a l u e O f D i a g r a m O b j e c t K e y a n y T y p e z b w N T n L X > < a : K e y V a l u e O f D i a g r a m O b j e c t K e y a n y T y p e z b w N T n L X > < a : K e y > < K e y > T a b l e s \ N B N _ R e m o v a l \ M e a s u r e s \ S u m   o f   S c o p e   2   k g   C O 2 - e < / K e y > < / a : K e y > < a : V a l u e   i : t y p e = " D i a g r a m D i s p l a y N o d e V i e w S t a t e " > < H e i g h t > 1 5 0 < / H e i g h t > < I s E x p a n d e d > t r u e < / I s E x p a n d e d > < W i d t h > 2 0 0 < / W i d t h > < / a : V a l u e > < / a : K e y V a l u e O f D i a g r a m O b j e c t K e y a n y T y p e z b w N T n L X > < a : K e y V a l u e O f D i a g r a m O b j e c t K e y a n y T y p e z b w N T n L X > < a : K e y > < K e y > T a b l e s \ N B N _ R e m o v a l \ S u m   o f   S c o p e   2   k g   C O 2 - e \ A d d i t i o n a l   I n f o \ I m p l i c i t   C a l c u l a t e d   F i e l d < / K e y > < / a : K e y > < a : V a l u e   i : t y p e = " D i a g r a m D i s p l a y V i e w S t a t e I D i a g r a m T a g A d d i t i o n a l I n f o " / > < / a : K e y V a l u e O f D i a g r a m O b j e c t K e y a n y T y p e z b w N T n L X > < a : K e y V a l u e O f D i a g r a m O b j e c t K e y a n y T y p e z b w N T n L X > < a : K e y > < K e y > T a b l e s \ N B N _ R e m o v a l \ M e a s u r e s \ S u m   o f   S c o p e   3   k g   C O 2 - e   3 < / K e y > < / a : K e y > < a : V a l u e   i : t y p e = " D i a g r a m D i s p l a y N o d e V i e w S t a t e " > < H e i g h t > 1 5 0 < / H e i g h t > < I s E x p a n d e d > t r u e < / I s E x p a n d e d > < W i d t h > 2 0 0 < / W i d t h > < / a : V a l u e > < / a : K e y V a l u e O f D i a g r a m O b j e c t K e y a n y T y p e z b w N T n L X > < a : K e y V a l u e O f D i a g r a m O b j e c t K e y a n y T y p e z b w N T n L X > < a : K e y > < K e y > T a b l e s \ N B N _ R e m o v a l \ S u m   o f   S c o p e   3   k g   C O 2 - e   3 \ A d d i t i o n a l   I n f o \ I m p l i c i t   C a l c u l a t e d   F i e l d < / K e y > < / a : K e y > < a : V a l u e   i : t y p e = " D i a g r a m D i s p l a y V i e w S t a t e I D i a g r a m T a g A d d i t i o n a l I n f o " / > < / a : K e y V a l u e O f D i a g r a m O b j e c t K e y a n y T y p e z b w N T n L X > < a : K e y V a l u e O f D i a g r a m O b j e c t K e y a n y T y p e z b w N T n L X > < a : K e y > < K e y > T a b l e s \ N B N _ R e m o v a l \ M e a s u r e s \ S u m   o f   T o t a l   E m i s s i o n s   3 < / K e y > < / a : K e y > < a : V a l u e   i : t y p e = " D i a g r a m D i s p l a y N o d e V i e w S t a t e " > < H e i g h t > 1 5 0 < / H e i g h t > < I s E x p a n d e d > t r u e < / I s E x p a n d e d > < W i d t h > 2 0 0 < / W i d t h > < / a : V a l u e > < / a : K e y V a l u e O f D i a g r a m O b j e c t K e y a n y T y p e z b w N T n L X > < a : K e y V a l u e O f D i a g r a m O b j e c t K e y a n y T y p e z b w N T n L X > < a : K e y > < K e y > T a b l e s \ N B N _ R e m o v a l \ S u m   o f   T o t a l   E m i s s i o n s   3 \ A d d i t i o n a l   I n f o \ I m p l i c i t   C a l c u l a t e d   F i e l d < / K e y > < / a : K e y > < a : V a l u e   i : t y p e = " D i a g r a m D i s p l a y V i e w S t a t e I D i a g r a m T a g A d d i t i o n a l I n f o " / > < / a : K e y V a l u e O f D i a g r a m O b j e c t K e y a n y T y p e z b w N T n L X > < a : K e y V a l u e O f D i a g r a m O b j e c t K e y a n y T y p e z b w N T n L X > < a : K e y > < K e y > T a b l e s \ S E _ G a s < / K e y > < / a : K e y > < a : V a l u e   i : t y p e = " D i a g r a m D i s p l a y N o d e V i e w S t a t e " > < H e i g h t > 1 5 0 < / H e i g h t > < I s E x p a n d e d > t r u e < / I s E x p a n d e d > < L a y e d O u t > t r u e < / L a y e d O u t > < L e f t > 8 1 5 . 9 0 3 8 1 0 5 6 7 6 6 5 9 1 < / L e f t > < S c r o l l V e r t i c a l O f f s e t > 3 < / S c r o l l V e r t i c a l O f f s e t > < T a b I n d e x > 3 < / T a b I n d e x > < W i d t h > 2 0 0 < / W i d t h > < / a : V a l u e > < / a : K e y V a l u e O f D i a g r a m O b j e c t K e y a n y T y p e z b w N T n L X > < a : K e y V a l u e O f D i a g r a m O b j e c t K e y a n y T y p e z b w N T n L X > < a : K e y > < K e y > T a b l e s \ S E _ G a s \ C o l u m n s \ R e p o r t i n g   A l i a s < / K e y > < / a : K e y > < a : V a l u e   i : t y p e = " D i a g r a m D i s p l a y N o d e V i e w S t a t e " > < H e i g h t > 1 5 0 < / H e i g h t > < I s E x p a n d e d > t r u e < / I s E x p a n d e d > < W i d t h > 2 0 0 < / W i d t h > < / a : V a l u e > < / a : K e y V a l u e O f D i a g r a m O b j e c t K e y a n y T y p e z b w N T n L X > < a : K e y V a l u e O f D i a g r a m O b j e c t K e y a n y T y p e z b w N T n L X > < a : K e y > < K e y > T a b l e s \ S E _ G a s \ C o l u m n s \ S t a t e < / K e y > < / a : K e y > < a : V a l u e   i : t y p e = " D i a g r a m D i s p l a y N o d e V i e w S t a t e " > < H e i g h t > 1 5 0 < / H e i g h t > < I s E x p a n d e d > t r u e < / I s E x p a n d e d > < W i d t h > 2 0 0 < / W i d t h > < / a : V a l u e > < / a : K e y V a l u e O f D i a g r a m O b j e c t K e y a n y T y p e z b w N T n L X > < a : K e y V a l u e O f D i a g r a m O b j e c t K e y a n y T y p e z b w N T n L X > < a : K e y > < K e y > T a b l e s \ S E _ G a s \ C o l u m n s \ C o n s u m p t i o n   Q u a n i t y < / K e y > < / a : K e y > < a : V a l u e   i : t y p e = " D i a g r a m D i s p l a y N o d e V i e w S t a t e " > < H e i g h t > 1 5 0 < / H e i g h t > < I s E x p a n d e d > t r u e < / I s E x p a n d e d > < W i d t h > 2 0 0 < / W i d t h > < / a : V a l u e > < / a : K e y V a l u e O f D i a g r a m O b j e c t K e y a n y T y p e z b w N T n L X > < a : K e y V a l u e O f D i a g r a m O b j e c t K e y a n y T y p e z b w N T n L X > < a : K e y > < K e y > T a b l e s \ S E _ G a s \ C o l u m n s \ S c o p e   1   k g   C O 2 - e < / K e y > < / a : K e y > < a : V a l u e   i : t y p e = " D i a g r a m D i s p l a y N o d e V i e w S t a t e " > < H e i g h t > 1 5 0 < / H e i g h t > < I s E x p a n d e d > t r u e < / I s E x p a n d e d > < W i d t h > 2 0 0 < / W i d t h > < / a : V a l u e > < / a : K e y V a l u e O f D i a g r a m O b j e c t K e y a n y T y p e z b w N T n L X > < a : K e y V a l u e O f D i a g r a m O b j e c t K e y a n y T y p e z b w N T n L X > < a : K e y > < K e y > T a b l e s \ S E _ G a s \ C o l u m n s \ S c o p e   2   k g   C O 2 - e < / K e y > < / a : K e y > < a : V a l u e   i : t y p e = " D i a g r a m D i s p l a y N o d e V i e w S t a t e " > < H e i g h t > 1 5 0 < / H e i g h t > < I s E x p a n d e d > t r u e < / I s E x p a n d e d > < W i d t h > 2 0 0 < / W i d t h > < / a : V a l u e > < / a : K e y V a l u e O f D i a g r a m O b j e c t K e y a n y T y p e z b w N T n L X > < a : K e y V a l u e O f D i a g r a m O b j e c t K e y a n y T y p e z b w N T n L X > < a : K e y > < K e y > T a b l e s \ S E _ G a s \ C o l u m n s \ S c o p e   3   k g   C O 2 - e < / K e y > < / a : K e y > < a : V a l u e   i : t y p e = " D i a g r a m D i s p l a y N o d e V i e w S t a t e " > < H e i g h t > 1 5 0 < / H e i g h t > < I s E x p a n d e d > t r u e < / I s E x p a n d e d > < W i d t h > 2 0 0 < / W i d t h > < / a : V a l u e > < / a : K e y V a l u e O f D i a g r a m O b j e c t K e y a n y T y p e z b w N T n L X > < a : K e y V a l u e O f D i a g r a m O b j e c t K e y a n y T y p e z b w N T n L X > < a : K e y > < K e y > T a b l e s \ S E _ G a s \ C o l u m n s \ T o t a l   G J < / K e y > < / a : K e y > < a : V a l u e   i : t y p e = " D i a g r a m D i s p l a y N o d e V i e w S t a t e " > < H e i g h t > 1 5 0 < / H e i g h t > < I s E x p a n d e d > t r u e < / I s E x p a n d e d > < W i d t h > 2 0 0 < / W i d t h > < / a : V a l u e > < / a : K e y V a l u e O f D i a g r a m O b j e c t K e y a n y T y p e z b w N T n L X > < a : K e y V a l u e O f D i a g r a m O b j e c t K e y a n y T y p e z b w N T n L X > < a : K e y > < K e y > T a b l e s \ S E _ G a s \ C o l u m n s \ T o t a l   E m i s s i o n s < / K e y > < / a : K e y > < a : V a l u e   i : t y p e = " D i a g r a m D i s p l a y N o d e V i e w S t a t e " > < H e i g h t > 1 5 0 < / H e i g h t > < I s E x p a n d e d > t r u e < / I s E x p a n d e d > < W i d t h > 2 0 0 < / W i d t h > < / a : V a l u e > < / a : K e y V a l u e O f D i a g r a m O b j e c t K e y a n y T y p e z b w N T n L X > < a : K e y V a l u e O f D i a g r a m O b j e c t K e y a n y T y p e z b w N T n L X > < a : K e y > < K e y > T a b l e s \ S E _ G a s \ M e a s u r e s \ S u m   o f   C o n s u m p t i o n   Q u a n i t y < / K e y > < / a : K e y > < a : V a l u e   i : t y p e = " D i a g r a m D i s p l a y N o d e V i e w S t a t e " > < H e i g h t > 1 5 0 < / H e i g h t > < I s E x p a n d e d > t r u e < / I s E x p a n d e d > < W i d t h > 2 0 0 < / W i d t h > < / a : V a l u e > < / a : K e y V a l u e O f D i a g r a m O b j e c t K e y a n y T y p e z b w N T n L X > < a : K e y V a l u e O f D i a g r a m O b j e c t K e y a n y T y p e z b w N T n L X > < a : K e y > < K e y > T a b l e s \ S E _ G a s \ S u m   o f   C o n s u m p t i o n   Q u a n i t y \ A d d i t i o n a l   I n f o \ I m p l i c i t   C a l c u l a t e d   F i e l d < / K e y > < / a : K e y > < a : V a l u e   i : t y p e = " D i a g r a m D i s p l a y V i e w S t a t e I D i a g r a m T a g A d d i t i o n a l I n f o " / > < / a : K e y V a l u e O f D i a g r a m O b j e c t K e y a n y T y p e z b w N T n L X > < a : K e y V a l u e O f D i a g r a m O b j e c t K e y a n y T y p e z b w N T n L X > < a : K e y > < K e y > T a b l e s \ S E _ G a s \ M e a s u r e s \ S u m   o f   S c o p e   1   k g   C O 2 - e   6 < / K e y > < / a : K e y > < a : V a l u e   i : t y p e = " D i a g r a m D i s p l a y N o d e V i e w S t a t e " > < H e i g h t > 1 5 0 < / H e i g h t > < I s E x p a n d e d > t r u e < / I s E x p a n d e d > < W i d t h > 2 0 0 < / W i d t h > < / a : V a l u e > < / a : K e y V a l u e O f D i a g r a m O b j e c t K e y a n y T y p e z b w N T n L X > < a : K e y V a l u e O f D i a g r a m O b j e c t K e y a n y T y p e z b w N T n L X > < a : K e y > < K e y > T a b l e s \ S E _ G a s \ S u m   o f   S c o p e   1   k g   C O 2 - e   6 \ A d d i t i o n a l   I n f o \ I m p l i c i t   C a l c u l a t e d   F i e l d < / K e y > < / a : K e y > < a : V a l u e   i : t y p e = " D i a g r a m D i s p l a y V i e w S t a t e I D i a g r a m T a g A d d i t i o n a l I n f o " / > < / a : K e y V a l u e O f D i a g r a m O b j e c t K e y a n y T y p e z b w N T n L X > < a : K e y V a l u e O f D i a g r a m O b j e c t K e y a n y T y p e z b w N T n L X > < a : K e y > < K e y > T a b l e s \ S E _ G a s \ M e a s u r e s \ S u m   o f   T o t a l   G J   6 < / K e y > < / a : K e y > < a : V a l u e   i : t y p e = " D i a g r a m D i s p l a y N o d e V i e w S t a t e " > < H e i g h t > 1 5 0 < / H e i g h t > < I s E x p a n d e d > t r u e < / I s E x p a n d e d > < W i d t h > 2 0 0 < / W i d t h > < / a : V a l u e > < / a : K e y V a l u e O f D i a g r a m O b j e c t K e y a n y T y p e z b w N T n L X > < a : K e y V a l u e O f D i a g r a m O b j e c t K e y a n y T y p e z b w N T n L X > < a : K e y > < K e y > T a b l e s \ S E _ G a s \ S u m   o f   T o t a l   G J   6 \ A d d i t i o n a l   I n f o \ I m p l i c i t   C a l c u l a t e d   F i e l d < / K e y > < / a : K e y > < a : V a l u e   i : t y p e = " D i a g r a m D i s p l a y V i e w S t a t e I D i a g r a m T a g A d d i t i o n a l I n f o " / > < / a : K e y V a l u e O f D i a g r a m O b j e c t K e y a n y T y p e z b w N T n L X > < a : K e y V a l u e O f D i a g r a m O b j e c t K e y a n y T y p e z b w N T n L X > < a : K e y > < K e y > T a b l e s \ S E _ G a s \ M e a s u r e s \ S u m   o f   S c o p e   2   k g   C O 2 - e   6 < / K e y > < / a : K e y > < a : V a l u e   i : t y p e = " D i a g r a m D i s p l a y N o d e V i e w S t a t e " > < H e i g h t > 1 5 0 < / H e i g h t > < I s E x p a n d e d > t r u e < / I s E x p a n d e d > < W i d t h > 2 0 0 < / W i d t h > < / a : V a l u e > < / a : K e y V a l u e O f D i a g r a m O b j e c t K e y a n y T y p e z b w N T n L X > < a : K e y V a l u e O f D i a g r a m O b j e c t K e y a n y T y p e z b w N T n L X > < a : K e y > < K e y > T a b l e s \ S E _ G a s \ S u m   o f   S c o p e   2   k g   C O 2 - e   6 \ A d d i t i o n a l   I n f o \ I m p l i c i t   C a l c u l a t e d   F i e l d < / K e y > < / a : K e y > < a : V a l u e   i : t y p e = " D i a g r a m D i s p l a y V i e w S t a t e I D i a g r a m T a g A d d i t i o n a l I n f o " / > < / a : K e y V a l u e O f D i a g r a m O b j e c t K e y a n y T y p e z b w N T n L X > < a : K e y V a l u e O f D i a g r a m O b j e c t K e y a n y T y p e z b w N T n L X > < a : K e y > < K e y > T a b l e s \ S E _ G a s \ M e a s u r e s \ S u m   o f   S c o p e   3   k g   C O 2 - e   6 < / K e y > < / a : K e y > < a : V a l u e   i : t y p e = " D i a g r a m D i s p l a y N o d e V i e w S t a t e " > < H e i g h t > 1 5 0 < / H e i g h t > < I s E x p a n d e d > t r u e < / I s E x p a n d e d > < W i d t h > 2 0 0 < / W i d t h > < / a : V a l u e > < / a : K e y V a l u e O f D i a g r a m O b j e c t K e y a n y T y p e z b w N T n L X > < a : K e y V a l u e O f D i a g r a m O b j e c t K e y a n y T y p e z b w N T n L X > < a : K e y > < K e y > T a b l e s \ S E _ G a s \ S u m   o f   S c o p e   3   k g   C O 2 - e   6 \ A d d i t i o n a l   I n f o \ I m p l i c i t   C a l c u l a t e d   F i e l d < / K e y > < / a : K e y > < a : V a l u e   i : t y p e = " D i a g r a m D i s p l a y V i e w S t a t e I D i a g r a m T a g A d d i t i o n a l I n f o " / > < / a : K e y V a l u e O f D i a g r a m O b j e c t K e y a n y T y p e z b w N T n L X > < a : K e y V a l u e O f D i a g r a m O b j e c t K e y a n y T y p e z b w N T n L X > < a : K e y > < K e y > T a b l e s \ S E _ G a s \ M e a s u r e s \ S u m   o f   T o t a l   E m i s s i o n s   6 < / K e y > < / a : K e y > < a : V a l u e   i : t y p e = " D i a g r a m D i s p l a y N o d e V i e w S t a t e " > < H e i g h t > 1 5 0 < / H e i g h t > < I s E x p a n d e d > t r u e < / I s E x p a n d e d > < W i d t h > 2 0 0 < / W i d t h > < / a : V a l u e > < / a : K e y V a l u e O f D i a g r a m O b j e c t K e y a n y T y p e z b w N T n L X > < a : K e y V a l u e O f D i a g r a m O b j e c t K e y a n y T y p e z b w N T n L X > < a : K e y > < K e y > T a b l e s \ S E _ G a s \ S u m   o f   T o t a l   E m i s s i o n s   6 \ A d d i t i o n a l   I n f o \ I m p l i c i t   C a l c u l a t e d   F i e l d < / K e y > < / a : K e y > < a : V a l u e   i : t y p e = " D i a g r a m D i s p l a y V i e w S t a t e I D i a g r a m T a g A d d i t i o n a l I n f o " / > < / a : K e y V a l u e O f D i a g r a m O b j e c t K e y a n y T y p e z b w N T n L X > < a : K e y V a l u e O f D i a g r a m O b j e c t K e y a n y T y p e z b w N T n L X > < a : K e y > < K e y > T a b l e s \ N E T _ G e n s e t _ G r o u n d s < / K e y > < / a : K e y > < a : V a l u e   i : t y p e = " D i a g r a m D i s p l a y N o d e V i e w S t a t e " > < H e i g h t > 1 5 0 < / H e i g h t > < I s E x p a n d e d > t r u e < / I s E x p a n d e d > < L a y e d O u t > t r u e < / L a y e d O u t > < L e f t > 8 2 9 . 9 0 3 8 1 0 5 6 7 6 6 5 9 1 < / L e f t > < S c r o l l V e r t i c a l O f f s e t > 6 < / S c r o l l V e r t i c a l O f f s e t > < T a b I n d e x > 9 < / T a b I n d e x > < T o p > 2 1 3 . 5 < / T o p > < W i d t h > 2 0 0 < / W i d t h > < / a : V a l u e > < / a : K e y V a l u e O f D i a g r a m O b j e c t K e y a n y T y p e z b w N T n L X > < a : K e y V a l u e O f D i a g r a m O b j e c t K e y a n y T y p e z b w N T n L X > < a : K e y > < K e y > T a b l e s \ N E T _ G e n s e t _ G r o u n d s \ C o l u m n s \ R e p o r t i n g   A l i a s < / K e y > < / a : K e y > < a : V a l u e   i : t y p e = " D i a g r a m D i s p l a y N o d e V i e w S t a t e " > < H e i g h t > 1 5 0 < / H e i g h t > < I s E x p a n d e d > t r u e < / I s E x p a n d e d > < W i d t h > 2 0 0 < / W i d t h > < / a : V a l u e > < / a : K e y V a l u e O f D i a g r a m O b j e c t K e y a n y T y p e z b w N T n L X > < a : K e y V a l u e O f D i a g r a m O b j e c t K e y a n y T y p e z b w N T n L X > < a : K e y > < K e y > T a b l e s \ N E T _ G e n s e t _ G r o u n d s \ C o l u m n s \ E m i s s i o n   s o u r c e < / K e y > < / a : K e y > < a : V a l u e   i : t y p e = " D i a g r a m D i s p l a y N o d e V i e w S t a t e " > < H e i g h t > 1 5 0 < / H e i g h t > < I s E x p a n d e d > t r u e < / I s E x p a n d e d > < W i d t h > 2 0 0 < / W i d t h > < / a : V a l u e > < / a : K e y V a l u e O f D i a g r a m O b j e c t K e y a n y T y p e z b w N T n L X > < a : K e y V a l u e O f D i a g r a m O b j e c t K e y a n y T y p e z b w N T n L X > < a : K e y > < K e y > T a b l e s \ N E T _ G e n s e t _ G r o u n d s \ C o l u m n s \ E n t i t y < / K e y > < / a : K e y > < a : V a l u e   i : t y p e = " D i a g r a m D i s p l a y N o d e V i e w S t a t e " > < H e i g h t > 1 5 0 < / H e i g h t > < I s E x p a n d e d > t r u e < / I s E x p a n d e d > < W i d t h > 2 0 0 < / W i d t h > < / a : V a l u e > < / a : K e y V a l u e O f D i a g r a m O b j e c t K e y a n y T y p e z b w N T n L X > < a : K e y V a l u e O f D i a g r a m O b j e c t K e y a n y T y p e z b w N T n L X > < a : K e y > < K e y > T a b l e s \ N E T _ G e n s e t _ G r o u n d s \ C o l u m n s \ F u e l < / K e y > < / a : K e y > < a : V a l u e   i : t y p e = " D i a g r a m D i s p l a y N o d e V i e w S t a t e " > < H e i g h t > 1 5 0 < / H e i g h t > < I s E x p a n d e d > t r u e < / I s E x p a n d e d > < W i d t h > 2 0 0 < / W i d t h > < / a : V a l u e > < / a : K e y V a l u e O f D i a g r a m O b j e c t K e y a n y T y p e z b w N T n L X > < a : K e y V a l u e O f D i a g r a m O b j e c t K e y a n y T y p e z b w N T n L X > < a : K e y > < K e y > T a b l e s \ N E T _ G e n s e t _ G r o u n d s \ C o l u m n s \ S t a t e < / K e y > < / a : K e y > < a : V a l u e   i : t y p e = " D i a g r a m D i s p l a y N o d e V i e w S t a t e " > < H e i g h t > 1 5 0 < / H e i g h t > < I s E x p a n d e d > t r u e < / I s E x p a n d e d > < W i d t h > 2 0 0 < / W i d t h > < / a : V a l u e > < / a : K e y V a l u e O f D i a g r a m O b j e c t K e y a n y T y p e z b w N T n L X > < a : K e y V a l u e O f D i a g r a m O b j e c t K e y a n y T y p e z b w N T n L X > < a : K e y > < K e y > T a b l e s \ N E T _ G e n s e t _ G r o u n d s \ C o l u m n s \ P r o d u c t i o n   Q u a n t i t y < / K e y > < / a : K e y > < a : V a l u e   i : t y p e = " D i a g r a m D i s p l a y N o d e V i e w S t a t e " > < H e i g h t > 1 5 0 < / H e i g h t > < I s E x p a n d e d > t r u e < / I s E x p a n d e d > < W i d t h > 2 0 0 < / W i d t h > < / a : V a l u e > < / a : K e y V a l u e O f D i a g r a m O b j e c t K e y a n y T y p e z b w N T n L X > < a : K e y V a l u e O f D i a g r a m O b j e c t K e y a n y T y p e z b w N T n L X > < a : K e y > < K e y > T a b l e s \ N E T _ G e n s e t _ G r o u n d s \ C o l u m n s \ P r o d u c t i o n     U n i t s < / K e y > < / a : K e y > < a : V a l u e   i : t y p e = " D i a g r a m D i s p l a y N o d e V i e w S t a t e " > < H e i g h t > 1 5 0 < / H e i g h t > < I s E x p a n d e d > t r u e < / I s E x p a n d e d > < W i d t h > 2 0 0 < / W i d t h > < / a : V a l u e > < / a : K e y V a l u e O f D i a g r a m O b j e c t K e y a n y T y p e z b w N T n L X > < a : K e y V a l u e O f D i a g r a m O b j e c t K e y a n y T y p e z b w N T n L X > < a : K e y > < K e y > T a b l e s \ N E T _ G e n s e t _ G r o u n d s \ C o l u m n s \ C o n s u m p t i o n   Q u a n t i t y < / K e y > < / a : K e y > < a : V a l u e   i : t y p e = " D i a g r a m D i s p l a y N o d e V i e w S t a t e " > < H e i g h t > 1 5 0 < / H e i g h t > < I s E x p a n d e d > t r u e < / I s E x p a n d e d > < W i d t h > 2 0 0 < / W i d t h > < / a : V a l u e > < / a : K e y V a l u e O f D i a g r a m O b j e c t K e y a n y T y p e z b w N T n L X > < a : K e y V a l u e O f D i a g r a m O b j e c t K e y a n y T y p e z b w N T n L X > < a : K e y > < K e y > T a b l e s \ N E T _ G e n s e t _ G r o u n d s \ C o l u m n s \ T o t a l   G J < / K e y > < / a : K e y > < a : V a l u e   i : t y p e = " D i a g r a m D i s p l a y N o d e V i e w S t a t e " > < H e i g h t > 1 5 0 < / H e i g h t > < I s E x p a n d e d > t r u e < / I s E x p a n d e d > < W i d t h > 2 0 0 < / W i d t h > < / a : V a l u e > < / a : K e y V a l u e O f D i a g r a m O b j e c t K e y a n y T y p e z b w N T n L X > < a : K e y V a l u e O f D i a g r a m O b j e c t K e y a n y T y p e z b w N T n L X > < a : K e y > < K e y > T a b l e s \ N E T _ G e n s e t _ G r o u n d s \ C o l u m n s \ S c o p e   1   k g   C O 2 - e < / K e y > < / a : K e y > < a : V a l u e   i : t y p e = " D i a g r a m D i s p l a y N o d e V i e w S t a t e " > < H e i g h t > 1 5 0 < / H e i g h t > < I s E x p a n d e d > t r u e < / I s E x p a n d e d > < W i d t h > 2 0 0 < / W i d t h > < / a : V a l u e > < / a : K e y V a l u e O f D i a g r a m O b j e c t K e y a n y T y p e z b w N T n L X > < a : K e y V a l u e O f D i a g r a m O b j e c t K e y a n y T y p e z b w N T n L X > < a : K e y > < K e y > T a b l e s \ N E T _ G e n s e t _ G r o u n d s \ C o l u m n s \ S c o p e   2   k g   C O 2 - e < / K e y > < / a : K e y > < a : V a l u e   i : t y p e = " D i a g r a m D i s p l a y N o d e V i e w S t a t e " > < H e i g h t > 1 5 0 < / H e i g h t > < I s E x p a n d e d > t r u e < / I s E x p a n d e d > < W i d t h > 2 0 0 < / W i d t h > < / a : V a l u e > < / a : K e y V a l u e O f D i a g r a m O b j e c t K e y a n y T y p e z b w N T n L X > < a : K e y V a l u e O f D i a g r a m O b j e c t K e y a n y T y p e z b w N T n L X > < a : K e y > < K e y > T a b l e s \ N E T _ G e n s e t _ G r o u n d s \ C o l u m n s \ S c o p e   3   k g   C O 2 - e < / K e y > < / a : K e y > < a : V a l u e   i : t y p e = " D i a g r a m D i s p l a y N o d e V i e w S t a t e " > < H e i g h t > 1 5 0 < / H e i g h t > < I s E x p a n d e d > t r u e < / I s E x p a n d e d > < W i d t h > 2 0 0 < / W i d t h > < / a : V a l u e > < / a : K e y V a l u e O f D i a g r a m O b j e c t K e y a n y T y p e z b w N T n L X > < a : K e y V a l u e O f D i a g r a m O b j e c t K e y a n y T y p e z b w N T n L X > < a : K e y > < K e y > T a b l e s \ N E T _ G e n s e t _ G r o u n d s \ C o l u m n s \ T o t a l   E m i s s i o n s < / K e y > < / a : K e y > < a : V a l u e   i : t y p e = " D i a g r a m D i s p l a y N o d e V i e w S t a t e " > < H e i g h t > 1 5 0 < / H e i g h t > < I s E x p a n d e d > t r u e < / I s E x p a n d e d > < W i d t h > 2 0 0 < / W i d t h > < / a : V a l u e > < / a : K e y V a l u e O f D i a g r a m O b j e c t K e y a n y T y p e z b w N T n L X > < a : K e y V a l u e O f D i a g r a m O b j e c t K e y a n y T y p e z b w N T n L X > < a : K e y > < K e y > T a b l e s \ N E T _ G e n s e t _ G r o u n d s \ M e a s u r e s \ S u m   o f   C o n s u m p t i o n   Q u a n t i t y   6 < / K e y > < / a : K e y > < a : V a l u e   i : t y p e = " D i a g r a m D i s p l a y N o d e V i e w S t a t e " > < H e i g h t > 1 5 0 < / H e i g h t > < I s E x p a n d e d > t r u e < / I s E x p a n d e d > < W i d t h > 2 0 0 < / W i d t h > < / a : V a l u e > < / a : K e y V a l u e O f D i a g r a m O b j e c t K e y a n y T y p e z b w N T n L X > < a : K e y V a l u e O f D i a g r a m O b j e c t K e y a n y T y p e z b w N T n L X > < a : K e y > < K e y > T a b l e s \ N E T _ G e n s e t _ G r o u n d s \ S u m   o f   C o n s u m p t i o n   Q u a n t i t y   6 \ A d d i t i o n a l   I n f o \ I m p l i c i t   C a l c u l a t e d   F i e l d < / K e y > < / a : K e y > < a : V a l u e   i : t y p e = " D i a g r a m D i s p l a y V i e w S t a t e I D i a g r a m T a g A d d i t i o n a l I n f o " / > < / a : K e y V a l u e O f D i a g r a m O b j e c t K e y a n y T y p e z b w N T n L X > < a : K e y V a l u e O f D i a g r a m O b j e c t K e y a n y T y p e z b w N T n L X > < a : K e y > < K e y > T a b l e s \ N E T _ G e n s e t _ G r o u n d s \ M e a s u r e s \ S u m   o f   T o t a l   G J   1 3 < / K e y > < / a : K e y > < a : V a l u e   i : t y p e = " D i a g r a m D i s p l a y N o d e V i e w S t a t e " > < H e i g h t > 1 5 0 < / H e i g h t > < I s E x p a n d e d > t r u e < / I s E x p a n d e d > < W i d t h > 2 0 0 < / W i d t h > < / a : V a l u e > < / a : K e y V a l u e O f D i a g r a m O b j e c t K e y a n y T y p e z b w N T n L X > < a : K e y V a l u e O f D i a g r a m O b j e c t K e y a n y T y p e z b w N T n L X > < a : K e y > < K e y > T a b l e s \ N E T _ G e n s e t _ G r o u n d s \ S u m   o f   T o t a l   G J   1 3 \ A d d i t i o n a l   I n f o \ I m p l i c i t   C a l c u l a t e d   F i e l d < / K e y > < / a : K e y > < a : V a l u e   i : t y p e = " D i a g r a m D i s p l a y V i e w S t a t e I D i a g r a m T a g A d d i t i o n a l I n f o " / > < / a : K e y V a l u e O f D i a g r a m O b j e c t K e y a n y T y p e z b w N T n L X > < a : K e y V a l u e O f D i a g r a m O b j e c t K e y a n y T y p e z b w N T n L X > < a : K e y > < K e y > T a b l e s \ N E T _ G e n s e t _ G r o u n d s \ M e a s u r e s \ S u m   o f   S c o p e   1   k g   C O 2 - e   1 3 < / K e y > < / a : K e y > < a : V a l u e   i : t y p e = " D i a g r a m D i s p l a y N o d e V i e w S t a t e " > < H e i g h t > 1 5 0 < / H e i g h t > < I s E x p a n d e d > t r u e < / I s E x p a n d e d > < W i d t h > 2 0 0 < / W i d t h > < / a : V a l u e > < / a : K e y V a l u e O f D i a g r a m O b j e c t K e y a n y T y p e z b w N T n L X > < a : K e y V a l u e O f D i a g r a m O b j e c t K e y a n y T y p e z b w N T n L X > < a : K e y > < K e y > T a b l e s \ N E T _ G e n s e t _ G r o u n d s \ S u m   o f   S c o p e   1   k g   C O 2 - e   1 3 \ A d d i t i o n a l   I n f o \ I m p l i c i t   C a l c u l a t e d   F i e l d < / K e y > < / a : K e y > < a : V a l u e   i : t y p e = " D i a g r a m D i s p l a y V i e w S t a t e I D i a g r a m T a g A d d i t i o n a l I n f o " / > < / a : K e y V a l u e O f D i a g r a m O b j e c t K e y a n y T y p e z b w N T n L X > < a : K e y V a l u e O f D i a g r a m O b j e c t K e y a n y T y p e z b w N T n L X > < a : K e y > < K e y > T a b l e s \ N E T _ G e n s e t _ G r o u n d s \ M e a s u r e s \ S u m   o f   S c o p e   2   k g   C O 2 - e   1 3 < / K e y > < / a : K e y > < a : V a l u e   i : t y p e = " D i a g r a m D i s p l a y N o d e V i e w S t a t e " > < H e i g h t > 1 5 0 < / H e i g h t > < I s E x p a n d e d > t r u e < / I s E x p a n d e d > < W i d t h > 2 0 0 < / W i d t h > < / a : V a l u e > < / a : K e y V a l u e O f D i a g r a m O b j e c t K e y a n y T y p e z b w N T n L X > < a : K e y V a l u e O f D i a g r a m O b j e c t K e y a n y T y p e z b w N T n L X > < a : K e y > < K e y > T a b l e s \ N E T _ G e n s e t _ G r o u n d s \ S u m   o f   S c o p e   2   k g   C O 2 - e   1 3 \ A d d i t i o n a l   I n f o \ I m p l i c i t   C a l c u l a t e d   F i e l d < / K e y > < / a : K e y > < a : V a l u e   i : t y p e = " D i a g r a m D i s p l a y V i e w S t a t e I D i a g r a m T a g A d d i t i o n a l I n f o " / > < / a : K e y V a l u e O f D i a g r a m O b j e c t K e y a n y T y p e z b w N T n L X > < a : K e y V a l u e O f D i a g r a m O b j e c t K e y a n y T y p e z b w N T n L X > < a : K e y > < K e y > T a b l e s \ N E T _ G e n s e t _ G r o u n d s \ M e a s u r e s \ S u m   o f   S c o p e   3   k g   C O 2 - e   1 3 < / K e y > < / a : K e y > < a : V a l u e   i : t y p e = " D i a g r a m D i s p l a y N o d e V i e w S t a t e " > < H e i g h t > 1 5 0 < / H e i g h t > < I s E x p a n d e d > t r u e < / I s E x p a n d e d > < W i d t h > 2 0 0 < / W i d t h > < / a : V a l u e > < / a : K e y V a l u e O f D i a g r a m O b j e c t K e y a n y T y p e z b w N T n L X > < a : K e y V a l u e O f D i a g r a m O b j e c t K e y a n y T y p e z b w N T n L X > < a : K e y > < K e y > T a b l e s \ N E T _ G e n s e t _ G r o u n d s \ S u m   o f   S c o p e   3   k g   C O 2 - e   1 3 \ A d d i t i o n a l   I n f o \ I m p l i c i t   C a l c u l a t e d   F i e l d < / K e y > < / a : K e y > < a : V a l u e   i : t y p e = " D i a g r a m D i s p l a y V i e w S t a t e I D i a g r a m T a g A d d i t i o n a l I n f o " / > < / a : K e y V a l u e O f D i a g r a m O b j e c t K e y a n y T y p e z b w N T n L X > < a : K e y V a l u e O f D i a g r a m O b j e c t K e y a n y T y p e z b w N T n L X > < a : K e y > < K e y > T a b l e s \ N E T _ G e n s e t _ G r o u n d s \ M e a s u r e s \ S u m   o f   T o t a l   E m i s s i o n s   1 3 < / K e y > < / a : K e y > < a : V a l u e   i : t y p e = " D i a g r a m D i s p l a y N o d e V i e w S t a t e " > < H e i g h t > 1 5 0 < / H e i g h t > < I s E x p a n d e d > t r u e < / I s E x p a n d e d > < W i d t h > 2 0 0 < / W i d t h > < / a : V a l u e > < / a : K e y V a l u e O f D i a g r a m O b j e c t K e y a n y T y p e z b w N T n L X > < a : K e y V a l u e O f D i a g r a m O b j e c t K e y a n y T y p e z b w N T n L X > < a : K e y > < K e y > T a b l e s \ N E T _ G e n s e t _ G r o u n d s \ S u m   o f   T o t a l   E m i s s i o n s   1 3 \ A d d i t i o n a l   I n f o \ I m p l i c i t   C a l c u l a t e d   F i e l d < / K e y > < / a : K e y > < a : V a l u e   i : t y p e = " D i a g r a m D i s p l a y V i e w S t a t e I D i a g r a m T a g A d d i t i o n a l I n f o " / > < / a : K e y V a l u e O f D i a g r a m O b j e c t K e y a n y T y p e z b w N T n L X > < a : K e y V a l u e O f D i a g r a m O b j e c t K e y a n y T y p e z b w N T n L X > < a : K e y > < K e y > T a b l e s \ P e r c e n t a g e _ E s t i m a t e s < / K e y > < / a : K e y > < a : V a l u e   i : t y p e = " D i a g r a m D i s p l a y N o d e V i e w S t a t e " > < H e i g h t > 1 5 0 < / H e i g h t > < I s E x p a n d e d > t r u e < / I s E x p a n d e d > < I s F o c u s e d > t r u e < / I s F o c u s e d > < L a y e d O u t > t r u e < / L a y e d O u t > < L e f t > 8 3 5 . 8 0 7 6 2 1 1 3 5 3 3 1 8 3 < / L e f t > < S c r o l l V e r t i c a l O f f s e t > 4 0 5 . 9 6 9 9 9 9 9 9 9 9 9 9 8 < / S c r o l l V e r t i c a l O f f s e t > < T a b I n d e x > 1 5 < / T a b I n d e x > < T o p > 4 2 1 . 5 < / T o p > < W i d t h > 2 0 0 < / W i d t h > < / a : V a l u e > < / a : K e y V a l u e O f D i a g r a m O b j e c t K e y a n y T y p e z b w N T n L X > < a : K e y V a l u e O f D i a g r a m O b j e c t K e y a n y T y p e z b w N T n L X > < a : K e y > < K e y > T a b l e s \ P e r c e n t a g e _ E s t i m a t e s \ C o l u m n s \ E n t i t y < / K e y > < / a : K e y > < a : V a l u e   i : t y p e = " D i a g r a m D i s p l a y N o d e V i e w S t a t e " > < H e i g h t > 1 5 0 < / H e i g h t > < I s E x p a n d e d > t r u e < / I s E x p a n d e d > < W i d t h > 2 0 0 < / W i d t h > < / a : V a l u e > < / a : K e y V a l u e O f D i a g r a m O b j e c t K e y a n y T y p e z b w N T n L X > < a : K e y V a l u e O f D i a g r a m O b j e c t K e y a n y T y p e z b w N T n L X > < a : K e y > < K e y > T a b l e s \ P e r c e n t a g e _ E s t i m a t e s \ C o l u m n s \ S i t e   A d d r e s s < / K e y > < / a : K e y > < a : V a l u e   i : t y p e = " D i a g r a m D i s p l a y N o d e V i e w S t a t e " > < H e i g h t > 1 5 0 < / H e i g h t > < I s E x p a n d e d > t r u e < / I s E x p a n d e d > < W i d t h > 2 0 0 < / W i d t h > < / a : V a l u e > < / a : K e y V a l u e O f D i a g r a m O b j e c t K e y a n y T y p e z b w N T n L X > < a : K e y V a l u e O f D i a g r a m O b j e c t K e y a n y T y p e z b w N T n L X > < a : K e y > < K e y > T a b l e s \ P e r c e n t a g e _ E s t i m a t e s \ C o l u m n s \ S i t e   n a m e / V e h i c l e   n a m e < / K e y > < / a : K e y > < a : V a l u e   i : t y p e = " D i a g r a m D i s p l a y N o d e V i e w S t a t e " > < H e i g h t > 1 5 0 < / H e i g h t > < I s E x p a n d e d > t r u e < / I s E x p a n d e d > < W i d t h > 2 0 0 < / W i d t h > < / a : V a l u e > < / a : K e y V a l u e O f D i a g r a m O b j e c t K e y a n y T y p e z b w N T n L X > < a : K e y V a l u e O f D i a g r a m O b j e c t K e y a n y T y p e z b w N T n L X > < a : K e y > < K e y > T a b l e s \ P e r c e n t a g e _ E s t i m a t e s \ C o l u m n s \ S t a t e < / K e y > < / a : K e y > < a : V a l u e   i : t y p e = " D i a g r a m D i s p l a y N o d e V i e w S t a t e " > < H e i g h t > 1 5 0 < / H e i g h t > < I s E x p a n d e d > t r u e < / I s E x p a n d e d > < W i d t h > 2 0 0 < / W i d t h > < / a : V a l u e > < / a : K e y V a l u e O f D i a g r a m O b j e c t K e y a n y T y p e z b w N T n L X > < a : K e y V a l u e O f D i a g r a m O b j e c t K e y a n y T y p e z b w N T n L X > < a : K e y > < K e y > T a b l e s \ P e r c e n t a g e _ E s t i m a t e s \ C o l u m n s \ P r o c e d u r e   t o   C a p t u r e   d a t a < / K e y > < / a : K e y > < a : V a l u e   i : t y p e = " D i a g r a m D i s p l a y N o d e V i e w S t a t e " > < H e i g h t > 1 5 0 < / H e i g h t > < I s E x p a n d e d > t r u e < / I s E x p a n d e d > < W i d t h > 2 0 0 < / W i d t h > < / a : V a l u e > < / a : K e y V a l u e O f D i a g r a m O b j e c t K e y a n y T y p e z b w N T n L X > < a : K e y V a l u e O f D i a g r a m O b j e c t K e y a n y T y p e z b w N T n L X > < a : K e y > < K e y > T a b l e s \ P e r c e n t a g e _ E s t i m a t e s \ C o l u m n s \ E s t i m a t i o n   M e t h o d   ( i f   r e l e v a n t ) < / K e y > < / a : K e y > < a : V a l u e   i : t y p e = " D i a g r a m D i s p l a y N o d e V i e w S t a t e " > < H e i g h t > 1 5 0 < / H e i g h t > < I s E x p a n d e d > t r u e < / I s E x p a n d e d > < W i d t h > 2 0 0 < / W i d t h > < / a : V a l u e > < / a : K e y V a l u e O f D i a g r a m O b j e c t K e y a n y T y p e z b w N T n L X > < a : K e y V a l u e O f D i a g r a m O b j e c t K e y a n y T y p e z b w N T n L X > < a : K e y > < K e y > T a b l e s \ P e r c e n t a g e _ E s t i m a t e s \ C o l u m n s \ Q u a n t i t y < / K e y > < / a : K e y > < a : V a l u e   i : t y p e = " D i a g r a m D i s p l a y N o d e V i e w S t a t e " > < H e i g h t > 1 5 0 < / H e i g h t > < I s E x p a n d e d > t r u e < / I s E x p a n d e d > < W i d t h > 2 0 0 < / W i d t h > < / a : V a l u e > < / a : K e y V a l u e O f D i a g r a m O b j e c t K e y a n y T y p e z b w N T n L X > < a : K e y V a l u e O f D i a g r a m O b j e c t K e y a n y T y p e z b w N T n L X > < a : K e y > < K e y > T a b l e s \ P e r c e n t a g e _ E s t i m a t e s \ C o l u m n s \ A p p o r t i o n e d   Q u a n t i t y < / K e y > < / a : K e y > < a : V a l u e   i : t y p e = " D i a g r a m D i s p l a y N o d e V i e w S t a t e " > < H e i g h t > 1 5 0 < / H e i g h t > < I s E x p a n d e d > t r u e < / I s E x p a n d e d > < W i d t h > 2 0 0 < / W i d t h > < / a : V a l u e > < / a : K e y V a l u e O f D i a g r a m O b j e c t K e y a n y T y p e z b w N T n L X > < a : K e y V a l u e O f D i a g r a m O b j e c t K e y a n y T y p e z b w N T n L X > < a : K e y > < K e y > T a b l e s \ P e r c e n t a g e _ E s t i m a t e s \ C o l u m n s \ C o n s u m p t i o n   Q u a n t i t y < / K e y > < / a : K e y > < a : V a l u e   i : t y p e = " D i a g r a m D i s p l a y N o d e V i e w S t a t e " > < H e i g h t > 1 5 0 < / H e i g h t > < I s E x p a n d e d > t r u e < / I s E x p a n d e d > < W i d t h > 2 0 0 < / W i d t h > < / a : V a l u e > < / a : K e y V a l u e O f D i a g r a m O b j e c t K e y a n y T y p e z b w N T n L X > < a : K e y V a l u e O f D i a g r a m O b j e c t K e y a n y T y p e z b w N T n L X > < a : K e y > < K e y > T a b l e s \ P e r c e n t a g e _ E s t i m a t e s \ C o l u m n s \ U s e   o f   f u e l < / K e y > < / a : K e y > < a : V a l u e   i : t y p e = " D i a g r a m D i s p l a y N o d e V i e w S t a t e " > < H e i g h t > 1 5 0 < / H e i g h t > < I s E x p a n d e d > t r u e < / I s E x p a n d e d > < W i d t h > 2 0 0 < / W i d t h > < / a : V a l u e > < / a : K e y V a l u e O f D i a g r a m O b j e c t K e y a n y T y p e z b w N T n L X > < a : K e y V a l u e O f D i a g r a m O b j e c t K e y a n y T y p e z b w N T n L X > < a : K e y > < K e y > T a b l e s \ P e r c e n t a g e _ E s t i m a t e s \ C o l u m n s \ P e r i o d   E n d < / K e y > < / a : K e y > < a : V a l u e   i : t y p e = " D i a g r a m D i s p l a y N o d e V i e w S t a t e " > < H e i g h t > 1 5 0 < / H e i g h t > < I s E x p a n d e d > t r u e < / I s E x p a n d e d > < W i d t h > 2 0 0 < / W i d t h > < / a : V a l u e > < / a : K e y V a l u e O f D i a g r a m O b j e c t K e y a n y T y p e z b w N T n L X > < a : K e y V a l u e O f D i a g r a m O b j e c t K e y a n y T y p e z b w N T n L X > < a : K e y > < K e y > T a b l e s \ P e r c e n t a g e _ E s t i m a t e s \ C o l u m n s \ D a y s < / K e y > < / a : K e y > < a : V a l u e   i : t y p e = " D i a g r a m D i s p l a y N o d e V i e w S t a t e " > < H e i g h t > 1 5 0 < / H e i g h t > < I s E x p a n d e d > t r u e < / I s E x p a n d e d > < W i d t h > 2 0 0 < / W i d t h > < / a : V a l u e > < / a : K e y V a l u e O f D i a g r a m O b j e c t K e y a n y T y p e z b w N T n L X > < a : K e y V a l u e O f D i a g r a m O b j e c t K e y a n y T y p e z b w N T n L X > < a : K e y > < K e y > T a b l e s \ P e r c e n t a g e _ E s t i m a t e s \ C o l u m n s \ G e n e r a t o r   M a k e & g t ; m o d e l < / K e y > < / a : K e y > < a : V a l u e   i : t y p e = " D i a g r a m D i s p l a y N o d e V i e w S t a t e " > < H e i g h t > 1 5 0 < / H e i g h t > < I s E x p a n d e d > t r u e < / I s E x p a n d e d > < W i d t h > 2 0 0 < / W i d t h > < / a : V a l u e > < / a : K e y V a l u e O f D i a g r a m O b j e c t K e y a n y T y p e z b w N T n L X > < a : K e y V a l u e O f D i a g r a m O b j e c t K e y a n y T y p e z b w N T n L X > < a : K e y > < K e y > T a b l e s \ P e r c e n t a g e _ E s t i m a t e s \ C o l u m n s \ E s t i m a t e d   r u n   t i m e   ( h o u r s ) < / K e y > < / a : K e y > < a : V a l u e   i : t y p e = " D i a g r a m D i s p l a y N o d e V i e w S t a t e " > < H e i g h t > 1 5 0 < / H e i g h t > < I s E x p a n d e d > t r u e < / I s E x p a n d e d > < W i d t h > 2 0 0 < / W i d t h > < / a : V a l u e > < / a : K e y V a l u e O f D i a g r a m O b j e c t K e y a n y T y p e z b w N T n L X > < a : K e y V a l u e O f D i a g r a m O b j e c t K e y a n y T y p e z b w N T n L X > < a : K e y > < K e y > T a b l e s \ P e r c e n t a g e _ E s t i m a t e s \ C o l u m n s \ I n s t a l l e d   C a p a c i t y < / K e y > < / a : K e y > < a : V a l u e   i : t y p e = " D i a g r a m D i s p l a y N o d e V i e w S t a t e " > < H e i g h t > 1 5 0 < / H e i g h t > < I s E x p a n d e d > t r u e < / I s E x p a n d e d > < W i d t h > 2 0 0 < / W i d t h > < / a : V a l u e > < / a : K e y V a l u e O f D i a g r a m O b j e c t K e y a n y T y p e z b w N T n L X > < a : K e y V a l u e O f D i a g r a m O b j e c t K e y a n y T y p e z b w N T n L X > < a : K e y > < K e y > T a b l e s \ P e r c e n t a g e _ E s t i m a t e s \ C o l u m n s \ D e r a t e d   C a p a c i t y < / K e y > < / a : K e y > < a : V a l u e   i : t y p e = " D i a g r a m D i s p l a y N o d e V i e w S t a t e " > < H e i g h t > 1 5 0 < / H e i g h t > < I s E x p a n d e d > t r u e < / I s E x p a n d e d > < W i d t h > 2 0 0 < / W i d t h > < / a : V a l u e > < / a : K e y V a l u e O f D i a g r a m O b j e c t K e y a n y T y p e z b w N T n L X > < a : K e y V a l u e O f D i a g r a m O b j e c t K e y a n y T y p e z b w N T n L X > < a : K e y > < K e y > T a b l e s \ P e r c e n t a g e _ E s t i m a t e s \ C o l u m n s \ G e n e r a t o r   U n i t s < / K e y > < / a : K e y > < a : V a l u e   i : t y p e = " D i a g r a m D i s p l a y N o d e V i e w S t a t e " > < H e i g h t > 1 5 0 < / H e i g h t > < I s E x p a n d e d > t r u e < / I s E x p a n d e d > < W i d t h > 2 0 0 < / W i d t h > < / a : V a l u e > < / a : K e y V a l u e O f D i a g r a m O b j e c t K e y a n y T y p e z b w N T n L X > < a : K e y V a l u e O f D i a g r a m O b j e c t K e y a n y T y p e z b w N T n L X > < a : K e y > < K e y > T a b l e s \ P e r c e n t a g e _ E s t i m a t e s \ C o l u m n s \ R e p o r t i n g   A l i a s < / K e y > < / a : K e y > < a : V a l u e   i : t y p e = " D i a g r a m D i s p l a y N o d e V i e w S t a t e " > < H e i g h t > 1 5 0 < / H e i g h t > < I s E x p a n d e d > t r u e < / I s E x p a n d e d > < W i d t h > 2 0 0 < / W i d t h > < / a : V a l u e > < / a : K e y V a l u e O f D i a g r a m O b j e c t K e y a n y T y p e z b w N T n L X > < a : K e y V a l u e O f D i a g r a m O b j e c t K e y a n y T y p e z b w N T n L X > < a : K e y > < K e y > T a b l e s \ P e r c e n t a g e _ E s t i m a t e s \ C o l u m n s \ T o t a l   G J < / K e y > < / a : K e y > < a : V a l u e   i : t y p e = " D i a g r a m D i s p l a y N o d e V i e w S t a t e " > < H e i g h t > 1 5 0 < / H e i g h t > < I s E x p a n d e d > t r u e < / I s E x p a n d e d > < W i d t h > 2 0 0 < / W i d t h > < / a : V a l u e > < / a : K e y V a l u e O f D i a g r a m O b j e c t K e y a n y T y p e z b w N T n L X > < a : K e y V a l u e O f D i a g r a m O b j e c t K e y a n y T y p e z b w N T n L X > < a : K e y > < K e y > T a b l e s \ P e r c e n t a g e _ E s t i m a t e s \ C o l u m n s \ S c o p e   1   k g   C O 2 - e < / K e y > < / a : K e y > < a : V a l u e   i : t y p e = " D i a g r a m D i s p l a y N o d e V i e w S t a t e " > < H e i g h t > 1 5 0 < / H e i g h t > < I s E x p a n d e d > t r u e < / I s E x p a n d e d > < W i d t h > 2 0 0 < / W i d t h > < / a : V a l u e > < / a : K e y V a l u e O f D i a g r a m O b j e c t K e y a n y T y p e z b w N T n L X > < a : K e y V a l u e O f D i a g r a m O b j e c t K e y a n y T y p e z b w N T n L X > < a : K e y > < K e y > T a b l e s \ P e r c e n t a g e _ E s t i m a t e s \ C o l u m n s \ S c o p e   2   k g   C O 2 - e < / K e y > < / a : K e y > < a : V a l u e   i : t y p e = " D i a g r a m D i s p l a y N o d e V i e w S t a t e " > < H e i g h t > 1 5 0 < / H e i g h t > < I s E x p a n d e d > t r u e < / I s E x p a n d e d > < W i d t h > 2 0 0 < / W i d t h > < / a : V a l u e > < / a : K e y V a l u e O f D i a g r a m O b j e c t K e y a n y T y p e z b w N T n L X > < a : K e y V a l u e O f D i a g r a m O b j e c t K e y a n y T y p e z b w N T n L X > < a : K e y > < K e y > T a b l e s \ P e r c e n t a g e _ E s t i m a t e s \ C o l u m n s \ S c o p e   3   k g   C O 2 - e < / K e y > < / a : K e y > < a : V a l u e   i : t y p e = " D i a g r a m D i s p l a y N o d e V i e w S t a t e " > < H e i g h t > 1 5 0 < / H e i g h t > < I s E x p a n d e d > t r u e < / I s E x p a n d e d > < W i d t h > 2 0 0 < / W i d t h > < / a : V a l u e > < / a : K e y V a l u e O f D i a g r a m O b j e c t K e y a n y T y p e z b w N T n L X > < a : K e y V a l u e O f D i a g r a m O b j e c t K e y a n y T y p e z b w N T n L X > < a : K e y > < K e y > T a b l e s \ P e r c e n t a g e _ E s t i m a t e s \ C o l u m n s \ T o t a l   E m i s s i o n s < / K e y > < / a : K e y > < a : V a l u e   i : t y p e = " D i a g r a m D i s p l a y N o d e V i e w S t a t e " > < H e i g h t > 1 5 0 < / H e i g h t > < I s E x p a n d e d > t r u e < / I s E x p a n d e d > < W i d t h > 2 0 0 < / W i d t h > < / a : V a l u e > < / a : K e y V a l u e O f D i a g r a m O b j e c t K e y a n y T y p e z b w N T n L X > < a : K e y V a l u e O f D i a g r a m O b j e c t K e y a n y T y p e z b w N T n L X > < a : K e y > < K e y > T a b l e s \ P e r c e n t a g e _ E s t i m a t e s \ M e a s u r e s \ S u m   o f   C o n s u m p t i o n   Q u a n t i t y   5 < / K e y > < / a : K e y > < a : V a l u e   i : t y p e = " D i a g r a m D i s p l a y N o d e V i e w S t a t e " > < H e i g h t > 1 5 0 < / H e i g h t > < I s E x p a n d e d > t r u e < / I s E x p a n d e d > < W i d t h > 2 0 0 < / W i d t h > < / a : V a l u e > < / a : K e y V a l u e O f D i a g r a m O b j e c t K e y a n y T y p e z b w N T n L X > < a : K e y V a l u e O f D i a g r a m O b j e c t K e y a n y T y p e z b w N T n L X > < a : K e y > < K e y > T a b l e s \ P e r c e n t a g e _ E s t i m a t e s \ S u m   o f   C o n s u m p t i o n   Q u a n t i t y   5 \ A d d i t i o n a l   I n f o \ I m p l i c i t   C a l c u l a t e d   F i e l d < / K e y > < / a : K e y > < a : V a l u e   i : t y p e = " D i a g r a m D i s p l a y V i e w S t a t e I D i a g r a m T a g A d d i t i o n a l I n f o " / > < / a : K e y V a l u e O f D i a g r a m O b j e c t K e y a n y T y p e z b w N T n L X > < a : K e y V a l u e O f D i a g r a m O b j e c t K e y a n y T y p e z b w N T n L X > < a : K e y > < K e y > T a b l e s \ P e r c e n t a g e _ E s t i m a t e s \ M e a s u r e s \ S u m   o f   T o t a l   G J   5 < / K e y > < / a : K e y > < a : V a l u e   i : t y p e = " D i a g r a m D i s p l a y N o d e V i e w S t a t e " > < H e i g h t > 1 5 0 < / H e i g h t > < I s E x p a n d e d > t r u e < / I s E x p a n d e d > < W i d t h > 2 0 0 < / W i d t h > < / a : V a l u e > < / a : K e y V a l u e O f D i a g r a m O b j e c t K e y a n y T y p e z b w N T n L X > < a : K e y V a l u e O f D i a g r a m O b j e c t K e y a n y T y p e z b w N T n L X > < a : K e y > < K e y > T a b l e s \ P e r c e n t a g e _ E s t i m a t e s \ S u m   o f   T o t a l   G J   5 \ A d d i t i o n a l   I n f o \ I m p l i c i t   C a l c u l a t e d   F i e l d < / K e y > < / a : K e y > < a : V a l u e   i : t y p e = " D i a g r a m D i s p l a y V i e w S t a t e I D i a g r a m T a g A d d i t i o n a l I n f o " / > < / a : K e y V a l u e O f D i a g r a m O b j e c t K e y a n y T y p e z b w N T n L X > < a : K e y V a l u e O f D i a g r a m O b j e c t K e y a n y T y p e z b w N T n L X > < a : K e y > < K e y > T a b l e s \ P e r c e n t a g e _ E s t i m a t e s \ M e a s u r e s \ S u m   o f   S c o p e   1   k g   C O 2 - e   5 < / K e y > < / a : K e y > < a : V a l u e   i : t y p e = " D i a g r a m D i s p l a y N o d e V i e w S t a t e " > < H e i g h t > 1 5 0 < / H e i g h t > < I s E x p a n d e d > t r u e < / I s E x p a n d e d > < W i d t h > 2 0 0 < / W i d t h > < / a : V a l u e > < / a : K e y V a l u e O f D i a g r a m O b j e c t K e y a n y T y p e z b w N T n L X > < a : K e y V a l u e O f D i a g r a m O b j e c t K e y a n y T y p e z b w N T n L X > < a : K e y > < K e y > T a b l e s \ P e r c e n t a g e _ E s t i m a t e s \ S u m   o f   S c o p e   1   k g   C O 2 - e   5 \ A d d i t i o n a l   I n f o \ I m p l i c i t   C a l c u l a t e d   F i e l d < / K e y > < / a : K e y > < a : V a l u e   i : t y p e = " D i a g r a m D i s p l a y V i e w S t a t e I D i a g r a m T a g A d d i t i o n a l I n f o " / > < / a : K e y V a l u e O f D i a g r a m O b j e c t K e y a n y T y p e z b w N T n L X > < a : K e y V a l u e O f D i a g r a m O b j e c t K e y a n y T y p e z b w N T n L X > < a : K e y > < K e y > T a b l e s \ P e r c e n t a g e _ E s t i m a t e s \ M e a s u r e s \ S u m   o f   S c o p e   2   k g   C O 2 - e   5 < / K e y > < / a : K e y > < a : V a l u e   i : t y p e = " D i a g r a m D i s p l a y N o d e V i e w S t a t e " > < H e i g h t > 1 5 0 < / H e i g h t > < I s E x p a n d e d > t r u e < / I s E x p a n d e d > < W i d t h > 2 0 0 < / W i d t h > < / a : V a l u e > < / a : K e y V a l u e O f D i a g r a m O b j e c t K e y a n y T y p e z b w N T n L X > < a : K e y V a l u e O f D i a g r a m O b j e c t K e y a n y T y p e z b w N T n L X > < a : K e y > < K e y > T a b l e s \ P e r c e n t a g e _ E s t i m a t e s \ S u m   o f   S c o p e   2   k g   C O 2 - e   5 \ A d d i t i o n a l   I n f o \ I m p l i c i t   C a l c u l a t e d   F i e l d < / K e y > < / a : K e y > < a : V a l u e   i : t y p e = " D i a g r a m D i s p l a y V i e w S t a t e I D i a g r a m T a g A d d i t i o n a l I n f o " / > < / a : K e y V a l u e O f D i a g r a m O b j e c t K e y a n y T y p e z b w N T n L X > < a : K e y V a l u e O f D i a g r a m O b j e c t K e y a n y T y p e z b w N T n L X > < a : K e y > < K e y > T a b l e s \ P e r c e n t a g e _ E s t i m a t e s \ M e a s u r e s \ S u m   o f   S c o p e   3   k g   C O 2 - e   5 < / K e y > < / a : K e y > < a : V a l u e   i : t y p e = " D i a g r a m D i s p l a y N o d e V i e w S t a t e " > < H e i g h t > 1 5 0 < / H e i g h t > < I s E x p a n d e d > t r u e < / I s E x p a n d e d > < W i d t h > 2 0 0 < / W i d t h > < / a : V a l u e > < / a : K e y V a l u e O f D i a g r a m O b j e c t K e y a n y T y p e z b w N T n L X > < a : K e y V a l u e O f D i a g r a m O b j e c t K e y a n y T y p e z b w N T n L X > < a : K e y > < K e y > T a b l e s \ P e r c e n t a g e _ E s t i m a t e s \ S u m   o f   S c o p e   3   k g   C O 2 - e   5 \ A d d i t i o n a l   I n f o \ I m p l i c i t   C a l c u l a t e d   F i e l d < / K e y > < / a : K e y > < a : V a l u e   i : t y p e = " D i a g r a m D i s p l a y V i e w S t a t e I D i a g r a m T a g A d d i t i o n a l I n f o " / > < / a : K e y V a l u e O f D i a g r a m O b j e c t K e y a n y T y p e z b w N T n L X > < a : K e y V a l u e O f D i a g r a m O b j e c t K e y a n y T y p e z b w N T n L X > < a : K e y > < K e y > T a b l e s \ P e r c e n t a g e _ E s t i m a t e s \ M e a s u r e s \ S u m   o f   T o t a l   E m i s s i o n s   5 < / K e y > < / a : K e y > < a : V a l u e   i : t y p e = " D i a g r a m D i s p l a y N o d e V i e w S t a t e " > < H e i g h t > 1 5 0 < / H e i g h t > < I s E x p a n d e d > t r u e < / I s E x p a n d e d > < W i d t h > 2 0 0 < / W i d t h > < / a : V a l u e > < / a : K e y V a l u e O f D i a g r a m O b j e c t K e y a n y T y p e z b w N T n L X > < a : K e y V a l u e O f D i a g r a m O b j e c t K e y a n y T y p e z b w N T n L X > < a : K e y > < K e y > T a b l e s \ P e r c e n t a g e _ E s t i m a t e s \ S u m   o f   T o t a l   E m i s s i o n s   5 \ A d d i t i o n a l   I n f o \ I m p l i c i t   C a l c u l a t e d   F i e l d < / K e y > < / a : K e y > < a : V a l u e   i : t y p e = " D i a g r a m D i s p l a y V i e w S t a t e I D i a g r a m T a g A d d i t i o n a l I n f o " / > < / a : K e y V a l u e O f D i a g r a m O b j e c t K e y a n y T y p e z b w N T n L X > < a : K e y V a l u e O f D i a g r a m O b j e c t K e y a n y T y p e z b w N T n L X > < a : K e y > < K e y > T a b l e s \ P i t w a t e r < / K e y > < / a : K e y > < a : V a l u e   i : t y p e = " D i a g r a m D i s p l a y N o d e V i e w S t a t e " > < H e i g h t > 1 5 0 < / H e i g h t > < I s E x p a n d e d > t r u e < / I s E x p a n d e d > < L a y e d O u t > t r u e < / L a y e d O u t > < L e f t > 8 3 7 . 7 1 1 4 3 1 7 0 2 9 9 7 5 2 < / L e f t > < T a b I n d e x > 2 1 < / T a b I n d e x > < T o p > 6 0 7 . 5 < / T o p > < W i d t h > 2 0 0 < / W i d t h > < / a : V a l u e > < / a : K e y V a l u e O f D i a g r a m O b j e c t K e y a n y T y p e z b w N T n L X > < a : K e y V a l u e O f D i a g r a m O b j e c t K e y a n y T y p e z b w N T n L X > < a : K e y > < K e y > T a b l e s \ P i t w a t e r \ C o l u m n s \ R e p o r t i n g   a l i a s < / K e y > < / a : K e y > < a : V a l u e   i : t y p e = " D i a g r a m D i s p l a y N o d e V i e w S t a t e " > < H e i g h t > 1 5 0 < / H e i g h t > < I s E x p a n d e d > t r u e < / I s E x p a n d e d > < W i d t h > 2 0 0 < / W i d t h > < / a : V a l u e > < / a : K e y V a l u e O f D i a g r a m O b j e c t K e y a n y T y p e z b w N T n L X > < a : K e y V a l u e O f D i a g r a m O b j e c t K e y a n y T y p e z b w N T n L X > < a : K e y > < K e y > T a b l e s \ P i t w a t e r \ C o l u m n s \ S t a t e < / K e y > < / a : K e y > < a : V a l u e   i : t y p e = " D i a g r a m D i s p l a y N o d e V i e w S t a t e " > < H e i g h t > 1 5 0 < / H e i g h t > < I s E x p a n d e d > t r u e < / I s E x p a n d e d > < W i d t h > 2 0 0 < / W i d t h > < / a : V a l u e > < / a : K e y V a l u e O f D i a g r a m O b j e c t K e y a n y T y p e z b w N T n L X > < a : K e y V a l u e O f D i a g r a m O b j e c t K e y a n y T y p e z b w N T n L X > < a : K e y > < K e y > T a b l e s \ P i t w a t e r \ C o l u m n s \ k L < / K e y > < / a : K e y > < a : V a l u e   i : t y p e = " D i a g r a m D i s p l a y N o d e V i e w S t a t e " > < H e i g h t > 1 5 0 < / H e i g h t > < I s E x p a n d e d > t r u e < / I s E x p a n d e d > < W i d t h > 2 0 0 < / W i d t h > < / a : V a l u e > < / a : K e y V a l u e O f D i a g r a m O b j e c t K e y a n y T y p e z b w N T n L X > < a : K e y V a l u e O f D i a g r a m O b j e c t K e y a n y T y p e z b w N T n L X > < a : K e y > < K e y > T a b l e s \ P i t w a t e r \ C o l u m n s \ T o t a l   G J < / K e y > < / a : K e y > < a : V a l u e   i : t y p e = " D i a g r a m D i s p l a y N o d e V i e w S t a t e " > < H e i g h t > 1 5 0 < / H e i g h t > < I s E x p a n d e d > t r u e < / I s E x p a n d e d > < W i d t h > 2 0 0 < / W i d t h > < / a : V a l u e > < / a : K e y V a l u e O f D i a g r a m O b j e c t K e y a n y T y p e z b w N T n L X > < a : K e y V a l u e O f D i a g r a m O b j e c t K e y a n y T y p e z b w N T n L X > < a : K e y > < K e y > T a b l e s \ P i t w a t e r \ C o l u m n s \ C o n s u m p t i o n   Q u a n t i t y < / K e y > < / a : K e y > < a : V a l u e   i : t y p e = " D i a g r a m D i s p l a y N o d e V i e w S t a t e " > < H e i g h t > 1 5 0 < / H e i g h t > < I s E x p a n d e d > t r u e < / I s E x p a n d e d > < W i d t h > 2 0 0 < / W i d t h > < / a : V a l u e > < / a : K e y V a l u e O f D i a g r a m O b j e c t K e y a n y T y p e z b w N T n L X > < a : K e y V a l u e O f D i a g r a m O b j e c t K e y a n y T y p e z b w N T n L X > < a : K e y > < K e y > T a b l e s \ P i t w a t e r \ C o l u m n s \ S c o p e   1   k g   C O 2 - e < / K e y > < / a : K e y > < a : V a l u e   i : t y p e = " D i a g r a m D i s p l a y N o d e V i e w S t a t e " > < H e i g h t > 1 5 0 < / H e i g h t > < I s E x p a n d e d > t r u e < / I s E x p a n d e d > < W i d t h > 2 0 0 < / W i d t h > < / a : V a l u e > < / a : K e y V a l u e O f D i a g r a m O b j e c t K e y a n y T y p e z b w N T n L X > < a : K e y V a l u e O f D i a g r a m O b j e c t K e y a n y T y p e z b w N T n L X > < a : K e y > < K e y > T a b l e s \ P i t w a t e r \ C o l u m n s \ S c o p e   2   k g   C O 2 - e < / K e y > < / a : K e y > < a : V a l u e   i : t y p e = " D i a g r a m D i s p l a y N o d e V i e w S t a t e " > < H e i g h t > 1 5 0 < / H e i g h t > < I s E x p a n d e d > t r u e < / I s E x p a n d e d > < W i d t h > 2 0 0 < / W i d t h > < / a : V a l u e > < / a : K e y V a l u e O f D i a g r a m O b j e c t K e y a n y T y p e z b w N T n L X > < a : K e y V a l u e O f D i a g r a m O b j e c t K e y a n y T y p e z b w N T n L X > < a : K e y > < K e y > T a b l e s \ P i t w a t e r \ C o l u m n s \ S c o p e   3   k g   C O 2 - e < / K e y > < / a : K e y > < a : V a l u e   i : t y p e = " D i a g r a m D i s p l a y N o d e V i e w S t a t e " > < H e i g h t > 1 5 0 < / H e i g h t > < I s E x p a n d e d > t r u e < / I s E x p a n d e d > < W i d t h > 2 0 0 < / W i d t h > < / a : V a l u e > < / a : K e y V a l u e O f D i a g r a m O b j e c t K e y a n y T y p e z b w N T n L X > < a : K e y V a l u e O f D i a g r a m O b j e c t K e y a n y T y p e z b w N T n L X > < a : K e y > < K e y > T a b l e s \ P i t w a t e r \ C o l u m n s \ T o t a l   E m i s s i o n s < / K e y > < / a : K e y > < a : V a l u e   i : t y p e = " D i a g r a m D i s p l a y N o d e V i e w S t a t e " > < H e i g h t > 1 5 0 < / H e i g h t > < I s E x p a n d e d > t r u e < / I s E x p a n d e d > < W i d t h > 2 0 0 < / W i d t h > < / a : V a l u e > < / a : K e y V a l u e O f D i a g r a m O b j e c t K e y a n y T y p e z b w N T n L X > < a : K e y V a l u e O f D i a g r a m O b j e c t K e y a n y T y p e z b w N T n L X > < a : K e y > < K e y > T a b l e s \ P i t w a t e r \ M e a s u r e s \ S u m   o f   C o n s u m p t i o n   Q u a n t i t y   9 < / K e y > < / a : K e y > < a : V a l u e   i : t y p e = " D i a g r a m D i s p l a y N o d e V i e w S t a t e " > < H e i g h t > 1 5 0 < / H e i g h t > < I s E x p a n d e d > t r u e < / I s E x p a n d e d > < W i d t h > 2 0 0 < / W i d t h > < / a : V a l u e > < / a : K e y V a l u e O f D i a g r a m O b j e c t K e y a n y T y p e z b w N T n L X > < a : K e y V a l u e O f D i a g r a m O b j e c t K e y a n y T y p e z b w N T n L X > < a : K e y > < K e y > T a b l e s \ P i t w a t e r \ S u m   o f   C o n s u m p t i o n   Q u a n t i t y   9 \ A d d i t i o n a l   I n f o \ I m p l i c i t   C a l c u l a t e d   F i e l d < / K e y > < / a : K e y > < a : V a l u e   i : t y p e = " D i a g r a m D i s p l a y V i e w S t a t e I D i a g r a m T a g A d d i t i o n a l I n f o " / > < / a : K e y V a l u e O f D i a g r a m O b j e c t K e y a n y T y p e z b w N T n L X > < a : K e y V a l u e O f D i a g r a m O b j e c t K e y a n y T y p e z b w N T n L X > < a : K e y > < K e y > T a b l e s \ P i t w a t e r \ M e a s u r e s \ S u m   o f   k L < / K e y > < / a : K e y > < a : V a l u e   i : t y p e = " D i a g r a m D i s p l a y N o d e V i e w S t a t e " > < H e i g h t > 1 5 0 < / H e i g h t > < I s E x p a n d e d > t r u e < / I s E x p a n d e d > < W i d t h > 2 0 0 < / W i d t h > < / a : V a l u e > < / a : K e y V a l u e O f D i a g r a m O b j e c t K e y a n y T y p e z b w N T n L X > < a : K e y V a l u e O f D i a g r a m O b j e c t K e y a n y T y p e z b w N T n L X > < a : K e y > < K e y > T a b l e s \ P i t w a t e r \ S u m   o f   k L \ A d d i t i o n a l   I n f o \ I m p l i c i t   C a l c u l a t e d   F i e l d < / K e y > < / a : K e y > < a : V a l u e   i : t y p e = " D i a g r a m D i s p l a y V i e w S t a t e I D i a g r a m T a g A d d i t i o n a l I n f o " / > < / a : K e y V a l u e O f D i a g r a m O b j e c t K e y a n y T y p e z b w N T n L X > < a : K e y V a l u e O f D i a g r a m O b j e c t K e y a n y T y p e z b w N T n L X > < a : K e y > < K e y > T a b l e s \ P i t w a t e r \ M e a s u r e s \ S u m   o f   S c o p e   1   k g   C O 2 - e   1 5 < / K e y > < / a : K e y > < a : V a l u e   i : t y p e = " D i a g r a m D i s p l a y N o d e V i e w S t a t e " > < H e i g h t > 1 5 0 < / H e i g h t > < I s E x p a n d e d > t r u e < / I s E x p a n d e d > < W i d t h > 2 0 0 < / W i d t h > < / a : V a l u e > < / a : K e y V a l u e O f D i a g r a m O b j e c t K e y a n y T y p e z b w N T n L X > < a : K e y V a l u e O f D i a g r a m O b j e c t K e y a n y T y p e z b w N T n L X > < a : K e y > < K e y > T a b l e s \ P i t w a t e r \ S u m   o f   S c o p e   1   k g   C O 2 - e   1 5 \ A d d i t i o n a l   I n f o \ I m p l i c i t   C a l c u l a t e d   F i e l d < / K e y > < / a : K e y > < a : V a l u e   i : t y p e = " D i a g r a m D i s p l a y V i e w S t a t e I D i a g r a m T a g A d d i t i o n a l I n f o " / > < / a : K e y V a l u e O f D i a g r a m O b j e c t K e y a n y T y p e z b w N T n L X > < a : K e y V a l u e O f D i a g r a m O b j e c t K e y a n y T y p e z b w N T n L X > < a : K e y > < K e y > T a b l e s \ P i t w a t e r \ M e a s u r e s \ S u m   o f   T o t a l   G J   1 5 < / K e y > < / a : K e y > < a : V a l u e   i : t y p e = " D i a g r a m D i s p l a y N o d e V i e w S t a t e " > < H e i g h t > 1 5 0 < / H e i g h t > < I s E x p a n d e d > t r u e < / I s E x p a n d e d > < W i d t h > 2 0 0 < / W i d t h > < / a : V a l u e > < / a : K e y V a l u e O f D i a g r a m O b j e c t K e y a n y T y p e z b w N T n L X > < a : K e y V a l u e O f D i a g r a m O b j e c t K e y a n y T y p e z b w N T n L X > < a : K e y > < K e y > T a b l e s \ P i t w a t e r \ S u m   o f   T o t a l   G J   1 5 \ A d d i t i o n a l   I n f o \ I m p l i c i t   C a l c u l a t e d   F i e l d < / K e y > < / a : K e y > < a : V a l u e   i : t y p e = " D i a g r a m D i s p l a y V i e w S t a t e I D i a g r a m T a g A d d i t i o n a l I n f o " / > < / a : K e y V a l u e O f D i a g r a m O b j e c t K e y a n y T y p e z b w N T n L X > < a : K e y V a l u e O f D i a g r a m O b j e c t K e y a n y T y p e z b w N T n L X > < a : K e y > < K e y > T a b l e s \ P i t w a t e r \ M e a s u r e s \ S u m   o f   S c o p e   2   k g   C O 2 - e   1 5 < / K e y > < / a : K e y > < a : V a l u e   i : t y p e = " D i a g r a m D i s p l a y N o d e V i e w S t a t e " > < H e i g h t > 1 5 0 < / H e i g h t > < I s E x p a n d e d > t r u e < / I s E x p a n d e d > < W i d t h > 2 0 0 < / W i d t h > < / a : V a l u e > < / a : K e y V a l u e O f D i a g r a m O b j e c t K e y a n y T y p e z b w N T n L X > < a : K e y V a l u e O f D i a g r a m O b j e c t K e y a n y T y p e z b w N T n L X > < a : K e y > < K e y > T a b l e s \ P i t w a t e r \ S u m   o f   S c o p e   2   k g   C O 2 - e   1 5 \ A d d i t i o n a l   I n f o \ I m p l i c i t   C a l c u l a t e d   F i e l d < / K e y > < / a : K e y > < a : V a l u e   i : t y p e = " D i a g r a m D i s p l a y V i e w S t a t e I D i a g r a m T a g A d d i t i o n a l I n f o " / > < / a : K e y V a l u e O f D i a g r a m O b j e c t K e y a n y T y p e z b w N T n L X > < a : K e y V a l u e O f D i a g r a m O b j e c t K e y a n y T y p e z b w N T n L X > < a : K e y > < K e y > T a b l e s \ P i t w a t e r \ M e a s u r e s \ S u m   o f   S c o p e   3   k g   C O 2 - e   1 5 < / K e y > < / a : K e y > < a : V a l u e   i : t y p e = " D i a g r a m D i s p l a y N o d e V i e w S t a t e " > < H e i g h t > 1 5 0 < / H e i g h t > < I s E x p a n d e d > t r u e < / I s E x p a n d e d > < W i d t h > 2 0 0 < / W i d t h > < / a : V a l u e > < / a : K e y V a l u e O f D i a g r a m O b j e c t K e y a n y T y p e z b w N T n L X > < a : K e y V a l u e O f D i a g r a m O b j e c t K e y a n y T y p e z b w N T n L X > < a : K e y > < K e y > T a b l e s \ P i t w a t e r \ S u m   o f   S c o p e   3   k g   C O 2 - e   1 5 \ A d d i t i o n a l   I n f o \ I m p l i c i t   C a l c u l a t e d   F i e l d < / K e y > < / a : K e y > < a : V a l u e   i : t y p e = " D i a g r a m D i s p l a y V i e w S t a t e I D i a g r a m T a g A d d i t i o n a l I n f o " / > < / a : K e y V a l u e O f D i a g r a m O b j e c t K e y a n y T y p e z b w N T n L X > < a : K e y V a l u e O f D i a g r a m O b j e c t K e y a n y T y p e z b w N T n L X > < a : K e y > < K e y > T a b l e s \ P i t w a t e r \ M e a s u r e s \ S u m   o f   T o t a l   E m i s s i o n s   1 5 < / K e y > < / a : K e y > < a : V a l u e   i : t y p e = " D i a g r a m D i s p l a y N o d e V i e w S t a t e " > < H e i g h t > 1 5 0 < / H e i g h t > < I s E x p a n d e d > t r u e < / I s E x p a n d e d > < W i d t h > 2 0 0 < / W i d t h > < / a : V a l u e > < / a : K e y V a l u e O f D i a g r a m O b j e c t K e y a n y T y p e z b w N T n L X > < a : K e y V a l u e O f D i a g r a m O b j e c t K e y a n y T y p e z b w N T n L X > < a : K e y > < K e y > T a b l e s \ P i t w a t e r \ S u m   o f   T o t a l   E m i s s i o n s   1 5 \ A d d i t i o n a l   I n f o \ I m p l i c i t   C a l c u l a t e d   F i e l d < / K e y > < / a : K e y > < a : V a l u e   i : t y p e = " D i a g r a m D i s p l a y V i e w S t a t e I D i a g r a m T a g A d d i t i o n a l I n f o " / > < / a : K e y V a l u e O f D i a g r a m O b j e c t K e y a n y T y p e z b w N T n L X > < a : K e y V a l u e O f D i a g r a m O b j e c t K e y a n y T y p e z b w N T n L X > < a : K e y > < K e y > T a b l e s \ S o l a r < / K e y > < / a : K e y > < a : V a l u e   i : t y p e = " D i a g r a m D i s p l a y N o d e V i e w S t a t e " > < H e i g h t > 1 5 0 < / H e i g h t > < I s E x p a n d e d > t r u e < / I s E x p a n d e d > < L a y e d O u t > t r u e < / L a y e d O u t > < L e f t > 3 2 7 . 6 1 5 2 4 2 2 7 0 6 6 3 2 < / L e f t > < T a b I n d e x > 1 9 < / T a b I n d e x > < T o p > 6 1 0 . 5 < / T o p > < W i d t h > 2 0 0 < / W i d t h > < / a : V a l u e > < / a : K e y V a l u e O f D i a g r a m O b j e c t K e y a n y T y p e z b w N T n L X > < a : K e y V a l u e O f D i a g r a m O b j e c t K e y a n y T y p e z b w N T n L X > < a : K e y > < K e y > T a b l e s \ S o l a r \ C o l u m n s \ S o u r c e   N a m e < / K e y > < / a : K e y > < a : V a l u e   i : t y p e = " D i a g r a m D i s p l a y N o d e V i e w S t a t e " > < H e i g h t > 1 5 0 < / H e i g h t > < I s E x p a n d e d > t r u e < / I s E x p a n d e d > < W i d t h > 2 0 0 < / W i d t h > < / a : V a l u e > < / a : K e y V a l u e O f D i a g r a m O b j e c t K e y a n y T y p e z b w N T n L X > < a : K e y V a l u e O f D i a g r a m O b j e c t K e y a n y T y p e z b w N T n L X > < a : K e y > < K e y > T a b l e s \ S o l a r \ C o l u m n s \ R e p o r t i n g   A l i a s < / K e y > < / a : K e y > < a : V a l u e   i : t y p e = " D i a g r a m D i s p l a y N o d e V i e w S t a t e " > < H e i g h t > 1 5 0 < / H e i g h t > < I s E x p a n d e d > t r u e < / I s E x p a n d e d > < W i d t h > 2 0 0 < / W i d t h > < / a : V a l u e > < / a : K e y V a l u e O f D i a g r a m O b j e c t K e y a n y T y p e z b w N T n L X > < a : K e y V a l u e O f D i a g r a m O b j e c t K e y a n y T y p e z b w N T n L X > < a : K e y > < K e y > T a b l e s \ S o l a r \ C o l u m n s \ A c t i v i t y   T y p e < / K e y > < / a : K e y > < a : V a l u e   i : t y p e = " D i a g r a m D i s p l a y N o d e V i e w S t a t e " > < H e i g h t > 1 5 0 < / H e i g h t > < I s E x p a n d e d > t r u e < / I s E x p a n d e d > < W i d t h > 2 0 0 < / W i d t h > < / a : V a l u e > < / a : K e y V a l u e O f D i a g r a m O b j e c t K e y a n y T y p e z b w N T n L X > < a : K e y V a l u e O f D i a g r a m O b j e c t K e y a n y T y p e z b w N T n L X > < a : K e y > < K e y > T a b l e s \ S o l a r \ C o l u m n s \ A c t i v i t y   T y p e   C o n t e x t < / K e y > < / a : K e y > < a : V a l u e   i : t y p e = " D i a g r a m D i s p l a y N o d e V i e w S t a t e " > < H e i g h t > 1 5 0 < / H e i g h t > < I s E x p a n d e d > t r u e < / I s E x p a n d e d > < W i d t h > 2 0 0 < / W i d t h > < / a : V a l u e > < / a : K e y V a l u e O f D i a g r a m O b j e c t K e y a n y T y p e z b w N T n L X > < a : K e y V a l u e O f D i a g r a m O b j e c t K e y a n y T y p e z b w N T n L X > < a : K e y > < K e y > T a b l e s \ S o l a r \ C o l u m n s \ E n t i t y < / K e y > < / a : K e y > < a : V a l u e   i : t y p e = " D i a g r a m D i s p l a y N o d e V i e w S t a t e " > < H e i g h t > 1 5 0 < / H e i g h t > < I s E x p a n d e d > t r u e < / I s E x p a n d e d > < W i d t h > 2 0 0 < / W i d t h > < / a : V a l u e > < / a : K e y V a l u e O f D i a g r a m O b j e c t K e y a n y T y p e z b w N T n L X > < a : K e y V a l u e O f D i a g r a m O b j e c t K e y a n y T y p e z b w N T n L X > < a : K e y > < K e y > T a b l e s \ S o l a r \ C o l u m n s \ S t a t e < / K e y > < / a : K e y > < a : V a l u e   i : t y p e = " D i a g r a m D i s p l a y N o d e V i e w S t a t e " > < H e i g h t > 1 5 0 < / H e i g h t > < I s E x p a n d e d > t r u e < / I s E x p a n d e d > < W i d t h > 2 0 0 < / W i d t h > < / a : V a l u e > < / a : K e y V a l u e O f D i a g r a m O b j e c t K e y a n y T y p e z b w N T n L X > < a : K e y V a l u e O f D i a g r a m O b j e c t K e y a n y T y p e z b w N T n L X > < a : K e y > < K e y > T a b l e s \ S o l a r \ C o l u m n s \ P r o d u c t i o n   Q u a n t i t y < / K e y > < / a : K e y > < a : V a l u e   i : t y p e = " D i a g r a m D i s p l a y N o d e V i e w S t a t e " > < H e i g h t > 1 5 0 < / H e i g h t > < I s E x p a n d e d > t r u e < / I s E x p a n d e d > < W i d t h > 2 0 0 < / W i d t h > < / a : V a l u e > < / a : K e y V a l u e O f D i a g r a m O b j e c t K e y a n y T y p e z b w N T n L X > < a : K e y V a l u e O f D i a g r a m O b j e c t K e y a n y T y p e z b w N T n L X > < a : K e y > < K e y > T a b l e s \ S o l a r \ C o l u m n s \ P r o d u c t i o n   U n i t < / K e y > < / a : K e y > < a : V a l u e   i : t y p e = " D i a g r a m D i s p l a y N o d e V i e w S t a t e " > < H e i g h t > 1 5 0 < / H e i g h t > < I s E x p a n d e d > t r u e < / I s E x p a n d e d > < W i d t h > 2 0 0 < / W i d t h > < / a : V a l u e > < / a : K e y V a l u e O f D i a g r a m O b j e c t K e y a n y T y p e z b w N T n L X > < a : K e y V a l u e O f D i a g r a m O b j e c t K e y a n y T y p e z b w N T n L X > < a : K e y > < K e y > T a b l e s \ S o l a r \ C o l u m n s \ C o n s u m p t i o n   Q u a n t i t i y < / K e y > < / a : K e y > < a : V a l u e   i : t y p e = " D i a g r a m D i s p l a y N o d e V i e w S t a t e " > < H e i g h t > 1 5 0 < / H e i g h t > < I s E x p a n d e d > t r u e < / I s E x p a n d e d > < W i d t h > 2 0 0 < / W i d t h > < / a : V a l u e > < / a : K e y V a l u e O f D i a g r a m O b j e c t K e y a n y T y p e z b w N T n L X > < a : K e y V a l u e O f D i a g r a m O b j e c t K e y a n y T y p e z b w N T n L X > < a : K e y > < K e y > T a b l e s \ S o l a r \ C o l u m n s \ S c o p e   1   k g   C O 2 - e < / K e y > < / a : K e y > < a : V a l u e   i : t y p e = " D i a g r a m D i s p l a y N o d e V i e w S t a t e " > < H e i g h t > 1 5 0 < / H e i g h t > < I s E x p a n d e d > t r u e < / I s E x p a n d e d > < W i d t h > 2 0 0 < / W i d t h > < / a : V a l u e > < / a : K e y V a l u e O f D i a g r a m O b j e c t K e y a n y T y p e z b w N T n L X > < a : K e y V a l u e O f D i a g r a m O b j e c t K e y a n y T y p e z b w N T n L X > < a : K e y > < K e y > T a b l e s \ S o l a r \ C o l u m n s \ S c o p e   2   k g   C O 2 - e < / K e y > < / a : K e y > < a : V a l u e   i : t y p e = " D i a g r a m D i s p l a y N o d e V i e w S t a t e " > < H e i g h t > 1 5 0 < / H e i g h t > < I s E x p a n d e d > t r u e < / I s E x p a n d e d > < W i d t h > 2 0 0 < / W i d t h > < / a : V a l u e > < / a : K e y V a l u e O f D i a g r a m O b j e c t K e y a n y T y p e z b w N T n L X > < a : K e y V a l u e O f D i a g r a m O b j e c t K e y a n y T y p e z b w N T n L X > < a : K e y > < K e y > T a b l e s \ S o l a r \ C o l u m n s \ S c o p e   3   k g   C O 2 - e < / K e y > < / a : K e y > < a : V a l u e   i : t y p e = " D i a g r a m D i s p l a y N o d e V i e w S t a t e " > < H e i g h t > 1 5 0 < / H e i g h t > < I s E x p a n d e d > t r u e < / I s E x p a n d e d > < W i d t h > 2 0 0 < / W i d t h > < / a : V a l u e > < / a : K e y V a l u e O f D i a g r a m O b j e c t K e y a n y T y p e z b w N T n L X > < a : K e y V a l u e O f D i a g r a m O b j e c t K e y a n y T y p e z b w N T n L X > < a : K e y > < K e y > T a b l e s \ S o l a r \ C o l u m n s \ T o t a l   G J < / K e y > < / a : K e y > < a : V a l u e   i : t y p e = " D i a g r a m D i s p l a y N o d e V i e w S t a t e " > < H e i g h t > 1 5 0 < / H e i g h t > < I s E x p a n d e d > t r u e < / I s E x p a n d e d > < W i d t h > 2 0 0 < / W i d t h > < / a : V a l u e > < / a : K e y V a l u e O f D i a g r a m O b j e c t K e y a n y T y p e z b w N T n L X > < a : K e y V a l u e O f D i a g r a m O b j e c t K e y a n y T y p e z b w N T n L X > < a : K e y > < K e y > T a b l e s \ S o l a r \ C o l u m n s \ T o t a l   E m i s s i o n s < / K e y > < / a : K e y > < a : V a l u e   i : t y p e = " D i a g r a m D i s p l a y N o d e V i e w S t a t e " > < H e i g h t > 1 5 0 < / H e i g h t > < I s E x p a n d e d > t r u e < / I s E x p a n d e d > < W i d t h > 2 0 0 < / W i d t h > < / a : V a l u e > < / a : K e y V a l u e O f D i a g r a m O b j e c t K e y a n y T y p e z b w N T n L X > < a : K e y V a l u e O f D i a g r a m O b j e c t K e y a n y T y p e z b w N T n L X > < a : K e y > < K e y > T a b l e s \ S o l a r \ M e a s u r e s \ S u m   o f   C o n s u m p t i o n   Q u a n t i t i y < / K e y > < / a : K e y > < a : V a l u e   i : t y p e = " D i a g r a m D i s p l a y N o d e V i e w S t a t e " > < H e i g h t > 1 5 0 < / H e i g h t > < I s E x p a n d e d > t r u e < / I s E x p a n d e d > < W i d t h > 2 0 0 < / W i d t h > < / a : V a l u e > < / a : K e y V a l u e O f D i a g r a m O b j e c t K e y a n y T y p e z b w N T n L X > < a : K e y V a l u e O f D i a g r a m O b j e c t K e y a n y T y p e z b w N T n L X > < a : K e y > < K e y > T a b l e s \ S o l a r \ S u m   o f   C o n s u m p t i o n   Q u a n t i t i y \ A d d i t i o n a l   I n f o \ I m p l i c i t   C a l c u l a t e d   F i e l d < / K e y > < / a : K e y > < a : V a l u e   i : t y p e = " D i a g r a m D i s p l a y V i e w S t a t e I D i a g r a m T a g A d d i t i o n a l I n f o " / > < / a : K e y V a l u e O f D i a g r a m O b j e c t K e y a n y T y p e z b w N T n L X > < a : K e y V a l u e O f D i a g r a m O b j e c t K e y a n y T y p e z b w N T n L X > < a : K e y > < K e y > T a b l e s \ S o l a r \ M e a s u r e s \ S u m   o f   S c o p e   1   k g   C O 2 - e   7 < / K e y > < / a : K e y > < a : V a l u e   i : t y p e = " D i a g r a m D i s p l a y N o d e V i e w S t a t e " > < H e i g h t > 1 5 0 < / H e i g h t > < I s E x p a n d e d > t r u e < / I s E x p a n d e d > < W i d t h > 2 0 0 < / W i d t h > < / a : V a l u e > < / a : K e y V a l u e O f D i a g r a m O b j e c t K e y a n y T y p e z b w N T n L X > < a : K e y V a l u e O f D i a g r a m O b j e c t K e y a n y T y p e z b w N T n L X > < a : K e y > < K e y > T a b l e s \ S o l a r \ S u m   o f   S c o p e   1   k g   C O 2 - e   7 \ A d d i t i o n a l   I n f o \ I m p l i c i t   C a l c u l a t e d   F i e l d < / K e y > < / a : K e y > < a : V a l u e   i : t y p e = " D i a g r a m D i s p l a y V i e w S t a t e I D i a g r a m T a g A d d i t i o n a l I n f o " / > < / a : K e y V a l u e O f D i a g r a m O b j e c t K e y a n y T y p e z b w N T n L X > < a : K e y V a l u e O f D i a g r a m O b j e c t K e y a n y T y p e z b w N T n L X > < a : K e y > < K e y > T a b l e s \ S o l a r \ M e a s u r e s \ S u m   o f   S c o p e   2   k g   C O 2 - e   7 < / K e y > < / a : K e y > < a : V a l u e   i : t y p e = " D i a g r a m D i s p l a y N o d e V i e w S t a t e " > < H e i g h t > 1 5 0 < / H e i g h t > < I s E x p a n d e d > t r u e < / I s E x p a n d e d > < W i d t h > 2 0 0 < / W i d t h > < / a : V a l u e > < / a : K e y V a l u e O f D i a g r a m O b j e c t K e y a n y T y p e z b w N T n L X > < a : K e y V a l u e O f D i a g r a m O b j e c t K e y a n y T y p e z b w N T n L X > < a : K e y > < K e y > T a b l e s \ S o l a r \ S u m   o f   S c o p e   2   k g   C O 2 - e   7 \ A d d i t i o n a l   I n f o \ I m p l i c i t   C a l c u l a t e d   F i e l d < / K e y > < / a : K e y > < a : V a l u e   i : t y p e = " D i a g r a m D i s p l a y V i e w S t a t e I D i a g r a m T a g A d d i t i o n a l I n f o " / > < / a : K e y V a l u e O f D i a g r a m O b j e c t K e y a n y T y p e z b w N T n L X > < a : K e y V a l u e O f D i a g r a m O b j e c t K e y a n y T y p e z b w N T n L X > < a : K e y > < K e y > T a b l e s \ S o l a r \ M e a s u r e s \ S u m   o f   S c o p e   3   k g   C O 2 - e   7 < / K e y > < / a : K e y > < a : V a l u e   i : t y p e = " D i a g r a m D i s p l a y N o d e V i e w S t a t e " > < H e i g h t > 1 5 0 < / H e i g h t > < I s E x p a n d e d > t r u e < / I s E x p a n d e d > < W i d t h > 2 0 0 < / W i d t h > < / a : V a l u e > < / a : K e y V a l u e O f D i a g r a m O b j e c t K e y a n y T y p e z b w N T n L X > < a : K e y V a l u e O f D i a g r a m O b j e c t K e y a n y T y p e z b w N T n L X > < a : K e y > < K e y > T a b l e s \ S o l a r \ S u m   o f   S c o p e   3   k g   C O 2 - e   7 \ A d d i t i o n a l   I n f o \ I m p l i c i t   C a l c u l a t e d   F i e l d < / K e y > < / a : K e y > < a : V a l u e   i : t y p e = " D i a g r a m D i s p l a y V i e w S t a t e I D i a g r a m T a g A d d i t i o n a l I n f o " / > < / a : K e y V a l u e O f D i a g r a m O b j e c t K e y a n y T y p e z b w N T n L X > < a : K e y V a l u e O f D i a g r a m O b j e c t K e y a n y T y p e z b w N T n L X > < a : K e y > < K e y > T a b l e s \ S o l a r \ M e a s u r e s \ S u m   o f   T o t a l   G J   7 < / K e y > < / a : K e y > < a : V a l u e   i : t y p e = " D i a g r a m D i s p l a y N o d e V i e w S t a t e " > < H e i g h t > 1 5 0 < / H e i g h t > < I s E x p a n d e d > t r u e < / I s E x p a n d e d > < W i d t h > 2 0 0 < / W i d t h > < / a : V a l u e > < / a : K e y V a l u e O f D i a g r a m O b j e c t K e y a n y T y p e z b w N T n L X > < a : K e y V a l u e O f D i a g r a m O b j e c t K e y a n y T y p e z b w N T n L X > < a : K e y > < K e y > T a b l e s \ S o l a r \ S u m   o f   T o t a l   G J   7 \ A d d i t i o n a l   I n f o \ I m p l i c i t   C a l c u l a t e d   F i e l d < / K e y > < / a : K e y > < a : V a l u e   i : t y p e = " D i a g r a m D i s p l a y V i e w S t a t e I D i a g r a m T a g A d d i t i o n a l I n f o " / > < / a : K e y V a l u e O f D i a g r a m O b j e c t K e y a n y T y p e z b w N T n L X > < a : K e y V a l u e O f D i a g r a m O b j e c t K e y a n y T y p e z b w N T n L X > < a : K e y > < K e y > T a b l e s \ S o l a r \ M e a s u r e s \ S u m   o f   T o t a l   E m i s s i o n s   7 < / K e y > < / a : K e y > < a : V a l u e   i : t y p e = " D i a g r a m D i s p l a y N o d e V i e w S t a t e " > < H e i g h t > 1 5 0 < / H e i g h t > < I s E x p a n d e d > t r u e < / I s E x p a n d e d > < W i d t h > 2 0 0 < / W i d t h > < / a : V a l u e > < / a : K e y V a l u e O f D i a g r a m O b j e c t K e y a n y T y p e z b w N T n L X > < a : K e y V a l u e O f D i a g r a m O b j e c t K e y a n y T y p e z b w N T n L X > < a : K e y > < K e y > T a b l e s \ S o l a r \ S u m   o f   T o t a l   E m i s s i o n s   7 \ A d d i t i o n a l   I n f o \ I m p l i c i t   C a l c u l a t e d   F i e l d < / K e y > < / a : K e y > < a : V a l u e   i : t y p e = " D i a g r a m D i s p l a y V i e w S t a t e I D i a g r a m T a g A d d i t i o n a l I n f o " / > < / a : K e y V a l u e O f D i a g r a m O b j e c t K e y a n y T y p e z b w N T n L X > < a : K e y V a l u e O f D i a g r a m O b j e c t K e y a n y T y p e z b w N T n L X > < a : K e y > < K e y > T a b l e s \ G r o u n d s _ F u e l s < / K e y > < / a : K e y > < a : V a l u e   i : t y p e = " D i a g r a m D i s p l a y N o d e V i e w S t a t e " > < H e i g h t > 1 5 0 < / H e i g h t > < I s E x p a n d e d > t r u e < / I s E x p a n d e d > < L a y e d O u t > t r u e < / L a y e d O u t > < L e f t > 5 7 8 . 5 1 9 0 5 2 8 3 8 3 2 9 1 2 < / L e f t > < T a b I n d e x > 2 0 < / T a b I n d e x > < T o p > 6 0 9 . 5 < / T o p > < W i d t h > 2 0 0 < / W i d t h > < / a : V a l u e > < / a : K e y V a l u e O f D i a g r a m O b j e c t K e y a n y T y p e z b w N T n L X > < a : K e y V a l u e O f D i a g r a m O b j e c t K e y a n y T y p e z b w N T n L X > < a : K e y > < K e y > T a b l e s \ G r o u n d s _ F u e l s \ C o l u m n s \ R e p o r t i n g   A l i a s < / K e y > < / a : K e y > < a : V a l u e   i : t y p e = " D i a g r a m D i s p l a y N o d e V i e w S t a t e " > < H e i g h t > 1 5 0 < / H e i g h t > < I s E x p a n d e d > t r u e < / I s E x p a n d e d > < W i d t h > 2 0 0 < / W i d t h > < / a : V a l u e > < / a : K e y V a l u e O f D i a g r a m O b j e c t K e y a n y T y p e z b w N T n L X > < a : K e y V a l u e O f D i a g r a m O b j e c t K e y a n y T y p e z b w N T n L X > < a : K e y > < K e y > T a b l e s \ G r o u n d s _ F u e l s \ C o l u m n s \ S o u r c e   N a m e < / K e y > < / a : K e y > < a : V a l u e   i : t y p e = " D i a g r a m D i s p l a y N o d e V i e w S t a t e " > < H e i g h t > 1 5 0 < / H e i g h t > < I s E x p a n d e d > t r u e < / I s E x p a n d e d > < W i d t h > 2 0 0 < / W i d t h > < / a : V a l u e > < / a : K e y V a l u e O f D i a g r a m O b j e c t K e y a n y T y p e z b w N T n L X > < a : K e y V a l u e O f D i a g r a m O b j e c t K e y a n y T y p e z b w N T n L X > < a : K e y > < K e y > T a b l e s \ G r o u n d s _ F u e l s \ C o l u m n s \ A c t i v i t y   T y p e < / K e y > < / a : K e y > < a : V a l u e   i : t y p e = " D i a g r a m D i s p l a y N o d e V i e w S t a t e " > < H e i g h t > 1 5 0 < / H e i g h t > < I s E x p a n d e d > t r u e < / I s E x p a n d e d > < W i d t h > 2 0 0 < / W i d t h > < / a : V a l u e > < / a : K e y V a l u e O f D i a g r a m O b j e c t K e y a n y T y p e z b w N T n L X > < a : K e y V a l u e O f D i a g r a m O b j e c t K e y a n y T y p e z b w N T n L X > < a : K e y > < K e y > T a b l e s \ G r o u n d s _ F u e l s \ C o l u m n s \ A c t i v i t y   T y p e   C o n t e x t < / K e y > < / a : K e y > < a : V a l u e   i : t y p e = " D i a g r a m D i s p l a y N o d e V i e w S t a t e " > < H e i g h t > 1 5 0 < / H e i g h t > < I s E x p a n d e d > t r u e < / I s E x p a n d e d > < W i d t h > 2 0 0 < / W i d t h > < / a : V a l u e > < / a : K e y V a l u e O f D i a g r a m O b j e c t K e y a n y T y p e z b w N T n L X > < a : K e y V a l u e O f D i a g r a m O b j e c t K e y a n y T y p e z b w N T n L X > < a : K e y > < K e y > T a b l e s \ G r o u n d s _ F u e l s \ C o l u m n s \ E n t i t y < / K e y > < / a : K e y > < a : V a l u e   i : t y p e = " D i a g r a m D i s p l a y N o d e V i e w S t a t e " > < H e i g h t > 1 5 0 < / H e i g h t > < I s E x p a n d e d > t r u e < / I s E x p a n d e d > < W i d t h > 2 0 0 < / W i d t h > < / a : V a l u e > < / a : K e y V a l u e O f D i a g r a m O b j e c t K e y a n y T y p e z b w N T n L X > < a : K e y V a l u e O f D i a g r a m O b j e c t K e y a n y T y p e z b w N T n L X > < a : K e y > < K e y > T a b l e s \ G r o u n d s _ F u e l s \ C o l u m n s \ F u e l < / K e y > < / a : K e y > < a : V a l u e   i : t y p e = " D i a g r a m D i s p l a y N o d e V i e w S t a t e " > < H e i g h t > 1 5 0 < / H e i g h t > < I s E x p a n d e d > t r u e < / I s E x p a n d e d > < W i d t h > 2 0 0 < / W i d t h > < / a : V a l u e > < / a : K e y V a l u e O f D i a g r a m O b j e c t K e y a n y T y p e z b w N T n L X > < a : K e y V a l u e O f D i a g r a m O b j e c t K e y a n y T y p e z b w N T n L X > < a : K e y > < K e y > T a b l e s \ G r o u n d s _ F u e l s \ C o l u m n s \ S t a t e < / K e y > < / a : K e y > < a : V a l u e   i : t y p e = " D i a g r a m D i s p l a y N o d e V i e w S t a t e " > < H e i g h t > 1 5 0 < / H e i g h t > < I s E x p a n d e d > t r u e < / I s E x p a n d e d > < W i d t h > 2 0 0 < / W i d t h > < / a : V a l u e > < / a : K e y V a l u e O f D i a g r a m O b j e c t K e y a n y T y p e z b w N T n L X > < a : K e y V a l u e O f D i a g r a m O b j e c t K e y a n y T y p e z b w N T n L X > < a : K e y > < K e y > T a b l e s \ G r o u n d s _ F u e l s \ C o l u m n s \ C o n s u m p t i o n   Q u a n t i t y   ( L ) < / K e y > < / a : K e y > < a : V a l u e   i : t y p e = " D i a g r a m D i s p l a y N o d e V i e w S t a t e " > < H e i g h t > 1 5 0 < / H e i g h t > < I s E x p a n d e d > t r u e < / I s E x p a n d e d > < W i d t h > 2 0 0 < / W i d t h > < / a : V a l u e > < / a : K e y V a l u e O f D i a g r a m O b j e c t K e y a n y T y p e z b w N T n L X > < a : K e y V a l u e O f D i a g r a m O b j e c t K e y a n y T y p e z b w N T n L X > < a : K e y > < K e y > T a b l e s \ G r o u n d s _ F u e l s \ C o l u m n s \ C o n s u m p t i o n     U n i t s < / K e y > < / a : K e y > < a : V a l u e   i : t y p e = " D i a g r a m D i s p l a y N o d e V i e w S t a t e " > < H e i g h t > 1 5 0 < / H e i g h t > < I s E x p a n d e d > t r u e < / I s E x p a n d e d > < W i d t h > 2 0 0 < / W i d t h > < / a : V a l u e > < / a : K e y V a l u e O f D i a g r a m O b j e c t K e y a n y T y p e z b w N T n L X > < a : K e y V a l u e O f D i a g r a m O b j e c t K e y a n y T y p e z b w N T n L X > < a : K e y > < K e y > T a b l e s \ G r o u n d s _ F u e l s \ C o l u m n s \ C o n s u m p t i o n   Q u a n t i t y < / K e y > < / a : K e y > < a : V a l u e   i : t y p e = " D i a g r a m D i s p l a y N o d e V i e w S t a t e " > < H e i g h t > 1 5 0 < / H e i g h t > < I s E x p a n d e d > t r u e < / I s E x p a n d e d > < W i d t h > 2 0 0 < / W i d t h > < / a : V a l u e > < / a : K e y V a l u e O f D i a g r a m O b j e c t K e y a n y T y p e z b w N T n L X > < a : K e y V a l u e O f D i a g r a m O b j e c t K e y a n y T y p e z b w N T n L X > < a : K e y > < K e y > T a b l e s \ G r o u n d s _ F u e l s \ C o l u m n s \ T o t a l   G J < / K e y > < / a : K e y > < a : V a l u e   i : t y p e = " D i a g r a m D i s p l a y N o d e V i e w S t a t e " > < H e i g h t > 1 5 0 < / H e i g h t > < I s E x p a n d e d > t r u e < / I s E x p a n d e d > < W i d t h > 2 0 0 < / W i d t h > < / a : V a l u e > < / a : K e y V a l u e O f D i a g r a m O b j e c t K e y a n y T y p e z b w N T n L X > < a : K e y V a l u e O f D i a g r a m O b j e c t K e y a n y T y p e z b w N T n L X > < a : K e y > < K e y > T a b l e s \ G r o u n d s _ F u e l s \ C o l u m n s \ S c o p e   1   k g   C O 2 - e < / K e y > < / a : K e y > < a : V a l u e   i : t y p e = " D i a g r a m D i s p l a y N o d e V i e w S t a t e " > < H e i g h t > 1 5 0 < / H e i g h t > < I s E x p a n d e d > t r u e < / I s E x p a n d e d > < W i d t h > 2 0 0 < / W i d t h > < / a : V a l u e > < / a : K e y V a l u e O f D i a g r a m O b j e c t K e y a n y T y p e z b w N T n L X > < a : K e y V a l u e O f D i a g r a m O b j e c t K e y a n y T y p e z b w N T n L X > < a : K e y > < K e y > T a b l e s \ G r o u n d s _ F u e l s \ C o l u m n s \ S c o p e   2   k g   C O 2 - e < / K e y > < / a : K e y > < a : V a l u e   i : t y p e = " D i a g r a m D i s p l a y N o d e V i e w S t a t e " > < H e i g h t > 1 5 0 < / H e i g h t > < I s E x p a n d e d > t r u e < / I s E x p a n d e d > < W i d t h > 2 0 0 < / W i d t h > < / a : V a l u e > < / a : K e y V a l u e O f D i a g r a m O b j e c t K e y a n y T y p e z b w N T n L X > < a : K e y V a l u e O f D i a g r a m O b j e c t K e y a n y T y p e z b w N T n L X > < a : K e y > < K e y > T a b l e s \ G r o u n d s _ F u e l s \ C o l u m n s \ S c o p e   3   k g   C O 2 - e < / K e y > < / a : K e y > < a : V a l u e   i : t y p e = " D i a g r a m D i s p l a y N o d e V i e w S t a t e " > < H e i g h t > 1 5 0 < / H e i g h t > < I s E x p a n d e d > t r u e < / I s E x p a n d e d > < W i d t h > 2 0 0 < / W i d t h > < / a : V a l u e > < / a : K e y V a l u e O f D i a g r a m O b j e c t K e y a n y T y p e z b w N T n L X > < a : K e y V a l u e O f D i a g r a m O b j e c t K e y a n y T y p e z b w N T n L X > < a : K e y > < K e y > T a b l e s \ G r o u n d s _ F u e l s \ C o l u m n s \ T o t a l   E m i s s i o n s < / K e y > < / a : K e y > < a : V a l u e   i : t y p e = " D i a g r a m D i s p l a y N o d e V i e w S t a t e " > < H e i g h t > 1 5 0 < / H e i g h t > < I s E x p a n d e d > t r u e < / I s E x p a n d e d > < W i d t h > 2 0 0 < / W i d t h > < / a : V a l u e > < / a : K e y V a l u e O f D i a g r a m O b j e c t K e y a n y T y p e z b w N T n L X > < a : K e y V a l u e O f D i a g r a m O b j e c t K e y a n y T y p e z b w N T n L X > < a : K e y > < K e y > T a b l e s \ G r o u n d s _ F u e l s \ M e a s u r e s \ S u m   o f   C o n s u m p t i o n   Q u a n t i t y   8 < / K e y > < / a : K e y > < a : V a l u e   i : t y p e = " D i a g r a m D i s p l a y N o d e V i e w S t a t e " > < H e i g h t > 1 5 0 < / H e i g h t > < I s E x p a n d e d > t r u e < / I s E x p a n d e d > < W i d t h > 2 0 0 < / W i d t h > < / a : V a l u e > < / a : K e y V a l u e O f D i a g r a m O b j e c t K e y a n y T y p e z b w N T n L X > < a : K e y V a l u e O f D i a g r a m O b j e c t K e y a n y T y p e z b w N T n L X > < a : K e y > < K e y > T a b l e s \ G r o u n d s _ F u e l s \ S u m   o f   C o n s u m p t i o n   Q u a n t i t y   8 \ A d d i t i o n a l   I n f o \ I m p l i c i t   C a l c u l a t e d   F i e l d < / K e y > < / a : K e y > < a : V a l u e   i : t y p e = " D i a g r a m D i s p l a y V i e w S t a t e I D i a g r a m T a g A d d i t i o n a l I n f o " / > < / a : K e y V a l u e O f D i a g r a m O b j e c t K e y a n y T y p e z b w N T n L X > < a : K e y V a l u e O f D i a g r a m O b j e c t K e y a n y T y p e z b w N T n L X > < a : K e y > < K e y > T a b l e s \ G r o u n d s _ F u e l s \ M e a s u r e s \ S u m   o f   T o t a l   G J   1 6 < / K e y > < / a : K e y > < a : V a l u e   i : t y p e = " D i a g r a m D i s p l a y N o d e V i e w S t a t e " > < H e i g h t > 1 5 0 < / H e i g h t > < I s E x p a n d e d > t r u e < / I s E x p a n d e d > < W i d t h > 2 0 0 < / W i d t h > < / a : V a l u e > < / a : K e y V a l u e O f D i a g r a m O b j e c t K e y a n y T y p e z b w N T n L X > < a : K e y V a l u e O f D i a g r a m O b j e c t K e y a n y T y p e z b w N T n L X > < a : K e y > < K e y > T a b l e s \ G r o u n d s _ F u e l s \ S u m   o f   T o t a l   G J   1 6 \ A d d i t i o n a l   I n f o \ I m p l i c i t   C a l c u l a t e d   F i e l d < / K e y > < / a : K e y > < a : V a l u e   i : t y p e = " D i a g r a m D i s p l a y V i e w S t a t e I D i a g r a m T a g A d d i t i o n a l I n f o " / > < / a : K e y V a l u e O f D i a g r a m O b j e c t K e y a n y T y p e z b w N T n L X > < a : K e y V a l u e O f D i a g r a m O b j e c t K e y a n y T y p e z b w N T n L X > < a : K e y > < K e y > T a b l e s \ G r o u n d s _ F u e l s \ M e a s u r e s \ S u m   o f   S c o p e   1   k g   C O 2 - e   1 6 < / K e y > < / a : K e y > < a : V a l u e   i : t y p e = " D i a g r a m D i s p l a y N o d e V i e w S t a t e " > < H e i g h t > 1 5 0 < / H e i g h t > < I s E x p a n d e d > t r u e < / I s E x p a n d e d > < W i d t h > 2 0 0 < / W i d t h > < / a : V a l u e > < / a : K e y V a l u e O f D i a g r a m O b j e c t K e y a n y T y p e z b w N T n L X > < a : K e y V a l u e O f D i a g r a m O b j e c t K e y a n y T y p e z b w N T n L X > < a : K e y > < K e y > T a b l e s \ G r o u n d s _ F u e l s \ S u m   o f   S c o p e   1   k g   C O 2 - e   1 6 \ A d d i t i o n a l   I n f o \ I m p l i c i t   C a l c u l a t e d   F i e l d < / K e y > < / a : K e y > < a : V a l u e   i : t y p e = " D i a g r a m D i s p l a y V i e w S t a t e I D i a g r a m T a g A d d i t i o n a l I n f o " / > < / a : K e y V a l u e O f D i a g r a m O b j e c t K e y a n y T y p e z b w N T n L X > < a : K e y V a l u e O f D i a g r a m O b j e c t K e y a n y T y p e z b w N T n L X > < a : K e y > < K e y > T a b l e s \ G r o u n d s _ F u e l s \ M e a s u r e s \ S u m   o f   S c o p e   2   k g   C O 2 - e   1 6 < / K e y > < / a : K e y > < a : V a l u e   i : t y p e = " D i a g r a m D i s p l a y N o d e V i e w S t a t e " > < H e i g h t > 1 5 0 < / H e i g h t > < I s E x p a n d e d > t r u e < / I s E x p a n d e d > < W i d t h > 2 0 0 < / W i d t h > < / a : V a l u e > < / a : K e y V a l u e O f D i a g r a m O b j e c t K e y a n y T y p e z b w N T n L X > < a : K e y V a l u e O f D i a g r a m O b j e c t K e y a n y T y p e z b w N T n L X > < a : K e y > < K e y > T a b l e s \ G r o u n d s _ F u e l s \ S u m   o f   S c o p e   2   k g   C O 2 - e   1 6 \ A d d i t i o n a l   I n f o \ I m p l i c i t   C a l c u l a t e d   F i e l d < / K e y > < / a : K e y > < a : V a l u e   i : t y p e = " D i a g r a m D i s p l a y V i e w S t a t e I D i a g r a m T a g A d d i t i o n a l I n f o " / > < / a : K e y V a l u e O f D i a g r a m O b j e c t K e y a n y T y p e z b w N T n L X > < a : K e y V a l u e O f D i a g r a m O b j e c t K e y a n y T y p e z b w N T n L X > < a : K e y > < K e y > T a b l e s \ G r o u n d s _ F u e l s \ M e a s u r e s \ S u m   o f   S c o p e   3   k g   C O 2 - e   1 6 < / K e y > < / a : K e y > < a : V a l u e   i : t y p e = " D i a g r a m D i s p l a y N o d e V i e w S t a t e " > < H e i g h t > 1 5 0 < / H e i g h t > < I s E x p a n d e d > t r u e < / I s E x p a n d e d > < W i d t h > 2 0 0 < / W i d t h > < / a : V a l u e > < / a : K e y V a l u e O f D i a g r a m O b j e c t K e y a n y T y p e z b w N T n L X > < a : K e y V a l u e O f D i a g r a m O b j e c t K e y a n y T y p e z b w N T n L X > < a : K e y > < K e y > T a b l e s \ G r o u n d s _ F u e l s \ S u m   o f   S c o p e   3   k g   C O 2 - e   1 6 \ A d d i t i o n a l   I n f o \ I m p l i c i t   C a l c u l a t e d   F i e l d < / K e y > < / a : K e y > < a : V a l u e   i : t y p e = " D i a g r a m D i s p l a y V i e w S t a t e I D i a g r a m T a g A d d i t i o n a l I n f o " / > < / a : K e y V a l u e O f D i a g r a m O b j e c t K e y a n y T y p e z b w N T n L X > < a : K e y V a l u e O f D i a g r a m O b j e c t K e y a n y T y p e z b w N T n L X > < a : K e y > < K e y > T a b l e s \ G r o u n d s _ F u e l s \ M e a s u r e s \ S u m   o f   T o t a l   E m i s s i o n s   1 6 < / K e y > < / a : K e y > < a : V a l u e   i : t y p e = " D i a g r a m D i s p l a y N o d e V i e w S t a t e " > < H e i g h t > 1 5 0 < / H e i g h t > < I s E x p a n d e d > t r u e < / I s E x p a n d e d > < W i d t h > 2 0 0 < / W i d t h > < / a : V a l u e > < / a : K e y V a l u e O f D i a g r a m O b j e c t K e y a n y T y p e z b w N T n L X > < a : K e y V a l u e O f D i a g r a m O b j e c t K e y a n y T y p e z b w N T n L X > < a : K e y > < K e y > T a b l e s \ G r o u n d s _ F u e l s \ S u m   o f   T o t a l   E m i s s i o n s   1 6 \ A d d i t i o n a l   I n f o \ I m p l i c i t   C a l c u l a t e d   F i e l d < / K e y > < / a : K e y > < a : V a l u e   i : t y p e = " D i a g r a m D i s p l a y V i e w S t a t e I D i a g r a m T a g A d d i t i o n a l I n f o " / > < / a : K e y V a l u e O f D i a g r a m O b j e c t K e y a n y T y p e z b w N T n L X > < a : K e y V a l u e O f D i a g r a m O b j e c t K e y a n y T y p e z b w N T n L X > < a : K e y > < K e y > T a b l e s \ C o n t r a c t o r _ F u e l s < / K e y > < / a : K e y > < a : V a l u e   i : t y p e = " D i a g r a m D i s p l a y N o d e V i e w S t a t e " > < H e i g h t > 1 5 0 < / H e i g h t > < I s E x p a n d e d > t r u e < / I s E x p a n d e d > < L a y e d O u t > t r u e < / L a y e d O u t > < L e f t > 0 . 4 2 2 8 6 3 4 0 5 9 9 5 0 3 0 9 2 < / L e f t > < T a b I n d e x > 1 8 < / T a b I n d e x > < T o p > 6 0 5 . 5 < / T o p > < W i d t h > 2 0 0 < / W i d t h > < / a : V a l u e > < / a : K e y V a l u e O f D i a g r a m O b j e c t K e y a n y T y p e z b w N T n L X > < a : K e y V a l u e O f D i a g r a m O b j e c t K e y a n y T y p e z b w N T n L X > < a : K e y > < K e y > T a b l e s \ C o n t r a c t o r _ F u e l s \ C o l u m n s \ R e p o r t i n g   A l i a s < / K e y > < / a : K e y > < a : V a l u e   i : t y p e = " D i a g r a m D i s p l a y N o d e V i e w S t a t e " > < H e i g h t > 1 5 0 < / H e i g h t > < I s E x p a n d e d > t r u e < / I s E x p a n d e d > < W i d t h > 2 0 0 < / W i d t h > < / a : V a l u e > < / a : K e y V a l u e O f D i a g r a m O b j e c t K e y a n y T y p e z b w N T n L X > < a : K e y V a l u e O f D i a g r a m O b j e c t K e y a n y T y p e z b w N T n L X > < a : K e y > < K e y > T a b l e s \ C o n t r a c t o r _ F u e l s \ C o l u m n s \ C o n t r a c t o r   t y p e < / K e y > < / a : K e y > < a : V a l u e   i : t y p e = " D i a g r a m D i s p l a y N o d e V i e w S t a t e " > < H e i g h t > 1 5 0 < / H e i g h t > < I s E x p a n d e d > t r u e < / I s E x p a n d e d > < W i d t h > 2 0 0 < / W i d t h > < / a : V a l u e > < / a : K e y V a l u e O f D i a g r a m O b j e c t K e y a n y T y p e z b w N T n L X > < a : K e y V a l u e O f D i a g r a m O b j e c t K e y a n y T y p e z b w N T n L X > < a : K e y > < K e y > T a b l e s \ C o n t r a c t o r _ F u e l s \ C o l u m n s \ S o u r c e   N a m e < / K e y > < / a : K e y > < a : V a l u e   i : t y p e = " D i a g r a m D i s p l a y N o d e V i e w S t a t e " > < H e i g h t > 1 5 0 < / H e i g h t > < I s E x p a n d e d > t r u e < / I s E x p a n d e d > < W i d t h > 2 0 0 < / W i d t h > < / a : V a l u e > < / a : K e y V a l u e O f D i a g r a m O b j e c t K e y a n y T y p e z b w N T n L X > < a : K e y V a l u e O f D i a g r a m O b j e c t K e y a n y T y p e z b w N T n L X > < a : K e y > < K e y > T a b l e s \ C o n t r a c t o r _ F u e l s \ C o l u m n s \ A c t i v i t y   T y p e < / K e y > < / a : K e y > < a : V a l u e   i : t y p e = " D i a g r a m D i s p l a y N o d e V i e w S t a t e " > < H e i g h t > 1 5 0 < / H e i g h t > < I s E x p a n d e d > t r u e < / I s E x p a n d e d > < W i d t h > 2 0 0 < / W i d t h > < / a : V a l u e > < / a : K e y V a l u e O f D i a g r a m O b j e c t K e y a n y T y p e z b w N T n L X > < a : K e y V a l u e O f D i a g r a m O b j e c t K e y a n y T y p e z b w N T n L X > < a : K e y > < K e y > T a b l e s \ C o n t r a c t o r _ F u e l s \ C o l u m n s \ A c t i v i t y   T y p e   C o n t e x t < / K e y > < / a : K e y > < a : V a l u e   i : t y p e = " D i a g r a m D i s p l a y N o d e V i e w S t a t e " > < H e i g h t > 1 5 0 < / H e i g h t > < I s E x p a n d e d > t r u e < / I s E x p a n d e d > < W i d t h > 2 0 0 < / W i d t h > < / a : V a l u e > < / a : K e y V a l u e O f D i a g r a m O b j e c t K e y a n y T y p e z b w N T n L X > < a : K e y V a l u e O f D i a g r a m O b j e c t K e y a n y T y p e z b w N T n L X > < a : K e y > < K e y > T a b l e s \ C o n t r a c t o r _ F u e l s \ C o l u m n s \ E n t i t y < / K e y > < / a : K e y > < a : V a l u e   i : t y p e = " D i a g r a m D i s p l a y N o d e V i e w S t a t e " > < H e i g h t > 1 5 0 < / H e i g h t > < I s E x p a n d e d > t r u e < / I s E x p a n d e d > < W i d t h > 2 0 0 < / W i d t h > < / a : V a l u e > < / a : K e y V a l u e O f D i a g r a m O b j e c t K e y a n y T y p e z b w N T n L X > < a : K e y V a l u e O f D i a g r a m O b j e c t K e y a n y T y p e z b w N T n L X > < a : K e y > < K e y > T a b l e s \ C o n t r a c t o r _ F u e l s \ C o l u m n s \ F u e l < / K e y > < / a : K e y > < a : V a l u e   i : t y p e = " D i a g r a m D i s p l a y N o d e V i e w S t a t e " > < H e i g h t > 1 5 0 < / H e i g h t > < I s E x p a n d e d > t r u e < / I s E x p a n d e d > < W i d t h > 2 0 0 < / W i d t h > < / a : V a l u e > < / a : K e y V a l u e O f D i a g r a m O b j e c t K e y a n y T y p e z b w N T n L X > < a : K e y V a l u e O f D i a g r a m O b j e c t K e y a n y T y p e z b w N T n L X > < a : K e y > < K e y > T a b l e s \ C o n t r a c t o r _ F u e l s \ C o l u m n s \ S t a t e < / K e y > < / a : K e y > < a : V a l u e   i : t y p e = " D i a g r a m D i s p l a y N o d e V i e w S t a t e " > < H e i g h t > 1 5 0 < / H e i g h t > < I s E x p a n d e d > t r u e < / I s E x p a n d e d > < W i d t h > 2 0 0 < / W i d t h > < / a : V a l u e > < / a : K e y V a l u e O f D i a g r a m O b j e c t K e y a n y T y p e z b w N T n L X > < a : K e y V a l u e O f D i a g r a m O b j e c t K e y a n y T y p e z b w N T n L X > < a : K e y > < K e y > T a b l e s \ C o n t r a c t o r _ F u e l s \ C o l u m n s \ C o n s u m p t i o n   Q u a n t i t y   ( L ) < / K e y > < / a : K e y > < a : V a l u e   i : t y p e = " D i a g r a m D i s p l a y N o d e V i e w S t a t e " > < H e i g h t > 1 5 0 < / H e i g h t > < I s E x p a n d e d > t r u e < / I s E x p a n d e d > < W i d t h > 2 0 0 < / W i d t h > < / a : V a l u e > < / a : K e y V a l u e O f D i a g r a m O b j e c t K e y a n y T y p e z b w N T n L X > < a : K e y V a l u e O f D i a g r a m O b j e c t K e y a n y T y p e z b w N T n L X > < a : K e y > < K e y > T a b l e s \ C o n t r a c t o r _ F u e l s \ C o l u m n s \ C o n s u m p t i o n     U n i t s < / K e y > < / a : K e y > < a : V a l u e   i : t y p e = " D i a g r a m D i s p l a y N o d e V i e w S t a t e " > < H e i g h t > 1 5 0 < / H e i g h t > < I s E x p a n d e d > t r u e < / I s E x p a n d e d > < W i d t h > 2 0 0 < / W i d t h > < / a : V a l u e > < / a : K e y V a l u e O f D i a g r a m O b j e c t K e y a n y T y p e z b w N T n L X > < a : K e y V a l u e O f D i a g r a m O b j e c t K e y a n y T y p e z b w N T n L X > < a : K e y > < K e y > T a b l e s \ C o n t r a c t o r _ F u e l s \ C o l u m n s \ C o n s u m p t i o n   Q u a n t i t y < / K e y > < / a : K e y > < a : V a l u e   i : t y p e = " D i a g r a m D i s p l a y N o d e V i e w S t a t e " > < H e i g h t > 1 5 0 < / H e i g h t > < I s E x p a n d e d > t r u e < / I s E x p a n d e d > < W i d t h > 2 0 0 < / W i d t h > < / a : V a l u e > < / a : K e y V a l u e O f D i a g r a m O b j e c t K e y a n y T y p e z b w N T n L X > < a : K e y V a l u e O f D i a g r a m O b j e c t K e y a n y T y p e z b w N T n L X > < a : K e y > < K e y > T a b l e s \ C o n t r a c t o r _ F u e l s \ C o l u m n s \ T o t a l   G J < / K e y > < / a : K e y > < a : V a l u e   i : t y p e = " D i a g r a m D i s p l a y N o d e V i e w S t a t e " > < H e i g h t > 1 5 0 < / H e i g h t > < I s E x p a n d e d > t r u e < / I s E x p a n d e d > < W i d t h > 2 0 0 < / W i d t h > < / a : V a l u e > < / a : K e y V a l u e O f D i a g r a m O b j e c t K e y a n y T y p e z b w N T n L X > < a : K e y V a l u e O f D i a g r a m O b j e c t K e y a n y T y p e z b w N T n L X > < a : K e y > < K e y > T a b l e s \ C o n t r a c t o r _ F u e l s \ C o l u m n s \ S c o p e   1   k g   C O 2 - e < / K e y > < / a : K e y > < a : V a l u e   i : t y p e = " D i a g r a m D i s p l a y N o d e V i e w S t a t e " > < H e i g h t > 1 5 0 < / H e i g h t > < I s E x p a n d e d > t r u e < / I s E x p a n d e d > < W i d t h > 2 0 0 < / W i d t h > < / a : V a l u e > < / a : K e y V a l u e O f D i a g r a m O b j e c t K e y a n y T y p e z b w N T n L X > < a : K e y V a l u e O f D i a g r a m O b j e c t K e y a n y T y p e z b w N T n L X > < a : K e y > < K e y > T a b l e s \ C o n t r a c t o r _ F u e l s \ C o l u m n s \ S c o p e   2   k g   C O 2 - e < / K e y > < / a : K e y > < a : V a l u e   i : t y p e = " D i a g r a m D i s p l a y N o d e V i e w S t a t e " > < H e i g h t > 1 5 0 < / H e i g h t > < I s E x p a n d e d > t r u e < / I s E x p a n d e d > < W i d t h > 2 0 0 < / W i d t h > < / a : V a l u e > < / a : K e y V a l u e O f D i a g r a m O b j e c t K e y a n y T y p e z b w N T n L X > < a : K e y V a l u e O f D i a g r a m O b j e c t K e y a n y T y p e z b w N T n L X > < a : K e y > < K e y > T a b l e s \ C o n t r a c t o r _ F u e l s \ C o l u m n s \ S c o p e   3   k g   C O 2 - e < / K e y > < / a : K e y > < a : V a l u e   i : t y p e = " D i a g r a m D i s p l a y N o d e V i e w S t a t e " > < H e i g h t > 1 5 0 < / H e i g h t > < I s E x p a n d e d > t r u e < / I s E x p a n d e d > < W i d t h > 2 0 0 < / W i d t h > < / a : V a l u e > < / a : K e y V a l u e O f D i a g r a m O b j e c t K e y a n y T y p e z b w N T n L X > < a : K e y V a l u e O f D i a g r a m O b j e c t K e y a n y T y p e z b w N T n L X > < a : K e y > < K e y > T a b l e s \ C o n t r a c t o r _ F u e l s \ C o l u m n s \ T o t a l   E m i s s i o n s < / K e y > < / a : K e y > < a : V a l u e   i : t y p e = " D i a g r a m D i s p l a y N o d e V i e w S t a t e " > < H e i g h t > 1 5 0 < / H e i g h t > < I s E x p a n d e d > t r u e < / I s E x p a n d e d > < W i d t h > 2 0 0 < / W i d t h > < / a : V a l u e > < / a : K e y V a l u e O f D i a g r a m O b j e c t K e y a n y T y p e z b w N T n L X > < a : K e y V a l u e O f D i a g r a m O b j e c t K e y a n y T y p e z b w N T n L X > < a : K e y > < K e y > T a b l e s \ C o n t r a c t o r _ F u e l s \ M e a s u r e s \ S u m   o f   C o n s u m p t i o n   Q u a n t i t y   1 0 < / K e y > < / a : K e y > < a : V a l u e   i : t y p e = " D i a g r a m D i s p l a y N o d e V i e w S t a t e " > < H e i g h t > 1 5 0 < / H e i g h t > < I s E x p a n d e d > t r u e < / I s E x p a n d e d > < W i d t h > 2 0 0 < / W i d t h > < / a : V a l u e > < / a : K e y V a l u e O f D i a g r a m O b j e c t K e y a n y T y p e z b w N T n L X > < a : K e y V a l u e O f D i a g r a m O b j e c t K e y a n y T y p e z b w N T n L X > < a : K e y > < K e y > T a b l e s \ C o n t r a c t o r _ F u e l s \ S u m   o f   C o n s u m p t i o n   Q u a n t i t y   1 0 \ A d d i t i o n a l   I n f o \ I m p l i c i t   C a l c u l a t e d   F i e l d < / K e y > < / a : K e y > < a : V a l u e   i : t y p e = " D i a g r a m D i s p l a y V i e w S t a t e I D i a g r a m T a g A d d i t i o n a l I n f o " / > < / a : K e y V a l u e O f D i a g r a m O b j e c t K e y a n y T y p e z b w N T n L X > < a : K e y V a l u e O f D i a g r a m O b j e c t K e y a n y T y p e z b w N T n L X > < a : K e y > < K e y > T a b l e s \ C o n t r a c t o r _ F u e l s \ M e a s u r e s \ S u m   o f   T o t a l   G J   1 0 < / K e y > < / a : K e y > < a : V a l u e   i : t y p e = " D i a g r a m D i s p l a y N o d e V i e w S t a t e " > < H e i g h t > 1 5 0 < / H e i g h t > < I s E x p a n d e d > t r u e < / I s E x p a n d e d > < W i d t h > 2 0 0 < / W i d t h > < / a : V a l u e > < / a : K e y V a l u e O f D i a g r a m O b j e c t K e y a n y T y p e z b w N T n L X > < a : K e y V a l u e O f D i a g r a m O b j e c t K e y a n y T y p e z b w N T n L X > < a : K e y > < K e y > T a b l e s \ C o n t r a c t o r _ F u e l s \ S u m   o f   T o t a l   G J   1 0 \ A d d i t i o n a l   I n f o \ I m p l i c i t   C a l c u l a t e d   F i e l d < / K e y > < / a : K e y > < a : V a l u e   i : t y p e = " D i a g r a m D i s p l a y V i e w S t a t e I D i a g r a m T a g A d d i t i o n a l I n f o " / > < / a : K e y V a l u e O f D i a g r a m O b j e c t K e y a n y T y p e z b w N T n L X > < a : K e y V a l u e O f D i a g r a m O b j e c t K e y a n y T y p e z b w N T n L X > < a : K e y > < K e y > T a b l e s \ C o n t r a c t o r _ F u e l s \ M e a s u r e s \ S u m   o f   S c o p e   1   k g   C O 2 - e   1 0 < / K e y > < / a : K e y > < a : V a l u e   i : t y p e = " D i a g r a m D i s p l a y N o d e V i e w S t a t e " > < H e i g h t > 1 5 0 < / H e i g h t > < I s E x p a n d e d > t r u e < / I s E x p a n d e d > < W i d t h > 2 0 0 < / W i d t h > < / a : V a l u e > < / a : K e y V a l u e O f D i a g r a m O b j e c t K e y a n y T y p e z b w N T n L X > < a : K e y V a l u e O f D i a g r a m O b j e c t K e y a n y T y p e z b w N T n L X > < a : K e y > < K e y > T a b l e s \ C o n t r a c t o r _ F u e l s \ S u m   o f   S c o p e   1   k g   C O 2 - e   1 0 \ A d d i t i o n a l   I n f o \ I m p l i c i t   C a l c u l a t e d   F i e l d < / K e y > < / a : K e y > < a : V a l u e   i : t y p e = " D i a g r a m D i s p l a y V i e w S t a t e I D i a g r a m T a g A d d i t i o n a l I n f o " / > < / a : K e y V a l u e O f D i a g r a m O b j e c t K e y a n y T y p e z b w N T n L X > < a : K e y V a l u e O f D i a g r a m O b j e c t K e y a n y T y p e z b w N T n L X > < a : K e y > < K e y > T a b l e s \ C o n t r a c t o r _ F u e l s \ M e a s u r e s \ S u m   o f   S c o p e   2   k g   C O 2 - e   1 0 < / K e y > < / a : K e y > < a : V a l u e   i : t y p e = " D i a g r a m D i s p l a y N o d e V i e w S t a t e " > < H e i g h t > 1 5 0 < / H e i g h t > < I s E x p a n d e d > t r u e < / I s E x p a n d e d > < W i d t h > 2 0 0 < / W i d t h > < / a : V a l u e > < / a : K e y V a l u e O f D i a g r a m O b j e c t K e y a n y T y p e z b w N T n L X > < a : K e y V a l u e O f D i a g r a m O b j e c t K e y a n y T y p e z b w N T n L X > < a : K e y > < K e y > T a b l e s \ C o n t r a c t o r _ F u e l s \ S u m   o f   S c o p e   2   k g   C O 2 - e   1 0 \ A d d i t i o n a l   I n f o \ I m p l i c i t   C a l c u l a t e d   F i e l d < / K e y > < / a : K e y > < a : V a l u e   i : t y p e = " D i a g r a m D i s p l a y V i e w S t a t e I D i a g r a m T a g A d d i t i o n a l I n f o " / > < / a : K e y V a l u e O f D i a g r a m O b j e c t K e y a n y T y p e z b w N T n L X > < a : K e y V a l u e O f D i a g r a m O b j e c t K e y a n y T y p e z b w N T n L X > < a : K e y > < K e y > T a b l e s \ C o n t r a c t o r _ F u e l s \ M e a s u r e s \ S u m   o f   S c o p e   3   k g   C O 2 - e   1 0 < / K e y > < / a : K e y > < a : V a l u e   i : t y p e = " D i a g r a m D i s p l a y N o d e V i e w S t a t e " > < H e i g h t > 1 5 0 < / H e i g h t > < I s E x p a n d e d > t r u e < / I s E x p a n d e d > < W i d t h > 2 0 0 < / W i d t h > < / a : V a l u e > < / a : K e y V a l u e O f D i a g r a m O b j e c t K e y a n y T y p e z b w N T n L X > < a : K e y V a l u e O f D i a g r a m O b j e c t K e y a n y T y p e z b w N T n L X > < a : K e y > < K e y > T a b l e s \ C o n t r a c t o r _ F u e l s \ S u m   o f   S c o p e   3   k g   C O 2 - e   1 0 \ A d d i t i o n a l   I n f o \ I m p l i c i t   C a l c u l a t e d   F i e l d < / K e y > < / a : K e y > < a : V a l u e   i : t y p e = " D i a g r a m D i s p l a y V i e w S t a t e I D i a g r a m T a g A d d i t i o n a l I n f o " / > < / a : K e y V a l u e O f D i a g r a m O b j e c t K e y a n y T y p e z b w N T n L X > < a : K e y V a l u e O f D i a g r a m O b j e c t K e y a n y T y p e z b w N T n L X > < a : K e y > < K e y > T a b l e s \ C o n t r a c t o r _ F u e l s \ M e a s u r e s \ S u m   o f   T o t a l   E m i s s i o n s   1 0 < / K e y > < / a : K e y > < a : V a l u e   i : t y p e = " D i a g r a m D i s p l a y N o d e V i e w S t a t e " > < H e i g h t > 1 5 0 < / H e i g h t > < I s E x p a n d e d > t r u e < / I s E x p a n d e d > < W i d t h > 2 0 0 < / W i d t h > < / a : V a l u e > < / a : K e y V a l u e O f D i a g r a m O b j e c t K e y a n y T y p e z b w N T n L X > < a : K e y V a l u e O f D i a g r a m O b j e c t K e y a n y T y p e z b w N T n L X > < a : K e y > < K e y > T a b l e s \ C o n t r a c t o r _ F u e l s \ S u m   o f   T o t a l   E m i s s i o n s   1 0 \ A d d i t i o n a l   I n f o \ I m p l i c i t   C a l c u l a t e d   F i e l d < / K e y > < / a : K e y > < a : V a l u e   i : t y p e = " D i a g r a m D i s p l a y V i e w S t a t e I D i a g r a m T a g A d d i t i o n a l I n f o " / > < / a : K e y V a l u e O f D i a g r a m O b j e c t K e y a n y T y p e z b w N T n L X > < a : K e y V a l u e O f D i a g r a m O b j e c t K e y a n y T y p e z b w N T n L X > < a : K e y > < K e y > T a b l e s \ A V I S < / K e y > < / a : K e y > < a : V a l u e   i : t y p e = " D i a g r a m D i s p l a y N o d e V i e w S t a t e " > < H e i g h t > 1 5 0 < / H e i g h t > < I s E x p a n d e d > t r u e < / I s E x p a n d e d > < L a y e d O u t > t r u e < / L a y e d O u t > < T a b I n d e x > 1 2 < / T a b I n d e x > < T o p > 4 2 4 . 5 < / T o p > < W i d t h > 2 0 0 < / W i d t h > < / a : V a l u e > < / a : K e y V a l u e O f D i a g r a m O b j e c t K e y a n y T y p e z b w N T n L X > < a : K e y V a l u e O f D i a g r a m O b j e c t K e y a n y T y p e z b w N T n L X > < a : K e y > < K e y > T a b l e s \ A V I S \ C o l u m n s \ R e p o r t i n g   A l i a s < / K e y > < / a : K e y > < a : V a l u e   i : t y p e = " D i a g r a m D i s p l a y N o d e V i e w S t a t e " > < H e i g h t > 1 5 0 < / H e i g h t > < I s E x p a n d e d > t r u e < / I s E x p a n d e d > < W i d t h > 2 0 0 < / W i d t h > < / a : V a l u e > < / a : K e y V a l u e O f D i a g r a m O b j e c t K e y a n y T y p e z b w N T n L X > < a : K e y V a l u e O f D i a g r a m O b j e c t K e y a n y T y p e z b w N T n L X > < a : K e y > < K e y > T a b l e s \ A V I S \ C o l u m n s \ S o u r c e   N a m e < / K e y > < / a : K e y > < a : V a l u e   i : t y p e = " D i a g r a m D i s p l a y N o d e V i e w S t a t e " > < H e i g h t > 1 5 0 < / H e i g h t > < I s E x p a n d e d > t r u e < / I s E x p a n d e d > < W i d t h > 2 0 0 < / W i d t h > < / a : V a l u e > < / a : K e y V a l u e O f D i a g r a m O b j e c t K e y a n y T y p e z b w N T n L X > < a : K e y V a l u e O f D i a g r a m O b j e c t K e y a n y T y p e z b w N T n L X > < a : K e y > < K e y > T a b l e s \ A V I S \ C o l u m n s \ A c t i v i t y   T y p e < / K e y > < / a : K e y > < a : V a l u e   i : t y p e = " D i a g r a m D i s p l a y N o d e V i e w S t a t e " > < H e i g h t > 1 5 0 < / H e i g h t > < I s E x p a n d e d > t r u e < / I s E x p a n d e d > < W i d t h > 2 0 0 < / W i d t h > < / a : V a l u e > < / a : K e y V a l u e O f D i a g r a m O b j e c t K e y a n y T y p e z b w N T n L X > < a : K e y V a l u e O f D i a g r a m O b j e c t K e y a n y T y p e z b w N T n L X > < a : K e y > < K e y > T a b l e s \ A V I S \ C o l u m n s \ A c t i v i t y   T y p e   C o n t e x t < / K e y > < / a : K e y > < a : V a l u e   i : t y p e = " D i a g r a m D i s p l a y N o d e V i e w S t a t e " > < H e i g h t > 1 5 0 < / H e i g h t > < I s E x p a n d e d > t r u e < / I s E x p a n d e d > < W i d t h > 2 0 0 < / W i d t h > < / a : V a l u e > < / a : K e y V a l u e O f D i a g r a m O b j e c t K e y a n y T y p e z b w N T n L X > < a : K e y V a l u e O f D i a g r a m O b j e c t K e y a n y T y p e z b w N T n L X > < a : K e y > < K e y > T a b l e s \ A V I S \ C o l u m n s \ E n t i t y < / K e y > < / a : K e y > < a : V a l u e   i : t y p e = " D i a g r a m D i s p l a y N o d e V i e w S t a t e " > < H e i g h t > 1 5 0 < / H e i g h t > < I s E x p a n d e d > t r u e < / I s E x p a n d e d > < W i d t h > 2 0 0 < / W i d t h > < / a : V a l u e > < / a : K e y V a l u e O f D i a g r a m O b j e c t K e y a n y T y p e z b w N T n L X > < a : K e y V a l u e O f D i a g r a m O b j e c t K e y a n y T y p e z b w N T n L X > < a : K e y > < K e y > T a b l e s \ A V I S \ C o l u m n s \ F u e l < / K e y > < / a : K e y > < a : V a l u e   i : t y p e = " D i a g r a m D i s p l a y N o d e V i e w S t a t e " > < H e i g h t > 1 5 0 < / H e i g h t > < I s E x p a n d e d > t r u e < / I s E x p a n d e d > < W i d t h > 2 0 0 < / W i d t h > < / a : V a l u e > < / a : K e y V a l u e O f D i a g r a m O b j e c t K e y a n y T y p e z b w N T n L X > < a : K e y V a l u e O f D i a g r a m O b j e c t K e y a n y T y p e z b w N T n L X > < a : K e y > < K e y > T a b l e s \ A V I S \ C o l u m n s \ S t a t e < / K e y > < / a : K e y > < a : V a l u e   i : t y p e = " D i a g r a m D i s p l a y N o d e V i e w S t a t e " > < H e i g h t > 1 5 0 < / H e i g h t > < I s E x p a n d e d > t r u e < / I s E x p a n d e d > < W i d t h > 2 0 0 < / W i d t h > < / a : V a l u e > < / a : K e y V a l u e O f D i a g r a m O b j e c t K e y a n y T y p e z b w N T n L X > < a : K e y V a l u e O f D i a g r a m O b j e c t K e y a n y T y p e z b w N T n L X > < a : K e y > < K e y > T a b l e s \ A V I S \ C o l u m n s \ C o n s u m p t i o n   Q u a n t i t y   ( L ) < / K e y > < / a : K e y > < a : V a l u e   i : t y p e = " D i a g r a m D i s p l a y N o d e V i e w S t a t e " > < H e i g h t > 1 5 0 < / H e i g h t > < I s E x p a n d e d > t r u e < / I s E x p a n d e d > < W i d t h > 2 0 0 < / W i d t h > < / a : V a l u e > < / a : K e y V a l u e O f D i a g r a m O b j e c t K e y a n y T y p e z b w N T n L X > < a : K e y V a l u e O f D i a g r a m O b j e c t K e y a n y T y p e z b w N T n L X > < a : K e y > < K e y > T a b l e s \ A V I S \ C o l u m n s \ C o n s u m p t i o n   U n i t s < / K e y > < / a : K e y > < a : V a l u e   i : t y p e = " D i a g r a m D i s p l a y N o d e V i e w S t a t e " > < H e i g h t > 1 5 0 < / H e i g h t > < I s E x p a n d e d > t r u e < / I s E x p a n d e d > < W i d t h > 2 0 0 < / W i d t h > < / a : V a l u e > < / a : K e y V a l u e O f D i a g r a m O b j e c t K e y a n y T y p e z b w N T n L X > < a : K e y V a l u e O f D i a g r a m O b j e c t K e y a n y T y p e z b w N T n L X > < a : K e y > < K e y > T a b l e s \ A V I S \ C o l u m n s \ C o n s u m p t i o n   Q u a n t i t y < / K e y > < / a : K e y > < a : V a l u e   i : t y p e = " D i a g r a m D i s p l a y N o d e V i e w S t a t e " > < H e i g h t > 1 5 0 < / H e i g h t > < I s E x p a n d e d > t r u e < / I s E x p a n d e d > < W i d t h > 2 0 0 < / W i d t h > < / a : V a l u e > < / a : K e y V a l u e O f D i a g r a m O b j e c t K e y a n y T y p e z b w N T n L X > < a : K e y V a l u e O f D i a g r a m O b j e c t K e y a n y T y p e z b w N T n L X > < a : K e y > < K e y > T a b l e s \ A V I S \ C o l u m n s \ T o t a l   G J < / K e y > < / a : K e y > < a : V a l u e   i : t y p e = " D i a g r a m D i s p l a y N o d e V i e w S t a t e " > < H e i g h t > 1 5 0 < / H e i g h t > < I s E x p a n d e d > t r u e < / I s E x p a n d e d > < W i d t h > 2 0 0 < / W i d t h > < / a : V a l u e > < / a : K e y V a l u e O f D i a g r a m O b j e c t K e y a n y T y p e z b w N T n L X > < a : K e y V a l u e O f D i a g r a m O b j e c t K e y a n y T y p e z b w N T n L X > < a : K e y > < K e y > T a b l e s \ A V I S \ C o l u m n s \ S c o p e   1   k g   C O 2 - e < / K e y > < / a : K e y > < a : V a l u e   i : t y p e = " D i a g r a m D i s p l a y N o d e V i e w S t a t e " > < H e i g h t > 1 5 0 < / H e i g h t > < I s E x p a n d e d > t r u e < / I s E x p a n d e d > < W i d t h > 2 0 0 < / W i d t h > < / a : V a l u e > < / a : K e y V a l u e O f D i a g r a m O b j e c t K e y a n y T y p e z b w N T n L X > < a : K e y V a l u e O f D i a g r a m O b j e c t K e y a n y T y p e z b w N T n L X > < a : K e y > < K e y > T a b l e s \ A V I S \ C o l u m n s \ S c o p e   2   k g   C O 2 - e < / K e y > < / a : K e y > < a : V a l u e   i : t y p e = " D i a g r a m D i s p l a y N o d e V i e w S t a t e " > < H e i g h t > 1 5 0 < / H e i g h t > < I s E x p a n d e d > t r u e < / I s E x p a n d e d > < W i d t h > 2 0 0 < / W i d t h > < / a : V a l u e > < / a : K e y V a l u e O f D i a g r a m O b j e c t K e y a n y T y p e z b w N T n L X > < a : K e y V a l u e O f D i a g r a m O b j e c t K e y a n y T y p e z b w N T n L X > < a : K e y > < K e y > T a b l e s \ A V I S \ C o l u m n s \ S c o p e   3   k g   C O 2 - e < / K e y > < / a : K e y > < a : V a l u e   i : t y p e = " D i a g r a m D i s p l a y N o d e V i e w S t a t e " > < H e i g h t > 1 5 0 < / H e i g h t > < I s E x p a n d e d > t r u e < / I s E x p a n d e d > < W i d t h > 2 0 0 < / W i d t h > < / a : V a l u e > < / a : K e y V a l u e O f D i a g r a m O b j e c t K e y a n y T y p e z b w N T n L X > < a : K e y V a l u e O f D i a g r a m O b j e c t K e y a n y T y p e z b w N T n L X > < a : K e y > < K e y > T a b l e s \ A V I S \ C o l u m n s \ T o t a l   E m i s s i o n s < / K e y > < / a : K e y > < a : V a l u e   i : t y p e = " D i a g r a m D i s p l a y N o d e V i e w S t a t e " > < H e i g h t > 1 5 0 < / H e i g h t > < I s E x p a n d e d > t r u e < / I s E x p a n d e d > < W i d t h > 2 0 0 < / W i d t h > < / a : V a l u e > < / a : K e y V a l u e O f D i a g r a m O b j e c t K e y a n y T y p e z b w N T n L X > < a : K e y V a l u e O f D i a g r a m O b j e c t K e y a n y T y p e z b w N T n L X > < a : K e y > < K e y > T a b l e s \ A V I S \ M e a s u r e s \ S u m   o f   C o n s u m p t i o n   Q u a n t i t y   1 3 < / K e y > < / a : K e y > < a : V a l u e   i : t y p e = " D i a g r a m D i s p l a y N o d e V i e w S t a t e " > < H e i g h t > 1 5 0 < / H e i g h t > < I s E x p a n d e d > t r u e < / I s E x p a n d e d > < W i d t h > 2 0 0 < / W i d t h > < / a : V a l u e > < / a : K e y V a l u e O f D i a g r a m O b j e c t K e y a n y T y p e z b w N T n L X > < a : K e y V a l u e O f D i a g r a m O b j e c t K e y a n y T y p e z b w N T n L X > < a : K e y > < K e y > T a b l e s \ A V I S \ S u m   o f   C o n s u m p t i o n   Q u a n t i t y   1 3 \ A d d i t i o n a l   I n f o \ I m p l i c i t   C a l c u l a t e d   F i e l d < / K e y > < / a : K e y > < a : V a l u e   i : t y p e = " D i a g r a m D i s p l a y V i e w S t a t e I D i a g r a m T a g A d d i t i o n a l I n f o " / > < / a : K e y V a l u e O f D i a g r a m O b j e c t K e y a n y T y p e z b w N T n L X > < a : K e y V a l u e O f D i a g r a m O b j e c t K e y a n y T y p e z b w N T n L X > < a : K e y > < K e y > T a b l e s \ A V I S \ M e a s u r e s \ S u m   o f   T o t a l   G J   8 < / K e y > < / a : K e y > < a : V a l u e   i : t y p e = " D i a g r a m D i s p l a y N o d e V i e w S t a t e " > < H e i g h t > 1 5 0 < / H e i g h t > < I s E x p a n d e d > t r u e < / I s E x p a n d e d > < W i d t h > 2 0 0 < / W i d t h > < / a : V a l u e > < / a : K e y V a l u e O f D i a g r a m O b j e c t K e y a n y T y p e z b w N T n L X > < a : K e y V a l u e O f D i a g r a m O b j e c t K e y a n y T y p e z b w N T n L X > < a : K e y > < K e y > T a b l e s \ A V I S \ S u m   o f   T o t a l   G J   8 \ A d d i t i o n a l   I n f o \ I m p l i c i t   C a l c u l a t e d   F i e l d < / K e y > < / a : K e y > < a : V a l u e   i : t y p e = " D i a g r a m D i s p l a y V i e w S t a t e I D i a g r a m T a g A d d i t i o n a l I n f o " / > < / a : K e y V a l u e O f D i a g r a m O b j e c t K e y a n y T y p e z b w N T n L X > < a : K e y V a l u e O f D i a g r a m O b j e c t K e y a n y T y p e z b w N T n L X > < a : K e y > < K e y > T a b l e s \ A V I S \ M e a s u r e s \ S u m   o f   S c o p e   1   k g   C O 2 - e   8 < / K e y > < / a : K e y > < a : V a l u e   i : t y p e = " D i a g r a m D i s p l a y N o d e V i e w S t a t e " > < H e i g h t > 1 5 0 < / H e i g h t > < I s E x p a n d e d > t r u e < / I s E x p a n d e d > < W i d t h > 2 0 0 < / W i d t h > < / a : V a l u e > < / a : K e y V a l u e O f D i a g r a m O b j e c t K e y a n y T y p e z b w N T n L X > < a : K e y V a l u e O f D i a g r a m O b j e c t K e y a n y T y p e z b w N T n L X > < a : K e y > < K e y > T a b l e s \ A V I S \ S u m   o f   S c o p e   1   k g   C O 2 - e   8 \ A d d i t i o n a l   I n f o \ I m p l i c i t   C a l c u l a t e d   F i e l d < / K e y > < / a : K e y > < a : V a l u e   i : t y p e = " D i a g r a m D i s p l a y V i e w S t a t e I D i a g r a m T a g A d d i t i o n a l I n f o " / > < / a : K e y V a l u e O f D i a g r a m O b j e c t K e y a n y T y p e z b w N T n L X > < a : K e y V a l u e O f D i a g r a m O b j e c t K e y a n y T y p e z b w N T n L X > < a : K e y > < K e y > T a b l e s \ A V I S \ M e a s u r e s \ S u m   o f   S c o p e   2   k g   C O 2 - e   8 < / K e y > < / a : K e y > < a : V a l u e   i : t y p e = " D i a g r a m D i s p l a y N o d e V i e w S t a t e " > < H e i g h t > 1 5 0 < / H e i g h t > < I s E x p a n d e d > t r u e < / I s E x p a n d e d > < W i d t h > 2 0 0 < / W i d t h > < / a : V a l u e > < / a : K e y V a l u e O f D i a g r a m O b j e c t K e y a n y T y p e z b w N T n L X > < a : K e y V a l u e O f D i a g r a m O b j e c t K e y a n y T y p e z b w N T n L X > < a : K e y > < K e y > T a b l e s \ A V I S \ S u m   o f   S c o p e   2   k g   C O 2 - e   8 \ A d d i t i o n a l   I n f o \ I m p l i c i t   C a l c u l a t e d   F i e l d < / K e y > < / a : K e y > < a : V a l u e   i : t y p e = " D i a g r a m D i s p l a y V i e w S t a t e I D i a g r a m T a g A d d i t i o n a l I n f o " / > < / a : K e y V a l u e O f D i a g r a m O b j e c t K e y a n y T y p e z b w N T n L X > < a : K e y V a l u e O f D i a g r a m O b j e c t K e y a n y T y p e z b w N T n L X > < a : K e y > < K e y > T a b l e s \ A V I S \ M e a s u r e s \ S u m   o f   S c o p e   3   k g   C O 2 - e   8 < / K e y > < / a : K e y > < a : V a l u e   i : t y p e = " D i a g r a m D i s p l a y N o d e V i e w S t a t e " > < H e i g h t > 1 5 0 < / H e i g h t > < I s E x p a n d e d > t r u e < / I s E x p a n d e d > < W i d t h > 2 0 0 < / W i d t h > < / a : V a l u e > < / a : K e y V a l u e O f D i a g r a m O b j e c t K e y a n y T y p e z b w N T n L X > < a : K e y V a l u e O f D i a g r a m O b j e c t K e y a n y T y p e z b w N T n L X > < a : K e y > < K e y > T a b l e s \ A V I S \ S u m   o f   S c o p e   3   k g   C O 2 - e   8 \ A d d i t i o n a l   I n f o \ I m p l i c i t   C a l c u l a t e d   F i e l d < / K e y > < / a : K e y > < a : V a l u e   i : t y p e = " D i a g r a m D i s p l a y V i e w S t a t e I D i a g r a m T a g A d d i t i o n a l I n f o " / > < / a : K e y V a l u e O f D i a g r a m O b j e c t K e y a n y T y p e z b w N T n L X > < a : K e y V a l u e O f D i a g r a m O b j e c t K e y a n y T y p e z b w N T n L X > < a : K e y > < K e y > T a b l e s \ A V I S \ M e a s u r e s \ S u m   o f   T o t a l   E m i s s i o n s   8 < / K e y > < / a : K e y > < a : V a l u e   i : t y p e = " D i a g r a m D i s p l a y N o d e V i e w S t a t e " > < H e i g h t > 1 5 0 < / H e i g h t > < I s E x p a n d e d > t r u e < / I s E x p a n d e d > < W i d t h > 2 0 0 < / W i d t h > < / a : V a l u e > < / a : K e y V a l u e O f D i a g r a m O b j e c t K e y a n y T y p e z b w N T n L X > < a : K e y V a l u e O f D i a g r a m O b j e c t K e y a n y T y p e z b w N T n L X > < a : K e y > < K e y > T a b l e s \ A V I S \ S u m   o f   T o t a l   E m i s s i o n s   8 \ A d d i t i o n a l   I n f o \ I m p l i c i t   C a l c u l a t e d   F i e l d < / K e y > < / a : K e y > < a : V a l u e   i : t y p e = " D i a g r a m D i s p l a y V i e w S t a t e I D i a g r a m T a g A d d i t i o n a l I n f o " / > < / a : K e y V a l u e O f D i a g r a m O b j e c t K e y a n y T y p e z b w N T n L X > < a : K e y V a l u e O f D i a g r a m O b j e c t K e y a n y T y p e z b w N T n L X > < a : K e y > < K e y > T a b l e s \ L P _ F l e e t < / K e y > < / a : K e y > < a : V a l u e   i : t y p e = " D i a g r a m D i s p l a y N o d e V i e w S t a t e " > < H e i g h t > 1 5 0 < / H e i g h t > < I s E x p a n d e d > t r u e < / I s E x p a n d e d > < L a y e d O u t > t r u e < / L a y e d O u t > < T a b I n d e x > 6 < / T a b I n d e x > < T o p > 1 9 5 . 5 < / T o p > < W i d t h > 2 0 0 < / W i d t h > < / a : V a l u e > < / a : K e y V a l u e O f D i a g r a m O b j e c t K e y a n y T y p e z b w N T n L X > < a : K e y V a l u e O f D i a g r a m O b j e c t K e y a n y T y p e z b w N T n L X > < a : K e y > < K e y > T a b l e s \ L P _ F l e e t \ C o l u m n s \ R e p o r t i n g   A l i a s < / K e y > < / a : K e y > < a : V a l u e   i : t y p e = " D i a g r a m D i s p l a y N o d e V i e w S t a t e " > < H e i g h t > 1 5 0 < / H e i g h t > < I s E x p a n d e d > t r u e < / I s E x p a n d e d > < W i d t h > 2 0 0 < / W i d t h > < / a : V a l u e > < / a : K e y V a l u e O f D i a g r a m O b j e c t K e y a n y T y p e z b w N T n L X > < a : K e y V a l u e O f D i a g r a m O b j e c t K e y a n y T y p e z b w N T n L X > < a : K e y > < K e y > T a b l e s \ L P _ F l e e t \ C o l u m n s \ E n t i t y < / K e y > < / a : K e y > < a : V a l u e   i : t y p e = " D i a g r a m D i s p l a y N o d e V i e w S t a t e " > < H e i g h t > 1 5 0 < / H e i g h t > < I s E x p a n d e d > t r u e < / I s E x p a n d e d > < W i d t h > 2 0 0 < / W i d t h > < / a : V a l u e > < / a : K e y V a l u e O f D i a g r a m O b j e c t K e y a n y T y p e z b w N T n L X > < a : K e y V a l u e O f D i a g r a m O b j e c t K e y a n y T y p e z b w N T n L X > < a : K e y > < K e y > T a b l e s \ L P _ F l e e t \ C o l u m n s \ F u e l < / K e y > < / a : K e y > < a : V a l u e   i : t y p e = " D i a g r a m D i s p l a y N o d e V i e w S t a t e " > < H e i g h t > 1 5 0 < / H e i g h t > < I s E x p a n d e d > t r u e < / I s E x p a n d e d > < W i d t h > 2 0 0 < / W i d t h > < / a : V a l u e > < / a : K e y V a l u e O f D i a g r a m O b j e c t K e y a n y T y p e z b w N T n L X > < a : K e y V a l u e O f D i a g r a m O b j e c t K e y a n y T y p e z b w N T n L X > < a : K e y > < K e y > T a b l e s \ L P _ F l e e t \ C o l u m n s \ S t a t e < / K e y > < / a : K e y > < a : V a l u e   i : t y p e = " D i a g r a m D i s p l a y N o d e V i e w S t a t e " > < H e i g h t > 1 5 0 < / H e i g h t > < I s E x p a n d e d > t r u e < / I s E x p a n d e d > < W i d t h > 2 0 0 < / W i d t h > < / a : V a l u e > < / a : K e y V a l u e O f D i a g r a m O b j e c t K e y a n y T y p e z b w N T n L X > < a : K e y V a l u e O f D i a g r a m O b j e c t K e y a n y T y p e z b w N T n L X > < a : K e y > < K e y > T a b l e s \ L P _ F l e e t \ C o l u m n s \ C o n s u m p t i o n   Q u a n t i t y   ( L ) < / K e y > < / a : K e y > < a : V a l u e   i : t y p e = " D i a g r a m D i s p l a y N o d e V i e w S t a t e " > < H e i g h t > 1 5 0 < / H e i g h t > < I s E x p a n d e d > t r u e < / I s E x p a n d e d > < W i d t h > 2 0 0 < / W i d t h > < / a : V a l u e > < / a : K e y V a l u e O f D i a g r a m O b j e c t K e y a n y T y p e z b w N T n L X > < a : K e y V a l u e O f D i a g r a m O b j e c t K e y a n y T y p e z b w N T n L X > < a : K e y > < K e y > T a b l e s \ L P _ F l e e t \ C o l u m n s \ C o n s u m p t i o n   U n i t s < / K e y > < / a : K e y > < a : V a l u e   i : t y p e = " D i a g r a m D i s p l a y N o d e V i e w S t a t e " > < H e i g h t > 1 5 0 < / H e i g h t > < I s E x p a n d e d > t r u e < / I s E x p a n d e d > < W i d t h > 2 0 0 < / W i d t h > < / a : V a l u e > < / a : K e y V a l u e O f D i a g r a m O b j e c t K e y a n y T y p e z b w N T n L X > < a : K e y V a l u e O f D i a g r a m O b j e c t K e y a n y T y p e z b w N T n L X > < a : K e y > < K e y > T a b l e s \ L P _ F l e e t \ C o l u m n s \ C o n s u m p t i o n   Q u a n t i t y < / K e y > < / a : K e y > < a : V a l u e   i : t y p e = " D i a g r a m D i s p l a y N o d e V i e w S t a t e " > < H e i g h t > 1 5 0 < / H e i g h t > < I s E x p a n d e d > t r u e < / I s E x p a n d e d > < W i d t h > 2 0 0 < / W i d t h > < / a : V a l u e > < / a : K e y V a l u e O f D i a g r a m O b j e c t K e y a n y T y p e z b w N T n L X > < a : K e y V a l u e O f D i a g r a m O b j e c t K e y a n y T y p e z b w N T n L X > < a : K e y > < K e y > T a b l e s \ L P _ F l e e t \ C o l u m n s \ T o t a l   G J < / K e y > < / a : K e y > < a : V a l u e   i : t y p e = " D i a g r a m D i s p l a y N o d e V i e w S t a t e " > < H e i g h t > 1 5 0 < / H e i g h t > < I s E x p a n d e d > t r u e < / I s E x p a n d e d > < W i d t h > 2 0 0 < / W i d t h > < / a : V a l u e > < / a : K e y V a l u e O f D i a g r a m O b j e c t K e y a n y T y p e z b w N T n L X > < a : K e y V a l u e O f D i a g r a m O b j e c t K e y a n y T y p e z b w N T n L X > < a : K e y > < K e y > T a b l e s \ L P _ F l e e t \ C o l u m n s \ S c o p e   1   k g   C O 2 - e < / K e y > < / a : K e y > < a : V a l u e   i : t y p e = " D i a g r a m D i s p l a y N o d e V i e w S t a t e " > < H e i g h t > 1 5 0 < / H e i g h t > < I s E x p a n d e d > t r u e < / I s E x p a n d e d > < W i d t h > 2 0 0 < / W i d t h > < / a : V a l u e > < / a : K e y V a l u e O f D i a g r a m O b j e c t K e y a n y T y p e z b w N T n L X > < a : K e y V a l u e O f D i a g r a m O b j e c t K e y a n y T y p e z b w N T n L X > < a : K e y > < K e y > T a b l e s \ L P _ F l e e t \ C o l u m n s \ S c o p e   2   k g   C O 2 - e < / K e y > < / a : K e y > < a : V a l u e   i : t y p e = " D i a g r a m D i s p l a y N o d e V i e w S t a t e " > < H e i g h t > 1 5 0 < / H e i g h t > < I s E x p a n d e d > t r u e < / I s E x p a n d e d > < W i d t h > 2 0 0 < / W i d t h > < / a : V a l u e > < / a : K e y V a l u e O f D i a g r a m O b j e c t K e y a n y T y p e z b w N T n L X > < a : K e y V a l u e O f D i a g r a m O b j e c t K e y a n y T y p e z b w N T n L X > < a : K e y > < K e y > T a b l e s \ L P _ F l e e t \ C o l u m n s \ S c o p e   3   k g   C O 2 - e < / K e y > < / a : K e y > < a : V a l u e   i : t y p e = " D i a g r a m D i s p l a y N o d e V i e w S t a t e " > < H e i g h t > 1 5 0 < / H e i g h t > < I s E x p a n d e d > t r u e < / I s E x p a n d e d > < W i d t h > 2 0 0 < / W i d t h > < / a : V a l u e > < / a : K e y V a l u e O f D i a g r a m O b j e c t K e y a n y T y p e z b w N T n L X > < a : K e y V a l u e O f D i a g r a m O b j e c t K e y a n y T y p e z b w N T n L X > < a : K e y > < K e y > T a b l e s \ L P _ F l e e t \ C o l u m n s \ T o t a l   E m i s s i o n s < / K e y > < / a : K e y > < a : V a l u e   i : t y p e = " D i a g r a m D i s p l a y N o d e V i e w S t a t e " > < H e i g h t > 1 5 0 < / H e i g h t > < I s E x p a n d e d > t r u e < / I s E x p a n d e d > < W i d t h > 2 0 0 < / W i d t h > < / a : V a l u e > < / a : K e y V a l u e O f D i a g r a m O b j e c t K e y a n y T y p e z b w N T n L X > < a : K e y V a l u e O f D i a g r a m O b j e c t K e y a n y T y p e z b w N T n L X > < a : K e y > < K e y > T a b l e s \ L P _ F l e e t \ M e a s u r e s \ S u m   o f   C o n s u m p t i o n   Q u a n t i t y   1 1 < / K e y > < / a : K e y > < a : V a l u e   i : t y p e = " D i a g r a m D i s p l a y N o d e V i e w S t a t e " > < H e i g h t > 1 5 0 < / H e i g h t > < I s E x p a n d e d > t r u e < / I s E x p a n d e d > < W i d t h > 2 0 0 < / W i d t h > < / a : V a l u e > < / a : K e y V a l u e O f D i a g r a m O b j e c t K e y a n y T y p e z b w N T n L X > < a : K e y V a l u e O f D i a g r a m O b j e c t K e y a n y T y p e z b w N T n L X > < a : K e y > < K e y > T a b l e s \ L P _ F l e e t \ S u m   o f   C o n s u m p t i o n   Q u a n t i t y   1 1 \ A d d i t i o n a l   I n f o \ I m p l i c i t   C a l c u l a t e d   F i e l d < / K e y > < / a : K e y > < a : V a l u e   i : t y p e = " D i a g r a m D i s p l a y V i e w S t a t e I D i a g r a m T a g A d d i t i o n a l I n f o " / > < / a : K e y V a l u e O f D i a g r a m O b j e c t K e y a n y T y p e z b w N T n L X > < a : K e y V a l u e O f D i a g r a m O b j e c t K e y a n y T y p e z b w N T n L X > < a : K e y > < K e y > T a b l e s \ L P _ F l e e t \ M e a s u r e s \ S u m   o f   T o t a l   G J   9 < / K e y > < / a : K e y > < a : V a l u e   i : t y p e = " D i a g r a m D i s p l a y N o d e V i e w S t a t e " > < H e i g h t > 1 5 0 < / H e i g h t > < I s E x p a n d e d > t r u e < / I s E x p a n d e d > < W i d t h > 2 0 0 < / W i d t h > < / a : V a l u e > < / a : K e y V a l u e O f D i a g r a m O b j e c t K e y a n y T y p e z b w N T n L X > < a : K e y V a l u e O f D i a g r a m O b j e c t K e y a n y T y p e z b w N T n L X > < a : K e y > < K e y > T a b l e s \ L P _ F l e e t \ S u m   o f   T o t a l   G J   9 \ A d d i t i o n a l   I n f o \ I m p l i c i t   C a l c u l a t e d   F i e l d < / K e y > < / a : K e y > < a : V a l u e   i : t y p e = " D i a g r a m D i s p l a y V i e w S t a t e I D i a g r a m T a g A d d i t i o n a l I n f o " / > < / a : K e y V a l u e O f D i a g r a m O b j e c t K e y a n y T y p e z b w N T n L X > < a : K e y V a l u e O f D i a g r a m O b j e c t K e y a n y T y p e z b w N T n L X > < a : K e y > < K e y > T a b l e s \ L P _ F l e e t \ M e a s u r e s \ S u m   o f   S c o p e   1   k g   C O 2 - e   9 < / K e y > < / a : K e y > < a : V a l u e   i : t y p e = " D i a g r a m D i s p l a y N o d e V i e w S t a t e " > < H e i g h t > 1 5 0 < / H e i g h t > < I s E x p a n d e d > t r u e < / I s E x p a n d e d > < W i d t h > 2 0 0 < / W i d t h > < / a : V a l u e > < / a : K e y V a l u e O f D i a g r a m O b j e c t K e y a n y T y p e z b w N T n L X > < a : K e y V a l u e O f D i a g r a m O b j e c t K e y a n y T y p e z b w N T n L X > < a : K e y > < K e y > T a b l e s \ L P _ F l e e t \ S u m   o f   S c o p e   1   k g   C O 2 - e   9 \ A d d i t i o n a l   I n f o \ I m p l i c i t   C a l c u l a t e d   F i e l d < / K e y > < / a : K e y > < a : V a l u e   i : t y p e = " D i a g r a m D i s p l a y V i e w S t a t e I D i a g r a m T a g A d d i t i o n a l I n f o " / > < / a : K e y V a l u e O f D i a g r a m O b j e c t K e y a n y T y p e z b w N T n L X > < a : K e y V a l u e O f D i a g r a m O b j e c t K e y a n y T y p e z b w N T n L X > < a : K e y > < K e y > T a b l e s \ L P _ F l e e t \ M e a s u r e s \ S u m   o f   S c o p e   2   k g   C O 2 - e   9 < / K e y > < / a : K e y > < a : V a l u e   i : t y p e = " D i a g r a m D i s p l a y N o d e V i e w S t a t e " > < H e i g h t > 1 5 0 < / H e i g h t > < I s E x p a n d e d > t r u e < / I s E x p a n d e d > < W i d t h > 2 0 0 < / W i d t h > < / a : V a l u e > < / a : K e y V a l u e O f D i a g r a m O b j e c t K e y a n y T y p e z b w N T n L X > < a : K e y V a l u e O f D i a g r a m O b j e c t K e y a n y T y p e z b w N T n L X > < a : K e y > < K e y > T a b l e s \ L P _ F l e e t \ S u m   o f   S c o p e   2   k g   C O 2 - e   9 \ A d d i t i o n a l   I n f o \ I m p l i c i t   C a l c u l a t e d   F i e l d < / K e y > < / a : K e y > < a : V a l u e   i : t y p e = " D i a g r a m D i s p l a y V i e w S t a t e I D i a g r a m T a g A d d i t i o n a l I n f o " / > < / a : K e y V a l u e O f D i a g r a m O b j e c t K e y a n y T y p e z b w N T n L X > < a : K e y V a l u e O f D i a g r a m O b j e c t K e y a n y T y p e z b w N T n L X > < a : K e y > < K e y > T a b l e s \ L P _ F l e e t \ M e a s u r e s \ S u m   o f   S c o p e   3   k g   C O 2 - e   9 < / K e y > < / a : K e y > < a : V a l u e   i : t y p e = " D i a g r a m D i s p l a y N o d e V i e w S t a t e " > < H e i g h t > 1 5 0 < / H e i g h t > < I s E x p a n d e d > t r u e < / I s E x p a n d e d > < W i d t h > 2 0 0 < / W i d t h > < / a : V a l u e > < / a : K e y V a l u e O f D i a g r a m O b j e c t K e y a n y T y p e z b w N T n L X > < a : K e y V a l u e O f D i a g r a m O b j e c t K e y a n y T y p e z b w N T n L X > < a : K e y > < K e y > T a b l e s \ L P _ F l e e t \ S u m   o f   S c o p e   3   k g   C O 2 - e   9 \ A d d i t i o n a l   I n f o \ I m p l i c i t   C a l c u l a t e d   F i e l d < / K e y > < / a : K e y > < a : V a l u e   i : t y p e = " D i a g r a m D i s p l a y V i e w S t a t e I D i a g r a m T a g A d d i t i o n a l I n f o " / > < / a : K e y V a l u e O f D i a g r a m O b j e c t K e y a n y T y p e z b w N T n L X > < a : K e y V a l u e O f D i a g r a m O b j e c t K e y a n y T y p e z b w N T n L X > < a : K e y > < K e y > T a b l e s \ L P _ F l e e t \ M e a s u r e s \ S u m   o f   T o t a l   E m i s s i o n s   9 < / K e y > < / a : K e y > < a : V a l u e   i : t y p e = " D i a g r a m D i s p l a y N o d e V i e w S t a t e " > < H e i g h t > 1 5 0 < / H e i g h t > < I s E x p a n d e d > t r u e < / I s E x p a n d e d > < W i d t h > 2 0 0 < / W i d t h > < / a : V a l u e > < / a : K e y V a l u e O f D i a g r a m O b j e c t K e y a n y T y p e z b w N T n L X > < a : K e y V a l u e O f D i a g r a m O b j e c t K e y a n y T y p e z b w N T n L X > < a : K e y > < K e y > T a b l e s \ L P _ F l e e t \ S u m   o f   T o t a l   E m i s s i o n s   9 \ A d d i t i o n a l   I n f o \ I m p l i c i t   C a l c u l a t e d   F i e l d < / K e y > < / a : K e y > < a : V a l u e   i : t y p e = " D i a g r a m D i s p l a y V i e w S t a t e I D i a g r a m T a g A d d i t i o n a l I n f o " / > < / a : K e y V a l u e O f D i a g r a m O b j e c t K e y a n y T y p e z b w N T n L X > < a : K e y V a l u e O f D i a g r a m O b j e c t K e y a n y T y p e z b w N T n L X > < a : K e y > < K e y > T a b l e s \ N O N _ G e n s e t < / K e y > < / a : K e y > < a : V a l u e   i : t y p e = " D i a g r a m D i s p l a y N o d e V i e w S t a t e " > < H e i g h t > 1 5 0 < / H e i g h t > < I s E x p a n d e d > t r u e < / I s E x p a n d e d > < L a y e d O u t > t r u e < / L a y e d O u t > < L e f t > 3 3 4 . 1 3 4 2 9 5 1 0 8 9 9 2 7 7 < / L e f t > < T a b I n d e x > 1 3 < / T a b I n d e x > < T o p > 4 1 9 . 5 < / T o p > < W i d t h > 2 0 0 < / W i d t h > < / a : V a l u e > < / a : K e y V a l u e O f D i a g r a m O b j e c t K e y a n y T y p e z b w N T n L X > < a : K e y V a l u e O f D i a g r a m O b j e c t K e y a n y T y p e z b w N T n L X > < a : K e y > < K e y > T a b l e s \ N O N _ G e n s e t \ C o l u m n s \ R e p o r t i n g   A l i a s < / K e y > < / a : K e y > < a : V a l u e   i : t y p e = " D i a g r a m D i s p l a y N o d e V i e w S t a t e " > < H e i g h t > 1 5 0 < / H e i g h t > < I s E x p a n d e d > t r u e < / I s E x p a n d e d > < W i d t h > 2 0 0 < / W i d t h > < / a : V a l u e > < / a : K e y V a l u e O f D i a g r a m O b j e c t K e y a n y T y p e z b w N T n L X > < a : K e y V a l u e O f D i a g r a m O b j e c t K e y a n y T y p e z b w N T n L X > < a : K e y > < K e y > T a b l e s \ N O N _ G e n s e t \ C o l u m n s \ S o u r c e   N a m e < / K e y > < / a : K e y > < a : V a l u e   i : t y p e = " D i a g r a m D i s p l a y N o d e V i e w S t a t e " > < H e i g h t > 1 5 0 < / H e i g h t > < I s E x p a n d e d > t r u e < / I s E x p a n d e d > < W i d t h > 2 0 0 < / W i d t h > < / a : V a l u e > < / a : K e y V a l u e O f D i a g r a m O b j e c t K e y a n y T y p e z b w N T n L X > < a : K e y V a l u e O f D i a g r a m O b j e c t K e y a n y T y p e z b w N T n L X > < a : K e y > < K e y > T a b l e s \ N O N _ G e n s e t \ C o l u m n s \ A c t i v i t y   T y p e < / K e y > < / a : K e y > < a : V a l u e   i : t y p e = " D i a g r a m D i s p l a y N o d e V i e w S t a t e " > < H e i g h t > 1 5 0 < / H e i g h t > < I s E x p a n d e d > t r u e < / I s E x p a n d e d > < W i d t h > 2 0 0 < / W i d t h > < / a : V a l u e > < / a : K e y V a l u e O f D i a g r a m O b j e c t K e y a n y T y p e z b w N T n L X > < a : K e y V a l u e O f D i a g r a m O b j e c t K e y a n y T y p e z b w N T n L X > < a : K e y > < K e y > T a b l e s \ N O N _ G e n s e t \ C o l u m n s \ A c t i v i t y   T y p e   C o n t e x t < / K e y > < / a : K e y > < a : V a l u e   i : t y p e = " D i a g r a m D i s p l a y N o d e V i e w S t a t e " > < H e i g h t > 1 5 0 < / H e i g h t > < I s E x p a n d e d > t r u e < / I s E x p a n d e d > < W i d t h > 2 0 0 < / W i d t h > < / a : V a l u e > < / a : K e y V a l u e O f D i a g r a m O b j e c t K e y a n y T y p e z b w N T n L X > < a : K e y V a l u e O f D i a g r a m O b j e c t K e y a n y T y p e z b w N T n L X > < a : K e y > < K e y > T a b l e s \ N O N _ G e n s e t \ C o l u m n s \ E n t i t y < / K e y > < / a : K e y > < a : V a l u e   i : t y p e = " D i a g r a m D i s p l a y N o d e V i e w S t a t e " > < H e i g h t > 1 5 0 < / H e i g h t > < I s E x p a n d e d > t r u e < / I s E x p a n d e d > < W i d t h > 2 0 0 < / W i d t h > < / a : V a l u e > < / a : K e y V a l u e O f D i a g r a m O b j e c t K e y a n y T y p e z b w N T n L X > < a : K e y V a l u e O f D i a g r a m O b j e c t K e y a n y T y p e z b w N T n L X > < a : K e y > < K e y > T a b l e s \ N O N _ G e n s e t \ C o l u m n s \ F u e l < / K e y > < / a : K e y > < a : V a l u e   i : t y p e = " D i a g r a m D i s p l a y N o d e V i e w S t a t e " > < H e i g h t > 1 5 0 < / H e i g h t > < I s E x p a n d e d > t r u e < / I s E x p a n d e d > < W i d t h > 2 0 0 < / W i d t h > < / a : V a l u e > < / a : K e y V a l u e O f D i a g r a m O b j e c t K e y a n y T y p e z b w N T n L X > < a : K e y V a l u e O f D i a g r a m O b j e c t K e y a n y T y p e z b w N T n L X > < a : K e y > < K e y > T a b l e s \ N O N _ G e n s e t \ C o l u m n s \ S t a t e < / K e y > < / a : K e y > < a : V a l u e   i : t y p e = " D i a g r a m D i s p l a y N o d e V i e w S t a t e " > < H e i g h t > 1 5 0 < / H e i g h t > < I s E x p a n d e d > t r u e < / I s E x p a n d e d > < W i d t h > 2 0 0 < / W i d t h > < / a : V a l u e > < / a : K e y V a l u e O f D i a g r a m O b j e c t K e y a n y T y p e z b w N T n L X > < a : K e y V a l u e O f D i a g r a m O b j e c t K e y a n y T y p e z b w N T n L X > < a : K e y > < K e y > T a b l e s \ N O N _ G e n s e t \ C o l u m n s \ C o n s u m p t i o n   Q u a n t i t y   ( L ) < / K e y > < / a : K e y > < a : V a l u e   i : t y p e = " D i a g r a m D i s p l a y N o d e V i e w S t a t e " > < H e i g h t > 1 5 0 < / H e i g h t > < I s E x p a n d e d > t r u e < / I s E x p a n d e d > < W i d t h > 2 0 0 < / W i d t h > < / a : V a l u e > < / a : K e y V a l u e O f D i a g r a m O b j e c t K e y a n y T y p e z b w N T n L X > < a : K e y V a l u e O f D i a g r a m O b j e c t K e y a n y T y p e z b w N T n L X > < a : K e y > < K e y > T a b l e s \ N O N _ G e n s e t \ C o l u m n s \ P r o d u c t i o n     U n i t s < / K e y > < / a : K e y > < a : V a l u e   i : t y p e = " D i a g r a m D i s p l a y N o d e V i e w S t a t e " > < H e i g h t > 1 5 0 < / H e i g h t > < I s E x p a n d e d > t r u e < / I s E x p a n d e d > < W i d t h > 2 0 0 < / W i d t h > < / a : V a l u e > < / a : K e y V a l u e O f D i a g r a m O b j e c t K e y a n y T y p e z b w N T n L X > < a : K e y V a l u e O f D i a g r a m O b j e c t K e y a n y T y p e z b w N T n L X > < a : K e y > < K e y > T a b l e s \ N O N _ G e n s e t \ C o l u m n s \ C o n s u m p t i o n   Q u a n t i t y < / K e y > < / a : K e y > < a : V a l u e   i : t y p e = " D i a g r a m D i s p l a y N o d e V i e w S t a t e " > < H e i g h t > 1 5 0 < / H e i g h t > < I s E x p a n d e d > t r u e < / I s E x p a n d e d > < W i d t h > 2 0 0 < / W i d t h > < / a : V a l u e > < / a : K e y V a l u e O f D i a g r a m O b j e c t K e y a n y T y p e z b w N T n L X > < a : K e y V a l u e O f D i a g r a m O b j e c t K e y a n y T y p e z b w N T n L X > < a : K e y > < K e y > T a b l e s \ N O N _ G e n s e t \ C o l u m n s \ T o t a l   G J < / K e y > < / a : K e y > < a : V a l u e   i : t y p e = " D i a g r a m D i s p l a y N o d e V i e w S t a t e " > < H e i g h t > 1 5 0 < / H e i g h t > < I s E x p a n d e d > t r u e < / I s E x p a n d e d > < W i d t h > 2 0 0 < / W i d t h > < / a : V a l u e > < / a : K e y V a l u e O f D i a g r a m O b j e c t K e y a n y T y p e z b w N T n L X > < a : K e y V a l u e O f D i a g r a m O b j e c t K e y a n y T y p e z b w N T n L X > < a : K e y > < K e y > T a b l e s \ N O N _ G e n s e t \ C o l u m n s \ S c o p e   1   k g   C O 2 - e < / K e y > < / a : K e y > < a : V a l u e   i : t y p e = " D i a g r a m D i s p l a y N o d e V i e w S t a t e " > < H e i g h t > 1 5 0 < / H e i g h t > < I s E x p a n d e d > t r u e < / I s E x p a n d e d > < W i d t h > 2 0 0 < / W i d t h > < / a : V a l u e > < / a : K e y V a l u e O f D i a g r a m O b j e c t K e y a n y T y p e z b w N T n L X > < a : K e y V a l u e O f D i a g r a m O b j e c t K e y a n y T y p e z b w N T n L X > < a : K e y > < K e y > T a b l e s \ N O N _ G e n s e t \ C o l u m n s \ S c o p e   2   k g   C O 2 - e < / K e y > < / a : K e y > < a : V a l u e   i : t y p e = " D i a g r a m D i s p l a y N o d e V i e w S t a t e " > < H e i g h t > 1 5 0 < / H e i g h t > < I s E x p a n d e d > t r u e < / I s E x p a n d e d > < W i d t h > 2 0 0 < / W i d t h > < / a : V a l u e > < / a : K e y V a l u e O f D i a g r a m O b j e c t K e y a n y T y p e z b w N T n L X > < a : K e y V a l u e O f D i a g r a m O b j e c t K e y a n y T y p e z b w N T n L X > < a : K e y > < K e y > T a b l e s \ N O N _ G e n s e t \ C o l u m n s \ S c o p e   3   k g   C O 2 - e < / K e y > < / a : K e y > < a : V a l u e   i : t y p e = " D i a g r a m D i s p l a y N o d e V i e w S t a t e " > < H e i g h t > 1 5 0 < / H e i g h t > < I s E x p a n d e d > t r u e < / I s E x p a n d e d > < W i d t h > 2 0 0 < / W i d t h > < / a : V a l u e > < / a : K e y V a l u e O f D i a g r a m O b j e c t K e y a n y T y p e z b w N T n L X > < a : K e y V a l u e O f D i a g r a m O b j e c t K e y a n y T y p e z b w N T n L X > < a : K e y > < K e y > T a b l e s \ N O N _ G e n s e t \ C o l u m n s \ T o t a l   E m i s s i o n s < / K e y > < / a : K e y > < a : V a l u e   i : t y p e = " D i a g r a m D i s p l a y N o d e V i e w S t a t e " > < H e i g h t > 1 5 0 < / H e i g h t > < I s E x p a n d e d > t r u e < / I s E x p a n d e d > < W i d t h > 2 0 0 < / W i d t h > < / a : V a l u e > < / a : K e y V a l u e O f D i a g r a m O b j e c t K e y a n y T y p e z b w N T n L X > < a : K e y V a l u e O f D i a g r a m O b j e c t K e y a n y T y p e z b w N T n L X > < a : K e y > < K e y > T a b l e s \ N O N _ G e n s e t \ M e a s u r e s \ S u m   o f   C o n s u m p t i o n   Q u a n t i t y   7 < / K e y > < / a : K e y > < a : V a l u e   i : t y p e = " D i a g r a m D i s p l a y N o d e V i e w S t a t e " > < H e i g h t > 1 5 0 < / H e i g h t > < I s E x p a n d e d > t r u e < / I s E x p a n d e d > < W i d t h > 2 0 0 < / W i d t h > < / a : V a l u e > < / a : K e y V a l u e O f D i a g r a m O b j e c t K e y a n y T y p e z b w N T n L X > < a : K e y V a l u e O f D i a g r a m O b j e c t K e y a n y T y p e z b w N T n L X > < a : K e y > < K e y > T a b l e s \ N O N _ G e n s e t \ S u m   o f   C o n s u m p t i o n   Q u a n t i t y   7 \ A d d i t i o n a l   I n f o \ I m p l i c i t   C a l c u l a t e d   F i e l d < / K e y > < / a : K e y > < a : V a l u e   i : t y p e = " D i a g r a m D i s p l a y V i e w S t a t e I D i a g r a m T a g A d d i t i o n a l I n f o " / > < / a : K e y V a l u e O f D i a g r a m O b j e c t K e y a n y T y p e z b w N T n L X > < a : K e y V a l u e O f D i a g r a m O b j e c t K e y a n y T y p e z b w N T n L X > < a : K e y > < K e y > T a b l e s \ N O N _ G e n s e t \ M e a s u r e s \ S u m   o f   T o t a l   G J   1 4 < / K e y > < / a : K e y > < a : V a l u e   i : t y p e = " D i a g r a m D i s p l a y N o d e V i e w S t a t e " > < H e i g h t > 1 5 0 < / H e i g h t > < I s E x p a n d e d > t r u e < / I s E x p a n d e d > < W i d t h > 2 0 0 < / W i d t h > < / a : V a l u e > < / a : K e y V a l u e O f D i a g r a m O b j e c t K e y a n y T y p e z b w N T n L X > < a : K e y V a l u e O f D i a g r a m O b j e c t K e y a n y T y p e z b w N T n L X > < a : K e y > < K e y > T a b l e s \ N O N _ G e n s e t \ S u m   o f   T o t a l   G J   1 4 \ A d d i t i o n a l   I n f o \ I m p l i c i t   C a l c u l a t e d   F i e l d < / K e y > < / a : K e y > < a : V a l u e   i : t y p e = " D i a g r a m D i s p l a y V i e w S t a t e I D i a g r a m T a g A d d i t i o n a l I n f o " / > < / a : K e y V a l u e O f D i a g r a m O b j e c t K e y a n y T y p e z b w N T n L X > < a : K e y V a l u e O f D i a g r a m O b j e c t K e y a n y T y p e z b w N T n L X > < a : K e y > < K e y > T a b l e s \ N O N _ G e n s e t \ M e a s u r e s \ S u m   o f   S c o p e   1   k g   C O 2 - e   1 4 < / K e y > < / a : K e y > < a : V a l u e   i : t y p e = " D i a g r a m D i s p l a y N o d e V i e w S t a t e " > < H e i g h t > 1 5 0 < / H e i g h t > < I s E x p a n d e d > t r u e < / I s E x p a n d e d > < W i d t h > 2 0 0 < / W i d t h > < / a : V a l u e > < / a : K e y V a l u e O f D i a g r a m O b j e c t K e y a n y T y p e z b w N T n L X > < a : K e y V a l u e O f D i a g r a m O b j e c t K e y a n y T y p e z b w N T n L X > < a : K e y > < K e y > T a b l e s \ N O N _ G e n s e t \ S u m   o f   S c o p e   1   k g   C O 2 - e   1 4 \ A d d i t i o n a l   I n f o \ I m p l i c i t   C a l c u l a t e d   F i e l d < / K e y > < / a : K e y > < a : V a l u e   i : t y p e = " D i a g r a m D i s p l a y V i e w S t a t e I D i a g r a m T a g A d d i t i o n a l I n f o " / > < / a : K e y V a l u e O f D i a g r a m O b j e c t K e y a n y T y p e z b w N T n L X > < a : K e y V a l u e O f D i a g r a m O b j e c t K e y a n y T y p e z b w N T n L X > < a : K e y > < K e y > T a b l e s \ N O N _ G e n s e t \ M e a s u r e s \ S u m   o f   S c o p e   2   k g   C O 2 - e   1 4 < / K e y > < / a : K e y > < a : V a l u e   i : t y p e = " D i a g r a m D i s p l a y N o d e V i e w S t a t e " > < H e i g h t > 1 5 0 < / H e i g h t > < I s E x p a n d e d > t r u e < / I s E x p a n d e d > < W i d t h > 2 0 0 < / W i d t h > < / a : V a l u e > < / a : K e y V a l u e O f D i a g r a m O b j e c t K e y a n y T y p e z b w N T n L X > < a : K e y V a l u e O f D i a g r a m O b j e c t K e y a n y T y p e z b w N T n L X > < a : K e y > < K e y > T a b l e s \ N O N _ G e n s e t \ S u m   o f   S c o p e   2   k g   C O 2 - e   1 4 \ A d d i t i o n a l   I n f o \ I m p l i c i t   C a l c u l a t e d   F i e l d < / K e y > < / a : K e y > < a : V a l u e   i : t y p e = " D i a g r a m D i s p l a y V i e w S t a t e I D i a g r a m T a g A d d i t i o n a l I n f o " / > < / a : K e y V a l u e O f D i a g r a m O b j e c t K e y a n y T y p e z b w N T n L X > < a : K e y V a l u e O f D i a g r a m O b j e c t K e y a n y T y p e z b w N T n L X > < a : K e y > < K e y > T a b l e s \ N O N _ G e n s e t \ M e a s u r e s \ S u m   o f   S c o p e   3   k g   C O 2 - e   1 4 < / K e y > < / a : K e y > < a : V a l u e   i : t y p e = " D i a g r a m D i s p l a y N o d e V i e w S t a t e " > < H e i g h t > 1 5 0 < / H e i g h t > < I s E x p a n d e d > t r u e < / I s E x p a n d e d > < W i d t h > 2 0 0 < / W i d t h > < / a : V a l u e > < / a : K e y V a l u e O f D i a g r a m O b j e c t K e y a n y T y p e z b w N T n L X > < a : K e y V a l u e O f D i a g r a m O b j e c t K e y a n y T y p e z b w N T n L X > < a : K e y > < K e y > T a b l e s \ N O N _ G e n s e t \ S u m   o f   S c o p e   3   k g   C O 2 - e   1 4 \ A d d i t i o n a l   I n f o \ I m p l i c i t   C a l c u l a t e d   F i e l d < / K e y > < / a : K e y > < a : V a l u e   i : t y p e = " D i a g r a m D i s p l a y V i e w S t a t e I D i a g r a m T a g A d d i t i o n a l I n f o " / > < / a : K e y V a l u e O f D i a g r a m O b j e c t K e y a n y T y p e z b w N T n L X > < a : K e y V a l u e O f D i a g r a m O b j e c t K e y a n y T y p e z b w N T n L X > < a : K e y > < K e y > T a b l e s \ N O N _ G e n s e t \ M e a s u r e s \ S u m   o f   T o t a l   E m i s s i o n s   1 4 < / K e y > < / a : K e y > < a : V a l u e   i : t y p e = " D i a g r a m D i s p l a y N o d e V i e w S t a t e " > < H e i g h t > 1 5 0 < / H e i g h t > < I s E x p a n d e d > t r u e < / I s E x p a n d e d > < W i d t h > 2 0 0 < / W i d t h > < / a : V a l u e > < / a : K e y V a l u e O f D i a g r a m O b j e c t K e y a n y T y p e z b w N T n L X > < a : K e y V a l u e O f D i a g r a m O b j e c t K e y a n y T y p e z b w N T n L X > < a : K e y > < K e y > T a b l e s \ N O N _ G e n s e t \ S u m   o f   T o t a l   E m i s s i o n s   1 4 \ A d d i t i o n a l   I n f o \ I m p l i c i t   C a l c u l a t e d   F i e l d < / K e y > < / a : K e y > < a : V a l u e   i : t y p e = " D i a g r a m D i s p l a y V i e w S t a t e I D i a g r a m T a g A d d i t i o n a l I n f o " / > < / a : K e y V a l u e O f D i a g r a m O b j e c t K e y a n y T y p e z b w N T n L X > < a : K e y V a l u e O f D i a g r a m O b j e c t K e y a n y T y p e z b w N T n L X > < a : K e y > < K e y > T a b l e s \ D C _ G e n s e t < / K e y > < / a : K e y > < a : V a l u e   i : t y p e = " D i a g r a m D i s p l a y N o d e V i e w S t a t e " > < H e i g h t > 1 5 0 < / H e i g h t > < I s E x p a n d e d > t r u e < / I s E x p a n d e d > < L a y e d O u t > t r u e < / L a y e d O u t > < L e f t > 5 9 0 . 0 3 8 1 0 5 6 7 6 6 5 8 2 3 < / L e f t > < T a b I n d e x > 1 4 < / T a b I n d e x > < T o p > 4 2 3 . 5 < / T o p > < W i d t h > 2 0 0 < / W i d t h > < / a : V a l u e > < / a : K e y V a l u e O f D i a g r a m O b j e c t K e y a n y T y p e z b w N T n L X > < a : K e y V a l u e O f D i a g r a m O b j e c t K e y a n y T y p e z b w N T n L X > < a : K e y > < K e y > T a b l e s \ D C _ G e n s e t \ C o l u m n s \ R e p o r t i n g   A l i a s < / K e y > < / a : K e y > < a : V a l u e   i : t y p e = " D i a g r a m D i s p l a y N o d e V i e w S t a t e " > < H e i g h t > 1 5 0 < / H e i g h t > < I s E x p a n d e d > t r u e < / I s E x p a n d e d > < W i d t h > 2 0 0 < / W i d t h > < / a : V a l u e > < / a : K e y V a l u e O f D i a g r a m O b j e c t K e y a n y T y p e z b w N T n L X > < a : K e y V a l u e O f D i a g r a m O b j e c t K e y a n y T y p e z b w N T n L X > < a : K e y > < K e y > T a b l e s \ D C _ G e n s e t \ C o l u m n s \ F u e l < / K e y > < / a : K e y > < a : V a l u e   i : t y p e = " D i a g r a m D i s p l a y N o d e V i e w S t a t e " > < H e i g h t > 1 5 0 < / H e i g h t > < I s E x p a n d e d > t r u e < / I s E x p a n d e d > < W i d t h > 2 0 0 < / W i d t h > < / a : V a l u e > < / a : K e y V a l u e O f D i a g r a m O b j e c t K e y a n y T y p e z b w N T n L X > < a : K e y V a l u e O f D i a g r a m O b j e c t K e y a n y T y p e z b w N T n L X > < a : K e y > < K e y > T a b l e s \ D C _ G e n s e t \ C o l u m n s \ S t a t e < / K e y > < / a : K e y > < a : V a l u e   i : t y p e = " D i a g r a m D i s p l a y N o d e V i e w S t a t e " > < H e i g h t > 1 5 0 < / H e i g h t > < I s E x p a n d e d > t r u e < / I s E x p a n d e d > < W i d t h > 2 0 0 < / W i d t h > < / a : V a l u e > < / a : K e y V a l u e O f D i a g r a m O b j e c t K e y a n y T y p e z b w N T n L X > < a : K e y V a l u e O f D i a g r a m O b j e c t K e y a n y T y p e z b w N T n L X > < a : K e y > < K e y > T a b l e s \ D C _ G e n s e t \ C o l u m n s \ C o n s u m p t i o n   Q u a n t i t y   ( L ) < / K e y > < / a : K e y > < a : V a l u e   i : t y p e = " D i a g r a m D i s p l a y N o d e V i e w S t a t e " > < H e i g h t > 1 5 0 < / H e i g h t > < I s E x p a n d e d > t r u e < / I s E x p a n d e d > < W i d t h > 2 0 0 < / W i d t h > < / a : V a l u e > < / a : K e y V a l u e O f D i a g r a m O b j e c t K e y a n y T y p e z b w N T n L X > < a : K e y V a l u e O f D i a g r a m O b j e c t K e y a n y T y p e z b w N T n L X > < a : K e y > < K e y > T a b l e s \ D C _ G e n s e t \ C o l u m n s \ C o n s u m p t i o n     U n i t s < / K e y > < / a : K e y > < a : V a l u e   i : t y p e = " D i a g r a m D i s p l a y N o d e V i e w S t a t e " > < H e i g h t > 1 5 0 < / H e i g h t > < I s E x p a n d e d > t r u e < / I s E x p a n d e d > < W i d t h > 2 0 0 < / W i d t h > < / a : V a l u e > < / a : K e y V a l u e O f D i a g r a m O b j e c t K e y a n y T y p e z b w N T n L X > < a : K e y V a l u e O f D i a g r a m O b j e c t K e y a n y T y p e z b w N T n L X > < a : K e y > < K e y > T a b l e s \ D C _ G e n s e t \ C o l u m n s \ C o n s u m p t i o n   Q u a n t i t y < / K e y > < / a : K e y > < a : V a l u e   i : t y p e = " D i a g r a m D i s p l a y N o d e V i e w S t a t e " > < H e i g h t > 1 5 0 < / H e i g h t > < I s E x p a n d e d > t r u e < / I s E x p a n d e d > < W i d t h > 2 0 0 < / W i d t h > < / a : V a l u e > < / a : K e y V a l u e O f D i a g r a m O b j e c t K e y a n y T y p e z b w N T n L X > < a : K e y V a l u e O f D i a g r a m O b j e c t K e y a n y T y p e z b w N T n L X > < a : K e y > < K e y > T a b l e s \ D C _ G e n s e t \ C o l u m n s \ U o M < / K e y > < / a : K e y > < a : V a l u e   i : t y p e = " D i a g r a m D i s p l a y N o d e V i e w S t a t e " > < H e i g h t > 1 5 0 < / H e i g h t > < I s E x p a n d e d > t r u e < / I s E x p a n d e d > < W i d t h > 2 0 0 < / W i d t h > < / a : V a l u e > < / a : K e y V a l u e O f D i a g r a m O b j e c t K e y a n y T y p e z b w N T n L X > < a : K e y V a l u e O f D i a g r a m O b j e c t K e y a n y T y p e z b w N T n L X > < a : K e y > < K e y > T a b l e s \ D C _ G e n s e t \ C o l u m n s \ T o t a l   G J < / K e y > < / a : K e y > < a : V a l u e   i : t y p e = " D i a g r a m D i s p l a y N o d e V i e w S t a t e " > < H e i g h t > 1 5 0 < / H e i g h t > < I s E x p a n d e d > t r u e < / I s E x p a n d e d > < W i d t h > 2 0 0 < / W i d t h > < / a : V a l u e > < / a : K e y V a l u e O f D i a g r a m O b j e c t K e y a n y T y p e z b w N T n L X > < a : K e y V a l u e O f D i a g r a m O b j e c t K e y a n y T y p e z b w N T n L X > < a : K e y > < K e y > T a b l e s \ D C _ G e n s e t \ C o l u m n s \ S c o p e   1   k g   C O 2 - e < / K e y > < / a : K e y > < a : V a l u e   i : t y p e = " D i a g r a m D i s p l a y N o d e V i e w S t a t e " > < H e i g h t > 1 5 0 < / H e i g h t > < I s E x p a n d e d > t r u e < / I s E x p a n d e d > < W i d t h > 2 0 0 < / W i d t h > < / a : V a l u e > < / a : K e y V a l u e O f D i a g r a m O b j e c t K e y a n y T y p e z b w N T n L X > < a : K e y V a l u e O f D i a g r a m O b j e c t K e y a n y T y p e z b w N T n L X > < a : K e y > < K e y > T a b l e s \ D C _ G e n s e t \ C o l u m n s \ S c o p e   2   k g   C O 2 - e < / K e y > < / a : K e y > < a : V a l u e   i : t y p e = " D i a g r a m D i s p l a y N o d e V i e w S t a t e " > < H e i g h t > 1 5 0 < / H e i g h t > < I s E x p a n d e d > t r u e < / I s E x p a n d e d > < W i d t h > 2 0 0 < / W i d t h > < / a : V a l u e > < / a : K e y V a l u e O f D i a g r a m O b j e c t K e y a n y T y p e z b w N T n L X > < a : K e y V a l u e O f D i a g r a m O b j e c t K e y a n y T y p e z b w N T n L X > < a : K e y > < K e y > T a b l e s \ D C _ G e n s e t \ C o l u m n s \ S c o p e   3   k g   C O 2 - e < / K e y > < / a : K e y > < a : V a l u e   i : t y p e = " D i a g r a m D i s p l a y N o d e V i e w S t a t e " > < H e i g h t > 1 5 0 < / H e i g h t > < I s E x p a n d e d > t r u e < / I s E x p a n d e d > < W i d t h > 2 0 0 < / W i d t h > < / a : V a l u e > < / a : K e y V a l u e O f D i a g r a m O b j e c t K e y a n y T y p e z b w N T n L X > < a : K e y V a l u e O f D i a g r a m O b j e c t K e y a n y T y p e z b w N T n L X > < a : K e y > < K e y > T a b l e s \ D C _ G e n s e t \ C o l u m n s \ T o t a l   E m i s s i o n s < / K e y > < / a : K e y > < a : V a l u e   i : t y p e = " D i a g r a m D i s p l a y N o d e V i e w S t a t e " > < H e i g h t > 1 5 0 < / H e i g h t > < I s E x p a n d e d > t r u e < / I s E x p a n d e d > < W i d t h > 2 0 0 < / W i d t h > < / a : V a l u e > < / a : K e y V a l u e O f D i a g r a m O b j e c t K e y a n y T y p e z b w N T n L X > < a : K e y V a l u e O f D i a g r a m O b j e c t K e y a n y T y p e z b w N T n L X > < a : K e y > < K e y > T a b l e s \ D C _ G e n s e t \ M e a s u r e s \ S u m   o f   C o n s u m p t i o n   Q u a n t i t y   1 4 < / K e y > < / a : K e y > < a : V a l u e   i : t y p e = " D i a g r a m D i s p l a y N o d e V i e w S t a t e " > < H e i g h t > 1 5 0 < / H e i g h t > < I s E x p a n d e d > t r u e < / I s E x p a n d e d > < W i d t h > 2 0 0 < / W i d t h > < / a : V a l u e > < / a : K e y V a l u e O f D i a g r a m O b j e c t K e y a n y T y p e z b w N T n L X > < a : K e y V a l u e O f D i a g r a m O b j e c t K e y a n y T y p e z b w N T n L X > < a : K e y > < K e y > T a b l e s \ D C _ G e n s e t \ S u m   o f   C o n s u m p t i o n   Q u a n t i t y   1 4 \ A d d i t i o n a l   I n f o \ I m p l i c i t   C a l c u l a t e d   F i e l d < / K e y > < / a : K e y > < a : V a l u e   i : t y p e = " D i a g r a m D i s p l a y V i e w S t a t e I D i a g r a m T a g A d d i t i o n a l I n f o " / > < / a : K e y V a l u e O f D i a g r a m O b j e c t K e y a n y T y p e z b w N T n L X > < a : K e y V a l u e O f D i a g r a m O b j e c t K e y a n y T y p e z b w N T n L X > < a : K e y > < K e y > T a b l e s \ D C _ G e n s e t \ M e a s u r e s \ S u m   o f   T o t a l   G J   1 1 < / K e y > < / a : K e y > < a : V a l u e   i : t y p e = " D i a g r a m D i s p l a y N o d e V i e w S t a t e " > < H e i g h t > 1 5 0 < / H e i g h t > < I s E x p a n d e d > t r u e < / I s E x p a n d e d > < W i d t h > 2 0 0 < / W i d t h > < / a : V a l u e > < / a : K e y V a l u e O f D i a g r a m O b j e c t K e y a n y T y p e z b w N T n L X > < a : K e y V a l u e O f D i a g r a m O b j e c t K e y a n y T y p e z b w N T n L X > < a : K e y > < K e y > T a b l e s \ D C _ G e n s e t \ S u m   o f   T o t a l   G J   1 1 \ A d d i t i o n a l   I n f o \ I m p l i c i t   C a l c u l a t e d   F i e l d < / K e y > < / a : K e y > < a : V a l u e   i : t y p e = " D i a g r a m D i s p l a y V i e w S t a t e I D i a g r a m T a g A d d i t i o n a l I n f o " / > < / a : K e y V a l u e O f D i a g r a m O b j e c t K e y a n y T y p e z b w N T n L X > < a : K e y V a l u e O f D i a g r a m O b j e c t K e y a n y T y p e z b w N T n L X > < a : K e y > < K e y > T a b l e s \ D C _ G e n s e t \ M e a s u r e s \ S u m   o f   S c o p e   1   k g   C O 2 - e   1 1 < / K e y > < / a : K e y > < a : V a l u e   i : t y p e = " D i a g r a m D i s p l a y N o d e V i e w S t a t e " > < H e i g h t > 1 5 0 < / H e i g h t > < I s E x p a n d e d > t r u e < / I s E x p a n d e d > < W i d t h > 2 0 0 < / W i d t h > < / a : V a l u e > < / a : K e y V a l u e O f D i a g r a m O b j e c t K e y a n y T y p e z b w N T n L X > < a : K e y V a l u e O f D i a g r a m O b j e c t K e y a n y T y p e z b w N T n L X > < a : K e y > < K e y > T a b l e s \ D C _ G e n s e t \ S u m   o f   S c o p e   1   k g   C O 2 - e   1 1 \ A d d i t i o n a l   I n f o \ I m p l i c i t   C a l c u l a t e d   F i e l d < / K e y > < / a : K e y > < a : V a l u e   i : t y p e = " D i a g r a m D i s p l a y V i e w S t a t e I D i a g r a m T a g A d d i t i o n a l I n f o " / > < / a : K e y V a l u e O f D i a g r a m O b j e c t K e y a n y T y p e z b w N T n L X > < a : K e y V a l u e O f D i a g r a m O b j e c t K e y a n y T y p e z b w N T n L X > < a : K e y > < K e y > T a b l e s \ D C _ G e n s e t \ M e a s u r e s \ S u m   o f   S c o p e   2   k g   C O 2 - e   1 1 < / K e y > < / a : K e y > < a : V a l u e   i : t y p e = " D i a g r a m D i s p l a y N o d e V i e w S t a t e " > < H e i g h t > 1 5 0 < / H e i g h t > < I s E x p a n d e d > t r u e < / I s E x p a n d e d > < W i d t h > 2 0 0 < / W i d t h > < / a : V a l u e > < / a : K e y V a l u e O f D i a g r a m O b j e c t K e y a n y T y p e z b w N T n L X > < a : K e y V a l u e O f D i a g r a m O b j e c t K e y a n y T y p e z b w N T n L X > < a : K e y > < K e y > T a b l e s \ D C _ G e n s e t \ S u m   o f   S c o p e   2   k g   C O 2 - e   1 1 \ A d d i t i o n a l   I n f o \ I m p l i c i t   C a l c u l a t e d   F i e l d < / K e y > < / a : K e y > < a : V a l u e   i : t y p e = " D i a g r a m D i s p l a y V i e w S t a t e I D i a g r a m T a g A d d i t i o n a l I n f o " / > < / a : K e y V a l u e O f D i a g r a m O b j e c t K e y a n y T y p e z b w N T n L X > < a : K e y V a l u e O f D i a g r a m O b j e c t K e y a n y T y p e z b w N T n L X > < a : K e y > < K e y > T a b l e s \ D C _ G e n s e t \ M e a s u r e s \ S u m   o f   S c o p e   3   k g   C O 2 - e   1 1 < / K e y > < / a : K e y > < a : V a l u e   i : t y p e = " D i a g r a m D i s p l a y N o d e V i e w S t a t e " > < H e i g h t > 1 5 0 < / H e i g h t > < I s E x p a n d e d > t r u e < / I s E x p a n d e d > < W i d t h > 2 0 0 < / W i d t h > < / a : V a l u e > < / a : K e y V a l u e O f D i a g r a m O b j e c t K e y a n y T y p e z b w N T n L X > < a : K e y V a l u e O f D i a g r a m O b j e c t K e y a n y T y p e z b w N T n L X > < a : K e y > < K e y > T a b l e s \ D C _ G e n s e t \ S u m   o f   S c o p e   3   k g   C O 2 - e   1 1 \ A d d i t i o n a l   I n f o \ I m p l i c i t   C a l c u l a t e d   F i e l d < / K e y > < / a : K e y > < a : V a l u e   i : t y p e = " D i a g r a m D i s p l a y V i e w S t a t e I D i a g r a m T a g A d d i t i o n a l I n f o " / > < / a : K e y V a l u e O f D i a g r a m O b j e c t K e y a n y T y p e z b w N T n L X > < a : K e y V a l u e O f D i a g r a m O b j e c t K e y a n y T y p e z b w N T n L X > < a : K e y > < K e y > T a b l e s \ D C _ G e n s e t \ M e a s u r e s \ S u m   o f   T o t a l   E m i s s i o n s   1 1 < / K e y > < / a : K e y > < a : V a l u e   i : t y p e = " D i a g r a m D i s p l a y N o d e V i e w S t a t e " > < H e i g h t > 1 5 0 < / H e i g h t > < I s E x p a n d e d > t r u e < / I s E x p a n d e d > < W i d t h > 2 0 0 < / W i d t h > < / a : V a l u e > < / a : K e y V a l u e O f D i a g r a m O b j e c t K e y a n y T y p e z b w N T n L X > < a : K e y V a l u e O f D i a g r a m O b j e c t K e y a n y T y p e z b w N T n L X > < a : K e y > < K e y > T a b l e s \ D C _ G e n s e t \ S u m   o f   T o t a l   E m i s s i o n s   1 1 \ A d d i t i o n a l   I n f o \ I m p l i c i t   C a l c u l a t e d   F i e l d < / K e y > < / a : K e y > < a : V a l u e   i : t y p e = " D i a g r a m D i s p l a y V i e w S t a t e I D i a g r a m T a g A d d i t i o n a l I n f o " / > < / a : K e y V a l u e O f D i a g r a m O b j e c t K e y a n y T y p e z b w N T n L X > < a : K e y V a l u e O f D i a g r a m O b j e c t K e y a n y T y p e z b w N T n L X > < a : K e y > < K e y > T a b l e s \ T e l s t r a B C A < / K e y > < / a : K e y > < a : V a l u e   i : t y p e = " D i a g r a m D i s p l a y N o d e V i e w S t a t e " > < H e i g h t > 1 5 0 < / H e i g h t > < I s E x p a n d e d > t r u e < / I s E x p a n d e d > < L a y e d O u t > t r u e < / L a y e d O u t > < L e f t > 1 0 6 3 . 7 1 1 4 3 1 7 0 2 9 9 7 5 < / L e f t > < T a b I n d e x > 4 < / T a b I n d e x > < W i d t h > 2 0 0 < / W i d t h > < / a : V a l u e > < / a : K e y V a l u e O f D i a g r a m O b j e c t K e y a n y T y p e z b w N T n L X > < a : K e y V a l u e O f D i a g r a m O b j e c t K e y a n y T y p e z b w N T n L X > < a : K e y > < K e y > T a b l e s \ T e l s t r a B C A \ C o l u m n s \ R e p o r t i n g   A l i a s < / K e y > < / a : K e y > < a : V a l u e   i : t y p e = " D i a g r a m D i s p l a y N o d e V i e w S t a t e " > < H e i g h t > 1 5 0 < / H e i g h t > < I s E x p a n d e d > t r u e < / I s E x p a n d e d > < W i d t h > 2 0 0 < / W i d t h > < / a : V a l u e > < / a : K e y V a l u e O f D i a g r a m O b j e c t K e y a n y T y p e z b w N T n L X > < a : K e y V a l u e O f D i a g r a m O b j e c t K e y a n y T y p e z b w N T n L X > < a : K e y > < K e y > T a b l e s \ T e l s t r a B C A \ C o l u m n s \ C o n s u m p t i o n   Q u a n t i t y < / K e y > < / a : K e y > < a : V a l u e   i : t y p e = " D i a g r a m D i s p l a y N o d e V i e w S t a t e " > < H e i g h t > 1 5 0 < / H e i g h t > < I s E x p a n d e d > t r u e < / I s E x p a n d e d > < W i d t h > 2 0 0 < / W i d t h > < / a : V a l u e > < / a : K e y V a l u e O f D i a g r a m O b j e c t K e y a n y T y p e z b w N T n L X > < a : K e y V a l u e O f D i a g r a m O b j e c t K e y a n y T y p e z b w N T n L X > < a : K e y > < K e y > T a b l e s \ T e l s t r a B C A \ C o l u m n s \ T o t a l   G J < / K e y > < / a : K e y > < a : V a l u e   i : t y p e = " D i a g r a m D i s p l a y N o d e V i e w S t a t e " > < H e i g h t > 1 5 0 < / H e i g h t > < I s E x p a n d e d > t r u e < / I s E x p a n d e d > < W i d t h > 2 0 0 < / W i d t h > < / a : V a l u e > < / a : K e y V a l u e O f D i a g r a m O b j e c t K e y a n y T y p e z b w N T n L X > < a : K e y V a l u e O f D i a g r a m O b j e c t K e y a n y T y p e z b w N T n L X > < a : K e y > < K e y > T a b l e s \ T e l s t r a B C A \ C o l u m n s \ S c o p e   1   k g   C O 2 - e < / K e y > < / a : K e y > < a : V a l u e   i : t y p e = " D i a g r a m D i s p l a y N o d e V i e w S t a t e " > < H e i g h t > 1 5 0 < / H e i g h t > < I s E x p a n d e d > t r u e < / I s E x p a n d e d > < W i d t h > 2 0 0 < / W i d t h > < / a : V a l u e > < / a : K e y V a l u e O f D i a g r a m O b j e c t K e y a n y T y p e z b w N T n L X > < a : K e y V a l u e O f D i a g r a m O b j e c t K e y a n y T y p e z b w N T n L X > < a : K e y > < K e y > T a b l e s \ T e l s t r a B C A \ C o l u m n s \ S c o p e   2   k g   C O 2 - e < / K e y > < / a : K e y > < a : V a l u e   i : t y p e = " D i a g r a m D i s p l a y N o d e V i e w S t a t e " > < H e i g h t > 1 5 0 < / H e i g h t > < I s E x p a n d e d > t r u e < / I s E x p a n d e d > < W i d t h > 2 0 0 < / W i d t h > < / a : V a l u e > < / a : K e y V a l u e O f D i a g r a m O b j e c t K e y a n y T y p e z b w N T n L X > < a : K e y V a l u e O f D i a g r a m O b j e c t K e y a n y T y p e z b w N T n L X > < a : K e y > < K e y > T a b l e s \ T e l s t r a B C A \ C o l u m n s \ S c o p e   3   k g   C O 2 - e < / K e y > < / a : K e y > < a : V a l u e   i : t y p e = " D i a g r a m D i s p l a y N o d e V i e w S t a t e " > < H e i g h t > 1 5 0 < / H e i g h t > < I s E x p a n d e d > t r u e < / I s E x p a n d e d > < W i d t h > 2 0 0 < / W i d t h > < / a : V a l u e > < / a : K e y V a l u e O f D i a g r a m O b j e c t K e y a n y T y p e z b w N T n L X > < a : K e y V a l u e O f D i a g r a m O b j e c t K e y a n y T y p e z b w N T n L X > < a : K e y > < K e y > T a b l e s \ T e l s t r a B C A \ C o l u m n s \ T o t a l   E m i s s i o n s < / K e y > < / a : K e y > < a : V a l u e   i : t y p e = " D i a g r a m D i s p l a y N o d e V i e w S t a t e " > < H e i g h t > 1 5 0 < / H e i g h t > < I s E x p a n d e d > t r u e < / I s E x p a n d e d > < W i d t h > 2 0 0 < / W i d t h > < / a : V a l u e > < / a : K e y V a l u e O f D i a g r a m O b j e c t K e y a n y T y p e z b w N T n L X > < a : K e y V a l u e O f D i a g r a m O b j e c t K e y a n y T y p e z b w N T n L X > < a : K e y > < K e y > T a b l e s \ T e l s t r a B C A \ M e a s u r e s \ S u m   o f   C o n s u m p t i o n   Q u a n t i t y   4 < / K e y > < / a : K e y > < a : V a l u e   i : t y p e = " D i a g r a m D i s p l a y N o d e V i e w S t a t e " > < H e i g h t > 1 5 0 < / H e i g h t > < I s E x p a n d e d > t r u e < / I s E x p a n d e d > < W i d t h > 2 0 0 < / W i d t h > < / a : V a l u e > < / a : K e y V a l u e O f D i a g r a m O b j e c t K e y a n y T y p e z b w N T n L X > < a : K e y V a l u e O f D i a g r a m O b j e c t K e y a n y T y p e z b w N T n L X > < a : K e y > < K e y > T a b l e s \ T e l s t r a B C A \ S u m   o f   C o n s u m p t i o n   Q u a n t i t y   4 \ A d d i t i o n a l   I n f o \ I m p l i c i t   C a l c u l a t e d   F i e l d < / K e y > < / a : K e y > < a : V a l u e   i : t y p e = " D i a g r a m D i s p l a y V i e w S t a t e I D i a g r a m T a g A d d i t i o n a l I n f o " / > < / a : K e y V a l u e O f D i a g r a m O b j e c t K e y a n y T y p e z b w N T n L X > < a : K e y V a l u e O f D i a g r a m O b j e c t K e y a n y T y p e z b w N T n L X > < a : K e y > < K e y > T a b l e s \ T e l s t r a B C A \ M e a s u r e s \ S u m   o f   T o t a l   G J   4 < / K e y > < / a : K e y > < a : V a l u e   i : t y p e = " D i a g r a m D i s p l a y N o d e V i e w S t a t e " > < H e i g h t > 1 5 0 < / H e i g h t > < I s E x p a n d e d > t r u e < / I s E x p a n d e d > < W i d t h > 2 0 0 < / W i d t h > < / a : V a l u e > < / a : K e y V a l u e O f D i a g r a m O b j e c t K e y a n y T y p e z b w N T n L X > < a : K e y V a l u e O f D i a g r a m O b j e c t K e y a n y T y p e z b w N T n L X > < a : K e y > < K e y > T a b l e s \ T e l s t r a B C A \ S u m   o f   T o t a l   G J   4 \ A d d i t i o n a l   I n f o \ I m p l i c i t   C a l c u l a t e d   F i e l d < / K e y > < / a : K e y > < a : V a l u e   i : t y p e = " D i a g r a m D i s p l a y V i e w S t a t e I D i a g r a m T a g A d d i t i o n a l I n f o " / > < / a : K e y V a l u e O f D i a g r a m O b j e c t K e y a n y T y p e z b w N T n L X > < a : K e y V a l u e O f D i a g r a m O b j e c t K e y a n y T y p e z b w N T n L X > < a : K e y > < K e y > T a b l e s \ T e l s t r a B C A \ M e a s u r e s \ S u m   o f   S c o p e   1   k g   C O 2 - e   4 < / K e y > < / a : K e y > < a : V a l u e   i : t y p e = " D i a g r a m D i s p l a y N o d e V i e w S t a t e " > < H e i g h t > 1 5 0 < / H e i g h t > < I s E x p a n d e d > t r u e < / I s E x p a n d e d > < W i d t h > 2 0 0 < / W i d t h > < / a : V a l u e > < / a : K e y V a l u e O f D i a g r a m O b j e c t K e y a n y T y p e z b w N T n L X > < a : K e y V a l u e O f D i a g r a m O b j e c t K e y a n y T y p e z b w N T n L X > < a : K e y > < K e y > T a b l e s \ T e l s t r a B C A \ S u m   o f   S c o p e   1   k g   C O 2 - e   4 \ A d d i t i o n a l   I n f o \ I m p l i c i t   C a l c u l a t e d   F i e l d < / K e y > < / a : K e y > < a : V a l u e   i : t y p e = " D i a g r a m D i s p l a y V i e w S t a t e I D i a g r a m T a g A d d i t i o n a l I n f o " / > < / a : K e y V a l u e O f D i a g r a m O b j e c t K e y a n y T y p e z b w N T n L X > < a : K e y V a l u e O f D i a g r a m O b j e c t K e y a n y T y p e z b w N T n L X > < a : K e y > < K e y > T a b l e s \ T e l s t r a B C A \ M e a s u r e s \ S u m   o f   S c o p e   2   k g   C O 2 - e   4 < / K e y > < / a : K e y > < a : V a l u e   i : t y p e = " D i a g r a m D i s p l a y N o d e V i e w S t a t e " > < H e i g h t > 1 5 0 < / H e i g h t > < I s E x p a n d e d > t r u e < / I s E x p a n d e d > < W i d t h > 2 0 0 < / W i d t h > < / a : V a l u e > < / a : K e y V a l u e O f D i a g r a m O b j e c t K e y a n y T y p e z b w N T n L X > < a : K e y V a l u e O f D i a g r a m O b j e c t K e y a n y T y p e z b w N T n L X > < a : K e y > < K e y > T a b l e s \ T e l s t r a B C A \ S u m   o f   S c o p e   2   k g   C O 2 - e   4 \ A d d i t i o n a l   I n f o \ I m p l i c i t   C a l c u l a t e d   F i e l d < / K e y > < / a : K e y > < a : V a l u e   i : t y p e = " D i a g r a m D i s p l a y V i e w S t a t e I D i a g r a m T a g A d d i t i o n a l I n f o " / > < / a : K e y V a l u e O f D i a g r a m O b j e c t K e y a n y T y p e z b w N T n L X > < a : K e y V a l u e O f D i a g r a m O b j e c t K e y a n y T y p e z b w N T n L X > < a : K e y > < K e y > T a b l e s \ T e l s t r a B C A \ M e a s u r e s \ S u m   o f   S c o p e   3   k g   C O 2 - e   4 < / K e y > < / a : K e y > < a : V a l u e   i : t y p e = " D i a g r a m D i s p l a y N o d e V i e w S t a t e " > < H e i g h t > 1 5 0 < / H e i g h t > < I s E x p a n d e d > t r u e < / I s E x p a n d e d > < W i d t h > 2 0 0 < / W i d t h > < / a : V a l u e > < / a : K e y V a l u e O f D i a g r a m O b j e c t K e y a n y T y p e z b w N T n L X > < a : K e y V a l u e O f D i a g r a m O b j e c t K e y a n y T y p e z b w N T n L X > < a : K e y > < K e y > T a b l e s \ T e l s t r a B C A \ S u m   o f   S c o p e   3   k g   C O 2 - e   4 \ A d d i t i o n a l   I n f o \ I m p l i c i t   C a l c u l a t e d   F i e l d < / K e y > < / a : K e y > < a : V a l u e   i : t y p e = " D i a g r a m D i s p l a y V i e w S t a t e I D i a g r a m T a g A d d i t i o n a l I n f o " / > < / a : K e y V a l u e O f D i a g r a m O b j e c t K e y a n y T y p e z b w N T n L X > < a : K e y V a l u e O f D i a g r a m O b j e c t K e y a n y T y p e z b w N T n L X > < a : K e y > < K e y > T a b l e s \ T e l s t r a B C A \ M e a s u r e s \ S u m   o f   T o t a l   E m i s s i o n s   4 < / K e y > < / a : K e y > < a : V a l u e   i : t y p e = " D i a g r a m D i s p l a y N o d e V i e w S t a t e " > < H e i g h t > 1 5 0 < / H e i g h t > < I s E x p a n d e d > t r u e < / I s E x p a n d e d > < W i d t h > 2 0 0 < / W i d t h > < / a : V a l u e > < / a : K e y V a l u e O f D i a g r a m O b j e c t K e y a n y T y p e z b w N T n L X > < a : K e y V a l u e O f D i a g r a m O b j e c t K e y a n y T y p e z b w N T n L X > < a : K e y > < K e y > T a b l e s \ T e l s t r a B C A \ S u m   o f   T o t a l   E m i s s i o n s   4 \ A d d i t i o n a l   I n f o \ I m p l i c i t   C a l c u l a t e d   F i e l d < / K e y > < / a : K e y > < a : V a l u e   i : t y p e = " D i a g r a m D i s p l a y V i e w S t a t e I D i a g r a m T a g A d d i t i o n a l I n f o " / > < / a : K e y V a l u e O f D i a g r a m O b j e c t K e y a n y T y p e z b w N T n L X > < a : K e y V a l u e O f D i a g r a m O b j e c t K e y a n y T y p e z b w N T n L X > < a : K e y > < K e y > T a b l e s \ L P _ S t a t i o n a r y < / K e y > < / a : K e y > < a : V a l u e   i : t y p e = " D i a g r a m D i s p l a y N o d e V i e w S t a t e " > < H e i g h t > 1 5 0 < / H e i g h t > < I s E x p a n d e d > t r u e < / I s E x p a n d e d > < L a y e d O u t > t r u e < / L a y e d O u t > < L e f t > 1 0 6 7 . 7 1 1 4 3 1 7 0 2 9 9 7 5 < / L e f t > < T a b I n d e x > 1 0 < / T a b I n d e x > < T o p > 2 0 9 . 2 5 < / T o p > < W i d t h > 2 0 0 < / W i d t h > < / a : V a l u e > < / a : K e y V a l u e O f D i a g r a m O b j e c t K e y a n y T y p e z b w N T n L X > < a : K e y V a l u e O f D i a g r a m O b j e c t K e y a n y T y p e z b w N T n L X > < a : K e y > < K e y > T a b l e s \ L P _ S t a t i o n a r y \ C o l u m n s \ R e p o r t i n g   A l i a s < / K e y > < / a : K e y > < a : V a l u e   i : t y p e = " D i a g r a m D i s p l a y N o d e V i e w S t a t e " > < H e i g h t > 1 5 0 < / H e i g h t > < I s E x p a n d e d > t r u e < / I s E x p a n d e d > < W i d t h > 2 0 0 < / W i d t h > < / a : V a l u e > < / a : K e y V a l u e O f D i a g r a m O b j e c t K e y a n y T y p e z b w N T n L X > < a : K e y V a l u e O f D i a g r a m O b j e c t K e y a n y T y p e z b w N T n L X > < a : K e y > < K e y > T a b l e s \ L P _ S t a t i o n a r y \ C o l u m n s \ E n t i t y < / K e y > < / a : K e y > < a : V a l u e   i : t y p e = " D i a g r a m D i s p l a y N o d e V i e w S t a t e " > < H e i g h t > 1 5 0 < / H e i g h t > < I s E x p a n d e d > t r u e < / I s E x p a n d e d > < W i d t h > 2 0 0 < / W i d t h > < / a : V a l u e > < / a : K e y V a l u e O f D i a g r a m O b j e c t K e y a n y T y p e z b w N T n L X > < a : K e y V a l u e O f D i a g r a m O b j e c t K e y a n y T y p e z b w N T n L X > < a : K e y > < K e y > T a b l e s \ L P _ S t a t i o n a r y \ C o l u m n s \ F u e l < / K e y > < / a : K e y > < a : V a l u e   i : t y p e = " D i a g r a m D i s p l a y N o d e V i e w S t a t e " > < H e i g h t > 1 5 0 < / H e i g h t > < I s E x p a n d e d > t r u e < / I s E x p a n d e d > < W i d t h > 2 0 0 < / W i d t h > < / a : V a l u e > < / a : K e y V a l u e O f D i a g r a m O b j e c t K e y a n y T y p e z b w N T n L X > < a : K e y V a l u e O f D i a g r a m O b j e c t K e y a n y T y p e z b w N T n L X > < a : K e y > < K e y > T a b l e s \ L P _ S t a t i o n a r y \ C o l u m n s \ S t a t e < / K e y > < / a : K e y > < a : V a l u e   i : t y p e = " D i a g r a m D i s p l a y N o d e V i e w S t a t e " > < H e i g h t > 1 5 0 < / H e i g h t > < I s E x p a n d e d > t r u e < / I s E x p a n d e d > < W i d t h > 2 0 0 < / W i d t h > < / a : V a l u e > < / a : K e y V a l u e O f D i a g r a m O b j e c t K e y a n y T y p e z b w N T n L X > < a : K e y V a l u e O f D i a g r a m O b j e c t K e y a n y T y p e z b w N T n L X > < a : K e y > < K e y > T a b l e s \ L P _ S t a t i o n a r y \ C o l u m n s \ C o n s u m p t i o n   Q u a n t i t y   ( L ) < / K e y > < / a : K e y > < a : V a l u e   i : t y p e = " D i a g r a m D i s p l a y N o d e V i e w S t a t e " > < H e i g h t > 1 5 0 < / H e i g h t > < I s E x p a n d e d > t r u e < / I s E x p a n d e d > < W i d t h > 2 0 0 < / W i d t h > < / a : V a l u e > < / a : K e y V a l u e O f D i a g r a m O b j e c t K e y a n y T y p e z b w N T n L X > < a : K e y V a l u e O f D i a g r a m O b j e c t K e y a n y T y p e z b w N T n L X > < a : K e y > < K e y > T a b l e s \ L P _ S t a t i o n a r y \ C o l u m n s \ C o n s u m p t i o n   U n i t s < / K e y > < / a : K e y > < a : V a l u e   i : t y p e = " D i a g r a m D i s p l a y N o d e V i e w S t a t e " > < H e i g h t > 1 5 0 < / H e i g h t > < I s E x p a n d e d > t r u e < / I s E x p a n d e d > < W i d t h > 2 0 0 < / W i d t h > < / a : V a l u e > < / a : K e y V a l u e O f D i a g r a m O b j e c t K e y a n y T y p e z b w N T n L X > < a : K e y V a l u e O f D i a g r a m O b j e c t K e y a n y T y p e z b w N T n L X > < a : K e y > < K e y > T a b l e s \ L P _ S t a t i o n a r y \ C o l u m n s \ C o n s u m p t i o n   Q u a n t i t y < / K e y > < / a : K e y > < a : V a l u e   i : t y p e = " D i a g r a m D i s p l a y N o d e V i e w S t a t e " > < H e i g h t > 1 5 0 < / H e i g h t > < I s E x p a n d e d > t r u e < / I s E x p a n d e d > < W i d t h > 2 0 0 < / W i d t h > < / a : V a l u e > < / a : K e y V a l u e O f D i a g r a m O b j e c t K e y a n y T y p e z b w N T n L X > < a : K e y V a l u e O f D i a g r a m O b j e c t K e y a n y T y p e z b w N T n L X > < a : K e y > < K e y > T a b l e s \ L P _ S t a t i o n a r y \ C o l u m n s \ T o t a l   G J < / K e y > < / a : K e y > < a : V a l u e   i : t y p e = " D i a g r a m D i s p l a y N o d e V i e w S t a t e " > < H e i g h t > 1 5 0 < / H e i g h t > < I s E x p a n d e d > t r u e < / I s E x p a n d e d > < W i d t h > 2 0 0 < / W i d t h > < / a : V a l u e > < / a : K e y V a l u e O f D i a g r a m O b j e c t K e y a n y T y p e z b w N T n L X > < a : K e y V a l u e O f D i a g r a m O b j e c t K e y a n y T y p e z b w N T n L X > < a : K e y > < K e y > T a b l e s \ L P _ S t a t i o n a r y \ C o l u m n s \ S c o p e   1   k g   C O 2 - e < / K e y > < / a : K e y > < a : V a l u e   i : t y p e = " D i a g r a m D i s p l a y N o d e V i e w S t a t e " > < H e i g h t > 1 5 0 < / H e i g h t > < I s E x p a n d e d > t r u e < / I s E x p a n d e d > < W i d t h > 2 0 0 < / W i d t h > < / a : V a l u e > < / a : K e y V a l u e O f D i a g r a m O b j e c t K e y a n y T y p e z b w N T n L X > < a : K e y V a l u e O f D i a g r a m O b j e c t K e y a n y T y p e z b w N T n L X > < a : K e y > < K e y > T a b l e s \ L P _ S t a t i o n a r y \ C o l u m n s \ S c o p e   2   k g   C O 2 - e < / K e y > < / a : K e y > < a : V a l u e   i : t y p e = " D i a g r a m D i s p l a y N o d e V i e w S t a t e " > < H e i g h t > 1 5 0 < / H e i g h t > < I s E x p a n d e d > t r u e < / I s E x p a n d e d > < W i d t h > 2 0 0 < / W i d t h > < / a : V a l u e > < / a : K e y V a l u e O f D i a g r a m O b j e c t K e y a n y T y p e z b w N T n L X > < a : K e y V a l u e O f D i a g r a m O b j e c t K e y a n y T y p e z b w N T n L X > < a : K e y > < K e y > T a b l e s \ L P _ S t a t i o n a r y \ C o l u m n s \ S c o p e   3   k g   C O 2 - e < / K e y > < / a : K e y > < a : V a l u e   i : t y p e = " D i a g r a m D i s p l a y N o d e V i e w S t a t e " > < H e i g h t > 1 5 0 < / H e i g h t > < I s E x p a n d e d > t r u e < / I s E x p a n d e d > < W i d t h > 2 0 0 < / W i d t h > < / a : V a l u e > < / a : K e y V a l u e O f D i a g r a m O b j e c t K e y a n y T y p e z b w N T n L X > < a : K e y V a l u e O f D i a g r a m O b j e c t K e y a n y T y p e z b w N T n L X > < a : K e y > < K e y > T a b l e s \ L P _ S t a t i o n a r y \ C o l u m n s \ T o t a l   E m i s s i o n s < / K e y > < / a : K e y > < a : V a l u e   i : t y p e = " D i a g r a m D i s p l a y N o d e V i e w S t a t e " > < H e i g h t > 1 5 0 < / H e i g h t > < I s E x p a n d e d > t r u e < / I s E x p a n d e d > < W i d t h > 2 0 0 < / W i d t h > < / a : V a l u e > < / a : K e y V a l u e O f D i a g r a m O b j e c t K e y a n y T y p e z b w N T n L X > < a : K e y V a l u e O f D i a g r a m O b j e c t K e y a n y T y p e z b w N T n L X > < a : K e y > < K e y > T a b l e s \ L P _ S t a t i o n a r y \ M e a s u r e s \ S u m   o f   C o n s u m p t i o n   Q u a n t i t y   1 2 < / K e y > < / a : K e y > < a : V a l u e   i : t y p e = " D i a g r a m D i s p l a y N o d e V i e w S t a t e " > < H e i g h t > 1 5 0 < / H e i g h t > < I s E x p a n d e d > t r u e < / I s E x p a n d e d > < W i d t h > 2 0 0 < / W i d t h > < / a : V a l u e > < / a : K e y V a l u e O f D i a g r a m O b j e c t K e y a n y T y p e z b w N T n L X > < a : K e y V a l u e O f D i a g r a m O b j e c t K e y a n y T y p e z b w N T n L X > < a : K e y > < K e y > T a b l e s \ L P _ S t a t i o n a r y \ S u m   o f   C o n s u m p t i o n   Q u a n t i t y   1 2 \ A d d i t i o n a l   I n f o \ I m p l i c i t   C a l c u l a t e d   F i e l d < / K e y > < / a : K e y > < a : V a l u e   i : t y p e = " D i a g r a m D i s p l a y V i e w S t a t e I D i a g r a m T a g A d d i t i o n a l I n f o " / > < / a : K e y V a l u e O f D i a g r a m O b j e c t K e y a n y T y p e z b w N T n L X > < a : K e y V a l u e O f D i a g r a m O b j e c t K e y a n y T y p e z b w N T n L X > < a : K e y > < K e y > T a b l e s \ L P _ S t a t i o n a r y \ M e a s u r e s \ S u m   o f   T o t a l   G J   1 2 < / K e y > < / a : K e y > < a : V a l u e   i : t y p e = " D i a g r a m D i s p l a y N o d e V i e w S t a t e " > < H e i g h t > 1 5 0 < / H e i g h t > < I s E x p a n d e d > t r u e < / I s E x p a n d e d > < W i d t h > 2 0 0 < / W i d t h > < / a : V a l u e > < / a : K e y V a l u e O f D i a g r a m O b j e c t K e y a n y T y p e z b w N T n L X > < a : K e y V a l u e O f D i a g r a m O b j e c t K e y a n y T y p e z b w N T n L X > < a : K e y > < K e y > T a b l e s \ L P _ S t a t i o n a r y \ S u m   o f   T o t a l   G J   1 2 \ A d d i t i o n a l   I n f o \ I m p l i c i t   C a l c u l a t e d   F i e l d < / K e y > < / a : K e y > < a : V a l u e   i : t y p e = " D i a g r a m D i s p l a y V i e w S t a t e I D i a g r a m T a g A d d i t i o n a l I n f o " / > < / a : K e y V a l u e O f D i a g r a m O b j e c t K e y a n y T y p e z b w N T n L X > < a : K e y V a l u e O f D i a g r a m O b j e c t K e y a n y T y p e z b w N T n L X > < a : K e y > < K e y > T a b l e s \ L P _ S t a t i o n a r y \ M e a s u r e s \ S u m   o f   S c o p e   1   k g   C O 2 - e   1 2 < / K e y > < / a : K e y > < a : V a l u e   i : t y p e = " D i a g r a m D i s p l a y N o d e V i e w S t a t e " > < H e i g h t > 1 5 0 < / H e i g h t > < I s E x p a n d e d > t r u e < / I s E x p a n d e d > < W i d t h > 2 0 0 < / W i d t h > < / a : V a l u e > < / a : K e y V a l u e O f D i a g r a m O b j e c t K e y a n y T y p e z b w N T n L X > < a : K e y V a l u e O f D i a g r a m O b j e c t K e y a n y T y p e z b w N T n L X > < a : K e y > < K e y > T a b l e s \ L P _ S t a t i o n a r y \ S u m   o f   S c o p e   1   k g   C O 2 - e   1 2 \ A d d i t i o n a l   I n f o \ I m p l i c i t   C a l c u l a t e d   F i e l d < / K e y > < / a : K e y > < a : V a l u e   i : t y p e = " D i a g r a m D i s p l a y V i e w S t a t e I D i a g r a m T a g A d d i t i o n a l I n f o " / > < / a : K e y V a l u e O f D i a g r a m O b j e c t K e y a n y T y p e z b w N T n L X > < a : K e y V a l u e O f D i a g r a m O b j e c t K e y a n y T y p e z b w N T n L X > < a : K e y > < K e y > T a b l e s \ L P _ S t a t i o n a r y \ M e a s u r e s \ S u m   o f   S c o p e   2   k g   C O 2 - e   1 2 < / K e y > < / a : K e y > < a : V a l u e   i : t y p e = " D i a g r a m D i s p l a y N o d e V i e w S t a t e " > < H e i g h t > 1 5 0 < / H e i g h t > < I s E x p a n d e d > t r u e < / I s E x p a n d e d > < W i d t h > 2 0 0 < / W i d t h > < / a : V a l u e > < / a : K e y V a l u e O f D i a g r a m O b j e c t K e y a n y T y p e z b w N T n L X > < a : K e y V a l u e O f D i a g r a m O b j e c t K e y a n y T y p e z b w N T n L X > < a : K e y > < K e y > T a b l e s \ L P _ S t a t i o n a r y \ S u m   o f   S c o p e   2   k g   C O 2 - e   1 2 \ A d d i t i o n a l   I n f o \ I m p l i c i t   C a l c u l a t e d   F i e l d < / K e y > < / a : K e y > < a : V a l u e   i : t y p e = " D i a g r a m D i s p l a y V i e w S t a t e I D i a g r a m T a g A d d i t i o n a l I n f o " / > < / a : K e y V a l u e O f D i a g r a m O b j e c t K e y a n y T y p e z b w N T n L X > < a : K e y V a l u e O f D i a g r a m O b j e c t K e y a n y T y p e z b w N T n L X > < a : K e y > < K e y > T a b l e s \ L P _ S t a t i o n a r y \ M e a s u r e s \ S u m   o f   S c o p e   3   k g   C O 2 - e   1 2 < / K e y > < / a : K e y > < a : V a l u e   i : t y p e = " D i a g r a m D i s p l a y N o d e V i e w S t a t e " > < H e i g h t > 1 5 0 < / H e i g h t > < I s E x p a n d e d > t r u e < / I s E x p a n d e d > < W i d t h > 2 0 0 < / W i d t h > < / a : V a l u e > < / a : K e y V a l u e O f D i a g r a m O b j e c t K e y a n y T y p e z b w N T n L X > < a : K e y V a l u e O f D i a g r a m O b j e c t K e y a n y T y p e z b w N T n L X > < a : K e y > < K e y > T a b l e s \ L P _ S t a t i o n a r y \ S u m   o f   S c o p e   3   k g   C O 2 - e   1 2 \ A d d i t i o n a l   I n f o \ I m p l i c i t   C a l c u l a t e d   F i e l d < / K e y > < / a : K e y > < a : V a l u e   i : t y p e = " D i a g r a m D i s p l a y V i e w S t a t e I D i a g r a m T a g A d d i t i o n a l I n f o " / > < / a : K e y V a l u e O f D i a g r a m O b j e c t K e y a n y T y p e z b w N T n L X > < a : K e y V a l u e O f D i a g r a m O b j e c t K e y a n y T y p e z b w N T n L X > < a : K e y > < K e y > T a b l e s \ L P _ S t a t i o n a r y \ M e a s u r e s \ S u m   o f   T o t a l   E m i s s i o n s   1 2 < / K e y > < / a : K e y > < a : V a l u e   i : t y p e = " D i a g r a m D i s p l a y N o d e V i e w S t a t e " > < H e i g h t > 1 5 0 < / H e i g h t > < I s E x p a n d e d > t r u e < / I s E x p a n d e d > < W i d t h > 2 0 0 < / W i d t h > < / a : V a l u e > < / a : K e y V a l u e O f D i a g r a m O b j e c t K e y a n y T y p e z b w N T n L X > < a : K e y V a l u e O f D i a g r a m O b j e c t K e y a n y T y p e z b w N T n L X > < a : K e y > < K e y > T a b l e s \ L P _ S t a t i o n a r y \ S u m   o f   T o t a l   E m i s s i o n s   1 2 \ A d d i t i o n a l   I n f o \ I m p l i c i t   C a l c u l a t e d   F i e l d < / K e y > < / a : K e y > < a : V a l u e   i : t y p e = " D i a g r a m D i s p l a y V i e w S t a t e I D i a g r a m T a g A d d i t i o n a l I n f o " / > < / a : K e y V a l u e O f D i a g r a m O b j e c t K e y a n y T y p e z b w N T n L X > < a : K e y V a l u e O f D i a g r a m O b j e c t K e y a n y T y p e z b w N T n L X > < a : K e y > < K e y > R e l a t i o n s h i p s \ & l t ; T a b l e s \ B C A _ R e m o v a l \ C o l u m n s \ R e p o r t i n g   A l i a s & g t ; - & l t ; T a b l e s \ E n t i t y \ C o l u m n s \ R e p o r t i n g   A l i a s & g t ; < / K e y > < / a : K e y > < a : V a l u e   i : t y p e = " D i a g r a m D i s p l a y L i n k V i e w S t a t e " > < A u t o m a t i o n P r o p e r t y H e l p e r T e x t > E n d   p o i n t   1 :   ( 5 3 7 . 9 0 3 8 1 0 5 6 7 6 6 6 , 7 5 ) .   E n d   p o i n t   2 :   ( 5 7 5 . 8 0 7 6 2 1 1 3 5 3 3 2 , 2 7 2 . 5 )   < / A u t o m a t i o n P r o p e r t y H e l p e r T e x t > < L a y e d O u t > t r u e < / L a y e d O u t > < P o i n t s   x m l n s : b = " h t t p : / / s c h e m a s . d a t a c o n t r a c t . o r g / 2 0 0 4 / 0 7 / S y s t e m . W i n d o w s " > < b : P o i n t > < b : _ x > 5 3 7 . 9 0 3 8 1 0 5 6 7 6 6 5 8 < / b : _ x > < b : _ y > 7 5 < / b : _ y > < / b : P o i n t > < b : P o i n t > < b : _ x > 5 4 5 . 3 4 8 5 1 8 8 4 0 6 6 6 3 2 < / b : _ x > < b : _ y > 7 5 < / b : _ y > < / b : P o i n t > < b : P o i n t > < b : _ x > 5 4 7 . 3 4 8 5 1 8 8 4 0 6 6 6 3 2 < / b : _ x > < b : _ y > 7 7 < / b : _ y > < / b : P o i n t > < b : P o i n t > < b : _ x > 5 4 7 . 3 4 8 5 1 8 8 4 0 6 6 6 3 2 < / b : _ x > < b : _ y > 1 8 4 . 7 1 5 9 0 9 < / b : _ y > < / b : P o i n t > < b : P o i n t > < b : _ x > 5 4 9 . 3 4 8 5 1 8 8 4 0 6 6 6 3 2 < / b : _ x > < b : _ y > 1 8 6 . 7 1 5 9 0 9 < / b : _ y > < / b : P o i n t > < b : P o i n t > < b : _ x > 5 6 4 . 3 6 2 9 1 3 1 6 1 2 4 4 8 2 < / b : _ x > < b : _ y > 1 8 6 . 7 1 5 9 0 9 < / b : _ y > < / b : P o i n t > < b : P o i n t > < b : _ x > 5 6 6 . 3 6 2 9 1 3 1 6 1 2 4 4 8 2 < / b : _ x > < b : _ y > 1 8 8 . 7 1 5 9 0 9 < / b : _ y > < / b : P o i n t > < b : P o i n t > < b : _ x > 5 6 6 . 3 6 2 9 1 3 1 6 1 2 4 4 8 2 < / b : _ x > < b : _ y > 2 7 0 . 5 < / b : _ y > < / b : P o i n t > < b : P o i n t > < b : _ x > 5 6 8 . 3 6 2 9 1 3 1 6 1 2 4 4 8 2 < / b : _ x > < b : _ y > 2 7 2 . 5 < / b : _ y > < / b : P o i n t > < b : P o i n t > < b : _ x > 5 7 5 . 8 0 7 6 2 1 1 3 5 3 3 1 8 3 < / b : _ x > < b : _ y > 2 7 2 . 5 < / b : _ y > < / b : P o i n t > < / P o i n t s > < / a : V a l u e > < / a : K e y V a l u e O f D i a g r a m O b j e c t K e y a n y T y p e z b w N T n L X > < a : K e y V a l u e O f D i a g r a m O b j e c t K e y a n y T y p e z b w N T n L X > < a : K e y > < K e y > R e l a t i o n s h i p s \ & l t ; T a b l e s \ B C A _ R e m o v a l \ C o l u m n s \ R e p o r t i n g   A l i a s & g t ; - & l t ; T a b l e s \ E n t i t y \ C o l u m n s \ R e p o r t i n g   A l i a s & g t ; \ F K < / K e y > < / a : K e y > < a : V a l u e   i : t y p e = " D i a g r a m D i s p l a y L i n k E n d p o i n t V i e w S t a t e " > < L o c a t i o n   x m l n s : b = " h t t p : / / s c h e m a s . d a t a c o n t r a c t . o r g / 2 0 0 4 / 0 7 / S y s t e m . W i n d o w s " > < b : _ x > 5 2 9 . 9 0 3 8 1 0 5 6 7 6 6 5 8 < / b : _ x > < b : _ y > 7 5 < / b : _ y > < / L o c a t i o n > < S h a p e R o t a t e A n g l e > 3 6 0 < / S h a p e R o t a t e A n g l e > < / a : V a l u e > < / a : K e y V a l u e O f D i a g r a m O b j e c t K e y a n y T y p e z b w N T n L X > < a : K e y V a l u e O f D i a g r a m O b j e c t K e y a n y T y p e z b w N T n L X > < a : K e y > < K e y > R e l a t i o n s h i p s \ & l t ; T a b l e s \ B C A _ R e m o v a l \ C o l u m n s \ R e p o r t i n g   A l i a s & g t ; - & l t ; T a b l e s \ E n t i t y \ C o l u m n s \ R e p o r t i n g   A l i a s & g t ; \ P K < / K e y > < / a : K e y > < a : V a l u e   i : t y p e = " D i a g r a m D i s p l a y L i n k E n d p o i n t V i e w S t a t e " > < L o c a t i o n   x m l n s : b = " h t t p : / / s c h e m a s . d a t a c o n t r a c t . o r g / 2 0 0 4 / 0 7 / S y s t e m . W i n d o w s " > < b : _ x > 5 8 3 . 8 0 7 6 2 1 1 3 5 3 3 1 8 3 < / b : _ x > < b : _ y > 2 7 2 . 5 < / b : _ y > < / L o c a t i o n > < S h a p e R o t a t e A n g l e > 1 8 0 < / S h a p e R o t a t e A n g l e > < / a : V a l u e > < / a : K e y V a l u e O f D i a g r a m O b j e c t K e y a n y T y p e z b w N T n L X > < a : K e y V a l u e O f D i a g r a m O b j e c t K e y a n y T y p e z b w N T n L X > < a : K e y > < K e y > R e l a t i o n s h i p s \ & l t ; T a b l e s \ B C A _ R e m o v a l \ C o l u m n s \ R e p o r t i n g   A l i a s & g t ; - & l t ; T a b l e s \ G H G \ C o l u m n s \ R e p o r t i n g   A l i a s & g t ; < / K e y > < / a : K e y > < a : V a l u e   i : t y p e = " D i a g r a m D i s p l a y L i n k V i e w S t a t e " > < A u t o m a t i o n P r o p e r t y H e l p e r T e x t > E n d   p o i n t   1 :   ( 4 2 9 . 9 0 3 8 1 1 , 1 5 8 ) .   E n d   p o i n t   2 :   ( 4 2 8 , 2 1 1 )   < / A u t o m a t i o n P r o p e r t y H e l p e r T e x t > < L a y e d O u t > t r u e < / L a y e d O u t > < P o i n t s   x m l n s : b = " h t t p : / / s c h e m a s . d a t a c o n t r a c t . o r g / 2 0 0 4 / 0 7 / S y s t e m . W i n d o w s " > < b : P o i n t > < b : _ x > 4 2 9 . 9 0 3 8 1 1 < / b : _ x > < b : _ y > 1 5 8 < / b : _ y > < / b : P o i n t > < b : P o i n t > < b : _ x > 4 2 9 . 9 0 3 8 1 1 < / b : _ x > < b : _ y > 1 9 3 . 5 7 9 5 4 6 < / b : _ y > < / b : P o i n t > < b : P o i n t > < b : _ x > 4 2 8 < / b : _ x > < b : _ y > 1 9 7 . 5 7 9 5 4 6 < / b : _ y > < / b : P o i n t > < b : P o i n t > < b : _ x > 4 2 8 < / b : _ x > < b : _ y > 2 1 1 < / b : _ y > < / b : P o i n t > < / P o i n t s > < / a : V a l u e > < / a : K e y V a l u e O f D i a g r a m O b j e c t K e y a n y T y p e z b w N T n L X > < a : K e y V a l u e O f D i a g r a m O b j e c t K e y a n y T y p e z b w N T n L X > < a : K e y > < K e y > R e l a t i o n s h i p s \ & l t ; T a b l e s \ B C A _ R e m o v a l \ C o l u m n s \ R e p o r t i n g   A l i a s & g t ; - & l t ; T a b l e s \ G H G \ C o l u m n s \ R e p o r t i n g   A l i a s & g t ; \ F K < / K e y > < / a : K e y > < a : V a l u e   i : t y p e = " D i a g r a m D i s p l a y L i n k E n d p o i n t V i e w S t a t e " > < L o c a t i o n   x m l n s : b = " h t t p : / / s c h e m a s . d a t a c o n t r a c t . o r g / 2 0 0 4 / 0 7 / S y s t e m . W i n d o w s " > < b : _ x > 4 2 9 . 9 0 3 8 1 1 < / b : _ x > < b : _ y > 1 5 0 < / b : _ y > < / L o c a t i o n > < S h a p e R o t a t e A n g l e > 9 0 < / S h a p e R o t a t e A n g l e > < / a : V a l u e > < / a : K e y V a l u e O f D i a g r a m O b j e c t K e y a n y T y p e z b w N T n L X > < a : K e y V a l u e O f D i a g r a m O b j e c t K e y a n y T y p e z b w N T n L X > < a : K e y > < K e y > R e l a t i o n s h i p s \ & l t ; T a b l e s \ B C A _ R e m o v a l \ C o l u m n s \ R e p o r t i n g   A l i a s & g t ; - & l t ; T a b l e s \ G H G \ C o l u m n s \ R e p o r t i n g   A l i a s & g t ; \ P K < / K e y > < / a : K e y > < a : V a l u e   i : t y p e = " D i a g r a m D i s p l a y L i n k E n d p o i n t V i e w S t a t e " > < L o c a t i o n   x m l n s : b = " h t t p : / / s c h e m a s . d a t a c o n t r a c t . o r g / 2 0 0 4 / 0 7 / S y s t e m . W i n d o w s " > < b : _ x > 4 2 8 < / b : _ x > < b : _ y > 2 1 9 < / b : _ y > < / L o c a t i o n > < S h a p e R o t a t e A n g l e > 2 7 0 < / S h a p e R o t a t e A n g l e > < / a : V a l u e > < / a : K e y V a l u e O f D i a g r a m O b j e c t K e y a n y T y p e z b w N T n L X > < a : K e y V a l u e O f D i a g r a m O b j e c t K e y a n y T y p e z b w N T n L X > < a : K e y > < K e y > R e l a t i o n s h i p s \ & l t ; T a b l e s \ N B N _ R e m o v a l \ C o l u m n s \ R e p o r t i n g   A l i a s & g t ; - & l t ; T a b l e s \ E n t i t y \ C o l u m n s \ R e p o r t i n g   A l i a s & g t ; < / K e y > < / a : K e y > < a : V a l u e   i : t y p e = " D i a g r a m D i s p l a y L i n k V i e w S t a t e " > < A u t o m a t i o n P r o p e r t y H e l p e r T e x t > E n d   p o i n t   1 :   ( 6 7 4 . 9 0 3 8 1 1 , 1 6 1 ) .   E n d   p o i n t   2 :   ( 6 8 3 . 8 0 7 6 2 1 , 2 0 7 )   < / A u t o m a t i o n P r o p e r t y H e l p e r T e x t > < L a y e d O u t > t r u e < / L a y e d O u t > < P o i n t s   x m l n s : b = " h t t p : / / s c h e m a s . d a t a c o n t r a c t . o r g / 2 0 0 4 / 0 7 / S y s t e m . W i n d o w s " > < b : P o i n t > < b : _ x > 6 7 4 . 9 0 3 8 1 1 < / b : _ x > < b : _ y > 1 6 1 < / b : _ y > < / b : P o i n t > < b : P o i n t > < b : _ x > 6 7 4 . 9 0 3 8 1 1 < / b : _ x > < b : _ y > 1 8 4 . 7 1 5 9 0 9 < / b : _ y > < / b : P o i n t > < b : P o i n t > < b : _ x > 6 7 6 . 9 0 3 8 1 1 < / b : _ x > < b : _ y > 1 8 6 . 7 1 5 9 0 9 < / b : _ y > < / b : P o i n t > < b : P o i n t > < b : _ x > 6 8 1 . 8 0 7 6 2 1 < / b : _ x > < b : _ y > 1 8 6 . 7 1 5 9 0 9 < / b : _ y > < / b : P o i n t > < b : P o i n t > < b : _ x > 6 8 3 . 8 0 7 6 2 1 < / b : _ x > < b : _ y > 1 8 8 . 7 1 5 9 0 9 < / b : _ y > < / b : P o i n t > < b : P o i n t > < b : _ x > 6 8 3 . 8 0 7 6 2 1 < / b : _ x > < b : _ y > 2 0 6 . 9 9 9 9 9 9 9 9 9 9 9 9 9 7 < / b : _ y > < / b : P o i n t > < / P o i n t s > < / a : V a l u e > < / a : K e y V a l u e O f D i a g r a m O b j e c t K e y a n y T y p e z b w N T n L X > < a : K e y V a l u e O f D i a g r a m O b j e c t K e y a n y T y p e z b w N T n L X > < a : K e y > < K e y > R e l a t i o n s h i p s \ & l t ; T a b l e s \ N B N _ R e m o v a l \ C o l u m n s \ R e p o r t i n g   A l i a s & g t ; - & l t ; T a b l e s \ E n t i t y \ C o l u m n s \ R e p o r t i n g   A l i a s & g t ; \ F K < / K e y > < / a : K e y > < a : V a l u e   i : t y p e = " D i a g r a m D i s p l a y L i n k E n d p o i n t V i e w S t a t e " > < L o c a t i o n   x m l n s : b = " h t t p : / / s c h e m a s . d a t a c o n t r a c t . o r g / 2 0 0 4 / 0 7 / S y s t e m . W i n d o w s " > < b : _ x > 6 7 4 . 9 0 3 8 1 1 < / b : _ x > < b : _ y > 1 5 3 < / b : _ y > < / L o c a t i o n > < S h a p e R o t a t e A n g l e > 9 0 < / S h a p e R o t a t e A n g l e > < / a : V a l u e > < / a : K e y V a l u e O f D i a g r a m O b j e c t K e y a n y T y p e z b w N T n L X > < a : K e y V a l u e O f D i a g r a m O b j e c t K e y a n y T y p e z b w N T n L X > < a : K e y > < K e y > R e l a t i o n s h i p s \ & l t ; T a b l e s \ N B N _ R e m o v a l \ C o l u m n s \ R e p o r t i n g   A l i a s & g t ; - & l t ; T a b l e s \ E n t i t y \ C o l u m n s \ R e p o r t i n g   A l i a s & g t ; \ P K < / K e y > < / a : K e y > < a : V a l u e   i : t y p e = " D i a g r a m D i s p l a y L i n k E n d p o i n t V i e w S t a t e " > < L o c a t i o n   x m l n s : b = " h t t p : / / s c h e m a s . d a t a c o n t r a c t . o r g / 2 0 0 4 / 0 7 / S y s t e m . W i n d o w s " > < b : _ x > 6 8 3 . 8 0 7 6 2 1 < / b : _ x > < b : _ y > 2 1 4 . 9 9 9 9 9 9 9 9 9 9 9 9 9 7 < / b : _ y > < / L o c a t i o n > < S h a p e R o t a t e A n g l e > 2 7 0 < / S h a p e R o t a t e A n g l e > < / a : V a l u e > < / a : K e y V a l u e O f D i a g r a m O b j e c t K e y a n y T y p e z b w N T n L X > < a : K e y V a l u e O f D i a g r a m O b j e c t K e y a n y T y p e z b w N T n L X > < a : K e y > < K e y > R e l a t i o n s h i p s \ & l t ; T a b l e s \ N B N _ R e m o v a l \ C o l u m n s \ R e p o r t i n g   A l i a s & g t ; - & l t ; T a b l e s \ G H G \ C o l u m n s \ R e p o r t i n g   A l i a s & g t ; < / K e y > < / a : K e y > < a : V a l u e   i : t y p e = " D i a g r a m D i s p l a y L i n k V i e w S t a t e " > < A u t o m a t i o n P r o p e r t y H e l p e r T e x t > E n d   p o i n t   1 :   ( 5 6 6 . 9 0 3 8 1 0 5 6 7 6 6 6 , 7 8 ) .   E n d   p o i n t   2 :   ( 5 3 6 , 2 6 9 )   < / A u t o m a t i o n P r o p e r t y H e l p e r T e x t > < L a y e d O u t > t r u e < / L a y e d O u t > < P o i n t s   x m l n s : b = " h t t p : / / s c h e m a s . d a t a c o n t r a c t . o r g / 2 0 0 4 / 0 7 / S y s t e m . W i n d o w s " > < b : P o i n t > < b : _ x > 5 6 6 . 9 0 3 8 1 0 5 6 7 6 6 5 8 < / b : _ x > < b : _ y > 7 8 < / b : _ y > < / b : P o i n t > < b : P o i n t > < b : _ x > 5 5 2 . 0 6 4 8 6 0 8 8 8 5 1 7 5 < / b : _ x > < b : _ y > 7 8 < / b : _ y > < / b : P o i n t > < b : P o i n t > < b : _ x > 5 5 0 . 0 6 4 8 6 0 8 8 8 5 1 7 5 < / b : _ x > < b : _ y > 8 0 < / b : _ y > < / b : P o i n t > < b : P o i n t > < b : _ x > 5 5 0 . 0 6 4 8 6 0 8 8 8 5 1 7 5 < / b : _ x > < b : _ y > 2 6 7 < / b : _ y > < / b : P o i n t > < b : P o i n t > < b : _ x > 5 4 8 . 0 6 4 8 6 0 8 8 8 5 1 7 5 < / b : _ x > < b : _ y > 2 6 9 < / b : _ y > < / b : P o i n t > < b : P o i n t > < b : _ x > 5 3 6 < / b : _ x > < b : _ y > 2 6 9 < / b : _ y > < / b : P o i n t > < / P o i n t s > < / a : V a l u e > < / a : K e y V a l u e O f D i a g r a m O b j e c t K e y a n y T y p e z b w N T n L X > < a : K e y V a l u e O f D i a g r a m O b j e c t K e y a n y T y p e z b w N T n L X > < a : K e y > < K e y > R e l a t i o n s h i p s \ & l t ; T a b l e s \ N B N _ R e m o v a l \ C o l u m n s \ R e p o r t i n g   A l i a s & g t ; - & l t ; T a b l e s \ G H G \ C o l u m n s \ R e p o r t i n g   A l i a s & g t ; \ F K < / K e y > < / a : K e y > < a : V a l u e   i : t y p e = " D i a g r a m D i s p l a y L i n k E n d p o i n t V i e w S t a t e " > < L o c a t i o n   x m l n s : b = " h t t p : / / s c h e m a s . d a t a c o n t r a c t . o r g / 2 0 0 4 / 0 7 / S y s t e m . W i n d o w s " > < b : _ x > 5 7 4 . 9 0 3 8 1 0 5 6 7 6 6 5 8 < / b : _ x > < b : _ y > 7 8 < / b : _ y > < / L o c a t i o n > < S h a p e R o t a t e A n g l e > 1 8 0 < / S h a p e R o t a t e A n g l e > < / a : V a l u e > < / a : K e y V a l u e O f D i a g r a m O b j e c t K e y a n y T y p e z b w N T n L X > < a : K e y V a l u e O f D i a g r a m O b j e c t K e y a n y T y p e z b w N T n L X > < a : K e y > < K e y > R e l a t i o n s h i p s \ & l t ; T a b l e s \ N B N _ R e m o v a l \ C o l u m n s \ R e p o r t i n g   A l i a s & g t ; - & l t ; T a b l e s \ G H G \ C o l u m n s \ R e p o r t i n g   A l i a s & g t ; \ P K < / K e y > < / a : K e y > < a : V a l u e   i : t y p e = " D i a g r a m D i s p l a y L i n k E n d p o i n t V i e w S t a t e " > < L o c a t i o n   x m l n s : b = " h t t p : / / s c h e m a s . d a t a c o n t r a c t . o r g / 2 0 0 4 / 0 7 / S y s t e m . W i n d o w s " > < b : _ x > 5 2 8 < / b : _ x > < b : _ y > 2 6 9 < / b : _ y > < / L o c a t i o n > < S h a p e R o t a t e A n g l e > 3 6 0 < / S h a p e R o t a t e A n g l e > < / a : V a l u e > < / a : K e y V a l u e O f D i a g r a m O b j e c t K e y a n y T y p e z b w N T n L X > < a : K e y V a l u e O f D i a g r a m O b j e c t K e y a n y T y p e z b w N T n L X > < a : K e y > < K e y > R e l a t i o n s h i p s \ & l t ; T a b l e s \ S E _ G a s \ C o l u m n s \ R e p o r t i n g   A l i a s & g t ; - & l t ; T a b l e s \ E n t i t y \ C o l u m n s \ R e p o r t i n g   A l i a s & g t ; < / K e y > < / a : K e y > < a : V a l u e   i : t y p e = " D i a g r a m D i s p l a y L i n k V i e w S t a t e " > < A u t o m a t i o n P r o p e r t y H e l p e r T e x t > E n d   p o i n t   1 :   ( 8 0 7 . 9 0 3 8 1 0 5 6 7 6 6 6 , 8 1 ) .   E n d   p o i n t   2 :   ( 7 9 1 . 8 0 7 6 2 1 1 3 5 3 3 2 , 2 7 4 . 6 )   < / A u t o m a t i o n P r o p e r t y H e l p e r T e x t > < L a y e d O u t > t r u e < / L a y e d O u t > < P o i n t s   x m l n s : b = " h t t p : / / s c h e m a s . d a t a c o n t r a c t . o r g / 2 0 0 4 / 0 7 / S y s t e m . W i n d o w s " > < b : P o i n t > < b : _ x > 8 0 7 . 9 0 3 8 1 0 5 6 7 6 6 5 9 1 < / b : _ x > < b : _ y > 8 1 < / b : _ y > < / b : P o i n t > < b : P o i n t > < b : _ x > 8 0 1 . 2 3 0 8 2 9 7 1 7 2 7 7 0 6 < / b : _ x > < b : _ y > 8 1 < / b : _ y > < / b : P o i n t > < b : P o i n t > < b : _ x > 7 9 9 . 2 3 0 8 2 9 7 1 7 2 7 7 0 6 < / b : _ x > < b : _ y > 8 3 < / b : _ y > < / b : P o i n t > < b : P o i n t > < b : _ x > 7 9 9 . 2 3 0 8 2 9 7 1 7 2 7 7 0 6 < / b : _ x > < b : _ y > 2 7 2 . 6 < / b : _ y > < / b : P o i n t > < b : P o i n t > < b : _ x > 7 9 7 . 2 3 0 8 2 9 7 1 7 2 7 7 0 6 < / b : _ x > < b : _ y > 2 7 4 . 6 < / b : _ y > < / b : P o i n t > < b : P o i n t > < b : _ x > 7 9 1 . 8 0 7 6 2 1 1 3 5 3 3 1 8 3 < / b : _ x > < b : _ y > 2 7 4 . 6 < / b : _ y > < / b : P o i n t > < / P o i n t s > < / a : V a l u e > < / a : K e y V a l u e O f D i a g r a m O b j e c t K e y a n y T y p e z b w N T n L X > < a : K e y V a l u e O f D i a g r a m O b j e c t K e y a n y T y p e z b w N T n L X > < a : K e y > < K e y > R e l a t i o n s h i p s \ & l t ; T a b l e s \ S E _ G a s \ C o l u m n s \ R e p o r t i n g   A l i a s & g t ; - & l t ; T a b l e s \ E n t i t y \ C o l u m n s \ R e p o r t i n g   A l i a s & g t ; \ F K < / K e y > < / a : K e y > < a : V a l u e   i : t y p e = " D i a g r a m D i s p l a y L i n k E n d p o i n t V i e w S t a t e " > < L o c a t i o n   x m l n s : b = " h t t p : / / s c h e m a s . d a t a c o n t r a c t . o r g / 2 0 0 4 / 0 7 / S y s t e m . W i n d o w s " > < b : _ x > 8 1 5 . 9 0 3 8 1 0 5 6 7 6 6 5 9 1 < / b : _ x > < b : _ y > 8 1 < / b : _ y > < / L o c a t i o n > < S h a p e R o t a t e A n g l e > 1 8 0 < / S h a p e R o t a t e A n g l e > < / a : V a l u e > < / a : K e y V a l u e O f D i a g r a m O b j e c t K e y a n y T y p e z b w N T n L X > < a : K e y V a l u e O f D i a g r a m O b j e c t K e y a n y T y p e z b w N T n L X > < a : K e y > < K e y > R e l a t i o n s h i p s \ & l t ; T a b l e s \ S E _ G a s \ C o l u m n s \ R e p o r t i n g   A l i a s & g t ; - & l t ; T a b l e s \ E n t i t y \ C o l u m n s \ R e p o r t i n g   A l i a s & g t ; \ P K < / K e y > < / a : K e y > < a : V a l u e   i : t y p e = " D i a g r a m D i s p l a y L i n k E n d p o i n t V i e w S t a t e " > < L o c a t i o n   x m l n s : b = " h t t p : / / s c h e m a s . d a t a c o n t r a c t . o r g / 2 0 0 4 / 0 7 / S y s t e m . W i n d o w s " > < b : _ x > 7 8 3 . 8 0 7 6 2 1 1 3 5 3 3 1 8 3 < / b : _ x > < b : _ y > 2 7 4 . 6 < / b : _ y > < / L o c a t i o n > < S h a p e R o t a t e A n g l e > 3 6 0 < / S h a p e R o t a t e A n g l e > < / a : V a l u e > < / a : K e y V a l u e O f D i a g r a m O b j e c t K e y a n y T y p e z b w N T n L X > < a : K e y V a l u e O f D i a g r a m O b j e c t K e y a n y T y p e z b w N T n L X > < a : K e y > < K e y > R e l a t i o n s h i p s \ & l t ; T a b l e s \ S E _ G a s \ C o l u m n s \ R e p o r t i n g   A l i a s & g t ; - & l t ; T a b l e s \ G H G \ C o l u m n s \ R e p o r t i n g   A l i a s & g t ; < / K e y > < / a : K e y > < a : V a l u e   i : t y p e = " D i a g r a m D i s p l a y L i n k V i e w S t a t e " > < A u t o m a t i o n P r o p e r t y H e l p e r T e x t > E n d   p o i n t   1 :   ( 8 0 7 . 9 0 3 8 1 0 5 6 7 6 6 6 , 6 9 ) .   E n d   p o i n t   2 :   ( 5 3 6 , 2 7 4 )   < / A u t o m a t i o n P r o p e r t y H e l p e r T e x t > < L a y e d O u t > t r u e < / L a y e d O u t > < P o i n t s   x m l n s : b = " h t t p : / / s c h e m a s . d a t a c o n t r a c t . o r g / 2 0 0 4 / 0 7 / S y s t e m . W i n d o w s " > < b : P o i n t > < b : _ x > 8 0 7 . 9 0 3 8 1 0 5 6 7 6 6 5 9 1 < / b : _ x > < b : _ y > 6 9 < / b : _ y > < / b : P o i n t > < b : P o i n t > < b : _ x > 7 9 3 . 0 4 2 1 6 1 5 7 5 7 8 4 8 < / b : _ x > < b : _ y > 6 9 < / b : _ y > < / b : P o i n t > < b : P o i n t > < b : _ x > 7 9 1 . 0 4 2 1 6 1 5 7 5 7 8 4 8 < / b : _ x > < b : _ y > 7 1 < / b : _ y > < / b : P o i n t > < b : P o i n t > < b : _ x > 7 9 1 . 0 4 2 1 6 1 5 7 5 7 8 4 8 < / b : _ x > < b : _ y > 1 7 1 . 4 2 0 4 5 5 < / b : _ y > < / b : P o i n t > < b : P o i n t > < b : _ x > 7 8 9 . 0 4 2 1 6 1 5 7 5 7 8 4 8 < / b : _ x > < b : _ y > 1 7 3 . 4 2 0 4 5 5 < / b : _ y > < / b : P o i n t > < b : P o i n t > < b : _ x > 5 5 4 . 7 8 1 2 0 2 9 3 3 9 7 2 < / b : _ x > < b : _ y > 1 7 3 . 4 2 0 4 5 5 < / b : _ y > < / b : P o i n t > < b : P o i n t > < b : _ x > 5 5 2 . 7 8 1 2 0 2 9 3 3 9 7 2 < / b : _ x > < b : _ y > 1 7 5 . 4 2 0 4 5 5 < / b : _ y > < / b : P o i n t > < b : P o i n t > < b : _ x > 5 5 2 . 7 8 1 2 0 2 9 3 3 9 7 2 < / b : _ x > < b : _ y > 2 7 2 < / b : _ y > < / b : P o i n t > < b : P o i n t > < b : _ x > 5 5 0 . 7 8 1 2 0 2 9 3 3 9 7 2 < / b : _ x > < b : _ y > 2 7 4 < / b : _ y > < / b : P o i n t > < b : P o i n t > < b : _ x > 5 3 6 < / b : _ x > < b : _ y > 2 7 4 < / b : _ y > < / b : P o i n t > < / P o i n t s > < / a : V a l u e > < / a : K e y V a l u e O f D i a g r a m O b j e c t K e y a n y T y p e z b w N T n L X > < a : K e y V a l u e O f D i a g r a m O b j e c t K e y a n y T y p e z b w N T n L X > < a : K e y > < K e y > R e l a t i o n s h i p s \ & l t ; T a b l e s \ S E _ G a s \ C o l u m n s \ R e p o r t i n g   A l i a s & g t ; - & l t ; T a b l e s \ G H G \ C o l u m n s \ R e p o r t i n g   A l i a s & g t ; \ F K < / K e y > < / a : K e y > < a : V a l u e   i : t y p e = " D i a g r a m D i s p l a y L i n k E n d p o i n t V i e w S t a t e " > < L o c a t i o n   x m l n s : b = " h t t p : / / s c h e m a s . d a t a c o n t r a c t . o r g / 2 0 0 4 / 0 7 / S y s t e m . W i n d o w s " > < b : _ x > 8 1 5 . 9 0 3 8 1 0 5 6 7 6 6 5 9 1 < / b : _ x > < b : _ y > 6 9 < / b : _ y > < / L o c a t i o n > < S h a p e R o t a t e A n g l e > 1 8 0 < / S h a p e R o t a t e A n g l e > < / a : V a l u e > < / a : K e y V a l u e O f D i a g r a m O b j e c t K e y a n y T y p e z b w N T n L X > < a : K e y V a l u e O f D i a g r a m O b j e c t K e y a n y T y p e z b w N T n L X > < a : K e y > < K e y > R e l a t i o n s h i p s \ & l t ; T a b l e s \ S E _ G a s \ C o l u m n s \ R e p o r t i n g   A l i a s & g t ; - & l t ; T a b l e s \ G H G \ C o l u m n s \ R e p o r t i n g   A l i a s & g t ; \ P K < / K e y > < / a : K e y > < a : V a l u e   i : t y p e = " D i a g r a m D i s p l a y L i n k E n d p o i n t V i e w S t a t e " > < L o c a t i o n   x m l n s : b = " h t t p : / / s c h e m a s . d a t a c o n t r a c t . o r g / 2 0 0 4 / 0 7 / S y s t e m . W i n d o w s " > < b : _ x > 5 2 8 < / b : _ x > < b : _ y > 2 7 4 < / b : _ y > < / L o c a t i o n > < S h a p e R o t a t e A n g l e > 3 6 0 < / S h a p e R o t a t e A n g l e > < / a : V a l u e > < / a : K e y V a l u e O f D i a g r a m O b j e c t K e y a n y T y p e z b w N T n L X > < a : K e y V a l u e O f D i a g r a m O b j e c t K e y a n y T y p e z b w N T n L X > < a : K e y > < K e y > R e l a t i o n s h i p s \ & l t ; T a b l e s \ N E T _ G e n s e t _ G r o u n d s \ C o l u m n s \ R e p o r t i n g   A l i a s & g t ; - & l t ; T a b l e s \ E n t i t y \ C o l u m n s \ R e p o r t i n g   A l i a s & g t ; < / K e y > < / a : K e y > < a : V a l u e   i : t y p e = " D i a g r a m D i s p l a y L i n k V i e w S t a t e " > < A u t o m a t i o n P r o p e r t y H e l p e r T e x t > E n d   p o i n t   1 :   ( 8 2 1 . 9 0 3 8 1 0 5 6 7 6 6 6 , 2 7 4 . 1 ) .   E n d   p o i n t   2 :   ( 7 9 1 . 8 0 7 6 2 1 1 3 5 3 3 2 , 2 8 9 . 6 )   < / A u t o m a t i o n P r o p e r t y H e l p e r T e x t > < L a y e d O u t > t r u e < / L a y e d O u t > < P o i n t s   x m l n s : b = " h t t p : / / s c h e m a s . d a t a c o n t r a c t . o r g / 2 0 0 4 / 0 7 / S y s t e m . W i n d o w s " > < b : P o i n t > < b : _ x > 8 2 1 . 9 0 3 8 1 0 5 6 7 6 6 5 8 < / b : _ x > < b : _ y > 2 7 4 . 1 < / b : _ y > < / b : P o i n t > < b : P o i n t > < b : _ x > 8 0 8 . 7 3 6 2 3 7 5 7 0 5 4 9 4 1 < / b : _ x > < b : _ y > 2 7 4 . 1 < / b : _ y > < / b : P o i n t > < b : P o i n t > < b : _ x > 8 0 6 . 7 3 6 2 3 7 5 7 0 5 4 9 4 1 < / b : _ x > < b : _ y > 2 7 6 . 1 < / b : _ y > < / b : P o i n t > < b : P o i n t > < b : _ x > 8 0 6 . 7 3 6 2 3 7 5 7 0 5 4 9 4 1 < / b : _ x > < b : _ y > 2 8 7 . 6 < / b : _ y > < / b : P o i n t > < b : P o i n t > < b : _ x > 8 0 4 . 7 3 6 2 3 7 5 7 0 5 4 9 4 1 < / b : _ x > < b : _ y > 2 8 9 . 6 < / b : _ y > < / b : P o i n t > < b : P o i n t > < b : _ x > 7 9 1 . 8 0 7 6 2 1 1 3 5 3 3 1 8 3 < / b : _ x > < b : _ y > 2 8 9 . 6 < / b : _ y > < / b : P o i n t > < / P o i n t s > < / a : V a l u e > < / a : K e y V a l u e O f D i a g r a m O b j e c t K e y a n y T y p e z b w N T n L X > < a : K e y V a l u e O f D i a g r a m O b j e c t K e y a n y T y p e z b w N T n L X > < a : K e y > < K e y > R e l a t i o n s h i p s \ & l t ; T a b l e s \ N E T _ G e n s e t _ G r o u n d s \ C o l u m n s \ R e p o r t i n g   A l i a s & g t ; - & l t ; T a b l e s \ E n t i t y \ C o l u m n s \ R e p o r t i n g   A l i a s & g t ; \ F K < / K e y > < / a : K e y > < a : V a l u e   i : t y p e = " D i a g r a m D i s p l a y L i n k E n d p o i n t V i e w S t a t e " > < L o c a t i o n   x m l n s : b = " h t t p : / / s c h e m a s . d a t a c o n t r a c t . o r g / 2 0 0 4 / 0 7 / S y s t e m . W i n d o w s " > < b : _ x > 8 2 9 . 9 0 3 8 1 0 5 6 7 6 6 5 9 1 < / b : _ x > < b : _ y > 2 7 4 . 1 < / b : _ y > < / L o c a t i o n > < S h a p e R o t a t e A n g l e > 1 8 0 < / S h a p e R o t a t e A n g l e > < / a : V a l u e > < / a : K e y V a l u e O f D i a g r a m O b j e c t K e y a n y T y p e z b w N T n L X > < a : K e y V a l u e O f D i a g r a m O b j e c t K e y a n y T y p e z b w N T n L X > < a : K e y > < K e y > R e l a t i o n s h i p s \ & l t ; T a b l e s \ N E T _ G e n s e t _ G r o u n d s \ C o l u m n s \ R e p o r t i n g   A l i a s & g t ; - & l t ; T a b l e s \ E n t i t y \ C o l u m n s \ R e p o r t i n g   A l i a s & g t ; \ P K < / K e y > < / a : K e y > < a : V a l u e   i : t y p e = " D i a g r a m D i s p l a y L i n k E n d p o i n t V i e w S t a t e " > < L o c a t i o n   x m l n s : b = " h t t p : / / s c h e m a s . d a t a c o n t r a c t . o r g / 2 0 0 4 / 0 7 / S y s t e m . W i n d o w s " > < b : _ x > 7 8 3 . 8 0 7 6 2 1 1 3 5 3 3 1 8 3 < / b : _ x > < b : _ y > 2 8 9 . 6 < / b : _ y > < / L o c a t i o n > < S h a p e R o t a t e A n g l e > 3 6 0 < / S h a p e R o t a t e A n g l e > < / a : V a l u e > < / a : K e y V a l u e O f D i a g r a m O b j e c t K e y a n y T y p e z b w N T n L X > < a : K e y V a l u e O f D i a g r a m O b j e c t K e y a n y T y p e z b w N T n L X > < a : K e y > < K e y > R e l a t i o n s h i p s \ & l t ; T a b l e s \ N E T _ G e n s e t _ G r o u n d s \ C o l u m n s \ R e p o r t i n g   A l i a s & g t ; - & l t ; T a b l e s \ G H G \ C o l u m n s \ R e p o r t i n g   A l i a s & g t ; < / K e y > < / a : K e y > < a : V a l u e   i : t y p e = " D i a g r a m D i s p l a y L i n k V i e w S t a t e " > < A u t o m a t i o n P r o p e r t y H e l p e r T e x t > E n d   p o i n t   1 :   ( 8 2 1 . 9 0 3 8 1 0 5 6 7 6 6 6 , 2 8 6 . 1 ) .   E n d   p o i n t   2 :   ( 5 3 6 , 2 8 9 )   < / A u t o m a t i o n P r o p e r t y H e l p e r T e x t > < L a y e d O u t > t r u e < / L a y e d O u t > < P o i n t s   x m l n s : b = " h t t p : / / s c h e m a s . d a t a c o n t r a c t . o r g / 2 0 0 4 / 0 7 / S y s t e m . W i n d o w s " > < b : P o i n t > < b : _ x > 8 2 1 . 9 0 3 8 1 0 5 6 7 6 6 5 9 1 < / b : _ x > < b : _ y > 2 8 6 . 1 < / b : _ y > < / b : P o i n t > < b : P o i n t > < b : _ x > 8 0 9 . 5 0 1 7 3 9 7 8 5 1 3 6 2 4 < / b : _ x > < b : _ y > 2 8 6 . 1 < / b : _ y > < / b : P o i n t > < b : P o i n t > < b : _ x > 8 0 7 . 5 0 1 7 3 9 7 8 5 1 3 6 2 4 < / b : _ x > < b : _ y > 2 8 8 . 1 < / b : _ y > < / b : P o i n t > < b : P o i n t > < b : _ x > 8 0 7 . 5 0 1 7 3 9 7 8 5 1 3 6 2 4 < / b : _ x > < b : _ y > 3 7 9 . 9 5 5 2 2 1 < / b : _ y > < / b : P o i n t > < b : P o i n t > < b : _ x > 8 0 5 . 5 0 1 7 3 9 7 8 5 1 3 6 2 4 < / b : _ x > < b : _ y > 3 8 1 . 9 5 5 2 2 1 < / b : _ y > < / b : P o i n t > < b : P o i n t > < b : _ x > 5 5 6 . 6 4 1 3 3 5 1 6 7 6 7 9 2 4 < / b : _ x > < b : _ y > 3 8 1 . 9 5 5 2 2 1 < / b : _ y > < / b : P o i n t > < b : P o i n t > < b : _ x > 5 5 4 . 6 4 1 3 3 5 1 6 7 6 7 9 2 4 < / b : _ x > < b : _ y > 3 7 9 . 9 5 5 2 2 1 < / b : _ y > < / b : P o i n t > < b : P o i n t > < b : _ x > 5 5 4 . 6 4 1 3 3 5 1 6 7 6 7 9 2 4 < / b : _ x > < b : _ y > 2 9 1 < / b : _ y > < / b : P o i n t > < b : P o i n t > < b : _ x > 5 5 2 . 6 4 1 3 3 5 1 6 7 6 7 9 2 4 < / b : _ x > < b : _ y > 2 8 9 < / b : _ y > < / b : P o i n t > < b : P o i n t > < b : _ x > 5 3 6 < / b : _ x > < b : _ y > 2 8 9 < / b : _ y > < / b : P o i n t > < / P o i n t s > < / a : V a l u e > < / a : K e y V a l u e O f D i a g r a m O b j e c t K e y a n y T y p e z b w N T n L X > < a : K e y V a l u e O f D i a g r a m O b j e c t K e y a n y T y p e z b w N T n L X > < a : K e y > < K e y > R e l a t i o n s h i p s \ & l t ; T a b l e s \ N E T _ G e n s e t _ G r o u n d s \ C o l u m n s \ R e p o r t i n g   A l i a s & g t ; - & l t ; T a b l e s \ G H G \ C o l u m n s \ R e p o r t i n g   A l i a s & g t ; \ F K < / K e y > < / a : K e y > < a : V a l u e   i : t y p e = " D i a g r a m D i s p l a y L i n k E n d p o i n t V i e w S t a t e " > < L o c a t i o n   x m l n s : b = " h t t p : / / s c h e m a s . d a t a c o n t r a c t . o r g / 2 0 0 4 / 0 7 / S y s t e m . W i n d o w s " > < b : _ x > 8 2 9 . 9 0 3 8 1 0 5 6 7 6 6 5 9 1 < / b : _ x > < b : _ y > 2 8 6 . 1 < / b : _ y > < / L o c a t i o n > < S h a p e R o t a t e A n g l e > 1 8 0 < / S h a p e R o t a t e A n g l e > < / a : V a l u e > < / a : K e y V a l u e O f D i a g r a m O b j e c t K e y a n y T y p e z b w N T n L X > < a : K e y V a l u e O f D i a g r a m O b j e c t K e y a n y T y p e z b w N T n L X > < a : K e y > < K e y > R e l a t i o n s h i p s \ & l t ; T a b l e s \ N E T _ G e n s e t _ G r o u n d s \ C o l u m n s \ R e p o r t i n g   A l i a s & g t ; - & l t ; T a b l e s \ G H G \ C o l u m n s \ R e p o r t i n g   A l i a s & g t ; \ P K < / K e y > < / a : K e y > < a : V a l u e   i : t y p e = " D i a g r a m D i s p l a y L i n k E n d p o i n t V i e w S t a t e " > < L o c a t i o n   x m l n s : b = " h t t p : / / s c h e m a s . d a t a c o n t r a c t . o r g / 2 0 0 4 / 0 7 / S y s t e m . W i n d o w s " > < b : _ x > 5 2 8 < / b : _ x > < b : _ y > 2 8 9 < / b : _ y > < / L o c a t i o n > < S h a p e R o t a t e A n g l e > 3 6 0 < / S h a p e R o t a t e A n g l e > < / a : V a l u e > < / a : K e y V a l u e O f D i a g r a m O b j e c t K e y a n y T y p e z b w N T n L X > < a : K e y V a l u e O f D i a g r a m O b j e c t K e y a n y T y p e z b w N T n L X > < a : K e y > < K e y > R e l a t i o n s h i p s \ & l t ; T a b l e s \ P e r c e n t a g e _ E s t i m a t e s \ C o l u m n s \ R e p o r t i n g   A l i a s & g t ; - & l t ; T a b l e s \ E n t i t y \ C o l u m n s \ R e p o r t i n g   A l i a s & g t ; < / K e y > < / a : K e y > < a : V a l u e   i : t y p e = " D i a g r a m D i s p l a y L i n k V i e w S t a t e " > < A u t o m a t i o n P r o p e r t y H e l p e r T e x t > E n d   p o i n t   1 :   ( 8 2 7 . 8 0 7 6 2 1 1 3 5 3 3 2 , 4 9 0 . 5 ) .   E n d   p o i n t   2 :   ( 7 9 1 . 8 0 7 6 2 1 1 3 5 3 3 2 , 2 9 9 . 6 )   < / A u t o m a t i o n P r o p e r t y H e l p e r T e x t > < L a y e d O u t > t r u e < / L a y e d O u t > < P o i n t s   x m l n s : b = " h t t p : / / s c h e m a s . d a t a c o n t r a c t . o r g / 2 0 0 4 / 0 7 / S y s t e m . W i n d o w s " > < b : P o i n t > < b : _ x > 8 2 7 . 8 0 7 6 2 1 1 3 5 3 3 1 8 3 < / b : _ x > < b : _ y > 4 9 0 . 4 9 9 9 9 9 9 9 9 9 9 9 9 4 < / b : _ y > < / b : P o i n t > < b : P o i n t > < b : _ x > 8 1 3 . 9 2 8 7 1 3 8 8 6 3 3 8 8 7 < / b : _ x > < b : _ y > 4 9 0 . 5 < / b : _ y > < / b : P o i n t > < b : P o i n t > < b : _ x > 8 1 1 . 9 2 8 7 1 3 8 8 6 3 3 8 8 7 < / b : _ x > < b : _ y > 4 8 8 . 5 < / b : _ y > < / b : P o i n t > < b : P o i n t > < b : _ x > 8 1 1 . 9 2 8 7 1 3 8 8 6 3 3 8 8 7 < / b : _ x > < b : _ y > 3 0 1 . 6 < / b : _ y > < / b : P o i n t > < b : P o i n t > < b : _ x > 8 0 9 . 9 2 8 7 1 3 8 8 6 3 3 8 8 7 < / b : _ x > < b : _ y > 2 9 9 . 6 < / b : _ y > < / b : P o i n t > < b : P o i n t > < b : _ x > 7 9 1 . 8 0 7 6 2 1 1 3 5 3 3 1 8 3 < / b : _ x > < b : _ y > 2 9 9 . 6 < / b : _ y > < / b : P o i n t > < / P o i n t s > < / a : V a l u e > < / a : K e y V a l u e O f D i a g r a m O b j e c t K e y a n y T y p e z b w N T n L X > < a : K e y V a l u e O f D i a g r a m O b j e c t K e y a n y T y p e z b w N T n L X > < a : K e y > < K e y > R e l a t i o n s h i p s \ & l t ; T a b l e s \ P e r c e n t a g e _ E s t i m a t e s \ C o l u m n s \ R e p o r t i n g   A l i a s & g t ; - & l t ; T a b l e s \ E n t i t y \ C o l u m n s \ R e p o r t i n g   A l i a s & g t ; \ F K < / K e y > < / a : K e y > < a : V a l u e   i : t y p e = " D i a g r a m D i s p l a y L i n k E n d p o i n t V i e w S t a t e " > < L o c a t i o n   x m l n s : b = " h t t p : / / s c h e m a s . d a t a c o n t r a c t . o r g / 2 0 0 4 / 0 7 / S y s t e m . W i n d o w s " > < b : _ x > 8 3 5 . 8 0 7 6 2 1 1 3 5 3 3 1 8 3 < / b : _ x > < b : _ y > 4 9 0 . 5 < / b : _ y > < / L o c a t i o n > < S h a p e R o t a t e A n g l e > 1 8 0 . 0 0 0 0 0 0 0 0 0 0 0 0 4 < / S h a p e R o t a t e A n g l e > < / a : V a l u e > < / a : K e y V a l u e O f D i a g r a m O b j e c t K e y a n y T y p e z b w N T n L X > < a : K e y V a l u e O f D i a g r a m O b j e c t K e y a n y T y p e z b w N T n L X > < a : K e y > < K e y > R e l a t i o n s h i p s \ & l t ; T a b l e s \ P e r c e n t a g e _ E s t i m a t e s \ C o l u m n s \ R e p o r t i n g   A l i a s & g t ; - & l t ; T a b l e s \ E n t i t y \ C o l u m n s \ R e p o r t i n g   A l i a s & g t ; \ P K < / K e y > < / a : K e y > < a : V a l u e   i : t y p e = " D i a g r a m D i s p l a y L i n k E n d p o i n t V i e w S t a t e " > < L o c a t i o n   x m l n s : b = " h t t p : / / s c h e m a s . d a t a c o n t r a c t . o r g / 2 0 0 4 / 0 7 / S y s t e m . W i n d o w s " > < b : _ x > 7 8 3 . 8 0 7 6 2 1 1 3 5 3 3 1 8 3 < / b : _ x > < b : _ y > 2 9 9 . 6 < / b : _ y > < / L o c a t i o n > < S h a p e R o t a t e A n g l e > 3 6 0 < / S h a p e R o t a t e A n g l e > < / a : V a l u e > < / a : K e y V a l u e O f D i a g r a m O b j e c t K e y a n y T y p e z b w N T n L X > < a : K e y V a l u e O f D i a g r a m O b j e c t K e y a n y T y p e z b w N T n L X > < a : K e y > < K e y > R e l a t i o n s h i p s \ & l t ; T a b l e s \ P e r c e n t a g e _ E s t i m a t e s \ C o l u m n s \ R e p o r t i n g   A l i a s & g t ; - & l t ; T a b l e s \ G H G \ C o l u m n s \ R e p o r t i n g   A l i a s & g t ; < / K e y > < / a : K e y > < a : V a l u e   i : t y p e = " D i a g r a m D i s p l a y L i n k V i e w S t a t e " > < A u t o m a t i o n P r o p e r t y H e l p e r T e x t > E n d   p o i n t   1 :   ( 8 2 7 . 8 0 7 6 2 1 1 3 5 3 3 2 , 5 0 2 . 5 ) .   E n d   p o i n t   2 :   ( 5 3 6 , 2 9 9 )   < / A u t o m a t i o n P r o p e r t y H e l p e r T e x t > < L a y e d O u t > t r u e < / L a y e d O u t > < P o i n t s   x m l n s : b = " h t t p : / / s c h e m a s . d a t a c o n t r a c t . o r g / 2 0 0 4 / 0 7 / S y s t e m . W i n d o w s " > < b : P o i n t > < b : _ x > 8 2 7 . 8 0 7 6 2 1 1 3 5 3 3 1 9 4 < / b : _ x > < b : _ y > 5 0 2 . 5 < / b : _ y > < / b : P o i n t > < b : P o i n t > < b : _ x > 8 1 0 . 2 4 7 8 1 1 9 8 1 7 4 8 2 1 < / b : _ x > < b : _ y > 5 0 2 . 5 < / b : _ y > < / b : P o i n t > < b : P o i n t > < b : _ x > 8 0 8 . 2 4 7 8 1 1 9 8 1 7 4 8 2 1 < / b : _ x > < b : _ y > 5 0 0 . 5 < / b : _ y > < / b : P o i n t > < b : P o i n t > < b : _ x > 8 0 8 . 2 4 7 8 1 1 9 8 1 7 4 8 2 1 < / b : _ x > < b : _ y > 3 9 1 . 0 4 7 3 1 2 < / b : _ y > < / b : P o i n t > < b : P o i n t > < b : _ x > 8 0 6 . 2 4 7 8 1 1 9 8 1 7 4 8 2 1 < / b : _ x > < b : _ y > 3 8 9 . 0 4 7 3 1 2 < / b : _ y > < / b : P o i n t > < b : P o i n t > < b : _ x > 5 5 2 . 5 7 3 5 4 1 9 6 5 4 7 0 2 1 < / b : _ x > < b : _ y > 3 8 9 . 0 4 7 3 1 2 < / b : _ y > < / b : P o i n t > < b : P o i n t > < b : _ x > 5 5 0 . 5 7 3 5 4 1 9 6 5 4 7 0 2 1 < / b : _ x > < b : _ y > 3 8 7 . 0 4 7 3 1 2 < / b : _ y > < / b : P o i n t > < b : P o i n t > < b : _ x > 5 5 0 . 5 7 3 5 4 1 9 6 5 4 7 0 2 1 < / b : _ x > < b : _ y > 3 0 1 < / b : _ y > < / b : P o i n t > < b : P o i n t > < b : _ x > 5 4 8 . 5 7 3 5 4 1 9 6 5 4 7 0 2 1 < / b : _ x > < b : _ y > 2 9 9 < / b : _ y > < / b : P o i n t > < b : P o i n t > < b : _ x > 5 3 5 . 9 9 9 9 9 9 9 9 9 9 9 9 8 9 < / b : _ x > < b : _ y > 2 9 9 < / b : _ y > < / b : P o i n t > < / P o i n t s > < / a : V a l u e > < / a : K e y V a l u e O f D i a g r a m O b j e c t K e y a n y T y p e z b w N T n L X > < a : K e y V a l u e O f D i a g r a m O b j e c t K e y a n y T y p e z b w N T n L X > < a : K e y > < K e y > R e l a t i o n s h i p s \ & l t ; T a b l e s \ P e r c e n t a g e _ E s t i m a t e s \ C o l u m n s \ R e p o r t i n g   A l i a s & g t ; - & l t ; T a b l e s \ G H G \ C o l u m n s \ R e p o r t i n g   A l i a s & g t ; \ F K < / K e y > < / a : K e y > < a : V a l u e   i : t y p e = " D i a g r a m D i s p l a y L i n k E n d p o i n t V i e w S t a t e " > < L o c a t i o n   x m l n s : b = " h t t p : / / s c h e m a s . d a t a c o n t r a c t . o r g / 2 0 0 4 / 0 7 / S y s t e m . W i n d o w s " > < b : _ x > 8 3 5 . 8 0 7 6 2 1 1 3 5 3 3 1 8 3 < / b : _ x > < b : _ y > 5 0 2 . 5 < / b : _ y > < / L o c a t i o n > < S h a p e R o t a t e A n g l e > 1 8 0 < / S h a p e R o t a t e A n g l e > < / a : V a l u e > < / a : K e y V a l u e O f D i a g r a m O b j e c t K e y a n y T y p e z b w N T n L X > < a : K e y V a l u e O f D i a g r a m O b j e c t K e y a n y T y p e z b w N T n L X > < a : K e y > < K e y > R e l a t i o n s h i p s \ & l t ; T a b l e s \ P e r c e n t a g e _ E s t i m a t e s \ C o l u m n s \ R e p o r t i n g   A l i a s & g t ; - & l t ; T a b l e s \ G H G \ C o l u m n s \ R e p o r t i n g   A l i a s & g t ; \ P K < / K e y > < / a : K e y > < a : V a l u e   i : t y p e = " D i a g r a m D i s p l a y L i n k E n d p o i n t V i e w S t a t e " > < L o c a t i o n   x m l n s : b = " h t t p : / / s c h e m a s . d a t a c o n t r a c t . o r g / 2 0 0 4 / 0 7 / S y s t e m . W i n d o w s " > < b : _ x > 5 2 7 . 9 9 9 9 9 9 9 9 9 9 9 9 8 9 < / b : _ x > < b : _ y > 2 9 9 < / b : _ y > < / L o c a t i o n > < S h a p e R o t a t e A n g l e > 3 6 0 < / S h a p e R o t a t e A n g l e > < / a : V a l u e > < / a : K e y V a l u e O f D i a g r a m O b j e c t K e y a n y T y p e z b w N T n L X > < a : K e y V a l u e O f D i a g r a m O b j e c t K e y a n y T y p e z b w N T n L X > < a : K e y > < K e y > R e l a t i o n s h i p s \ & l t ; T a b l e s \ P i t w a t e r \ C o l u m n s \ R e p o r t i n g   a l i a s & g t ; - & l t ; T a b l e s \ E n t i t y \ C o l u m n s \ R e p o r t i n g   A l i a s & g t ; < / K e y > < / a : K e y > < a : V a l u e   i : t y p e = " D i a g r a m D i s p l a y L i n k V i e w S t a t e " > < A u t o m a t i o n P r o p e r t y H e l p e r T e x t > E n d   p o i n t   1 :   ( 8 2 9 . 7 1 1 4 3 1 7 0 2 9 9 7 , 6 7 6 . 5 ) .   E n d   p o i n t   2 :   ( 7 9 1 . 8 0 7 6 2 1 1 3 5 3 3 2 , 3 0 9 . 6 )   < / A u t o m a t i o n P r o p e r t y H e l p e r T e x t > < L a y e d O u t > t r u e < / L a y e d O u t > < P o i n t s   x m l n s : b = " h t t p : / / s c h e m a s . d a t a c o n t r a c t . o r g / 2 0 0 4 / 0 7 / S y s t e m . W i n d o w s " > < b : P o i n t > < b : _ x > 8 2 9 . 7 1 1 4 3 1 7 0 2 9 9 7 4 < / b : _ x > < b : _ y > 6 7 6 . 5 < / b : _ y > < / b : P o i n t > < b : P o i n t > < b : _ x > 8 1 2 . 1 5 4 0 3 2 1 4 7 1 9 3 1 1 < / b : _ x > < b : _ y > 6 7 6 . 5 < / b : _ y > < / b : P o i n t > < b : P o i n t > < b : _ x > 8 1 0 . 1 5 4 0 3 2 1 4 7 1 9 3 1 1 < / b : _ x > < b : _ y > 6 7 4 . 5 < / b : _ y > < / b : P o i n t > < b : P o i n t > < b : _ x > 8 1 0 . 1 5 4 0 3 2 1 4 7 1 9 3 1 1 < / b : _ x > < b : _ y > 3 1 1 . 6 < / b : _ y > < / b : P o i n t > < b : P o i n t > < b : _ x > 8 0 8 . 1 5 4 0 3 2 1 4 7 1 9 3 1 1 < / b : _ x > < b : _ y > 3 0 9 . 6 < / b : _ y > < / b : P o i n t > < b : P o i n t > < b : _ x > 7 9 1 . 8 0 7 6 2 1 1 3 5 3 3 1 8 3 < / b : _ x > < b : _ y > 3 0 9 . 6 < / b : _ y > < / b : P o i n t > < / P o i n t s > < / a : V a l u e > < / a : K e y V a l u e O f D i a g r a m O b j e c t K e y a n y T y p e z b w N T n L X > < a : K e y V a l u e O f D i a g r a m O b j e c t K e y a n y T y p e z b w N T n L X > < a : K e y > < K e y > R e l a t i o n s h i p s \ & l t ; T a b l e s \ P i t w a t e r \ C o l u m n s \ R e p o r t i n g   a l i a s & g t ; - & l t ; T a b l e s \ E n t i t y \ C o l u m n s \ R e p o r t i n g   A l i a s & g t ; \ F K < / K e y > < / a : K e y > < a : V a l u e   i : t y p e = " D i a g r a m D i s p l a y L i n k E n d p o i n t V i e w S t a t e " > < L o c a t i o n   x m l n s : b = " h t t p : / / s c h e m a s . d a t a c o n t r a c t . o r g / 2 0 0 4 / 0 7 / S y s t e m . W i n d o w s " > < b : _ x > 8 3 7 . 7 1 1 4 3 1 7 0 2 9 9 7 5 2 < / b : _ x > < b : _ y > 6 7 6 . 5 < / b : _ y > < / L o c a t i o n > < S h a p e R o t a t e A n g l e > 1 8 0 < / S h a p e R o t a t e A n g l e > < / a : V a l u e > < / a : K e y V a l u e O f D i a g r a m O b j e c t K e y a n y T y p e z b w N T n L X > < a : K e y V a l u e O f D i a g r a m O b j e c t K e y a n y T y p e z b w N T n L X > < a : K e y > < K e y > R e l a t i o n s h i p s \ & l t ; T a b l e s \ P i t w a t e r \ C o l u m n s \ R e p o r t i n g   a l i a s & g t ; - & l t ; T a b l e s \ E n t i t y \ C o l u m n s \ R e p o r t i n g   A l i a s & g t ; \ P K < / K e y > < / a : K e y > < a : V a l u e   i : t y p e = " D i a g r a m D i s p l a y L i n k E n d p o i n t V i e w S t a t e " > < L o c a t i o n   x m l n s : b = " h t t p : / / s c h e m a s . d a t a c o n t r a c t . o r g / 2 0 0 4 / 0 7 / S y s t e m . W i n d o w s " > < b : _ x > 7 8 3 . 8 0 7 6 2 1 1 3 5 3 3 1 8 3 < / b : _ x > < b : _ y > 3 0 9 . 6 < / b : _ y > < / L o c a t i o n > < S h a p e R o t a t e A n g l e > 3 6 0 < / S h a p e R o t a t e A n g l e > < / a : V a l u e > < / a : K e y V a l u e O f D i a g r a m O b j e c t K e y a n y T y p e z b w N T n L X > < a : K e y V a l u e O f D i a g r a m O b j e c t K e y a n y T y p e z b w N T n L X > < a : K e y > < K e y > R e l a t i o n s h i p s \ & l t ; T a b l e s \ P i t w a t e r \ C o l u m n s \ R e p o r t i n g   a l i a s & g t ; - & l t ; T a b l e s \ G H G \ C o l u m n s \ R e p o r t i n g   A l i a s & g t ; < / K e y > < / a : K e y > < a : V a l u e   i : t y p e = " D i a g r a m D i s p l a y L i n k V i e w S t a t e " > < A u t o m a t i o n P r o p e r t y H e l p e r T e x t > E n d   p o i n t   1 :   ( 8 2 9 . 7 1 1 4 3 1 7 0 2 9 9 8 , 6 8 8 . 5 ) .   E n d   p o i n t   2 :   ( 5 3 6 , 3 0 9 )   < / A u t o m a t i o n P r o p e r t y H e l p e r T e x t > < L a y e d O u t > t r u e < / L a y e d O u t > < P o i n t s   x m l n s : b = " h t t p : / / s c h e m a s . d a t a c o n t r a c t . o r g / 2 0 0 4 / 0 7 / S y s t e m . W i n d o w s " > < b : P o i n t > < b : _ x > 8 2 9 . 7 1 1 4 3 1 7 0 2 9 9 7 5 2 < / b : _ x > < b : _ y > 6 8 8 . 5 < / b : _ y > < / b : P o i n t > < b : P o i n t > < b : _ x > 8 0 7 . 7 2 7 0 5 7 9 9 2 4 3 9 2 < / b : _ x > < b : _ y > 6 8 8 . 5 < / b : _ y > < / b : P o i n t > < b : P o i n t > < b : _ x > 8 0 5 . 7 2 7 0 5 7 9 9 2 4 3 9 2 < / b : _ x > < b : _ y > 6 8 6 . 5 < / b : _ y > < / b : P o i n t > < b : P o i n t > < b : _ x > 8 0 5 . 7 2 7 0 5 7 9 9 2 4 3 9 2 < / b : _ x > < b : _ y > 3 9 5 . 3 9 2 2 4 7 < / b : _ y > < / b : P o i n t > < b : P o i n t > < b : _ x > 8 0 3 . 7 2 7 0 5 7 9 9 2 4 3 9 2 < / b : _ x > < b : _ y > 3 9 3 . 3 9 2 2 4 7 < / b : _ y > < / b : P o i n t > < b : P o i n t > < b : _ x > 5 4 9 . 9 6 5 1 8 9 9 5 5 8 0 8 9 1 < / b : _ x > < b : _ y > 3 9 3 . 3 9 2 2 4 7 < / b : _ y > < / b : P o i n t > < b : P o i n t > < b : _ x > 5 4 7 . 9 6 5 1 8 9 9 5 5 8 0 8 9 1 < / b : _ x > < b : _ y > 3 9 1 . 3 9 2 2 4 7 < / b : _ y > < / b : P o i n t > < b : P o i n t > < b : _ x > 5 4 7 . 9 6 5 1 8 9 9 5 5 8 0 8 9 1 < / b : _ x > < b : _ y > 3 1 1 < / b : _ y > < / b : P o i n t > < b : P o i n t > < b : _ x > 5 4 5 . 9 6 5 1 8 9 9 5 5 8 0 8 9 1 < / b : _ x > < b : _ y > 3 0 9 < / b : _ y > < / b : P o i n t > < b : P o i n t > < b : _ x > 5 3 6 < / b : _ x > < b : _ y > 3 0 9 < / b : _ y > < / b : P o i n t > < / P o i n t s > < / a : V a l u e > < / a : K e y V a l u e O f D i a g r a m O b j e c t K e y a n y T y p e z b w N T n L X > < a : K e y V a l u e O f D i a g r a m O b j e c t K e y a n y T y p e z b w N T n L X > < a : K e y > < K e y > R e l a t i o n s h i p s \ & l t ; T a b l e s \ P i t w a t e r \ C o l u m n s \ R e p o r t i n g   a l i a s & g t ; - & l t ; T a b l e s \ G H G \ C o l u m n s \ R e p o r t i n g   A l i a s & g t ; \ F K < / K e y > < / a : K e y > < a : V a l u e   i : t y p e = " D i a g r a m D i s p l a y L i n k E n d p o i n t V i e w S t a t e " > < L o c a t i o n   x m l n s : b = " h t t p : / / s c h e m a s . d a t a c o n t r a c t . o r g / 2 0 0 4 / 0 7 / S y s t e m . W i n d o w s " > < b : _ x > 8 3 7 . 7 1 1 4 3 1 7 0 2 9 9 7 5 2 < / b : _ x > < b : _ y > 6 8 8 . 5 < / b : _ y > < / L o c a t i o n > < S h a p e R o t a t e A n g l e > 1 8 0 < / S h a p e R o t a t e A n g l e > < / a : V a l u e > < / a : K e y V a l u e O f D i a g r a m O b j e c t K e y a n y T y p e z b w N T n L X > < a : K e y V a l u e O f D i a g r a m O b j e c t K e y a n y T y p e z b w N T n L X > < a : K e y > < K e y > R e l a t i o n s h i p s \ & l t ; T a b l e s \ P i t w a t e r \ C o l u m n s \ R e p o r t i n g   a l i a s & g t ; - & l t ; T a b l e s \ G H G \ C o l u m n s \ R e p o r t i n g   A l i a s & g t ; \ P K < / K e y > < / a : K e y > < a : V a l u e   i : t y p e = " D i a g r a m D i s p l a y L i n k E n d p o i n t V i e w S t a t e " > < L o c a t i o n   x m l n s : b = " h t t p : / / s c h e m a s . d a t a c o n t r a c t . o r g / 2 0 0 4 / 0 7 / S y s t e m . W i n d o w s " > < b : _ x > 5 2 8 < / b : _ x > < b : _ y > 3 0 9 < / b : _ y > < / L o c a t i o n > < S h a p e R o t a t e A n g l e > 3 6 0 < / S h a p e R o t a t e A n g l e > < / a : V a l u e > < / a : K e y V a l u e O f D i a g r a m O b j e c t K e y a n y T y p e z b w N T n L X > < a : K e y V a l u e O f D i a g r a m O b j e c t K e y a n y T y p e z b w N T n L X > < a : K e y > < K e y > R e l a t i o n s h i p s \ & l t ; T a b l e s \ S o l a r \ C o l u m n s \ R e p o r t i n g   A l i a s & g t ; - & l t ; T a b l e s \ G H G \ C o l u m n s \ R e p o r t i n g   A l i a s & g t ; < / K e y > < / a : K e y > < a : V a l u e   i : t y p e = " D i a g r a m D i s p l a y L i n k V i e w S t a t e " > < A u t o m a t i o n P r o p e r t y H e l p e r T e x t > E n d   p o i n t   1 :   ( 3 1 9 . 6 1 5 2 4 2 2 7 0 6 6 3 , 6 9 4 . 1 6 6 6 6 7 ) .   E n d   p o i n t   2 :   ( 3 2 0 , 3 0 4 )   < / A u t o m a t i o n P r o p e r t y H e l p e r T e x t > < L a y e d O u t > t r u e < / L a y e d O u t > < P o i n t s   x m l n s : b = " h t t p : / / s c h e m a s . d a t a c o n t r a c t . o r g / 2 0 0 4 / 0 7 / S y s t e m . W i n d o w s " > < b : P o i n t > < b : _ x > 3 1 9 . 6 1 5 2 4 2 2 7 0 6 6 3 2 < / b : _ x > < b : _ y > 6 9 4 . 1 6 6 6 6 7 < / b : _ y > < / b : P o i n t > < b : P o i n t > < b : _ x > 3 0 0 . 1 1 5 2 4 2 0 3 5 0 1 9 0 4 < / b : _ x > < b : _ y > 6 9 4 . 1 6 6 6 6 7 < / b : _ y > < / b : P o i n t > < b : P o i n t > < b : _ x > 2 9 8 . 1 1 5 2 4 2 0 3 5 0 1 9 0 4 < / b : _ x > < b : _ y > 6 9 2 . 1 6 6 6 6 7 < / b : _ y > < / b : P o i n t > < b : P o i n t > < b : _ x > 2 9 8 . 1 1 5 2 4 2 0 3 5 0 1 9 0 4 < / b : _ x > < b : _ y > 3 0 6 < / b : _ y > < / b : P o i n t > < b : P o i n t > < b : _ x > 3 0 0 . 1 1 5 2 4 2 0 3 5 0 1 9 0 4 < / b : _ x > < b : _ y > 3 0 4 < / b : _ y > < / b : P o i n t > < b : P o i n t > < b : _ x > 3 2 0 < / b : _ x > < b : _ y > 3 0 4 < / b : _ y > < / b : P o i n t > < / P o i n t s > < / a : V a l u e > < / a : K e y V a l u e O f D i a g r a m O b j e c t K e y a n y T y p e z b w N T n L X > < a : K e y V a l u e O f D i a g r a m O b j e c t K e y a n y T y p e z b w N T n L X > < a : K e y > < K e y > R e l a t i o n s h i p s \ & l t ; T a b l e s \ S o l a r \ C o l u m n s \ R e p o r t i n g   A l i a s & g t ; - & l t ; T a b l e s \ G H G \ C o l u m n s \ R e p o r t i n g   A l i a s & g t ; \ F K < / K e y > < / a : K e y > < a : V a l u e   i : t y p e = " D i a g r a m D i s p l a y L i n k E n d p o i n t V i e w S t a t e " > < L o c a t i o n   x m l n s : b = " h t t p : / / s c h e m a s . d a t a c o n t r a c t . o r g / 2 0 0 4 / 0 7 / S y s t e m . W i n d o w s " > < b : _ x > 3 2 7 . 6 1 5 2 4 2 2 7 0 6 6 3 2 < / b : _ x > < b : _ y > 6 9 4 . 1 6 6 6 6 7 < / b : _ y > < / L o c a t i o n > < S h a p e R o t a t e A n g l e > 1 8 0 < / S h a p e R o t a t e A n g l e > < / a : V a l u e > < / a : K e y V a l u e O f D i a g r a m O b j e c t K e y a n y T y p e z b w N T n L X > < a : K e y V a l u e O f D i a g r a m O b j e c t K e y a n y T y p e z b w N T n L X > < a : K e y > < K e y > R e l a t i o n s h i p s \ & l t ; T a b l e s \ S o l a r \ C o l u m n s \ R e p o r t i n g   A l i a s & g t ; - & l t ; T a b l e s \ G H G \ C o l u m n s \ R e p o r t i n g   A l i a s & g t ; \ P K < / K e y > < / a : K e y > < a : V a l u e   i : t y p e = " D i a g r a m D i s p l a y L i n k E n d p o i n t V i e w S t a t e " > < L o c a t i o n   x m l n s : b = " h t t p : / / s c h e m a s . d a t a c o n t r a c t . o r g / 2 0 0 4 / 0 7 / S y s t e m . W i n d o w s " > < b : _ x > 3 2 8 < / b : _ x > < b : _ y > 3 0 4 < / b : _ y > < / L o c a t i o n > < S h a p e R o t a t e A n g l e > 1 8 0 < / S h a p e R o t a t e A n g l e > < / a : V a l u e > < / a : K e y V a l u e O f D i a g r a m O b j e c t K e y a n y T y p e z b w N T n L X > < a : K e y V a l u e O f D i a g r a m O b j e c t K e y a n y T y p e z b w N T n L X > < a : K e y > < K e y > R e l a t i o n s h i p s \ & l t ; T a b l e s \ S o l a r \ C o l u m n s \ R e p o r t i n g   A l i a s & g t ; - & l t ; T a b l e s \ E n t i t y \ C o l u m n s \ R e p o r t i n g   A l i a s & g t ; < / K e y > < / a : K e y > < a : V a l u e   i : t y p e = " D i a g r a m D i s p l a y L i n k V i e w S t a t e " > < A u t o m a t i o n P r o p e r t y H e l p e r T e x t > E n d   p o i n t   1 :   ( 5 3 5 . 6 1 5 2 4 2 2 7 0 6 6 3 , 6 9 6 . 8 3 3 3 3 3 ) .   E n d   p o i n t   2 :   ( 5 7 5 . 8 0 7 6 2 1 1 3 5 3 3 2 , 3 0 2 . 5 )   < / A u t o m a t i o n P r o p e r t y H e l p e r T e x t > < L a y e d O u t > t r u e < / L a y e d O u t > < P o i n t s   x m l n s : b = " h t t p : / / s c h e m a s . d a t a c o n t r a c t . o r g / 2 0 0 4 / 0 7 / S y s t e m . W i n d o w s " > < b : P o i n t > < b : _ x > 5 3 5 . 6 1 5 2 4 2 2 7 0 6 6 3 2 < / b : _ x > < b : _ y > 6 9 6 . 8 3 3 3 3 3 < / b : _ y > < / b : P o i n t > < b : P o i n t > < b : _ x > 5 5 7 . 8 5 8 0 3 9 1 8 7 0 0 2 < / b : _ x > < b : _ y > 6 9 6 . 8 3 3 3 3 3 < / b : _ y > < / b : P o i n t > < b : P o i n t > < b : _ x > 5 5 9 . 8 5 8 0 3 9 1 8 7 0 0 2 < / b : _ x > < b : _ y > 6 9 4 . 8 3 3 3 3 3 < / b : _ y > < / b : P o i n t > < b : P o i n t > < b : _ x > 5 5 9 . 8 5 8 0 3 9 1 8 7 0 0 2 < / b : _ x > < b : _ y > 3 0 4 . 5 < / b : _ y > < / b : P o i n t > < b : P o i n t > < b : _ x > 5 6 1 . 8 5 8 0 3 9 1 8 7 0 0 2 < / b : _ x > < b : _ y > 3 0 2 . 5 < / b : _ y > < / b : P o i n t > < b : P o i n t > < b : _ x > 5 7 5 . 8 0 7 6 2 1 1 3 5 3 3 1 8 3 < / b : _ x > < b : _ y > 3 0 2 . 5 < / b : _ y > < / b : P o i n t > < / P o i n t s > < / a : V a l u e > < / a : K e y V a l u e O f D i a g r a m O b j e c t K e y a n y T y p e z b w N T n L X > < a : K e y V a l u e O f D i a g r a m O b j e c t K e y a n y T y p e z b w N T n L X > < a : K e y > < K e y > R e l a t i o n s h i p s \ & l t ; T a b l e s \ S o l a r \ C o l u m n s \ R e p o r t i n g   A l i a s & g t ; - & l t ; T a b l e s \ E n t i t y \ C o l u m n s \ R e p o r t i n g   A l i a s & g t ; \ F K < / K e y > < / a : K e y > < a : V a l u e   i : t y p e = " D i a g r a m D i s p l a y L i n k E n d p o i n t V i e w S t a t e " > < L o c a t i o n   x m l n s : b = " h t t p : / / s c h e m a s . d a t a c o n t r a c t . o r g / 2 0 0 4 / 0 7 / S y s t e m . W i n d o w s " > < b : _ x > 5 2 7 . 6 1 5 2 4 2 2 7 0 6 6 3 2 < / b : _ x > < b : _ y > 6 9 6 . 8 3 3 3 3 3 < / b : _ y > < / L o c a t i o n > < S h a p e R o t a t e A n g l e > 3 6 0 < / S h a p e R o t a t e A n g l e > < / a : V a l u e > < / a : K e y V a l u e O f D i a g r a m O b j e c t K e y a n y T y p e z b w N T n L X > < a : K e y V a l u e O f D i a g r a m O b j e c t K e y a n y T y p e z b w N T n L X > < a : K e y > < K e y > R e l a t i o n s h i p s \ & l t ; T a b l e s \ S o l a r \ C o l u m n s \ R e p o r t i n g   A l i a s & g t ; - & l t ; T a b l e s \ E n t i t y \ C o l u m n s \ R e p o r t i n g   A l i a s & g t ; \ P K < / K e y > < / a : K e y > < a : V a l u e   i : t y p e = " D i a g r a m D i s p l a y L i n k E n d p o i n t V i e w S t a t e " > < L o c a t i o n   x m l n s : b = " h t t p : / / s c h e m a s . d a t a c o n t r a c t . o r g / 2 0 0 4 / 0 7 / S y s t e m . W i n d o w s " > < b : _ x > 5 8 3 . 8 0 7 6 2 1 1 3 5 3 3 1 8 3 < / b : _ x > < b : _ y > 3 0 2 . 5 < / b : _ y > < / L o c a t i o n > < S h a p e R o t a t e A n g l e > 1 8 0 < / S h a p e R o t a t e A n g l e > < / a : V a l u e > < / a : K e y V a l u e O f D i a g r a m O b j e c t K e y a n y T y p e z b w N T n L X > < a : K e y V a l u e O f D i a g r a m O b j e c t K e y a n y T y p e z b w N T n L X > < a : K e y > < K e y > R e l a t i o n s h i p s \ & l t ; T a b l e s \ G r o u n d s _ F u e l s \ C o l u m n s \ R e p o r t i n g   A l i a s & g t ; - & l t ; T a b l e s \ G H G \ C o l u m n s \ R e p o r t i n g   A l i a s & g t ; < / K e y > < / a : K e y > < a : V a l u e   i : t y p e = " D i a g r a m D i s p l a y L i n k V i e w S t a t e " > < A u t o m a t i o n P r o p e r t y H e l p e r T e x t > E n d   p o i n t   1 :   ( 5 7 0 . 5 1 9 0 5 2 8 3 8 3 2 9 , 6 8 4 . 8 3 3 3 3 3 ) .   E n d   p o i n t   2 :   ( 5 3 6 , 3 1 9 )   < / A u t o m a t i o n P r o p e r t y H e l p e r T e x t > < L a y e d O u t > t r u e < / L a y e d O u t > < P o i n t s   x m l n s : b = " h t t p : / / s c h e m a s . d a t a c o n t r a c t . o r g / 2 0 0 4 / 0 7 / S y s t e m . W i n d o w s " > < b : P o i n t > < b : _ x > 5 7 0 . 5 1 9 0 5 2 8 3 8 3 2 9 1 2 < / b : _ x > < b : _ y > 6 8 4 . 8 3 3 3 3 3 < / b : _ y > < / b : P o i n t > < b : P o i n t > < b : _ x > 5 5 5 . 1 8 1 8 9 3 9 7 5 1 3 1 7 4 < / b : _ x > < b : _ y > 6 8 4 . 8 3 3 3 3 3 < / b : _ y > < / b : P o i n t > < b : P o i n t > < b : _ x > 5 5 3 . 1 8 1 8 9 3 9 7 5 1 3 1 7 4 < / b : _ x > < b : _ y > 6 8 2 . 8 3 3 3 3 3 < / b : _ y > < / b : P o i n t > < b : P o i n t > < b : _ x > 5 5 3 . 1 8 1 8 9 3 9 7 5 1 3 1 7 4 < / b : _ x > < b : _ y > 3 9 9 . 7 9 0 8 2 8 < / b : _ y > < / b : P o i n t > < b : P o i n t > < b : _ x > 5 5 1 . 1 8 1 8 9 3 9 7 5 1 3 1 7 4 < / b : _ x > < b : _ y > 3 9 7 . 7 9 0 8 2 8 < / b : _ y > < / b : P o i n t > < b : P o i n t > < b : _ x > 5 4 6 . 4 4 2 7 4 5 9 1 2 6 1 9 7 8 < / b : _ x > < b : _ y > 3 9 7 . 7 9 0 8 2 8 < / b : _ y > < / b : P o i n t > < b : P o i n t > < b : _ x > 5 4 4 . 4 4 2 7 4 5 9 1 2 6 1 9 7 8 < / b : _ x > < b : _ y > 3 9 5 . 7 9 0 8 2 8 < / b : _ y > < / b : P o i n t > < b : P o i n t > < b : _ x > 5 4 4 . 4 4 2 7 4 5 9 1 2 6 1 9 7 8 < / b : _ x > < b : _ y > 3 2 1 < / b : _ y > < / b : P o i n t > < b : P o i n t > < b : _ x > 5 4 2 . 4 4 2 7 4 5 9 1 2 6 1 9 7 8 < / b : _ x > < b : _ y > 3 1 9 < / b : _ y > < / b : P o i n t > < b : P o i n t > < b : _ x > 5 3 6 . 0 0 0 0 0 0 0 0 0 0 0 0 1 1 < / b : _ x > < b : _ y > 3 1 9 < / b : _ y > < / b : P o i n t > < / P o i n t s > < / a : V a l u e > < / a : K e y V a l u e O f D i a g r a m O b j e c t K e y a n y T y p e z b w N T n L X > < a : K e y V a l u e O f D i a g r a m O b j e c t K e y a n y T y p e z b w N T n L X > < a : K e y > < K e y > R e l a t i o n s h i p s \ & l t ; T a b l e s \ G r o u n d s _ F u e l s \ C o l u m n s \ R e p o r t i n g   A l i a s & g t ; - & l t ; T a b l e s \ G H G \ C o l u m n s \ R e p o r t i n g   A l i a s & g t ; \ F K < / K e y > < / a : K e y > < a : V a l u e   i : t y p e = " D i a g r a m D i s p l a y L i n k E n d p o i n t V i e w S t a t e " > < L o c a t i o n   x m l n s : b = " h t t p : / / s c h e m a s . d a t a c o n t r a c t . o r g / 2 0 0 4 / 0 7 / S y s t e m . W i n d o w s " > < b : _ x > 5 7 8 . 5 1 9 0 5 2 8 3 8 3 2 9 1 2 < / b : _ x > < b : _ y > 6 8 4 . 8 3 3 3 3 3 < / b : _ y > < / L o c a t i o n > < S h a p e R o t a t e A n g l e > 1 8 0 < / S h a p e R o t a t e A n g l e > < / a : V a l u e > < / a : K e y V a l u e O f D i a g r a m O b j e c t K e y a n y T y p e z b w N T n L X > < a : K e y V a l u e O f D i a g r a m O b j e c t K e y a n y T y p e z b w N T n L X > < a : K e y > < K e y > R e l a t i o n s h i p s \ & l t ; T a b l e s \ G r o u n d s _ F u e l s \ C o l u m n s \ R e p o r t i n g   A l i a s & g t ; - & l t ; T a b l e s \ G H G \ C o l u m n s \ R e p o r t i n g   A l i a s & g t ; \ P K < / K e y > < / a : K e y > < a : V a l u e   i : t y p e = " D i a g r a m D i s p l a y L i n k E n d p o i n t V i e w S t a t e " > < L o c a t i o n   x m l n s : b = " h t t p : / / s c h e m a s . d a t a c o n t r a c t . o r g / 2 0 0 4 / 0 7 / S y s t e m . W i n d o w s " > < b : _ x > 5 2 8 . 0 0 0 0 0 0 0 0 0 0 0 0 1 1 < / b : _ x > < b : _ y > 3 1 9 < / b : _ y > < / L o c a t i o n > < S h a p e R o t a t e A n g l e > 3 6 0 < / S h a p e R o t a t e A n g l e > < / a : V a l u e > < / a : K e y V a l u e O f D i a g r a m O b j e c t K e y a n y T y p e z b w N T n L X > < a : K e y V a l u e O f D i a g r a m O b j e c t K e y a n y T y p e z b w N T n L X > < a : K e y > < K e y > R e l a t i o n s h i p s \ & l t ; T a b l e s \ G r o u n d s _ F u e l s \ C o l u m n s \ R e p o r t i n g   A l i a s & g t ; - & l t ; T a b l e s \ E n t i t y \ C o l u m n s \ R e p o r t i n g   A l i a s & g t ; < / K e y > < / a : K e y > < a : V a l u e   i : t y p e = " D i a g r a m D i s p l a y L i n k V i e w S t a t e " > < A u t o m a t i o n P r o p e r t y H e l p e r T e x t > E n d   p o i n t   1 :   ( 5 7 0 . 5 1 9 0 5 2 8 3 8 3 2 9 , 6 7 2 . 8 3 3 3 3 3 ) .   E n d   p o i n t   2 :   ( 5 7 5 . 8 0 7 6 2 1 1 3 5 3 3 2 , 3 0 7 . 5 )   < / A u t o m a t i o n P r o p e r t y H e l p e r T e x t > < L a y e d O u t > t r u e < / L a y e d O u t > < P o i n t s   x m l n s : b = " h t t p : / / s c h e m a s . d a t a c o n t r a c t . o r g / 2 0 0 4 / 0 7 / S y s t e m . W i n d o w s " > < b : P o i n t > < b : _ x > 5 7 0 . 5 1 9 0 5 2 8 3 8 3 2 9 1 2 < / b : _ x > < b : _ y > 6 7 2 . 8 3 3 3 3 3 < / b : _ y > < / b : P o i n t > < b : P o i n t > < b : _ x > 5 6 4 . 0 7 6 3 0 7 1 5 4 9 2 7 4 6 < / b : _ x > < b : _ y > 6 7 2 . 8 3 3 3 3 3 < / b : _ y > < / b : P o i n t > < b : P o i n t > < b : _ x > 5 6 2 . 0 7 6 3 0 7 1 5 4 9 2 7 4 6 < / b : _ x > < b : _ y > 6 7 0 . 8 3 3 3 3 3 < / b : _ y > < / b : P o i n t > < b : P o i n t > < b : _ x > 5 6 2 . 0 7 6 3 0 7 1 5 4 9 2 7 4 6 < / b : _ x > < b : _ y > 3 0 9 . 5 < / b : _ y > < / b : P o i n t > < b : P o i n t > < b : _ x > 5 6 4 . 0 7 6 3 0 7 1 5 4 9 2 7 4 6 < / b : _ x > < b : _ y > 3 0 7 . 5 < / b : _ y > < / b : P o i n t > < b : P o i n t > < b : _ x > 5 7 5 . 8 0 7 6 2 1 1 3 5 3 3 1 8 3 < / b : _ x > < b : _ y > 3 0 7 . 5 < / b : _ y > < / b : P o i n t > < / P o i n t s > < / a : V a l u e > < / a : K e y V a l u e O f D i a g r a m O b j e c t K e y a n y T y p e z b w N T n L X > < a : K e y V a l u e O f D i a g r a m O b j e c t K e y a n y T y p e z b w N T n L X > < a : K e y > < K e y > R e l a t i o n s h i p s \ & l t ; T a b l e s \ G r o u n d s _ F u e l s \ C o l u m n s \ R e p o r t i n g   A l i a s & g t ; - & l t ; T a b l e s \ E n t i t y \ C o l u m n s \ R e p o r t i n g   A l i a s & g t ; \ F K < / K e y > < / a : K e y > < a : V a l u e   i : t y p e = " D i a g r a m D i s p l a y L i n k E n d p o i n t V i e w S t a t e " > < L o c a t i o n   x m l n s : b = " h t t p : / / s c h e m a s . d a t a c o n t r a c t . o r g / 2 0 0 4 / 0 7 / S y s t e m . W i n d o w s " > < b : _ x > 5 7 8 . 5 1 9 0 5 2 8 3 8 3 2 9 1 2 < / b : _ x > < b : _ y > 6 7 2 . 8 3 3 3 3 3 < / b : _ y > < / L o c a t i o n > < S h a p e R o t a t e A n g l e > 1 8 0 < / S h a p e R o t a t e A n g l e > < / a : V a l u e > < / a : K e y V a l u e O f D i a g r a m O b j e c t K e y a n y T y p e z b w N T n L X > < a : K e y V a l u e O f D i a g r a m O b j e c t K e y a n y T y p e z b w N T n L X > < a : K e y > < K e y > R e l a t i o n s h i p s \ & l t ; T a b l e s \ G r o u n d s _ F u e l s \ C o l u m n s \ R e p o r t i n g   A l i a s & g t ; - & l t ; T a b l e s \ E n t i t y \ C o l u m n s \ R e p o r t i n g   A l i a s & g t ; \ P K < / K e y > < / a : K e y > < a : V a l u e   i : t y p e = " D i a g r a m D i s p l a y L i n k E n d p o i n t V i e w S t a t e " > < L o c a t i o n   x m l n s : b = " h t t p : / / s c h e m a s . d a t a c o n t r a c t . o r g / 2 0 0 4 / 0 7 / S y s t e m . W i n d o w s " > < b : _ x > 5 8 3 . 8 0 7 6 2 1 1 3 5 3 3 1 8 3 < / b : _ x > < b : _ y > 3 0 7 . 5 < / b : _ y > < / L o c a t i o n > < S h a p e R o t a t e A n g l e > 1 8 0 < / S h a p e R o t a t e A n g l e > < / a : V a l u e > < / a : K e y V a l u e O f D i a g r a m O b j e c t K e y a n y T y p e z b w N T n L X > < a : K e y V a l u e O f D i a g r a m O b j e c t K e y a n y T y p e z b w N T n L X > < a : K e y > < K e y > R e l a t i o n s h i p s \ & l t ; T a b l e s \ C o n t r a c t o r _ F u e l s \ C o l u m n s \ R e p o r t i n g   A l i a s & g t ; - & l t ; T a b l e s \ G H G \ C o l u m n s \ R e p o r t i n g   A l i a s & g t ; < / K e y > < / a : K e y > < a : V a l u e   i : t y p e = " D i a g r a m D i s p l a y L i n k V i e w S t a t e " > < A u t o m a t i o n P r o p e r t y H e l p e r T e x t > E n d   p o i n t   1 :   ( 2 0 8 . 4 2 2 8 6 3 4 0 5 9 9 5 , 6 7 0 . 1 6 6 6 6 7 ) .   E n d   p o i n t   2 :   ( 3 2 0 , 2 9 9 )   < / A u t o m a t i o n P r o p e r t y H e l p e r T e x t > < L a y e d O u t > t r u e < / L a y e d O u t > < P o i n t s   x m l n s : b = " h t t p : / / s c h e m a s . d a t a c o n t r a c t . o r g / 2 0 0 4 / 0 7 / S y s t e m . W i n d o w s " > < b : P o i n t > < b : _ x > 2 0 8 . 4 2 2 8 6 3 4 0 5 9 9 5 0 3 < / b : _ x > < b : _ y > 6 7 0 . 1 6 6 6 6 7 < / b : _ y > < / b : P o i n t > < b : P o i n t > < b : _ x > 2 6 4 . 6 0 5 7 1 5 7 5 < / b : _ x > < b : _ y > 6 7 0 . 1 6 6 6 6 7 < / b : _ y > < / b : P o i n t > < b : P o i n t > < b : _ x > 2 6 6 . 6 0 5 7 1 5 7 5 < / b : _ x > < b : _ y > 6 6 8 . 1 6 6 6 6 7 < / b : _ y > < / b : P o i n t > < b : P o i n t > < b : _ x > 2 6 6 . 6 0 5 7 1 5 7 5 < / b : _ x > < b : _ y > 3 0 1 < / b : _ y > < / b : P o i n t > < b : P o i n t > < b : _ x > 2 6 8 . 6 0 5 7 1 5 7 5 < / b : _ x > < b : _ y > 2 9 9 < / b : _ y > < / b : P o i n t > < b : P o i n t > < b : _ x > 3 2 0 < / b : _ x > < b : _ y > 2 9 9 < / b : _ y > < / b : P o i n t > < / P o i n t s > < / a : V a l u e > < / a : K e y V a l u e O f D i a g r a m O b j e c t K e y a n y T y p e z b w N T n L X > < a : K e y V a l u e O f D i a g r a m O b j e c t K e y a n y T y p e z b w N T n L X > < a : K e y > < K e y > R e l a t i o n s h i p s \ & l t ; T a b l e s \ C o n t r a c t o r _ F u e l s \ C o l u m n s \ R e p o r t i n g   A l i a s & g t ; - & l t ; T a b l e s \ G H G \ C o l u m n s \ R e p o r t i n g   A l i a s & g t ; \ F K < / K e y > < / a : K e y > < a : V a l u e   i : t y p e = " D i a g r a m D i s p l a y L i n k E n d p o i n t V i e w S t a t e " > < L o c a t i o n   x m l n s : b = " h t t p : / / s c h e m a s . d a t a c o n t r a c t . o r g / 2 0 0 4 / 0 7 / S y s t e m . W i n d o w s " > < b : _ x > 2 0 0 . 4 2 2 8 6 3 4 0 5 9 9 5 0 3 < / b : _ x > < b : _ y > 6 7 0 . 1 6 6 6 6 7 < / b : _ y > < / L o c a t i o n > < S h a p e R o t a t e A n g l e > 3 6 0 < / S h a p e R o t a t e A n g l e > < / a : V a l u e > < / a : K e y V a l u e O f D i a g r a m O b j e c t K e y a n y T y p e z b w N T n L X > < a : K e y V a l u e O f D i a g r a m O b j e c t K e y a n y T y p e z b w N T n L X > < a : K e y > < K e y > R e l a t i o n s h i p s \ & l t ; T a b l e s \ C o n t r a c t o r _ F u e l s \ C o l u m n s \ R e p o r t i n g   A l i a s & g t ; - & l t ; T a b l e s \ G H G \ C o l u m n s \ R e p o r t i n g   A l i a s & g t ; \ P K < / K e y > < / a : K e y > < a : V a l u e   i : t y p e = " D i a g r a m D i s p l a y L i n k E n d p o i n t V i e w S t a t e " > < L o c a t i o n   x m l n s : b = " h t t p : / / s c h e m a s . d a t a c o n t r a c t . o r g / 2 0 0 4 / 0 7 / S y s t e m . W i n d o w s " > < b : _ x > 3 2 8 < / b : _ x > < b : _ y > 2 9 9 < / b : _ y > < / L o c a t i o n > < S h a p e R o t a t e A n g l e > 1 8 0 < / S h a p e R o t a t e A n g l e > < / a : V a l u e > < / a : K e y V a l u e O f D i a g r a m O b j e c t K e y a n y T y p e z b w N T n L X > < a : K e y V a l u e O f D i a g r a m O b j e c t K e y a n y T y p e z b w N T n L X > < a : K e y > < K e y > R e l a t i o n s h i p s \ & l t ; T a b l e s \ C o n t r a c t o r _ F u e l s \ C o l u m n s \ R e p o r t i n g   A l i a s & g t ; - & l t ; T a b l e s \ E n t i t y \ C o l u m n s \ R e p o r t i n g   A l i a s & g t ; < / K e y > < / a : K e y > < a : V a l u e   i : t y p e = " D i a g r a m D i s p l a y L i n k V i e w S t a t e " > < A u t o m a t i o n P r o p e r t y H e l p e r T e x t > E n d   p o i n t   1 :   ( 2 0 8 . 4 2 2 8 6 3 4 0 5 9 9 5 , 6 8 2 . 1 6 6 6 6 7 ) .   E n d   p o i n t   2 :   ( 5 7 5 . 8 0 7 6 2 1 1 3 5 3 3 2 , 2 9 2 . 5 )   < / A u t o m a t i o n P r o p e r t y H e l p e r T e x t > < L a y e d O u t > t r u e < / L a y e d O u t > < P o i n t s   x m l n s : b = " h t t p : / / s c h e m a s . d a t a c o n t r a c t . o r g / 2 0 0 4 / 0 7 / S y s t e m . W i n d o w s " > < b : P o i n t > < b : _ x > 2 0 8 . 4 2 2 8 6 3 4 0 5 9 9 5 0 3 < / b : _ x > < b : _ y > 6 8 2 . 1 6 6 6 6 7 < / b : _ y > < / b : P o i n t > < b : P o i n t > < b : _ x > 3 0 6 . 1 1 5 2 4 2 0 3 5 0 1 9 0 4 < / b : _ x > < b : _ y > 6 8 2 . 1 6 6 6 6 7 < / b : _ y > < / b : P o i n t > < b : P o i n t > < b : _ x > 3 0 8 . 1 1 5 2 4 2 0 3 5 0 1 9 0 4 < / b : _ x > < b : _ y > 6 8 0 . 1 6 6 6 6 7 < / b : _ y > < / b : P o i n t > < b : P o i n t > < b : _ x > 3 0 8 . 1 1 5 2 4 2 0 3 5 0 1 9 0 4 < / b : _ x > < b : _ y > 4 0 4 . 5 4 4 7 7 9 < / b : _ y > < / b : P o i n t > < b : P o i n t > < b : _ x > 3 1 0 . 1 1 5 2 4 2 0 3 5 0 1 9 0 4 < / b : _ x > < b : _ y > 4 0 2 . 5 4 4 7 7 9 < / b : _ y > < / b : P o i n t > < b : P o i n t > < b : _ x > 5 5 5 . 2 4 9 6 8 7 1 7 7 3 4 0 6 6 < / b : _ x > < b : _ y > 4 0 2 . 5 4 4 7 7 9 < / b : _ y > < / b : P o i n t > < b : P o i n t > < b : _ x > 5 5 7 . 2 4 9 6 8 7 1 7 7 3 4 0 6 6 < / b : _ x > < b : _ y > 4 0 0 . 5 4 4 7 7 9 < / b : _ y > < / b : P o i n t > < b : P o i n t > < b : _ x > 5 5 7 . 2 4 9 6 8 7 1 7 7 3 4 0 6 6 < / b : _ x > < b : _ y > 2 9 4 . 5 < / b : _ y > < / b : P o i n t > < b : P o i n t > < b : _ x > 5 5 9 . 2 4 9 6 8 7 1 7 7 3 4 0 6 6 < / b : _ x > < b : _ y > 2 9 2 . 5 < / b : _ y > < / b : P o i n t > < b : P o i n t > < b : _ x > 5 7 5 . 8 0 7 6 2 1 1 3 5 3 3 1 7 1 < / b : _ x > < b : _ y > 2 9 2 . 5 < / b : _ y > < / b : P o i n t > < / P o i n t s > < / a : V a l u e > < / a : K e y V a l u e O f D i a g r a m O b j e c t K e y a n y T y p e z b w N T n L X > < a : K e y V a l u e O f D i a g r a m O b j e c t K e y a n y T y p e z b w N T n L X > < a : K e y > < K e y > R e l a t i o n s h i p s \ & l t ; T a b l e s \ C o n t r a c t o r _ F u e l s \ C o l u m n s \ R e p o r t i n g   A l i a s & g t ; - & l t ; T a b l e s \ E n t i t y \ C o l u m n s \ R e p o r t i n g   A l i a s & g t ; \ F K < / K e y > < / a : K e y > < a : V a l u e   i : t y p e = " D i a g r a m D i s p l a y L i n k E n d p o i n t V i e w S t a t e " > < L o c a t i o n   x m l n s : b = " h t t p : / / s c h e m a s . d a t a c o n t r a c t . o r g / 2 0 0 4 / 0 7 / S y s t e m . W i n d o w s " > < b : _ x > 2 0 0 . 4 2 2 8 6 3 4 0 5 9 9 5 0 3 < / b : _ x > < b : _ y > 6 8 2 . 1 6 6 6 6 7 < / b : _ y > < / L o c a t i o n > < S h a p e R o t a t e A n g l e > 3 6 0 < / S h a p e R o t a t e A n g l e > < / a : V a l u e > < / a : K e y V a l u e O f D i a g r a m O b j e c t K e y a n y T y p e z b w N T n L X > < a : K e y V a l u e O f D i a g r a m O b j e c t K e y a n y T y p e z b w N T n L X > < a : K e y > < K e y > R e l a t i o n s h i p s \ & l t ; T a b l e s \ C o n t r a c t o r _ F u e l s \ C o l u m n s \ R e p o r t i n g   A l i a s & g t ; - & l t ; T a b l e s \ E n t i t y \ C o l u m n s \ R e p o r t i n g   A l i a s & g t ; \ P K < / K e y > < / a : K e y > < a : V a l u e   i : t y p e = " D i a g r a m D i s p l a y L i n k E n d p o i n t V i e w S t a t e " > < L o c a t i o n   x m l n s : b = " h t t p : / / s c h e m a s . d a t a c o n t r a c t . o r g / 2 0 0 4 / 0 7 / S y s t e m . W i n d o w s " > < b : _ x > 5 8 3 . 8 0 7 6 2 1 1 3 5 3 3 1 7 1 < / b : _ x > < b : _ y > 2 9 2 . 5 < / b : _ y > < / L o c a t i o n > < S h a p e R o t a t e A n g l e > 1 8 0 < / S h a p e R o t a t e A n g l e > < / a : V a l u e > < / a : K e y V a l u e O f D i a g r a m O b j e c t K e y a n y T y p e z b w N T n L X > < a : K e y V a l u e O f D i a g r a m O b j e c t K e y a n y T y p e z b w N T n L X > < a : K e y > < K e y > R e l a t i o n s h i p s \ & l t ; T a b l e s \ A V I S \ C o l u m n s \ R e p o r t i n g   A l i a s & g t ; - & l t ; T a b l e s \ G H G \ C o l u m n s \ R e p o r t i n g   A l i a s & g t ; < / K e y > < / a : K e y > < a : V a l u e   i : t y p e = " D i a g r a m D i s p l a y L i n k V i e w S t a t e " > < A u t o m a t i o n P r o p e r t y H e l p e r T e x t > E n d   p o i n t   1 :   ( 2 0 8 , 4 9 3 . 5 ) .   E n d   p o i n t   2 :   ( 3 2 0 , 2 9 4 )   < / A u t o m a t i o n P r o p e r t y H e l p e r T e x t > < L a y e d O u t > t r u e < / L a y e d O u t > < P o i n t s   x m l n s : b = " h t t p : / / s c h e m a s . d a t a c o n t r a c t . o r g / 2 0 0 4 / 0 7 / S y s t e m . W i n d o w s " > < b : P o i n t > < b : _ x > 2 0 8 < / b : _ x > < b : _ y > 4 9 3 . 5 < / b : _ y > < / b : P o i n t > < b : P o i n t > < b : _ x > 2 5 9 . 6 0 5 7 1 5 7 5 < / b : _ x > < b : _ y > 4 9 3 . 5 < / b : _ y > < / b : P o i n t > < b : P o i n t > < b : _ x > 2 6 1 . 6 0 5 7 1 5 7 5 < / b : _ x > < b : _ y > 4 9 1 . 5 < / b : _ y > < / b : P o i n t > < b : P o i n t > < b : _ x > 2 6 1 . 6 0 5 7 1 5 7 5 < / b : _ x > < b : _ y > 2 9 6 < / b : _ y > < / b : P o i n t > < b : P o i n t > < b : _ x > 2 6 3 . 6 0 5 7 1 5 7 5 < / b : _ x > < b : _ y > 2 9 4 < / b : _ y > < / b : P o i n t > < b : P o i n t > < b : _ x > 3 2 0 < / b : _ x > < b : _ y > 2 9 4 < / b : _ y > < / b : P o i n t > < / P o i n t s > < / a : V a l u e > < / a : K e y V a l u e O f D i a g r a m O b j e c t K e y a n y T y p e z b w N T n L X > < a : K e y V a l u e O f D i a g r a m O b j e c t K e y a n y T y p e z b w N T n L X > < a : K e y > < K e y > R e l a t i o n s h i p s \ & l t ; T a b l e s \ A V I S \ C o l u m n s \ R e p o r t i n g   A l i a s & g t ; - & l t ; T a b l e s \ G H G \ C o l u m n s \ R e p o r t i n g   A l i a s & g t ; \ F K < / K e y > < / a : K e y > < a : V a l u e   i : t y p e = " D i a g r a m D i s p l a y L i n k E n d p o i n t V i e w S t a t e " > < L o c a t i o n   x m l n s : b = " h t t p : / / s c h e m a s . d a t a c o n t r a c t . o r g / 2 0 0 4 / 0 7 / S y s t e m . W i n d o w s " > < b : _ x > 2 0 0 < / b : _ x > < b : _ y > 4 9 3 . 5 < / b : _ y > < / L o c a t i o n > < S h a p e R o t a t e A n g l e > 3 6 0 < / S h a p e R o t a t e A n g l e > < / a : V a l u e > < / a : K e y V a l u e O f D i a g r a m O b j e c t K e y a n y T y p e z b w N T n L X > < a : K e y V a l u e O f D i a g r a m O b j e c t K e y a n y T y p e z b w N T n L X > < a : K e y > < K e y > R e l a t i o n s h i p s \ & l t ; T a b l e s \ A V I S \ C o l u m n s \ R e p o r t i n g   A l i a s & g t ; - & l t ; T a b l e s \ G H G \ C o l u m n s \ R e p o r t i n g   A l i a s & g t ; \ P K < / K e y > < / a : K e y > < a : V a l u e   i : t y p e = " D i a g r a m D i s p l a y L i n k E n d p o i n t V i e w S t a t e " > < L o c a t i o n   x m l n s : b = " h t t p : / / s c h e m a s . d a t a c o n t r a c t . o r g / 2 0 0 4 / 0 7 / S y s t e m . W i n d o w s " > < b : _ x > 3 2 8 < / b : _ x > < b : _ y > 2 9 4 < / b : _ y > < / L o c a t i o n > < S h a p e R o t a t e A n g l e > 1 8 0 < / S h a p e R o t a t e A n g l e > < / a : V a l u e > < / a : K e y V a l u e O f D i a g r a m O b j e c t K e y a n y T y p e z b w N T n L X > < a : K e y V a l u e O f D i a g r a m O b j e c t K e y a n y T y p e z b w N T n L X > < a : K e y > < K e y > R e l a t i o n s h i p s \ & l t ; T a b l e s \ A V I S \ C o l u m n s \ R e p o r t i n g   A l i a s & g t ; - & l t ; T a b l e s \ E n t i t y \ C o l u m n s \ R e p o r t i n g   A l i a s & g t ; < / K e y > < / a : K e y > < a : V a l u e   i : t y p e = " D i a g r a m D i s p l a y L i n k V i e w S t a t e " > < A u t o m a t i o n P r o p e r t y H e l p e r T e x t > E n d   p o i n t   1 :   ( 2 0 8 , 5 0 5 . 5 ) .   E n d   p o i n t   2 :   ( 5 7 5 . 8 0 7 6 2 1 1 3 5 3 3 2 , 2 8 7 . 5 )   < / A u t o m a t i o n P r o p e r t y H e l p e r T e x t > < L a y e d O u t > t r u e < / L a y e d O u t > < P o i n t s   x m l n s : b = " h t t p : / / s c h e m a s . d a t a c o n t r a c t . o r g / 2 0 0 4 / 0 7 / S y s t e m . W i n d o w s " > < b : P o i n t > < b : _ x > 2 0 8 < / b : _ x > < b : _ y > 5 0 5 . 5 < / b : _ y > < / b : P o i n t > < b : P o i n t > < b : _ x > 3 0 1 . 1 1 5 2 4 2 0 3 5 0 1 9 0 4 < / b : _ x > < b : _ y > 5 0 5 . 5 < / b : _ y > < / b : P o i n t > < b : P o i n t > < b : _ x > 3 0 3 . 1 1 5 2 4 2 0 3 5 0 1 9 0 4 < / b : _ x > < b : _ y > 5 0 3 . 5 < / b : _ y > < / b : P o i n t > < b : P o i n t > < b : _ x > 3 0 3 . 1 1 5 2 4 2 0 3 5 0 1 9 0 4 < / b : _ x > < b : _ y > 4 0 2 . 1 2 9 1 4 5 < / b : _ y > < / b : P o i n t > < b : P o i n t > < b : _ x > 3 0 5 . 1 1 5 2 4 2 0 3 5 0 1 9 0 4 < / b : _ x > < b : _ y > 4 0 0 . 1 2 9 1 4 5 < / b : _ y > < / b : P o i n t > < b : P o i n t > < b : _ x > 5 5 3 . 9 4 5 5 1 1 1 7 2 5 0 9 9 < / b : _ x > < b : _ y > 4 0 0 . 1 2 9 1 4 5 < / b : _ y > < / b : P o i n t > < b : P o i n t > < b : _ x > 5 5 5 . 9 4 5 5 1 1 1 7 2 5 0 9 9 < / b : _ x > < b : _ y > 3 9 8 . 1 2 9 1 4 5 < / b : _ y > < / b : P o i n t > < b : P o i n t > < b : _ x > 5 5 5 . 9 4 5 5 1 1 1 7 2 5 0 9 9 < / b : _ x > < b : _ y > 2 8 9 . 5 < / b : _ y > < / b : P o i n t > < b : P o i n t > < b : _ x > 5 5 7 . 9 4 5 5 1 1 1 7 2 5 0 9 9 < / b : _ x > < b : _ y > 2 8 7 . 5 < / b : _ y > < / b : P o i n t > < b : P o i n t > < b : _ x > 5 7 5 . 8 0 7 6 2 1 1 3 5 3 3 1 8 3 < / b : _ x > < b : _ y > 2 8 7 . 5 < / b : _ y > < / b : P o i n t > < / P o i n t s > < / a : V a l u e > < / a : K e y V a l u e O f D i a g r a m O b j e c t K e y a n y T y p e z b w N T n L X > < a : K e y V a l u e O f D i a g r a m O b j e c t K e y a n y T y p e z b w N T n L X > < a : K e y > < K e y > R e l a t i o n s h i p s \ & l t ; T a b l e s \ A V I S \ C o l u m n s \ R e p o r t i n g   A l i a s & g t ; - & l t ; T a b l e s \ E n t i t y \ C o l u m n s \ R e p o r t i n g   A l i a s & g t ; \ F K < / K e y > < / a : K e y > < a : V a l u e   i : t y p e = " D i a g r a m D i s p l a y L i n k E n d p o i n t V i e w S t a t e " > < L o c a t i o n   x m l n s : b = " h t t p : / / s c h e m a s . d a t a c o n t r a c t . o r g / 2 0 0 4 / 0 7 / S y s t e m . W i n d o w s " > < b : _ x > 2 0 0 < / b : _ x > < b : _ y > 5 0 5 . 5 < / b : _ y > < / L o c a t i o n > < S h a p e R o t a t e A n g l e > 3 6 0 < / S h a p e R o t a t e A n g l e > < / a : V a l u e > < / a : K e y V a l u e O f D i a g r a m O b j e c t K e y a n y T y p e z b w N T n L X > < a : K e y V a l u e O f D i a g r a m O b j e c t K e y a n y T y p e z b w N T n L X > < a : K e y > < K e y > R e l a t i o n s h i p s \ & l t ; T a b l e s \ A V I S \ C o l u m n s \ R e p o r t i n g   A l i a s & g t ; - & l t ; T a b l e s \ E n t i t y \ C o l u m n s \ R e p o r t i n g   A l i a s & g t ; \ P K < / K e y > < / a : K e y > < a : V a l u e   i : t y p e = " D i a g r a m D i s p l a y L i n k E n d p o i n t V i e w S t a t e " > < L o c a t i o n   x m l n s : b = " h t t p : / / s c h e m a s . d a t a c o n t r a c t . o r g / 2 0 0 4 / 0 7 / S y s t e m . W i n d o w s " > < b : _ x > 5 8 3 . 8 0 7 6 2 1 1 3 5 3 3 1 8 3 < / b : _ x > < b : _ y > 2 8 7 . 5 < / b : _ y > < / L o c a t i o n > < S h a p e R o t a t e A n g l e > 1 8 0 < / S h a p e R o t a t e A n g l e > < / a : V a l u e > < / a : K e y V a l u e O f D i a g r a m O b j e c t K e y a n y T y p e z b w N T n L X > < a : K e y V a l u e O f D i a g r a m O b j e c t K e y a n y T y p e z b w N T n L X > < a : K e y > < K e y > R e l a t i o n s h i p s \ & l t ; T a b l e s \ L P _ F l e e t \ C o l u m n s \ R e p o r t i n g   A l i a s & g t ; - & l t ; T a b l e s \ G H G \ C o l u m n s \ R e p o r t i n g   A l i a s & g t ; < / K e y > < / a : K e y > < a : V a l u e   i : t y p e = " D i a g r a m D i s p l a y L i n k V i e w S t a t e " > < A u t o m a t i o n P r o p e r t y H e l p e r T e x t > E n d   p o i n t   1 :   ( 2 0 8 , 2 7 6 . 5 ) .   E n d   p o i n t   2 :   ( 3 2 0 , 2 8 9 )   < / A u t o m a t i o n P r o p e r t y H e l p e r T e x t > < L a y e d O u t > t r u e < / L a y e d O u t > < P o i n t s   x m l n s : b = " h t t p : / / s c h e m a s . d a t a c o n t r a c t . o r g / 2 0 0 4 / 0 7 / S y s t e m . W i n d o w s " > < b : P o i n t > < b : _ x > 2 0 8 < / b : _ x > < b : _ y > 2 7 6 . 5 < / b : _ y > < / b : P o i n t > < b : P o i n t > < b : _ x > 2 5 9 . 5 < / b : _ x > < b : _ y > 2 7 6 . 5 < / b : _ y > < / b : P o i n t > < b : P o i n t > < b : _ x > 2 6 1 . 5 < / b : _ x > < b : _ y > 2 7 8 . 5 < / b : _ y > < / b : P o i n t > < b : P o i n t > < b : _ x > 2 6 1 . 5 < / b : _ x > < b : _ y > 2 8 7 < / b : _ y > < / b : P o i n t > < b : P o i n t > < b : _ x > 2 6 3 . 5 < / b : _ x > < b : _ y > 2 8 9 < / b : _ y > < / b : P o i n t > < b : P o i n t > < b : _ x > 3 2 0 < / b : _ x > < b : _ y > 2 8 9 < / b : _ y > < / b : P o i n t > < / P o i n t s > < / a : V a l u e > < / a : K e y V a l u e O f D i a g r a m O b j e c t K e y a n y T y p e z b w N T n L X > < a : K e y V a l u e O f D i a g r a m O b j e c t K e y a n y T y p e z b w N T n L X > < a : K e y > < K e y > R e l a t i o n s h i p s \ & l t ; T a b l e s \ L P _ F l e e t \ C o l u m n s \ R e p o r t i n g   A l i a s & g t ; - & l t ; T a b l e s \ G H G \ C o l u m n s \ R e p o r t i n g   A l i a s & g t ; \ F K < / K e y > < / a : K e y > < a : V a l u e   i : t y p e = " D i a g r a m D i s p l a y L i n k E n d p o i n t V i e w S t a t e " > < L o c a t i o n   x m l n s : b = " h t t p : / / s c h e m a s . d a t a c o n t r a c t . o r g / 2 0 0 4 / 0 7 / S y s t e m . W i n d o w s " > < b : _ x > 2 0 0 < / b : _ x > < b : _ y > 2 7 6 . 5 < / b : _ y > < / L o c a t i o n > < S h a p e R o t a t e A n g l e > 3 6 0 < / S h a p e R o t a t e A n g l e > < / a : V a l u e > < / a : K e y V a l u e O f D i a g r a m O b j e c t K e y a n y T y p e z b w N T n L X > < a : K e y V a l u e O f D i a g r a m O b j e c t K e y a n y T y p e z b w N T n L X > < a : K e y > < K e y > R e l a t i o n s h i p s \ & l t ; T a b l e s \ L P _ F l e e t \ C o l u m n s \ R e p o r t i n g   A l i a s & g t ; - & l t ; T a b l e s \ G H G \ C o l u m n s \ R e p o r t i n g   A l i a s & g t ; \ P K < / K e y > < / a : K e y > < a : V a l u e   i : t y p e = " D i a g r a m D i s p l a y L i n k E n d p o i n t V i e w S t a t e " > < L o c a t i o n   x m l n s : b = " h t t p : / / s c h e m a s . d a t a c o n t r a c t . o r g / 2 0 0 4 / 0 7 / S y s t e m . W i n d o w s " > < b : _ x > 3 2 8 < / b : _ x > < b : _ y > 2 8 9 < / b : _ y > < / L o c a t i o n > < S h a p e R o t a t e A n g l e > 1 8 0 < / S h a p e R o t a t e A n g l e > < / a : V a l u e > < / a : K e y V a l u e O f D i a g r a m O b j e c t K e y a n y T y p e z b w N T n L X > < a : K e y V a l u e O f D i a g r a m O b j e c t K e y a n y T y p e z b w N T n L X > < a : K e y > < K e y > R e l a t i o n s h i p s \ & l t ; T a b l e s \ L P _ F l e e t \ C o l u m n s \ R e p o r t i n g   A l i a s & g t ; - & l t ; T a b l e s \ E n t i t y \ C o l u m n s \ R e p o r t i n g   A l i a s & g t ; < / K e y > < / a : K e y > < a : V a l u e   i : t y p e = " D i a g r a m D i s p l a y L i n k V i e w S t a t e " > < A u t o m a t i o n P r o p e r t y H e l p e r T e x t > E n d   p o i n t   1 :   ( 2 0 8 , 2 6 4 . 5 ) .   E n d   p o i n t   2 :   ( 5 7 5 . 8 0 7 6 2 1 1 3 5 3 3 2 , 2 8 2 . 5 )   < / A u t o m a t i o n P r o p e r t y H e l p e r T e x t > < L a y e d O u t > t r u e < / L a y e d O u t > < P o i n t s   x m l n s : b = " h t t p : / / s c h e m a s . d a t a c o n t r a c t . o r g / 2 0 0 4 / 0 7 / S y s t e m . W i n d o w s " > < b : P o i n t > < b : _ x > 2 0 8 < / b : _ x > < b : _ y > 2 6 4 . 5 < / b : _ y > < / b : P o i n t > < b : P o i n t > < b : _ x > 3 0 6 . 5 0 0 0 0 0 0 0 4 5 < / b : _ x > < b : _ y > 2 6 4 . 5 < / b : _ y > < / b : P o i n t > < b : P o i n t > < b : _ x > 3 0 8 . 5 0 0 0 0 0 0 0 4 5 < / b : _ x > < b : _ y > 2 6 2 . 5 < / b : _ y > < / b : P o i n t > < b : P o i n t > < b : _ x > 3 0 8 . 5 0 0 0 0 0 0 0 4 5 < / b : _ x > < b : _ y > 2 0 2 . 0 1 1 3 6 4 < / b : _ y > < / b : P o i n t > < b : P o i n t > < b : _ x > 3 1 0 . 5 0 0 0 0 0 0 0 4 5 < / b : _ x > < b : _ y > 2 0 0 . 0 1 1 3 6 4 < / b : _ y > < / b : P o i n t > < b : P o i n t > < b : _ x > 5 5 8 . 9 3 0 2 2 9 0 7 0 3 3 5 7 1 < / b : _ x > < b : _ y > 2 0 0 . 0 1 1 3 6 4 < / b : _ y > < / b : P o i n t > < b : P o i n t > < b : _ x > 5 6 0 . 9 3 0 2 2 9 0 7 0 3 3 5 7 1 < / b : _ x > < b : _ y > 2 0 2 . 0 1 1 3 6 4 < / b : _ y > < / b : P o i n t > < b : P o i n t > < b : _ x > 5 6 0 . 9 3 0 2 2 9 0 7 0 3 3 5 7 1 < / b : _ x > < b : _ y > 2 8 0 . 5 < / b : _ y > < / b : P o i n t > < b : P o i n t > < b : _ x > 5 6 2 . 9 3 0 2 2 9 0 7 0 3 3 5 7 1 < / b : _ x > < b : _ y > 2 8 2 . 5 < / b : _ y > < / b : P o i n t > < b : P o i n t > < b : _ x > 5 7 5 . 8 0 7 6 2 1 1 3 5 3 3 1 9 4 < / b : _ x > < b : _ y > 2 8 2 . 5 < / b : _ y > < / b : P o i n t > < / P o i n t s > < / a : V a l u e > < / a : K e y V a l u e O f D i a g r a m O b j e c t K e y a n y T y p e z b w N T n L X > < a : K e y V a l u e O f D i a g r a m O b j e c t K e y a n y T y p e z b w N T n L X > < a : K e y > < K e y > R e l a t i o n s h i p s \ & l t ; T a b l e s \ L P _ F l e e t \ C o l u m n s \ R e p o r t i n g   A l i a s & g t ; - & l t ; T a b l e s \ E n t i t y \ C o l u m n s \ R e p o r t i n g   A l i a s & g t ; \ F K < / K e y > < / a : K e y > < a : V a l u e   i : t y p e = " D i a g r a m D i s p l a y L i n k E n d p o i n t V i e w S t a t e " > < L o c a t i o n   x m l n s : b = " h t t p : / / s c h e m a s . d a t a c o n t r a c t . o r g / 2 0 0 4 / 0 7 / S y s t e m . W i n d o w s " > < b : _ x > 2 0 0 < / b : _ x > < b : _ y > 2 6 4 . 5 < / b : _ y > < / L o c a t i o n > < S h a p e R o t a t e A n g l e > 3 6 0 < / S h a p e R o t a t e A n g l e > < / a : V a l u e > < / a : K e y V a l u e O f D i a g r a m O b j e c t K e y a n y T y p e z b w N T n L X > < a : K e y V a l u e O f D i a g r a m O b j e c t K e y a n y T y p e z b w N T n L X > < a : K e y > < K e y > R e l a t i o n s h i p s \ & l t ; T a b l e s \ L P _ F l e e t \ C o l u m n s \ R e p o r t i n g   A l i a s & g t ; - & l t ; T a b l e s \ E n t i t y \ C o l u m n s \ R e p o r t i n g   A l i a s & g t ; \ P K < / K e y > < / a : K e y > < a : V a l u e   i : t y p e = " D i a g r a m D i s p l a y L i n k E n d p o i n t V i e w S t a t e " > < L o c a t i o n   x m l n s : b = " h t t p : / / s c h e m a s . d a t a c o n t r a c t . o r g / 2 0 0 4 / 0 7 / S y s t e m . W i n d o w s " > < b : _ x > 5 8 3 . 8 0 7 6 2 1 1 3 5 3 3 1 9 4 < / b : _ x > < b : _ y > 2 8 2 . 5 < / b : _ y > < / L o c a t i o n > < S h a p e R o t a t e A n g l e > 1 8 0 < / S h a p e R o t a t e A n g l e > < / a : V a l u e > < / a : K e y V a l u e O f D i a g r a m O b j e c t K e y a n y T y p e z b w N T n L X > < a : K e y V a l u e O f D i a g r a m O b j e c t K e y a n y T y p e z b w N T n L X > < a : K e y > < K e y > R e l a t i o n s h i p s \ & l t ; T a b l e s \ N O N _ G e n s e t \ C o l u m n s \ R e p o r t i n g   A l i a s & g t ; - & l t ; T a b l e s \ G H G \ C o l u m n s \ R e p o r t i n g   A l i a s & g t ; < / K e y > < / a : K e y > < a : V a l u e   i : t y p e = " D i a g r a m D i s p l a y L i n k V i e w S t a t e " > < A u t o m a t i o n P r o p e r t y H e l p e r T e x t > E n d   p o i n t   1 :   ( 4 3 5 . 3 1 7 1 4 8 , 4 1 1 . 5 ) .   E n d   p o i n t   2 :   ( 4 2 6 . 8 1 7 1 4 8 , 3 7 7 )   < / A u t o m a t i o n P r o p e r t y H e l p e r T e x t > < L a y e d O u t > t r u e < / L a y e d O u t > < P o i n t s   x m l n s : b = " h t t p : / / s c h e m a s . d a t a c o n t r a c t . o r g / 2 0 0 4 / 0 7 / S y s t e m . W i n d o w s " > < b : P o i n t > < b : _ x > 4 3 5 . 3 1 7 1 4 8 < / b : _ x > < b : _ y > 4 1 1 . 5 < / b : _ y > < / b : P o i n t > < b : P o i n t > < b : _ x > 4 3 5 . 3 1 7 1 4 8 < / b : _ x > < b : _ y > 3 9 6 . 2 5 < / b : _ y > < / b : P o i n t > < b : P o i n t > < b : _ x > 4 3 3 . 3 1 7 1 4 8 < / b : _ x > < b : _ y > 3 9 4 . 2 5 < / b : _ y > < / b : P o i n t > < b : P o i n t > < b : _ x > 4 2 8 . 8 1 7 1 4 8 < / b : _ x > < b : _ y > 3 9 4 . 2 5 < / b : _ y > < / b : P o i n t > < b : P o i n t > < b : _ x > 4 2 6 . 8 1 7 1 4 8 < / b : _ x > < b : _ y > 3 9 2 . 2 5 < / b : _ y > < / b : P o i n t > < b : P o i n t > < b : _ x > 4 2 6 . 8 1 7 1 4 8 < / b : _ x > < b : _ y > 3 7 7 < / b : _ y > < / b : P o i n t > < / P o i n t s > < / a : V a l u e > < / a : K e y V a l u e O f D i a g r a m O b j e c t K e y a n y T y p e z b w N T n L X > < a : K e y V a l u e O f D i a g r a m O b j e c t K e y a n y T y p e z b w N T n L X > < a : K e y > < K e y > R e l a t i o n s h i p s \ & l t ; T a b l e s \ N O N _ G e n s e t \ C o l u m n s \ R e p o r t i n g   A l i a s & g t ; - & l t ; T a b l e s \ G H G \ C o l u m n s \ R e p o r t i n g   A l i a s & g t ; \ F K < / K e y > < / a : K e y > < a : V a l u e   i : t y p e = " D i a g r a m D i s p l a y L i n k E n d p o i n t V i e w S t a t e " > < L o c a t i o n   x m l n s : b = " h t t p : / / s c h e m a s . d a t a c o n t r a c t . o r g / 2 0 0 4 / 0 7 / S y s t e m . W i n d o w s " > < b : _ x > 4 3 5 . 3 1 7 1 4 8 < / b : _ x > < b : _ y > 4 1 9 . 5 < / b : _ y > < / L o c a t i o n > < S h a p e R o t a t e A n g l e > 2 7 0 < / S h a p e R o t a t e A n g l e > < / a : V a l u e > < / a : K e y V a l u e O f D i a g r a m O b j e c t K e y a n y T y p e z b w N T n L X > < a : K e y V a l u e O f D i a g r a m O b j e c t K e y a n y T y p e z b w N T n L X > < a : K e y > < K e y > R e l a t i o n s h i p s \ & l t ; T a b l e s \ N O N _ G e n s e t \ C o l u m n s \ R e p o r t i n g   A l i a s & g t ; - & l t ; T a b l e s \ G H G \ C o l u m n s \ R e p o r t i n g   A l i a s & g t ; \ P K < / K e y > < / a : K e y > < a : V a l u e   i : t y p e = " D i a g r a m D i s p l a y L i n k E n d p o i n t V i e w S t a t e " > < L o c a t i o n   x m l n s : b = " h t t p : / / s c h e m a s . d a t a c o n t r a c t . o r g / 2 0 0 4 / 0 7 / S y s t e m . W i n d o w s " > < b : _ x > 4 2 6 . 8 1 7 1 4 8 < / b : _ x > < b : _ y > 3 6 9 < / b : _ y > < / L o c a t i o n > < S h a p e R o t a t e A n g l e > 9 0 < / S h a p e R o t a t e A n g l e > < / a : V a l u e > < / a : K e y V a l u e O f D i a g r a m O b j e c t K e y a n y T y p e z b w N T n L X > < a : K e y V a l u e O f D i a g r a m O b j e c t K e y a n y T y p e z b w N T n L X > < a : K e y > < K e y > R e l a t i o n s h i p s \ & l t ; T a b l e s \ N O N _ G e n s e t \ C o l u m n s \ R e p o r t i n g   A l i a s & g t ; - & l t ; T a b l e s \ E n t i t y \ C o l u m n s \ R e p o r t i n g   A l i a s & g t ; < / K e y > < / a : K e y > < a : V a l u e   i : t y p e = " D i a g r a m D i s p l a y L i n k V i e w S t a t e " > < A u t o m a t i o n P r o p e r t y H e l p e r T e x t > E n d   p o i n t   1 :   ( 5 4 2 . 1 3 4 2 9 5 1 0 8 9 9 3 , 4 9 4 . 5 ) .   E n d   p o i n t   2 :   ( 5 7 5 . 8 0 7 6 2 1 1 3 5 3 3 2 , 2 9 7 . 5 )   < / A u t o m a t i o n P r o p e r t y H e l p e r T e x t > < L a y e d O u t > t r u e < / L a y e d O u t > < P o i n t s   x m l n s : b = " h t t p : / / s c h e m a s . d a t a c o n t r a c t . o r g / 2 0 0 4 / 0 7 / S y s t e m . W i n d o w s " > < b : P o i n t > < b : _ x > 5 4 2 . 1 3 4 2 9 5 1 0 8 9 9 2 7 7 < / b : _ x > < b : _ y > 4 9 4 . 5 < / b : _ y > < / b : P o i n t > < b : P o i n t > < b : _ x > 5 5 6 . 5 5 3 8 6 3 1 8 2 1 7 1 3 1 < / b : _ x > < b : _ y > 4 9 4 . 5 < / b : _ y > < / b : P o i n t > < b : P o i n t > < b : _ x > 5 5 8 . 5 5 3 8 6 3 1 8 2 1 7 1 3 1 < / b : _ x > < b : _ y > 4 9 2 . 5 < / b : _ y > < / b : P o i n t > < b : P o i n t > < b : _ x > 5 5 8 . 5 5 3 8 6 3 1 8 2 1 7 1 3 1 < / b : _ x > < b : _ y > 2 9 9 . 5 < / b : _ y > < / b : P o i n t > < b : P o i n t > < b : _ x > 5 6 0 . 5 5 3 8 6 3 1 8 2 1 7 1 3 1 < / b : _ x > < b : _ y > 2 9 7 . 5 < / b : _ y > < / b : P o i n t > < b : P o i n t > < b : _ x > 5 7 5 . 8 0 7 6 2 1 1 3 5 3 3 1 8 3 < / b : _ x > < b : _ y > 2 9 7 . 5 < / b : _ y > < / b : P o i n t > < / P o i n t s > < / a : V a l u e > < / a : K e y V a l u e O f D i a g r a m O b j e c t K e y a n y T y p e z b w N T n L X > < a : K e y V a l u e O f D i a g r a m O b j e c t K e y a n y T y p e z b w N T n L X > < a : K e y > < K e y > R e l a t i o n s h i p s \ & l t ; T a b l e s \ N O N _ G e n s e t \ C o l u m n s \ R e p o r t i n g   A l i a s & g t ; - & l t ; T a b l e s \ E n t i t y \ C o l u m n s \ R e p o r t i n g   A l i a s & g t ; \ F K < / K e y > < / a : K e y > < a : V a l u e   i : t y p e = " D i a g r a m D i s p l a y L i n k E n d p o i n t V i e w S t a t e " > < L o c a t i o n   x m l n s : b = " h t t p : / / s c h e m a s . d a t a c o n t r a c t . o r g / 2 0 0 4 / 0 7 / S y s t e m . W i n d o w s " > < b : _ x > 5 3 4 . 1 3 4 2 9 5 1 0 8 9 9 2 7 7 < / b : _ x > < b : _ y > 4 9 4 . 5 < / b : _ y > < / L o c a t i o n > < S h a p e R o t a t e A n g l e > 3 6 0 < / S h a p e R o t a t e A n g l e > < / a : V a l u e > < / a : K e y V a l u e O f D i a g r a m O b j e c t K e y a n y T y p e z b w N T n L X > < a : K e y V a l u e O f D i a g r a m O b j e c t K e y a n y T y p e z b w N T n L X > < a : K e y > < K e y > R e l a t i o n s h i p s \ & l t ; T a b l e s \ N O N _ G e n s e t \ C o l u m n s \ R e p o r t i n g   A l i a s & g t ; - & l t ; T a b l e s \ E n t i t y \ C o l u m n s \ R e p o r t i n g   A l i a s & g t ; \ P K < / K e y > < / a : K e y > < a : V a l u e   i : t y p e = " D i a g r a m D i s p l a y L i n k E n d p o i n t V i e w S t a t e " > < L o c a t i o n   x m l n s : b = " h t t p : / / s c h e m a s . d a t a c o n t r a c t . o r g / 2 0 0 4 / 0 7 / S y s t e m . W i n d o w s " > < b : _ x > 5 8 3 . 8 0 7 6 2 1 1 3 5 3 3 1 8 3 < / b : _ x > < b : _ y > 2 9 7 . 5 < / b : _ y > < / L o c a t i o n > < S h a p e R o t a t e A n g l e > 1 8 0 < / S h a p e R o t a t e A n g l e > < / a : V a l u e > < / a : K e y V a l u e O f D i a g r a m O b j e c t K e y a n y T y p e z b w N T n L X > < a : K e y V a l u e O f D i a g r a m O b j e c t K e y a n y T y p e z b w N T n L X > < a : K e y > < K e y > R e l a t i o n s h i p s \ & l t ; T a b l e s \ D C _ G e n s e t \ C o l u m n s \ R e p o r t i n g   A l i a s & g t ; - & l t ; T a b l e s \ E n t i t y \ C o l u m n s \ R e p o r t i n g   A l i a s & g t ; < / K e y > < / a : K e y > < a : V a l u e   i : t y p e = " D i a g r a m D i s p l a y L i n k V i e w S t a t e " > < A u t o m a t i o n P r o p e r t y H e l p e r T e x t > E n d   p o i n t   1 :   ( 6 9 1 . 1 7 2 8 6 4 , 4 1 5 . 5 ) .   E n d   p o i n t   2 :   ( 6 8 2 . 6 7 2 8 6 4 , 3 7 3 )   < / A u t o m a t i o n P r o p e r t y H e l p e r T e x t > < L a y e d O u t > t r u e < / L a y e d O u t > < P o i n t s   x m l n s : b = " h t t p : / / s c h e m a s . d a t a c o n t r a c t . o r g / 2 0 0 4 / 0 7 / S y s t e m . W i n d o w s " > < b : P o i n t > < b : _ x > 6 9 1 . 1 7 2 8 6 4 < / b : _ x > < b : _ y > 4 1 5 . 5 < / b : _ y > < / b : P o i n t > < b : P o i n t > < b : _ x > 6 9 1 . 1 7 2 8 6 4 < / b : _ x > < b : _ y > 3 8 6 . 4 7 8 7 8 6 < / b : _ y > < / b : P o i n t > < b : P o i n t > < b : _ x > 6 8 9 . 1 7 2 8 6 4 < / b : _ x > < b : _ y > 3 8 4 . 4 7 8 7 8 6 < / b : _ y > < / b : P o i n t > < b : P o i n t > < b : _ x > 6 8 4 . 6 7 2 8 6 4 < / b : _ x > < b : _ y > 3 8 4 . 4 7 8 7 8 6 < / b : _ y > < / b : P o i n t > < b : P o i n t > < b : _ x > 6 8 2 . 6 7 2 8 6 4 < / b : _ x > < b : _ y > 3 8 2 . 4 7 8 7 8 6 < / b : _ y > < / b : P o i n t > < b : P o i n t > < b : _ x > 6 8 2 . 6 7 2 8 6 4 < / b : _ x > < b : _ y > 3 7 3 . 0 0 0 0 0 0 0 0 0 0 0 0 0 6 < / b : _ y > < / b : P o i n t > < / P o i n t s > < / a : V a l u e > < / a : K e y V a l u e O f D i a g r a m O b j e c t K e y a n y T y p e z b w N T n L X > < a : K e y V a l u e O f D i a g r a m O b j e c t K e y a n y T y p e z b w N T n L X > < a : K e y > < K e y > R e l a t i o n s h i p s \ & l t ; T a b l e s \ D C _ G e n s e t \ C o l u m n s \ R e p o r t i n g   A l i a s & g t ; - & l t ; T a b l e s \ E n t i t y \ C o l u m n s \ R e p o r t i n g   A l i a s & g t ; \ F K < / K e y > < / a : K e y > < a : V a l u e   i : t y p e = " D i a g r a m D i s p l a y L i n k E n d p o i n t V i e w S t a t e " > < L o c a t i o n   x m l n s : b = " h t t p : / / s c h e m a s . d a t a c o n t r a c t . o r g / 2 0 0 4 / 0 7 / S y s t e m . W i n d o w s " > < b : _ x > 6 9 1 . 1 7 2 8 6 4 < / b : _ x > < b : _ y > 4 2 3 . 5 < / b : _ y > < / L o c a t i o n > < S h a p e R o t a t e A n g l e > 2 7 0 < / S h a p e R o t a t e A n g l e > < / a : V a l u e > < / a : K e y V a l u e O f D i a g r a m O b j e c t K e y a n y T y p e z b w N T n L X > < a : K e y V a l u e O f D i a g r a m O b j e c t K e y a n y T y p e z b w N T n L X > < a : K e y > < K e y > R e l a t i o n s h i p s \ & l t ; T a b l e s \ D C _ G e n s e t \ C o l u m n s \ R e p o r t i n g   A l i a s & g t ; - & l t ; T a b l e s \ E n t i t y \ C o l u m n s \ R e p o r t i n g   A l i a s & g t ; \ P K < / K e y > < / a : K e y > < a : V a l u e   i : t y p e = " D i a g r a m D i s p l a y L i n k E n d p o i n t V i e w S t a t e " > < L o c a t i o n   x m l n s : b = " h t t p : / / s c h e m a s . d a t a c o n t r a c t . o r g / 2 0 0 4 / 0 7 / S y s t e m . W i n d o w s " > < b : _ x > 6 8 2 . 6 7 2 8 6 4 < / b : _ x > < b : _ y > 3 6 5 . 0 0 0 0 0 0 0 0 0 0 0 0 0 6 < / b : _ y > < / L o c a t i o n > < S h a p e R o t a t e A n g l e > 9 0 < / S h a p e R o t a t e A n g l e > < / a : V a l u e > < / a : K e y V a l u e O f D i a g r a m O b j e c t K e y a n y T y p e z b w N T n L X > < a : K e y V a l u e O f D i a g r a m O b j e c t K e y a n y T y p e z b w N T n L X > < a : K e y > < K e y > R e l a t i o n s h i p s \ & l t ; T a b l e s \ D C _ G e n s e t \ C o l u m n s \ R e p o r t i n g   A l i a s & g t ; - & l t ; T a b l e s \ G H G \ C o l u m n s \ R e p o r t i n g   A l i a s & g t ; < / K e y > < / a : K e y > < a : V a l u e   i : t y p e = " D i a g r a m D i s p l a y L i n k V i e w S t a t e " > < A u t o m a t i o n P r o p e r t y H e l p e r T e x t > E n d   p o i n t   1 :   ( 5 8 2 . 0 3 8 1 0 5 6 7 6 6 5 8 , 4 9 8 . 5 ) .   E n d   p o i n t   2 :   ( 5 3 6 , 3 1 4 )   < / A u t o m a t i o n P r o p e r t y H e l p e r T e x t > < L a y e d O u t > t r u e < / L a y e d O u t > < P o i n t s   x m l n s : b = " h t t p : / / s c h e m a s . d a t a c o n t r a c t . o r g / 2 0 0 4 / 0 7 / S y s t e m . W i n d o w s " > < b : P o i n t > < b : _ x > 5 8 2 . 0 3 8 1 0 5 6 7 6 6 5 8 2 3 < / b : _ x > < b : _ y > 4 9 8 . 5 < / b : _ y > < / b : P o i n t > < b : P o i n t > < b : _ x > 5 7 0 . 0 0 0 9 9 1 < / b : _ x > < b : _ y > 4 9 8 . 5 < / b : _ y > < / b : P o i n t > < b : P o i n t > < b : _ x > 5 6 8 . 0 0 0 9 9 1 < / b : _ x > < b : _ y > 4 9 6 . 5 < / b : _ y > < / b : P o i n t > < b : P o i n t > < b : _ x > 5 6 8 . 0 0 0 9 9 1 < / b : _ x > < b : _ y > 3 9 7 . 5 6 4 7 1 5 < / b : _ y > < / b : P o i n t > < b : P o i n t > < b : _ x > 5 6 6 . 0 0 0 9 9 1 < / b : _ x > < b : _ y > 3 9 5 . 5 6 4 7 1 5 < / b : _ y > < / b : P o i n t > < b : P o i n t > < b : _ x > 5 4 8 . 6 6 1 0 1 3 9 5 0 9 7 8 2 6 < / b : _ x > < b : _ y > 3 9 5 . 5 6 4 7 1 5 < / b : _ y > < / b : P o i n t > < b : P o i n t > < b : _ x > 5 4 6 . 6 6 1 0 1 3 9 5 0 9 7 8 2 6 < / b : _ x > < b : _ y > 3 9 3 . 5 6 4 7 1 5 < / b : _ y > < / b : P o i n t > < b : P o i n t > < b : _ x > 5 4 6 . 6 6 1 0 1 3 9 5 0 9 7 8 2 6 < / b : _ x > < b : _ y > 3 1 6 < / b : _ y > < / b : P o i n t > < b : P o i n t > < b : _ x > 5 4 4 . 6 6 1 0 1 3 9 5 0 9 7 8 2 6 < / b : _ x > < b : _ y > 3 1 4 < / b : _ y > < / b : P o i n t > < b : P o i n t > < b : _ x > 5 3 5 . 9 9 9 9 9 9 9 9 9 9 9 9 8 9 < / b : _ x > < b : _ y > 3 1 4 < / b : _ y > < / b : P o i n t > < / P o i n t s > < / a : V a l u e > < / a : K e y V a l u e O f D i a g r a m O b j e c t K e y a n y T y p e z b w N T n L X > < a : K e y V a l u e O f D i a g r a m O b j e c t K e y a n y T y p e z b w N T n L X > < a : K e y > < K e y > R e l a t i o n s h i p s \ & l t ; T a b l e s \ D C _ G e n s e t \ C o l u m n s \ R e p o r t i n g   A l i a s & g t ; - & l t ; T a b l e s \ G H G \ C o l u m n s \ R e p o r t i n g   A l i a s & g t ; \ F K < / K e y > < / a : K e y > < a : V a l u e   i : t y p e = " D i a g r a m D i s p l a y L i n k E n d p o i n t V i e w S t a t e " > < L o c a t i o n   x m l n s : b = " h t t p : / / s c h e m a s . d a t a c o n t r a c t . o r g / 2 0 0 4 / 0 7 / S y s t e m . W i n d o w s " > < b : _ x > 5 9 0 . 0 3 8 1 0 5 6 7 6 6 5 8 2 3 < / b : _ x > < b : _ y > 4 9 8 . 5 < / b : _ y > < / L o c a t i o n > < S h a p e R o t a t e A n g l e > 1 8 0 < / S h a p e R o t a t e A n g l e > < / a : V a l u e > < / a : K e y V a l u e O f D i a g r a m O b j e c t K e y a n y T y p e z b w N T n L X > < a : K e y V a l u e O f D i a g r a m O b j e c t K e y a n y T y p e z b w N T n L X > < a : K e y > < K e y > R e l a t i o n s h i p s \ & l t ; T a b l e s \ D C _ G e n s e t \ C o l u m n s \ R e p o r t i n g   A l i a s & g t ; - & l t ; T a b l e s \ G H G \ C o l u m n s \ R e p o r t i n g   A l i a s & g t ; \ P K < / K e y > < / a : K e y > < a : V a l u e   i : t y p e = " D i a g r a m D i s p l a y L i n k E n d p o i n t V i e w S t a t e " > < L o c a t i o n   x m l n s : b = " h t t p : / / s c h e m a s . d a t a c o n t r a c t . o r g / 2 0 0 4 / 0 7 / S y s t e m . W i n d o w s " > < b : _ x > 5 2 7 . 9 9 9 9 9 9 9 9 9 9 9 9 8 9 < / b : _ x > < b : _ y > 3 1 4 < / b : _ y > < / L o c a t i o n > < S h a p e R o t a t e A n g l e > 3 6 0 < / S h a p e R o t a t e A n g l e > < / a : V a l u e > < / a : K e y V a l u e O f D i a g r a m O b j e c t K e y a n y T y p e z b w N T n L X > < a : K e y V a l u e O f D i a g r a m O b j e c t K e y a n y T y p e z b w N T n L X > < a : K e y > < K e y > R e l a t i o n s h i p s \ & l t ; T a b l e s \ T e l s t r a B C A \ C o l u m n s \ R e p o r t i n g   A l i a s & g t ; - & l t ; T a b l e s \ E n t i t y \ C o l u m n s \ R e p o r t i n g   A l i a s & g t ; < / K e y > < / a : K e y > < a : V a l u e   i : t y p e = " D i a g r a m D i s p l a y L i n k V i e w S t a t e " > < A u t o m a t i o n P r o p e r t y H e l p e r T e x t > E n d   p o i n t   1 :   ( 1 0 5 5 . 7 1 1 4 3 1 7 0 3 , 8 1 ) .   E n d   p o i n t   2 :   ( 7 9 1 . 8 0 7 6 2 1 1 3 5 3 3 2 , 2 7 9 . 6 )   < / A u t o m a t i o n P r o p e r t y H e l p e r T e x t > < L a y e d O u t > t r u e < / L a y e d O u t > < P o i n t s   x m l n s : b = " h t t p : / / s c h e m a s . d a t a c o n t r a c t . o r g / 2 0 0 4 / 0 7 / S y s t e m . W i n d o w s " > < b : P o i n t > < b : _ x > 1 0 5 5 . 7 1 1 4 3 1 7 0 2 9 9 7 5 < / b : _ x > < b : _ y > 8 1 < / b : _ y > < / b : P o i n t > < b : P o i n t > < b : _ x > 1 0 4 2 . 4 0 3 8 1 0 9 8 5 9 9 9 8 < / b : _ x > < b : _ y > 8 1 < / b : _ y > < / b : P o i n t > < b : P o i n t > < b : _ x > 1 0 4 0 . 4 0 3 8 1 0 9 8 5 9 9 9 8 < / b : _ x > < b : _ y > 8 3 < / b : _ y > < / b : P o i n t > < b : P o i n t > < b : _ x > 1 0 4 0 . 4 0 3 8 1 0 9 8 5 9 9 9 8 < / b : _ x > < b : _ y > 1 7 1 . 4 2 0 4 5 5 < / b : _ y > < / b : P o i n t > < b : P o i n t > < b : _ x > 1 0 3 8 . 4 0 3 8 1 0 9 8 5 9 9 9 8 < / b : _ x > < b : _ y > 1 7 3 . 4 2 0 4 5 5 < / b : _ y > < / b : P o i n t > < b : P o i n t > < b : _ x > 8 0 7 . 2 0 5 2 3 3 1 4 1 3 7 5 7 4 < / b : _ x > < b : _ y > 1 7 3 . 4 2 0 4 5 5 < / b : _ y > < / b : P o i n t > < b : P o i n t > < b : _ x > 8 0 5 . 2 0 5 2 3 3 1 4 1 3 7 5 7 4 < / b : _ x > < b : _ y > 1 7 5 . 4 2 0 4 5 5 < / b : _ y > < / b : P o i n t > < b : P o i n t > < b : _ x > 8 0 5 . 2 0 5 2 3 3 1 4 1 3 7 5 7 4 < / b : _ x > < b : _ y > 2 7 7 . 6 < / b : _ y > < / b : P o i n t > < b : P o i n t > < b : _ x > 8 0 3 . 2 0 5 2 3 3 1 4 1 3 7 5 7 4 < / b : _ x > < b : _ y > 2 7 9 . 6 < / b : _ y > < / b : P o i n t > < b : P o i n t > < b : _ x > 7 9 1 . 8 0 7 6 2 1 1 3 5 3 3 1 8 3 < / b : _ x > < b : _ y > 2 7 9 . 6 < / b : _ y > < / b : P o i n t > < / P o i n t s > < / a : V a l u e > < / a : K e y V a l u e O f D i a g r a m O b j e c t K e y a n y T y p e z b w N T n L X > < a : K e y V a l u e O f D i a g r a m O b j e c t K e y a n y T y p e z b w N T n L X > < a : K e y > < K e y > R e l a t i o n s h i p s \ & l t ; T a b l e s \ T e l s t r a B C A \ C o l u m n s \ R e p o r t i n g   A l i a s & g t ; - & l t ; T a b l e s \ E n t i t y \ C o l u m n s \ R e p o r t i n g   A l i a s & g t ; \ F K < / K e y > < / a : K e y > < a : V a l u e   i : t y p e = " D i a g r a m D i s p l a y L i n k E n d p o i n t V i e w S t a t e " > < L o c a t i o n   x m l n s : b = " h t t p : / / s c h e m a s . d a t a c o n t r a c t . o r g / 2 0 0 4 / 0 7 / S y s t e m . W i n d o w s " > < b : _ x > 1 0 6 3 . 7 1 1 4 3 1 7 0 2 9 9 7 5 < / b : _ x > < b : _ y > 8 1 < / b : _ y > < / L o c a t i o n > < S h a p e R o t a t e A n g l e > 1 8 0 < / S h a p e R o t a t e A n g l e > < / a : V a l u e > < / a : K e y V a l u e O f D i a g r a m O b j e c t K e y a n y T y p e z b w N T n L X > < a : K e y V a l u e O f D i a g r a m O b j e c t K e y a n y T y p e z b w N T n L X > < a : K e y > < K e y > R e l a t i o n s h i p s \ & l t ; T a b l e s \ T e l s t r a B C A \ C o l u m n s \ R e p o r t i n g   A l i a s & g t ; - & l t ; T a b l e s \ E n t i t y \ C o l u m n s \ R e p o r t i n g   A l i a s & g t ; \ P K < / K e y > < / a : K e y > < a : V a l u e   i : t y p e = " D i a g r a m D i s p l a y L i n k E n d p o i n t V i e w S t a t e " > < L o c a t i o n   x m l n s : b = " h t t p : / / s c h e m a s . d a t a c o n t r a c t . o r g / 2 0 0 4 / 0 7 / S y s t e m . W i n d o w s " > < b : _ x > 7 8 3 . 8 0 7 6 2 1 1 3 5 3 3 1 8 3 < / b : _ x > < b : _ y > 2 7 9 . 6 < / b : _ y > < / L o c a t i o n > < S h a p e R o t a t e A n g l e > 3 6 0 < / S h a p e R o t a t e A n g l e > < / a : V a l u e > < / a : K e y V a l u e O f D i a g r a m O b j e c t K e y a n y T y p e z b w N T n L X > < a : K e y V a l u e O f D i a g r a m O b j e c t K e y a n y T y p e z b w N T n L X > < a : K e y > < K e y > R e l a t i o n s h i p s \ & l t ; T a b l e s \ T e l s t r a B C A \ C o l u m n s \ R e p o r t i n g   A l i a s & g t ; - & l t ; T a b l e s \ G H G \ C o l u m n s \ R e p o r t i n g   A l i a s & g t ; < / K e y > < / a : K e y > < a : V a l u e   i : t y p e = " D i a g r a m D i s p l a y L i n k V i e w S t a t e " > < A u t o m a t i o n P r o p e r t y H e l p e r T e x t > E n d   p o i n t   1 :   ( 1 0 5 5 . 7 1 1 4 3 1 7 0 3 , 6 9 ) .   E n d   p o i n t   2 :   ( 5 3 6 , 2 7 9 )   < / A u t o m a t i o n P r o p e r t y H e l p e r T e x t > < L a y e d O u t > t r u e < / L a y e d O u t > < P o i n t s   x m l n s : b = " h t t p : / / s c h e m a s . d a t a c o n t r a c t . o r g / 2 0 0 4 / 0 7 / S y s t e m . W i n d o w s " > < b : P o i n t > < b : _ x > 1 0 5 5 . 7 1 1 4 3 1 7 0 2 9 9 7 5 < / b : _ x > < b : _ y > 6 9 < / b : _ y > < / b : P o i n t > < b : P o i n t > < b : _ x > 1 0 3 7 . 4 0 3 8 1 0 9 8 5 9 9 9 8 < / b : _ x > < b : _ y > 6 9 < / b : _ y > < / b : P o i n t > < b : P o i n t > < b : _ x > 1 0 3 5 . 4 0 3 8 1 0 9 8 5 9 9 9 8 < / b : _ x > < b : _ y > 7 1 < / b : _ y > < / b : P o i n t > < b : P o i n t > < b : _ x > 1 0 3 5 . 4 0 3 8 1 0 9 8 5 9 9 9 8 < / b : _ x > < b : _ y > 1 6 6 . 9 8 8 6 3 6 < / b : _ y > < / b : P o i n t > < b : P o i n t > < b : _ x > 1 0 3 3 . 4 0 3 8 1 0 9 8 5 9 9 9 8 < / b : _ x > < b : _ y > 1 6 8 . 9 8 8 6 3 6 < / b : _ y > < / b : P o i n t > < b : P o i n t > < b : _ x > 7 9 5 . 5 2 3 7 8 1 4 9 9 9 9 9 9 3 < / b : _ x > < b : _ y > 1 6 8 . 9 8 8 6 3 6 < / b : _ y > < / b : P o i n t > < b : P o i n t > < b : _ x > 7 9 3 . 5 2 3 7 8 1 4 9 9 9 9 9 9 3 < / b : _ x > < b : _ y > 1 7 0 . 9 8 8 6 3 6 < / b : _ y > < / b : P o i n t > < b : P o i n t > < b : _ x > 7 9 3 . 5 2 3 7 8 1 4 9 9 9 9 9 9 3 < / b : _ x > < b : _ y > 1 7 5 . 8 5 2 2 7 3 < / b : _ y > < / b : P o i n t > < b : P o i n t > < b : _ x > 7 9 1 . 5 2 3 7 8 1 4 9 9 9 9 9 9 3 < / b : _ x > < b : _ y > 1 7 7 . 8 5 2 2 7 3 < / b : _ y > < / b : P o i n t > < b : P o i n t > < b : _ x > 5 5 7 . 4 9 7 5 4 4 9 7 9 4 2 6 6 1 < / b : _ x > < b : _ y > 1 7 7 . 8 5 2 2 7 3 < / b : _ y > < / b : P o i n t > < b : P o i n t > < b : _ x > 5 5 5 . 4 9 7 5 4 4 9 7 9 4 2 6 6 1 < / b : _ x > < b : _ y > 1 7 9 . 8 5 2 2 7 3 < / b : _ y > < / b : P o i n t > < b : P o i n t > < b : _ x > 5 5 5 . 4 9 7 5 4 4 9 7 9 4 2 6 6 1 < / b : _ x > < b : _ y > 2 7 7 < / b : _ y > < / b : P o i n t > < b : P o i n t > < b : _ x > 5 5 3 . 4 9 7 5 4 4 9 7 9 4 2 6 6 1 < / b : _ x > < b : _ y > 2 7 9 < / b : _ y > < / b : P o i n t > < b : P o i n t > < b : _ x > 5 3 6 < / b : _ x > < b : _ y > 2 7 9 < / b : _ y > < / b : P o i n t > < / P o i n t s > < / a : V a l u e > < / a : K e y V a l u e O f D i a g r a m O b j e c t K e y a n y T y p e z b w N T n L X > < a : K e y V a l u e O f D i a g r a m O b j e c t K e y a n y T y p e z b w N T n L X > < a : K e y > < K e y > R e l a t i o n s h i p s \ & l t ; T a b l e s \ T e l s t r a B C A \ C o l u m n s \ R e p o r t i n g   A l i a s & g t ; - & l t ; T a b l e s \ G H G \ C o l u m n s \ R e p o r t i n g   A l i a s & g t ; \ F K < / K e y > < / a : K e y > < a : V a l u e   i : t y p e = " D i a g r a m D i s p l a y L i n k E n d p o i n t V i e w S t a t e " > < L o c a t i o n   x m l n s : b = " h t t p : / / s c h e m a s . d a t a c o n t r a c t . o r g / 2 0 0 4 / 0 7 / S y s t e m . W i n d o w s " > < b : _ x > 1 0 6 3 . 7 1 1 4 3 1 7 0 2 9 9 7 5 < / b : _ x > < b : _ y > 6 9 < / b : _ y > < / L o c a t i o n > < S h a p e R o t a t e A n g l e > 1 8 0 < / S h a p e R o t a t e A n g l e > < / a : V a l u e > < / a : K e y V a l u e O f D i a g r a m O b j e c t K e y a n y T y p e z b w N T n L X > < a : K e y V a l u e O f D i a g r a m O b j e c t K e y a n y T y p e z b w N T n L X > < a : K e y > < K e y > R e l a t i o n s h i p s \ & l t ; T a b l e s \ T e l s t r a B C A \ C o l u m n s \ R e p o r t i n g   A l i a s & g t ; - & l t ; T a b l e s \ G H G \ C o l u m n s \ R e p o r t i n g   A l i a s & g t ; \ P K < / K e y > < / a : K e y > < a : V a l u e   i : t y p e = " D i a g r a m D i s p l a y L i n k E n d p o i n t V i e w S t a t e " > < L o c a t i o n   x m l n s : b = " h t t p : / / s c h e m a s . d a t a c o n t r a c t . o r g / 2 0 0 4 / 0 7 / S y s t e m . W i n d o w s " > < b : _ x > 5 2 8 < / b : _ x > < b : _ y > 2 7 9 < / b : _ y > < / L o c a t i o n > < S h a p e R o t a t e A n g l e > 3 6 0 < / S h a p e R o t a t e A n g l e > < / a : V a l u e > < / a : K e y V a l u e O f D i a g r a m O b j e c t K e y a n y T y p e z b w N T n L X > < a : K e y V a l u e O f D i a g r a m O b j e c t K e y a n y T y p e z b w N T n L X > < a : K e y > < K e y > R e l a t i o n s h i p s \ & l t ; T a b l e s \ L P _ S t a t i o n a r y \ C o l u m n s \ R e p o r t i n g   A l i a s & g t ; - & l t ; T a b l e s \ E n t i t y \ C o l u m n s \ R e p o r t i n g   A l i a s & g t ; < / K e y > < / a : K e y > < a : V a l u e   i : t y p e = " D i a g r a m D i s p l a y L i n k V i e w S t a t e " > < A u t o m a t i o n P r o p e r t y H e l p e r T e x t > E n d   p o i n t   1 :   ( 1 0 5 9 . 7 1 1 4 3 1 7 0 3 , 2 9 0 . 2 5 ) .   E n d   p o i n t   2 :   ( 7 9 1 . 8 0 7 6 2 1 1 3 5 3 3 2 , 2 8 4 . 6 )   < / A u t o m a t i o n P r o p e r t y H e l p e r T e x t > < L a y e d O u t > t r u e < / L a y e d O u t > < P o i n t s   x m l n s : b = " h t t p : / / s c h e m a s . d a t a c o n t r a c t . o r g / 2 0 0 4 / 0 7 / S y s t e m . W i n d o w s " > < b : P o i n t > < b : _ x > 1 0 5 9 . 7 1 1 4 3 1 7 0 2 9 9 7 5 < / b : _ x > < b : _ y > 2 9 0 . 2 5 < / b : _ y > < / b : P o i n t > < b : P o i n t > < b : _ x > 1 0 4 9 . 4 1 3 4 0 3 4 5 6 4 7 8 1 < / b : _ x > < b : _ y > 2 9 0 . 2 5 < / b : _ y > < / b : P o i n t > < b : P o i n t > < b : _ x > 1 0 4 7 . 4 1 3 4 0 3 4 5 6 4 7 8 1 < / b : _ x > < b : _ y > 2 8 8 . 2 5 < / b : _ y > < / b : P o i n t > < b : P o i n t > < b : _ x > 1 0 4 7 . 4 1 3 4 0 3 4 5 6 4 7 8 1 < / b : _ x > < b : _ y > 1 9 6 < / b : _ y > < / b : P o i n t > < b : P o i n t > < b : _ x > 1 0 4 5 . 4 1 3 4 0 3 4 5 6 4 7 8 1 < / b : _ x > < b : _ y > 1 9 4 < / b : _ y > < / b : P o i n t > < b : P o i n t > < b : _ x > 8 0 7 . 9 7 0 7 3 5 3 5 5 9 6 2 5 7 < / b : _ x > < b : _ y > 1 9 4 < / b : _ y > < / b : P o i n t > < b : P o i n t > < b : _ x > 8 0 5 . 9 7 0 7 3 5 3 5 5 9 6 2 5 7 < / b : _ x > < b : _ y > 1 9 6 < / b : _ y > < / b : P o i n t > < b : P o i n t > < b : _ x > 8 0 5 . 9 7 0 7 3 5 3 5 5 9 6 2 5 7 < / b : _ x > < b : _ y > 2 8 2 . 6 < / b : _ y > < / b : P o i n t > < b : P o i n t > < b : _ x > 8 0 3 . 9 7 0 7 3 5 3 5 5 9 6 2 5 7 < / b : _ x > < b : _ y > 2 8 4 . 6 < / b : _ y > < / b : P o i n t > < b : P o i n t > < b : _ x > 7 9 1 . 8 0 7 6 2 1 1 3 5 3 3 1 9 4 < / b : _ x > < b : _ y > 2 8 4 . 6 < / b : _ y > < / b : P o i n t > < / P o i n t s > < / a : V a l u e > < / a : K e y V a l u e O f D i a g r a m O b j e c t K e y a n y T y p e z b w N T n L X > < a : K e y V a l u e O f D i a g r a m O b j e c t K e y a n y T y p e z b w N T n L X > < a : K e y > < K e y > R e l a t i o n s h i p s \ & l t ; T a b l e s \ L P _ S t a t i o n a r y \ C o l u m n s \ R e p o r t i n g   A l i a s & g t ; - & l t ; T a b l e s \ E n t i t y \ C o l u m n s \ R e p o r t i n g   A l i a s & g t ; \ F K < / K e y > < / a : K e y > < a : V a l u e   i : t y p e = " D i a g r a m D i s p l a y L i n k E n d p o i n t V i e w S t a t e " > < L o c a t i o n   x m l n s : b = " h t t p : / / s c h e m a s . d a t a c o n t r a c t . o r g / 2 0 0 4 / 0 7 / S y s t e m . W i n d o w s " > < b : _ x > 1 0 6 7 . 7 1 1 4 3 1 7 0 2 9 9 7 5 < / b : _ x > < b : _ y > 2 9 0 . 2 5 < / b : _ y > < / L o c a t i o n > < S h a p e R o t a t e A n g l e > 1 8 0 < / S h a p e R o t a t e A n g l e > < / a : V a l u e > < / a : K e y V a l u e O f D i a g r a m O b j e c t K e y a n y T y p e z b w N T n L X > < a : K e y V a l u e O f D i a g r a m O b j e c t K e y a n y T y p e z b w N T n L X > < a : K e y > < K e y > R e l a t i o n s h i p s \ & l t ; T a b l e s \ L P _ S t a t i o n a r y \ C o l u m n s \ R e p o r t i n g   A l i a s & g t ; - & l t ; T a b l e s \ E n t i t y \ C o l u m n s \ R e p o r t i n g   A l i a s & g t ; \ P K < / K e y > < / a : K e y > < a : V a l u e   i : t y p e = " D i a g r a m D i s p l a y L i n k E n d p o i n t V i e w S t a t e " > < L o c a t i o n   x m l n s : b = " h t t p : / / s c h e m a s . d a t a c o n t r a c t . o r g / 2 0 0 4 / 0 7 / S y s t e m . W i n d o w s " > < b : _ x > 7 8 3 . 8 0 7 6 2 1 1 3 5 3 3 1 9 4 < / b : _ x > < b : _ y > 2 8 4 . 6 < / b : _ y > < / L o c a t i o n > < S h a p e R o t a t e A n g l e > 3 6 0 < / S h a p e R o t a t e A n g l e > < / a : V a l u e > < / a : K e y V a l u e O f D i a g r a m O b j e c t K e y a n y T y p e z b w N T n L X > < a : K e y V a l u e O f D i a g r a m O b j e c t K e y a n y T y p e z b w N T n L X > < a : K e y > < K e y > R e l a t i o n s h i p s \ & l t ; T a b l e s \ L P _ S t a t i o n a r y \ C o l u m n s \ R e p o r t i n g   A l i a s & g t ; - & l t ; T a b l e s \ G H G \ C o l u m n s \ R e p o r t i n g   A l i a s & g t ; < / K e y > < / a : K e y > < a : V a l u e   i : t y p e = " D i a g r a m D i s p l a y L i n k V i e w S t a t e " > < A u t o m a t i o n P r o p e r t y H e l p e r T e x t > E n d   p o i n t   1 :   ( 1 0 5 9 . 7 1 1 4 3 1 7 0 3 , 2 7 8 . 2 5 ) .   E n d   p o i n t   2 :   ( 5 3 6 , 2 8 4 )   < / A u t o m a t i o n P r o p e r t y H e l p e r T e x t > < L a y e d O u t > t r u e < / L a y e d O u t > < P o i n t s   x m l n s : b = " h t t p : / / s c h e m a s . d a t a c o n t r a c t . o r g / 2 0 0 4 / 0 7 / S y s t e m . W i n d o w s " > < b : P o i n t > < b : _ x > 1 0 5 9 . 7 1 1 4 3 1 7 0 2 9 9 7 5 < / b : _ x > < b : _ y > 2 7 8 . 2 5 < / b : _ y > < / b : P o i n t > < b : P o i n t > < b : _ x > 1 0 5 2 . 2 0 1 8 3 9 5 2 7 9 0 6 7 < / b : _ x > < b : _ y > 2 7 8 . 2 5 < / b : _ y > < / b : P o i n t > < b : P o i n t > < b : _ x > 1 0 5 0 . 2 0 1 8 3 9 5 2 7 9 0 6 7 < / b : _ x > < b : _ y > 2 7 6 . 2 5 < / b : _ y > < / b : P o i n t > < b : P o i n t > < b : _ x > 1 0 5 0 . 2 0 1 8 3 9 5 2 7 9 0 6 7 < / b : _ x > < b : _ y > 1 7 9 . 8 5 2 2 7 3 < / b : _ y > < / b : P o i n t > < b : P o i n t > < b : _ x > 1 0 4 8 . 2 0 1 8 3 9 5 2 7 9 0 6 7 < / b : _ x > < b : _ y > 1 7 7 . 8 5 2 2 7 3 < / b : _ y > < / b : P o i n t > < b : P o i n t > < b : _ x > 8 0 0 . 7 6 0 5 9 7 8 1 3 0 1 < / b : _ x > < b : _ y > 1 7 7 . 8 5 2 2 7 3 < / b : _ y > < / b : P o i n t > < b : P o i n t > < b : _ x > 7 9 8 . 7 6 0 5 9 7 8 1 3 0 1 < / b : _ x > < b : _ y > 1 7 9 . 8 5 2 2 7 3 < / b : _ y > < / b : P o i n t > < b : P o i n t > < b : _ x > 7 9 8 . 7 6 0 5 9 7 8 1 3 0 1 < / b : _ x > < b : _ y > 1 8 0 . 2 8 4 0 9 1 < / b : _ y > < / b : P o i n t > < b : P o i n t > < b : _ x > 7 9 6 . 7 6 0 5 9 7 8 1 3 0 1 < / b : _ x > < b : _ y > 1 8 2 . 2 8 4 0 9 1 < / b : _ y > < / b : P o i n t > < b : P o i n t > < b : _ x > 5 6 0 . 2 1 3 8 8 7 0 2 4 8 8 1 1 6 < / b : _ x > < b : _ y > 1 8 2 . 2 8 4 0 9 1 < / b : _ y > < / b : P o i n t > < b : P o i n t > < b : _ x > 5 5 8 . 2 1 3 8 8 7 0 2 4 8 8 1 1 6 < / b : _ x > < b : _ y > 1 8 4 . 2 8 4 0 9 1 < / b : _ y > < / b : P o i n t > < b : P o i n t > < b : _ x > 5 5 8 . 2 1 3 8 8 7 0 2 4 8 8 1 1 6 < / b : _ x > < b : _ y > 2 8 2 < / b : _ y > < / b : P o i n t > < b : P o i n t > < b : _ x > 5 5 6 . 2 1 3 8 8 7 0 2 4 8 8 1 1 6 < / b : _ x > < b : _ y > 2 8 4 < / b : _ y > < / b : P o i n t > < b : P o i n t > < b : _ x > 5 3 5 . 9 9 9 9 9 9 9 9 9 9 9 9 8 9 < / b : _ x > < b : _ y > 2 8 4 < / b : _ y > < / b : P o i n t > < / P o i n t s > < / a : V a l u e > < / a : K e y V a l u e O f D i a g r a m O b j e c t K e y a n y T y p e z b w N T n L X > < a : K e y V a l u e O f D i a g r a m O b j e c t K e y a n y T y p e z b w N T n L X > < a : K e y > < K e y > R e l a t i o n s h i p s \ & l t ; T a b l e s \ L P _ S t a t i o n a r y \ C o l u m n s \ R e p o r t i n g   A l i a s & g t ; - & l t ; T a b l e s \ G H G \ C o l u m n s \ R e p o r t i n g   A l i a s & g t ; \ F K < / K e y > < / a : K e y > < a : V a l u e   i : t y p e = " D i a g r a m D i s p l a y L i n k E n d p o i n t V i e w S t a t e " > < L o c a t i o n   x m l n s : b = " h t t p : / / s c h e m a s . d a t a c o n t r a c t . o r g / 2 0 0 4 / 0 7 / S y s t e m . W i n d o w s " > < b : _ x > 1 0 6 7 . 7 1 1 4 3 1 7 0 2 9 9 7 5 < / b : _ x > < b : _ y > 2 7 8 . 2 5 < / b : _ y > < / L o c a t i o n > < S h a p e R o t a t e A n g l e > 1 8 0 < / S h a p e R o t a t e A n g l e > < / a : V a l u e > < / a : K e y V a l u e O f D i a g r a m O b j e c t K e y a n y T y p e z b w N T n L X > < a : K e y V a l u e O f D i a g r a m O b j e c t K e y a n y T y p e z b w N T n L X > < a : K e y > < K e y > R e l a t i o n s h i p s \ & l t ; T a b l e s \ L P _ S t a t i o n a r y \ C o l u m n s \ R e p o r t i n g   A l i a s & g t ; - & l t ; T a b l e s \ G H G \ C o l u m n s \ R e p o r t i n g   A l i a s & g t ; \ P K < / K e y > < / a : K e y > < a : V a l u e   i : t y p e = " D i a g r a m D i s p l a y L i n k E n d p o i n t V i e w S t a t e " > < L o c a t i o n   x m l n s : b = " h t t p : / / s c h e m a s . d a t a c o n t r a c t . o r g / 2 0 0 4 / 0 7 / S y s t e m . W i n d o w s " > < b : _ x > 5 2 7 . 9 9 9 9 9 9 9 9 9 9 9 9 8 9 < / b : _ x > < b : _ y > 2 8 4 < / b : _ y > < / L o c a t i o n > < S h a p e R o t a t e A n g l e > 3 6 0 < / S h a p e R o t a t e A n g l e > < / a : V a l u e > < / a : K e y V a l u e O f D i a g r a m O b j e c t K e y a n y T y p e z b w N T n L X > < a : K e y V a l u e O f D i a g r a m O b j e c t K e y a n y T y p e z b w N T n L X > < a : K e y > < K e y > R e l a t i o n s h i p s \ & l t ; T a b l e s \ S u m m a r y \ C o l u m n s \ R e p o r t i n g   A l i a s & g t ; - & l t ; T a b l e s \ E n t i t y \ C o l u m n s \ R e p o r t i n g   A l i a s & g t ; < / K e y > < / a : K e y > < a : V a l u e   i : t y p e = " D i a g r a m D i s p l a y L i n k V i e w S t a t e " > < A u t o m a t i o n P r o p e r t y H e l p e r T e x t > E n d   p o i n t   1 :   ( 1 0 5 9 . 7 1 1 4 3 1 7 0 3 , 4 9 4 . 2 5 ) .   E n d   p o i n t   2 :   ( 7 9 1 . 8 0 7 6 2 1 1 3 5 3 3 2 , 2 9 4 . 6 )   < / A u t o m a t i o n P r o p e r t y H e l p e r T e x t > < L a y e d O u t > t r u e < / L a y e d O u t > < P o i n t s   x m l n s : b = " h t t p : / / s c h e m a s . d a t a c o n t r a c t . o r g / 2 0 0 4 / 0 7 / S y s t e m . W i n d o w s " > < b : P o i n t > < b : _ x > 1 0 5 9 . 7 1 1 4 3 1 7 0 2 9 9 7 5 < / b : _ x > < b : _ y > 4 9 4 . 2 5 < / b : _ y > < / b : P o i n t > < b : P o i n t > < b : _ x > 1 0 5 3 . 7 5 9 5 2 6 4 9 9 0 4 8 < / b : _ x > < b : _ y > 4 9 4 . 2 5 < / b : _ y > < / b : P o i n t > < b : P o i n t > < b : _ x > 1 0 5 1 . 7 5 9 5 2 6 4 9 9 0 4 8 < / b : _ x > < b : _ y > 4 9 2 . 2 5 < / b : _ y > < / b : P o i n t > < b : P o i n t > < b : _ x > 1 0 5 1 . 7 5 9 5 2 6 4 9 9 0 4 8 < / b : _ x > < b : _ y > 3 8 6 . 7 0 2 3 7 6 < / b : _ y > < / b : P o i n t > < b : P o i n t > < b : _ x > 1 0 4 9 . 7 5 9 5 2 6 4 9 9 0 4 8 < / b : _ x > < b : _ y > 3 8 4 . 7 0 2 3 7 6 < / b : _ y > < / b : P o i n t > < b : P o i n t > < b : _ x > 8 1 5 . 8 9 5 9 2 1 3 4 8 4 3 6 9 < / b : _ x > < b : _ y > 3 8 4 . 7 0 2 3 7 6 < / b : _ y > < / b : P o i n t > < b : P o i n t > < b : _ x > 8 1 3 . 8 9 5 9 2 1 3 4 8 4 3 6 9 < / b : _ x > < b : _ y > 3 8 2 . 7 0 2 3 7 6 < / b : _ y > < / b : P o i n t > < b : P o i n t > < b : _ x > 8 1 3 . 8 9 5 9 2 1 3 4 8 4 3 6 9 < / b : _ x > < b : _ y > 2 9 6 . 6 < / b : _ y > < / b : P o i n t > < b : P o i n t > < b : _ x > 8 1 1 . 8 9 5 9 2 1 3 4 8 4 3 6 9 < / b : _ x > < b : _ y > 2 9 4 . 6 < / b : _ y > < / b : P o i n t > < b : P o i n t > < b : _ x > 7 9 1 . 8 0 7 6 2 1 1 3 5 3 3 1 7 1 < / b : _ x > < b : _ y > 2 9 4 . 6 < / b : _ y > < / b : P o i n t > < / P o i n t s > < / a : V a l u e > < / a : K e y V a l u e O f D i a g r a m O b j e c t K e y a n y T y p e z b w N T n L X > < a : K e y V a l u e O f D i a g r a m O b j e c t K e y a n y T y p e z b w N T n L X > < a : K e y > < K e y > R e l a t i o n s h i p s \ & l t ; T a b l e s \ S u m m a r y \ C o l u m n s \ R e p o r t i n g   A l i a s & g t ; - & l t ; T a b l e s \ E n t i t y \ C o l u m n s \ R e p o r t i n g   A l i a s & g t ; \ F K < / K e y > < / a : K e y > < a : V a l u e   i : t y p e = " D i a g r a m D i s p l a y L i n k E n d p o i n t V i e w S t a t e " > < L o c a t i o n   x m l n s : b = " h t t p : / / s c h e m a s . d a t a c o n t r a c t . o r g / 2 0 0 4 / 0 7 / S y s t e m . W i n d o w s " > < b : _ x > 1 0 6 7 . 7 1 1 4 3 1 7 0 2 9 9 7 5 < / b : _ x > < b : _ y > 4 9 4 . 2 5 < / b : _ y > < / L o c a t i o n > < S h a p e R o t a t e A n g l e > 1 8 0 < / S h a p e R o t a t e A n g l e > < / a : V a l u e > < / a : K e y V a l u e O f D i a g r a m O b j e c t K e y a n y T y p e z b w N T n L X > < a : K e y V a l u e O f D i a g r a m O b j e c t K e y a n y T y p e z b w N T n L X > < a : K e y > < K e y > R e l a t i o n s h i p s \ & l t ; T a b l e s \ S u m m a r y \ C o l u m n s \ R e p o r t i n g   A l i a s & g t ; - & l t ; T a b l e s \ E n t i t y \ C o l u m n s \ R e p o r t i n g   A l i a s & g t ; \ P K < / K e y > < / a : K e y > < a : V a l u e   i : t y p e = " D i a g r a m D i s p l a y L i n k E n d p o i n t V i e w S t a t e " > < L o c a t i o n   x m l n s : b = " h t t p : / / s c h e m a s . d a t a c o n t r a c t . o r g / 2 0 0 4 / 0 7 / S y s t e m . W i n d o w s " > < b : _ x > 7 8 3 . 8 0 7 6 2 1 1 3 5 3 3 1 7 1 < / b : _ x > < b : _ y > 2 9 4 . 6 < / b : _ y > < / L o c a t i o n > < S h a p e R o t a t e A n g l e > 3 6 0 < / S h a p e R o t a t e A n g l e > < / a : V a l u e > < / a : K e y V a l u e O f D i a g r a m O b j e c t K e y a n y T y p e z b w N T n L X > < a : K e y V a l u e O f D i a g r a m O b j e c t K e y a n y T y p e z b w N T n L X > < a : K e y > < K e y > R e l a t i o n s h i p s \ & l t ; T a b l e s \ S a v i n g s _ D a t a \ C o l u m n s \ R e p o r t i n g   A l i a s & g t ; - & l t ; T a b l e s \ G H G \ C o l u m n s \ R e p o r t i n g   A l i a s & g t ; < / K e y > < / a : K e y > < a : V a l u e   i : t y p e = " D i a g r a m D i s p l a y L i n k V i e w S t a t e " > < A u t o m a t i o n P r o p e r t y H e l p e r T e x t > E n d   p o i n t   1 :   ( 1 2 9 2 . 5 1 9 0 5 2 8 3 8 3 3 , 4 9 2 . 2 5 ) .   E n d   p o i n t   2 :   ( 5 3 6 , 2 9 4 )   < / A u t o m a t i o n P r o p e r t y H e l p e r T e x t > < L a y e d O u t > t r u e < / L a y e d O u t > < P o i n t s   x m l n s : b = " h t t p : / / s c h e m a s . d a t a c o n t r a c t . o r g / 2 0 0 4 / 0 7 / S y s t e m . W i n d o w s " > < b : P o i n t > < b : _ x > 1 2 9 2 . 5 1 9 0 5 2 8 3 8 3 2 9 1 < / b : _ x > < b : _ y > 4 9 2 . 2 5 < / b : _ y > < / b : P o i n t > < b : P o i n t > < b : _ x > 1 2 8 6 . 1 1 5 2 4 2 4 9 8 5 9 6 2 < / b : _ x > < b : _ y > 4 9 2 . 2 5 < / b : _ y > < / b : P o i n t > < b : P o i n t > < b : _ x > 1 2 8 4 . 1 1 5 2 4 2 4 9 8 5 9 6 2 < / b : _ x > < b : _ y > 4 9 0 . 2 5 < / b : _ y > < / b : P o i n t > < b : P o i n t > < b : _ x > 1 2 8 4 . 1 1 5 2 4 2 4 9 8 5 9 6 2 < / b : _ x > < b : _ y > 3 8 8 . 8 7 4 8 4 4 < / b : _ y > < / b : P o i n t > < b : P o i n t > < b : _ x > 1 2 8 2 . 1 1 5 2 4 2 4 9 8 5 9 6 2 < / b : _ x > < b : _ y > 3 8 6 . 8 7 4 8 4 4 < / b : _ y > < / b : P o i n t > < b : P o i n t > < b : _ x > 5 5 3 . 8 7 7 7 1 7 9 7 0 3 0 1 < / b : _ x > < b : _ y > 3 8 6 . 8 7 4 8 4 4 < / b : _ y > < / b : P o i n t > < b : P o i n t > < b : _ x > 5 5 1 . 8 7 7 7 1 7 9 7 0 3 0 1 < / b : _ x > < b : _ y > 3 8 4 . 8 7 4 8 4 4 < / b : _ y > < / b : P o i n t > < b : P o i n t > < b : _ x > 5 5 1 . 8 7 7 7 1 7 9 7 0 3 0 1 < / b : _ x > < b : _ y > 2 9 6 < / b : _ y > < / b : P o i n t > < b : P o i n t > < b : _ x > 5 4 9 . 8 7 7 7 1 7 9 7 0 3 0 1 < / b : _ x > < b : _ y > 2 9 4 < / b : _ y > < / b : P o i n t > < b : P o i n t > < b : _ x > 5 3 6 . 0 0 0 0 0 0 0 0 0 0 0 0 1 1 < / b : _ x > < b : _ y > 2 9 4 < / b : _ y > < / b : P o i n t > < / P o i n t s > < / a : V a l u e > < / a : K e y V a l u e O f D i a g r a m O b j e c t K e y a n y T y p e z b w N T n L X > < a : K e y V a l u e O f D i a g r a m O b j e c t K e y a n y T y p e z b w N T n L X > < a : K e y > < K e y > R e l a t i o n s h i p s \ & l t ; T a b l e s \ S a v i n g s _ D a t a \ C o l u m n s \ R e p o r t i n g   A l i a s & g t ; - & l t ; T a b l e s \ G H G \ C o l u m n s \ R e p o r t i n g   A l i a s & g t ; \ F K < / K e y > < / a : K e y > < a : V a l u e   i : t y p e = " D i a g r a m D i s p l a y L i n k E n d p o i n t V i e w S t a t e " > < L o c a t i o n   x m l n s : b = " h t t p : / / s c h e m a s . d a t a c o n t r a c t . o r g / 2 0 0 4 / 0 7 / S y s t e m . W i n d o w s " > < b : _ x > 1 3 0 0 . 5 1 9 0 5 2 8 3 8 3 2 9 1 < / b : _ x > < b : _ y > 4 9 2 . 2 5 < / b : _ y > < / L o c a t i o n > < S h a p e R o t a t e A n g l e > 1 8 0 < / S h a p e R o t a t e A n g l e > < / a : V a l u e > < / a : K e y V a l u e O f D i a g r a m O b j e c t K e y a n y T y p e z b w N T n L X > < a : K e y V a l u e O f D i a g r a m O b j e c t K e y a n y T y p e z b w N T n L X > < a : K e y > < K e y > R e l a t i o n s h i p s \ & l t ; T a b l e s \ S a v i n g s _ D a t a \ C o l u m n s \ R e p o r t i n g   A l i a s & g t ; - & l t ; T a b l e s \ G H G \ C o l u m n s \ R e p o r t i n g   A l i a s & g t ; \ P K < / K e y > < / a : K e y > < a : V a l u e   i : t y p e = " D i a g r a m D i s p l a y L i n k E n d p o i n t V i e w S t a t e " > < L o c a t i o n   x m l n s : b = " h t t p : / / s c h e m a s . d a t a c o n t r a c t . o r g / 2 0 0 4 / 0 7 / S y s t e m . W i n d o w s " > < b : _ x > 5 2 8 . 0 0 0 0 0 0 0 0 0 0 0 0 1 1 < / b : _ x > < b : _ y > 2 9 4 < / b : _ y > < / L o c a t i o n > < S h a p e R o t a t e A n g l e > 3 6 0 < / S h a p e R o t a t e A n g l e > < / a : V a l u e > < / a : K e y V a l u e O f D i a g r a m O b j e c t K e y a n y T y p e z b w N T n L X > < / V i e w S t a t e s > < / D i a g r a m M a n a g e r . S e r i a l i z a b l e D i a g r a m > < D i a g r a m M a n a g e r . S e r i a l i z a b l e D i a g r a m > < A d a p t e r   i : t y p e = " M e a s u r e D i a g r a m S a n d b o x A d a p t e r " > < T a b l e N a m e > A V I S 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 A V I S < / 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 1 3 < / K e y > < / D i a g r a m O b j e c t K e y > < D i a g r a m O b j e c t K e y > < K e y > M e a s u r e s \ S u m   o f   C o n s u m p t i o n   Q u a n t i t y   1 3 \ T a g I n f o \ F o r m u l a < / K e y > < / D i a g r a m O b j e c t K e y > < D i a g r a m O b j e c t K e y > < K e y > M e a s u r e s \ S u m   o f   C o n s u m p t i o n   Q u a n t i t y   1 3 \ T a g I n f o \ V a l u e < / K e y > < / D i a g r a m O b j e c t K e y > < D i a g r a m O b j e c t K e y > < K e y > M e a s u r e s \ S u m   o f   T o t a l   G J   8 < / K e y > < / D i a g r a m O b j e c t K e y > < D i a g r a m O b j e c t K e y > < K e y > M e a s u r e s \ S u m   o f   T o t a l   G J   8 \ T a g I n f o \ F o r m u l a < / K e y > < / D i a g r a m O b j e c t K e y > < D i a g r a m O b j e c t K e y > < K e y > M e a s u r e s \ S u m   o f   T o t a l   G J   8 \ T a g I n f o \ V a l u e < / K e y > < / D i a g r a m O b j e c t K e y > < D i a g r a m O b j e c t K e y > < K e y > M e a s u r e s \ S u m   o f   S c o p e   1   k g   C O 2 - e   8 < / K e y > < / D i a g r a m O b j e c t K e y > < D i a g r a m O b j e c t K e y > < K e y > M e a s u r e s \ S u m   o f   S c o p e   1   k g   C O 2 - e   8 \ T a g I n f o \ F o r m u l a < / K e y > < / D i a g r a m O b j e c t K e y > < D i a g r a m O b j e c t K e y > < K e y > M e a s u r e s \ S u m   o f   S c o p e   1   k g   C O 2 - e   8 \ T a g I n f o \ V a l u e < / K e y > < / D i a g r a m O b j e c t K e y > < D i a g r a m O b j e c t K e y > < K e y > M e a s u r e s \ S u m   o f   S c o p e   2   k g   C O 2 - e   8 < / K e y > < / D i a g r a m O b j e c t K e y > < D i a g r a m O b j e c t K e y > < K e y > M e a s u r e s \ S u m   o f   S c o p e   2   k g   C O 2 - e   8 \ T a g I n f o \ F o r m u l a < / K e y > < / D i a g r a m O b j e c t K e y > < D i a g r a m O b j e c t K e y > < K e y > M e a s u r e s \ S u m   o f   S c o p e   2   k g   C O 2 - e   8 \ T a g I n f o \ V a l u e < / K e y > < / D i a g r a m O b j e c t K e y > < D i a g r a m O b j e c t K e y > < K e y > M e a s u r e s \ S u m   o f   S c o p e   3   k g   C O 2 - e   8 < / K e y > < / D i a g r a m O b j e c t K e y > < D i a g r a m O b j e c t K e y > < K e y > M e a s u r e s \ S u m   o f   S c o p e   3   k g   C O 2 - e   8 \ T a g I n f o \ F o r m u l a < / K e y > < / D i a g r a m O b j e c t K e y > < D i a g r a m O b j e c t K e y > < K e y > M e a s u r e s \ S u m   o f   S c o p e   3   k g   C O 2 - e   8 \ T a g I n f o \ V a l u e < / K e y > < / D i a g r a m O b j e c t K e y > < D i a g r a m O b j e c t K e y > < K e y > M e a s u r e s \ S u m   o f   T o t a l   E m i s s i o n s   8 < / K e y > < / D i a g r a m O b j e c t K e y > < D i a g r a m O b j e c t K e y > < K e y > M e a s u r e s \ S u m   o f   T o t a l   E m i s s i o n s   8 \ T a g I n f o \ F o r m u l a < / K e y > < / D i a g r a m O b j e c t K e y > < D i a g r a m O b j e c t K e y > < K e y > M e a s u r e s \ S u m   o f   T o t a l   E m i s s i o n s   8 \ T a g I n f o \ V a l u e < / K e y > < / D i a g r a m O b j e c t K e y > < D i a g r a m O b j e c t K e y > < K e y > C o l u m n s \ R e p o r t i n g   A l i a s < / K e y > < / D i a g r a m O b j e c t K e y > < D i a g r a m O b j e c t K e y > < K e y > C o l u m n s \ S o u r c e   N a m e < / K e y > < / D i a g r a m O b j e c t K e y > < D i a g r a m O b j e c t K e y > < K e y > C o l u m n s \ A c t i v i t y   T y p e < / K e y > < / D i a g r a m O b j e c t K e y > < D i a g r a m O b j e c t K e y > < K e y > C o l u m n s \ A c t i v i t y   T y p e   C o n t e x t < / K e y > < / D i a g r a m O b j e c t K e y > < D i a g r a m O b j e c t K e y > < K e y > C o l u m n s \ E n t i t y < / K e y > < / D i a g r a m O b j e c t K e y > < D i a g r a m O b j e c t K e y > < K e y > C o l u m n s \ F u e l < / K e y > < / D i a g r a m O b j e c t K e y > < D i a g r a m O b j e c t K e y > < K e y > C o l u m n s \ S t a t e < / K e y > < / D i a g r a m O b j e c t K e y > < D i a g r a m O b j e c t K e y > < K e y > C o l u m n s \ C o n s u m p t i o n   Q u a n t i t y   ( L ) < / K e y > < / D i a g r a m O b j e c t K e y > < D i a g r a m O b j e c t K e y > < K e y > C o l u m n s \ C o n s u m p t i o n 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 1 3 & g t ; - & l t ; M e a s u r e s \ C o n s u m p t i o n   Q u a n t i t y & g t ; < / K e y > < / D i a g r a m O b j e c t K e y > < D i a g r a m O b j e c t K e y > < K e y > L i n k s \ & l t ; C o l u m n s \ S u m   o f   C o n s u m p t i o n   Q u a n t i t y   1 3 & g t ; - & l t ; M e a s u r e s \ C o n s u m p t i o n   Q u a n t i t y & g t ; \ C O L U M N < / K e y > < / D i a g r a m O b j e c t K e y > < D i a g r a m O b j e c t K e y > < K e y > L i n k s \ & l t ; C o l u m n s \ S u m   o f   C o n s u m p t i o n   Q u a n t i t y   1 3 & g t ; - & l t ; M e a s u r e s \ C o n s u m p t i o n   Q u a n t i t y & g t ; \ M E A S U R E < / K e y > < / D i a g r a m O b j e c t K e y > < D i a g r a m O b j e c t K e y > < K e y > L i n k s \ & l t ; C o l u m n s \ S u m   o f   T o t a l   G J   8 & g t ; - & l t ; M e a s u r e s \ T o t a l   G J & g t ; < / K e y > < / D i a g r a m O b j e c t K e y > < D i a g r a m O b j e c t K e y > < K e y > L i n k s \ & l t ; C o l u m n s \ S u m   o f   T o t a l   G J   8 & g t ; - & l t ; M e a s u r e s \ T o t a l   G J & g t ; \ C O L U M N < / K e y > < / D i a g r a m O b j e c t K e y > < D i a g r a m O b j e c t K e y > < K e y > L i n k s \ & l t ; C o l u m n s \ S u m   o f   T o t a l   G J   8 & g t ; - & l t ; M e a s u r e s \ T o t a l   G J & g t ; \ M E A S U R E < / K e y > < / D i a g r a m O b j e c t K e y > < D i a g r a m O b j e c t K e y > < K e y > L i n k s \ & l t ; C o l u m n s \ S u m   o f   S c o p e   1   k g   C O 2 - e   8 & g t ; - & l t ; M e a s u r e s \ S c o p e   1   k g   C O 2 - e & g t ; < / K e y > < / D i a g r a m O b j e c t K e y > < D i a g r a m O b j e c t K e y > < K e y > L i n k s \ & l t ; C o l u m n s \ S u m   o f   S c o p e   1   k g   C O 2 - e   8 & g t ; - & l t ; M e a s u r e s \ S c o p e   1   k g   C O 2 - e & g t ; \ C O L U M N < / K e y > < / D i a g r a m O b j e c t K e y > < D i a g r a m O b j e c t K e y > < K e y > L i n k s \ & l t ; C o l u m n s \ S u m   o f   S c o p e   1   k g   C O 2 - e   8 & g t ; - & l t ; M e a s u r e s \ S c o p e   1   k g   C O 2 - e & g t ; \ M E A S U R E < / K e y > < / D i a g r a m O b j e c t K e y > < D i a g r a m O b j e c t K e y > < K e y > L i n k s \ & l t ; C o l u m n s \ S u m   o f   S c o p e   2   k g   C O 2 - e   8 & g t ; - & l t ; M e a s u r e s \ S c o p e   2   k g   C O 2 - e & g t ; < / K e y > < / D i a g r a m O b j e c t K e y > < D i a g r a m O b j e c t K e y > < K e y > L i n k s \ & l t ; C o l u m n s \ S u m   o f   S c o p e   2   k g   C O 2 - e   8 & g t ; - & l t ; M e a s u r e s \ S c o p e   2   k g   C O 2 - e & g t ; \ C O L U M N < / K e y > < / D i a g r a m O b j e c t K e y > < D i a g r a m O b j e c t K e y > < K e y > L i n k s \ & l t ; C o l u m n s \ S u m   o f   S c o p e   2   k g   C O 2 - e   8 & g t ; - & l t ; M e a s u r e s \ S c o p e   2   k g   C O 2 - e & g t ; \ M E A S U R E < / K e y > < / D i a g r a m O b j e c t K e y > < D i a g r a m O b j e c t K e y > < K e y > L i n k s \ & l t ; C o l u m n s \ S u m   o f   S c o p e   3   k g   C O 2 - e   8 & g t ; - & l t ; M e a s u r e s \ S c o p e   3   k g   C O 2 - e & g t ; < / K e y > < / D i a g r a m O b j e c t K e y > < D i a g r a m O b j e c t K e y > < K e y > L i n k s \ & l t ; C o l u m n s \ S u m   o f   S c o p e   3   k g   C O 2 - e   8 & g t ; - & l t ; M e a s u r e s \ S c o p e   3   k g   C O 2 - e & g t ; \ C O L U M N < / K e y > < / D i a g r a m O b j e c t K e y > < D i a g r a m O b j e c t K e y > < K e y > L i n k s \ & l t ; C o l u m n s \ S u m   o f   S c o p e   3   k g   C O 2 - e   8 & g t ; - & l t ; M e a s u r e s \ S c o p e   3   k g   C O 2 - e & g t ; \ M E A S U R E < / K e y > < / D i a g r a m O b j e c t K e y > < D i a g r a m O b j e c t K e y > < K e y > L i n k s \ & l t ; C o l u m n s \ S u m   o f   T o t a l   E m i s s i o n s   8 & g t ; - & l t ; M e a s u r e s \ T o t a l   E m i s s i o n s & g t ; < / K e y > < / D i a g r a m O b j e c t K e y > < D i a g r a m O b j e c t K e y > < K e y > L i n k s \ & l t ; C o l u m n s \ S u m   o f   T o t a l   E m i s s i o n s   8 & g t ; - & l t ; M e a s u r e s \ T o t a l   E m i s s i o n s & g t ; \ C O L U M N < / K e y > < / D i a g r a m O b j e c t K e y > < D i a g r a m O b j e c t K e y > < K e y > L i n k s \ & l t ; C o l u m n s \ S u m   o f   T o t a l   E m i s s i o n s   8 & g t ; - & l t ; M e a s u r e s \ T o t a l 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 1 3 < / K e y > < / a : K e y > < a : V a l u e   i : t y p e = " M e a s u r e G r i d N o d e V i e w S t a t e " > < C o l u m n > 9 < / C o l u m n > < L a y e d O u t > t r u e < / L a y e d O u t > < W a s U I I n v i s i b l e > t r u e < / W a s U I I n v i s i b l e > < / a : V a l u e > < / a : K e y V a l u e O f D i a g r a m O b j e c t K e y a n y T y p e z b w N T n L X > < a : K e y V a l u e O f D i a g r a m O b j e c t K e y a n y T y p e z b w N T n L X > < a : K e y > < K e y > M e a s u r e s \ S u m   o f   C o n s u m p t i o n   Q u a n t i t y   1 3 \ T a g I n f o \ F o r m u l a < / K e y > < / a : K e y > < a : V a l u e   i : t y p e = " M e a s u r e G r i d V i e w S t a t e I D i a g r a m T a g A d d i t i o n a l I n f o " / > < / a : K e y V a l u e O f D i a g r a m O b j e c t K e y a n y T y p e z b w N T n L X > < a : K e y V a l u e O f D i a g r a m O b j e c t K e y a n y T y p e z b w N T n L X > < a : K e y > < K e y > M e a s u r e s \ S u m   o f   C o n s u m p t i o n   Q u a n t i t y   1 3 \ T a g I n f o \ V a l u e < / K e y > < / a : K e y > < a : V a l u e   i : t y p e = " M e a s u r e G r i d V i e w S t a t e I D i a g r a m T a g A d d i t i o n a l I n f o " / > < / a : K e y V a l u e O f D i a g r a m O b j e c t K e y a n y T y p e z b w N T n L X > < a : K e y V a l u e O f D i a g r a m O b j e c t K e y a n y T y p e z b w N T n L X > < a : K e y > < K e y > M e a s u r e s \ S u m   o f   T o t a l   G J   8 < / K e y > < / a : K e y > < a : V a l u e   i : t y p e = " M e a s u r e G r i d N o d e V i e w S t a t e " > < C o l u m n > 1 0 < / C o l u m n > < L a y e d O u t > t r u e < / L a y e d O u t > < W a s U I I n v i s i b l e > t r u e < / W a s U I I n v i s i b l e > < / a : V a l u e > < / a : K e y V a l u e O f D i a g r a m O b j e c t K e y a n y T y p e z b w N T n L X > < a : K e y V a l u e O f D i a g r a m O b j e c t K e y a n y T y p e z b w N T n L X > < a : K e y > < K e y > M e a s u r e s \ S u m   o f   T o t a l   G J   8 \ T a g I n f o \ F o r m u l a < / K e y > < / a : K e y > < a : V a l u e   i : t y p e = " M e a s u r e G r i d V i e w S t a t e I D i a g r a m T a g A d d i t i o n a l I n f o " / > < / a : K e y V a l u e O f D i a g r a m O b j e c t K e y a n y T y p e z b w N T n L X > < a : K e y V a l u e O f D i a g r a m O b j e c t K e y a n y T y p e z b w N T n L X > < a : K e y > < K e y > M e a s u r e s \ S u m   o f   T o t a l   G J   8 \ T a g I n f o \ V a l u e < / K e y > < / a : K e y > < a : V a l u e   i : t y p e = " M e a s u r e G r i d V i e w S t a t e I D i a g r a m T a g A d d i t i o n a l I n f o " / > < / a : K e y V a l u e O f D i a g r a m O b j e c t K e y a n y T y p e z b w N T n L X > < a : K e y V a l u e O f D i a g r a m O b j e c t K e y a n y T y p e z b w N T n L X > < a : K e y > < K e y > M e a s u r e s \ S u m   o f   S c o p e   1   k g   C O 2 - e   8 < / K e y > < / a : K e y > < a : V a l u e   i : t y p e = " M e a s u r e G r i d N o d e V i e w S t a t e " > < C o l u m n > 1 1 < / C o l u m n > < L a y e d O u t > t r u e < / L a y e d O u t > < W a s U I I n v i s i b l e > t r u e < / W a s U I I n v i s i b l e > < / a : V a l u e > < / a : K e y V a l u e O f D i a g r a m O b j e c t K e y a n y T y p e z b w N T n L X > < a : K e y V a l u e O f D i a g r a m O b j e c t K e y a n y T y p e z b w N T n L X > < a : K e y > < K e y > M e a s u r e s \ S u m   o f   S c o p e   1   k g   C O 2 - e   8 \ T a g I n f o \ F o r m u l a < / K e y > < / a : K e y > < a : V a l u e   i : t y p e = " M e a s u r e G r i d V i e w S t a t e I D i a g r a m T a g A d d i t i o n a l I n f o " / > < / a : K e y V a l u e O f D i a g r a m O b j e c t K e y a n y T y p e z b w N T n L X > < a : K e y V a l u e O f D i a g r a m O b j e c t K e y a n y T y p e z b w N T n L X > < a : K e y > < K e y > M e a s u r e s \ S u m   o f   S c o p e   1   k g   C O 2 - e   8 \ T a g I n f o \ V a l u e < / K e y > < / a : K e y > < a : V a l u e   i : t y p e = " M e a s u r e G r i d V i e w S t a t e I D i a g r a m T a g A d d i t i o n a l I n f o " / > < / a : K e y V a l u e O f D i a g r a m O b j e c t K e y a n y T y p e z b w N T n L X > < a : K e y V a l u e O f D i a g r a m O b j e c t K e y a n y T y p e z b w N T n L X > < a : K e y > < K e y > M e a s u r e s \ S u m   o f   S c o p e   2   k g   C O 2 - e   8 < / K e y > < / a : K e y > < a : V a l u e   i : t y p e = " M e a s u r e G r i d N o d e V i e w S t a t e " > < C o l u m n > 1 2 < / C o l u m n > < L a y e d O u t > t r u e < / L a y e d O u t > < W a s U I I n v i s i b l e > t r u e < / W a s U I I n v i s i b l e > < / a : V a l u e > < / a : K e y V a l u e O f D i a g r a m O b j e c t K e y a n y T y p e z b w N T n L X > < a : K e y V a l u e O f D i a g r a m O b j e c t K e y a n y T y p e z b w N T n L X > < a : K e y > < K e y > M e a s u r e s \ S u m   o f   S c o p e   2   k g   C O 2 - e   8 \ T a g I n f o \ F o r m u l a < / K e y > < / a : K e y > < a : V a l u e   i : t y p e = " M e a s u r e G r i d V i e w S t a t e I D i a g r a m T a g A d d i t i o n a l I n f o " / > < / a : K e y V a l u e O f D i a g r a m O b j e c t K e y a n y T y p e z b w N T n L X > < a : K e y V a l u e O f D i a g r a m O b j e c t K e y a n y T y p e z b w N T n L X > < a : K e y > < K e y > M e a s u r e s \ S u m   o f   S c o p e   2   k g   C O 2 - e   8 \ T a g I n f o \ V a l u e < / K e y > < / a : K e y > < a : V a l u e   i : t y p e = " M e a s u r e G r i d V i e w S t a t e I D i a g r a m T a g A d d i t i o n a l I n f o " / > < / a : K e y V a l u e O f D i a g r a m O b j e c t K e y a n y T y p e z b w N T n L X > < a : K e y V a l u e O f D i a g r a m O b j e c t K e y a n y T y p e z b w N T n L X > < a : K e y > < K e y > M e a s u r e s \ S u m   o f   S c o p e   3   k g   C O 2 - e   8 < / K e y > < / a : K e y > < a : V a l u e   i : t y p e = " M e a s u r e G r i d N o d e V i e w S t a t e " > < C o l u m n > 1 3 < / C o l u m n > < L a y e d O u t > t r u e < / L a y e d O u t > < W a s U I I n v i s i b l e > t r u e < / W a s U I I n v i s i b l e > < / a : V a l u e > < / a : K e y V a l u e O f D i a g r a m O b j e c t K e y a n y T y p e z b w N T n L X > < a : K e y V a l u e O f D i a g r a m O b j e c t K e y a n y T y p e z b w N T n L X > < a : K e y > < K e y > M e a s u r e s \ S u m   o f   S c o p e   3   k g   C O 2 - e   8 \ T a g I n f o \ F o r m u l a < / K e y > < / a : K e y > < a : V a l u e   i : t y p e = " M e a s u r e G r i d V i e w S t a t e I D i a g r a m T a g A d d i t i o n a l I n f o " / > < / a : K e y V a l u e O f D i a g r a m O b j e c t K e y a n y T y p e z b w N T n L X > < a : K e y V a l u e O f D i a g r a m O b j e c t K e y a n y T y p e z b w N T n L X > < a : K e y > < K e y > M e a s u r e s \ S u m   o f   S c o p e   3   k g   C O 2 - e   8 \ T a g I n f o \ V a l u e < / K e y > < / a : K e y > < a : V a l u e   i : t y p e = " M e a s u r e G r i d V i e w S t a t e I D i a g r a m T a g A d d i t i o n a l I n f o " / > < / a : K e y V a l u e O f D i a g r a m O b j e c t K e y a n y T y p e z b w N T n L X > < a : K e y V a l u e O f D i a g r a m O b j e c t K e y a n y T y p e z b w N T n L X > < a : K e y > < K e y > M e a s u r e s \ S u m   o f   T o t a l   E m i s s i o n s   8 < / K e y > < / a : K e y > < a : V a l u e   i : t y p e = " M e a s u r e G r i d N o d e V i e w S t a t e " > < C o l u m n > 1 4 < / C o l u m n > < L a y e d O u t > t r u e < / L a y e d O u t > < W a s U I I n v i s i b l e > t r u e < / W a s U I I n v i s i b l e > < / a : V a l u e > < / a : K e y V a l u e O f D i a g r a m O b j e c t K e y a n y T y p e z b w N T n L X > < a : K e y V a l u e O f D i a g r a m O b j e c t K e y a n y T y p e z b w N T n L X > < a : K e y > < K e y > M e a s u r e s \ S u m   o f   T o t a l   E m i s s i o n s   8 \ T a g I n f o \ F o r m u l a < / K e y > < / a : K e y > < a : V a l u e   i : t y p e = " M e a s u r e G r i d V i e w S t a t e I D i a g r a m T a g A d d i t i o n a l I n f o " / > < / a : K e y V a l u e O f D i a g r a m O b j e c t K e y a n y T y p e z b w N T n L X > < a : K e y V a l u e O f D i a g r a m O b j e c t K e y a n y T y p e z b w N T n L X > < a : K e y > < K e y > M e a s u r e s \ S u m   o f   T o t a l   E m i s s i o n s   8 \ T a g I n f o \ V a l u e 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 C o l u m n s \ S o u r c e   N a m e < / K e y > < / a : K e y > < a : V a l u e   i : t y p e = " M e a s u r e G r i d N o d e V i e w S t a t e " > < C o l u m n > 1 < / C o l u m n > < L a y e d O u t > t r u e < / L a y e d O u t > < / a : V a l u e > < / a : K e y V a l u e O f D i a g r a m O b j e c t K e y a n y T y p e z b w N T n L X > < a : K e y V a l u e O f D i a g r a m O b j e c t K e y a n y T y p e z b w N T n L X > < a : K e y > < K e y > C o l u m n s \ A c t i v i t y   T y p e < / K e y > < / a : K e y > < a : V a l u e   i : t y p e = " M e a s u r e G r i d N o d e V i e w S t a t e " > < C o l u m n > 2 < / C o l u m n > < L a y e d O u t > t r u e < / L a y e d O u t > < / a : V a l u e > < / a : K e y V a l u e O f D i a g r a m O b j e c t K e y a n y T y p e z b w N T n L X > < a : K e y V a l u e O f D i a g r a m O b j e c t K e y a n y T y p e z b w N T n L X > < a : K e y > < K e y > C o l u m n s \ A c t i v i t y   T y p e   C o n t e x t < / K e y > < / a : K e y > < a : V a l u e   i : t y p e = " M e a s u r e G r i d N o d e V i e w S t a t e " > < C o l u m n > 3 < / C o l u m n > < L a y e d O u t > t r u e < / L a y e d O u t > < / a : V a l u e > < / a : K e y V a l u e O f D i a g r a m O b j e c t K e y a n y T y p e z b w N T n L X > < a : K e y V a l u e O f D i a g r a m O b j e c t K e y a n y T y p e z b w N T n L X > < a : K e y > < K e y > C o l u m n s \ E n t i t y < / K e y > < / a : K e y > < a : V a l u e   i : t y p e = " M e a s u r e G r i d N o d e V i e w S t a t e " > < C o l u m n > 4 < / C o l u m n > < L a y e d O u t > t r u e < / L a y e d O u t > < / a : V a l u e > < / a : K e y V a l u e O f D i a g r a m O b j e c t K e y a n y T y p e z b w N T n L X > < a : K e y V a l u e O f D i a g r a m O b j e c t K e y a n y T y p e z b w N T n L X > < a : K e y > < K e y > C o l u m n s \ F u e l < / K e y > < / a : K e y > < a : V a l u e   i : t y p e = " M e a s u r e G r i d N o d e V i e w S t a t e " > < C o l u m n > 5 < / C o l u m n > < L a y e d O u t > t r u e < / L a y e d O u t > < / a : V a l u e > < / a : K e y V a l u e O f D i a g r a m O b j e c t K e y a n y T y p e z b w N T n L X > < a : K e y V a l u e O f D i a g r a m O b j e c t K e y a n y T y p e z b w N T n L X > < a : K e y > < K e y > C o l u m n s \ S t a t e < / K e y > < / a : K e y > < a : V a l u e   i : t y p e = " M e a s u r e G r i d N o d e V i e w S t a t e " > < C o l u m n > 6 < / C o l u m n > < L a y e d O u t > t r u e < / L a y e d O u t > < / a : V a l u e > < / a : K e y V a l u e O f D i a g r a m O b j e c t K e y a n y T y p e z b w N T n L X > < a : K e y V a l u e O f D i a g r a m O b j e c t K e y a n y T y p e z b w N T n L X > < a : K e y > < K e y > C o l u m n s \ C o n s u m p t i o n   Q u a n t i t y   ( L ) < / K e y > < / a : K e y > < a : V a l u e   i : t y p e = " M e a s u r e G r i d N o d e V i e w S t a t e " > < C o l u m n > 7 < / C o l u m n > < L a y e d O u t > t r u e < / L a y e d O u t > < / a : V a l u e > < / a : K e y V a l u e O f D i a g r a m O b j e c t K e y a n y T y p e z b w N T n L X > < a : K e y V a l u e O f D i a g r a m O b j e c t K e y a n y T y p e z b w N T n L X > < a : K e y > < K e y > C o l u m n s \ C o n s u m p t i o n   U n i t s < / K e y > < / a : K e y > < a : V a l u e   i : t y p e = " M e a s u r e G r i d N o d e V i e w S t a t e " > < C o l u m n > 8 < / C o l u m n > < L a y e d O u t > t r u e < / L a y e d O u t > < / a : V a l u e > < / a : K e y V a l u e O f D i a g r a m O b j e c t K e y a n y T y p e z b w N T n L X > < a : K e y V a l u e O f D i a g r a m O b j e c t K e y a n y T y p e z b w N T n L X > < a : K e y > < K e y > C o l u m n s \ C o n s u m p t i o n   Q u a n t i t y < / K e y > < / a : K e y > < a : V a l u e   i : t y p e = " M e a s u r e G r i d N o d e V i e w S t a t e " > < C o l u m n > 9 < / C o l u m n > < L a y e d O u t > t r u e < / L a y e d O u t > < / a : V a l u e > < / a : K e y V a l u e O f D i a g r a m O b j e c t K e y a n y T y p e z b w N T n L X > < a : K e y V a l u e O f D i a g r a m O b j e c t K e y a n y T y p e z b w N T n L X > < a : K e y > < K e y > C o l u m n s \ T o t a l   G J < / K e y > < / a : K e y > < a : V a l u e   i : t y p e = " M e a s u r e G r i d N o d e V i e w S t a t e " > < C o l u m n > 1 0 < / C o l u m n > < L a y e d O u t > t r u e < / L a y e d O u t > < / a : V a l u e > < / a : K e y V a l u e O f D i a g r a m O b j e c t K e y a n y T y p e z b w N T n L X > < a : K e y V a l u e O f D i a g r a m O b j e c t K e y a n y T y p e z b w N T n L X > < a : K e y > < K e y > C o l u m n s \ S c o p e   1   k g   C O 2 - e < / K e y > < / a : K e y > < a : V a l u e   i : t y p e = " M e a s u r e G r i d N o d e V i e w S t a t e " > < C o l u m n > 1 1 < / C o l u m n > < L a y e d O u t > t r u e < / L a y e d O u t > < / a : V a l u e > < / a : K e y V a l u e O f D i a g r a m O b j e c t K e y a n y T y p e z b w N T n L X > < a : K e y V a l u e O f D i a g r a m O b j e c t K e y a n y T y p e z b w N T n L X > < a : K e y > < K e y > C o l u m n s \ S c o p e   2   k g   C O 2 - e < / K e y > < / a : K e y > < a : V a l u e   i : t y p e = " M e a s u r e G r i d N o d e V i e w S t a t e " > < C o l u m n > 1 2 < / C o l u m n > < L a y e d O u t > t r u e < / L a y e d O u t > < / a : V a l u e > < / a : K e y V a l u e O f D i a g r a m O b j e c t K e y a n y T y p e z b w N T n L X > < a : K e y V a l u e O f D i a g r a m O b j e c t K e y a n y T y p e z b w N T n L X > < a : K e y > < K e y > C o l u m n s \ S c o p e   3   k g   C O 2 - e < / K e y > < / a : K e y > < a : V a l u e   i : t y p e = " M e a s u r e G r i d N o d e V i e w S t a t e " > < C o l u m n > 1 3 < / C o l u m n > < L a y e d O u t > t r u e < / L a y e d O u t > < / a : V a l u e > < / a : K e y V a l u e O f D i a g r a m O b j e c t K e y a n y T y p e z b w N T n L X > < a : K e y V a l u e O f D i a g r a m O b j e c t K e y a n y T y p e z b w N T n L X > < a : K e y > < K e y > C o l u m n s \ T o t a l   E m i s s i o n s < / K e y > < / a : K e y > < a : V a l u e   i : t y p e = " M e a s u r e G r i d N o d e V i e w S t a t e " > < C o l u m n > 1 4 < / C o l u m n > < L a y e d O u t > t r u e < / L a y e d O u t > < / a : V a l u e > < / a : K e y V a l u e O f D i a g r a m O b j e c t K e y a n y T y p e z b w N T n L X > < a : K e y V a l u e O f D i a g r a m O b j e c t K e y a n y T y p e z b w N T n L X > < a : K e y > < K e y > L i n k s \ & l t ; C o l u m n s \ S u m   o f   C o n s u m p t i o n   Q u a n t i t y   1 3 & g t ; - & l t ; M e a s u r e s \ C o n s u m p t i o n   Q u a n t i t y & g t ; < / K e y > < / a : K e y > < a : V a l u e   i : t y p e = " M e a s u r e G r i d V i e w S t a t e I D i a g r a m L i n k " / > < / a : K e y V a l u e O f D i a g r a m O b j e c t K e y a n y T y p e z b w N T n L X > < a : K e y V a l u e O f D i a g r a m O b j e c t K e y a n y T y p e z b w N T n L X > < a : K e y > < K e y > L i n k s \ & l t ; C o l u m n s \ S u m   o f   C o n s u m p t i o n   Q u a n t i t y   1 3 & g t ; - & l t ; M e a s u r e s \ C o n s u m p t i o n   Q u a n t i t y & g t ; \ C O L U M N < / K e y > < / a : K e y > < a : V a l u e   i : t y p e = " M e a s u r e G r i d V i e w S t a t e I D i a g r a m L i n k E n d p o i n t " / > < / a : K e y V a l u e O f D i a g r a m O b j e c t K e y a n y T y p e z b w N T n L X > < a : K e y V a l u e O f D i a g r a m O b j e c t K e y a n y T y p e z b w N T n L X > < a : K e y > < K e y > L i n k s \ & l t ; C o l u m n s \ S u m   o f   C o n s u m p t i o n   Q u a n t i t y   1 3 & g t ; - & l t ; M e a s u r e s \ C o n s u m p t i o n   Q u a n t i t y & g t ; \ M E A S U R E < / K e y > < / a : K e y > < a : V a l u e   i : t y p e = " M e a s u r e G r i d V i e w S t a t e I D i a g r a m L i n k E n d p o i n t " / > < / a : K e y V a l u e O f D i a g r a m O b j e c t K e y a n y T y p e z b w N T n L X > < a : K e y V a l u e O f D i a g r a m O b j e c t K e y a n y T y p e z b w N T n L X > < a : K e y > < K e y > L i n k s \ & l t ; C o l u m n s \ S u m   o f   T o t a l   G J   8 & g t ; - & l t ; M e a s u r e s \ T o t a l   G J & g t ; < / K e y > < / a : K e y > < a : V a l u e   i : t y p e = " M e a s u r e G r i d V i e w S t a t e I D i a g r a m L i n k " / > < / a : K e y V a l u e O f D i a g r a m O b j e c t K e y a n y T y p e z b w N T n L X > < a : K e y V a l u e O f D i a g r a m O b j e c t K e y a n y T y p e z b w N T n L X > < a : K e y > < K e y > L i n k s \ & l t ; C o l u m n s \ S u m   o f   T o t a l   G J   8 & g t ; - & l t ; M e a s u r e s \ T o t a l   G J & g t ; \ C O L U M N < / K e y > < / a : K e y > < a : V a l u e   i : t y p e = " M e a s u r e G r i d V i e w S t a t e I D i a g r a m L i n k E n d p o i n t " / > < / a : K e y V a l u e O f D i a g r a m O b j e c t K e y a n y T y p e z b w N T n L X > < a : K e y V a l u e O f D i a g r a m O b j e c t K e y a n y T y p e z b w N T n L X > < a : K e y > < K e y > L i n k s \ & l t ; C o l u m n s \ S u m   o f   T o t a l   G J   8 & g t ; - & l t ; M e a s u r e s \ T o t a l   G J & g t ; \ M E A S U R E < / K e y > < / a : K e y > < a : V a l u e   i : t y p e = " M e a s u r e G r i d V i e w S t a t e I D i a g r a m L i n k E n d p o i n t " / > < / a : K e y V a l u e O f D i a g r a m O b j e c t K e y a n y T y p e z b w N T n L X > < a : K e y V a l u e O f D i a g r a m O b j e c t K e y a n y T y p e z b w N T n L X > < a : K e y > < K e y > L i n k s \ & l t ; C o l u m n s \ S u m   o f   S c o p e   1   k g   C O 2 - e   8 & g t ; - & l t ; M e a s u r e s \ S c o p e   1   k g   C O 2 - e & g t ; < / K e y > < / a : K e y > < a : V a l u e   i : t y p e = " M e a s u r e G r i d V i e w S t a t e I D i a g r a m L i n k " / > < / a : K e y V a l u e O f D i a g r a m O b j e c t K e y a n y T y p e z b w N T n L X > < a : K e y V a l u e O f D i a g r a m O b j e c t K e y a n y T y p e z b w N T n L X > < a : K e y > < K e y > L i n k s \ & l t ; C o l u m n s \ S u m   o f   S c o p e   1   k g   C O 2 - e   8 & g t ; - & l t ; M e a s u r e s \ S c o p e   1   k g   C O 2 - e & g t ; \ C O L U M N < / K e y > < / a : K e y > < a : V a l u e   i : t y p e = " M e a s u r e G r i d V i e w S t a t e I D i a g r a m L i n k E n d p o i n t " / > < / a : K e y V a l u e O f D i a g r a m O b j e c t K e y a n y T y p e z b w N T n L X > < a : K e y V a l u e O f D i a g r a m O b j e c t K e y a n y T y p e z b w N T n L X > < a : K e y > < K e y > L i n k s \ & l t ; C o l u m n s \ S u m   o f   S c o p e   1   k g   C O 2 - e   8 & g t ; - & l t ; M e a s u r e s \ S c o p e   1   k g   C O 2 - e & g t ; \ M E A S U R E < / K e y > < / a : K e y > < a : V a l u e   i : t y p e = " M e a s u r e G r i d V i e w S t a t e I D i a g r a m L i n k E n d p o i n t " / > < / a : K e y V a l u e O f D i a g r a m O b j e c t K e y a n y T y p e z b w N T n L X > < a : K e y V a l u e O f D i a g r a m O b j e c t K e y a n y T y p e z b w N T n L X > < a : K e y > < K e y > L i n k s \ & l t ; C o l u m n s \ S u m   o f   S c o p e   2   k g   C O 2 - e   8 & g t ; - & l t ; M e a s u r e s \ S c o p e   2   k g   C O 2 - e & g t ; < / K e y > < / a : K e y > < a : V a l u e   i : t y p e = " M e a s u r e G r i d V i e w S t a t e I D i a g r a m L i n k " / > < / a : K e y V a l u e O f D i a g r a m O b j e c t K e y a n y T y p e z b w N T n L X > < a : K e y V a l u e O f D i a g r a m O b j e c t K e y a n y T y p e z b w N T n L X > < a : K e y > < K e y > L i n k s \ & l t ; C o l u m n s \ S u m   o f   S c o p e   2   k g   C O 2 - e   8 & g t ; - & l t ; M e a s u r e s \ S c o p e   2   k g   C O 2 - e & g t ; \ C O L U M N < / K e y > < / a : K e y > < a : V a l u e   i : t y p e = " M e a s u r e G r i d V i e w S t a t e I D i a g r a m L i n k E n d p o i n t " / > < / a : K e y V a l u e O f D i a g r a m O b j e c t K e y a n y T y p e z b w N T n L X > < a : K e y V a l u e O f D i a g r a m O b j e c t K e y a n y T y p e z b w N T n L X > < a : K e y > < K e y > L i n k s \ & l t ; C o l u m n s \ S u m   o f   S c o p e   2   k g   C O 2 - e   8 & g t ; - & l t ; M e a s u r e s \ S c o p e   2   k g   C O 2 - e & g t ; \ M E A S U R E < / K e y > < / a : K e y > < a : V a l u e   i : t y p e = " M e a s u r e G r i d V i e w S t a t e I D i a g r a m L i n k E n d p o i n t " / > < / a : K e y V a l u e O f D i a g r a m O b j e c t K e y a n y T y p e z b w N T n L X > < a : K e y V a l u e O f D i a g r a m O b j e c t K e y a n y T y p e z b w N T n L X > < a : K e y > < K e y > L i n k s \ & l t ; C o l u m n s \ S u m   o f   S c o p e   3   k g   C O 2 - e   8 & g t ; - & l t ; M e a s u r e s \ S c o p e   3   k g   C O 2 - e & g t ; < / K e y > < / a : K e y > < a : V a l u e   i : t y p e = " M e a s u r e G r i d V i e w S t a t e I D i a g r a m L i n k " / > < / a : K e y V a l u e O f D i a g r a m O b j e c t K e y a n y T y p e z b w N T n L X > < a : K e y V a l u e O f D i a g r a m O b j e c t K e y a n y T y p e z b w N T n L X > < a : K e y > < K e y > L i n k s \ & l t ; C o l u m n s \ S u m   o f   S c o p e   3   k g   C O 2 - e   8 & g t ; - & l t ; M e a s u r e s \ S c o p e   3   k g   C O 2 - e & g t ; \ C O L U M N < / K e y > < / a : K e y > < a : V a l u e   i : t y p e = " M e a s u r e G r i d V i e w S t a t e I D i a g r a m L i n k E n d p o i n t " / > < / a : K e y V a l u e O f D i a g r a m O b j e c t K e y a n y T y p e z b w N T n L X > < a : K e y V a l u e O f D i a g r a m O b j e c t K e y a n y T y p e z b w N T n L X > < a : K e y > < K e y > L i n k s \ & l t ; C o l u m n s \ S u m   o f   S c o p e   3   k g   C O 2 - e   8 & g t ; - & l t ; M e a s u r e s \ S c o p e   3   k g   C O 2 - e & g t ; \ M E A S U R E < / K e y > < / a : K e y > < a : V a l u e   i : t y p e = " M e a s u r e G r i d V i e w S t a t e I D i a g r a m L i n k E n d p o i n t " / > < / a : K e y V a l u e O f D i a g r a m O b j e c t K e y a n y T y p e z b w N T n L X > < a : K e y V a l u e O f D i a g r a m O b j e c t K e y a n y T y p e z b w N T n L X > < a : K e y > < K e y > L i n k s \ & l t ; C o l u m n s \ S u m   o f   T o t a l   E m i s s i o n s   8 & g t ; - & l t ; M e a s u r e s \ T o t a l   E m i s s i o n s & g t ; < / K e y > < / a : K e y > < a : V a l u e   i : t y p e = " M e a s u r e G r i d V i e w S t a t e I D i a g r a m L i n k " / > < / a : K e y V a l u e O f D i a g r a m O b j e c t K e y a n y T y p e z b w N T n L X > < a : K e y V a l u e O f D i a g r a m O b j e c t K e y a n y T y p e z b w N T n L X > < a : K e y > < K e y > L i n k s \ & l t ; C o l u m n s \ S u m   o f   T o t a l   E m i s s i o n s   8 & g t ; - & l t ; M e a s u r e s \ T o t a l   E m i s s i o n s & g t ; \ C O L U M N < / K e y > < / a : K e y > < a : V a l u e   i : t y p e = " M e a s u r e G r i d V i e w S t a t e I D i a g r a m L i n k E n d p o i n t " / > < / a : K e y V a l u e O f D i a g r a m O b j e c t K e y a n y T y p e z b w N T n L X > < a : K e y V a l u e O f D i a g r a m O b j e c t K e y a n y T y p e z b w N T n L X > < a : K e y > < K e y > L i n k s \ & l t ; C o l u m n s \ S u m   o f   T o t a l   E m i s s i o n s   8 & g t ; - & l t ; M e a s u r e s \ T o t a l   E m i s s i o n s & g t ; \ M E A S U R E < / K e y > < / a : K e y > < a : V a l u e   i : t y p e = " M e a s u r e G r i d V i e w S t a t e I D i a g r a m L i n k E n d p o i n t " / > < / a : K e y V a l u e O f D i a g r a m O b j e c t K e y a n y T y p e z b w N T n L X > < / V i e w S t a t e s > < / D i a g r a m M a n a g e r . S e r i a l i z a b l e D i a g r a m > < D i a g r a m M a n a g e r . S e r i a l i z a b l e D i a g r a m > < A d a p t e r   i : t y p e = " M e a s u r e D i a g r a m S a n d b o x A d a p t e r " > < T a b l e N a m e > T e l s t r a B C A 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 T e l s t r a B C A < / 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 4 < / K e y > < / D i a g r a m O b j e c t K e y > < D i a g r a m O b j e c t K e y > < K e y > M e a s u r e s \ S u m   o f   C o n s u m p t i o n   Q u a n t i t y   4 \ T a g I n f o \ F o r m u l a < / K e y > < / D i a g r a m O b j e c t K e y > < D i a g r a m O b j e c t K e y > < K e y > M e a s u r e s \ S u m   o f   C o n s u m p t i o n   Q u a n t i t y   4 \ T a g I n f o \ V a l u e < / K e y > < / D i a g r a m O b j e c t K e y > < D i a g r a m O b j e c t K e y > < K e y > M e a s u r e s \ S u m   o f   T o t a l   G J   4 < / K e y > < / D i a g r a m O b j e c t K e y > < D i a g r a m O b j e c t K e y > < K e y > M e a s u r e s \ S u m   o f   T o t a l   G J   4 \ T a g I n f o \ F o r m u l a < / K e y > < / D i a g r a m O b j e c t K e y > < D i a g r a m O b j e c t K e y > < K e y > M e a s u r e s \ S u m   o f   T o t a l   G J   4 \ T a g I n f o \ V a l u e < / K e y > < / D i a g r a m O b j e c t K e y > < D i a g r a m O b j e c t K e y > < K e y > M e a s u r e s \ S u m   o f   S c o p e   1   k g   C O 2 - e   4 < / K e y > < / D i a g r a m O b j e c t K e y > < D i a g r a m O b j e c t K e y > < K e y > M e a s u r e s \ S u m   o f   S c o p e   1   k g   C O 2 - e   4 \ T a g I n f o \ F o r m u l a < / K e y > < / D i a g r a m O b j e c t K e y > < D i a g r a m O b j e c t K e y > < K e y > M e a s u r e s \ S u m   o f   S c o p e   1   k g   C O 2 - e   4 \ T a g I n f o \ V a l u e < / K e y > < / D i a g r a m O b j e c t K e y > < D i a g r a m O b j e c t K e y > < K e y > M e a s u r e s \ S u m   o f   S c o p e   2   k g   C O 2 - e   4 < / K e y > < / D i a g r a m O b j e c t K e y > < D i a g r a m O b j e c t K e y > < K e y > M e a s u r e s \ S u m   o f   S c o p e   2   k g   C O 2 - e   4 \ T a g I n f o \ F o r m u l a < / K e y > < / D i a g r a m O b j e c t K e y > < D i a g r a m O b j e c t K e y > < K e y > M e a s u r e s \ S u m   o f   S c o p e   2   k g   C O 2 - e   4 \ T a g I n f o \ V a l u e < / K e y > < / D i a g r a m O b j e c t K e y > < D i a g r a m O b j e c t K e y > < K e y > M e a s u r e s \ S u m   o f   S c o p e   3   k g   C O 2 - e   4 < / K e y > < / D i a g r a m O b j e c t K e y > < D i a g r a m O b j e c t K e y > < K e y > M e a s u r e s \ S u m   o f   S c o p e   3   k g   C O 2 - e   4 \ T a g I n f o \ F o r m u l a < / K e y > < / D i a g r a m O b j e c t K e y > < D i a g r a m O b j e c t K e y > < K e y > M e a s u r e s \ S u m   o f   S c o p e   3   k g   C O 2 - e   4 \ T a g I n f o \ V a l u e < / K e y > < / D i a g r a m O b j e c t K e y > < D i a g r a m O b j e c t K e y > < K e y > M e a s u r e s \ S u m   o f   T o t a l   E m i s s i o n s   4 < / K e y > < / D i a g r a m O b j e c t K e y > < D i a g r a m O b j e c t K e y > < K e y > M e a s u r e s \ S u m   o f   T o t a l   E m i s s i o n s   4 \ T a g I n f o \ F o r m u l a < / K e y > < / D i a g r a m O b j e c t K e y > < D i a g r a m O b j e c t K e y > < K e y > M e a s u r e s \ S u m   o f   T o t a l   E m i s s i o n s   4 \ T a g I n f o \ V a l u e < / K e y > < / D i a g r a m O b j e c t K e y > < D i a g r a m O b j e c t K e y > < K e y > C o l u m n s \ R e p o r t i n g   A l i a s 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 4 & g t ; - & l t ; M e a s u r e s \ C o n s u m p t i o n   Q u a n t i t y & g t ; < / K e y > < / D i a g r a m O b j e c t K e y > < D i a g r a m O b j e c t K e y > < K e y > L i n k s \ & l t ; C o l u m n s \ S u m   o f   C o n s u m p t i o n   Q u a n t i t y   4 & g t ; - & l t ; M e a s u r e s \ C o n s u m p t i o n   Q u a n t i t y & g t ; \ C O L U M N < / K e y > < / D i a g r a m O b j e c t K e y > < D i a g r a m O b j e c t K e y > < K e y > L i n k s \ & l t ; C o l u m n s \ S u m   o f   C o n s u m p t i o n   Q u a n t i t y   4 & g t ; - & l t ; M e a s u r e s \ C o n s u m p t i o n   Q u a n t i t y & g t ; \ M E A S U R E < / K e y > < / D i a g r a m O b j e c t K e y > < D i a g r a m O b j e c t K e y > < K e y > L i n k s \ & l t ; C o l u m n s \ S u m   o f   T o t a l   G J   4 & g t ; - & l t ; M e a s u r e s \ T o t a l   G J & g t ; < / K e y > < / D i a g r a m O b j e c t K e y > < D i a g r a m O b j e c t K e y > < K e y > L i n k s \ & l t ; C o l u m n s \ S u m   o f   T o t a l   G J   4 & g t ; - & l t ; M e a s u r e s \ T o t a l   G J & g t ; \ C O L U M N < / K e y > < / D i a g r a m O b j e c t K e y > < D i a g r a m O b j e c t K e y > < K e y > L i n k s \ & l t ; C o l u m n s \ S u m   o f   T o t a l   G J   4 & g t ; - & l t ; M e a s u r e s \ T o t a l   G J & g t ; \ M E A S U R E < / K e y > < / D i a g r a m O b j e c t K e y > < D i a g r a m O b j e c t K e y > < K e y > L i n k s \ & l t ; C o l u m n s \ S u m   o f   S c o p e   1   k g   C O 2 - e   4 & g t ; - & l t ; M e a s u r e s \ S c o p e   1   k g   C O 2 - e & g t ; < / K e y > < / D i a g r a m O b j e c t K e y > < D i a g r a m O b j e c t K e y > < K e y > L i n k s \ & l t ; C o l u m n s \ S u m   o f   S c o p e   1   k g   C O 2 - e   4 & g t ; - & l t ; M e a s u r e s \ S c o p e   1   k g   C O 2 - e & g t ; \ C O L U M N < / K e y > < / D i a g r a m O b j e c t K e y > < D i a g r a m O b j e c t K e y > < K e y > L i n k s \ & l t ; C o l u m n s \ S u m   o f   S c o p e   1   k g   C O 2 - e   4 & g t ; - & l t ; M e a s u r e s \ S c o p e   1   k g   C O 2 - e & g t ; \ M E A S U R E < / K e y > < / D i a g r a m O b j e c t K e y > < D i a g r a m O b j e c t K e y > < K e y > L i n k s \ & l t ; C o l u m n s \ S u m   o f   S c o p e   2   k g   C O 2 - e   4 & g t ; - & l t ; M e a s u r e s \ S c o p e   2   k g   C O 2 - e & g t ; < / K e y > < / D i a g r a m O b j e c t K e y > < D i a g r a m O b j e c t K e y > < K e y > L i n k s \ & l t ; C o l u m n s \ S u m   o f   S c o p e   2   k g   C O 2 - e   4 & g t ; - & l t ; M e a s u r e s \ S c o p e   2   k g   C O 2 - e & g t ; \ C O L U M N < / K e y > < / D i a g r a m O b j e c t K e y > < D i a g r a m O b j e c t K e y > < K e y > L i n k s \ & l t ; C o l u m n s \ S u m   o f   S c o p e   2   k g   C O 2 - e   4 & g t ; - & l t ; M e a s u r e s \ S c o p e   2   k g   C O 2 - e & g t ; \ M E A S U R E < / K e y > < / D i a g r a m O b j e c t K e y > < D i a g r a m O b j e c t K e y > < K e y > L i n k s \ & l t ; C o l u m n s \ S u m   o f   S c o p e   3   k g   C O 2 - e   4 & g t ; - & l t ; M e a s u r e s \ S c o p e   3   k g   C O 2 - e & g t ; < / K e y > < / D i a g r a m O b j e c t K e y > < D i a g r a m O b j e c t K e y > < K e y > L i n k s \ & l t ; C o l u m n s \ S u m   o f   S c o p e   3   k g   C O 2 - e   4 & g t ; - & l t ; M e a s u r e s \ S c o p e   3   k g   C O 2 - e & g t ; \ C O L U M N < / K e y > < / D i a g r a m O b j e c t K e y > < D i a g r a m O b j e c t K e y > < K e y > L i n k s \ & l t ; C o l u m n s \ S u m   o f   S c o p e   3   k g   C O 2 - e   4 & g t ; - & l t ; M e a s u r e s \ S c o p e   3   k g   C O 2 - e & g t ; \ M E A S U R E < / K e y > < / D i a g r a m O b j e c t K e y > < D i a g r a m O b j e c t K e y > < K e y > L i n k s \ & l t ; C o l u m n s \ S u m   o f   T o t a l   E m i s s i o n s   4 & g t ; - & l t ; M e a s u r e s \ T o t a l   E m i s s i o n s & g t ; < / K e y > < / D i a g r a m O b j e c t K e y > < D i a g r a m O b j e c t K e y > < K e y > L i n k s \ & l t ; C o l u m n s \ S u m   o f   T o t a l   E m i s s i o n s   4 & g t ; - & l t ; M e a s u r e s \ T o t a l   E m i s s i o n s & g t ; \ C O L U M N < / K e y > < / D i a g r a m O b j e c t K e y > < D i a g r a m O b j e c t K e y > < K e y > L i n k s \ & l t ; C o l u m n s \ S u m   o f   T o t a l   E m i s s i o n s   4 & g t ; - & l t ; M e a s u r e s \ T o t a l 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 4 < / K e y > < / a : K e y > < a : V a l u e   i : t y p e = " M e a s u r e G r i d N o d e V i e w S t a t e " > < C o l u m n > 1 < / C o l u m n > < L a y e d O u t > t r u e < / L a y e d O u t > < W a s U I I n v i s i b l e > t r u e < / W a s U I I n v i s i b l e > < / a : V a l u e > < / a : K e y V a l u e O f D i a g r a m O b j e c t K e y a n y T y p e z b w N T n L X > < a : K e y V a l u e O f D i a g r a m O b j e c t K e y a n y T y p e z b w N T n L X > < a : K e y > < K e y > M e a s u r e s \ S u m   o f   C o n s u m p t i o n   Q u a n t i t y   4 \ T a g I n f o \ F o r m u l a < / K e y > < / a : K e y > < a : V a l u e   i : t y p e = " M e a s u r e G r i d V i e w S t a t e I D i a g r a m T a g A d d i t i o n a l I n f o " / > < / a : K e y V a l u e O f D i a g r a m O b j e c t K e y a n y T y p e z b w N T n L X > < a : K e y V a l u e O f D i a g r a m O b j e c t K e y a n y T y p e z b w N T n L X > < a : K e y > < K e y > M e a s u r e s \ S u m   o f   C o n s u m p t i o n   Q u a n t i t y   4 \ T a g I n f o \ V a l u e < / K e y > < / a : K e y > < a : V a l u e   i : t y p e = " M e a s u r e G r i d V i e w S t a t e I D i a g r a m T a g A d d i t i o n a l I n f o " / > < / a : K e y V a l u e O f D i a g r a m O b j e c t K e y a n y T y p e z b w N T n L X > < a : K e y V a l u e O f D i a g r a m O b j e c t K e y a n y T y p e z b w N T n L X > < a : K e y > < K e y > M e a s u r e s \ S u m   o f   T o t a l   G J   4 < / K e y > < / a : K e y > < a : V a l u e   i : t y p e = " M e a s u r e G r i d N o d e V i e w S t a t e " > < C o l u m n > 2 < / C o l u m n > < L a y e d O u t > t r u e < / L a y e d O u t > < W a s U I I n v i s i b l e > t r u e < / W a s U I I n v i s i b l e > < / a : V a l u e > < / a : K e y V a l u e O f D i a g r a m O b j e c t K e y a n y T y p e z b w N T n L X > < a : K e y V a l u e O f D i a g r a m O b j e c t K e y a n y T y p e z b w N T n L X > < a : K e y > < K e y > M e a s u r e s \ S u m   o f   T o t a l   G J   4 \ T a g I n f o \ F o r m u l a < / K e y > < / a : K e y > < a : V a l u e   i : t y p e = " M e a s u r e G r i d V i e w S t a t e I D i a g r a m T a g A d d i t i o n a l I n f o " / > < / a : K e y V a l u e O f D i a g r a m O b j e c t K e y a n y T y p e z b w N T n L X > < a : K e y V a l u e O f D i a g r a m O b j e c t K e y a n y T y p e z b w N T n L X > < a : K e y > < K e y > M e a s u r e s \ S u m   o f   T o t a l   G J   4 \ T a g I n f o \ V a l u e < / K e y > < / a : K e y > < a : V a l u e   i : t y p e = " M e a s u r e G r i d V i e w S t a t e I D i a g r a m T a g A d d i t i o n a l I n f o " / > < / a : K e y V a l u e O f D i a g r a m O b j e c t K e y a n y T y p e z b w N T n L X > < a : K e y V a l u e O f D i a g r a m O b j e c t K e y a n y T y p e z b w N T n L X > < a : K e y > < K e y > M e a s u r e s \ S u m   o f   S c o p e   1   k g   C O 2 - e   4 < / K e y > < / a : K e y > < a : V a l u e   i : t y p e = " M e a s u r e G r i d N o d e V i e w S t a t e " > < C o l u m n > 3 < / C o l u m n > < L a y e d O u t > t r u e < / L a y e d O u t > < W a s U I I n v i s i b l e > t r u e < / W a s U I I n v i s i b l e > < / a : V a l u e > < / a : K e y V a l u e O f D i a g r a m O b j e c t K e y a n y T y p e z b w N T n L X > < a : K e y V a l u e O f D i a g r a m O b j e c t K e y a n y T y p e z b w N T n L X > < a : K e y > < K e y > M e a s u r e s \ S u m   o f   S c o p e   1   k g   C O 2 - e   4 \ T a g I n f o \ F o r m u l a < / K e y > < / a : K e y > < a : V a l u e   i : t y p e = " M e a s u r e G r i d V i e w S t a t e I D i a g r a m T a g A d d i t i o n a l I n f o " / > < / a : K e y V a l u e O f D i a g r a m O b j e c t K e y a n y T y p e z b w N T n L X > < a : K e y V a l u e O f D i a g r a m O b j e c t K e y a n y T y p e z b w N T n L X > < a : K e y > < K e y > M e a s u r e s \ S u m   o f   S c o p e   1   k g   C O 2 - e   4 \ T a g I n f o \ V a l u e < / K e y > < / a : K e y > < a : V a l u e   i : t y p e = " M e a s u r e G r i d V i e w S t a t e I D i a g r a m T a g A d d i t i o n a l I n f o " / > < / a : K e y V a l u e O f D i a g r a m O b j e c t K e y a n y T y p e z b w N T n L X > < a : K e y V a l u e O f D i a g r a m O b j e c t K e y a n y T y p e z b w N T n L X > < a : K e y > < K e y > M e a s u r e s \ S u m   o f   S c o p e   2   k g   C O 2 - e   4 < / K e y > < / a : K e y > < a : V a l u e   i : t y p e = " M e a s u r e G r i d N o d e V i e w S t a t e " > < C o l u m n > 4 < / C o l u m n > < L a y e d O u t > t r u e < / L a y e d O u t > < W a s U I I n v i s i b l e > t r u e < / W a s U I I n v i s i b l e > < / a : V a l u e > < / a : K e y V a l u e O f D i a g r a m O b j e c t K e y a n y T y p e z b w N T n L X > < a : K e y V a l u e O f D i a g r a m O b j e c t K e y a n y T y p e z b w N T n L X > < a : K e y > < K e y > M e a s u r e s \ S u m   o f   S c o p e   2   k g   C O 2 - e   4 \ T a g I n f o \ F o r m u l a < / K e y > < / a : K e y > < a : V a l u e   i : t y p e = " M e a s u r e G r i d V i e w S t a t e I D i a g r a m T a g A d d i t i o n a l I n f o " / > < / a : K e y V a l u e O f D i a g r a m O b j e c t K e y a n y T y p e z b w N T n L X > < a : K e y V a l u e O f D i a g r a m O b j e c t K e y a n y T y p e z b w N T n L X > < a : K e y > < K e y > M e a s u r e s \ S u m   o f   S c o p e   2   k g   C O 2 - e   4 \ T a g I n f o \ V a l u e < / K e y > < / a : K e y > < a : V a l u e   i : t y p e = " M e a s u r e G r i d V i e w S t a t e I D i a g r a m T a g A d d i t i o n a l I n f o " / > < / a : K e y V a l u e O f D i a g r a m O b j e c t K e y a n y T y p e z b w N T n L X > < a : K e y V a l u e O f D i a g r a m O b j e c t K e y a n y T y p e z b w N T n L X > < a : K e y > < K e y > M e a s u r e s \ S u m   o f   S c o p e   3   k g   C O 2 - e   4 < / K e y > < / a : K e y > < a : V a l u e   i : t y p e = " M e a s u r e G r i d N o d e V i e w S t a t e " > < C o l u m n > 5 < / C o l u m n > < L a y e d O u t > t r u e < / L a y e d O u t > < W a s U I I n v i s i b l e > t r u e < / W a s U I I n v i s i b l e > < / a : V a l u e > < / a : K e y V a l u e O f D i a g r a m O b j e c t K e y a n y T y p e z b w N T n L X > < a : K e y V a l u e O f D i a g r a m O b j e c t K e y a n y T y p e z b w N T n L X > < a : K e y > < K e y > M e a s u r e s \ S u m   o f   S c o p e   3   k g   C O 2 - e   4 \ T a g I n f o \ F o r m u l a < / K e y > < / a : K e y > < a : V a l u e   i : t y p e = " M e a s u r e G r i d V i e w S t a t e I D i a g r a m T a g A d d i t i o n a l I n f o " / > < / a : K e y V a l u e O f D i a g r a m O b j e c t K e y a n y T y p e z b w N T n L X > < a : K e y V a l u e O f D i a g r a m O b j e c t K e y a n y T y p e z b w N T n L X > < a : K e y > < K e y > M e a s u r e s \ S u m   o f   S c o p e   3   k g   C O 2 - e   4 \ T a g I n f o \ V a l u e < / K e y > < / a : K e y > < a : V a l u e   i : t y p e = " M e a s u r e G r i d V i e w S t a t e I D i a g r a m T a g A d d i t i o n a l I n f o " / > < / a : K e y V a l u e O f D i a g r a m O b j e c t K e y a n y T y p e z b w N T n L X > < a : K e y V a l u e O f D i a g r a m O b j e c t K e y a n y T y p e z b w N T n L X > < a : K e y > < K e y > M e a s u r e s \ S u m   o f   T o t a l   E m i s s i o n s   4 < / K e y > < / a : K e y > < a : V a l u e   i : t y p e = " M e a s u r e G r i d N o d e V i e w S t a t e " > < C o l u m n > 6 < / C o l u m n > < L a y e d O u t > t r u e < / L a y e d O u t > < W a s U I I n v i s i b l e > t r u e < / W a s U I I n v i s i b l e > < / a : V a l u e > < / a : K e y V a l u e O f D i a g r a m O b j e c t K e y a n y T y p e z b w N T n L X > < a : K e y V a l u e O f D i a g r a m O b j e c t K e y a n y T y p e z b w N T n L X > < a : K e y > < K e y > M e a s u r e s \ S u m   o f   T o t a l   E m i s s i o n s   4 \ T a g I n f o \ F o r m u l a < / K e y > < / a : K e y > < a : V a l u e   i : t y p e = " M e a s u r e G r i d V i e w S t a t e I D i a g r a m T a g A d d i t i o n a l I n f o " / > < / a : K e y V a l u e O f D i a g r a m O b j e c t K e y a n y T y p e z b w N T n L X > < a : K e y V a l u e O f D i a g r a m O b j e c t K e y a n y T y p e z b w N T n L X > < a : K e y > < K e y > M e a s u r e s \ S u m   o f   T o t a l   E m i s s i o n s   4 \ T a g I n f o \ V a l u e 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 C o l u m n s \ C o n s u m p t i o n   Q u a n t i t y < / K e y > < / a : K e y > < a : V a l u e   i : t y p e = " M e a s u r e G r i d N o d e V i e w S t a t e " > < C o l u m n > 1 < / C o l u m n > < L a y e d O u t > t r u e < / L a y e d O u t > < / a : V a l u e > < / a : K e y V a l u e O f D i a g r a m O b j e c t K e y a n y T y p e z b w N T n L X > < a : K e y V a l u e O f D i a g r a m O b j e c t K e y a n y T y p e z b w N T n L X > < a : K e y > < K e y > C o l u m n s \ T o t a l   G J < / K e y > < / a : K e y > < a : V a l u e   i : t y p e = " M e a s u r e G r i d N o d e V i e w S t a t e " > < C o l u m n > 2 < / C o l u m n > < L a y e d O u t > t r u e < / L a y e d O u t > < / a : V a l u e > < / a : K e y V a l u e O f D i a g r a m O b j e c t K e y a n y T y p e z b w N T n L X > < a : K e y V a l u e O f D i a g r a m O b j e c t K e y a n y T y p e z b w N T n L X > < a : K e y > < K e y > C o l u m n s \ S c o p e   1   k g   C O 2 - e < / K e y > < / a : K e y > < a : V a l u e   i : t y p e = " M e a s u r e G r i d N o d e V i e w S t a t e " > < C o l u m n > 3 < / C o l u m n > < L a y e d O u t > t r u e < / L a y e d O u t > < / a : V a l u e > < / a : K e y V a l u e O f D i a g r a m O b j e c t K e y a n y T y p e z b w N T n L X > < a : K e y V a l u e O f D i a g r a m O b j e c t K e y a n y T y p e z b w N T n L X > < a : K e y > < K e y > C o l u m n s \ S c o p e   2   k g   C O 2 - e < / K e y > < / a : K e y > < a : V a l u e   i : t y p e = " M e a s u r e G r i d N o d e V i e w S t a t e " > < C o l u m n > 4 < / C o l u m n > < L a y e d O u t > t r u e < / L a y e d O u t > < / a : V a l u e > < / a : K e y V a l u e O f D i a g r a m O b j e c t K e y a n y T y p e z b w N T n L X > < a : K e y V a l u e O f D i a g r a m O b j e c t K e y a n y T y p e z b w N T n L X > < a : K e y > < K e y > C o l u m n s \ S c o p e   3   k g   C O 2 - e < / K e y > < / a : K e y > < a : V a l u e   i : t y p e = " M e a s u r e G r i d N o d e V i e w S t a t e " > < C o l u m n > 5 < / C o l u m n > < L a y e d O u t > t r u e < / L a y e d O u t > < / a : V a l u e > < / a : K e y V a l u e O f D i a g r a m O b j e c t K e y a n y T y p e z b w N T n L X > < a : K e y V a l u e O f D i a g r a m O b j e c t K e y a n y T y p e z b w N T n L X > < a : K e y > < K e y > C o l u m n s \ T o t a l   E m i s s i o n s < / K e y > < / a : K e y > < a : V a l u e   i : t y p e = " M e a s u r e G r i d N o d e V i e w S t a t e " > < C o l u m n > 6 < / C o l u m n > < L a y e d O u t > t r u e < / L a y e d O u t > < / a : V a l u e > < / a : K e y V a l u e O f D i a g r a m O b j e c t K e y a n y T y p e z b w N T n L X > < a : K e y V a l u e O f D i a g r a m O b j e c t K e y a n y T y p e z b w N T n L X > < a : K e y > < K e y > L i n k s \ & l t ; C o l u m n s \ S u m   o f   C o n s u m p t i o n   Q u a n t i t y   4 & g t ; - & l t ; M e a s u r e s \ C o n s u m p t i o n   Q u a n t i t y & g t ; < / K e y > < / a : K e y > < a : V a l u e   i : t y p e = " M e a s u r e G r i d V i e w S t a t e I D i a g r a m L i n k " / > < / a : K e y V a l u e O f D i a g r a m O b j e c t K e y a n y T y p e z b w N T n L X > < a : K e y V a l u e O f D i a g r a m O b j e c t K e y a n y T y p e z b w N T n L X > < a : K e y > < K e y > L i n k s \ & l t ; C o l u m n s \ S u m   o f   C o n s u m p t i o n   Q u a n t i t y   4 & g t ; - & l t ; M e a s u r e s \ C o n s u m p t i o n   Q u a n t i t y & g t ; \ C O L U M N < / K e y > < / a : K e y > < a : V a l u e   i : t y p e = " M e a s u r e G r i d V i e w S t a t e I D i a g r a m L i n k E n d p o i n t " / > < / a : K e y V a l u e O f D i a g r a m O b j e c t K e y a n y T y p e z b w N T n L X > < a : K e y V a l u e O f D i a g r a m O b j e c t K e y a n y T y p e z b w N T n L X > < a : K e y > < K e y > L i n k s \ & l t ; C o l u m n s \ S u m   o f   C o n s u m p t i o n   Q u a n t i t y   4 & g t ; - & l t ; M e a s u r e s \ C o n s u m p t i o n   Q u a n t i t y & g t ; \ M E A S U R E < / K e y > < / a : K e y > < a : V a l u e   i : t y p e = " M e a s u r e G r i d V i e w S t a t e I D i a g r a m L i n k E n d p o i n t " / > < / a : K e y V a l u e O f D i a g r a m O b j e c t K e y a n y T y p e z b w N T n L X > < a : K e y V a l u e O f D i a g r a m O b j e c t K e y a n y T y p e z b w N T n L X > < a : K e y > < K e y > L i n k s \ & l t ; C o l u m n s \ S u m   o f   T o t a l   G J   4 & g t ; - & l t ; M e a s u r e s \ T o t a l   G J & g t ; < / K e y > < / a : K e y > < a : V a l u e   i : t y p e = " M e a s u r e G r i d V i e w S t a t e I D i a g r a m L i n k " / > < / a : K e y V a l u e O f D i a g r a m O b j e c t K e y a n y T y p e z b w N T n L X > < a : K e y V a l u e O f D i a g r a m O b j e c t K e y a n y T y p e z b w N T n L X > < a : K e y > < K e y > L i n k s \ & l t ; C o l u m n s \ S u m   o f   T o t a l   G J   4 & g t ; - & l t ; M e a s u r e s \ T o t a l   G J & g t ; \ C O L U M N < / K e y > < / a : K e y > < a : V a l u e   i : t y p e = " M e a s u r e G r i d V i e w S t a t e I D i a g r a m L i n k E n d p o i n t " / > < / a : K e y V a l u e O f D i a g r a m O b j e c t K e y a n y T y p e z b w N T n L X > < a : K e y V a l u e O f D i a g r a m O b j e c t K e y a n y T y p e z b w N T n L X > < a : K e y > < K e y > L i n k s \ & l t ; C o l u m n s \ S u m   o f   T o t a l   G J   4 & g t ; - & l t ; M e a s u r e s \ T o t a l   G J & g t ; \ M E A S U R E < / K e y > < / a : K e y > < a : V a l u e   i : t y p e = " M e a s u r e G r i d V i e w S t a t e I D i a g r a m L i n k E n d p o i n t " / > < / a : K e y V a l u e O f D i a g r a m O b j e c t K e y a n y T y p e z b w N T n L X > < a : K e y V a l u e O f D i a g r a m O b j e c t K e y a n y T y p e z b w N T n L X > < a : K e y > < K e y > L i n k s \ & l t ; C o l u m n s \ S u m   o f   S c o p e   1   k g   C O 2 - e   4 & g t ; - & l t ; M e a s u r e s \ S c o p e   1   k g   C O 2 - e & g t ; < / K e y > < / a : K e y > < a : V a l u e   i : t y p e = " M e a s u r e G r i d V i e w S t a t e I D i a g r a m L i n k " / > < / a : K e y V a l u e O f D i a g r a m O b j e c t K e y a n y T y p e z b w N T n L X > < a : K e y V a l u e O f D i a g r a m O b j e c t K e y a n y T y p e z b w N T n L X > < a : K e y > < K e y > L i n k s \ & l t ; C o l u m n s \ S u m   o f   S c o p e   1   k g   C O 2 - e   4 & g t ; - & l t ; M e a s u r e s \ S c o p e   1   k g   C O 2 - e & g t ; \ C O L U M N < / K e y > < / a : K e y > < a : V a l u e   i : t y p e = " M e a s u r e G r i d V i e w S t a t e I D i a g r a m L i n k E n d p o i n t " / > < / a : K e y V a l u e O f D i a g r a m O b j e c t K e y a n y T y p e z b w N T n L X > < a : K e y V a l u e O f D i a g r a m O b j e c t K e y a n y T y p e z b w N T n L X > < a : K e y > < K e y > L i n k s \ & l t ; C o l u m n s \ S u m   o f   S c o p e   1   k g   C O 2 - e   4 & g t ; - & l t ; M e a s u r e s \ S c o p e   1   k g   C O 2 - e & g t ; \ M E A S U R E < / K e y > < / a : K e y > < a : V a l u e   i : t y p e = " M e a s u r e G r i d V i e w S t a t e I D i a g r a m L i n k E n d p o i n t " / > < / a : K e y V a l u e O f D i a g r a m O b j e c t K e y a n y T y p e z b w N T n L X > < a : K e y V a l u e O f D i a g r a m O b j e c t K e y a n y T y p e z b w N T n L X > < a : K e y > < K e y > L i n k s \ & l t ; C o l u m n s \ S u m   o f   S c o p e   2   k g   C O 2 - e   4 & g t ; - & l t ; M e a s u r e s \ S c o p e   2   k g   C O 2 - e & g t ; < / K e y > < / a : K e y > < a : V a l u e   i : t y p e = " M e a s u r e G r i d V i e w S t a t e I D i a g r a m L i n k " / > < / a : K e y V a l u e O f D i a g r a m O b j e c t K e y a n y T y p e z b w N T n L X > < a : K e y V a l u e O f D i a g r a m O b j e c t K e y a n y T y p e z b w N T n L X > < a : K e y > < K e y > L i n k s \ & l t ; C o l u m n s \ S u m   o f   S c o p e   2   k g   C O 2 - e   4 & g t ; - & l t ; M e a s u r e s \ S c o p e   2   k g   C O 2 - e & g t ; \ C O L U M N < / K e y > < / a : K e y > < a : V a l u e   i : t y p e = " M e a s u r e G r i d V i e w S t a t e I D i a g r a m L i n k E n d p o i n t " / > < / a : K e y V a l u e O f D i a g r a m O b j e c t K e y a n y T y p e z b w N T n L X > < a : K e y V a l u e O f D i a g r a m O b j e c t K e y a n y T y p e z b w N T n L X > < a : K e y > < K e y > L i n k s \ & l t ; C o l u m n s \ S u m   o f   S c o p e   2   k g   C O 2 - e   4 & g t ; - & l t ; M e a s u r e s \ S c o p e   2   k g   C O 2 - e & g t ; \ M E A S U R E < / K e y > < / a : K e y > < a : V a l u e   i : t y p e = " M e a s u r e G r i d V i e w S t a t e I D i a g r a m L i n k E n d p o i n t " / > < / a : K e y V a l u e O f D i a g r a m O b j e c t K e y a n y T y p e z b w N T n L X > < a : K e y V a l u e O f D i a g r a m O b j e c t K e y a n y T y p e z b w N T n L X > < a : K e y > < K e y > L i n k s \ & l t ; C o l u m n s \ S u m   o f   S c o p e   3   k g   C O 2 - e   4 & g t ; - & l t ; M e a s u r e s \ S c o p e   3   k g   C O 2 - e & g t ; < / K e y > < / a : K e y > < a : V a l u e   i : t y p e = " M e a s u r e G r i d V i e w S t a t e I D i a g r a m L i n k " / > < / a : K e y V a l u e O f D i a g r a m O b j e c t K e y a n y T y p e z b w N T n L X > < a : K e y V a l u e O f D i a g r a m O b j e c t K e y a n y T y p e z b w N T n L X > < a : K e y > < K e y > L i n k s \ & l t ; C o l u m n s \ S u m   o f   S c o p e   3   k g   C O 2 - e   4 & g t ; - & l t ; M e a s u r e s \ S c o p e   3   k g   C O 2 - e & g t ; \ C O L U M N < / K e y > < / a : K e y > < a : V a l u e   i : t y p e = " M e a s u r e G r i d V i e w S t a t e I D i a g r a m L i n k E n d p o i n t " / > < / a : K e y V a l u e O f D i a g r a m O b j e c t K e y a n y T y p e z b w N T n L X > < a : K e y V a l u e O f D i a g r a m O b j e c t K e y a n y T y p e z b w N T n L X > < a : K e y > < K e y > L i n k s \ & l t ; C o l u m n s \ S u m   o f   S c o p e   3   k g   C O 2 - e   4 & g t ; - & l t ; M e a s u r e s \ S c o p e   3   k g   C O 2 - e & g t ; \ M E A S U R E < / K e y > < / a : K e y > < a : V a l u e   i : t y p e = " M e a s u r e G r i d V i e w S t a t e I D i a g r a m L i n k E n d p o i n t " / > < / a : K e y V a l u e O f D i a g r a m O b j e c t K e y a n y T y p e z b w N T n L X > < a : K e y V a l u e O f D i a g r a m O b j e c t K e y a n y T y p e z b w N T n L X > < a : K e y > < K e y > L i n k s \ & l t ; C o l u m n s \ S u m   o f   T o t a l   E m i s s i o n s   4 & g t ; - & l t ; M e a s u r e s \ T o t a l   E m i s s i o n s & g t ; < / K e y > < / a : K e y > < a : V a l u e   i : t y p e = " M e a s u r e G r i d V i e w S t a t e I D i a g r a m L i n k " / > < / a : K e y V a l u e O f D i a g r a m O b j e c t K e y a n y T y p e z b w N T n L X > < a : K e y V a l u e O f D i a g r a m O b j e c t K e y a n y T y p e z b w N T n L X > < a : K e y > < K e y > L i n k s \ & l t ; C o l u m n s \ S u m   o f   T o t a l   E m i s s i o n s   4 & g t ; - & l t ; M e a s u r e s \ T o t a l   E m i s s i o n s & g t ; \ C O L U M N < / K e y > < / a : K e y > < a : V a l u e   i : t y p e = " M e a s u r e G r i d V i e w S t a t e I D i a g r a m L i n k E n d p o i n t " / > < / a : K e y V a l u e O f D i a g r a m O b j e c t K e y a n y T y p e z b w N T n L X > < a : K e y V a l u e O f D i a g r a m O b j e c t K e y a n y T y p e z b w N T n L X > < a : K e y > < K e y > L i n k s \ & l t ; C o l u m n s \ S u m   o f   T o t a l   E m i s s i o n s   4 & g t ; - & l t ; M e a s u r e s \ T o t a l   E m i s s i o n s & g t ; \ M E A S U R E < / K e y > < / a : K e y > < a : V a l u e   i : t y p e = " M e a s u r e G r i d V i e w S t a t e I D i a g r a m L i n k E n d p o i n t " / > < / a : K e y V a l u e O f D i a g r a m O b j e c t K e y a n y T y p e z b w N T n L X > < / V i e w S t a t e s > < / D i a g r a m M a n a g e r . S e r i a l i z a b l e D i a g r a m > < D i a g r a m M a n a g e r . S e r i a l i z a b l e D i a g r a m > < A d a p t e r   i : t y p e = " M e a s u r e D i a g r a m S a n d b o x A d a p t e r " > < T a b l e N a m e > L P _ S t a t i o n a r y 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 L P _ S t a t i o n a r y < / 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 1 2 < / K e y > < / D i a g r a m O b j e c t K e y > < D i a g r a m O b j e c t K e y > < K e y > M e a s u r e s \ S u m   o f   C o n s u m p t i o n   Q u a n t i t y   1 2 \ T a g I n f o \ F o r m u l a < / K e y > < / D i a g r a m O b j e c t K e y > < D i a g r a m O b j e c t K e y > < K e y > M e a s u r e s \ S u m   o f   C o n s u m p t i o n   Q u a n t i t y   1 2 \ T a g I n f o \ V a l u e < / K e y > < / D i a g r a m O b j e c t K e y > < D i a g r a m O b j e c t K e y > < K e y > M e a s u r e s \ S u m   o f   T o t a l   G J   1 2 < / K e y > < / D i a g r a m O b j e c t K e y > < D i a g r a m O b j e c t K e y > < K e y > M e a s u r e s \ S u m   o f   T o t a l   G J   1 2 \ T a g I n f o \ F o r m u l a < / K e y > < / D i a g r a m O b j e c t K e y > < D i a g r a m O b j e c t K e y > < K e y > M e a s u r e s \ S u m   o f   T o t a l   G J   1 2 \ T a g I n f o \ V a l u e < / K e y > < / D i a g r a m O b j e c t K e y > < D i a g r a m O b j e c t K e y > < K e y > M e a s u r e s \ S u m   o f   S c o p e   1   k g   C O 2 - e   1 2 < / K e y > < / D i a g r a m O b j e c t K e y > < D i a g r a m O b j e c t K e y > < K e y > M e a s u r e s \ S u m   o f   S c o p e   1   k g   C O 2 - e   1 2 \ T a g I n f o \ F o r m u l a < / K e y > < / D i a g r a m O b j e c t K e y > < D i a g r a m O b j e c t K e y > < K e y > M e a s u r e s \ S u m   o f   S c o p e   1   k g   C O 2 - e   1 2 \ T a g I n f o \ V a l u e < / K e y > < / D i a g r a m O b j e c t K e y > < D i a g r a m O b j e c t K e y > < K e y > M e a s u r e s \ S u m   o f   S c o p e   2   k g   C O 2 - e   1 2 < / K e y > < / D i a g r a m O b j e c t K e y > < D i a g r a m O b j e c t K e y > < K e y > M e a s u r e s \ S u m   o f   S c o p e   2   k g   C O 2 - e   1 2 \ T a g I n f o \ F o r m u l a < / K e y > < / D i a g r a m O b j e c t K e y > < D i a g r a m O b j e c t K e y > < K e y > M e a s u r e s \ S u m   o f   S c o p e   2   k g   C O 2 - e   1 2 \ T a g I n f o \ V a l u e < / K e y > < / D i a g r a m O b j e c t K e y > < D i a g r a m O b j e c t K e y > < K e y > M e a s u r e s \ S u m   o f   S c o p e   3   k g   C O 2 - e   1 2 < / K e y > < / D i a g r a m O b j e c t K e y > < D i a g r a m O b j e c t K e y > < K e y > M e a s u r e s \ S u m   o f   S c o p e   3   k g   C O 2 - e   1 2 \ T a g I n f o \ F o r m u l a < / K e y > < / D i a g r a m O b j e c t K e y > < D i a g r a m O b j e c t K e y > < K e y > M e a s u r e s \ S u m   o f   S c o p e   3   k g   C O 2 - e   1 2 \ T a g I n f o \ V a l u e < / K e y > < / D i a g r a m O b j e c t K e y > < D i a g r a m O b j e c t K e y > < K e y > M e a s u r e s \ S u m   o f   T o t a l   E m i s s i o n s   1 2 < / K e y > < / D i a g r a m O b j e c t K e y > < D i a g r a m O b j e c t K e y > < K e y > M e a s u r e s \ S u m   o f   T o t a l   E m i s s i o n s   1 2 \ T a g I n f o \ F o r m u l a < / K e y > < / D i a g r a m O b j e c t K e y > < D i a g r a m O b j e c t K e y > < K e y > M e a s u r e s \ S u m   o f   T o t a l   E m i s s i o n s   1 2 \ T a g I n f o \ V a l u e < / K e y > < / D i a g r a m O b j e c t K e y > < D i a g r a m O b j e c t K e y > < K e y > C o l u m n s \ R e p o r t i n g   A l i a s < / K e y > < / D i a g r a m O b j e c t K e y > < D i a g r a m O b j e c t K e y > < K e y > C o l u m n s \ E n t i t y < / K e y > < / D i a g r a m O b j e c t K e y > < D i a g r a m O b j e c t K e y > < K e y > C o l u m n s \ F u e l < / K e y > < / D i a g r a m O b j e c t K e y > < D i a g r a m O b j e c t K e y > < K e y > C o l u m n s \ S t a t e < / K e y > < / D i a g r a m O b j e c t K e y > < D i a g r a m O b j e c t K e y > < K e y > C o l u m n s \ C o n s u m p t i o n   Q u a n t i t y   ( L ) < / K e y > < / D i a g r a m O b j e c t K e y > < D i a g r a m O b j e c t K e y > < K e y > C o l u m n s \ C o n s u m p t i o n 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 1 2 & g t ; - & l t ; M e a s u r e s \ C o n s u m p t i o n   Q u a n t i t y & g t ; < / K e y > < / D i a g r a m O b j e c t K e y > < D i a g r a m O b j e c t K e y > < K e y > L i n k s \ & l t ; C o l u m n s \ S u m   o f   C o n s u m p t i o n   Q u a n t i t y   1 2 & g t ; - & l t ; M e a s u r e s \ C o n s u m p t i o n   Q u a n t i t y & g t ; \ C O L U M N < / K e y > < / D i a g r a m O b j e c t K e y > < D i a g r a m O b j e c t K e y > < K e y > L i n k s \ & l t ; C o l u m n s \ S u m   o f   C o n s u m p t i o n   Q u a n t i t y   1 2 & g t ; - & l t ; M e a s u r e s \ C o n s u m p t i o n   Q u a n t i t y & g t ; \ M E A S U R E < / K e y > < / D i a g r a m O b j e c t K e y > < D i a g r a m O b j e c t K e y > < K e y > L i n k s \ & l t ; C o l u m n s \ S u m   o f   T o t a l   G J   1 2 & g t ; - & l t ; M e a s u r e s \ T o t a l   G J & g t ; < / K e y > < / D i a g r a m O b j e c t K e y > < D i a g r a m O b j e c t K e y > < K e y > L i n k s \ & l t ; C o l u m n s \ S u m   o f   T o t a l   G J   1 2 & g t ; - & l t ; M e a s u r e s \ T o t a l   G J & g t ; \ C O L U M N < / K e y > < / D i a g r a m O b j e c t K e y > < D i a g r a m O b j e c t K e y > < K e y > L i n k s \ & l t ; C o l u m n s \ S u m   o f   T o t a l   G J   1 2 & g t ; - & l t ; M e a s u r e s \ T o t a l   G J & g t ; \ M E A S U R E < / K e y > < / D i a g r a m O b j e c t K e y > < D i a g r a m O b j e c t K e y > < K e y > L i n k s \ & l t ; C o l u m n s \ S u m   o f   S c o p e   1   k g   C O 2 - e   1 2 & g t ; - & l t ; M e a s u r e s \ S c o p e   1   k g   C O 2 - e & g t ; < / K e y > < / D i a g r a m O b j e c t K e y > < D i a g r a m O b j e c t K e y > < K e y > L i n k s \ & l t ; C o l u m n s \ S u m   o f   S c o p e   1   k g   C O 2 - e   1 2 & g t ; - & l t ; M e a s u r e s \ S c o p e   1   k g   C O 2 - e & g t ; \ C O L U M N < / K e y > < / D i a g r a m O b j e c t K e y > < D i a g r a m O b j e c t K e y > < K e y > L i n k s \ & l t ; C o l u m n s \ S u m   o f   S c o p e   1   k g   C O 2 - e   1 2 & g t ; - & l t ; M e a s u r e s \ S c o p e   1   k g   C O 2 - e & g t ; \ M E A S U R E < / K e y > < / D i a g r a m O b j e c t K e y > < D i a g r a m O b j e c t K e y > < K e y > L i n k s \ & l t ; C o l u m n s \ S u m   o f   S c o p e   2   k g   C O 2 - e   1 2 & g t ; - & l t ; M e a s u r e s \ S c o p e   2   k g   C O 2 - e & g t ; < / K e y > < / D i a g r a m O b j e c t K e y > < D i a g r a m O b j e c t K e y > < K e y > L i n k s \ & l t ; C o l u m n s \ S u m   o f   S c o p e   2   k g   C O 2 - e   1 2 & g t ; - & l t ; M e a s u r e s \ S c o p e   2   k g   C O 2 - e & g t ; \ C O L U M N < / K e y > < / D i a g r a m O b j e c t K e y > < D i a g r a m O b j e c t K e y > < K e y > L i n k s \ & l t ; C o l u m n s \ S u m   o f   S c o p e   2   k g   C O 2 - e   1 2 & g t ; - & l t ; M e a s u r e s \ S c o p e   2   k g   C O 2 - e & g t ; \ M E A S U R E < / K e y > < / D i a g r a m O b j e c t K e y > < D i a g r a m O b j e c t K e y > < K e y > L i n k s \ & l t ; C o l u m n s \ S u m   o f   S c o p e   3   k g   C O 2 - e   1 2 & g t ; - & l t ; M e a s u r e s \ S c o p e   3   k g   C O 2 - e & g t ; < / K e y > < / D i a g r a m O b j e c t K e y > < D i a g r a m O b j e c t K e y > < K e y > L i n k s \ & l t ; C o l u m n s \ S u m   o f   S c o p e   3   k g   C O 2 - e   1 2 & g t ; - & l t ; M e a s u r e s \ S c o p e   3   k g   C O 2 - e & g t ; \ C O L U M N < / K e y > < / D i a g r a m O b j e c t K e y > < D i a g r a m O b j e c t K e y > < K e y > L i n k s \ & l t ; C o l u m n s \ S u m   o f   S c o p e   3   k g   C O 2 - e   1 2 & g t ; - & l t ; M e a s u r e s \ S c o p e   3   k g   C O 2 - e & g t ; \ M E A S U R E < / K e y > < / D i a g r a m O b j e c t K e y > < D i a g r a m O b j e c t K e y > < K e y > L i n k s \ & l t ; C o l u m n s \ S u m   o f   T o t a l   E m i s s i o n s   1 2 & g t ; - & l t ; M e a s u r e s \ T o t a l   E m i s s i o n s & g t ; < / K e y > < / D i a g r a m O b j e c t K e y > < D i a g r a m O b j e c t K e y > < K e y > L i n k s \ & l t ; C o l u m n s \ S u m   o f   T o t a l   E m i s s i o n s   1 2 & g t ; - & l t ; M e a s u r e s \ T o t a l   E m i s s i o n s & g t ; \ C O L U M N < / K e y > < / D i a g r a m O b j e c t K e y > < D i a g r a m O b j e c t K e y > < K e y > L i n k s \ & l t ; C o l u m n s \ S u m   o f   T o t a l   E m i s s i o n s   1 2 & g t ; - & l t ; M e a s u r e s \ T o t a l 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 1 2 < / K e y > < / a : K e y > < a : V a l u e   i : t y p e = " M e a s u r e G r i d N o d e V i e w S t a t e " > < C o l u m n > 6 < / C o l u m n > < L a y e d O u t > t r u e < / L a y e d O u t > < W a s U I I n v i s i b l e > t r u e < / W a s U I I n v i s i b l e > < / a : V a l u e > < / a : K e y V a l u e O f D i a g r a m O b j e c t K e y a n y T y p e z b w N T n L X > < a : K e y V a l u e O f D i a g r a m O b j e c t K e y a n y T y p e z b w N T n L X > < a : K e y > < K e y > M e a s u r e s \ S u m   o f   C o n s u m p t i o n   Q u a n t i t y   1 2 \ T a g I n f o \ F o r m u l a < / K e y > < / a : K e y > < a : V a l u e   i : t y p e = " M e a s u r e G r i d V i e w S t a t e I D i a g r a m T a g A d d i t i o n a l I n f o " / > < / a : K e y V a l u e O f D i a g r a m O b j e c t K e y a n y T y p e z b w N T n L X > < a : K e y V a l u e O f D i a g r a m O b j e c t K e y a n y T y p e z b w N T n L X > < a : K e y > < K e y > M e a s u r e s \ S u m   o f   C o n s u m p t i o n   Q u a n t i t y   1 2 \ T a g I n f o \ V a l u e < / K e y > < / a : K e y > < a : V a l u e   i : t y p e = " M e a s u r e G r i d V i e w S t a t e I D i a g r a m T a g A d d i t i o n a l I n f o " / > < / a : K e y V a l u e O f D i a g r a m O b j e c t K e y a n y T y p e z b w N T n L X > < a : K e y V a l u e O f D i a g r a m O b j e c t K e y a n y T y p e z b w N T n L X > < a : K e y > < K e y > M e a s u r e s \ S u m   o f   T o t a l   G J   1 2 < / K e y > < / a : K e y > < a : V a l u e   i : t y p e = " M e a s u r e G r i d N o d e V i e w S t a t e " > < C o l u m n > 7 < / C o l u m n > < L a y e d O u t > t r u e < / L a y e d O u t > < W a s U I I n v i s i b l e > t r u e < / W a s U I I n v i s i b l e > < / a : V a l u e > < / a : K e y V a l u e O f D i a g r a m O b j e c t K e y a n y T y p e z b w N T n L X > < a : K e y V a l u e O f D i a g r a m O b j e c t K e y a n y T y p e z b w N T n L X > < a : K e y > < K e y > M e a s u r e s \ S u m   o f   T o t a l   G J   1 2 \ T a g I n f o \ F o r m u l a < / K e y > < / a : K e y > < a : V a l u e   i : t y p e = " M e a s u r e G r i d V i e w S t a t e I D i a g r a m T a g A d d i t i o n a l I n f o " / > < / a : K e y V a l u e O f D i a g r a m O b j e c t K e y a n y T y p e z b w N T n L X > < a : K e y V a l u e O f D i a g r a m O b j e c t K e y a n y T y p e z b w N T n L X > < a : K e y > < K e y > M e a s u r e s \ S u m   o f   T o t a l   G J   1 2 \ T a g I n f o \ V a l u e < / K e y > < / a : K e y > < a : V a l u e   i : t y p e = " M e a s u r e G r i d V i e w S t a t e I D i a g r a m T a g A d d i t i o n a l I n f o " / > < / a : K e y V a l u e O f D i a g r a m O b j e c t K e y a n y T y p e z b w N T n L X > < a : K e y V a l u e O f D i a g r a m O b j e c t K e y a n y T y p e z b w N T n L X > < a : K e y > < K e y > M e a s u r e s \ S u m   o f   S c o p e   1   k g   C O 2 - e   1 2 < / K e y > < / a : K e y > < a : V a l u e   i : t y p e = " M e a s u r e G r i d N o d e V i e w S t a t e " > < C o l u m n > 8 < / C o l u m n > < L a y e d O u t > t r u e < / L a y e d O u t > < W a s U I I n v i s i b l e > t r u e < / W a s U I I n v i s i b l e > < / a : V a l u e > < / a : K e y V a l u e O f D i a g r a m O b j e c t K e y a n y T y p e z b w N T n L X > < a : K e y V a l u e O f D i a g r a m O b j e c t K e y a n y T y p e z b w N T n L X > < a : K e y > < K e y > M e a s u r e s \ S u m   o f   S c o p e   1   k g   C O 2 - e   1 2 \ T a g I n f o \ F o r m u l a < / K e y > < / a : K e y > < a : V a l u e   i : t y p e = " M e a s u r e G r i d V i e w S t a t e I D i a g r a m T a g A d d i t i o n a l I n f o " / > < / a : K e y V a l u e O f D i a g r a m O b j e c t K e y a n y T y p e z b w N T n L X > < a : K e y V a l u e O f D i a g r a m O b j e c t K e y a n y T y p e z b w N T n L X > < a : K e y > < K e y > M e a s u r e s \ S u m   o f   S c o p e   1   k g   C O 2 - e   1 2 \ T a g I n f o \ V a l u e < / K e y > < / a : K e y > < a : V a l u e   i : t y p e = " M e a s u r e G r i d V i e w S t a t e I D i a g r a m T a g A d d i t i o n a l I n f o " / > < / a : K e y V a l u e O f D i a g r a m O b j e c t K e y a n y T y p e z b w N T n L X > < a : K e y V a l u e O f D i a g r a m O b j e c t K e y a n y T y p e z b w N T n L X > < a : K e y > < K e y > M e a s u r e s \ S u m   o f   S c o p e   2   k g   C O 2 - e   1 2 < / K e y > < / a : K e y > < a : V a l u e   i : t y p e = " M e a s u r e G r i d N o d e V i e w S t a t e " > < C o l u m n > 9 < / C o l u m n > < L a y e d O u t > t r u e < / L a y e d O u t > < W a s U I I n v i s i b l e > t r u e < / W a s U I I n v i s i b l e > < / a : V a l u e > < / a : K e y V a l u e O f D i a g r a m O b j e c t K e y a n y T y p e z b w N T n L X > < a : K e y V a l u e O f D i a g r a m O b j e c t K e y a n y T y p e z b w N T n L X > < a : K e y > < K e y > M e a s u r e s \ S u m   o f   S c o p e   2   k g   C O 2 - e   1 2 \ T a g I n f o \ F o r m u l a < / K e y > < / a : K e y > < a : V a l u e   i : t y p e = " M e a s u r e G r i d V i e w S t a t e I D i a g r a m T a g A d d i t i o n a l I n f o " / > < / a : K e y V a l u e O f D i a g r a m O b j e c t K e y a n y T y p e z b w N T n L X > < a : K e y V a l u e O f D i a g r a m O b j e c t K e y a n y T y p e z b w N T n L X > < a : K e y > < K e y > M e a s u r e s \ S u m   o f   S c o p e   2   k g   C O 2 - e   1 2 \ T a g I n f o \ V a l u e < / K e y > < / a : K e y > < a : V a l u e   i : t y p e = " M e a s u r e G r i d V i e w S t a t e I D i a g r a m T a g A d d i t i o n a l I n f o " / > < / a : K e y V a l u e O f D i a g r a m O b j e c t K e y a n y T y p e z b w N T n L X > < a : K e y V a l u e O f D i a g r a m O b j e c t K e y a n y T y p e z b w N T n L X > < a : K e y > < K e y > M e a s u r e s \ S u m   o f   S c o p e   3   k g   C O 2 - e   1 2 < / K e y > < / a : K e y > < a : V a l u e   i : t y p e = " M e a s u r e G r i d N o d e V i e w S t a t e " > < C o l u m n > 1 0 < / C o l u m n > < L a y e d O u t > t r u e < / L a y e d O u t > < W a s U I I n v i s i b l e > t r u e < / W a s U I I n v i s i b l e > < / a : V a l u e > < / a : K e y V a l u e O f D i a g r a m O b j e c t K e y a n y T y p e z b w N T n L X > < a : K e y V a l u e O f D i a g r a m O b j e c t K e y a n y T y p e z b w N T n L X > < a : K e y > < K e y > M e a s u r e s \ S u m   o f   S c o p e   3   k g   C O 2 - e   1 2 \ T a g I n f o \ F o r m u l a < / K e y > < / a : K e y > < a : V a l u e   i : t y p e = " M e a s u r e G r i d V i e w S t a t e I D i a g r a m T a g A d d i t i o n a l I n f o " / > < / a : K e y V a l u e O f D i a g r a m O b j e c t K e y a n y T y p e z b w N T n L X > < a : K e y V a l u e O f D i a g r a m O b j e c t K e y a n y T y p e z b w N T n L X > < a : K e y > < K e y > M e a s u r e s \ S u m   o f   S c o p e   3   k g   C O 2 - e   1 2 \ T a g I n f o \ V a l u e < / K e y > < / a : K e y > < a : V a l u e   i : t y p e = " M e a s u r e G r i d V i e w S t a t e I D i a g r a m T a g A d d i t i o n a l I n f o " / > < / a : K e y V a l u e O f D i a g r a m O b j e c t K e y a n y T y p e z b w N T n L X > < a : K e y V a l u e O f D i a g r a m O b j e c t K e y a n y T y p e z b w N T n L X > < a : K e y > < K e y > M e a s u r e s \ S u m   o f   T o t a l   E m i s s i o n s   1 2 < / K e y > < / a : K e y > < a : V a l u e   i : t y p e = " M e a s u r e G r i d N o d e V i e w S t a t e " > < C o l u m n > 1 1 < / C o l u m n > < L a y e d O u t > t r u e < / L a y e d O u t > < W a s U I I n v i s i b l e > t r u e < / W a s U I I n v i s i b l e > < / a : V a l u e > < / a : K e y V a l u e O f D i a g r a m O b j e c t K e y a n y T y p e z b w N T n L X > < a : K e y V a l u e O f D i a g r a m O b j e c t K e y a n y T y p e z b w N T n L X > < a : K e y > < K e y > M e a s u r e s \ S u m   o f   T o t a l   E m i s s i o n s   1 2 \ T a g I n f o \ F o r m u l a < / K e y > < / a : K e y > < a : V a l u e   i : t y p e = " M e a s u r e G r i d V i e w S t a t e I D i a g r a m T a g A d d i t i o n a l I n f o " / > < / a : K e y V a l u e O f D i a g r a m O b j e c t K e y a n y T y p e z b w N T n L X > < a : K e y V a l u e O f D i a g r a m O b j e c t K e y a n y T y p e z b w N T n L X > < a : K e y > < K e y > M e a s u r e s \ S u m   o f   T o t a l   E m i s s i o n s   1 2 \ T a g I n f o \ V a l u e 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 C o l u m n s \ E n t i t y < / K e y > < / a : K e y > < a : V a l u e   i : t y p e = " M e a s u r e G r i d N o d e V i e w S t a t e " > < C o l u m n > 1 < / C o l u m n > < L a y e d O u t > t r u e < / L a y e d O u t > < / a : V a l u e > < / a : K e y V a l u e O f D i a g r a m O b j e c t K e y a n y T y p e z b w N T n L X > < a : K e y V a l u e O f D i a g r a m O b j e c t K e y a n y T y p e z b w N T n L X > < a : K e y > < K e y > C o l u m n s \ F u e l < / 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 C o l u m n s \ C o n s u m p t i o n   Q u a n t i t y   ( L ) < / K e y > < / a : K e y > < a : V a l u e   i : t y p e = " M e a s u r e G r i d N o d e V i e w S t a t e " > < C o l u m n > 4 < / C o l u m n > < L a y e d O u t > t r u e < / L a y e d O u t > < / a : V a l u e > < / a : K e y V a l u e O f D i a g r a m O b j e c t K e y a n y T y p e z b w N T n L X > < a : K e y V a l u e O f D i a g r a m O b j e c t K e y a n y T y p e z b w N T n L X > < a : K e y > < K e y > C o l u m n s \ C o n s u m p t i o n   U n i t s < / K e y > < / a : K e y > < a : V a l u e   i : t y p e = " M e a s u r e G r i d N o d e V i e w S t a t e " > < C o l u m n > 5 < / C o l u m n > < L a y e d O u t > t r u e < / L a y e d O u t > < / a : V a l u e > < / a : K e y V a l u e O f D i a g r a m O b j e c t K e y a n y T y p e z b w N T n L X > < a : K e y V a l u e O f D i a g r a m O b j e c t K e y a n y T y p e z b w N T n L X > < a : K e y > < K e y > C o l u m n s \ C o n s u m p t i o n   Q u a n t i t y < / K e y > < / a : K e y > < a : V a l u e   i : t y p e = " M e a s u r e G r i d N o d e V i e w S t a t e " > < C o l u m n > 6 < / C o l u m n > < L a y e d O u t > t r u e < / L a y e d O u t > < / a : V a l u e > < / a : K e y V a l u e O f D i a g r a m O b j e c t K e y a n y T y p e z b w N T n L X > < a : K e y V a l u e O f D i a g r a m O b j e c t K e y a n y T y p e z b w N T n L X > < a : K e y > < K e y > C o l u m n s \ T o t a l   G J < / K e y > < / a : K e y > < a : V a l u e   i : t y p e = " M e a s u r e G r i d N o d e V i e w S t a t e " > < C o l u m n > 7 < / C o l u m n > < L a y e d O u t > t r u e < / L a y e d O u t > < / a : V a l u e > < / a : K e y V a l u e O f D i a g r a m O b j e c t K e y a n y T y p e z b w N T n L X > < a : K e y V a l u e O f D i a g r a m O b j e c t K e y a n y T y p e z b w N T n L X > < a : K e y > < K e y > C o l u m n s \ S c o p e   1   k g   C O 2 - e < / K e y > < / a : K e y > < a : V a l u e   i : t y p e = " M e a s u r e G r i d N o d e V i e w S t a t e " > < C o l u m n > 8 < / C o l u m n > < L a y e d O u t > t r u e < / L a y e d O u t > < / a : V a l u e > < / a : K e y V a l u e O f D i a g r a m O b j e c t K e y a n y T y p e z b w N T n L X > < a : K e y V a l u e O f D i a g r a m O b j e c t K e y a n y T y p e z b w N T n L X > < a : K e y > < K e y > C o l u m n s \ S c o p e   2   k g   C O 2 - e < / K e y > < / a : K e y > < a : V a l u e   i : t y p e = " M e a s u r e G r i d N o d e V i e w S t a t e " > < C o l u m n > 9 < / C o l u m n > < L a y e d O u t > t r u e < / L a y e d O u t > < / a : V a l u e > < / a : K e y V a l u e O f D i a g r a m O b j e c t K e y a n y T y p e z b w N T n L X > < a : K e y V a l u e O f D i a g r a m O b j e c t K e y a n y T y p e z b w N T n L X > < a : K e y > < K e y > C o l u m n s \ S c o p e   3   k g   C O 2 - e < / K e y > < / a : K e y > < a : V a l u e   i : t y p e = " M e a s u r e G r i d N o d e V i e w S t a t e " > < C o l u m n > 1 0 < / C o l u m n > < L a y e d O u t > t r u e < / L a y e d O u t > < / a : V a l u e > < / a : K e y V a l u e O f D i a g r a m O b j e c t K e y a n y T y p e z b w N T n L X > < a : K e y V a l u e O f D i a g r a m O b j e c t K e y a n y T y p e z b w N T n L X > < a : K e y > < K e y > C o l u m n s \ T o t a l   E m i s s i o n s < / K e y > < / a : K e y > < a : V a l u e   i : t y p e = " M e a s u r e G r i d N o d e V i e w S t a t e " > < C o l u m n > 1 1 < / C o l u m n > < L a y e d O u t > t r u e < / L a y e d O u t > < / a : V a l u e > < / a : K e y V a l u e O f D i a g r a m O b j e c t K e y a n y T y p e z b w N T n L X > < a : K e y V a l u e O f D i a g r a m O b j e c t K e y a n y T y p e z b w N T n L X > < a : K e y > < K e y > L i n k s \ & l t ; C o l u m n s \ S u m   o f   C o n s u m p t i o n   Q u a n t i t y   1 2 & g t ; - & l t ; M e a s u r e s \ C o n s u m p t i o n   Q u a n t i t y & g t ; < / K e y > < / a : K e y > < a : V a l u e   i : t y p e = " M e a s u r e G r i d V i e w S t a t e I D i a g r a m L i n k " / > < / a : K e y V a l u e O f D i a g r a m O b j e c t K e y a n y T y p e z b w N T n L X > < a : K e y V a l u e O f D i a g r a m O b j e c t K e y a n y T y p e z b w N T n L X > < a : K e y > < K e y > L i n k s \ & l t ; C o l u m n s \ S u m   o f   C o n s u m p t i o n   Q u a n t i t y   1 2 & g t ; - & l t ; M e a s u r e s \ C o n s u m p t i o n   Q u a n t i t y & g t ; \ C O L U M N < / K e y > < / a : K e y > < a : V a l u e   i : t y p e = " M e a s u r e G r i d V i e w S t a t e I D i a g r a m L i n k E n d p o i n t " / > < / a : K e y V a l u e O f D i a g r a m O b j e c t K e y a n y T y p e z b w N T n L X > < a : K e y V a l u e O f D i a g r a m O b j e c t K e y a n y T y p e z b w N T n L X > < a : K e y > < K e y > L i n k s \ & l t ; C o l u m n s \ S u m   o f   C o n s u m p t i o n   Q u a n t i t y   1 2 & g t ; - & l t ; M e a s u r e s \ C o n s u m p t i o n   Q u a n t i t y & g t ; \ M E A S U R E < / K e y > < / a : K e y > < a : V a l u e   i : t y p e = " M e a s u r e G r i d V i e w S t a t e I D i a g r a m L i n k E n d p o i n t " / > < / a : K e y V a l u e O f D i a g r a m O b j e c t K e y a n y T y p e z b w N T n L X > < a : K e y V a l u e O f D i a g r a m O b j e c t K e y a n y T y p e z b w N T n L X > < a : K e y > < K e y > L i n k s \ & l t ; C o l u m n s \ S u m   o f   T o t a l   G J   1 2 & g t ; - & l t ; M e a s u r e s \ T o t a l   G J & g t ; < / K e y > < / a : K e y > < a : V a l u e   i : t y p e = " M e a s u r e G r i d V i e w S t a t e I D i a g r a m L i n k " / > < / a : K e y V a l u e O f D i a g r a m O b j e c t K e y a n y T y p e z b w N T n L X > < a : K e y V a l u e O f D i a g r a m O b j e c t K e y a n y T y p e z b w N T n L X > < a : K e y > < K e y > L i n k s \ & l t ; C o l u m n s \ S u m   o f   T o t a l   G J   1 2 & g t ; - & l t ; M e a s u r e s \ T o t a l   G J & g t ; \ C O L U M N < / K e y > < / a : K e y > < a : V a l u e   i : t y p e = " M e a s u r e G r i d V i e w S t a t e I D i a g r a m L i n k E n d p o i n t " / > < / a : K e y V a l u e O f D i a g r a m O b j e c t K e y a n y T y p e z b w N T n L X > < a : K e y V a l u e O f D i a g r a m O b j e c t K e y a n y T y p e z b w N T n L X > < a : K e y > < K e y > L i n k s \ & l t ; C o l u m n s \ S u m   o f   T o t a l   G J   1 2 & g t ; - & l t ; M e a s u r e s \ T o t a l   G J & g t ; \ M E A S U R E < / K e y > < / a : K e y > < a : V a l u e   i : t y p e = " M e a s u r e G r i d V i e w S t a t e I D i a g r a m L i n k E n d p o i n t " / > < / a : K e y V a l u e O f D i a g r a m O b j e c t K e y a n y T y p e z b w N T n L X > < a : K e y V a l u e O f D i a g r a m O b j e c t K e y a n y T y p e z b w N T n L X > < a : K e y > < K e y > L i n k s \ & l t ; C o l u m n s \ S u m   o f   S c o p e   1   k g   C O 2 - e   1 2 & g t ; - & l t ; M e a s u r e s \ S c o p e   1   k g   C O 2 - e & g t ; < / K e y > < / a : K e y > < a : V a l u e   i : t y p e = " M e a s u r e G r i d V i e w S t a t e I D i a g r a m L i n k " / > < / a : K e y V a l u e O f D i a g r a m O b j e c t K e y a n y T y p e z b w N T n L X > < a : K e y V a l u e O f D i a g r a m O b j e c t K e y a n y T y p e z b w N T n L X > < a : K e y > < K e y > L i n k s \ & l t ; C o l u m n s \ S u m   o f   S c o p e   1   k g   C O 2 - e   1 2 & g t ; - & l t ; M e a s u r e s \ S c o p e   1   k g   C O 2 - e & g t ; \ C O L U M N < / K e y > < / a : K e y > < a : V a l u e   i : t y p e = " M e a s u r e G r i d V i e w S t a t e I D i a g r a m L i n k E n d p o i n t " / > < / a : K e y V a l u e O f D i a g r a m O b j e c t K e y a n y T y p e z b w N T n L X > < a : K e y V a l u e O f D i a g r a m O b j e c t K e y a n y T y p e z b w N T n L X > < a : K e y > < K e y > L i n k s \ & l t ; C o l u m n s \ S u m   o f   S c o p e   1   k g   C O 2 - e   1 2 & g t ; - & l t ; M e a s u r e s \ S c o p e   1   k g   C O 2 - e & g t ; \ M E A S U R E < / K e y > < / a : K e y > < a : V a l u e   i : t y p e = " M e a s u r e G r i d V i e w S t a t e I D i a g r a m L i n k E n d p o i n t " / > < / a : K e y V a l u e O f D i a g r a m O b j e c t K e y a n y T y p e z b w N T n L X > < a : K e y V a l u e O f D i a g r a m O b j e c t K e y a n y T y p e z b w N T n L X > < a : K e y > < K e y > L i n k s \ & l t ; C o l u m n s \ S u m   o f   S c o p e   2   k g   C O 2 - e   1 2 & g t ; - & l t ; M e a s u r e s \ S c o p e   2   k g   C O 2 - e & g t ; < / K e y > < / a : K e y > < a : V a l u e   i : t y p e = " M e a s u r e G r i d V i e w S t a t e I D i a g r a m L i n k " / > < / a : K e y V a l u e O f D i a g r a m O b j e c t K e y a n y T y p e z b w N T n L X > < a : K e y V a l u e O f D i a g r a m O b j e c t K e y a n y T y p e z b w N T n L X > < a : K e y > < K e y > L i n k s \ & l t ; C o l u m n s \ S u m   o f   S c o p e   2   k g   C O 2 - e   1 2 & g t ; - & l t ; M e a s u r e s \ S c o p e   2   k g   C O 2 - e & g t ; \ C O L U M N < / K e y > < / a : K e y > < a : V a l u e   i : t y p e = " M e a s u r e G r i d V i e w S t a t e I D i a g r a m L i n k E n d p o i n t " / > < / a : K e y V a l u e O f D i a g r a m O b j e c t K e y a n y T y p e z b w N T n L X > < a : K e y V a l u e O f D i a g r a m O b j e c t K e y a n y T y p e z b w N T n L X > < a : K e y > < K e y > L i n k s \ & l t ; C o l u m n s \ S u m   o f   S c o p e   2   k g   C O 2 - e   1 2 & g t ; - & l t ; M e a s u r e s \ S c o p e   2   k g   C O 2 - e & g t ; \ M E A S U R E < / K e y > < / a : K e y > < a : V a l u e   i : t y p e = " M e a s u r e G r i d V i e w S t a t e I D i a g r a m L i n k E n d p o i n t " / > < / a : K e y V a l u e O f D i a g r a m O b j e c t K e y a n y T y p e z b w N T n L X > < a : K e y V a l u e O f D i a g r a m O b j e c t K e y a n y T y p e z b w N T n L X > < a : K e y > < K e y > L i n k s \ & l t ; C o l u m n s \ S u m   o f   S c o p e   3   k g   C O 2 - e   1 2 & g t ; - & l t ; M e a s u r e s \ S c o p e   3   k g   C O 2 - e & g t ; < / K e y > < / a : K e y > < a : V a l u e   i : t y p e = " M e a s u r e G r i d V i e w S t a t e I D i a g r a m L i n k " / > < / a : K e y V a l u e O f D i a g r a m O b j e c t K e y a n y T y p e z b w N T n L X > < a : K e y V a l u e O f D i a g r a m O b j e c t K e y a n y T y p e z b w N T n L X > < a : K e y > < K e y > L i n k s \ & l t ; C o l u m n s \ S u m   o f   S c o p e   3   k g   C O 2 - e   1 2 & g t ; - & l t ; M e a s u r e s \ S c o p e   3   k g   C O 2 - e & g t ; \ C O L U M N < / K e y > < / a : K e y > < a : V a l u e   i : t y p e = " M e a s u r e G r i d V i e w S t a t e I D i a g r a m L i n k E n d p o i n t " / > < / a : K e y V a l u e O f D i a g r a m O b j e c t K e y a n y T y p e z b w N T n L X > < a : K e y V a l u e O f D i a g r a m O b j e c t K e y a n y T y p e z b w N T n L X > < a : K e y > < K e y > L i n k s \ & l t ; C o l u m n s \ S u m   o f   S c o p e   3   k g   C O 2 - e   1 2 & g t ; - & l t ; M e a s u r e s \ S c o p e   3   k g   C O 2 - e & g t ; \ M E A S U R E < / K e y > < / a : K e y > < a : V a l u e   i : t y p e = " M e a s u r e G r i d V i e w S t a t e I D i a g r a m L i n k E n d p o i n t " / > < / a : K e y V a l u e O f D i a g r a m O b j e c t K e y a n y T y p e z b w N T n L X > < a : K e y V a l u e O f D i a g r a m O b j e c t K e y a n y T y p e z b w N T n L X > < a : K e y > < K e y > L i n k s \ & l t ; C o l u m n s \ S u m   o f   T o t a l   E m i s s i o n s   1 2 & g t ; - & l t ; M e a s u r e s \ T o t a l   E m i s s i o n s & g t ; < / K e y > < / a : K e y > < a : V a l u e   i : t y p e = " M e a s u r e G r i d V i e w S t a t e I D i a g r a m L i n k " / > < / a : K e y V a l u e O f D i a g r a m O b j e c t K e y a n y T y p e z b w N T n L X > < a : K e y V a l u e O f D i a g r a m O b j e c t K e y a n y T y p e z b w N T n L X > < a : K e y > < K e y > L i n k s \ & l t ; C o l u m n s \ S u m   o f   T o t a l   E m i s s i o n s   1 2 & g t ; - & l t ; M e a s u r e s \ T o t a l   E m i s s i o n s & g t ; \ C O L U M N < / K e y > < / a : K e y > < a : V a l u e   i : t y p e = " M e a s u r e G r i d V i e w S t a t e I D i a g r a m L i n k E n d p o i n t " / > < / a : K e y V a l u e O f D i a g r a m O b j e c t K e y a n y T y p e z b w N T n L X > < a : K e y V a l u e O f D i a g r a m O b j e c t K e y a n y T y p e z b w N T n L X > < a : K e y > < K e y > L i n k s \ & l t ; C o l u m n s \ S u m   o f   T o t a l   E m i s s i o n s   1 2 & g t ; - & l t ; M e a s u r e s \ T o t a l   E m i s s i o n s & g t ; \ M E A S U R E < / K e y > < / a : K e y > < a : V a l u e   i : t y p e = " M e a s u r e G r i d V i e w S t a t e I D i a g r a m L i n k E n d p o i n t " / > < / a : K e y V a l u e O f D i a g r a m O b j e c t K e y a n y T y p e z b w N T n L X > < / V i e w S t a t e s > < / D i a g r a m M a n a g e r . S e r i a l i z a b l e D i a g r a m > < D i a g r a m M a n a g e r . S e r i a l i z a b l e D i a g r a m > < A d a p t e r   i : t y p e = " M e a s u r e D i a g r a m S a n d b o x A d a p t e r " > < T a b l e N a m e > P e r c e n t a g e _ E s t i m a t e s 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 P e r c e n t a g e _ E s t i m a t e s < / 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 5 < / K e y > < / D i a g r a m O b j e c t K e y > < D i a g r a m O b j e c t K e y > < K e y > M e a s u r e s \ S u m   o f   C o n s u m p t i o n   Q u a n t i t y   5 \ T a g I n f o \ F o r m u l a < / K e y > < / D i a g r a m O b j e c t K e y > < D i a g r a m O b j e c t K e y > < K e y > M e a s u r e s \ S u m   o f   C o n s u m p t i o n   Q u a n t i t y   5 \ T a g I n f o \ V a l u e < / K e y > < / D i a g r a m O b j e c t K e y > < D i a g r a m O b j e c t K e y > < K e y > M e a s u r e s \ S u m   o f   T o t a l   G J   5 < / K e y > < / D i a g r a m O b j e c t K e y > < D i a g r a m O b j e c t K e y > < K e y > M e a s u r e s \ S u m   o f   T o t a l   G J   5 \ T a g I n f o \ F o r m u l a < / K e y > < / D i a g r a m O b j e c t K e y > < D i a g r a m O b j e c t K e y > < K e y > M e a s u r e s \ S u m   o f   T o t a l   G J   5 \ T a g I n f o \ V a l u e < / K e y > < / D i a g r a m O b j e c t K e y > < D i a g r a m O b j e c t K e y > < K e y > M e a s u r e s \ S u m   o f   S c o p e   1   k g   C O 2 - e   5 < / K e y > < / D i a g r a m O b j e c t K e y > < D i a g r a m O b j e c t K e y > < K e y > M e a s u r e s \ S u m   o f   S c o p e   1   k g   C O 2 - e   5 \ T a g I n f o \ F o r m u l a < / K e y > < / D i a g r a m O b j e c t K e y > < D i a g r a m O b j e c t K e y > < K e y > M e a s u r e s \ S u m   o f   S c o p e   1   k g   C O 2 - e   5 \ T a g I n f o \ V a l u e < / K e y > < / D i a g r a m O b j e c t K e y > < D i a g r a m O b j e c t K e y > < K e y > M e a s u r e s \ S u m   o f   S c o p e   2   k g   C O 2 - e   5 < / K e y > < / D i a g r a m O b j e c t K e y > < D i a g r a m O b j e c t K e y > < K e y > M e a s u r e s \ S u m   o f   S c o p e   2   k g   C O 2 - e   5 \ T a g I n f o \ F o r m u l a < / K e y > < / D i a g r a m O b j e c t K e y > < D i a g r a m O b j e c t K e y > < K e y > M e a s u r e s \ S u m   o f   S c o p e   2   k g   C O 2 - e   5 \ T a g I n f o \ V a l u e < / K e y > < / D i a g r a m O b j e c t K e y > < D i a g r a m O b j e c t K e y > < K e y > M e a s u r e s \ S u m   o f   S c o p e   3   k g   C O 2 - e   5 < / K e y > < / D i a g r a m O b j e c t K e y > < D i a g r a m O b j e c t K e y > < K e y > M e a s u r e s \ S u m   o f   S c o p e   3   k g   C O 2 - e   5 \ T a g I n f o \ F o r m u l a < / K e y > < / D i a g r a m O b j e c t K e y > < D i a g r a m O b j e c t K e y > < K e y > M e a s u r e s \ S u m   o f   S c o p e   3   k g   C O 2 - e   5 \ T a g I n f o \ V a l u e < / K e y > < / D i a g r a m O b j e c t K e y > < D i a g r a m O b j e c t K e y > < K e y > M e a s u r e s \ S u m   o f   T o t a l   E m i s s i o n s   5 < / K e y > < / D i a g r a m O b j e c t K e y > < D i a g r a m O b j e c t K e y > < K e y > M e a s u r e s \ S u m   o f   T o t a l   E m i s s i o n s   5 \ T a g I n f o \ F o r m u l a < / K e y > < / D i a g r a m O b j e c t K e y > < D i a g r a m O b j e c t K e y > < K e y > M e a s u r e s \ S u m   o f   T o t a l   E m i s s i o n s   5 \ T a g I n f o \ V a l u e < / 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 C o l u m n s \ Q u a n t i t y < / K e y > < / D i a g r a m O b j e c t K e y > < D i a g r a m O b j e c t K e y > < K e y > C o l u m n s \ A p p o r t i o n e d   Q u a n t i t y < / K e y > < / D i a g r a m O b j e c t K e y > < D i a g r a m O b j e c t K e y > < K e y > C o l u m n s \ C o n s u m p t i o n   Q u a n t i t y < / K e y > < / D i a g r a m O b j e c t K e y > < D i a g r a m O b j e c t K e y > < K e y > C o l u m n s \ U n i t   o f   m e a s u r e < / K e y > < / D i a g r a m O b j e c t K e y > < D i a g r a m O b j e c t K e y > < K e y > C o l u m n s \ U s e   o f   f u e l < / K e y > < / D i a g r a m O b j e c t K e y > < D i a g r a m O b j e c t K e y > < K e y > C o l u m n s \ P e r i o d   S t a r t < / K e y > < / D i a g r a m O b j e c t K e y > < D i a g r a m O b j e c t K e y > < K e y > C o l u m n s \ P e r i o d   E n d < / K e y > < / D i a g r a m O b j e c t K e y > < D i a g r a m O b j e c t K e y > < K e y > C o l u m n s \ D a y s < / K e y > < / D i a g r a m O b j e c t K e y > < D i a g r a m O b j e c t K e y > < K e y > C o l u m n s \ G e n e r a t o r   M a k e & g t ; m o d e l 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 5 & g t ; - & l t ; M e a s u r e s \ C o n s u m p t i o n   Q u a n t i t y & g t ; < / K e y > < / D i a g r a m O b j e c t K e y > < D i a g r a m O b j e c t K e y > < K e y > L i n k s \ & l t ; C o l u m n s \ S u m   o f   C o n s u m p t i o n   Q u a n t i t y   5 & g t ; - & l t ; M e a s u r e s \ C o n s u m p t i o n   Q u a n t i t y & g t ; \ C O L U M N < / K e y > < / D i a g r a m O b j e c t K e y > < D i a g r a m O b j e c t K e y > < K e y > L i n k s \ & l t ; C o l u m n s \ S u m   o f   C o n s u m p t i o n   Q u a n t i t y   5 & g t ; - & l t ; M e a s u r e s \ C o n s u m p t i o n   Q u a n t i t y & g t ; \ M E A S U R E < / K e y > < / D i a g r a m O b j e c t K e y > < D i a g r a m O b j e c t K e y > < K e y > L i n k s \ & l t ; C o l u m n s \ S u m   o f   T o t a l   G J   5 & g t ; - & l t ; M e a s u r e s \ T o t a l   G J & g t ; < / K e y > < / D i a g r a m O b j e c t K e y > < D i a g r a m O b j e c t K e y > < K e y > L i n k s \ & l t ; C o l u m n s \ S u m   o f   T o t a l   G J   5 & g t ; - & l t ; M e a s u r e s \ T o t a l   G J & g t ; \ C O L U M N < / K e y > < / D i a g r a m O b j e c t K e y > < D i a g r a m O b j e c t K e y > < K e y > L i n k s \ & l t ; C o l u m n s \ S u m   o f   T o t a l   G J   5 & g t ; - & l t ; M e a s u r e s \ T o t a l   G J & g t ; \ M E A S U R E < / K e y > < / D i a g r a m O b j e c t K e y > < D i a g r a m O b j e c t K e y > < K e y > L i n k s \ & l t ; C o l u m n s \ S u m   o f   S c o p e   1   k g   C O 2 - e   5 & g t ; - & l t ; M e a s u r e s \ S c o p e   1   k g   C O 2 - e & g t ; < / K e y > < / D i a g r a m O b j e c t K e y > < D i a g r a m O b j e c t K e y > < K e y > L i n k s \ & l t ; C o l u m n s \ S u m   o f   S c o p e   1   k g   C O 2 - e   5 & g t ; - & l t ; M e a s u r e s \ S c o p e   1   k g   C O 2 - e & g t ; \ C O L U M N < / K e y > < / D i a g r a m O b j e c t K e y > < D i a g r a m O b j e c t K e y > < K e y > L i n k s \ & l t ; C o l u m n s \ S u m   o f   S c o p e   1   k g   C O 2 - e   5 & g t ; - & l t ; M e a s u r e s \ S c o p e   1   k g   C O 2 - e & g t ; \ M E A S U R E < / K e y > < / D i a g r a m O b j e c t K e y > < D i a g r a m O b j e c t K e y > < K e y > L i n k s \ & l t ; C o l u m n s \ S u m   o f   S c o p e   2   k g   C O 2 - e   5 & g t ; - & l t ; M e a s u r e s \ S c o p e   2   k g   C O 2 - e & g t ; < / K e y > < / D i a g r a m O b j e c t K e y > < D i a g r a m O b j e c t K e y > < K e y > L i n k s \ & l t ; C o l u m n s \ S u m   o f   S c o p e   2   k g   C O 2 - e   5 & g t ; - & l t ; M e a s u r e s \ S c o p e   2   k g   C O 2 - e & g t ; \ C O L U M N < / K e y > < / D i a g r a m O b j e c t K e y > < D i a g r a m O b j e c t K e y > < K e y > L i n k s \ & l t ; C o l u m n s \ S u m   o f   S c o p e   2   k g   C O 2 - e   5 & g t ; - & l t ; M e a s u r e s \ S c o p e   2   k g   C O 2 - e & g t ; \ M E A S U R E < / K e y > < / D i a g r a m O b j e c t K e y > < D i a g r a m O b j e c t K e y > < K e y > L i n k s \ & l t ; C o l u m n s \ S u m   o f   S c o p e   3   k g   C O 2 - e   5 & g t ; - & l t ; M e a s u r e s \ S c o p e   3   k g   C O 2 - e & g t ; < / K e y > < / D i a g r a m O b j e c t K e y > < D i a g r a m O b j e c t K e y > < K e y > L i n k s \ & l t ; C o l u m n s \ S u m   o f   S c o p e   3   k g   C O 2 - e   5 & g t ; - & l t ; M e a s u r e s \ S c o p e   3   k g   C O 2 - e & g t ; \ C O L U M N < / K e y > < / D i a g r a m O b j e c t K e y > < D i a g r a m O b j e c t K e y > < K e y > L i n k s \ & l t ; C o l u m n s \ S u m   o f   S c o p e   3   k g   C O 2 - e   5 & g t ; - & l t ; M e a s u r e s \ S c o p e   3   k g   C O 2 - e & g t ; \ M E A S U R E < / K e y > < / D i a g r a m O b j e c t K e y > < D i a g r a m O b j e c t K e y > < K e y > L i n k s \ & l t ; C o l u m n s \ S u m   o f   T o t a l   E m i s s i o n s   5 & g t ; - & l t ; M e a s u r e s \ T o t a l   E m i s s i o n s & g t ; < / K e y > < / D i a g r a m O b j e c t K e y > < D i a g r a m O b j e c t K e y > < K e y > L i n k s \ & l t ; C o l u m n s \ S u m   o f   T o t a l   E m i s s i o n s   5 & g t ; - & l t ; M e a s u r e s \ T o t a l   E m i s s i o n s & g t ; \ C O L U M N < / K e y > < / D i a g r a m O b j e c t K e y > < D i a g r a m O b j e c t K e y > < K e y > L i n k s \ & l t ; C o l u m n s \ S u m   o f   T o t a l   E m i s s i o n s   5 & g t ; - & l t ; M e a s u r e s \ T o t a l 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 5 < / K e y > < / a : K e y > < a : V a l u e   i : t y p e = " M e a s u r e G r i d N o d e V i e w S t a t e " > < C o l u m n > 8 < / C o l u m n > < L a y e d O u t > t r u e < / L a y e d O u t > < W a s U I I n v i s i b l e > t r u e < / W a s U I I n v i s i b l e > < / a : V a l u e > < / a : K e y V a l u e O f D i a g r a m O b j e c t K e y a n y T y p e z b w N T n L X > < a : K e y V a l u e O f D i a g r a m O b j e c t K e y a n y T y p e z b w N T n L X > < a : K e y > < K e y > M e a s u r e s \ S u m   o f   C o n s u m p t i o n   Q u a n t i t y   5 \ T a g I n f o \ F o r m u l a < / K e y > < / a : K e y > < a : V a l u e   i : t y p e = " M e a s u r e G r i d V i e w S t a t e I D i a g r a m T a g A d d i t i o n a l I n f o " / > < / a : K e y V a l u e O f D i a g r a m O b j e c t K e y a n y T y p e z b w N T n L X > < a : K e y V a l u e O f D i a g r a m O b j e c t K e y a n y T y p e z b w N T n L X > < a : K e y > < K e y > M e a s u r e s \ S u m   o f   C o n s u m p t i o n   Q u a n t i t y   5 \ T a g I n f o \ V a l u e < / K e y > < / a : K e y > < a : V a l u e   i : t y p e = " M e a s u r e G r i d V i e w S t a t e I D i a g r a m T a g A d d i t i o n a l I n f o " / > < / a : K e y V a l u e O f D i a g r a m O b j e c t K e y a n y T y p e z b w N T n L X > < a : K e y V a l u e O f D i a g r a m O b j e c t K e y a n y T y p e z b w N T n L X > < a : K e y > < K e y > M e a s u r e s \ S u m   o f   T o t a l   G J   5 < / K e y > < / a : K e y > < a : V a l u e   i : t y p e = " M e a s u r e G r i d N o d e V i e w S t a t e " > < C o l u m n > 1 8 < / C o l u m n > < L a y e d O u t > t r u e < / L a y e d O u t > < W a s U I I n v i s i b l e > t r u e < / W a s U I I n v i s i b l e > < / a : V a l u e > < / a : K e y V a l u e O f D i a g r a m O b j e c t K e y a n y T y p e z b w N T n L X > < a : K e y V a l u e O f D i a g r a m O b j e c t K e y a n y T y p e z b w N T n L X > < a : K e y > < K e y > M e a s u r e s \ S u m   o f   T o t a l   G J   5 \ T a g I n f o \ F o r m u l a < / K e y > < / a : K e y > < a : V a l u e   i : t y p e = " M e a s u r e G r i d V i e w S t a t e I D i a g r a m T a g A d d i t i o n a l I n f o " / > < / a : K e y V a l u e O f D i a g r a m O b j e c t K e y a n y T y p e z b w N T n L X > < a : K e y V a l u e O f D i a g r a m O b j e c t K e y a n y T y p e z b w N T n L X > < a : K e y > < K e y > M e a s u r e s \ S u m   o f   T o t a l   G J   5 \ T a g I n f o \ V a l u e < / K e y > < / a : K e y > < a : V a l u e   i : t y p e = " M e a s u r e G r i d V i e w S t a t e I D i a g r a m T a g A d d i t i o n a l I n f o " / > < / a : K e y V a l u e O f D i a g r a m O b j e c t K e y a n y T y p e z b w N T n L X > < a : K e y V a l u e O f D i a g r a m O b j e c t K e y a n y T y p e z b w N T n L X > < a : K e y > < K e y > M e a s u r e s \ S u m   o f   S c o p e   1   k g   C O 2 - e   5 < / K e y > < / a : K e y > < a : V a l u e   i : t y p e = " M e a s u r e G r i d N o d e V i e w S t a t e " > < C o l u m n > 1 9 < / C o l u m n > < L a y e d O u t > t r u e < / L a y e d O u t > < W a s U I I n v i s i b l e > t r u e < / W a s U I I n v i s i b l e > < / a : V a l u e > < / a : K e y V a l u e O f D i a g r a m O b j e c t K e y a n y T y p e z b w N T n L X > < a : K e y V a l u e O f D i a g r a m O b j e c t K e y a n y T y p e z b w N T n L X > < a : K e y > < K e y > M e a s u r e s \ S u m   o f   S c o p e   1   k g   C O 2 - e   5 \ T a g I n f o \ F o r m u l a < / K e y > < / a : K e y > < a : V a l u e   i : t y p e = " M e a s u r e G r i d V i e w S t a t e I D i a g r a m T a g A d d i t i o n a l I n f o " / > < / a : K e y V a l u e O f D i a g r a m O b j e c t K e y a n y T y p e z b w N T n L X > < a : K e y V a l u e O f D i a g r a m O b j e c t K e y a n y T y p e z b w N T n L X > < a : K e y > < K e y > M e a s u r e s \ S u m   o f   S c o p e   1   k g   C O 2 - e   5 \ T a g I n f o \ V a l u e < / K e y > < / a : K e y > < a : V a l u e   i : t y p e = " M e a s u r e G r i d V i e w S t a t e I D i a g r a m T a g A d d i t i o n a l I n f o " / > < / a : K e y V a l u e O f D i a g r a m O b j e c t K e y a n y T y p e z b w N T n L X > < a : K e y V a l u e O f D i a g r a m O b j e c t K e y a n y T y p e z b w N T n L X > < a : K e y > < K e y > M e a s u r e s \ S u m   o f   S c o p e   2   k g   C O 2 - e   5 < / K e y > < / a : K e y > < a : V a l u e   i : t y p e = " M e a s u r e G r i d N o d e V i e w S t a t e " > < C o l u m n > 2 0 < / C o l u m n > < L a y e d O u t > t r u e < / L a y e d O u t > < W a s U I I n v i s i b l e > t r u e < / W a s U I I n v i s i b l e > < / a : V a l u e > < / a : K e y V a l u e O f D i a g r a m O b j e c t K e y a n y T y p e z b w N T n L X > < a : K e y V a l u e O f D i a g r a m O b j e c t K e y a n y T y p e z b w N T n L X > < a : K e y > < K e y > M e a s u r e s \ S u m   o f   S c o p e   2   k g   C O 2 - e   5 \ T a g I n f o \ F o r m u l a < / K e y > < / a : K e y > < a : V a l u e   i : t y p e = " M e a s u r e G r i d V i e w S t a t e I D i a g r a m T a g A d d i t i o n a l I n f o " / > < / a : K e y V a l u e O f D i a g r a m O b j e c t K e y a n y T y p e z b w N T n L X > < a : K e y V a l u e O f D i a g r a m O b j e c t K e y a n y T y p e z b w N T n L X > < a : K e y > < K e y > M e a s u r e s \ S u m   o f   S c o p e   2   k g   C O 2 - e   5 \ T a g I n f o \ V a l u e < / K e y > < / a : K e y > < a : V a l u e   i : t y p e = " M e a s u r e G r i d V i e w S t a t e I D i a g r a m T a g A d d i t i o n a l I n f o " / > < / a : K e y V a l u e O f D i a g r a m O b j e c t K e y a n y T y p e z b w N T n L X > < a : K e y V a l u e O f D i a g r a m O b j e c t K e y a n y T y p e z b w N T n L X > < a : K e y > < K e y > M e a s u r e s \ S u m   o f   S c o p e   3   k g   C O 2 - e   5 < / K e y > < / a : K e y > < a : V a l u e   i : t y p e = " M e a s u r e G r i d N o d e V i e w S t a t e " > < C o l u m n > 2 1 < / C o l u m n > < L a y e d O u t > t r u e < / L a y e d O u t > < W a s U I I n v i s i b l e > t r u e < / W a s U I I n v i s i b l e > < / a : V a l u e > < / a : K e y V a l u e O f D i a g r a m O b j e c t K e y a n y T y p e z b w N T n L X > < a : K e y V a l u e O f D i a g r a m O b j e c t K e y a n y T y p e z b w N T n L X > < a : K e y > < K e y > M e a s u r e s \ S u m   o f   S c o p e   3   k g   C O 2 - e   5 \ T a g I n f o \ F o r m u l a < / K e y > < / a : K e y > < a : V a l u e   i : t y p e = " M e a s u r e G r i d V i e w S t a t e I D i a g r a m T a g A d d i t i o n a l I n f o " / > < / a : K e y V a l u e O f D i a g r a m O b j e c t K e y a n y T y p e z b w N T n L X > < a : K e y V a l u e O f D i a g r a m O b j e c t K e y a n y T y p e z b w N T n L X > < a : K e y > < K e y > M e a s u r e s \ S u m   o f   S c o p e   3   k g   C O 2 - e   5 \ T a g I n f o \ V a l u e < / K e y > < / a : K e y > < a : V a l u e   i : t y p e = " M e a s u r e G r i d V i e w S t a t e I D i a g r a m T a g A d d i t i o n a l I n f o " / > < / a : K e y V a l u e O f D i a g r a m O b j e c t K e y a n y T y p e z b w N T n L X > < a : K e y V a l u e O f D i a g r a m O b j e c t K e y a n y T y p e z b w N T n L X > < a : K e y > < K e y > M e a s u r e s \ S u m   o f   T o t a l   E m i s s i o n s   5 < / K e y > < / a : K e y > < a : V a l u e   i : t y p e = " M e a s u r e G r i d N o d e V i e w S t a t e " > < C o l u m n > 2 2 < / C o l u m n > < L a y e d O u t > t r u e < / L a y e d O u t > < W a s U I I n v i s i b l e > t r u e < / W a s U I I n v i s i b l e > < / a : V a l u e > < / a : K e y V a l u e O f D i a g r a m O b j e c t K e y a n y T y p e z b w N T n L X > < a : K e y V a l u e O f D i a g r a m O b j e c t K e y a n y T y p e z b w N T n L X > < a : K e y > < K e y > M e a s u r e s \ S u m   o f   T o t a l   E m i s s i o n s   5 \ T a g I n f o \ F o r m u l a < / K e y > < / a : K e y > < a : V a l u e   i : t y p e = " M e a s u r e G r i d V i e w S t a t e I D i a g r a m T a g A d d i t i o n a l I n f o " / > < / a : K e y V a l u e O f D i a g r a m O b j e c t K e y a n y T y p e z b w N T n L X > < a : K e y V a l u e O f D i a g r a m O b j e c t K e y a n y T y p e z b w N T n L X > < a : K e y > < K e y > M e a s u r e s \ S u m   o f   T o t a l   E m i s s i o n s   5 \ T a g I n f o \ V a l u e < / K e y > < / a : K e y > < a : V a l u e   i : t y p e = " M e a s u r e G r i d V i e w S t a t e I D i a g r a m T a g A d d i t i o n a l I n f o " / > < / 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 2 3 < / C o l u m n > < L a y e d O u t > t r u e < / L a y e d O u t > < / a : V a l u e > < / a : K e y V a l u e O f D i a g r a m O b j e c t K e y a n y T y p e z b w N T n L X > < a : K e y V a l u e O f D i a g r a m O b j e c t K e y a n y T y p e z b w N T n L X > < a : K e y > < K e y > C o l u m n s \ P r o c e d u r e   t o   C a p t u r e   d a t a < / K e y > < / a : K e y > < a : V a l u e   i : t y p e = " M e a s u r e G r i d N o d e V i e w S t a t e " > < C o l u m n > 4 < / C o l u m n > < L a y e d O u t > t r u e < / L a y e d O u t > < / a : V a l u e > < / a : K e y V a l u e O f D i a g r a m O b j e c t K e y a n y T y p e z b w N T n L X > < a : K e y V a l u e O f D i a g r a m O b j e c t K e y a n y T y p e z b w N T n L X > < a : K e y > < K e y > C o l u m n s \ E s t i m a t i o n   M e t h o d   ( i f   r e l e v a n t ) < / K e y > < / a : K e y > < a : V a l u e   i : t y p e = " M e a s u r e G r i d N o d e V i e w S t a t e " > < C o l u m n > 5 < / C o l u m n > < L a y e d O u t > t r u e < / L a y e d O u t > < / a : V a l u e > < / a : K e y V a l u e O f D i a g r a m O b j e c t K e y a n y T y p e z b w N T n L X > < a : K e y V a l u e O f D i a g r a m O b j e c t K e y a n y T y p e z b w N T n L X > < a : K e y > < K e y > C o l u m n s \ Q u a n t i t y < / K e y > < / a : K e y > < a : V a l u e   i : t y p e = " M e a s u r e G r i d N o d e V i e w S t a t e " > < C o l u m n > 6 < / C o l u m n > < L a y e d O u t > t r u e < / L a y e d O u t > < / a : V a l u e > < / a : K e y V a l u e O f D i a g r a m O b j e c t K e y a n y T y p e z b w N T n L X > < a : K e y V a l u e O f D i a g r a m O b j e c t K e y a n y T y p e z b w N T n L X > < a : K e y > < K e y > C o l u m n s \ A p p o r t i o n e d   Q u a n t i t y < / K e y > < / a : K e y > < a : V a l u e   i : t y p e = " M e a s u r e G r i d N o d e V i e w S t a t e " > < C o l u m n > 7 < / C o l u m n > < L a y e d O u t > t r u e < / L a y e d O u t > < / a : V a l u e > < / a : K e y V a l u e O f D i a g r a m O b j e c t K e y a n y T y p e z b w N T n L X > < a : K e y V a l u e O f D i a g r a m O b j e c t K e y a n y T y p e z b w N T n L X > < a : K e y > < K e y > C o l u m n s \ C o n s u m p t i o n   Q u a n t i t y < / K e y > < / a : K e y > < a : V a l u e   i : t y p e = " M e a s u r e G r i d N o d e V i e w S t a t e " > < C o l u m n > 8 < / C o l u m n > < L a y e d O u t > t r u e < / L a y e d O u t > < / a : V a l u e > < / a : K e y V a l u e O f D i a g r a m O b j e c t K e y a n y T y p e z b w N T n L X > < a : K e y V a l u e O f D i a g r a m O b j e c t K e y a n y T y p e z b w N T n L X > < a : K e y > < K e y > C o l u m n s \ U n i t   o f   m e a s u r e < / K e y > < / a : K e y > < a : V a l u e   i : t y p e = " M e a s u r e G r i d N o d e V i e w S t a t e " > < C o l u m n > 2 4 < / 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 C o l u m n s \ P e r i o d   S t a r t < / K e y > < / a : K e y > < a : V a l u e   i : t y p e = " M e a s u r e G r i d N o d e V i e w S t a t e " > < C o l u m n > 2 5 < / C o l u m n > < L a y e d O u t > t r u e < / L a y e d O u t > < / a : V a l u e > < / a : K e y V a l u e O f D i a g r a m O b j e c t K e y a n y T y p e z b w N T n L X > < a : K e y V a l u e O f D i a g r a m O b j e c t K e y a n y T y p e z b w N T n L X > < a : K e y > < K e y > C o l u m n s \ P e r i o d   E n d < / K e y > < / a : K e y > < a : V a l u e   i : t y p e = " M e a s u r e G r i d N o d e V i e w S t a t e " > < C o l u m n > 1 0 < / C o l u m n > < L a y e d O u t > t r u e < / L a y e d O u t > < / a : V a l u e > < / a : K e y V a l u e O f D i a g r a m O b j e c t K e y a n y T y p e z b w N T n L X > < a : K e y V a l u e O f D i a g r a m O b j e c t K e y a n y T y p e z b w N T n L X > < a : K e y > < K e y > C o l u m n s \ D a y s < / K e y > < / a : K e y > < a : V a l u e   i : t y p e = " M e a s u r e G r i d N o d e V i e w S t a t e " > < C o l u m n > 1 1 < / C o l u m n > < L a y e d O u t > t r u e < / L a y e d O u t > < / a : V a l u e > < / a : K e y V a l u e O f D i a g r a m O b j e c t K e y a n y T y p e z b w N T n L X > < a : K e y V a l u e O f D i a g r a m O b j e c t K e y a n y T y p e z b w N T n L X > < a : K e y > < K e y > C o l u m n s \ G e n e r a t o r   M a k e & g t ; m o d e l < / K e y > < / a : K e y > < a : V a l u e   i : t y p e = " M e a s u r e G r i d N o d e V i e w S t a t e " > < C o l u m n > 1 2 < / C o l u m n > < L a y e d O u t > t r u e < / L a y e d O u t > < / a : V a l u e > < / a : K e y V a l u e O f D i a g r a m O b j e c t K e y a n y T y p e z b w N T n L X > < a : K e y V a l u e O f D i a g r a m O b j e c t K e y a n y T y p e z b w N T n L X > < a : K e y > < K e y > C o l u m n s \ E s t i m a t e d   r u n   t i m e   ( h o u r s ) < / K e y > < / a : K e y > < a : V a l u e   i : t y p e = " M e a s u r e G r i d N o d e V i e w S t a t e " > < C o l u m n > 1 3 < / C o l u m n > < L a y e d O u t > t r u e < / L a y e d O u t > < / a : V a l u e > < / a : K e y V a l u e O f D i a g r a m O b j e c t K e y a n y T y p e z b w N T n L X > < a : K e y V a l u e O f D i a g r a m O b j e c t K e y a n y T y p e z b w N T n L X > < a : K e y > < K e y > C o l u m n s \ I n s t a l l e d   C a p a c i t y < / K e y > < / a : K e y > < a : V a l u e   i : t y p e = " M e a s u r e G r i d N o d e V i e w S t a t e " > < C o l u m n > 1 4 < / C o l u m n > < L a y e d O u t > t r u e < / L a y e d O u t > < / a : V a l u e > < / a : K e y V a l u e O f D i a g r a m O b j e c t K e y a n y T y p e z b w N T n L X > < a : K e y V a l u e O f D i a g r a m O b j e c t K e y a n y T y p e z b w N T n L X > < a : K e y > < K e y > C o l u m n s \ D e r a t e d   C a p a c i t y < / K e y > < / a : K e y > < a : V a l u e   i : t y p e = " M e a s u r e G r i d N o d e V i e w S t a t e " > < C o l u m n > 1 5 < / C o l u m n > < L a y e d O u t > t r u e < / L a y e d O u t > < / a : V a l u e > < / a : K e y V a l u e O f D i a g r a m O b j e c t K e y a n y T y p e z b w N T n L X > < a : K e y V a l u e O f D i a g r a m O b j e c t K e y a n y T y p e z b w N T n L X > < a : K e y > < K e y > C o l u m n s \ G e n e r a t o r   U n i t s < / K e y > < / a : K e y > < a : V a l u e   i : t y p e = " M e a s u r e G r i d N o d e V i e w S t a t e " > < C o l u m n > 1 6 < / C o l u m n > < L a y e d O u t > t r u e < / L a y e d O u t > < / a : V a l u e > < / a : K e y V a l u e O f D i a g r a m O b j e c t K e y a n y T y p e z b w N T n L X > < a : K e y V a l u e O f D i a g r a m O b j e c t K e y a n y T y p e z b w N T n L X > < a : K e y > < K e y > C o l u m n s \ R e p o r t i n g   A l i a s < / K e y > < / a : K e y > < a : V a l u e   i : t y p e = " M e a s u r e G r i d N o d e V i e w S t a t e " > < C o l u m n > 1 7 < / C o l u m n > < L a y e d O u t > t r u e < / L a y e d O u t > < / a : V a l u e > < / a : K e y V a l u e O f D i a g r a m O b j e c t K e y a n y T y p e z b w N T n L X > < a : K e y V a l u e O f D i a g r a m O b j e c t K e y a n y T y p e z b w N T n L X > < a : K e y > < K e y > C o l u m n s \ T o t a l   G J < / K e y > < / a : K e y > < a : V a l u e   i : t y p e = " M e a s u r e G r i d N o d e V i e w S t a t e " > < C o l u m n > 1 8 < / C o l u m n > < L a y e d O u t > t r u e < / L a y e d O u t > < / a : V a l u e > < / a : K e y V a l u e O f D i a g r a m O b j e c t K e y a n y T y p e z b w N T n L X > < a : K e y V a l u e O f D i a g r a m O b j e c t K e y a n y T y p e z b w N T n L X > < a : K e y > < K e y > C o l u m n s \ S c o p e   1   k g   C O 2 - e < / K e y > < / a : K e y > < a : V a l u e   i : t y p e = " M e a s u r e G r i d N o d e V i e w S t a t e " > < C o l u m n > 1 9 < / C o l u m n > < L a y e d O u t > t r u e < / L a y e d O u t > < / a : V a l u e > < / a : K e y V a l u e O f D i a g r a m O b j e c t K e y a n y T y p e z b w N T n L X > < a : K e y V a l u e O f D i a g r a m O b j e c t K e y a n y T y p e z b w N T n L X > < a : K e y > < K e y > C o l u m n s \ S c o p e   2   k g   C O 2 - e < / K e y > < / a : K e y > < a : V a l u e   i : t y p e = " M e a s u r e G r i d N o d e V i e w S t a t e " > < C o l u m n > 2 0 < / C o l u m n > < L a y e d O u t > t r u e < / L a y e d O u t > < / a : V a l u e > < / a : K e y V a l u e O f D i a g r a m O b j e c t K e y a n y T y p e z b w N T n L X > < a : K e y V a l u e O f D i a g r a m O b j e c t K e y a n y T y p e z b w N T n L X > < a : K e y > < K e y > C o l u m n s \ S c o p e   3   k g   C O 2 - e < / K e y > < / a : K e y > < a : V a l u e   i : t y p e = " M e a s u r e G r i d N o d e V i e w S t a t e " > < C o l u m n > 2 1 < / C o l u m n > < L a y e d O u t > t r u e < / L a y e d O u t > < / a : V a l u e > < / a : K e y V a l u e O f D i a g r a m O b j e c t K e y a n y T y p e z b w N T n L X > < a : K e y V a l u e O f D i a g r a m O b j e c t K e y a n y T y p e z b w N T n L X > < a : K e y > < K e y > C o l u m n s \ T o t a l   E m i s s i o n s < / K e y > < / a : K e y > < a : V a l u e   i : t y p e = " M e a s u r e G r i d N o d e V i e w S t a t e " > < C o l u m n > 2 2 < / C o l u m n > < L a y e d O u t > t r u e < / L a y e d O u t > < / a : V a l u e > < / a : K e y V a l u e O f D i a g r a m O b j e c t K e y a n y T y p e z b w N T n L X > < a : K e y V a l u e O f D i a g r a m O b j e c t K e y a n y T y p e z b w N T n L X > < a : K e y > < K e y > L i n k s \ & l t ; C o l u m n s \ S u m   o f   C o n s u m p t i o n   Q u a n t i t y   5 & g t ; - & l t ; M e a s u r e s \ C o n s u m p t i o n   Q u a n t i t y & g t ; < / K e y > < / a : K e y > < a : V a l u e   i : t y p e = " M e a s u r e G r i d V i e w S t a t e I D i a g r a m L i n k " / > < / a : K e y V a l u e O f D i a g r a m O b j e c t K e y a n y T y p e z b w N T n L X > < a : K e y V a l u e O f D i a g r a m O b j e c t K e y a n y T y p e z b w N T n L X > < a : K e y > < K e y > L i n k s \ & l t ; C o l u m n s \ S u m   o f   C o n s u m p t i o n   Q u a n t i t y   5 & g t ; - & l t ; M e a s u r e s \ C o n s u m p t i o n   Q u a n t i t y & g t ; \ C O L U M N < / K e y > < / a : K e y > < a : V a l u e   i : t y p e = " M e a s u r e G r i d V i e w S t a t e I D i a g r a m L i n k E n d p o i n t " / > < / a : K e y V a l u e O f D i a g r a m O b j e c t K e y a n y T y p e z b w N T n L X > < a : K e y V a l u e O f D i a g r a m O b j e c t K e y a n y T y p e z b w N T n L X > < a : K e y > < K e y > L i n k s \ & l t ; C o l u m n s \ S u m   o f   C o n s u m p t i o n   Q u a n t i t y   5 & g t ; - & l t ; M e a s u r e s \ C o n s u m p t i o n   Q u a n t i t y & g t ; \ M E A S U R E < / K e y > < / a : K e y > < a : V a l u e   i : t y p e = " M e a s u r e G r i d V i e w S t a t e I D i a g r a m L i n k E n d p o i n t " / > < / a : K e y V a l u e O f D i a g r a m O b j e c t K e y a n y T y p e z b w N T n L X > < a : K e y V a l u e O f D i a g r a m O b j e c t K e y a n y T y p e z b w N T n L X > < a : K e y > < K e y > L i n k s \ & l t ; C o l u m n s \ S u m   o f   T o t a l   G J   5 & g t ; - & l t ; M e a s u r e s \ T o t a l   G J & g t ; < / K e y > < / a : K e y > < a : V a l u e   i : t y p e = " M e a s u r e G r i d V i e w S t a t e I D i a g r a m L i n k " / > < / a : K e y V a l u e O f D i a g r a m O b j e c t K e y a n y T y p e z b w N T n L X > < a : K e y V a l u e O f D i a g r a m O b j e c t K e y a n y T y p e z b w N T n L X > < a : K e y > < K e y > L i n k s \ & l t ; C o l u m n s \ S u m   o f   T o t a l   G J   5 & g t ; - & l t ; M e a s u r e s \ T o t a l   G J & g t ; \ C O L U M N < / K e y > < / a : K e y > < a : V a l u e   i : t y p e = " M e a s u r e G r i d V i e w S t a t e I D i a g r a m L i n k E n d p o i n t " / > < / a : K e y V a l u e O f D i a g r a m O b j e c t K e y a n y T y p e z b w N T n L X > < a : K e y V a l u e O f D i a g r a m O b j e c t K e y a n y T y p e z b w N T n L X > < a : K e y > < K e y > L i n k s \ & l t ; C o l u m n s \ S u m   o f   T o t a l   G J   5 & g t ; - & l t ; M e a s u r e s \ T o t a l   G J & g t ; \ M E A S U R E < / K e y > < / a : K e y > < a : V a l u e   i : t y p e = " M e a s u r e G r i d V i e w S t a t e I D i a g r a m L i n k E n d p o i n t " / > < / a : K e y V a l u e O f D i a g r a m O b j e c t K e y a n y T y p e z b w N T n L X > < a : K e y V a l u e O f D i a g r a m O b j e c t K e y a n y T y p e z b w N T n L X > < a : K e y > < K e y > L i n k s \ & l t ; C o l u m n s \ S u m   o f   S c o p e   1   k g   C O 2 - e   5 & g t ; - & l t ; M e a s u r e s \ S c o p e   1   k g   C O 2 - e & g t ; < / K e y > < / a : K e y > < a : V a l u e   i : t y p e = " M e a s u r e G r i d V i e w S t a t e I D i a g r a m L i n k " / > < / a : K e y V a l u e O f D i a g r a m O b j e c t K e y a n y T y p e z b w N T n L X > < a : K e y V a l u e O f D i a g r a m O b j e c t K e y a n y T y p e z b w N T n L X > < a : K e y > < K e y > L i n k s \ & l t ; C o l u m n s \ S u m   o f   S c o p e   1   k g   C O 2 - e   5 & g t ; - & l t ; M e a s u r e s \ S c o p e   1   k g   C O 2 - e & g t ; \ C O L U M N < / K e y > < / a : K e y > < a : V a l u e   i : t y p e = " M e a s u r e G r i d V i e w S t a t e I D i a g r a m L i n k E n d p o i n t " / > < / a : K e y V a l u e O f D i a g r a m O b j e c t K e y a n y T y p e z b w N T n L X > < a : K e y V a l u e O f D i a g r a m O b j e c t K e y a n y T y p e z b w N T n L X > < a : K e y > < K e y > L i n k s \ & l t ; C o l u m n s \ S u m   o f   S c o p e   1   k g   C O 2 - e   5 & g t ; - & l t ; M e a s u r e s \ S c o p e   1   k g   C O 2 - e & g t ; \ M E A S U R E < / K e y > < / a : K e y > < a : V a l u e   i : t y p e = " M e a s u r e G r i d V i e w S t a t e I D i a g r a m L i n k E n d p o i n t " / > < / a : K e y V a l u e O f D i a g r a m O b j e c t K e y a n y T y p e z b w N T n L X > < a : K e y V a l u e O f D i a g r a m O b j e c t K e y a n y T y p e z b w N T n L X > < a : K e y > < K e y > L i n k s \ & l t ; C o l u m n s \ S u m   o f   S c o p e   2   k g   C O 2 - e   5 & g t ; - & l t ; M e a s u r e s \ S c o p e   2   k g   C O 2 - e & g t ; < / K e y > < / a : K e y > < a : V a l u e   i : t y p e = " M e a s u r e G r i d V i e w S t a t e I D i a g r a m L i n k " / > < / a : K e y V a l u e O f D i a g r a m O b j e c t K e y a n y T y p e z b w N T n L X > < a : K e y V a l u e O f D i a g r a m O b j e c t K e y a n y T y p e z b w N T n L X > < a : K e y > < K e y > L i n k s \ & l t ; C o l u m n s \ S u m   o f   S c o p e   2   k g   C O 2 - e   5 & g t ; - & l t ; M e a s u r e s \ S c o p e   2   k g   C O 2 - e & g t ; \ C O L U M N < / K e y > < / a : K e y > < a : V a l u e   i : t y p e = " M e a s u r e G r i d V i e w S t a t e I D i a g r a m L i n k E n d p o i n t " / > < / a : K e y V a l u e O f D i a g r a m O b j e c t K e y a n y T y p e z b w N T n L X > < a : K e y V a l u e O f D i a g r a m O b j e c t K e y a n y T y p e z b w N T n L X > < a : K e y > < K e y > L i n k s \ & l t ; C o l u m n s \ S u m   o f   S c o p e   2   k g   C O 2 - e   5 & g t ; - & l t ; M e a s u r e s \ S c o p e   2   k g   C O 2 - e & g t ; \ M E A S U R E < / K e y > < / a : K e y > < a : V a l u e   i : t y p e = " M e a s u r e G r i d V i e w S t a t e I D i a g r a m L i n k E n d p o i n t " / > < / a : K e y V a l u e O f D i a g r a m O b j e c t K e y a n y T y p e z b w N T n L X > < a : K e y V a l u e O f D i a g r a m O b j e c t K e y a n y T y p e z b w N T n L X > < a : K e y > < K e y > L i n k s \ & l t ; C o l u m n s \ S u m   o f   S c o p e   3   k g   C O 2 - e   5 & g t ; - & l t ; M e a s u r e s \ S c o p e   3   k g   C O 2 - e & g t ; < / K e y > < / a : K e y > < a : V a l u e   i : t y p e = " M e a s u r e G r i d V i e w S t a t e I D i a g r a m L i n k " / > < / a : K e y V a l u e O f D i a g r a m O b j e c t K e y a n y T y p e z b w N T n L X > < a : K e y V a l u e O f D i a g r a m O b j e c t K e y a n y T y p e z b w N T n L X > < a : K e y > < K e y > L i n k s \ & l t ; C o l u m n s \ S u m   o f   S c o p e   3   k g   C O 2 - e   5 & g t ; - & l t ; M e a s u r e s \ S c o p e   3   k g   C O 2 - e & g t ; \ C O L U M N < / K e y > < / a : K e y > < a : V a l u e   i : t y p e = " M e a s u r e G r i d V i e w S t a t e I D i a g r a m L i n k E n d p o i n t " / > < / a : K e y V a l u e O f D i a g r a m O b j e c t K e y a n y T y p e z b w N T n L X > < a : K e y V a l u e O f D i a g r a m O b j e c t K e y a n y T y p e z b w N T n L X > < a : K e y > < K e y > L i n k s \ & l t ; C o l u m n s \ S u m   o f   S c o p e   3   k g   C O 2 - e   5 & g t ; - & l t ; M e a s u r e s \ S c o p e   3   k g   C O 2 - e & g t ; \ M E A S U R E < / K e y > < / a : K e y > < a : V a l u e   i : t y p e = " M e a s u r e G r i d V i e w S t a t e I D i a g r a m L i n k E n d p o i n t " / > < / a : K e y V a l u e O f D i a g r a m O b j e c t K e y a n y T y p e z b w N T n L X > < a : K e y V a l u e O f D i a g r a m O b j e c t K e y a n y T y p e z b w N T n L X > < a : K e y > < K e y > L i n k s \ & l t ; C o l u m n s \ S u m   o f   T o t a l   E m i s s i o n s   5 & g t ; - & l t ; M e a s u r e s \ T o t a l   E m i s s i o n s & g t ; < / K e y > < / a : K e y > < a : V a l u e   i : t y p e = " M e a s u r e G r i d V i e w S t a t e I D i a g r a m L i n k " / > < / a : K e y V a l u e O f D i a g r a m O b j e c t K e y a n y T y p e z b w N T n L X > < a : K e y V a l u e O f D i a g r a m O b j e c t K e y a n y T y p e z b w N T n L X > < a : K e y > < K e y > L i n k s \ & l t ; C o l u m n s \ S u m   o f   T o t a l   E m i s s i o n s   5 & g t ; - & l t ; M e a s u r e s \ T o t a l   E m i s s i o n s & g t ; \ C O L U M N < / K e y > < / a : K e y > < a : V a l u e   i : t y p e = " M e a s u r e G r i d V i e w S t a t e I D i a g r a m L i n k E n d p o i n t " / > < / a : K e y V a l u e O f D i a g r a m O b j e c t K e y a n y T y p e z b w N T n L X > < a : K e y V a l u e O f D i a g r a m O b j e c t K e y a n y T y p e z b w N T n L X > < a : K e y > < K e y > L i n k s \ & l t ; C o l u m n s \ S u m   o f   T o t a l   E m i s s i o n s   5 & g t ; - & l t ; M e a s u r e s \ T o t a l   E m i s s i o n s & g t ; \ M E A S U R E < / K e y > < / a : K e y > < a : V a l u e   i : t y p e = " M e a s u r e G r i d V i e w S t a t e I D i a g r a m L i n k E n d p o i n t " / > < / a : K e y V a l u e O f D i a g r a m O b j e c t K e y a n y T y p e z b w N T n L X > < / V i e w S t a t e s > < / D i a g r a m M a n a g e r . S e r i a l i z a b l e D i a g r a m > < D i a g r a m M a n a g e r . S e r i a l i z a b l e D i a g r a m > < A d a p t e r   i : t y p e = " M e a s u r e D i a g r a m S a n d b o x A d a p t e r " > < T a b l e N a m e > Q u e r y 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  1 < / 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 C o l u m n s \ C o n s u m p t i o n   Q u a n t i t y < / K e y > < / D i a g r a m O b j e c t K e y > < D i a g r a m O b j e c t K e y > < K e y > C o l u m n s \ U n i t   o f   m e a s u r e < / K e y > < / D i a g r a m O b j e c t K e y > < D i a g r a m O b j e c t K e y > < K e y > C o l u m n s \ U s e   o f   f u e l 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 4 < / C o l u m n > < L a y e d O u t > t r u e < / L a y e d O u t > < / a : V a l u e > < / a : K e y V a l u e O f D i a g r a m O b j e c t K e y a n y T y p e z b w N T n L X > < a : K e y V a l u e O f D i a g r a m O b j e c t K e y a n y T y p e z b w N T n L X > < a : K e y > < K e y > C o l u m n s \ P r o c e d u r e   t o   C a p t u r e   d a t a < / K e y > < / a : K e y > < a : V a l u e   i : t y p e = " M e a s u r e G r i d N o d e V i e w S t a t e " > < C o l u m n > 5 < / C o l u m n > < L a y e d O u t > t r u e < / L a y e d O u t > < / a : V a l u e > < / a : K e y V a l u e O f D i a g r a m O b j e c t K e y a n y T y p e z b w N T n L X > < a : K e y V a l u e O f D i a g r a m O b j e c t K e y a n y T y p e z b w N T n L X > < a : K e y > < K e y > C o l u m n s \ E s t i m a t i o n   M e t h o d   i f   r e l e v a n t < / K e y > < / a : K e y > < a : V a l u e   i : t y p e = " M e a s u r e G r i d N o d e V i e w S t a t e " > < C o l u m n > 6 < / 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 C o l u m n s \ U n i t   o f   m e a s u r e < / K e y > < / a : K e y > < a : V a l u e   i : t y p e = " M e a s u r e G r i d N o d e V i e w S t a t e " > < C o l u m n > 8 < / 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 C o l u m n s \ E s t i m a t e d   r u n   t i m e   h o u r s < / K e y > < / a : K e y > < a : V a l u e   i : t y p e = " M e a s u r e G r i d N o d e V i e w S t a t e " > < C o l u m n > 1 0 < / C o l u m n > < L a y e d O u t > t r u e < / L a y e d O u t > < / a : V a l u e > < / a : K e y V a l u e O f D i a g r a m O b j e c t K e y a n y T y p e z b w N T n L X > < a : K e y V a l u e O f D i a g r a m O b j e c t K e y a n y T y p e z b w N T n L X > < a : K e y > < K e y > C o l u m n s \ I n s t a l l e d   C a p a c i t y < / K e y > < / a : K e y > < a : V a l u e   i : t y p e = " M e a s u r e G r i d N o d e V i e w S t a t e " > < C o l u m n > 1 1 < / C o l u m n > < L a y e d O u t > t r u e < / L a y e d O u t > < / a : V a l u e > < / a : K e y V a l u e O f D i a g r a m O b j e c t K e y a n y T y p e z b w N T n L X > < a : K e y V a l u e O f D i a g r a m O b j e c t K e y a n y T y p e z b w N T n L X > < a : K e y > < K e y > C o l u m n s \ D e r a t e d   C a p a c i t y < / K e y > < / a : K e y > < a : V a l u e   i : t y p e = " M e a s u r e G r i d N o d e V i e w S t a t e " > < C o l u m n > 1 2 < / C o l u m n > < L a y e d O u t > t r u e < / L a y e d O u t > < / a : V a l u e > < / a : K e y V a l u e O f D i a g r a m O b j e c t K e y a n y T y p e z b w N T n L X > < a : K e y V a l u e O f D i a g r a m O b j e c t K e y a n y T y p e z b w N T n L X > < a : K e y > < K e y > C o l u m n s \ G e n e r a t o r   U n i t s < / K e y > < / a : K e y > < a : V a l u e   i : t y p e = " M e a s u r e G r i d N o d e V i e w S t a t e " > < C o l u m n > 1 3 < / C o l u m n > < L a y e d O u t > t r u e < / L a y e d O u t > < / a : V a l u e > < / a : K e y V a l u e O f D i a g r a m O b j e c t K e y a n y T y p e z b w N T n L X > < a : K e y V a l u e O f D i a g r a m O b j e c t K e y a n y T y p e z b w N T n L X > < a : K e y > < K e y > C o l u m n s \ R e p o r t i n g   A l i a s < / K e y > < / a : K e y > < a : V a l u e   i : t y p e = " M e a s u r e G r i d N o d e V i e w S t a t e " > < C o l u m n > 1 4 < / C o l u m n > < L a y e d O u t > t r u e < / L a y e d O u t > < / a : V a l u e > < / a : K e y V a l u e O f D i a g r a m O b j e c t K e y a n y T y p e z b w N T n L X > < / V i e w S t a t e s > < / D i a g r a m M a n a g e r . S e r i a l i z a b l e D i a g r a m > < D i a g r a m M a n a g e r . S e r i a l i z a b l e D i a g r a m > < A d a p t e r   i : t y p e = " M e a s u r e D i a g r a m S a n d b o x A d a p t e r " > < T a b l e N a m e > F l i g h t _ M o d e l 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 F l i g h t _ M o d e l < / 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 U n i t < / K e y > < / D i a g r a m O b j e c t K e y > < D i a g r a m O b j e c t K e y > < K e y > M e a s u r e s \ S u m   o f   U n i t \ T a g I n f o \ F o r m u l a < / K e y > < / D i a g r a m O b j e c t K e y > < D i a g r a m O b j e c t K e y > < K e y > M e a s u r e s \ S u m   o f   U n i t \ T a g I n f o \ V a l u e < / K e y > < / D i a g r a m O b j e c t K e y > < D i a g r a m O b j e c t K e y > < K e y > C o l u m n s \ R e p o r t i n g   A l i a s < / K e y > < / D i a g r a m O b j e c t K e y > < D i a g r a m O b j e c t K e y > < K e y > C o l u m n s \ U n i t < / K e y > < / D i a g r a m O b j e c t K e y > < D i a g r a m O b j e c t K e y > < K e y > L i n k s \ & l t ; C o l u m n s \ S u m   o f   U n i t & g t ; - & l t ; M e a s u r e s \ U n i t & g t ; < / K e y > < / D i a g r a m O b j e c t K e y > < D i a g r a m O b j e c t K e y > < K e y > L i n k s \ & l t ; C o l u m n s \ S u m   o f   U n i t & g t ; - & l t ; M e a s u r e s \ U n i t & g t ; \ C O L U M N < / K e y > < / D i a g r a m O b j e c t K e y > < D i a g r a m O b j e c t K e y > < K e y > L i n k s \ & l t ; C o l u m n s \ S u m   o f   U n i t & g t ; - & l t ; M e a s u r e s \ U n i t & g t ; \ M E A S U R E 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 U n i t < / K e y > < / a : K e y > < a : V a l u e   i : t y p e = " M e a s u r e G r i d N o d e V i e w S t a t e " > < C o l u m n > 1 < / C o l u m n > < L a y e d O u t > t r u e < / L a y e d O u t > < W a s U I I n v i s i b l e > t r u e < / W a s U I I n v i s i b l e > < / a : V a l u e > < / a : K e y V a l u e O f D i a g r a m O b j e c t K e y a n y T y p e z b w N T n L X > < a : K e y V a l u e O f D i a g r a m O b j e c t K e y a n y T y p e z b w N T n L X > < a : K e y > < K e y > M e a s u r e s \ S u m   o f   U n i t \ T a g I n f o \ F o r m u l a < / K e y > < / a : K e y > < a : V a l u e   i : t y p e = " M e a s u r e G r i d V i e w S t a t e I D i a g r a m T a g A d d i t i o n a l I n f o " / > < / a : K e y V a l u e O f D i a g r a m O b j e c t K e y a n y T y p e z b w N T n L X > < a : K e y V a l u e O f D i a g r a m O b j e c t K e y a n y T y p e z b w N T n L X > < a : K e y > < K e y > M e a s u r e s \ S u m   o f   U n i t \ T a g I n f o \ V a l u e 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 C o l u m n s \ U n i t < / K e y > < / a : K e y > < a : V a l u e   i : t y p e = " M e a s u r e G r i d N o d e V i e w S t a t e " > < C o l u m n > 1 < / C o l u m n > < L a y e d O u t > t r u e < / L a y e d O u t > < / a : V a l u e > < / a : K e y V a l u e O f D i a g r a m O b j e c t K e y a n y T y p e z b w N T n L X > < a : K e y V a l u e O f D i a g r a m O b j e c t K e y a n y T y p e z b w N T n L X > < a : K e y > < K e y > L i n k s \ & l t ; C o l u m n s \ S u m   o f   U n i t & g t ; - & l t ; M e a s u r e s \ U n i t & g t ; < / K e y > < / a : K e y > < a : V a l u e   i : t y p e = " M e a s u r e G r i d V i e w S t a t e I D i a g r a m L i n k " / > < / a : K e y V a l u e O f D i a g r a m O b j e c t K e y a n y T y p e z b w N T n L X > < a : K e y V a l u e O f D i a g r a m O b j e c t K e y a n y T y p e z b w N T n L X > < a : K e y > < K e y > L i n k s \ & l t ; C o l u m n s \ S u m   o f   U n i t & g t ; - & l t ; M e a s u r e s \ U n i t & g t ; \ C O L U M N < / K e y > < / a : K e y > < a : V a l u e   i : t y p e = " M e a s u r e G r i d V i e w S t a t e I D i a g r a m L i n k E n d p o i n t " / > < / a : K e y V a l u e O f D i a g r a m O b j e c t K e y a n y T y p e z b w N T n L X > < a : K e y V a l u e O f D i a g r a m O b j e c t K e y a n y T y p e z b w N T n L X > < a : K e y > < K e y > L i n k s \ & l t ; C o l u m n s \ S u m   o f   U n i t & g t ; - & l t ; M e a s u r e s \ U n i t & g t ; \ M E A S U R E < / K e y > < / a : K e y > < a : V a l u e   i : t y p e = " M e a s u r e G r i d V i e w S t a t e I D i a g r a m L i n k E n d p o i n t " / > < / a : K e y V a l u e O f D i a g r a m O b j e c t K e y a n y T y p e z b w N T n L X > < / V i e w S t a t e s > < / D i a g r a m M a n a g e r . S e r i a l i z a b l e D i a g r a m > < D i a g r a m M a n a g e r . S e r i a l i z a b l e D i a g r a m > < A d a p t e r   i : t y p e = " M e a s u r e D i a g r a m S a n d b o x A d a p t e r " > < T a b l e N a m e > Q u e r y 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  2 < / 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 C o l u m n s \ C o n s u m p t i o n   Q u a n t i t y < / K e y > < / D i a g r a m O b j e c t K e y > < D i a g r a m O b j e c t K e y > < K e y > C o l u m n s \ U n i t   o f   m e a s u r e < / K e y > < / D i a g r a m O b j e c t K e y > < D i a g r a m O b j e c t K e y > < K e y > C o l u m n s \ U s e   o f   f u e l 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 4 < / C o l u m n > < L a y e d O u t > t r u e < / L a y e d O u t > < / a : V a l u e > < / a : K e y V a l u e O f D i a g r a m O b j e c t K e y a n y T y p e z b w N T n L X > < a : K e y V a l u e O f D i a g r a m O b j e c t K e y a n y T y p e z b w N T n L X > < a : K e y > < K e y > C o l u m n s \ P r o c e d u r e   t o   C a p t u r e   d a t a < / K e y > < / a : K e y > < a : V a l u e   i : t y p e = " M e a s u r e G r i d N o d e V i e w S t a t e " > < C o l u m n > 5 < / C o l u m n > < L a y e d O u t > t r u e < / L a y e d O u t > < / a : V a l u e > < / a : K e y V a l u e O f D i a g r a m O b j e c t K e y a n y T y p e z b w N T n L X > < a : K e y V a l u e O f D i a g r a m O b j e c t K e y a n y T y p e z b w N T n L X > < a : K e y > < K e y > C o l u m n s \ E s t i m a t i o n   M e t h o d   i f   r e l e v a n t < / K e y > < / a : K e y > < a : V a l u e   i : t y p e = " M e a s u r e G r i d N o d e V i e w S t a t e " > < C o l u m n > 6 < / 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 C o l u m n s \ U n i t   o f   m e a s u r e < / K e y > < / a : K e y > < a : V a l u e   i : t y p e = " M e a s u r e G r i d N o d e V i e w S t a t e " > < C o l u m n > 8 < / 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 C o l u m n s \ E s t i m a t e d   r u n   t i m e   h o u r s < / K e y > < / a : K e y > < a : V a l u e   i : t y p e = " M e a s u r e G r i d N o d e V i e w S t a t e " > < C o l u m n > 1 0 < / C o l u m n > < L a y e d O u t > t r u e < / L a y e d O u t > < / a : V a l u e > < / a : K e y V a l u e O f D i a g r a m O b j e c t K e y a n y T y p e z b w N T n L X > < a : K e y V a l u e O f D i a g r a m O b j e c t K e y a n y T y p e z b w N T n L X > < a : K e y > < K e y > C o l u m n s \ I n s t a l l e d   C a p a c i t y < / K e y > < / a : K e y > < a : V a l u e   i : t y p e = " M e a s u r e G r i d N o d e V i e w S t a t e " > < C o l u m n > 1 1 < / C o l u m n > < L a y e d O u t > t r u e < / L a y e d O u t > < / a : V a l u e > < / a : K e y V a l u e O f D i a g r a m O b j e c t K e y a n y T y p e z b w N T n L X > < a : K e y V a l u e O f D i a g r a m O b j e c t K e y a n y T y p e z b w N T n L X > < a : K e y > < K e y > C o l u m n s \ D e r a t e d   C a p a c i t y < / K e y > < / a : K e y > < a : V a l u e   i : t y p e = " M e a s u r e G r i d N o d e V i e w S t a t e " > < C o l u m n > 1 2 < / C o l u m n > < L a y e d O u t > t r u e < / L a y e d O u t > < / a : V a l u e > < / a : K e y V a l u e O f D i a g r a m O b j e c t K e y a n y T y p e z b w N T n L X > < a : K e y V a l u e O f D i a g r a m O b j e c t K e y a n y T y p e z b w N T n L X > < a : K e y > < K e y > C o l u m n s \ G e n e r a t o r   U n i t s < / K e y > < / a : K e y > < a : V a l u e   i : t y p e = " M e a s u r e G r i d N o d e V i e w S t a t e " > < C o l u m n > 1 3 < / C o l u m n > < L a y e d O u t > t r u e < / L a y e d O u t > < / a : V a l u e > < / a : K e y V a l u e O f D i a g r a m O b j e c t K e y a n y T y p e z b w N T n L X > < a : K e y V a l u e O f D i a g r a m O b j e c t K e y a n y T y p e z b w N T n L X > < a : K e y > < K e y > C o l u m n s \ R e p o r t i n g   A l i a s < / K e y > < / a : K e y > < a : V a l u e   i : t y p e = " M e a s u r e G r i d N o d e V i e w S t a t e " > < C o l u m n > 1 4 < / C o l u m n > < L a y e d O u t > t r u e < / L a y e d O u t > < / a : V a l u e > < / a : K e y V a l u e O f D i a g r a m O b j e c t K e y a n y T y p e z b w N T n L X > < / V i e w S t a t e s > < / D i a g r a m M a n a g e r . S e r i a l i z a b l e D i a g r a m > < D i a g r a m M a n a g e r . S e r i a l i z a b l e D i a g r a m > < A d a p t e r   i : t y p e = " M e a s u r e D i a g r a m S a n d b o x A d a p t e r " > < T a b l e N a m e > Q u e r y   3 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  3 < / 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 C o l u m n s \ C o n s u m p t i o n   Q u a n t i t y < / K e y > < / D i a g r a m O b j e c t K e y > < D i a g r a m O b j e c t K e y > < K e y > C o l u m n s \ U n i t   o f   m e a s u r e < / K e y > < / D i a g r a m O b j e c t K e y > < D i a g r a m O b j e c t K e y > < K e y > C o l u m n s \ U s e   o f   f u e l 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 4 < / C o l u m n > < L a y e d O u t > t r u e < / L a y e d O u t > < / a : V a l u e > < / a : K e y V a l u e O f D i a g r a m O b j e c t K e y a n y T y p e z b w N T n L X > < a : K e y V a l u e O f D i a g r a m O b j e c t K e y a n y T y p e z b w N T n L X > < a : K e y > < K e y > C o l u m n s \ P r o c e d u r e   t o   C a p t u r e   d a t a < / K e y > < / a : K e y > < a : V a l u e   i : t y p e = " M e a s u r e G r i d N o d e V i e w S t a t e " > < C o l u m n > 5 < / C o l u m n > < L a y e d O u t > t r u e < / L a y e d O u t > < / a : V a l u e > < / a : K e y V a l u e O f D i a g r a m O b j e c t K e y a n y T y p e z b w N T n L X > < a : K e y V a l u e O f D i a g r a m O b j e c t K e y a n y T y p e z b w N T n L X > < a : K e y > < K e y > C o l u m n s \ E s t i m a t i o n   M e t h o d   i f   r e l e v a n t < / K e y > < / a : K e y > < a : V a l u e   i : t y p e = " M e a s u r e G r i d N o d e V i e w S t a t e " > < C o l u m n > 6 < / 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 C o l u m n s \ U n i t   o f   m e a s u r e < / K e y > < / a : K e y > < a : V a l u e   i : t y p e = " M e a s u r e G r i d N o d e V i e w S t a t e " > < C o l u m n > 8 < / 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 C o l u m n s \ E s t i m a t e d   r u n   t i m e   h o u r s < / K e y > < / a : K e y > < a : V a l u e   i : t y p e = " M e a s u r e G r i d N o d e V i e w S t a t e " > < C o l u m n > 1 0 < / C o l u m n > < L a y e d O u t > t r u e < / L a y e d O u t > < / a : V a l u e > < / a : K e y V a l u e O f D i a g r a m O b j e c t K e y a n y T y p e z b w N T n L X > < a : K e y V a l u e O f D i a g r a m O b j e c t K e y a n y T y p e z b w N T n L X > < a : K e y > < K e y > C o l u m n s \ I n s t a l l e d   C a p a c i t y < / K e y > < / a : K e y > < a : V a l u e   i : t y p e = " M e a s u r e G r i d N o d e V i e w S t a t e " > < C o l u m n > 1 1 < / C o l u m n > < L a y e d O u t > t r u e < / L a y e d O u t > < / a : V a l u e > < / a : K e y V a l u e O f D i a g r a m O b j e c t K e y a n y T y p e z b w N T n L X > < a : K e y V a l u e O f D i a g r a m O b j e c t K e y a n y T y p e z b w N T n L X > < a : K e y > < K e y > C o l u m n s \ D e r a t e d   C a p a c i t y < / K e y > < / a : K e y > < a : V a l u e   i : t y p e = " M e a s u r e G r i d N o d e V i e w S t a t e " > < C o l u m n > 1 2 < / C o l u m n > < L a y e d O u t > t r u e < / L a y e d O u t > < / a : V a l u e > < / a : K e y V a l u e O f D i a g r a m O b j e c t K e y a n y T y p e z b w N T n L X > < a : K e y V a l u e O f D i a g r a m O b j e c t K e y a n y T y p e z b w N T n L X > < a : K e y > < K e y > C o l u m n s \ G e n e r a t o r   U n i t s < / K e y > < / a : K e y > < a : V a l u e   i : t y p e = " M e a s u r e G r i d N o d e V i e w S t a t e " > < C o l u m n > 1 3 < / C o l u m n > < L a y e d O u t > t r u e < / L a y e d O u t > < / a : V a l u e > < / a : K e y V a l u e O f D i a g r a m O b j e c t K e y a n y T y p e z b w N T n L X > < a : K e y V a l u e O f D i a g r a m O b j e c t K e y a n y T y p e z b w N T n L X > < a : K e y > < K e y > C o l u m n s \ R e p o r t i n g   A l i a s < / K e y > < / a : K e y > < a : V a l u e   i : t y p e = " M e a s u r e G r i d N o d e V i e w S t a t e " > < C o l u m n > 1 4 < / C o l u m n > < L a y e d O u t > t r u e < / L a y e d O u t > < / a : V a l u e > < / a : K e y V a l u e O f D i a g r a m O b j e c t K e y a n y T y p e z b w N T n L X > < / V i e w S t a t e s > < / D i a g r a m M a n a g e r . S e r i a l i z a b l e D i a g r a m > < D i a g r a m M a n a g e r . S e r i a l i z a b l e D i a g r a m > < A d a p t e r   i : t y p e = " M e a s u r e D i a g r a m S a n d b o x A d a p t e r " > < T a b l e N a m e > Q u e r y 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 C o l u m n s \ C o n s u m p t i o n   Q u a n t i t y < / K e y > < / D i a g r a m O b j e c t K e y > < D i a g r a m O b j e c t K e y > < K e y > C o l u m n s \ U n i t   o f   m e a s u r e < / K e y > < / D i a g r a m O b j e c t K e y > < D i a g r a m O b j e c t K e y > < K e y > C o l u m n s \ U s e   o f   f u e l 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 4 < / C o l u m n > < L a y e d O u t > t r u e < / L a y e d O u t > < / a : V a l u e > < / a : K e y V a l u e O f D i a g r a m O b j e c t K e y a n y T y p e z b w N T n L X > < a : K e y V a l u e O f D i a g r a m O b j e c t K e y a n y T y p e z b w N T n L X > < a : K e y > < K e y > C o l u m n s \ P r o c e d u r e   t o   C a p t u r e   d a t a < / K e y > < / a : K e y > < a : V a l u e   i : t y p e = " M e a s u r e G r i d N o d e V i e w S t a t e " > < C o l u m n > 5 < / C o l u m n > < L a y e d O u t > t r u e < / L a y e d O u t > < / a : V a l u e > < / a : K e y V a l u e O f D i a g r a m O b j e c t K e y a n y T y p e z b w N T n L X > < a : K e y V a l u e O f D i a g r a m O b j e c t K e y a n y T y p e z b w N T n L X > < a : K e y > < K e y > C o l u m n s \ E s t i m a t i o n   M e t h o d   i f   r e l e v a n t < / K e y > < / a : K e y > < a : V a l u e   i : t y p e = " M e a s u r e G r i d N o d e V i e w S t a t e " > < C o l u m n > 6 < / 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 C o l u m n s \ U n i t   o f   m e a s u r e < / K e y > < / a : K e y > < a : V a l u e   i : t y p e = " M e a s u r e G r i d N o d e V i e w S t a t e " > < C o l u m n > 8 < / 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 C o l u m n s \ E s t i m a t e d   r u n   t i m e   h o u r s < / K e y > < / a : K e y > < a : V a l u e   i : t y p e = " M e a s u r e G r i d N o d e V i e w S t a t e " > < C o l u m n > 1 0 < / C o l u m n > < L a y e d O u t > t r u e < / L a y e d O u t > < / a : V a l u e > < / a : K e y V a l u e O f D i a g r a m O b j e c t K e y a n y T y p e z b w N T n L X > < a : K e y V a l u e O f D i a g r a m O b j e c t K e y a n y T y p e z b w N T n L X > < a : K e y > < K e y > C o l u m n s \ I n s t a l l e d   C a p a c i t y < / K e y > < / a : K e y > < a : V a l u e   i : t y p e = " M e a s u r e G r i d N o d e V i e w S t a t e " > < C o l u m n > 1 1 < / C o l u m n > < L a y e d O u t > t r u e < / L a y e d O u t > < / a : V a l u e > < / a : K e y V a l u e O f D i a g r a m O b j e c t K e y a n y T y p e z b w N T n L X > < a : K e y V a l u e O f D i a g r a m O b j e c t K e y a n y T y p e z b w N T n L X > < a : K e y > < K e y > C o l u m n s \ D e r a t e d   C a p a c i t y < / K e y > < / a : K e y > < a : V a l u e   i : t y p e = " M e a s u r e G r i d N o d e V i e w S t a t e " > < C o l u m n > 1 2 < / C o l u m n > < L a y e d O u t > t r u e < / L a y e d O u t > < / a : V a l u e > < / a : K e y V a l u e O f D i a g r a m O b j e c t K e y a n y T y p e z b w N T n L X > < a : K e y V a l u e O f D i a g r a m O b j e c t K e y a n y T y p e z b w N T n L X > < a : K e y > < K e y > C o l u m n s \ G e n e r a t o r   U n i t s < / K e y > < / a : K e y > < a : V a l u e   i : t y p e = " M e a s u r e G r i d N o d e V i e w S t a t e " > < C o l u m n > 1 3 < / C o l u m n > < L a y e d O u t > t r u e < / L a y e d O u t > < / a : V a l u e > < / a : K e y V a l u e O f D i a g r a m O b j e c t K e y a n y T y p e z b w N T n L X > < a : K e y V a l u e O f D i a g r a m O b j e c t K e y a n y T y p e z b w N T n L X > < a : K e y > < K e y > C o l u m n s \ R e p o r t i n g   A l i a s < / K e y > < / a : K e y > < a : V a l u e   i : t y p e = " M e a s u r e G r i d N o d e V i e w S t a t e " > < C o l u m n > 1 4 < / C o l u m n > < L a y e d O u t > t r u e < / L a y e d O u t > < / a : V a l u e > < / a : K e y V a l u e O f D i a g r a m O b j e c t K e y a n y T y p e z b w N T n L X > < / V i e w S t a t e s > < / D i a g r a m M a n a g e r . S e r i a l i z a b l e D i a g r a m > < D i a g r a m M a n a g e r . S e r i a l i z a b l e D i a g r a m > < A d a p t e r   i : t y p e = " M e a s u r e D i a g r a m S a n d b o x A d a p t e r " > < T a b l e N a m e > P i t w a t e r 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 P i t w a t e r < / 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 9 < / K e y > < / D i a g r a m O b j e c t K e y > < D i a g r a m O b j e c t K e y > < K e y > M e a s u r e s \ S u m   o f   C o n s u m p t i o n   Q u a n t i t y   9 \ T a g I n f o \ F o r m u l a < / K e y > < / D i a g r a m O b j e c t K e y > < D i a g r a m O b j e c t K e y > < K e y > M e a s u r e s \ S u m   o f   C o n s u m p t i o n   Q u a n t i t y   9 \ T a g I n f o \ V a l u e < / K e y > < / D i a g r a m O b j e c t K e y > < D i a g r a m O b j e c t K e y > < K e y > M e a s u r e s \ S u m   o f   k L < / K e y > < / D i a g r a m O b j e c t K e y > < D i a g r a m O b j e c t K e y > < K e y > M e a s u r e s \ S u m   o f   k L \ T a g I n f o \ F o r m u l a < / K e y > < / D i a g r a m O b j e c t K e y > < D i a g r a m O b j e c t K e y > < K e y > M e a s u r e s \ S u m   o f   k L \ T a g I n f o \ V a l u e < / K e y > < / D i a g r a m O b j e c t K e y > < D i a g r a m O b j e c t K e y > < K e y > M e a s u r e s \ S u m   o f   S c o p e   1   k g   C O 2 - e   1 5 < / K e y > < / D i a g r a m O b j e c t K e y > < D i a g r a m O b j e c t K e y > < K e y > M e a s u r e s \ S u m   o f   S c o p e   1   k g   C O 2 - e   1 5 \ T a g I n f o \ F o r m u l a < / K e y > < / D i a g r a m O b j e c t K e y > < D i a g r a m O b j e c t K e y > < K e y > M e a s u r e s \ S u m   o f   S c o p e   1   k g   C O 2 - e   1 5 \ T a g I n f o \ V a l u e < / K e y > < / D i a g r a m O b j e c t K e y > < D i a g r a m O b j e c t K e y > < K e y > M e a s u r e s \ S u m   o f   T o t a l   G J   1 5 < / K e y > < / D i a g r a m O b j e c t K e y > < D i a g r a m O b j e c t K e y > < K e y > M e a s u r e s \ S u m   o f   T o t a l   G J   1 5 \ T a g I n f o \ F o r m u l a < / K e y > < / D i a g r a m O b j e c t K e y > < D i a g r a m O b j e c t K e y > < K e y > M e a s u r e s \ S u m   o f   T o t a l   G J   1 5 \ T a g I n f o \ V a l u e < / K e y > < / D i a g r a m O b j e c t K e y > < D i a g r a m O b j e c t K e y > < K e y > M e a s u r e s \ S u m   o f   S c o p e   2   k g   C O 2 - e   1 5 < / K e y > < / D i a g r a m O b j e c t K e y > < D i a g r a m O b j e c t K e y > < K e y > M e a s u r e s \ S u m   o f   S c o p e   2   k g   C O 2 - e   1 5 \ T a g I n f o \ F o r m u l a < / K e y > < / D i a g r a m O b j e c t K e y > < D i a g r a m O b j e c t K e y > < K e y > M e a s u r e s \ S u m   o f   S c o p e   2   k g   C O 2 - e   1 5 \ T a g I n f o \ V a l u e < / K e y > < / D i a g r a m O b j e c t K e y > < D i a g r a m O b j e c t K e y > < K e y > M e a s u r e s \ S u m   o f   S c o p e   3   k g   C O 2 - e   1 5 < / K e y > < / D i a g r a m O b j e c t K e y > < D i a g r a m O b j e c t K e y > < K e y > M e a s u r e s \ S u m   o f   S c o p e   3   k g   C O 2 - e   1 5 \ T a g I n f o \ F o r m u l a < / K e y > < / D i a g r a m O b j e c t K e y > < D i a g r a m O b j e c t K e y > < K e y > M e a s u r e s \ S u m   o f   S c o p e   3   k g   C O 2 - e   1 5 \ T a g I n f o \ V a l u e < / K e y > < / D i a g r a m O b j e c t K e y > < D i a g r a m O b j e c t K e y > < K e y > M e a s u r e s \ S u m   o f   T o t a l   E m i s s i o n s   1 5 < / K e y > < / D i a g r a m O b j e c t K e y > < D i a g r a m O b j e c t K e y > < K e y > M e a s u r e s \ S u m   o f   T o t a l   E m i s s i o n s   1 5 \ T a g I n f o \ F o r m u l a < / K e y > < / D i a g r a m O b j e c t K e y > < D i a g r a m O b j e c t K e y > < K e y > M e a s u r e s \ S u m   o f   T o t a l   E m i s s i o n s   1 5 \ T a g I n f o \ V a l u e < / K e y > < / D i a g r a m O b j e c t K e y > < D i a g r a m O b j e c t K e y > < K e y > C o l u m n s \ R e p o r t i n g   a l i a s < / K e y > < / D i a g r a m O b j e c t K e y > < D i a g r a m O b j e c t K e y > < K e y > C o l u m n s \ S t a t e < / K e y > < / D i a g r a m O b j e c t K e y > < D i a g r a m O b j e c t K e y > < K e y > C o l u m n s \ k L < / K e y > < / D i a g r a m O b j e c t K e y > < D i a g r a m O b j e c t K e y > < K e y > C o l u m n s \ T o t a l   G J < / K e y > < / D i a g r a m O b j e c t K e y > < D i a g r a m O b j e c t K e y > < K e y > C o l u m n s \ C o n s u m p t i o n   Q u a n t i t y < / 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 9 & g t ; - & l t ; M e a s u r e s \ C o n s u m p t i o n   Q u a n t i t y & g t ; < / K e y > < / D i a g r a m O b j e c t K e y > < D i a g r a m O b j e c t K e y > < K e y > L i n k s \ & l t ; C o l u m n s \ S u m   o f   C o n s u m p t i o n   Q u a n t i t y   9 & g t ; - & l t ; M e a s u r e s \ C o n s u m p t i o n   Q u a n t i t y & g t ; \ C O L U M N < / K e y > < / D i a g r a m O b j e c t K e y > < D i a g r a m O b j e c t K e y > < K e y > L i n k s \ & l t ; C o l u m n s \ S u m   o f   C o n s u m p t i o n   Q u a n t i t y   9 & g t ; - & l t ; M e a s u r e s \ C o n s u m p t i o n   Q u a n t i t y & g t ; \ M E A S U R E < / K e y > < / D i a g r a m O b j e c t K e y > < D i a g r a m O b j e c t K e y > < K e y > L i n k s \ & l t ; C o l u m n s \ S u m   o f   k L & g t ; - & l t ; M e a s u r e s \ k L & g t ; < / K e y > < / D i a g r a m O b j e c t K e y > < D i a g r a m O b j e c t K e y > < K e y > L i n k s \ & l t ; C o l u m n s \ S u m   o f   k L & g t ; - & l t ; M e a s u r e s \ k L & g t ; \ C O L U M N < / K e y > < / D i a g r a m O b j e c t K e y > < D i a g r a m O b j e c t K e y > < K e y > L i n k s \ & l t ; C o l u m n s \ S u m   o f   k L & g t ; - & l t ; M e a s u r e s \ k L & g t ; \ M E A S U R E < / K e y > < / D i a g r a m O b j e c t K e y > < D i a g r a m O b j e c t K e y > < K e y > L i n k s \ & l t ; C o l u m n s \ S u m   o f   S c o p e   1   k g   C O 2 - e   1 5 & g t ; - & l t ; M e a s u r e s \ S c o p e   1   k g   C O 2 - e & g t ; < / K e y > < / D i a g r a m O b j e c t K e y > < D i a g r a m O b j e c t K e y > < K e y > L i n k s \ & l t ; C o l u m n s \ S u m   o f   S c o p e   1   k g   C O 2 - e   1 5 & g t ; - & l t ; M e a s u r e s \ S c o p e   1   k g   C O 2 - e & g t ; \ C O L U M N < / K e y > < / D i a g r a m O b j e c t K e y > < D i a g r a m O b j e c t K e y > < K e y > L i n k s \ & l t ; C o l u m n s \ S u m   o f   S c o p e   1   k g   C O 2 - e   1 5 & g t ; - & l t ; M e a s u r e s \ S c o p e   1   k g   C O 2 - e & g t ; \ M E A S U R E < / K e y > < / D i a g r a m O b j e c t K e y > < D i a g r a m O b j e c t K e y > < K e y > L i n k s \ & l t ; C o l u m n s \ S u m   o f   T o t a l   G J   1 5 & g t ; - & l t ; M e a s u r e s \ T o t a l   G J & g t ; < / K e y > < / D i a g r a m O b j e c t K e y > < D i a g r a m O b j e c t K e y > < K e y > L i n k s \ & l t ; C o l u m n s \ S u m   o f   T o t a l   G J   1 5 & g t ; - & l t ; M e a s u r e s \ T o t a l   G J & g t ; \ C O L U M N < / K e y > < / D i a g r a m O b j e c t K e y > < D i a g r a m O b j e c t K e y > < K e y > L i n k s \ & l t ; C o l u m n s \ S u m   o f   T o t a l   G J   1 5 & g t ; - & l t ; M e a s u r e s \ T o t a l   G J & g t ; \ M E A S U R E < / K e y > < / D i a g r a m O b j e c t K e y > < D i a g r a m O b j e c t K e y > < K e y > L i n k s \ & l t ; C o l u m n s \ S u m   o f   S c o p e   2   k g   C O 2 - e   1 5 & g t ; - & l t ; M e a s u r e s \ S c o p e   2   k g   C O 2 - e & g t ; < / K e y > < / D i a g r a m O b j e c t K e y > < D i a g r a m O b j e c t K e y > < K e y > L i n k s \ & l t ; C o l u m n s \ S u m   o f   S c o p e   2   k g   C O 2 - e   1 5 & g t ; - & l t ; M e a s u r e s \ S c o p e   2   k g   C O 2 - e & g t ; \ C O L U M N < / K e y > < / D i a g r a m O b j e c t K e y > < D i a g r a m O b j e c t K e y > < K e y > L i n k s \ & l t ; C o l u m n s \ S u m   o f   S c o p e   2   k g   C O 2 - e   1 5 & g t ; - & l t ; M e a s u r e s \ S c o p e   2   k g   C O 2 - e & g t ; \ M E A S U R E < / K e y > < / D i a g r a m O b j e c t K e y > < D i a g r a m O b j e c t K e y > < K e y > L i n k s \ & l t ; C o l u m n s \ S u m   o f   S c o p e   3   k g   C O 2 - e   1 5 & g t ; - & l t ; M e a s u r e s \ S c o p e   3   k g   C O 2 - e & g t ; < / K e y > < / D i a g r a m O b j e c t K e y > < D i a g r a m O b j e c t K e y > < K e y > L i n k s \ & l t ; C o l u m n s \ S u m   o f   S c o p e   3   k g   C O 2 - e   1 5 & g t ; - & l t ; M e a s u r e s \ S c o p e   3   k g   C O 2 - e & g t ; \ C O L U M N < / K e y > < / D i a g r a m O b j e c t K e y > < D i a g r a m O b j e c t K e y > < K e y > L i n k s \ & l t ; C o l u m n s \ S u m   o f   S c o p e   3   k g   C O 2 - e   1 5 & g t ; - & l t ; M e a s u r e s \ S c o p e   3   k g   C O 2 - e & g t ; \ M E A S U R E < / K e y > < / D i a g r a m O b j e c t K e y > < D i a g r a m O b j e c t K e y > < K e y > L i n k s \ & l t ; C o l u m n s \ S u m   o f   T o t a l   E m i s s i o n s   1 5 & g t ; - & l t ; M e a s u r e s \ T o t a l   E m i s s i o n s & g t ; < / K e y > < / D i a g r a m O b j e c t K e y > < D i a g r a m O b j e c t K e y > < K e y > L i n k s \ & l t ; C o l u m n s \ S u m   o f   T o t a l   E m i s s i o n s   1 5 & g t ; - & l t ; M e a s u r e s \ T o t a l   E m i s s i o n s & g t ; \ C O L U M N < / K e y > < / D i a g r a m O b j e c t K e y > < D i a g r a m O b j e c t K e y > < K e y > L i n k s \ & l t ; C o l u m n s \ S u m   o f   T o t a l   E m i s s i o n s   1 5 & g t ; - & l t ; M e a s u r e s \ T o t a l 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 9 < / K e y > < / a : K e y > < a : V a l u e   i : t y p e = " M e a s u r e G r i d N o d e V i e w S t a t e " > < C o l u m n > 4 < / C o l u m n > < L a y e d O u t > t r u e < / L a y e d O u t > < W a s U I I n v i s i b l e > t r u e < / W a s U I I n v i s i b l e > < / a : V a l u e > < / a : K e y V a l u e O f D i a g r a m O b j e c t K e y a n y T y p e z b w N T n L X > < a : K e y V a l u e O f D i a g r a m O b j e c t K e y a n y T y p e z b w N T n L X > < a : K e y > < K e y > M e a s u r e s \ S u m   o f   C o n s u m p t i o n   Q u a n t i t y   9 \ T a g I n f o \ F o r m u l a < / K e y > < / a : K e y > < a : V a l u e   i : t y p e = " M e a s u r e G r i d V i e w S t a t e I D i a g r a m T a g A d d i t i o n a l I n f o " / > < / a : K e y V a l u e O f D i a g r a m O b j e c t K e y a n y T y p e z b w N T n L X > < a : K e y V a l u e O f D i a g r a m O b j e c t K e y a n y T y p e z b w N T n L X > < a : K e y > < K e y > M e a s u r e s \ S u m   o f   C o n s u m p t i o n   Q u a n t i t y   9 \ T a g I n f o \ V a l u e < / K e y > < / a : K e y > < a : V a l u e   i : t y p e = " M e a s u r e G r i d V i e w S t a t e I D i a g r a m T a g A d d i t i o n a l I n f o " / > < / a : K e y V a l u e O f D i a g r a m O b j e c t K e y a n y T y p e z b w N T n L X > < a : K e y V a l u e O f D i a g r a m O b j e c t K e y a n y T y p e z b w N T n L X > < a : K e y > < K e y > M e a s u r e s \ S u m   o f   k L < / K e y > < / a : K e y > < a : V a l u e   i : t y p e = " M e a s u r e G r i d N o d e V i e w S t a t e " > < C o l u m n > 2 < / C o l u m n > < L a y e d O u t > t r u e < / L a y e d O u t > < W a s U I I n v i s i b l e > t r u e < / W a s U I I n v i s i b l e > < / a : V a l u e > < / a : K e y V a l u e O f D i a g r a m O b j e c t K e y a n y T y p e z b w N T n L X > < a : K e y V a l u e O f D i a g r a m O b j e c t K e y a n y T y p e z b w N T n L X > < a : K e y > < K e y > M e a s u r e s \ S u m   o f   k L \ T a g I n f o \ F o r m u l a < / K e y > < / a : K e y > < a : V a l u e   i : t y p e = " M e a s u r e G r i d V i e w S t a t e I D i a g r a m T a g A d d i t i o n a l I n f o " / > < / a : K e y V a l u e O f D i a g r a m O b j e c t K e y a n y T y p e z b w N T n L X > < a : K e y V a l u e O f D i a g r a m O b j e c t K e y a n y T y p e z b w N T n L X > < a : K e y > < K e y > M e a s u r e s \ S u m   o f   k L \ T a g I n f o \ V a l u e < / K e y > < / a : K e y > < a : V a l u e   i : t y p e = " M e a s u r e G r i d V i e w S t a t e I D i a g r a m T a g A d d i t i o n a l I n f o " / > < / a : K e y V a l u e O f D i a g r a m O b j e c t K e y a n y T y p e z b w N T n L X > < a : K e y V a l u e O f D i a g r a m O b j e c t K e y a n y T y p e z b w N T n L X > < a : K e y > < K e y > M e a s u r e s \ S u m   o f   S c o p e   1   k g   C O 2 - e   1 5 < / K e y > < / a : K e y > < a : V a l u e   i : t y p e = " M e a s u r e G r i d N o d e V i e w S t a t e " > < C o l u m n > 5 < / C o l u m n > < L a y e d O u t > t r u e < / L a y e d O u t > < W a s U I I n v i s i b l e > t r u e < / W a s U I I n v i s i b l e > < / a : V a l u e > < / a : K e y V a l u e O f D i a g r a m O b j e c t K e y a n y T y p e z b w N T n L X > < a : K e y V a l u e O f D i a g r a m O b j e c t K e y a n y T y p e z b w N T n L X > < a : K e y > < K e y > M e a s u r e s \ S u m   o f   S c o p e   1   k g   C O 2 - e   1 5 \ T a g I n f o \ F o r m u l a < / K e y > < / a : K e y > < a : V a l u e   i : t y p e = " M e a s u r e G r i d V i e w S t a t e I D i a g r a m T a g A d d i t i o n a l I n f o " / > < / a : K e y V a l u e O f D i a g r a m O b j e c t K e y a n y T y p e z b w N T n L X > < a : K e y V a l u e O f D i a g r a m O b j e c t K e y a n y T y p e z b w N T n L X > < a : K e y > < K e y > M e a s u r e s \ S u m   o f   S c o p e   1   k g   C O 2 - e   1 5 \ T a g I n f o \ V a l u e < / K e y > < / a : K e y > < a : V a l u e   i : t y p e = " M e a s u r e G r i d V i e w S t a t e I D i a g r a m T a g A d d i t i o n a l I n f o " / > < / a : K e y V a l u e O f D i a g r a m O b j e c t K e y a n y T y p e z b w N T n L X > < a : K e y V a l u e O f D i a g r a m O b j e c t K e y a n y T y p e z b w N T n L X > < a : K e y > < K e y > M e a s u r e s \ S u m   o f   T o t a l   G J   1 5 < / K e y > < / a : K e y > < a : V a l u e   i : t y p e = " M e a s u r e G r i d N o d e V i e w S t a t e " > < C o l u m n > 3 < / C o l u m n > < L a y e d O u t > t r u e < / L a y e d O u t > < W a s U I I n v i s i b l e > t r u e < / W a s U I I n v i s i b l e > < / a : V a l u e > < / a : K e y V a l u e O f D i a g r a m O b j e c t K e y a n y T y p e z b w N T n L X > < a : K e y V a l u e O f D i a g r a m O b j e c t K e y a n y T y p e z b w N T n L X > < a : K e y > < K e y > M e a s u r e s \ S u m   o f   T o t a l   G J   1 5 \ T a g I n f o \ F o r m u l a < / K e y > < / a : K e y > < a : V a l u e   i : t y p e = " M e a s u r e G r i d V i e w S t a t e I D i a g r a m T a g A d d i t i o n a l I n f o " / > < / a : K e y V a l u e O f D i a g r a m O b j e c t K e y a n y T y p e z b w N T n L X > < a : K e y V a l u e O f D i a g r a m O b j e c t K e y a n y T y p e z b w N T n L X > < a : K e y > < K e y > M e a s u r e s \ S u m   o f   T o t a l   G J   1 5 \ T a g I n f o \ V a l u e < / K e y > < / a : K e y > < a : V a l u e   i : t y p e = " M e a s u r e G r i d V i e w S t a t e I D i a g r a m T a g A d d i t i o n a l I n f o " / > < / a : K e y V a l u e O f D i a g r a m O b j e c t K e y a n y T y p e z b w N T n L X > < a : K e y V a l u e O f D i a g r a m O b j e c t K e y a n y T y p e z b w N T n L X > < a : K e y > < K e y > M e a s u r e s \ S u m   o f   S c o p e   2   k g   C O 2 - e   1 5 < / K e y > < / a : K e y > < a : V a l u e   i : t y p e = " M e a s u r e G r i d N o d e V i e w S t a t e " > < C o l u m n > 6 < / C o l u m n > < L a y e d O u t > t r u e < / L a y e d O u t > < W a s U I I n v i s i b l e > t r u e < / W a s U I I n v i s i b l e > < / a : V a l u e > < / a : K e y V a l u e O f D i a g r a m O b j e c t K e y a n y T y p e z b w N T n L X > < a : K e y V a l u e O f D i a g r a m O b j e c t K e y a n y T y p e z b w N T n L X > < a : K e y > < K e y > M e a s u r e s \ S u m   o f   S c o p e   2   k g   C O 2 - e   1 5 \ T a g I n f o \ F o r m u l a < / K e y > < / a : K e y > < a : V a l u e   i : t y p e = " M e a s u r e G r i d V i e w S t a t e I D i a g r a m T a g A d d i t i o n a l I n f o " / > < / a : K e y V a l u e O f D i a g r a m O b j e c t K e y a n y T y p e z b w N T n L X > < a : K e y V a l u e O f D i a g r a m O b j e c t K e y a n y T y p e z b w N T n L X > < a : K e y > < K e y > M e a s u r e s \ S u m   o f   S c o p e   2   k g   C O 2 - e   1 5 \ T a g I n f o \ V a l u e < / K e y > < / a : K e y > < a : V a l u e   i : t y p e = " M e a s u r e G r i d V i e w S t a t e I D i a g r a m T a g A d d i t i o n a l I n f o " / > < / a : K e y V a l u e O f D i a g r a m O b j e c t K e y a n y T y p e z b w N T n L X > < a : K e y V a l u e O f D i a g r a m O b j e c t K e y a n y T y p e z b w N T n L X > < a : K e y > < K e y > M e a s u r e s \ S u m   o f   S c o p e   3   k g   C O 2 - e   1 5 < / K e y > < / a : K e y > < a : V a l u e   i : t y p e = " M e a s u r e G r i d N o d e V i e w S t a t e " > < C o l u m n > 7 < / C o l u m n > < L a y e d O u t > t r u e < / L a y e d O u t > < W a s U I I n v i s i b l e > t r u e < / W a s U I I n v i s i b l e > < / a : V a l u e > < / a : K e y V a l u e O f D i a g r a m O b j e c t K e y a n y T y p e z b w N T n L X > < a : K e y V a l u e O f D i a g r a m O b j e c t K e y a n y T y p e z b w N T n L X > < a : K e y > < K e y > M e a s u r e s \ S u m   o f   S c o p e   3   k g   C O 2 - e   1 5 \ T a g I n f o \ F o r m u l a < / K e y > < / a : K e y > < a : V a l u e   i : t y p e = " M e a s u r e G r i d V i e w S t a t e I D i a g r a m T a g A d d i t i o n a l I n f o " / > < / a : K e y V a l u e O f D i a g r a m O b j e c t K e y a n y T y p e z b w N T n L X > < a : K e y V a l u e O f D i a g r a m O b j e c t K e y a n y T y p e z b w N T n L X > < a : K e y > < K e y > M e a s u r e s \ S u m   o f   S c o p e   3   k g   C O 2 - e   1 5 \ T a g I n f o \ V a l u e < / K e y > < / a : K e y > < a : V a l u e   i : t y p e = " M e a s u r e G r i d V i e w S t a t e I D i a g r a m T a g A d d i t i o n a l I n f o " / > < / a : K e y V a l u e O f D i a g r a m O b j e c t K e y a n y T y p e z b w N T n L X > < a : K e y V a l u e O f D i a g r a m O b j e c t K e y a n y T y p e z b w N T n L X > < a : K e y > < K e y > M e a s u r e s \ S u m   o f   T o t a l   E m i s s i o n s   1 5 < / K e y > < / a : K e y > < a : V a l u e   i : t y p e = " M e a s u r e G r i d N o d e V i e w S t a t e " > < C o l u m n > 8 < / C o l u m n > < L a y e d O u t > t r u e < / L a y e d O u t > < W a s U I I n v i s i b l e > t r u e < / W a s U I I n v i s i b l e > < / a : V a l u e > < / a : K e y V a l u e O f D i a g r a m O b j e c t K e y a n y T y p e z b w N T n L X > < a : K e y V a l u e O f D i a g r a m O b j e c t K e y a n y T y p e z b w N T n L X > < a : K e y > < K e y > M e a s u r e s \ S u m   o f   T o t a l   E m i s s i o n s   1 5 \ T a g I n f o \ F o r m u l a < / K e y > < / a : K e y > < a : V a l u e   i : t y p e = " M e a s u r e G r i d V i e w S t a t e I D i a g r a m T a g A d d i t i o n a l I n f o " / > < / a : K e y V a l u e O f D i a g r a m O b j e c t K e y a n y T y p e z b w N T n L X > < a : K e y V a l u e O f D i a g r a m O b j e c t K e y a n y T y p e z b w N T n L X > < a : K e y > < K e y > M e a s u r e s \ S u m   o f   T o t a l   E m i s s i o n s   1 5 \ T a g I n f o \ V a l u e 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 C o l u m n s \ S t a t e < / K e y > < / a : K e y > < a : V a l u e   i : t y p e = " M e a s u r e G r i d N o d e V i e w S t a t e " > < C o l u m n > 1 < / C o l u m n > < L a y e d O u t > t r u e < / L a y e d O u t > < / a : V a l u e > < / a : K e y V a l u e O f D i a g r a m O b j e c t K e y a n y T y p e z b w N T n L X > < a : K e y V a l u e O f D i a g r a m O b j e c t K e y a n y T y p e z b w N T n L X > < a : K e y > < K e y > C o l u m n s \ k L < / K e y > < / a : K e y > < a : V a l u e   i : t y p e = " M e a s u r e G r i d N o d e V i e w S t a t e " > < C o l u m n > 2 < / C o l u m n > < L a y e d O u t > t r u e < / L a y e d O u t > < / a : V a l u e > < / a : K e y V a l u e O f D i a g r a m O b j e c t K e y a n y T y p e z b w N T n L X > < a : K e y V a l u e O f D i a g r a m O b j e c t K e y a n y T y p e z b w N T n L X > < a : K e y > < K e y > C o l u m n s \ T o t a l   G J < / K e y > < / a : K e y > < a : V a l u e   i : t y p e = " M e a s u r e G r i d N o d e V i e w S t a t e " > < C o l u m n > 3 < / C o l u m n > < L a y e d O u t > t r u e < / L a y e d O u t > < / a : V a l u e > < / a : K e y V a l u e O f D i a g r a m O b j e c t K e y a n y T y p e z b w N T n L X > < a : K e y V a l u e O f D i a g r a m O b j e c t K e y a n y T y p e z b w N T n L X > < a : K e y > < K e y > C o l u m n s \ C o n s u m p t i o n   Q u a n t i t y < / K e y > < / a : K e y > < a : V a l u e   i : t y p e = " M e a s u r e G r i d N o d e V i e w S t a t e " > < C o l u m n > 4 < / C o l u m n > < L a y e d O u t > t r u e < / L a y e d O u t > < / a : V a l u e > < / a : K e y V a l u e O f D i a g r a m O b j e c t K e y a n y T y p e z b w N T n L X > < a : K e y V a l u e O f D i a g r a m O b j e c t K e y a n y T y p e z b w N T n L X > < a : K e y > < K e y > C o l u m n s \ S c o p e   1   k g   C O 2 - e < / K e y > < / a : K e y > < a : V a l u e   i : t y p e = " M e a s u r e G r i d N o d e V i e w S t a t e " > < C o l u m n > 5 < / C o l u m n > < L a y e d O u t > t r u e < / L a y e d O u t > < / a : V a l u e > < / a : K e y V a l u e O f D i a g r a m O b j e c t K e y a n y T y p e z b w N T n L X > < a : K e y V a l u e O f D i a g r a m O b j e c t K e y a n y T y p e z b w N T n L X > < a : K e y > < K e y > C o l u m n s \ S c o p e   2   k g   C O 2 - e < / K e y > < / a : K e y > < a : V a l u e   i : t y p e = " M e a s u r e G r i d N o d e V i e w S t a t e " > < C o l u m n > 6 < / C o l u m n > < L a y e d O u t > t r u e < / L a y e d O u t > < / a : V a l u e > < / a : K e y V a l u e O f D i a g r a m O b j e c t K e y a n y T y p e z b w N T n L X > < a : K e y V a l u e O f D i a g r a m O b j e c t K e y a n y T y p e z b w N T n L X > < a : K e y > < K e y > C o l u m n s \ S c o p e   3   k g   C O 2 - e < / K e y > < / a : K e y > < a : V a l u e   i : t y p e = " M e a s u r e G r i d N o d e V i e w S t a t e " > < C o l u m n > 7 < / C o l u m n > < L a y e d O u t > t r u e < / L a y e d O u t > < / a : V a l u e > < / a : K e y V a l u e O f D i a g r a m O b j e c t K e y a n y T y p e z b w N T n L X > < a : K e y V a l u e O f D i a g r a m O b j e c t K e y a n y T y p e z b w N T n L X > < a : K e y > < K e y > C o l u m n s \ T o t a l   E m i s s i o n s < / K e y > < / a : K e y > < a : V a l u e   i : t y p e = " M e a s u r e G r i d N o d e V i e w S t a t e " > < C o l u m n > 8 < / C o l u m n > < L a y e d O u t > t r u e < / L a y e d O u t > < / a : V a l u e > < / a : K e y V a l u e O f D i a g r a m O b j e c t K e y a n y T y p e z b w N T n L X > < a : K e y V a l u e O f D i a g r a m O b j e c t K e y a n y T y p e z b w N T n L X > < a : K e y > < K e y > L i n k s \ & l t ; C o l u m n s \ S u m   o f   C o n s u m p t i o n   Q u a n t i t y   9 & g t ; - & l t ; M e a s u r e s \ C o n s u m p t i o n   Q u a n t i t y & g t ; < / K e y > < / a : K e y > < a : V a l u e   i : t y p e = " M e a s u r e G r i d V i e w S t a t e I D i a g r a m L i n k " / > < / a : K e y V a l u e O f D i a g r a m O b j e c t K e y a n y T y p e z b w N T n L X > < a : K e y V a l u e O f D i a g r a m O b j e c t K e y a n y T y p e z b w N T n L X > < a : K e y > < K e y > L i n k s \ & l t ; C o l u m n s \ S u m   o f   C o n s u m p t i o n   Q u a n t i t y   9 & g t ; - & l t ; M e a s u r e s \ C o n s u m p t i o n   Q u a n t i t y & g t ; \ C O L U M N < / K e y > < / a : K e y > < a : V a l u e   i : t y p e = " M e a s u r e G r i d V i e w S t a t e I D i a g r a m L i n k E n d p o i n t " / > < / a : K e y V a l u e O f D i a g r a m O b j e c t K e y a n y T y p e z b w N T n L X > < a : K e y V a l u e O f D i a g r a m O b j e c t K e y a n y T y p e z b w N T n L X > < a : K e y > < K e y > L i n k s \ & l t ; C o l u m n s \ S u m   o f   C o n s u m p t i o n   Q u a n t i t y   9 & g t ; - & l t ; M e a s u r e s \ C o n s u m p t i o n   Q u a n t i t y & g t ; \ M E A S U R E < / K e y > < / a : K e y > < a : V a l u e   i : t y p e = " M e a s u r e G r i d V i e w S t a t e I D i a g r a m L i n k E n d p o i n t " / > < / a : K e y V a l u e O f D i a g r a m O b j e c t K e y a n y T y p e z b w N T n L X > < a : K e y V a l u e O f D i a g r a m O b j e c t K e y a n y T y p e z b w N T n L X > < a : K e y > < K e y > L i n k s \ & l t ; C o l u m n s \ S u m   o f   k L & g t ; - & l t ; M e a s u r e s \ k L & g t ; < / K e y > < / a : K e y > < a : V a l u e   i : t y p e = " M e a s u r e G r i d V i e w S t a t e I D i a g r a m L i n k " / > < / a : K e y V a l u e O f D i a g r a m O b j e c t K e y a n y T y p e z b w N T n L X > < a : K e y V a l u e O f D i a g r a m O b j e c t K e y a n y T y p e z b w N T n L X > < a : K e y > < K e y > L i n k s \ & l t ; C o l u m n s \ S u m   o f   k L & g t ; - & l t ; M e a s u r e s \ k L & g t ; \ C O L U M N < / K e y > < / a : K e y > < a : V a l u e   i : t y p e = " M e a s u r e G r i d V i e w S t a t e I D i a g r a m L i n k E n d p o i n t " / > < / a : K e y V a l u e O f D i a g r a m O b j e c t K e y a n y T y p e z b w N T n L X > < a : K e y V a l u e O f D i a g r a m O b j e c t K e y a n y T y p e z b w N T n L X > < a : K e y > < K e y > L i n k s \ & l t ; C o l u m n s \ S u m   o f   k L & g t ; - & l t ; M e a s u r e s \ k L & g t ; \ M E A S U R E < / K e y > < / a : K e y > < a : V a l u e   i : t y p e = " M e a s u r e G r i d V i e w S t a t e I D i a g r a m L i n k E n d p o i n t " / > < / a : K e y V a l u e O f D i a g r a m O b j e c t K e y a n y T y p e z b w N T n L X > < a : K e y V a l u e O f D i a g r a m O b j e c t K e y a n y T y p e z b w N T n L X > < a : K e y > < K e y > L i n k s \ & l t ; C o l u m n s \ S u m   o f   S c o p e   1   k g   C O 2 - e   1 5 & g t ; - & l t ; M e a s u r e s \ S c o p e   1   k g   C O 2 - e & g t ; < / K e y > < / a : K e y > < a : V a l u e   i : t y p e = " M e a s u r e G r i d V i e w S t a t e I D i a g r a m L i n k " / > < / a : K e y V a l u e O f D i a g r a m O b j e c t K e y a n y T y p e z b w N T n L X > < a : K e y V a l u e O f D i a g r a m O b j e c t K e y a n y T y p e z b w N T n L X > < a : K e y > < K e y > L i n k s \ & l t ; C o l u m n s \ S u m   o f   S c o p e   1   k g   C O 2 - e   1 5 & g t ; - & l t ; M e a s u r e s \ S c o p e   1   k g   C O 2 - e & g t ; \ C O L U M N < / K e y > < / a : K e y > < a : V a l u e   i : t y p e = " M e a s u r e G r i d V i e w S t a t e I D i a g r a m L i n k E n d p o i n t " / > < / a : K e y V a l u e O f D i a g r a m O b j e c t K e y a n y T y p e z b w N T n L X > < a : K e y V a l u e O f D i a g r a m O b j e c t K e y a n y T y p e z b w N T n L X > < a : K e y > < K e y > L i n k s \ & l t ; C o l u m n s \ S u m   o f   S c o p e   1   k g   C O 2 - e   1 5 & g t ; - & l t ; M e a s u r e s \ S c o p e   1   k g   C O 2 - e & g t ; \ M E A S U R E < / K e y > < / a : K e y > < a : V a l u e   i : t y p e = " M e a s u r e G r i d V i e w S t a t e I D i a g r a m L i n k E n d p o i n t " / > < / a : K e y V a l u e O f D i a g r a m O b j e c t K e y a n y T y p e z b w N T n L X > < a : K e y V a l u e O f D i a g r a m O b j e c t K e y a n y T y p e z b w N T n L X > < a : K e y > < K e y > L i n k s \ & l t ; C o l u m n s \ S u m   o f   T o t a l   G J   1 5 & g t ; - & l t ; M e a s u r e s \ T o t a l   G J & g t ; < / K e y > < / a : K e y > < a : V a l u e   i : t y p e = " M e a s u r e G r i d V i e w S t a t e I D i a g r a m L i n k " / > < / a : K e y V a l u e O f D i a g r a m O b j e c t K e y a n y T y p e z b w N T n L X > < a : K e y V a l u e O f D i a g r a m O b j e c t K e y a n y T y p e z b w N T n L X > < a : K e y > < K e y > L i n k s \ & l t ; C o l u m n s \ S u m   o f   T o t a l   G J   1 5 & g t ; - & l t ; M e a s u r e s \ T o t a l   G J & g t ; \ C O L U M N < / K e y > < / a : K e y > < a : V a l u e   i : t y p e = " M e a s u r e G r i d V i e w S t a t e I D i a g r a m L i n k E n d p o i n t " / > < / a : K e y V a l u e O f D i a g r a m O b j e c t K e y a n y T y p e z b w N T n L X > < a : K e y V a l u e O f D i a g r a m O b j e c t K e y a n y T y p e z b w N T n L X > < a : K e y > < K e y > L i n k s \ & l t ; C o l u m n s \ S u m   o f   T o t a l   G J   1 5 & g t ; - & l t ; M e a s u r e s \ T o t a l   G J & g t ; \ M E A S U R E < / K e y > < / a : K e y > < a : V a l u e   i : t y p e = " M e a s u r e G r i d V i e w S t a t e I D i a g r a m L i n k E n d p o i n t " / > < / a : K e y V a l u e O f D i a g r a m O b j e c t K e y a n y T y p e z b w N T n L X > < a : K e y V a l u e O f D i a g r a m O b j e c t K e y a n y T y p e z b w N T n L X > < a : K e y > < K e y > L i n k s \ & l t ; C o l u m n s \ S u m   o f   S c o p e   2   k g   C O 2 - e   1 5 & g t ; - & l t ; M e a s u r e s \ S c o p e   2   k g   C O 2 - e & g t ; < / K e y > < / a : K e y > < a : V a l u e   i : t y p e = " M e a s u r e G r i d V i e w S t a t e I D i a g r a m L i n k " / > < / a : K e y V a l u e O f D i a g r a m O b j e c t K e y a n y T y p e z b w N T n L X > < a : K e y V a l u e O f D i a g r a m O b j e c t K e y a n y T y p e z b w N T n L X > < a : K e y > < K e y > L i n k s \ & l t ; C o l u m n s \ S u m   o f   S c o p e   2   k g   C O 2 - e   1 5 & g t ; - & l t ; M e a s u r e s \ S c o p e   2   k g   C O 2 - e & g t ; \ C O L U M N < / K e y > < / a : K e y > < a : V a l u e   i : t y p e = " M e a s u r e G r i d V i e w S t a t e I D i a g r a m L i n k E n d p o i n t " / > < / a : K e y V a l u e O f D i a g r a m O b j e c t K e y a n y T y p e z b w N T n L X > < a : K e y V a l u e O f D i a g r a m O b j e c t K e y a n y T y p e z b w N T n L X > < a : K e y > < K e y > L i n k s \ & l t ; C o l u m n s \ S u m   o f   S c o p e   2   k g   C O 2 - e   1 5 & g t ; - & l t ; M e a s u r e s \ S c o p e   2   k g   C O 2 - e & g t ; \ M E A S U R E < / K e y > < / a : K e y > < a : V a l u e   i : t y p e = " M e a s u r e G r i d V i e w S t a t e I D i a g r a m L i n k E n d p o i n t " / > < / a : K e y V a l u e O f D i a g r a m O b j e c t K e y a n y T y p e z b w N T n L X > < a : K e y V a l u e O f D i a g r a m O b j e c t K e y a n y T y p e z b w N T n L X > < a : K e y > < K e y > L i n k s \ & l t ; C o l u m n s \ S u m   o f   S c o p e   3   k g   C O 2 - e   1 5 & g t ; - & l t ; M e a s u r e s \ S c o p e   3   k g   C O 2 - e & g t ; < / K e y > < / a : K e y > < a : V a l u e   i : t y p e = " M e a s u r e G r i d V i e w S t a t e I D i a g r a m L i n k " / > < / a : K e y V a l u e O f D i a g r a m O b j e c t K e y a n y T y p e z b w N T n L X > < a : K e y V a l u e O f D i a g r a m O b j e c t K e y a n y T y p e z b w N T n L X > < a : K e y > < K e y > L i n k s \ & l t ; C o l u m n s \ S u m   o f   S c o p e   3   k g   C O 2 - e   1 5 & g t ; - & l t ; M e a s u r e s \ S c o p e   3   k g   C O 2 - e & g t ; \ C O L U M N < / K e y > < / a : K e y > < a : V a l u e   i : t y p e = " M e a s u r e G r i d V i e w S t a t e I D i a g r a m L i n k E n d p o i n t " / > < / a : K e y V a l u e O f D i a g r a m O b j e c t K e y a n y T y p e z b w N T n L X > < a : K e y V a l u e O f D i a g r a m O b j e c t K e y a n y T y p e z b w N T n L X > < a : K e y > < K e y > L i n k s \ & l t ; C o l u m n s \ S u m   o f   S c o p e   3   k g   C O 2 - e   1 5 & g t ; - & l t ; M e a s u r e s \ S c o p e   3   k g   C O 2 - e & g t ; \ M E A S U R E < / K e y > < / a : K e y > < a : V a l u e   i : t y p e = " M e a s u r e G r i d V i e w S t a t e I D i a g r a m L i n k E n d p o i n t " / > < / a : K e y V a l u e O f D i a g r a m O b j e c t K e y a n y T y p e z b w N T n L X > < a : K e y V a l u e O f D i a g r a m O b j e c t K e y a n y T y p e z b w N T n L X > < a : K e y > < K e y > L i n k s \ & l t ; C o l u m n s \ S u m   o f   T o t a l   E m i s s i o n s   1 5 & g t ; - & l t ; M e a s u r e s \ T o t a l   E m i s s i o n s & g t ; < / K e y > < / a : K e y > < a : V a l u e   i : t y p e = " M e a s u r e G r i d V i e w S t a t e I D i a g r a m L i n k " / > < / a : K e y V a l u e O f D i a g r a m O b j e c t K e y a n y T y p e z b w N T n L X > < a : K e y V a l u e O f D i a g r a m O b j e c t K e y a n y T y p e z b w N T n L X > < a : K e y > < K e y > L i n k s \ & l t ; C o l u m n s \ S u m   o f   T o t a l   E m i s s i o n s   1 5 & g t ; - & l t ; M e a s u r e s \ T o t a l   E m i s s i o n s & g t ; \ C O L U M N < / K e y > < / a : K e y > < a : V a l u e   i : t y p e = " M e a s u r e G r i d V i e w S t a t e I D i a g r a m L i n k E n d p o i n t " / > < / a : K e y V a l u e O f D i a g r a m O b j e c t K e y a n y T y p e z b w N T n L X > < a : K e y V a l u e O f D i a g r a m O b j e c t K e y a n y T y p e z b w N T n L X > < a : K e y > < K e y > L i n k s \ & l t ; C o l u m n s \ S u m   o f   T o t a l   E m i s s i o n s   1 5 & g t ; - & l t ; M e a s u r e s \ T o t a l   E m i s s i o n s & g t ; \ M E A S U R E < / K e y > < / a : K e y > < a : V a l u e   i : t y p e = " M e a s u r e G r i d V i e w S t a t e I D i a g r a m L i n k E n d p o i n t " / > < / a : K e y V a l u e O f D i a g r a m O b j e c t K e y a n y T y p e z b w N T n L X > < / V i e w S t a t e s > < / D i a g r a m M a n a g e r . S e r i a l i z a b l e D i a g r a m > < D i a g r a m M a n a g e r . S e r i a l i z a b l e D i a g r a m > < A d a p t e r   i : t y p e = " M e a s u r e D i a g r a m S a n d b o x A d a p t e r " > < T a b l e N a m e > P a p e r _ C S R 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 P a p e r _ C S R < / 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K e y > < / D i a g r a m O b j e c t K e y > < D i a g r a m O b j e c t K e y > < K e y > M e a s u r e s \ S u m   o f   t \ T a g I n f o \ F o r m u l a < / K e y > < / D i a g r a m O b j e c t K e y > < D i a g r a m O b j e c t K e y > < K e y > M e a s u r e s \ S u m   o f   t \ T a g I n f o \ V a l u e < / K e y > < / D i a g r a m O b j e c t K e y > < D i a g r a m O b j e c t K e y > < K e y > C o l u m n s \ R e p o r t i n g   A l i a s < / K e y > < / D i a g r a m O b j e c t K e y > < D i a g r a m O b j e c t K e y > < K e y > C o l u m n s \ t < / K e y > < / D i a g r a m O b j e c t K e y > < D i a g r a m O b j e c t K e y > < K e y > L i n k s \ & l t ; C o l u m n s \ S u m   o f   t & g t ; - & l t ; M e a s u r e s \ t & g t ; < / K e y > < / D i a g r a m O b j e c t K e y > < D i a g r a m O b j e c t K e y > < K e y > L i n k s \ & l t ; C o l u m n s \ S u m   o f   t & g t ; - & l t ; M e a s u r e s \ t & g t ; \ C O L U M N < / K e y > < / D i a g r a m O b j e c t K e y > < D i a g r a m O b j e c t K e y > < K e y > L i n k s \ & l t ; C o l u m n s \ S u m   o f   t & g t ; - & l t ; M e a s u r e s \ t & g t ; \ M E A S U R E 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K e y > < / a : K e y > < a : V a l u e   i : t y p e = " M e a s u r e G r i d N o d e V i e w S t a t e " > < C o l u m n > 1 < / C o l u m n > < L a y e d O u t > t r u e < / L a y e d O u t > < W a s U I I n v i s i b l e > t r u e < / W a s U I I n v i s i b l e > < / a : V a l u e > < / a : K e y V a l u e O f D i a g r a m O b j e c t K e y a n y T y p e z b w N T n L X > < a : K e y V a l u e O f D i a g r a m O b j e c t K e y a n y T y p e z b w N T n L X > < a : K e y > < K e y > M e a s u r e s \ S u m   o f   t \ T a g I n f o \ F o r m u l a < / K e y > < / a : K e y > < a : V a l u e   i : t y p e = " M e a s u r e G r i d V i e w S t a t e I D i a g r a m T a g A d d i t i o n a l I n f o " / > < / a : K e y V a l u e O f D i a g r a m O b j e c t K e y a n y T y p e z b w N T n L X > < a : K e y V a l u e O f D i a g r a m O b j e c t K e y a n y T y p e z b w N T n L X > < a : K e y > < K e y > M e a s u r e s \ S u m   o f   t \ T a g I n f o \ V a l u e 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 C o l u m n s \ t < / K e y > < / a : K e y > < a : V a l u e   i : t y p e = " M e a s u r e G r i d N o d e V i e w S t a t e " > < C o l u m n > 1 < / C o l u m n > < L a y e d O u t > t r u e < / L a y e d O u t > < / a : V a l u e > < / a : K e y V a l u e O f D i a g r a m O b j e c t K e y a n y T y p e z b w N T n L X > < a : K e y V a l u e O f D i a g r a m O b j e c t K e y a n y T y p e z b w N T n L X > < a : K e y > < K e y > L i n k s \ & l t ; C o l u m n s \ S u m   o f   t & g t ; - & l t ; M e a s u r e s \ t & g t ; < / K e y > < / a : K e y > < a : V a l u e   i : t y p e = " M e a s u r e G r i d V i e w S t a t e I D i a g r a m L i n k " / > < / a : K e y V a l u e O f D i a g r a m O b j e c t K e y a n y T y p e z b w N T n L X > < a : K e y V a l u e O f D i a g r a m O b j e c t K e y a n y T y p e z b w N T n L X > < a : K e y > < K e y > L i n k s \ & l t ; C o l u m n s \ S u m   o f   t & g t ; - & l t ; M e a s u r e s \ t & g t ; \ C O L U M N < / K e y > < / a : K e y > < a : V a l u e   i : t y p e = " M e a s u r e G r i d V i e w S t a t e I D i a g r a m L i n k E n d p o i n t " / > < / a : K e y V a l u e O f D i a g r a m O b j e c t K e y a n y T y p e z b w N T n L X > < a : K e y V a l u e O f D i a g r a m O b j e c t K e y a n y T y p e z b w N T n L X > < a : K e y > < K e y > L i n k s \ & l t ; C o l u m n s \ S u m   o f   t & g t ; - & l t ; M e a s u r e s \ t & g t ; \ M E A S U R E < / K e y > < / a : K e y > < a : V a l u e   i : t y p e = " M e a s u r e G r i d V i e w S t a t e I D i a g r a m L i n k E n d p o i n t " / > < / a : K e y V a l u e O f D i a g r a m O b j e c t K e y a n y T y p e z b w N T n L X > < / V i e w S t a t e s > < / D i a g r a m M a n a g e r . S e r i a l i z a b l e D i a g r a m > < D i a g r a m M a n a g e r . S e r i a l i z a b l e D i a g r a m > < A d a p t e r   i : t y p e = " M e a s u r e D i a g r a m S a n d b o x A d a p t e r " > < T a b l e N a m e > S o l a r 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 S o l a r < / 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 Q u a n t i t i y < / K e y > < / D i a g r a m O b j e c t K e y > < D i a g r a m O b j e c t K e y > < K e y > M e a s u r e s \ S u m   o f   C o n s u m p t i o n   Q u a n t i t i y \ T a g I n f o \ F o r m u l a < / K e y > < / D i a g r a m O b j e c t K e y > < D i a g r a m O b j e c t K e y > < K e y > M e a s u r e s \ S u m   o f   C o n s u m p t i o n   Q u a n t i t i y \ T a g I n f o \ V a l u e < / K e y > < / D i a g r a m O b j e c t K e y > < D i a g r a m O b j e c t K e y > < K e y > M e a s u r e s \ S u m   o f   S c o p e   1   k g   C O 2 - e   7 < / K e y > < / D i a g r a m O b j e c t K e y > < D i a g r a m O b j e c t K e y > < K e y > M e a s u r e s \ S u m   o f   S c o p e   1   k g   C O 2 - e   7 \ T a g I n f o \ F o r m u l a < / K e y > < / D i a g r a m O b j e c t K e y > < D i a g r a m O b j e c t K e y > < K e y > M e a s u r e s \ S u m   o f   S c o p e   1   k g   C O 2 - e   7 \ T a g I n f o \ V a l u e < / K e y > < / D i a g r a m O b j e c t K e y > < D i a g r a m O b j e c t K e y > < K e y > M e a s u r e s \ S u m   o f   S c o p e   2   k g   C O 2 - e   7 < / K e y > < / D i a g r a m O b j e c t K e y > < D i a g r a m O b j e c t K e y > < K e y > M e a s u r e s \ S u m   o f   S c o p e   2   k g   C O 2 - e   7 \ T a g I n f o \ F o r m u l a < / K e y > < / D i a g r a m O b j e c t K e y > < D i a g r a m O b j e c t K e y > < K e y > M e a s u r e s \ S u m   o f   S c o p e   2   k g   C O 2 - e   7 \ T a g I n f o \ V a l u e < / K e y > < / D i a g r a m O b j e c t K e y > < D i a g r a m O b j e c t K e y > < K e y > M e a s u r e s \ S u m   o f   S c o p e   3   k g   C O 2 - e   7 < / K e y > < / D i a g r a m O b j e c t K e y > < D i a g r a m O b j e c t K e y > < K e y > M e a s u r e s \ S u m   o f   S c o p e   3   k g   C O 2 - e   7 \ T a g I n f o \ F o r m u l a < / K e y > < / D i a g r a m O b j e c t K e y > < D i a g r a m O b j e c t K e y > < K e y > M e a s u r e s \ S u m   o f   S c o p e   3   k g   C O 2 - e   7 \ T a g I n f o \ V a l u e < / K e y > < / D i a g r a m O b j e c t K e y > < D i a g r a m O b j e c t K e y > < K e y > M e a s u r e s \ S u m   o f   T o t a l   G J   7 < / K e y > < / D i a g r a m O b j e c t K e y > < D i a g r a m O b j e c t K e y > < K e y > M e a s u r e s \ S u m   o f   T o t a l   G J   7 \ T a g I n f o \ F o r m u l a < / K e y > < / D i a g r a m O b j e c t K e y > < D i a g r a m O b j e c t K e y > < K e y > M e a s u r e s \ S u m   o f   T o t a l   G J   7 \ T a g I n f o \ V a l u e < / K e y > < / D i a g r a m O b j e c t K e y > < D i a g r a m O b j e c t K e y > < K e y > M e a s u r e s \ S u m   o f   T o t a l   E m i s s i o n s   7 < / K e y > < / D i a g r a m O b j e c t K e y > < D i a g r a m O b j e c t K e y > < K e y > M e a s u r e s \ S u m   o f   T o t a l   E m i s s i o n s   7 \ T a g I n f o \ F o r m u l a < / K e y > < / D i a g r a m O b j e c t K e y > < D i a g r a m O b j e c t K e y > < K e y > M e a s u r e s \ S u m   o f   T o t a l   E m i s s i o n s   7 \ T a g I n f o \ V a l u e < / K e y > < / D i a g r a m O b j e c t K e y > < D i a g r a m O b j e c t K e y > < K e y > C o l u m n s \ S o u r c e   N a m e < / K e y > < / D i a g r a m O b j e c t K e y > < D i a g r a m O b j e c t K e y > < K e y > C o l u m n s \ R e p o r t i n g   A l i a s < / K e y > < / D i a g r a m O b j e c t K e y > < D i a g r a m O b j e c t K e y > < K e y > C o l u m n s \ A c t i v i t y   T y p e < / K e y > < / D i a g r a m O b j e c t K e y > < D i a g r a m O b j e c t K e y > < K e y > C o l u m n s \ A c t i v i t y   T y p e   C o n t e x t < / K e y > < / D i a g r a m O b j e c t K e y > < D i a g r a m O b j e c t K e y > < K e y > C o l u m n s \ E n t i t y < / K e y > < / D i a g r a m O b j e c t K e y > < D i a g r a m O b j e c t K e y > < K e y > C o l u m n s \ S t a t e < / K e y > < / D i a g r a m O b j e c t K e y > < D i a g r a m O b j e c t K e y > < K e y > C o l u m n s \ P r o d u c t i o n   Q u a n t i t y < / K e y > < / D i a g r a m O b j e c t K e y > < D i a g r a m O b j e c t K e y > < K e y > C o l u m n s \ P r o d u c t i o n   U n i t < / K e y > < / D i a g r a m O b j e c t K e y > < D i a g r a m O b j e c t K e y > < K e y > C o l u m n s \ C o n s u m p t i o n   Q u a n t i t i y < / K e y > < / D i a g r a m O b j e c t K e y > < D i a g r a m O b j e c t K e y > < K e y > C o l u m n s \ S c o p e   1   k g   C O 2 - e < / K e y > < / D i a g r a m O b j e c t K e y > < D i a g r a m O b j e c t K e y > < K e y > C o l u m n s \ S c o p e   2   k g   C O 2 - e < / K e y > < / D i a g r a m O b j e c t K e y > < D i a g r a m O b j e c t K e y > < K e y > C o l u m n s \ S c o p e   3   k g   C O 2 - e < / K e y > < / D i a g r a m O b j e c t K e y > < D i a g r a m O b j e c t K e y > < K e y > C o l u m n s \ T o t a l   G J < / K e y > < / D i a g r a m O b j e c t K e y > < D i a g r a m O b j e c t K e y > < K e y > C o l u m n s \ T o t a l   E m i s s i o n s < / K e y > < / D i a g r a m O b j e c t K e y > < D i a g r a m O b j e c t K e y > < K e y > C o l u m n s \ E n e r g y   C o n v e r s i o n   f a c t o r   ( G J / k W h ) < / K e y > < / D i a g r a m O b j e c t K e y > < D i a g r a m O b j e c t K e y > < K e y > C o l u m n s \ P r o d u c t i o n   G J < / K e y > < / D i a g r a m O b j e c t K e y > < D i a g r a m O b j e c t K e y > < K e y > C o l u m n s \ C o n s u m p t i o n   Q u a n t i t y < / K e y > < / D i a g r a m O b j e c t K e y > < D i a g r a m O b j e c t K e y > < K e y > C o l u m n s \ C o n s u m p t i o n   U n i t < / K e y > < / D i a g r a m O b j e c t K e y > < D i a g r a m O b j e c t K e y > < K e y > L i n k s \ & l t ; C o l u m n s \ S u m   o f   C o n s u m p t i o n   Q u a n t i t i y & g t ; - & l t ; M e a s u r e s \ C o n s u m p t i o n   Q u a n t i t i y & g t ; < / K e y > < / D i a g r a m O b j e c t K e y > < D i a g r a m O b j e c t K e y > < K e y > L i n k s \ & l t ; C o l u m n s \ S u m   o f   C o n s u m p t i o n   Q u a n t i t i y & g t ; - & l t ; M e a s u r e s \ C o n s u m p t i o n   Q u a n t i t i y & g t ; \ C O L U M N < / K e y > < / D i a g r a m O b j e c t K e y > < D i a g r a m O b j e c t K e y > < K e y > L i n k s \ & l t ; C o l u m n s \ S u m   o f   C o n s u m p t i o n   Q u a n t i t i y & g t ; - & l t ; M e a s u r e s \ C o n s u m p t i o n   Q u a n t i t i y & g t ; \ M E A S U R E < / K e y > < / D i a g r a m O b j e c t K e y > < D i a g r a m O b j e c t K e y > < K e y > L i n k s \ & l t ; C o l u m n s \ S u m   o f   S c o p e   1   k g   C O 2 - e   7 & g t ; - & l t ; M e a s u r e s \ S c o p e   1   k g   C O 2 - e & g t ; < / K e y > < / D i a g r a m O b j e c t K e y > < D i a g r a m O b j e c t K e y > < K e y > L i n k s \ & l t ; C o l u m n s \ S u m   o f   S c o p e   1   k g   C O 2 - e   7 & g t ; - & l t ; M e a s u r e s \ S c o p e   1   k g   C O 2 - e & g t ; \ C O L U M N < / K e y > < / D i a g r a m O b j e c t K e y > < D i a g r a m O b j e c t K e y > < K e y > L i n k s \ & l t ; C o l u m n s \ S u m   o f   S c o p e   1   k g   C O 2 - e   7 & g t ; - & l t ; M e a s u r e s \ S c o p e   1   k g   C O 2 - e & g t ; \ M E A S U R E < / K e y > < / D i a g r a m O b j e c t K e y > < D i a g r a m O b j e c t K e y > < K e y > L i n k s \ & l t ; C o l u m n s \ S u m   o f   S c o p e   2   k g   C O 2 - e   7 & g t ; - & l t ; M e a s u r e s \ S c o p e   2   k g   C O 2 - e & g t ; < / K e y > < / D i a g r a m O b j e c t K e y > < D i a g r a m O b j e c t K e y > < K e y > L i n k s \ & l t ; C o l u m n s \ S u m   o f   S c o p e   2   k g   C O 2 - e   7 & g t ; - & l t ; M e a s u r e s \ S c o p e   2   k g   C O 2 - e & g t ; \ C O L U M N < / K e y > < / D i a g r a m O b j e c t K e y > < D i a g r a m O b j e c t K e y > < K e y > L i n k s \ & l t ; C o l u m n s \ S u m   o f   S c o p e   2   k g   C O 2 - e   7 & g t ; - & l t ; M e a s u r e s \ S c o p e   2   k g   C O 2 - e & g t ; \ M E A S U R E < / K e y > < / D i a g r a m O b j e c t K e y > < D i a g r a m O b j e c t K e y > < K e y > L i n k s \ & l t ; C o l u m n s \ S u m   o f   S c o p e   3   k g   C O 2 - e   7 & g t ; - & l t ; M e a s u r e s \ S c o p e   3   k g   C O 2 - e & g t ; < / K e y > < / D i a g r a m O b j e c t K e y > < D i a g r a m O b j e c t K e y > < K e y > L i n k s \ & l t ; C o l u m n s \ S u m   o f   S c o p e   3   k g   C O 2 - e   7 & g t ; - & l t ; M e a s u r e s \ S c o p e   3   k g   C O 2 - e & g t ; \ C O L U M N < / K e y > < / D i a g r a m O b j e c t K e y > < D i a g r a m O b j e c t K e y > < K e y > L i n k s \ & l t ; C o l u m n s \ S u m   o f   S c o p e   3   k g   C O 2 - e   7 & g t ; - & l t ; M e a s u r e s \ S c o p e   3   k g   C O 2 - e & g t ; \ M E A S U R E < / K e y > < / D i a g r a m O b j e c t K e y > < D i a g r a m O b j e c t K e y > < K e y > L i n k s \ & l t ; C o l u m n s \ S u m   o f   T o t a l   G J   7 & g t ; - & l t ; M e a s u r e s \ T o t a l   G J & g t ; < / K e y > < / D i a g r a m O b j e c t K e y > < D i a g r a m O b j e c t K e y > < K e y > L i n k s \ & l t ; C o l u m n s \ S u m   o f   T o t a l   G J   7 & g t ; - & l t ; M e a s u r e s \ T o t a l   G J & g t ; \ C O L U M N < / K e y > < / D i a g r a m O b j e c t K e y > < D i a g r a m O b j e c t K e y > < K e y > L i n k s \ & l t ; C o l u m n s \ S u m   o f   T o t a l   G J   7 & g t ; - & l t ; M e a s u r e s \ T o t a l   G J & g t ; \ M E A S U R E < / K e y > < / D i a g r a m O b j e c t K e y > < D i a g r a m O b j e c t K e y > < K e y > L i n k s \ & l t ; C o l u m n s \ S u m   o f   T o t a l   E m i s s i o n s   7 & g t ; - & l t ; M e a s u r e s \ T o t a l   E m i s s i o n s & g t ; < / K e y > < / D i a g r a m O b j e c t K e y > < D i a g r a m O b j e c t K e y > < K e y > L i n k s \ & l t ; C o l u m n s \ S u m   o f   T o t a l   E m i s s i o n s   7 & g t ; - & l t ; M e a s u r e s \ T o t a l   E m i s s i o n s & g t ; \ C O L U M N < / K e y > < / D i a g r a m O b j e c t K e y > < D i a g r a m O b j e c t K e y > < K e y > L i n k s \ & l t ; C o l u m n s \ S u m   o f   T o t a l   E m i s s i o n s   7 & g t ; - & l t ; M e a s u r e s \ T o t a l 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 Q u a n t i t i y < / K e y > < / a : K e y > < a : V a l u e   i : t y p e = " M e a s u r e G r i d N o d e V i e w S t a t e " > < C o l u m n > 8 < / C o l u m n > < L a y e d O u t > t r u e < / L a y e d O u t > < W a s U I I n v i s i b l e > t r u e < / W a s U I I n v i s i b l e > < / a : V a l u e > < / a : K e y V a l u e O f D i a g r a m O b j e c t K e y a n y T y p e z b w N T n L X > < a : K e y V a l u e O f D i a g r a m O b j e c t K e y a n y T y p e z b w N T n L X > < a : K e y > < K e y > M e a s u r e s \ S u m   o f   C o n s u m p t i o n   Q u a n t i t i y \ T a g I n f o \ F o r m u l a < / K e y > < / a : K e y > < a : V a l u e   i : t y p e = " M e a s u r e G r i d V i e w S t a t e I D i a g r a m T a g A d d i t i o n a l I n f o " / > < / a : K e y V a l u e O f D i a g r a m O b j e c t K e y a n y T y p e z b w N T n L X > < a : K e y V a l u e O f D i a g r a m O b j e c t K e y a n y T y p e z b w N T n L X > < a : K e y > < K e y > M e a s u r e s \ S u m   o f   C o n s u m p t i o n   Q u a n t i t i y \ T a g I n f o \ V a l u e < / K e y > < / a : K e y > < a : V a l u e   i : t y p e = " M e a s u r e G r i d V i e w S t a t e I D i a g r a m T a g A d d i t i o n a l I n f o " / > < / a : K e y V a l u e O f D i a g r a m O b j e c t K e y a n y T y p e z b w N T n L X > < a : K e y V a l u e O f D i a g r a m O b j e c t K e y a n y T y p e z b w N T n L X > < a : K e y > < K e y > M e a s u r e s \ S u m   o f   S c o p e   1   k g   C O 2 - e   7 < / K e y > < / a : K e y > < a : V a l u e   i : t y p e = " M e a s u r e G r i d N o d e V i e w S t a t e " > < C o l u m n > 9 < / C o l u m n > < L a y e d O u t > t r u e < / L a y e d O u t > < W a s U I I n v i s i b l e > t r u e < / W a s U I I n v i s i b l e > < / a : V a l u e > < / a : K e y V a l u e O f D i a g r a m O b j e c t K e y a n y T y p e z b w N T n L X > < a : K e y V a l u e O f D i a g r a m O b j e c t K e y a n y T y p e z b w N T n L X > < a : K e y > < K e y > M e a s u r e s \ S u m   o f   S c o p e   1   k g   C O 2 - e   7 \ T a g I n f o \ F o r m u l a < / K e y > < / a : K e y > < a : V a l u e   i : t y p e = " M e a s u r e G r i d V i e w S t a t e I D i a g r a m T a g A d d i t i o n a l I n f o " / > < / a : K e y V a l u e O f D i a g r a m O b j e c t K e y a n y T y p e z b w N T n L X > < a : K e y V a l u e O f D i a g r a m O b j e c t K e y a n y T y p e z b w N T n L X > < a : K e y > < K e y > M e a s u r e s \ S u m   o f   S c o p e   1   k g   C O 2 - e   7 \ T a g I n f o \ V a l u e < / K e y > < / a : K e y > < a : V a l u e   i : t y p e = " M e a s u r e G r i d V i e w S t a t e I D i a g r a m T a g A d d i t i o n a l I n f o " / > < / a : K e y V a l u e O f D i a g r a m O b j e c t K e y a n y T y p e z b w N T n L X > < a : K e y V a l u e O f D i a g r a m O b j e c t K e y a n y T y p e z b w N T n L X > < a : K e y > < K e y > M e a s u r e s \ S u m   o f   S c o p e   2   k g   C O 2 - e   7 < / K e y > < / a : K e y > < a : V a l u e   i : t y p e = " M e a s u r e G r i d N o d e V i e w S t a t e " > < C o l u m n > 1 0 < / C o l u m n > < L a y e d O u t > t r u e < / L a y e d O u t > < W a s U I I n v i s i b l e > t r u e < / W a s U I I n v i s i b l e > < / a : V a l u e > < / a : K e y V a l u e O f D i a g r a m O b j e c t K e y a n y T y p e z b w N T n L X > < a : K e y V a l u e O f D i a g r a m O b j e c t K e y a n y T y p e z b w N T n L X > < a : K e y > < K e y > M e a s u r e s \ S u m   o f   S c o p e   2   k g   C O 2 - e   7 \ T a g I n f o \ F o r m u l a < / K e y > < / a : K e y > < a : V a l u e   i : t y p e = " M e a s u r e G r i d V i e w S t a t e I D i a g r a m T a g A d d i t i o n a l I n f o " / > < / a : K e y V a l u e O f D i a g r a m O b j e c t K e y a n y T y p e z b w N T n L X > < a : K e y V a l u e O f D i a g r a m O b j e c t K e y a n y T y p e z b w N T n L X > < a : K e y > < K e y > M e a s u r e s \ S u m   o f   S c o p e   2   k g   C O 2 - e   7 \ T a g I n f o \ V a l u e < / K e y > < / a : K e y > < a : V a l u e   i : t y p e = " M e a s u r e G r i d V i e w S t a t e I D i a g r a m T a g A d d i t i o n a l I n f o " / > < / a : K e y V a l u e O f D i a g r a m O b j e c t K e y a n y T y p e z b w N T n L X > < a : K e y V a l u e O f D i a g r a m O b j e c t K e y a n y T y p e z b w N T n L X > < a : K e y > < K e y > M e a s u r e s \ S u m   o f   S c o p e   3   k g   C O 2 - e   7 < / K e y > < / a : K e y > < a : V a l u e   i : t y p e = " M e a s u r e G r i d N o d e V i e w S t a t e " > < C o l u m n > 1 1 < / C o l u m n > < L a y e d O u t > t r u e < / L a y e d O u t > < W a s U I I n v i s i b l e > t r u e < / W a s U I I n v i s i b l e > < / a : V a l u e > < / a : K e y V a l u e O f D i a g r a m O b j e c t K e y a n y T y p e z b w N T n L X > < a : K e y V a l u e O f D i a g r a m O b j e c t K e y a n y T y p e z b w N T n L X > < a : K e y > < K e y > M e a s u r e s \ S u m   o f   S c o p e   3   k g   C O 2 - e   7 \ T a g I n f o \ F o r m u l a < / K e y > < / a : K e y > < a : V a l u e   i : t y p e = " M e a s u r e G r i d V i e w S t a t e I D i a g r a m T a g A d d i t i o n a l I n f o " / > < / a : K e y V a l u e O f D i a g r a m O b j e c t K e y a n y T y p e z b w N T n L X > < a : K e y V a l u e O f D i a g r a m O b j e c t K e y a n y T y p e z b w N T n L X > < a : K e y > < K e y > M e a s u r e s \ S u m   o f   S c o p e   3   k g   C O 2 - e   7 \ T a g I n f o \ V a l u e < / K e y > < / a : K e y > < a : V a l u e   i : t y p e = " M e a s u r e G r i d V i e w S t a t e I D i a g r a m T a g A d d i t i o n a l I n f o " / > < / a : K e y V a l u e O f D i a g r a m O b j e c t K e y a n y T y p e z b w N T n L X > < a : K e y V a l u e O f D i a g r a m O b j e c t K e y a n y T y p e z b w N T n L X > < a : K e y > < K e y > M e a s u r e s \ S u m   o f   T o t a l   G J   7 < / K e y > < / a : K e y > < a : V a l u e   i : t y p e = " M e a s u r e G r i d N o d e V i e w S t a t e " > < C o l u m n > 1 2 < / C o l u m n > < L a y e d O u t > t r u e < / L a y e d O u t > < W a s U I I n v i s i b l e > t r u e < / W a s U I I n v i s i b l e > < / a : V a l u e > < / a : K e y V a l u e O f D i a g r a m O b j e c t K e y a n y T y p e z b w N T n L X > < a : K e y V a l u e O f D i a g r a m O b j e c t K e y a n y T y p e z b w N T n L X > < a : K e y > < K e y > M e a s u r e s \ S u m   o f   T o t a l   G J   7 \ T a g I n f o \ F o r m u l a < / K e y > < / a : K e y > < a : V a l u e   i : t y p e = " M e a s u r e G r i d V i e w S t a t e I D i a g r a m T a g A d d i t i o n a l I n f o " / > < / a : K e y V a l u e O f D i a g r a m O b j e c t K e y a n y T y p e z b w N T n L X > < a : K e y V a l u e O f D i a g r a m O b j e c t K e y a n y T y p e z b w N T n L X > < a : K e y > < K e y > M e a s u r e s \ S u m   o f   T o t a l   G J   7 \ T a g I n f o \ V a l u e < / K e y > < / a : K e y > < a : V a l u e   i : t y p e = " M e a s u r e G r i d V i e w S t a t e I D i a g r a m T a g A d d i t i o n a l I n f o " / > < / a : K e y V a l u e O f D i a g r a m O b j e c t K e y a n y T y p e z b w N T n L X > < a : K e y V a l u e O f D i a g r a m O b j e c t K e y a n y T y p e z b w N T n L X > < a : K e y > < K e y > M e a s u r e s \ S u m   o f   T o t a l   E m i s s i o n s   7 < / K e y > < / a : K e y > < a : V a l u e   i : t y p e = " M e a s u r e G r i d N o d e V i e w S t a t e " > < C o l u m n > 1 3 < / C o l u m n > < L a y e d O u t > t r u e < / L a y e d O u t > < W a s U I I n v i s i b l e > t r u e < / W a s U I I n v i s i b l e > < / a : V a l u e > < / a : K e y V a l u e O f D i a g r a m O b j e c t K e y a n y T y p e z b w N T n L X > < a : K e y V a l u e O f D i a g r a m O b j e c t K e y a n y T y p e z b w N T n L X > < a : K e y > < K e y > M e a s u r e s \ S u m   o f   T o t a l   E m i s s i o n s   7 \ T a g I n f o \ F o r m u l a < / K e y > < / a : K e y > < a : V a l u e   i : t y p e = " M e a s u r e G r i d V i e w S t a t e I D i a g r a m T a g A d d i t i o n a l I n f o " / > < / a : K e y V a l u e O f D i a g r a m O b j e c t K e y a n y T y p e z b w N T n L X > < a : K e y V a l u e O f D i a g r a m O b j e c t K e y a n y T y p e z b w N T n L X > < a : K e y > < K e y > M e a s u r e s \ S u m   o f   T o t a l   E m i s s i o n s   7 \ T a g I n f o \ V a l u e < / K e y > < / a : K e y > < a : V a l u e   i : t y p e = " M e a s u r e G r i d V i e w S t a t e I D i a g r a m T a g A d d i t i o n a l I n f o " / > < / a : K e y V a l u e O f D i a g r a m O b j e c t K e y a n y T y p e z b w N T n L X > < a : K e y V a l u e O f D i a g r a m O b j e c t K e y a n y T y p e z b w N T n L X > < a : K e y > < K e y > C o l u m n s \ S o u r c e   N a m e < / K e y > < / a : K e y > < a : V a l u e   i : t y p e = " M e a s u r e G r i d N o d e V i e w S t a t e " > < L a y e d O u t > t r u e < / L a y e d O u t > < / a : V a l u e > < / a : K e y V a l u e O f D i a g r a m O b j e c t K e y a n y T y p e z b w N T n L X > < a : K e y V a l u e O f D i a g r a m O b j e c t K e y a n y T y p e z b w N T n L X > < a : K e y > < K e y > C o l u m n s \ R e p o r t i n g   A l i a s < / K e y > < / a : K e y > < a : V a l u e   i : t y p e = " M e a s u r e G r i d N o d e V i e w S t a t e " > < C o l u m n > 1 < / C o l u m n > < L a y e d O u t > t r u e < / L a y e d O u t > < / a : V a l u e > < / a : K e y V a l u e O f D i a g r a m O b j e c t K e y a n y T y p e z b w N T n L X > < a : K e y V a l u e O f D i a g r a m O b j e c t K e y a n y T y p e z b w N T n L X > < a : K e y > < K e y > C o l u m n s \ A c t i v i t y   T y p e < / K e y > < / a : K e y > < a : V a l u e   i : t y p e = " M e a s u r e G r i d N o d e V i e w S t a t e " > < C o l u m n > 2 < / C o l u m n > < L a y e d O u t > t r u e < / L a y e d O u t > < / a : V a l u e > < / a : K e y V a l u e O f D i a g r a m O b j e c t K e y a n y T y p e z b w N T n L X > < a : K e y V a l u e O f D i a g r a m O b j e c t K e y a n y T y p e z b w N T n L X > < a : K e y > < K e y > C o l u m n s \ A c t i v i t y   T y p e   C o n t e x t < / K e y > < / a : K e y > < a : V a l u e   i : t y p e = " M e a s u r e G r i d N o d e V i e w S t a t e " > < C o l u m n > 3 < / C o l u m n > < L a y e d O u t > t r u e < / L a y e d O u t > < / a : V a l u e > < / a : K e y V a l u e O f D i a g r a m O b j e c t K e y a n y T y p e z b w N T n L X > < a : K e y V a l u e O f D i a g r a m O b j e c t K e y a n y T y p e z b w N T n L X > < a : K e y > < K e y > C o l u m n s \ E n t i t y < / K e y > < / a : K e y > < a : V a l u e   i : t y p e = " M e a s u r e G r i d N o d e V i e w S t a t e " > < C o l u m n > 4 < / C o l u m n > < L a y e d O u t > t r u e < / L a y e d O u t > < / a : V a l u e > < / a : K e y V a l u e O f D i a g r a m O b j e c t K e y a n y T y p e z b w N T n L X > < a : K e y V a l u e O f D i a g r a m O b j e c t K e y a n y T y p e z b w N T n L X > < a : K e y > < K e y > C o l u m n s \ S t a t e < / K e y > < / a : K e y > < a : V a l u e   i : t y p e = " M e a s u r e G r i d N o d e V i e w S t a t e " > < C o l u m n > 5 < / C o l u m n > < L a y e d O u t > t r u e < / L a y e d O u t > < / a : V a l u e > < / a : K e y V a l u e O f D i a g r a m O b j e c t K e y a n y T y p e z b w N T n L X > < a : K e y V a l u e O f D i a g r a m O b j e c t K e y a n y T y p e z b w N T n L X > < a : K e y > < K e y > C o l u m n s \ P r o d u c t i o n   Q u a n t i t y < / K e y > < / a : K e y > < a : V a l u e   i : t y p e = " M e a s u r e G r i d N o d e V i e w S t a t e " > < C o l u m n > 6 < / C o l u m n > < L a y e d O u t > t r u e < / L a y e d O u t > < / a : V a l u e > < / a : K e y V a l u e O f D i a g r a m O b j e c t K e y a n y T y p e z b w N T n L X > < a : K e y V a l u e O f D i a g r a m O b j e c t K e y a n y T y p e z b w N T n L X > < a : K e y > < K e y > C o l u m n s \ P r o d u c t i o n   U n i t < / K e y > < / a : K e y > < a : V a l u e   i : t y p e = " M e a s u r e G r i d N o d e V i e w S t a t e " > < C o l u m n > 7 < / C o l u m n > < L a y e d O u t > t r u e < / L a y e d O u t > < / a : V a l u e > < / a : K e y V a l u e O f D i a g r a m O b j e c t K e y a n y T y p e z b w N T n L X > < a : K e y V a l u e O f D i a g r a m O b j e c t K e y a n y T y p e z b w N T n L X > < a : K e y > < K e y > C o l u m n s \ C o n s u m p t i o n   Q u a n t i t i y < / K e y > < / a : K e y > < a : V a l u e   i : t y p e = " M e a s u r e G r i d N o d e V i e w S t a t e " > < C o l u m n > 8 < / C o l u m n > < L a y e d O u t > t r u e < / L a y e d O u t > < / a : V a l u e > < / a : K e y V a l u e O f D i a g r a m O b j e c t K e y a n y T y p e z b w N T n L X > < a : K e y V a l u e O f D i a g r a m O b j e c t K e y a n y T y p e z b w N T n L X > < a : K e y > < K e y > C o l u m n s \ S c o p e   1   k g   C O 2 - e < / K e y > < / a : K e y > < a : V a l u e   i : t y p e = " M e a s u r e G r i d N o d e V i e w S t a t e " > < C o l u m n > 9 < / C o l u m n > < L a y e d O u t > t r u e < / L a y e d O u t > < / a : V a l u e > < / a : K e y V a l u e O f D i a g r a m O b j e c t K e y a n y T y p e z b w N T n L X > < a : K e y V a l u e O f D i a g r a m O b j e c t K e y a n y T y p e z b w N T n L X > < a : K e y > < K e y > C o l u m n s \ S c o p e   2   k g   C O 2 - e < / K e y > < / a : K e y > < a : V a l u e   i : t y p e = " M e a s u r e G r i d N o d e V i e w S t a t e " > < C o l u m n > 1 0 < / C o l u m n > < L a y e d O u t > t r u e < / L a y e d O u t > < / a : V a l u e > < / a : K e y V a l u e O f D i a g r a m O b j e c t K e y a n y T y p e z b w N T n L X > < a : K e y V a l u e O f D i a g r a m O b j e c t K e y a n y T y p e z b w N T n L X > < a : K e y > < K e y > C o l u m n s \ S c o p e   3   k g   C O 2 - e < / K e y > < / a : K e y > < a : V a l u e   i : t y p e = " M e a s u r e G r i d N o d e V i e w S t a t e " > < C o l u m n > 1 1 < / C o l u m n > < L a y e d O u t > t r u e < / L a y e d O u t > < / a : V a l u e > < / a : K e y V a l u e O f D i a g r a m O b j e c t K e y a n y T y p e z b w N T n L X > < a : K e y V a l u e O f D i a g r a m O b j e c t K e y a n y T y p e z b w N T n L X > < a : K e y > < K e y > C o l u m n s \ T o t a l   G J < / K e y > < / a : K e y > < a : V a l u e   i : t y p e = " M e a s u r e G r i d N o d e V i e w S t a t e " > < C o l u m n > 1 2 < / C o l u m n > < L a y e d O u t > t r u e < / L a y e d O u t > < / a : V a l u e > < / a : K e y V a l u e O f D i a g r a m O b j e c t K e y a n y T y p e z b w N T n L X > < a : K e y V a l u e O f D i a g r a m O b j e c t K e y a n y T y p e z b w N T n L X > < a : K e y > < K e y > C o l u m n s \ T o t a l   E m i s s i o n s < / K e y > < / a : K e y > < a : V a l u e   i : t y p e = " M e a s u r e G r i d N o d e V i e w S t a t e " > < C o l u m n > 1 3 < / C o l u m n > < L a y e d O u t > t r u e < / L a y e d O u t > < / a : V a l u e > < / a : K e y V a l u e O f D i a g r a m O b j e c t K e y a n y T y p e z b w N T n L X > < a : K e y V a l u e O f D i a g r a m O b j e c t K e y a n y T y p e z b w N T n L X > < a : K e y > < K e y > C o l u m n s \ E n e r g y   C o n v e r s i o n   f a c t o r   ( G J / k W h ) < / K e y > < / a : K e y > < a : V a l u e   i : t y p e = " M e a s u r e G r i d N o d e V i e w S t a t e " > < C o l u m n > 1 4 < / C o l u m n > < L a y e d O u t > t r u e < / L a y e d O u t > < / a : V a l u e > < / a : K e y V a l u e O f D i a g r a m O b j e c t K e y a n y T y p e z b w N T n L X > < a : K e y V a l u e O f D i a g r a m O b j e c t K e y a n y T y p e z b w N T n L X > < a : K e y > < K e y > C o l u m n s \ P r o d u c t i o n   G J < / K e y > < / a : K e y > < a : V a l u e   i : t y p e = " M e a s u r e G r i d N o d e V i e w S t a t e " > < C o l u m n > 1 5 < / C o l u m n > < L a y e d O u t > t r u e < / L a y e d O u t > < / a : V a l u e > < / a : K e y V a l u e O f D i a g r a m O b j e c t K e y a n y T y p e z b w N T n L X > < a : K e y V a l u e O f D i a g r a m O b j e c t K e y a n y T y p e z b w N T n L X > < a : K e y > < K e y > C o l u m n s \ C o n s u m p t i o n   Q u a n t i t y < / K e y > < / a : K e y > < a : V a l u e   i : t y p e = " M e a s u r e G r i d N o d e V i e w S t a t e " > < C o l u m n > 1 6 < / C o l u m n > < L a y e d O u t > t r u e < / L a y e d O u t > < / a : V a l u e > < / a : K e y V a l u e O f D i a g r a m O b j e c t K e y a n y T y p e z b w N T n L X > < a : K e y V a l u e O f D i a g r a m O b j e c t K e y a n y T y p e z b w N T n L X > < a : K e y > < K e y > C o l u m n s \ C o n s u m p t i o n   U n i t < / K e y > < / a : K e y > < a : V a l u e   i : t y p e = " M e a s u r e G r i d N o d e V i e w S t a t e " > < C o l u m n > 1 7 < / C o l u m n > < L a y e d O u t > t r u e < / L a y e d O u t > < / a : V a l u e > < / a : K e y V a l u e O f D i a g r a m O b j e c t K e y a n y T y p e z b w N T n L X > < a : K e y V a l u e O f D i a g r a m O b j e c t K e y a n y T y p e z b w N T n L X > < a : K e y > < K e y > L i n k s \ & l t ; C o l u m n s \ S u m   o f   C o n s u m p t i o n   Q u a n t i t i y & g t ; - & l t ; M e a s u r e s \ C o n s u m p t i o n   Q u a n t i t i y & g t ; < / K e y > < / a : K e y > < a : V a l u e   i : t y p e = " M e a s u r e G r i d V i e w S t a t e I D i a g r a m L i n k " / > < / a : K e y V a l u e O f D i a g r a m O b j e c t K e y a n y T y p e z b w N T n L X > < a : K e y V a l u e O f D i a g r a m O b j e c t K e y a n y T y p e z b w N T n L X > < a : K e y > < K e y > L i n k s \ & l t ; C o l u m n s \ S u m   o f   C o n s u m p t i o n   Q u a n t i t i y & g t ; - & l t ; M e a s u r e s \ C o n s u m p t i o n   Q u a n t i t i y & g t ; \ C O L U M N < / K e y > < / a : K e y > < a : V a l u e   i : t y p e = " M e a s u r e G r i d V i e w S t a t e I D i a g r a m L i n k E n d p o i n t " / > < / a : K e y V a l u e O f D i a g r a m O b j e c t K e y a n y T y p e z b w N T n L X > < a : K e y V a l u e O f D i a g r a m O b j e c t K e y a n y T y p e z b w N T n L X > < a : K e y > < K e y > L i n k s \ & l t ; C o l u m n s \ S u m   o f   C o n s u m p t i o n   Q u a n t i t i y & g t ; - & l t ; M e a s u r e s \ C o n s u m p t i o n   Q u a n t i t i y & g t ; \ M E A S U R E < / K e y > < / a : K e y > < a : V a l u e   i : t y p e = " M e a s u r e G r i d V i e w S t a t e I D i a g r a m L i n k E n d p o i n t " / > < / a : K e y V a l u e O f D i a g r a m O b j e c t K e y a n y T y p e z b w N T n L X > < a : K e y V a l u e O f D i a g r a m O b j e c t K e y a n y T y p e z b w N T n L X > < a : K e y > < K e y > L i n k s \ & l t ; C o l u m n s \ S u m   o f   S c o p e   1   k g   C O 2 - e   7 & g t ; - & l t ; M e a s u r e s \ S c o p e   1   k g   C O 2 - e & g t ; < / K e y > < / a : K e y > < a : V a l u e   i : t y p e = " M e a s u r e G r i d V i e w S t a t e I D i a g r a m L i n k " / > < / a : K e y V a l u e O f D i a g r a m O b j e c t K e y a n y T y p e z b w N T n L X > < a : K e y V a l u e O f D i a g r a m O b j e c t K e y a n y T y p e z b w N T n L X > < a : K e y > < K e y > L i n k s \ & l t ; C o l u m n s \ S u m   o f   S c o p e   1   k g   C O 2 - e   7 & g t ; - & l t ; M e a s u r e s \ S c o p e   1   k g   C O 2 - e & g t ; \ C O L U M N < / K e y > < / a : K e y > < a : V a l u e   i : t y p e = " M e a s u r e G r i d V i e w S t a t e I D i a g r a m L i n k E n d p o i n t " / > < / a : K e y V a l u e O f D i a g r a m O b j e c t K e y a n y T y p e z b w N T n L X > < a : K e y V a l u e O f D i a g r a m O b j e c t K e y a n y T y p e z b w N T n L X > < a : K e y > < K e y > L i n k s \ & l t ; C o l u m n s \ S u m   o f   S c o p e   1   k g   C O 2 - e   7 & g t ; - & l t ; M e a s u r e s \ S c o p e   1   k g   C O 2 - e & g t ; \ M E A S U R E < / K e y > < / a : K e y > < a : V a l u e   i : t y p e = " M e a s u r e G r i d V i e w S t a t e I D i a g r a m L i n k E n d p o i n t " / > < / a : K e y V a l u e O f D i a g r a m O b j e c t K e y a n y T y p e z b w N T n L X > < a : K e y V a l u e O f D i a g r a m O b j e c t K e y a n y T y p e z b w N T n L X > < a : K e y > < K e y > L i n k s \ & l t ; C o l u m n s \ S u m   o f   S c o p e   2   k g   C O 2 - e   7 & g t ; - & l t ; M e a s u r e s \ S c o p e   2   k g   C O 2 - e & g t ; < / K e y > < / a : K e y > < a : V a l u e   i : t y p e = " M e a s u r e G r i d V i e w S t a t e I D i a g r a m L i n k " / > < / a : K e y V a l u e O f D i a g r a m O b j e c t K e y a n y T y p e z b w N T n L X > < a : K e y V a l u e O f D i a g r a m O b j e c t K e y a n y T y p e z b w N T n L X > < a : K e y > < K e y > L i n k s \ & l t ; C o l u m n s \ S u m   o f   S c o p e   2   k g   C O 2 - e   7 & g t ; - & l t ; M e a s u r e s \ S c o p e   2   k g   C O 2 - e & g t ; \ C O L U M N < / K e y > < / a : K e y > < a : V a l u e   i : t y p e = " M e a s u r e G r i d V i e w S t a t e I D i a g r a m L i n k E n d p o i n t " / > < / a : K e y V a l u e O f D i a g r a m O b j e c t K e y a n y T y p e z b w N T n L X > < a : K e y V a l u e O f D i a g r a m O b j e c t K e y a n y T y p e z b w N T n L X > < a : K e y > < K e y > L i n k s \ & l t ; C o l u m n s \ S u m   o f   S c o p e   2   k g   C O 2 - e   7 & g t ; - & l t ; M e a s u r e s \ S c o p e   2   k g   C O 2 - e & g t ; \ M E A S U R E < / K e y > < / a : K e y > < a : V a l u e   i : t y p e = " M e a s u r e G r i d V i e w S t a t e I D i a g r a m L i n k E n d p o i n t " / > < / a : K e y V a l u e O f D i a g r a m O b j e c t K e y a n y T y p e z b w N T n L X > < a : K e y V a l u e O f D i a g r a m O b j e c t K e y a n y T y p e z b w N T n L X > < a : K e y > < K e y > L i n k s \ & l t ; C o l u m n s \ S u m   o f   S c o p e   3   k g   C O 2 - e   7 & g t ; - & l t ; M e a s u r e s \ S c o p e   3   k g   C O 2 - e & g t ; < / K e y > < / a : K e y > < a : V a l u e   i : t y p e = " M e a s u r e G r i d V i e w S t a t e I D i a g r a m L i n k " / > < / a : K e y V a l u e O f D i a g r a m O b j e c t K e y a n y T y p e z b w N T n L X > < a : K e y V a l u e O f D i a g r a m O b j e c t K e y a n y T y p e z b w N T n L X > < a : K e y > < K e y > L i n k s \ & l t ; C o l u m n s \ S u m   o f   S c o p e   3   k g   C O 2 - e   7 & g t ; - & l t ; M e a s u r e s \ S c o p e   3   k g   C O 2 - e & g t ; \ C O L U M N < / K e y > < / a : K e y > < a : V a l u e   i : t y p e = " M e a s u r e G r i d V i e w S t a t e I D i a g r a m L i n k E n d p o i n t " / > < / a : K e y V a l u e O f D i a g r a m O b j e c t K e y a n y T y p e z b w N T n L X > < a : K e y V a l u e O f D i a g r a m O b j e c t K e y a n y T y p e z b w N T n L X > < a : K e y > < K e y > L i n k s \ & l t ; C o l u m n s \ S u m   o f   S c o p e   3   k g   C O 2 - e   7 & g t ; - & l t ; M e a s u r e s \ S c o p e   3   k g   C O 2 - e & g t ; \ M E A S U R E < / K e y > < / a : K e y > < a : V a l u e   i : t y p e = " M e a s u r e G r i d V i e w S t a t e I D i a g r a m L i n k E n d p o i n t " / > < / a : K e y V a l u e O f D i a g r a m O b j e c t K e y a n y T y p e z b w N T n L X > < a : K e y V a l u e O f D i a g r a m O b j e c t K e y a n y T y p e z b w N T n L X > < a : K e y > < K e y > L i n k s \ & l t ; C o l u m n s \ S u m   o f   T o t a l   G J   7 & g t ; - & l t ; M e a s u r e s \ T o t a l   G J & g t ; < / K e y > < / a : K e y > < a : V a l u e   i : t y p e = " M e a s u r e G r i d V i e w S t a t e I D i a g r a m L i n k " / > < / a : K e y V a l u e O f D i a g r a m O b j e c t K e y a n y T y p e z b w N T n L X > < a : K e y V a l u e O f D i a g r a m O b j e c t K e y a n y T y p e z b w N T n L X > < a : K e y > < K e y > L i n k s \ & l t ; C o l u m n s \ S u m   o f   T o t a l   G J   7 & g t ; - & l t ; M e a s u r e s \ T o t a l   G J & g t ; \ C O L U M N < / K e y > < / a : K e y > < a : V a l u e   i : t y p e = " M e a s u r e G r i d V i e w S t a t e I D i a g r a m L i n k E n d p o i n t " / > < / a : K e y V a l u e O f D i a g r a m O b j e c t K e y a n y T y p e z b w N T n L X > < a : K e y V a l u e O f D i a g r a m O b j e c t K e y a n y T y p e z b w N T n L X > < a : K e y > < K e y > L i n k s \ & l t ; C o l u m n s \ S u m   o f   T o t a l   G J   7 & g t ; - & l t ; M e a s u r e s \ T o t a l   G J & g t ; \ M E A S U R E < / K e y > < / a : K e y > < a : V a l u e   i : t y p e = " M e a s u r e G r i d V i e w S t a t e I D i a g r a m L i n k E n d p o i n t " / > < / a : K e y V a l u e O f D i a g r a m O b j e c t K e y a n y T y p e z b w N T n L X > < a : K e y V a l u e O f D i a g r a m O b j e c t K e y a n y T y p e z b w N T n L X > < a : K e y > < K e y > L i n k s \ & l t ; C o l u m n s \ S u m   o f   T o t a l   E m i s s i o n s   7 & g t ; - & l t ; M e a s u r e s \ T o t a l   E m i s s i o n s & g t ; < / K e y > < / a : K e y > < a : V a l u e   i : t y p e = " M e a s u r e G r i d V i e w S t a t e I D i a g r a m L i n k " / > < / a : K e y V a l u e O f D i a g r a m O b j e c t K e y a n y T y p e z b w N T n L X > < a : K e y V a l u e O f D i a g r a m O b j e c t K e y a n y T y p e z b w N T n L X > < a : K e y > < K e y > L i n k s \ & l t ; C o l u m n s \ S u m   o f   T o t a l   E m i s s i o n s   7 & g t ; - & l t ; M e a s u r e s \ T o t a l   E m i s s i o n s & g t ; \ C O L U M N < / K e y > < / a : K e y > < a : V a l u e   i : t y p e = " M e a s u r e G r i d V i e w S t a t e I D i a g r a m L i n k E n d p o i n t " / > < / a : K e y V a l u e O f D i a g r a m O b j e c t K e y a n y T y p e z b w N T n L X > < a : K e y V a l u e O f D i a g r a m O b j e c t K e y a n y T y p e z b w N T n L X > < a : K e y > < K e y > L i n k s \ & l t ; C o l u m n s \ S u m   o f   T o t a l   E m i s s i o n s   7 & g t ; - & l t ; M e a s u r e s \ T o t a l   E m i s s i o n s & g t ; \ M E A S U R E < / K e y > < / a : K e y > < a : V a l u e   i : t y p e = " M e a s u r e G r i d V i e w S t a t e I D i a g r a m L i n k E n d p o i n t " / > < / a : K e y V a l u e O f D i a g r a m O b j e c t K e y a n y T y p e z b w N T n L X > < / V i e w S t a t e s > < / D i a g r a m M a n a g e r . S e r i a l i z a b l e D i a g r a m > < D i a g r a m M a n a g e r . S e r i a l i z a b l e D i a g r a m > < A d a p t e r   i : t y p e = " M e a s u r e D i a g r a m S a n d b o x A d a p t e r " > < T a b l e N a m e > N O N _ G e n s e t 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 N O N _ G e n s e t < / 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 7 < / K e y > < / D i a g r a m O b j e c t K e y > < D i a g r a m O b j e c t K e y > < K e y > M e a s u r e s \ S u m   o f   C o n s u m p t i o n   Q u a n t i t y   7 \ T a g I n f o \ F o r m u l a < / K e y > < / D i a g r a m O b j e c t K e y > < D i a g r a m O b j e c t K e y > < K e y > M e a s u r e s \ S u m   o f   C o n s u m p t i o n   Q u a n t i t y   7 \ T a g I n f o \ V a l u e < / K e y > < / D i a g r a m O b j e c t K e y > < D i a g r a m O b j e c t K e y > < K e y > M e a s u r e s \ S u m   o f   T o t a l   G J   1 4 < / K e y > < / D i a g r a m O b j e c t K e y > < D i a g r a m O b j e c t K e y > < K e y > M e a s u r e s \ S u m   o f   T o t a l   G J   1 4 \ T a g I n f o \ F o r m u l a < / K e y > < / D i a g r a m O b j e c t K e y > < D i a g r a m O b j e c t K e y > < K e y > M e a s u r e s \ S u m   o f   T o t a l   G J   1 4 \ T a g I n f o \ V a l u e < / K e y > < / D i a g r a m O b j e c t K e y > < D i a g r a m O b j e c t K e y > < K e y > M e a s u r e s \ S u m   o f   S c o p e   1   k g   C O 2 - e   1 4 < / K e y > < / D i a g r a m O b j e c t K e y > < D i a g r a m O b j e c t K e y > < K e y > M e a s u r e s \ S u m   o f   S c o p e   1   k g   C O 2 - e   1 4 \ T a g I n f o \ F o r m u l a < / K e y > < / D i a g r a m O b j e c t K e y > < D i a g r a m O b j e c t K e y > < K e y > M e a s u r e s \ S u m   o f   S c o p e   1   k g   C O 2 - e   1 4 \ T a g I n f o \ V a l u e < / K e y > < / D i a g r a m O b j e c t K e y > < D i a g r a m O b j e c t K e y > < K e y > M e a s u r e s \ S u m   o f   S c o p e   2   k g   C O 2 - e   1 4 < / K e y > < / D i a g r a m O b j e c t K e y > < D i a g r a m O b j e c t K e y > < K e y > M e a s u r e s \ S u m   o f   S c o p e   2   k g   C O 2 - e   1 4 \ T a g I n f o \ F o r m u l a < / K e y > < / D i a g r a m O b j e c t K e y > < D i a g r a m O b j e c t K e y > < K e y > M e a s u r e s \ S u m   o f   S c o p e   2   k g   C O 2 - e   1 4 \ T a g I n f o \ V a l u e < / K e y > < / D i a g r a m O b j e c t K e y > < D i a g r a m O b j e c t K e y > < K e y > M e a s u r e s \ S u m   o f   S c o p e   3   k g   C O 2 - e   1 4 < / K e y > < / D i a g r a m O b j e c t K e y > < D i a g r a m O b j e c t K e y > < K e y > M e a s u r e s \ S u m   o f   S c o p e   3   k g   C O 2 - e   1 4 \ T a g I n f o \ F o r m u l a < / K e y > < / D i a g r a m O b j e c t K e y > < D i a g r a m O b j e c t K e y > < K e y > M e a s u r e s \ S u m   o f   S c o p e   3   k g   C O 2 - e   1 4 \ T a g I n f o \ V a l u e < / K e y > < / D i a g r a m O b j e c t K e y > < D i a g r a m O b j e c t K e y > < K e y > M e a s u r e s \ S u m   o f   T o t a l   E m i s s i o n s   1 4 < / K e y > < / D i a g r a m O b j e c t K e y > < D i a g r a m O b j e c t K e y > < K e y > M e a s u r e s \ S u m   o f   T o t a l   E m i s s i o n s   1 4 \ T a g I n f o \ F o r m u l a < / K e y > < / D i a g r a m O b j e c t K e y > < D i a g r a m O b j e c t K e y > < K e y > M e a s u r e s \ S u m   o f   T o t a l   E m i s s i o n s   1 4 \ T a g I n f o \ V a l u e < / K e y > < / D i a g r a m O b j e c t K e y > < D i a g r a m O b j e c t K e y > < K e y > C o l u m n s \ R e p o r t i n g   A l i a s < / K e y > < / D i a g r a m O b j e c t K e y > < D i a g r a m O b j e c t K e y > < K e y > C o l u m n s \ S o u r c e   N a m e < / K e y > < / D i a g r a m O b j e c t K e y > < D i a g r a m O b j e c t K e y > < K e y > C o l u m n s \ A c t i v i t y   T y p e < / K e y > < / D i a g r a m O b j e c t K e y > < D i a g r a m O b j e c t K e y > < K e y > C o l u m n s \ A c t i v i t y   T y p e   C o n t e x t < / K e y > < / D i a g r a m O b j e c t K e y > < D i a g r a m O b j e c t K e y > < K e y > C o l u m n s \ E n t i t y < / K e y > < / D i a g r a m O b j e c t K e y > < D i a g r a m O b j e c t K e y > < K e y > C o l u m n s \ F u e l < / K e y > < / D i a g r a m O b j e c t K e y > < D i a g r a m O b j e c t K e y > < K e y > C o l u m n s \ S t a t e < / K e y > < / D i a g r a m O b j e c t K e y > < D i a g r a m O b j e c t K e y > < K e y > C o l u m n s \ C o n s u m p t i o n   Q u a n t i t y   ( L ) < / K e y > < / D i a g r a m O b j e c t K e y > < D i a g r a m O b j e c t K e y > < K e y > C o l u m n s \ P r o d u c t i o n   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 7 & g t ; - & l t ; M e a s u r e s \ C o n s u m p t i o n   Q u a n t i t y & g t ; < / K e y > < / D i a g r a m O b j e c t K e y > < D i a g r a m O b j e c t K e y > < K e y > L i n k s \ & l t ; C o l u m n s \ S u m   o f   C o n s u m p t i o n   Q u a n t i t y   7 & g t ; - & l t ; M e a s u r e s \ C o n s u m p t i o n   Q u a n t i t y & g t ; \ C O L U M N < / K e y > < / D i a g r a m O b j e c t K e y > < D i a g r a m O b j e c t K e y > < K e y > L i n k s \ & l t ; C o l u m n s \ S u m   o f   C o n s u m p t i o n   Q u a n t i t y   7 & g t ; - & l t ; M e a s u r e s \ C o n s u m p t i o n   Q u a n t i t y & g t ; \ M E A S U R E < / K e y > < / D i a g r a m O b j e c t K e y > < D i a g r a m O b j e c t K e y > < K e y > L i n k s \ & l t ; C o l u m n s \ S u m   o f   T o t a l   G J   1 4 & g t ; - & l t ; M e a s u r e s \ T o t a l   G J & g t ; < / K e y > < / D i a g r a m O b j e c t K e y > < D i a g r a m O b j e c t K e y > < K e y > L i n k s \ & l t ; C o l u m n s \ S u m   o f   T o t a l   G J   1 4 & g t ; - & l t ; M e a s u r e s \ T o t a l   G J & g t ; \ C O L U M N < / K e y > < / D i a g r a m O b j e c t K e y > < D i a g r a m O b j e c t K e y > < K e y > L i n k s \ & l t ; C o l u m n s \ S u m   o f   T o t a l   G J   1 4 & g t ; - & l t ; M e a s u r e s \ T o t a l   G J & g t ; \ M E A S U R E < / K e y > < / D i a g r a m O b j e c t K e y > < D i a g r a m O b j e c t K e y > < K e y > L i n k s \ & l t ; C o l u m n s \ S u m   o f   S c o p e   1   k g   C O 2 - e   1 4 & g t ; - & l t ; M e a s u r e s \ S c o p e   1   k g   C O 2 - e & g t ; < / K e y > < / D i a g r a m O b j e c t K e y > < D i a g r a m O b j e c t K e y > < K e y > L i n k s \ & l t ; C o l u m n s \ S u m   o f   S c o p e   1   k g   C O 2 - e   1 4 & g t ; - & l t ; M e a s u r e s \ S c o p e   1   k g   C O 2 - e & g t ; \ C O L U M N < / K e y > < / D i a g r a m O b j e c t K e y > < D i a g r a m O b j e c t K e y > < K e y > L i n k s \ & l t ; C o l u m n s \ S u m   o f   S c o p e   1   k g   C O 2 - e   1 4 & g t ; - & l t ; M e a s u r e s \ S c o p e   1   k g   C O 2 - e & g t ; \ M E A S U R E < / K e y > < / D i a g r a m O b j e c t K e y > < D i a g r a m O b j e c t K e y > < K e y > L i n k s \ & l t ; C o l u m n s \ S u m   o f   S c o p e   2   k g   C O 2 - e   1 4 & g t ; - & l t ; M e a s u r e s \ S c o p e   2   k g   C O 2 - e & g t ; < / K e y > < / D i a g r a m O b j e c t K e y > < D i a g r a m O b j e c t K e y > < K e y > L i n k s \ & l t ; C o l u m n s \ S u m   o f   S c o p e   2   k g   C O 2 - e   1 4 & g t ; - & l t ; M e a s u r e s \ S c o p e   2   k g   C O 2 - e & g t ; \ C O L U M N < / K e y > < / D i a g r a m O b j e c t K e y > < D i a g r a m O b j e c t K e y > < K e y > L i n k s \ & l t ; C o l u m n s \ S u m   o f   S c o p e   2   k g   C O 2 - e   1 4 & g t ; - & l t ; M e a s u r e s \ S c o p e   2   k g   C O 2 - e & g t ; \ M E A S U R E < / K e y > < / D i a g r a m O b j e c t K e y > < D i a g r a m O b j e c t K e y > < K e y > L i n k s \ & l t ; C o l u m n s \ S u m   o f   S c o p e   3   k g   C O 2 - e   1 4 & g t ; - & l t ; M e a s u r e s \ S c o p e   3   k g   C O 2 - e & g t ; < / K e y > < / D i a g r a m O b j e c t K e y > < D i a g r a m O b j e c t K e y > < K e y > L i n k s \ & l t ; C o l u m n s \ S u m   o f   S c o p e   3   k g   C O 2 - e   1 4 & g t ; - & l t ; M e a s u r e s \ S c o p e   3   k g   C O 2 - e & g t ; \ C O L U M N < / K e y > < / D i a g r a m O b j e c t K e y > < D i a g r a m O b j e c t K e y > < K e y > L i n k s \ & l t ; C o l u m n s \ S u m   o f   S c o p e   3   k g   C O 2 - e   1 4 & g t ; - & l t ; M e a s u r e s \ S c o p e   3   k g   C O 2 - e & g t ; \ M E A S U R E < / K e y > < / D i a g r a m O b j e c t K e y > < D i a g r a m O b j e c t K e y > < K e y > L i n k s \ & l t ; C o l u m n s \ S u m   o f   T o t a l   E m i s s i o n s   1 4 & g t ; - & l t ; M e a s u r e s \ T o t a l   E m i s s i o n s & g t ; < / K e y > < / D i a g r a m O b j e c t K e y > < D i a g r a m O b j e c t K e y > < K e y > L i n k s \ & l t ; C o l u m n s \ S u m   o f   T o t a l   E m i s s i o n s   1 4 & g t ; - & l t ; M e a s u r e s \ T o t a l   E m i s s i o n s & g t ; \ C O L U M N < / K e y > < / D i a g r a m O b j e c t K e y > < D i a g r a m O b j e c t K e y > < K e y > L i n k s \ & l t ; C o l u m n s \ S u m   o f   T o t a l   E m i s s i o n s   1 4 & g t ; - & l t ; M e a s u r e s \ T o t a l 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 7 < / K e y > < / a : K e y > < a : V a l u e   i : t y p e = " M e a s u r e G r i d N o d e V i e w S t a t e " > < C o l u m n > 8 < / C o l u m n > < L a y e d O u t > t r u e < / L a y e d O u t > < W a s U I I n v i s i b l e > t r u e < / W a s U I I n v i s i b l e > < / a : V a l u e > < / a : K e y V a l u e O f D i a g r a m O b j e c t K e y a n y T y p e z b w N T n L X > < a : K e y V a l u e O f D i a g r a m O b j e c t K e y a n y T y p e z b w N T n L X > < a : K e y > < K e y > M e a s u r e s \ S u m   o f   C o n s u m p t i o n   Q u a n t i t y   7 \ T a g I n f o \ F o r m u l a < / K e y > < / a : K e y > < a : V a l u e   i : t y p e = " M e a s u r e G r i d V i e w S t a t e I D i a g r a m T a g A d d i t i o n a l I n f o " / > < / a : K e y V a l u e O f D i a g r a m O b j e c t K e y a n y T y p e z b w N T n L X > < a : K e y V a l u e O f D i a g r a m O b j e c t K e y a n y T y p e z b w N T n L X > < a : K e y > < K e y > M e a s u r e s \ S u m   o f   C o n s u m p t i o n   Q u a n t i t y   7 \ T a g I n f o \ V a l u e < / K e y > < / a : K e y > < a : V a l u e   i : t y p e = " M e a s u r e G r i d V i e w S t a t e I D i a g r a m T a g A d d i t i o n a l I n f o " / > < / a : K e y V a l u e O f D i a g r a m O b j e c t K e y a n y T y p e z b w N T n L X > < a : K e y V a l u e O f D i a g r a m O b j e c t K e y a n y T y p e z b w N T n L X > < a : K e y > < K e y > M e a s u r e s \ S u m   o f   T o t a l   G J   1 4 < / K e y > < / a : K e y > < a : V a l u e   i : t y p e = " M e a s u r e G r i d N o d e V i e w S t a t e " > < C o l u m n > 1 0 < / C o l u m n > < L a y e d O u t > t r u e < / L a y e d O u t > < W a s U I I n v i s i b l e > t r u e < / W a s U I I n v i s i b l e > < / a : V a l u e > < / a : K e y V a l u e O f D i a g r a m O b j e c t K e y a n y T y p e z b w N T n L X > < a : K e y V a l u e O f D i a g r a m O b j e c t K e y a n y T y p e z b w N T n L X > < a : K e y > < K e y > M e a s u r e s \ S u m   o f   T o t a l   G J   1 4 \ T a g I n f o \ F o r m u l a < / K e y > < / a : K e y > < a : V a l u e   i : t y p e = " M e a s u r e G r i d V i e w S t a t e I D i a g r a m T a g A d d i t i o n a l I n f o " / > < / a : K e y V a l u e O f D i a g r a m O b j e c t K e y a n y T y p e z b w N T n L X > < a : K e y V a l u e O f D i a g r a m O b j e c t K e y a n y T y p e z b w N T n L X > < a : K e y > < K e y > M e a s u r e s \ S u m   o f   T o t a l   G J   1 4 \ T a g I n f o \ V a l u e < / K e y > < / a : K e y > < a : V a l u e   i : t y p e = " M e a s u r e G r i d V i e w S t a t e I D i a g r a m T a g A d d i t i o n a l I n f o " / > < / a : K e y V a l u e O f D i a g r a m O b j e c t K e y a n y T y p e z b w N T n L X > < a : K e y V a l u e O f D i a g r a m O b j e c t K e y a n y T y p e z b w N T n L X > < a : K e y > < K e y > M e a s u r e s \ S u m   o f   S c o p e   1   k g   C O 2 - e   1 4 < / K e y > < / a : K e y > < a : V a l u e   i : t y p e = " M e a s u r e G r i d N o d e V i e w S t a t e " > < C o l u m n > 1 1 < / C o l u m n > < L a y e d O u t > t r u e < / L a y e d O u t > < W a s U I I n v i s i b l e > t r u e < / W a s U I I n v i s i b l e > < / a : V a l u e > < / a : K e y V a l u e O f D i a g r a m O b j e c t K e y a n y T y p e z b w N T n L X > < a : K e y V a l u e O f D i a g r a m O b j e c t K e y a n y T y p e z b w N T n L X > < a : K e y > < K e y > M e a s u r e s \ S u m   o f   S c o p e   1   k g   C O 2 - e   1 4 \ T a g I n f o \ F o r m u l a < / K e y > < / a : K e y > < a : V a l u e   i : t y p e = " M e a s u r e G r i d V i e w S t a t e I D i a g r a m T a g A d d i t i o n a l I n f o " / > < / a : K e y V a l u e O f D i a g r a m O b j e c t K e y a n y T y p e z b w N T n L X > < a : K e y V a l u e O f D i a g r a m O b j e c t K e y a n y T y p e z b w N T n L X > < a : K e y > < K e y > M e a s u r e s \ S u m   o f   S c o p e   1   k g   C O 2 - e   1 4 \ T a g I n f o \ V a l u e < / K e y > < / a : K e y > < a : V a l u e   i : t y p e = " M e a s u r e G r i d V i e w S t a t e I D i a g r a m T a g A d d i t i o n a l I n f o " / > < / a : K e y V a l u e O f D i a g r a m O b j e c t K e y a n y T y p e z b w N T n L X > < a : K e y V a l u e O f D i a g r a m O b j e c t K e y a n y T y p e z b w N T n L X > < a : K e y > < K e y > M e a s u r e s \ S u m   o f   S c o p e   2   k g   C O 2 - e   1 4 < / K e y > < / a : K e y > < a : V a l u e   i : t y p e = " M e a s u r e G r i d N o d e V i e w S t a t e " > < C o l u m n > 1 2 < / C o l u m n > < L a y e d O u t > t r u e < / L a y e d O u t > < W a s U I I n v i s i b l e > t r u e < / W a s U I I n v i s i b l e > < / a : V a l u e > < / a : K e y V a l u e O f D i a g r a m O b j e c t K e y a n y T y p e z b w N T n L X > < a : K e y V a l u e O f D i a g r a m O b j e c t K e y a n y T y p e z b w N T n L X > < a : K e y > < K e y > M e a s u r e s \ S u m   o f   S c o p e   2   k g   C O 2 - e   1 4 \ T a g I n f o \ F o r m u l a < / K e y > < / a : K e y > < a : V a l u e   i : t y p e = " M e a s u r e G r i d V i e w S t a t e I D i a g r a m T a g A d d i t i o n a l I n f o " / > < / a : K e y V a l u e O f D i a g r a m O b j e c t K e y a n y T y p e z b w N T n L X > < a : K e y V a l u e O f D i a g r a m O b j e c t K e y a n y T y p e z b w N T n L X > < a : K e y > < K e y > M e a s u r e s \ S u m   o f   S c o p e   2   k g   C O 2 - e   1 4 \ T a g I n f o \ V a l u e < / K e y > < / a : K e y > < a : V a l u e   i : t y p e = " M e a s u r e G r i d V i e w S t a t e I D i a g r a m T a g A d d i t i o n a l I n f o " / > < / a : K e y V a l u e O f D i a g r a m O b j e c t K e y a n y T y p e z b w N T n L X > < a : K e y V a l u e O f D i a g r a m O b j e c t K e y a n y T y p e z b w N T n L X > < a : K e y > < K e y > M e a s u r e s \ S u m   o f   S c o p e   3   k g   C O 2 - e   1 4 < / K e y > < / a : K e y > < a : V a l u e   i : t y p e = " M e a s u r e G r i d N o d e V i e w S t a t e " > < C o l u m n > 1 3 < / C o l u m n > < L a y e d O u t > t r u e < / L a y e d O u t > < W a s U I I n v i s i b l e > t r u e < / W a s U I I n v i s i b l e > < / a : V a l u e > < / a : K e y V a l u e O f D i a g r a m O b j e c t K e y a n y T y p e z b w N T n L X > < a : K e y V a l u e O f D i a g r a m O b j e c t K e y a n y T y p e z b w N T n L X > < a : K e y > < K e y > M e a s u r e s \ S u m   o f   S c o p e   3   k g   C O 2 - e   1 4 \ T a g I n f o \ F o r m u l a < / K e y > < / a : K e y > < a : V a l u e   i : t y p e = " M e a s u r e G r i d V i e w S t a t e I D i a g r a m T a g A d d i t i o n a l I n f o " / > < / a : K e y V a l u e O f D i a g r a m O b j e c t K e y a n y T y p e z b w N T n L X > < a : K e y V a l u e O f D i a g r a m O b j e c t K e y a n y T y p e z b w N T n L X > < a : K e y > < K e y > M e a s u r e s \ S u m   o f   S c o p e   3   k g   C O 2 - e   1 4 \ T a g I n f o \ V a l u e < / K e y > < / a : K e y > < a : V a l u e   i : t y p e = " M e a s u r e G r i d V i e w S t a t e I D i a g r a m T a g A d d i t i o n a l I n f o " / > < / a : K e y V a l u e O f D i a g r a m O b j e c t K e y a n y T y p e z b w N T n L X > < a : K e y V a l u e O f D i a g r a m O b j e c t K e y a n y T y p e z b w N T n L X > < a : K e y > < K e y > M e a s u r e s \ S u m   o f   T o t a l   E m i s s i o n s   1 4 < / K e y > < / a : K e y > < a : V a l u e   i : t y p e = " M e a s u r e G r i d N o d e V i e w S t a t e " > < C o l u m n > 1 4 < / C o l u m n > < L a y e d O u t > t r u e < / L a y e d O u t > < W a s U I I n v i s i b l e > t r u e < / W a s U I I n v i s i b l e > < / a : V a l u e > < / a : K e y V a l u e O f D i a g r a m O b j e c t K e y a n y T y p e z b w N T n L X > < a : K e y V a l u e O f D i a g r a m O b j e c t K e y a n y T y p e z b w N T n L X > < a : K e y > < K e y > M e a s u r e s \ S u m   o f   T o t a l   E m i s s i o n s   1 4 \ T a g I n f o \ F o r m u l a < / K e y > < / a : K e y > < a : V a l u e   i : t y p e = " M e a s u r e G r i d V i e w S t a t e I D i a g r a m T a g A d d i t i o n a l I n f o " / > < / a : K e y V a l u e O f D i a g r a m O b j e c t K e y a n y T y p e z b w N T n L X > < a : K e y V a l u e O f D i a g r a m O b j e c t K e y a n y T y p e z b w N T n L X > < a : K e y > < K e y > M e a s u r e s \ S u m   o f   T o t a l   E m i s s i o n s   1 4 \ T a g I n f o \ V a l u e 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 C o l u m n s \ S o u r c e   N a m e < / K e y > < / a : K e y > < a : V a l u e   i : t y p e = " M e a s u r e G r i d N o d e V i e w S t a t e " > < C o l u m n > 1 < / C o l u m n > < L a y e d O u t > t r u e < / L a y e d O u t > < / a : V a l u e > < / a : K e y V a l u e O f D i a g r a m O b j e c t K e y a n y T y p e z b w N T n L X > < a : K e y V a l u e O f D i a g r a m O b j e c t K e y a n y T y p e z b w N T n L X > < a : K e y > < K e y > C o l u m n s \ A c t i v i t y   T y p e < / K e y > < / a : K e y > < a : V a l u e   i : t y p e = " M e a s u r e G r i d N o d e V i e w S t a t e " > < C o l u m n > 2 < / C o l u m n > < L a y e d O u t > t r u e < / L a y e d O u t > < / a : V a l u e > < / a : K e y V a l u e O f D i a g r a m O b j e c t K e y a n y T y p e z b w N T n L X > < a : K e y V a l u e O f D i a g r a m O b j e c t K e y a n y T y p e z b w N T n L X > < a : K e y > < K e y > C o l u m n s \ A c t i v i t y   T y p e   C o n t e x t < / K e y > < / a : K e y > < a : V a l u e   i : t y p e = " M e a s u r e G r i d N o d e V i e w S t a t e " > < C o l u m n > 3 < / C o l u m n > < L a y e d O u t > t r u e < / L a y e d O u t > < / a : V a l u e > < / a : K e y V a l u e O f D i a g r a m O b j e c t K e y a n y T y p e z b w N T n L X > < a : K e y V a l u e O f D i a g r a m O b j e c t K e y a n y T y p e z b w N T n L X > < a : K e y > < K e y > C o l u m n s \ E n t i t y < / K e y > < / a : K e y > < a : V a l u e   i : t y p e = " M e a s u r e G r i d N o d e V i e w S t a t e " > < C o l u m n > 4 < / C o l u m n > < L a y e d O u t > t r u e < / L a y e d O u t > < / a : V a l u e > < / a : K e y V a l u e O f D i a g r a m O b j e c t K e y a n y T y p e z b w N T n L X > < a : K e y V a l u e O f D i a g r a m O b j e c t K e y a n y T y p e z b w N T n L X > < a : K e y > < K e y > C o l u m n s \ F u e l < / K e y > < / a : K e y > < a : V a l u e   i : t y p e = " M e a s u r e G r i d N o d e V i e w S t a t e " > < C o l u m n > 5 < / C o l u m n > < L a y e d O u t > t r u e < / L a y e d O u t > < / a : V a l u e > < / a : K e y V a l u e O f D i a g r a m O b j e c t K e y a n y T y p e z b w N T n L X > < a : K e y V a l u e O f D i a g r a m O b j e c t K e y a n y T y p e z b w N T n L X > < a : K e y > < K e y > C o l u m n s \ S t a t e < / K e y > < / a : K e y > < a : V a l u e   i : t y p e = " M e a s u r e G r i d N o d e V i e w S t a t e " > < C o l u m n > 6 < / C o l u m n > < L a y e d O u t > t r u e < / L a y e d O u t > < / a : V a l u e > < / a : K e y V a l u e O f D i a g r a m O b j e c t K e y a n y T y p e z b w N T n L X > < a : K e y V a l u e O f D i a g r a m O b j e c t K e y a n y T y p e z b w N T n L X > < a : K e y > < K e y > C o l u m n s \ C o n s u m p t i o n   Q u a n t i t y   ( L ) < / K e y > < / a : K e y > < a : V a l u e   i : t y p e = " M e a s u r e G r i d N o d e V i e w S t a t e " > < C o l u m n > 7 < / C o l u m n > < L a y e d O u t > t r u e < / L a y e d O u t > < / a : V a l u e > < / a : K e y V a l u e O f D i a g r a m O b j e c t K e y a n y T y p e z b w N T n L X > < a : K e y V a l u e O f D i a g r a m O b j e c t K e y a n y T y p e z b w N T n L X > < a : K e y > < K e y > C o l u m n s \ P r o d u c t i o n     U n i t s < / K e y > < / a : K e y > < a : V a l u e   i : t y p e = " M e a s u r e G r i d N o d e V i e w S t a t e " > < C o l u m n > 9 < / C o l u m n > < L a y e d O u t > t r u e < / L a y e d O u t > < / a : V a l u e > < / a : K e y V a l u e O f D i a g r a m O b j e c t K e y a n y T y p e z b w N T n L X > < a : K e y V a l u e O f D i a g r a m O b j e c t K e y a n y T y p e z b w N T n L X > < a : K e y > < K e y > C o l u m n s \ C o n s u m p t i o n   Q u a n t i t y < / K e y > < / a : K e y > < a : V a l u e   i : t y p e = " M e a s u r e G r i d N o d e V i e w S t a t e " > < C o l u m n > 8 < / C o l u m n > < L a y e d O u t > t r u e < / L a y e d O u t > < / a : V a l u e > < / a : K e y V a l u e O f D i a g r a m O b j e c t K e y a n y T y p e z b w N T n L X > < a : K e y V a l u e O f D i a g r a m O b j e c t K e y a n y T y p e z b w N T n L X > < a : K e y > < K e y > C o l u m n s \ T o t a l   G J < / K e y > < / a : K e y > < a : V a l u e   i : t y p e = " M e a s u r e G r i d N o d e V i e w S t a t e " > < C o l u m n > 1 0 < / C o l u m n > < L a y e d O u t > t r u e < / L a y e d O u t > < / a : V a l u e > < / a : K e y V a l u e O f D i a g r a m O b j e c t K e y a n y T y p e z b w N T n L X > < a : K e y V a l u e O f D i a g r a m O b j e c t K e y a n y T y p e z b w N T n L X > < a : K e y > < K e y > C o l u m n s \ S c o p e   1   k g   C O 2 - e < / K e y > < / a : K e y > < a : V a l u e   i : t y p e = " M e a s u r e G r i d N o d e V i e w S t a t e " > < C o l u m n > 1 1 < / C o l u m n > < L a y e d O u t > t r u e < / L a y e d O u t > < / a : V a l u e > < / a : K e y V a l u e O f D i a g r a m O b j e c t K e y a n y T y p e z b w N T n L X > < a : K e y V a l u e O f D i a g r a m O b j e c t K e y a n y T y p e z b w N T n L X > < a : K e y > < K e y > C o l u m n s \ S c o p e   2   k g   C O 2 - e < / K e y > < / a : K e y > < a : V a l u e   i : t y p e = " M e a s u r e G r i d N o d e V i e w S t a t e " > < C o l u m n > 1 2 < / C o l u m n > < L a y e d O u t > t r u e < / L a y e d O u t > < / a : V a l u e > < / a : K e y V a l u e O f D i a g r a m O b j e c t K e y a n y T y p e z b w N T n L X > < a : K e y V a l u e O f D i a g r a m O b j e c t K e y a n y T y p e z b w N T n L X > < a : K e y > < K e y > C o l u m n s \ S c o p e   3   k g   C O 2 - e < / K e y > < / a : K e y > < a : V a l u e   i : t y p e = " M e a s u r e G r i d N o d e V i e w S t a t e " > < C o l u m n > 1 3 < / C o l u m n > < L a y e d O u t > t r u e < / L a y e d O u t > < / a : V a l u e > < / a : K e y V a l u e O f D i a g r a m O b j e c t K e y a n y T y p e z b w N T n L X > < a : K e y V a l u e O f D i a g r a m O b j e c t K e y a n y T y p e z b w N T n L X > < a : K e y > < K e y > C o l u m n s \ T o t a l   E m i s s i o n s < / K e y > < / a : K e y > < a : V a l u e   i : t y p e = " M e a s u r e G r i d N o d e V i e w S t a t e " > < C o l u m n > 1 4 < / C o l u m n > < L a y e d O u t > t r u e < / L a y e d O u t > < / a : V a l u e > < / a : K e y V a l u e O f D i a g r a m O b j e c t K e y a n y T y p e z b w N T n L X > < a : K e y V a l u e O f D i a g r a m O b j e c t K e y a n y T y p e z b w N T n L X > < a : K e y > < K e y > L i n k s \ & l t ; C o l u m n s \ S u m   o f   C o n s u m p t i o n   Q u a n t i t y   7 & g t ; - & l t ; M e a s u r e s \ C o n s u m p t i o n   Q u a n t i t y & g t ; < / K e y > < / a : K e y > < a : V a l u e   i : t y p e = " M e a s u r e G r i d V i e w S t a t e I D i a g r a m L i n k " / > < / a : K e y V a l u e O f D i a g r a m O b j e c t K e y a n y T y p e z b w N T n L X > < a : K e y V a l u e O f D i a g r a m O b j e c t K e y a n y T y p e z b w N T n L X > < a : K e y > < K e y > L i n k s \ & l t ; C o l u m n s \ S u m   o f   C o n s u m p t i o n   Q u a n t i t y   7 & g t ; - & l t ; M e a s u r e s \ C o n s u m p t i o n   Q u a n t i t y & g t ; \ C O L U M N < / K e y > < / a : K e y > < a : V a l u e   i : t y p e = " M e a s u r e G r i d V i e w S t a t e I D i a g r a m L i n k E n d p o i n t " / > < / a : K e y V a l u e O f D i a g r a m O b j e c t K e y a n y T y p e z b w N T n L X > < a : K e y V a l u e O f D i a g r a m O b j e c t K e y a n y T y p e z b w N T n L X > < a : K e y > < K e y > L i n k s \ & l t ; C o l u m n s \ S u m   o f   C o n s u m p t i o n   Q u a n t i t y   7 & g t ; - & l t ; M e a s u r e s \ C o n s u m p t i o n   Q u a n t i t y & g t ; \ M E A S U R E < / K e y > < / a : K e y > < a : V a l u e   i : t y p e = " M e a s u r e G r i d V i e w S t a t e I D i a g r a m L i n k E n d p o i n t " / > < / a : K e y V a l u e O f D i a g r a m O b j e c t K e y a n y T y p e z b w N T n L X > < a : K e y V a l u e O f D i a g r a m O b j e c t K e y a n y T y p e z b w N T n L X > < a : K e y > < K e y > L i n k s \ & l t ; C o l u m n s \ S u m   o f   T o t a l   G J   1 4 & g t ; - & l t ; M e a s u r e s \ T o t a l   G J & g t ; < / K e y > < / a : K e y > < a : V a l u e   i : t y p e = " M e a s u r e G r i d V i e w S t a t e I D i a g r a m L i n k " / > < / a : K e y V a l u e O f D i a g r a m O b j e c t K e y a n y T y p e z b w N T n L X > < a : K e y V a l u e O f D i a g r a m O b j e c t K e y a n y T y p e z b w N T n L X > < a : K e y > < K e y > L i n k s \ & l t ; C o l u m n s \ S u m   o f   T o t a l   G J   1 4 & g t ; - & l t ; M e a s u r e s \ T o t a l   G J & g t ; \ C O L U M N < / K e y > < / a : K e y > < a : V a l u e   i : t y p e = " M e a s u r e G r i d V i e w S t a t e I D i a g r a m L i n k E n d p o i n t " / > < / a : K e y V a l u e O f D i a g r a m O b j e c t K e y a n y T y p e z b w N T n L X > < a : K e y V a l u e O f D i a g r a m O b j e c t K e y a n y T y p e z b w N T n L X > < a : K e y > < K e y > L i n k s \ & l t ; C o l u m n s \ S u m   o f   T o t a l   G J   1 4 & g t ; - & l t ; M e a s u r e s \ T o t a l   G J & g t ; \ M E A S U R E < / K e y > < / a : K e y > < a : V a l u e   i : t y p e = " M e a s u r e G r i d V i e w S t a t e I D i a g r a m L i n k E n d p o i n t " / > < / a : K e y V a l u e O f D i a g r a m O b j e c t K e y a n y T y p e z b w N T n L X > < a : K e y V a l u e O f D i a g r a m O b j e c t K e y a n y T y p e z b w N T n L X > < a : K e y > < K e y > L i n k s \ & l t ; C o l u m n s \ S u m   o f   S c o p e   1   k g   C O 2 - e   1 4 & g t ; - & l t ; M e a s u r e s \ S c o p e   1   k g   C O 2 - e & g t ; < / K e y > < / a : K e y > < a : V a l u e   i : t y p e = " M e a s u r e G r i d V i e w S t a t e I D i a g r a m L i n k " / > < / a : K e y V a l u e O f D i a g r a m O b j e c t K e y a n y T y p e z b w N T n L X > < a : K e y V a l u e O f D i a g r a m O b j e c t K e y a n y T y p e z b w N T n L X > < a : K e y > < K e y > L i n k s \ & l t ; C o l u m n s \ S u m   o f   S c o p e   1   k g   C O 2 - e   1 4 & g t ; - & l t ; M e a s u r e s \ S c o p e   1   k g   C O 2 - e & g t ; \ C O L U M N < / K e y > < / a : K e y > < a : V a l u e   i : t y p e = " M e a s u r e G r i d V i e w S t a t e I D i a g r a m L i n k E n d p o i n t " / > < / a : K e y V a l u e O f D i a g r a m O b j e c t K e y a n y T y p e z b w N T n L X > < a : K e y V a l u e O f D i a g r a m O b j e c t K e y a n y T y p e z b w N T n L X > < a : K e y > < K e y > L i n k s \ & l t ; C o l u m n s \ S u m   o f   S c o p e   1   k g   C O 2 - e   1 4 & g t ; - & l t ; M e a s u r e s \ S c o p e   1   k g   C O 2 - e & g t ; \ M E A S U R E < / K e y > < / a : K e y > < a : V a l u e   i : t y p e = " M e a s u r e G r i d V i e w S t a t e I D i a g r a m L i n k E n d p o i n t " / > < / a : K e y V a l u e O f D i a g r a m O b j e c t K e y a n y T y p e z b w N T n L X > < a : K e y V a l u e O f D i a g r a m O b j e c t K e y a n y T y p e z b w N T n L X > < a : K e y > < K e y > L i n k s \ & l t ; C o l u m n s \ S u m   o f   S c o p e   2   k g   C O 2 - e   1 4 & g t ; - & l t ; M e a s u r e s \ S c o p e   2   k g   C O 2 - e & g t ; < / K e y > < / a : K e y > < a : V a l u e   i : t y p e = " M e a s u r e G r i d V i e w S t a t e I D i a g r a m L i n k " / > < / a : K e y V a l u e O f D i a g r a m O b j e c t K e y a n y T y p e z b w N T n L X > < a : K e y V a l u e O f D i a g r a m O b j e c t K e y a n y T y p e z b w N T n L X > < a : K e y > < K e y > L i n k s \ & l t ; C o l u m n s \ S u m   o f   S c o p e   2   k g   C O 2 - e   1 4 & g t ; - & l t ; M e a s u r e s \ S c o p e   2   k g   C O 2 - e & g t ; \ C O L U M N < / K e y > < / a : K e y > < a : V a l u e   i : t y p e = " M e a s u r e G r i d V i e w S t a t e I D i a g r a m L i n k E n d p o i n t " / > < / a : K e y V a l u e O f D i a g r a m O b j e c t K e y a n y T y p e z b w N T n L X > < a : K e y V a l u e O f D i a g r a m O b j e c t K e y a n y T y p e z b w N T n L X > < a : K e y > < K e y > L i n k s \ & l t ; C o l u m n s \ S u m   o f   S c o p e   2   k g   C O 2 - e   1 4 & g t ; - & l t ; M e a s u r e s \ S c o p e   2   k g   C O 2 - e & g t ; \ M E A S U R E < / K e y > < / a : K e y > < a : V a l u e   i : t y p e = " M e a s u r e G r i d V i e w S t a t e I D i a g r a m L i n k E n d p o i n t " / > < / a : K e y V a l u e O f D i a g r a m O b j e c t K e y a n y T y p e z b w N T n L X > < a : K e y V a l u e O f D i a g r a m O b j e c t K e y a n y T y p e z b w N T n L X > < a : K e y > < K e y > L i n k s \ & l t ; C o l u m n s \ S u m   o f   S c o p e   3   k g   C O 2 - e   1 4 & g t ; - & l t ; M e a s u r e s \ S c o p e   3   k g   C O 2 - e & g t ; < / K e y > < / a : K e y > < a : V a l u e   i : t y p e = " M e a s u r e G r i d V i e w S t a t e I D i a g r a m L i n k " / > < / a : K e y V a l u e O f D i a g r a m O b j e c t K e y a n y T y p e z b w N T n L X > < a : K e y V a l u e O f D i a g r a m O b j e c t K e y a n y T y p e z b w N T n L X > < a : K e y > < K e y > L i n k s \ & l t ; C o l u m n s \ S u m   o f   S c o p e   3   k g   C O 2 - e   1 4 & g t ; - & l t ; M e a s u r e s \ S c o p e   3   k g   C O 2 - e & g t ; \ C O L U M N < / K e y > < / a : K e y > < a : V a l u e   i : t y p e = " M e a s u r e G r i d V i e w S t a t e I D i a g r a m L i n k E n d p o i n t " / > < / a : K e y V a l u e O f D i a g r a m O b j e c t K e y a n y T y p e z b w N T n L X > < a : K e y V a l u e O f D i a g r a m O b j e c t K e y a n y T y p e z b w N T n L X > < a : K e y > < K e y > L i n k s \ & l t ; C o l u m n s \ S u m   o f   S c o p e   3   k g   C O 2 - e   1 4 & g t ; - & l t ; M e a s u r e s \ S c o p e   3   k g   C O 2 - e & g t ; \ M E A S U R E < / K e y > < / a : K e y > < a : V a l u e   i : t y p e = " M e a s u r e G r i d V i e w S t a t e I D i a g r a m L i n k E n d p o i n t " / > < / a : K e y V a l u e O f D i a g r a m O b j e c t K e y a n y T y p e z b w N T n L X > < a : K e y V a l u e O f D i a g r a m O b j e c t K e y a n y T y p e z b w N T n L X > < a : K e y > < K e y > L i n k s \ & l t ; C o l u m n s \ S u m   o f   T o t a l   E m i s s i o n s   1 4 & g t ; - & l t ; M e a s u r e s \ T o t a l   E m i s s i o n s & g t ; < / K e y > < / a : K e y > < a : V a l u e   i : t y p e = " M e a s u r e G r i d V i e w S t a t e I D i a g r a m L i n k " / > < / a : K e y V a l u e O f D i a g r a m O b j e c t K e y a n y T y p e z b w N T n L X > < a : K e y V a l u e O f D i a g r a m O b j e c t K e y a n y T y p e z b w N T n L X > < a : K e y > < K e y > L i n k s \ & l t ; C o l u m n s \ S u m   o f   T o t a l   E m i s s i o n s   1 4 & g t ; - & l t ; M e a s u r e s \ T o t a l   E m i s s i o n s & g t ; \ C O L U M N < / K e y > < / a : K e y > < a : V a l u e   i : t y p e = " M e a s u r e G r i d V i e w S t a t e I D i a g r a m L i n k E n d p o i n t " / > < / a : K e y V a l u e O f D i a g r a m O b j e c t K e y a n y T y p e z b w N T n L X > < a : K e y V a l u e O f D i a g r a m O b j e c t K e y a n y T y p e z b w N T n L X > < a : K e y > < K e y > L i n k s \ & l t ; C o l u m n s \ S u m   o f   T o t a l   E m i s s i o n s   1 4 & g t ; - & l t ; M e a s u r e s \ T o t a l   E m i s s i o n s & g t ; \ M E A S U R E < / K e y > < / a : K e y > < a : V a l u e   i : t y p e = " M e a s u r e G r i d V i e w S t a t e I D i a g r a m L i n k E n d p o i n t " / > < / a : K e y V a l u e O f D i a g r a m O b j e c t K e y a n y T y p e z b w N T n L X > < / V i e w S t a t e s > < / D i a g r a m M a n a g e r . S e r i a l i z a b l e D i a g r a m > < D i a g r a m M a n a g e r . S e r i a l i z a b l e D i a g r a m > < A d a p t e r   i : t y p e = " M e a s u r e D i a g r a m S a n d b o x A d a p t e r " > < T a b l e N a m e > C o n t r a c t o r _ F u e l s 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 C o n t r a c t o r _ F u e l s 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 1 0 < / K e y > < / D i a g r a m O b j e c t K e y > < D i a g r a m O b j e c t K e y > < K e y > M e a s u r e s \ S u m   o f   C o n s u m p t i o n   Q u a n t i t y   1 0 \ T a g I n f o \ F o r m u l a < / K e y > < / D i a g r a m O b j e c t K e y > < D i a g r a m O b j e c t K e y > < K e y > M e a s u r e s \ S u m   o f   C o n s u m p t i o n   Q u a n t i t y   1 0 \ T a g I n f o \ V a l u e < / K e y > < / D i a g r a m O b j e c t K e y > < D i a g r a m O b j e c t K e y > < K e y > M e a s u r e s \ S u m   o f   T o t a l   G J   1 0 < / K e y > < / D i a g r a m O b j e c t K e y > < D i a g r a m O b j e c t K e y > < K e y > M e a s u r e s \ S u m   o f   T o t a l   G J   1 0 \ T a g I n f o \ F o r m u l a < / K e y > < / D i a g r a m O b j e c t K e y > < D i a g r a m O b j e c t K e y > < K e y > M e a s u r e s \ S u m   o f   T o t a l   G J   1 0 \ T a g I n f o \ V a l u e < / K e y > < / D i a g r a m O b j e c t K e y > < D i a g r a m O b j e c t K e y > < K e y > M e a s u r e s \ S u m   o f   S c o p e   1   k g   C O 2 - e   1 0 < / K e y > < / D i a g r a m O b j e c t K e y > < D i a g r a m O b j e c t K e y > < K e y > M e a s u r e s \ S u m   o f   S c o p e   1   k g   C O 2 - e   1 0 \ T a g I n f o \ F o r m u l a < / K e y > < / D i a g r a m O b j e c t K e y > < D i a g r a m O b j e c t K e y > < K e y > M e a s u r e s \ S u m   o f   S c o p e   1   k g   C O 2 - e   1 0 \ T a g I n f o \ V a l u e < / K e y > < / D i a g r a m O b j e c t K e y > < D i a g r a m O b j e c t K e y > < K e y > M e a s u r e s \ S u m   o f   S c o p e   2   k g   C O 2 - e   1 0 < / K e y > < / D i a g r a m O b j e c t K e y > < D i a g r a m O b j e c t K e y > < K e y > M e a s u r e s \ S u m   o f   S c o p e   2   k g   C O 2 - e   1 0 \ T a g I n f o \ F o r m u l a < / K e y > < / D i a g r a m O b j e c t K e y > < D i a g r a m O b j e c t K e y > < K e y > M e a s u r e s \ S u m   o f   S c o p e   2   k g   C O 2 - e   1 0 \ T a g I n f o \ V a l u e < / K e y > < / D i a g r a m O b j e c t K e y > < D i a g r a m O b j e c t K e y > < K e y > M e a s u r e s \ S u m   o f   S c o p e   3   k g   C O 2 - e   1 0 < / K e y > < / D i a g r a m O b j e c t K e y > < D i a g r a m O b j e c t K e y > < K e y > M e a s u r e s \ S u m   o f   S c o p e   3   k g   C O 2 - e   1 0 \ T a g I n f o \ F o r m u l a < / K e y > < / D i a g r a m O b j e c t K e y > < D i a g r a m O b j e c t K e y > < K e y > M e a s u r e s \ S u m   o f   S c o p e   3   k g   C O 2 - e   1 0 \ T a g I n f o \ V a l u e < / K e y > < / D i a g r a m O b j e c t K e y > < D i a g r a m O b j e c t K e y > < K e y > M e a s u r e s \ S u m   o f   T o t a l   E m i s s i o n s   1 0 < / K e y > < / D i a g r a m O b j e c t K e y > < D i a g r a m O b j e c t K e y > < K e y > M e a s u r e s \ S u m   o f   T o t a l   E m i s s i o n s   1 0 \ T a g I n f o \ F o r m u l a < / K e y > < / D i a g r a m O b j e c t K e y > < D i a g r a m O b j e c t K e y > < K e y > M e a s u r e s \ S u m   o f   T o t a l   E m i s s i o n s   1 0 \ T a g I n f o \ V a l u e < / K e y > < / D i a g r a m O b j e c t K e y > < D i a g r a m O b j e c t K e y > < K e y > C o l u m n s \ R e p o r t i n g   A l i a s < / K e y > < / D i a g r a m O b j e c t K e y > < D i a g r a m O b j e c t K e y > < K e y > C o l u m n s \ C o n t r a c t o r   t y p e < / K e y > < / D i a g r a m O b j e c t K e y > < D i a g r a m O b j e c t K e y > < K e y > C o l u m n s \ S o u r c e   N a m e < / K e y > < / D i a g r a m O b j e c t K e y > < D i a g r a m O b j e c t K e y > < K e y > C o l u m n s \ A c t i v i t y   T y p e < / K e y > < / D i a g r a m O b j e c t K e y > < D i a g r a m O b j e c t K e y > < K e y > C o l u m n s \ A c t i v i t y   T y p e   C o n t e x t < / K e y > < / D i a g r a m O b j e c t K e y > < D i a g r a m O b j e c t K e y > < K e y > C o l u m n s \ E n t i t y < / K e y > < / D i a g r a m O b j e c t K e y > < D i a g r a m O b j e c t K e y > < K e y > C o l u m n s \ F u e l < / K e y > < / D i a g r a m O b j e c t K e y > < D i a g r a m O b j e c t K e y > < K e y > C o l u m n s \ S t a t e < / K e y > < / D i a g r a m O b j e c t K e y > < D i a g r a m O b j e c t K e y > < K e y > C o l u m n s \ C o n s u m p t i o n   Q u a n t i t y   ( L ) < / K e y > < / D i a g r a m O b j e c t K e y > < D i a g r a m O b j e c t K e y > < K e y > C o l u m n s \ C o n s u m p t i o n   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 1 0 & g t ; - & l t ; M e a s u r e s \ C o n s u m p t i o n   Q u a n t i t y & g t ; < / K e y > < / D i a g r a m O b j e c t K e y > < D i a g r a m O b j e c t K e y > < K e y > L i n k s \ & l t ; C o l u m n s \ S u m   o f   C o n s u m p t i o n   Q u a n t i t y   1 0 & g t ; - & l t ; M e a s u r e s \ C o n s u m p t i o n   Q u a n t i t y & g t ; \ C O L U M N < / K e y > < / D i a g r a m O b j e c t K e y > < D i a g r a m O b j e c t K e y > < K e y > L i n k s \ & l t ; C o l u m n s \ S u m   o f   C o n s u m p t i o n   Q u a n t i t y   1 0 & g t ; - & l t ; M e a s u r e s \ C o n s u m p t i o n   Q u a n t i t y & g t ; \ M E A S U R E < / K e y > < / D i a g r a m O b j e c t K e y > < D i a g r a m O b j e c t K e y > < K e y > L i n k s \ & l t ; C o l u m n s \ S u m   o f   T o t a l   G J   1 0 & g t ; - & l t ; M e a s u r e s \ T o t a l   G J & g t ; < / K e y > < / D i a g r a m O b j e c t K e y > < D i a g r a m O b j e c t K e y > < K e y > L i n k s \ & l t ; C o l u m n s \ S u m   o f   T o t a l   G J   1 0 & g t ; - & l t ; M e a s u r e s \ T o t a l   G J & g t ; \ C O L U M N < / K e y > < / D i a g r a m O b j e c t K e y > < D i a g r a m O b j e c t K e y > < K e y > L i n k s \ & l t ; C o l u m n s \ S u m   o f   T o t a l   G J   1 0 & g t ; - & l t ; M e a s u r e s \ T o t a l   G J & g t ; \ M E A S U R E < / K e y > < / D i a g r a m O b j e c t K e y > < D i a g r a m O b j e c t K e y > < K e y > L i n k s \ & l t ; C o l u m n s \ S u m   o f   S c o p e   1   k g   C O 2 - e   1 0 & g t ; - & l t ; M e a s u r e s \ S c o p e   1   k g   C O 2 - e & g t ; < / K e y > < / D i a g r a m O b j e c t K e y > < D i a g r a m O b j e c t K e y > < K e y > L i n k s \ & l t ; C o l u m n s \ S u m   o f   S c o p e   1   k g   C O 2 - e   1 0 & g t ; - & l t ; M e a s u r e s \ S c o p e   1   k g   C O 2 - e & g t ; \ C O L U M N < / K e y > < / D i a g r a m O b j e c t K e y > < D i a g r a m O b j e c t K e y > < K e y > L i n k s \ & l t ; C o l u m n s \ S u m   o f   S c o p e   1   k g   C O 2 - e   1 0 & g t ; - & l t ; M e a s u r e s \ S c o p e   1   k g   C O 2 - e & g t ; \ M E A S U R E < / K e y > < / D i a g r a m O b j e c t K e y > < D i a g r a m O b j e c t K e y > < K e y > L i n k s \ & l t ; C o l u m n s \ S u m   o f   S c o p e   2   k g   C O 2 - e   1 0 & g t ; - & l t ; M e a s u r e s \ S c o p e   2   k g   C O 2 - e & g t ; < / K e y > < / D i a g r a m O b j e c t K e y > < D i a g r a m O b j e c t K e y > < K e y > L i n k s \ & l t ; C o l u m n s \ S u m   o f   S c o p e   2   k g   C O 2 - e   1 0 & g t ; - & l t ; M e a s u r e s \ S c o p e   2   k g   C O 2 - e & g t ; \ C O L U M N < / K e y > < / D i a g r a m O b j e c t K e y > < D i a g r a m O b j e c t K e y > < K e y > L i n k s \ & l t ; C o l u m n s \ S u m   o f   S c o p e   2   k g   C O 2 - e   1 0 & g t ; - & l t ; M e a s u r e s \ S c o p e   2   k g   C O 2 - e & g t ; \ M E A S U R E < / K e y > < / D i a g r a m O b j e c t K e y > < D i a g r a m O b j e c t K e y > < K e y > L i n k s \ & l t ; C o l u m n s \ S u m   o f   S c o p e   3   k g   C O 2 - e   1 0 & g t ; - & l t ; M e a s u r e s \ S c o p e   3   k g   C O 2 - e & g t ; < / K e y > < / D i a g r a m O b j e c t K e y > < D i a g r a m O b j e c t K e y > < K e y > L i n k s \ & l t ; C o l u m n s \ S u m   o f   S c o p e   3   k g   C O 2 - e   1 0 & g t ; - & l t ; M e a s u r e s \ S c o p e   3   k g   C O 2 - e & g t ; \ C O L U M N < / K e y > < / D i a g r a m O b j e c t K e y > < D i a g r a m O b j e c t K e y > < K e y > L i n k s \ & l t ; C o l u m n s \ S u m   o f   S c o p e   3   k g   C O 2 - e   1 0 & g t ; - & l t ; M e a s u r e s \ S c o p e   3   k g   C O 2 - e & g t ; \ M E A S U R E < / K e y > < / D i a g r a m O b j e c t K e y > < D i a g r a m O b j e c t K e y > < K e y > L i n k s \ & l t ; C o l u m n s \ S u m   o f   T o t a l   E m i s s i o n s   1 0 & g t ; - & l t ; M e a s u r e s \ T o t a l   E m i s s i o n s & g t ; < / K e y > < / D i a g r a m O b j e c t K e y > < D i a g r a m O b j e c t K e y > < K e y > L i n k s \ & l t ; C o l u m n s \ S u m   o f   T o t a l   E m i s s i o n s   1 0 & g t ; - & l t ; M e a s u r e s \ T o t a l   E m i s s i o n s & g t ; \ C O L U M N < / K e y > < / D i a g r a m O b j e c t K e y > < D i a g r a m O b j e c t K e y > < K e y > L i n k s \ & l t ; C o l u m n s \ S u m   o f   T o t a l   E m i s s i o n s   1 0 & g t ; - & l t ; M e a s u r e s \ T o t a l 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 1 0 < / K e y > < / a : K e y > < a : V a l u e   i : t y p e = " M e a s u r e G r i d N o d e V i e w S t a t e " > < C o l u m n > 1 0 < / C o l u m n > < L a y e d O u t > t r u e < / L a y e d O u t > < W a s U I I n v i s i b l e > t r u e < / W a s U I I n v i s i b l e > < / a : V a l u e > < / a : K e y V a l u e O f D i a g r a m O b j e c t K e y a n y T y p e z b w N T n L X > < a : K e y V a l u e O f D i a g r a m O b j e c t K e y a n y T y p e z b w N T n L X > < a : K e y > < K e y > M e a s u r e s \ S u m   o f   C o n s u m p t i o n   Q u a n t i t y   1 0 \ T a g I n f o \ F o r m u l a < / K e y > < / a : K e y > < a : V a l u e   i : t y p e = " M e a s u r e G r i d V i e w S t a t e I D i a g r a m T a g A d d i t i o n a l I n f o " / > < / a : K e y V a l u e O f D i a g r a m O b j e c t K e y a n y T y p e z b w N T n L X > < a : K e y V a l u e O f D i a g r a m O b j e c t K e y a n y T y p e z b w N T n L X > < a : K e y > < K e y > M e a s u r e s \ S u m   o f   C o n s u m p t i o n   Q u a n t i t y   1 0 \ T a g I n f o \ V a l u e < / K e y > < / a : K e y > < a : V a l u e   i : t y p e = " M e a s u r e G r i d V i e w S t a t e I D i a g r a m T a g A d d i t i o n a l I n f o " / > < / a : K e y V a l u e O f D i a g r a m O b j e c t K e y a n y T y p e z b w N T n L X > < a : K e y V a l u e O f D i a g r a m O b j e c t K e y a n y T y p e z b w N T n L X > < a : K e y > < K e y > M e a s u r e s \ S u m   o f   T o t a l   G J   1 0 < / K e y > < / a : K e y > < a : V a l u e   i : t y p e = " M e a s u r e G r i d N o d e V i e w S t a t e " > < C o l u m n > 1 1 < / C o l u m n > < L a y e d O u t > t r u e < / L a y e d O u t > < W a s U I I n v i s i b l e > t r u e < / W a s U I I n v i s i b l e > < / a : V a l u e > < / a : K e y V a l u e O f D i a g r a m O b j e c t K e y a n y T y p e z b w N T n L X > < a : K e y V a l u e O f D i a g r a m O b j e c t K e y a n y T y p e z b w N T n L X > < a : K e y > < K e y > M e a s u r e s \ S u m   o f   T o t a l   G J   1 0 \ T a g I n f o \ F o r m u l a < / K e y > < / a : K e y > < a : V a l u e   i : t y p e = " M e a s u r e G r i d V i e w S t a t e I D i a g r a m T a g A d d i t i o n a l I n f o " / > < / a : K e y V a l u e O f D i a g r a m O b j e c t K e y a n y T y p e z b w N T n L X > < a : K e y V a l u e O f D i a g r a m O b j e c t K e y a n y T y p e z b w N T n L X > < a : K e y > < K e y > M e a s u r e s \ S u m   o f   T o t a l   G J   1 0 \ T a g I n f o \ V a l u e < / K e y > < / a : K e y > < a : V a l u e   i : t y p e = " M e a s u r e G r i d V i e w S t a t e I D i a g r a m T a g A d d i t i o n a l I n f o " / > < / a : K e y V a l u e O f D i a g r a m O b j e c t K e y a n y T y p e z b w N T n L X > < a : K e y V a l u e O f D i a g r a m O b j e c t K e y a n y T y p e z b w N T n L X > < a : K e y > < K e y > M e a s u r e s \ S u m   o f   S c o p e   1   k g   C O 2 - e   1 0 < / K e y > < / a : K e y > < a : V a l u e   i : t y p e = " M e a s u r e G r i d N o d e V i e w S t a t e " > < C o l u m n > 1 2 < / C o l u m n > < L a y e d O u t > t r u e < / L a y e d O u t > < W a s U I I n v i s i b l e > t r u e < / W a s U I I n v i s i b l e > < / a : V a l u e > < / a : K e y V a l u e O f D i a g r a m O b j e c t K e y a n y T y p e z b w N T n L X > < a : K e y V a l u e O f D i a g r a m O b j e c t K e y a n y T y p e z b w N T n L X > < a : K e y > < K e y > M e a s u r e s \ S u m   o f   S c o p e   1   k g   C O 2 - e   1 0 \ T a g I n f o \ F o r m u l a < / K e y > < / a : K e y > < a : V a l u e   i : t y p e = " M e a s u r e G r i d V i e w S t a t e I D i a g r a m T a g A d d i t i o n a l I n f o " / > < / a : K e y V a l u e O f D i a g r a m O b j e c t K e y a n y T y p e z b w N T n L X > < a : K e y V a l u e O f D i a g r a m O b j e c t K e y a n y T y p e z b w N T n L X > < a : K e y > < K e y > M e a s u r e s \ S u m   o f   S c o p e   1   k g   C O 2 - e   1 0 \ T a g I n f o \ V a l u e < / K e y > < / a : K e y > < a : V a l u e   i : t y p e = " M e a s u r e G r i d V i e w S t a t e I D i a g r a m T a g A d d i t i o n a l I n f o " / > < / a : K e y V a l u e O f D i a g r a m O b j e c t K e y a n y T y p e z b w N T n L X > < a : K e y V a l u e O f D i a g r a m O b j e c t K e y a n y T y p e z b w N T n L X > < a : K e y > < K e y > M e a s u r e s \ S u m   o f   S c o p e   2   k g   C O 2 - e   1 0 < / K e y > < / a : K e y > < a : V a l u e   i : t y p e = " M e a s u r e G r i d N o d e V i e w S t a t e " > < C o l u m n > 1 3 < / C o l u m n > < L a y e d O u t > t r u e < / L a y e d O u t > < W a s U I I n v i s i b l e > t r u e < / W a s U I I n v i s i b l e > < / a : V a l u e > < / a : K e y V a l u e O f D i a g r a m O b j e c t K e y a n y T y p e z b w N T n L X > < a : K e y V a l u e O f D i a g r a m O b j e c t K e y a n y T y p e z b w N T n L X > < a : K e y > < K e y > M e a s u r e s \ S u m   o f   S c o p e   2   k g   C O 2 - e   1 0 \ T a g I n f o \ F o r m u l a < / K e y > < / a : K e y > < a : V a l u e   i : t y p e = " M e a s u r e G r i d V i e w S t a t e I D i a g r a m T a g A d d i t i o n a l I n f o " / > < / a : K e y V a l u e O f D i a g r a m O b j e c t K e y a n y T y p e z b w N T n L X > < a : K e y V a l u e O f D i a g r a m O b j e c t K e y a n y T y p e z b w N T n L X > < a : K e y > < K e y > M e a s u r e s \ S u m   o f   S c o p e   2   k g   C O 2 - e   1 0 \ T a g I n f o \ V a l u e < / K e y > < / a : K e y > < a : V a l u e   i : t y p e = " M e a s u r e G r i d V i e w S t a t e I D i a g r a m T a g A d d i t i o n a l I n f o " / > < / a : K e y V a l u e O f D i a g r a m O b j e c t K e y a n y T y p e z b w N T n L X > < a : K e y V a l u e O f D i a g r a m O b j e c t K e y a n y T y p e z b w N T n L X > < a : K e y > < K e y > M e a s u r e s \ S u m   o f   S c o p e   3   k g   C O 2 - e   1 0 < / K e y > < / a : K e y > < a : V a l u e   i : t y p e = " M e a s u r e G r i d N o d e V i e w S t a t e " > < C o l u m n > 1 4 < / C o l u m n > < L a y e d O u t > t r u e < / L a y e d O u t > < W a s U I I n v i s i b l e > t r u e < / W a s U I I n v i s i b l e > < / a : V a l u e > < / a : K e y V a l u e O f D i a g r a m O b j e c t K e y a n y T y p e z b w N T n L X > < a : K e y V a l u e O f D i a g r a m O b j e c t K e y a n y T y p e z b w N T n L X > < a : K e y > < K e y > M e a s u r e s \ S u m   o f   S c o p e   3   k g   C O 2 - e   1 0 \ T a g I n f o \ F o r m u l a < / K e y > < / a : K e y > < a : V a l u e   i : t y p e = " M e a s u r e G r i d V i e w S t a t e I D i a g r a m T a g A d d i t i o n a l I n f o " / > < / a : K e y V a l u e O f D i a g r a m O b j e c t K e y a n y T y p e z b w N T n L X > < a : K e y V a l u e O f D i a g r a m O b j e c t K e y a n y T y p e z b w N T n L X > < a : K e y > < K e y > M e a s u r e s \ S u m   o f   S c o p e   3   k g   C O 2 - e   1 0 \ T a g I n f o \ V a l u e < / K e y > < / a : K e y > < a : V a l u e   i : t y p e = " M e a s u r e G r i d V i e w S t a t e I D i a g r a m T a g A d d i t i o n a l I n f o " / > < / a : K e y V a l u e O f D i a g r a m O b j e c t K e y a n y T y p e z b w N T n L X > < a : K e y V a l u e O f D i a g r a m O b j e c t K e y a n y T y p e z b w N T n L X > < a : K e y > < K e y > M e a s u r e s \ S u m   o f   T o t a l   E m i s s i o n s   1 0 < / K e y > < / a : K e y > < a : V a l u e   i : t y p e = " M e a s u r e G r i d N o d e V i e w S t a t e " > < C o l u m n > 1 5 < / C o l u m n > < L a y e d O u t > t r u e < / L a y e d O u t > < W a s U I I n v i s i b l e > t r u e < / W a s U I I n v i s i b l e > < / a : V a l u e > < / a : K e y V a l u e O f D i a g r a m O b j e c t K e y a n y T y p e z b w N T n L X > < a : K e y V a l u e O f D i a g r a m O b j e c t K e y a n y T y p e z b w N T n L X > < a : K e y > < K e y > M e a s u r e s \ S u m   o f   T o t a l   E m i s s i o n s   1 0 \ T a g I n f o \ F o r m u l a < / K e y > < / a : K e y > < a : V a l u e   i : t y p e = " M e a s u r e G r i d V i e w S t a t e I D i a g r a m T a g A d d i t i o n a l I n f o " / > < / a : K e y V a l u e O f D i a g r a m O b j e c t K e y a n y T y p e z b w N T n L X > < a : K e y V a l u e O f D i a g r a m O b j e c t K e y a n y T y p e z b w N T n L X > < a : K e y > < K e y > M e a s u r e s \ S u m   o f   T o t a l   E m i s s i o n s   1 0 \ T a g I n f o \ V a l u e 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 C o l u m n s \ C o n t r a c t o r   t y p e < / K e y > < / a : K e y > < a : V a l u e   i : t y p e = " M e a s u r e G r i d N o d e V i e w S t a t e " > < C o l u m n > 1 < / C o l u m n > < L a y e d O u t > t r u e < / L a y e d O u t > < / a : V a l u e > < / a : K e y V a l u e O f D i a g r a m O b j e c t K e y a n y T y p e z b w N T n L X > < a : K e y V a l u e O f D i a g r a m O b j e c t K e y a n y T y p e z b w N T n L X > < a : K e y > < K e y > C o l u m n s \ S o u r c e   N a m e < / K e y > < / a : K e y > < a : V a l u e   i : t y p e = " M e a s u r e G r i d N o d e V i e w S t a t e " > < C o l u m n > 2 < / C o l u m n > < L a y e d O u t > t r u e < / L a y e d O u t > < / a : V a l u e > < / a : K e y V a l u e O f D i a g r a m O b j e c t K e y a n y T y p e z b w N T n L X > < a : K e y V a l u e O f D i a g r a m O b j e c t K e y a n y T y p e z b w N T n L X > < a : K e y > < K e y > C o l u m n s \ A c t i v i t y   T y p e < / K e y > < / a : K e y > < a : V a l u e   i : t y p e = " M e a s u r e G r i d N o d e V i e w S t a t e " > < C o l u m n > 3 < / C o l u m n > < L a y e d O u t > t r u e < / L a y e d O u t > < / a : V a l u e > < / a : K e y V a l u e O f D i a g r a m O b j e c t K e y a n y T y p e z b w N T n L X > < a : K e y V a l u e O f D i a g r a m O b j e c t K e y a n y T y p e z b w N T n L X > < a : K e y > < K e y > C o l u m n s \ A c t i v i t y   T y p e   C o n t e x t < / K e y > < / a : K e y > < a : V a l u e   i : t y p e = " M e a s u r e G r i d N o d e V i e w S t a t e " > < C o l u m n > 4 < / C o l u m n > < L a y e d O u t > t r u e < / L a y e d O u t > < / a : V a l u e > < / a : K e y V a l u e O f D i a g r a m O b j e c t K e y a n y T y p e z b w N T n L X > < a : K e y V a l u e O f D i a g r a m O b j e c t K e y a n y T y p e z b w N T n L X > < a : K e y > < K e y > C o l u m n s \ E n t i t y < / K e y > < / a : K e y > < a : V a l u e   i : t y p e = " M e a s u r e G r i d N o d e V i e w S t a t e " > < C o l u m n > 5 < / C o l u m n > < L a y e d O u t > t r u e < / L a y e d O u t > < / a : V a l u e > < / a : K e y V a l u e O f D i a g r a m O b j e c t K e y a n y T y p e z b w N T n L X > < a : K e y V a l u e O f D i a g r a m O b j e c t K e y a n y T y p e z b w N T n L X > < a : K e y > < K e y > C o l u m n s \ F u e l < / K e y > < / a : K e y > < a : V a l u e   i : t y p e = " M e a s u r e G r i d N o d e V i e w S t a t e " > < C o l u m n > 6 < / C o l u m n > < L a y e d O u t > t r u e < / L a y e d O u t > < / a : V a l u e > < / a : K e y V a l u e O f D i a g r a m O b j e c t K e y a n y T y p e z b w N T n L X > < a : K e y V a l u e O f D i a g r a m O b j e c t K e y a n y T y p e z b w N T n L X > < a : K e y > < K e y > C o l u m n s \ S t a t e < / K e y > < / a : K e y > < a : V a l u e   i : t y p e = " M e a s u r e G r i d N o d e V i e w S t a t e " > < C o l u m n > 7 < / C o l u m n > < L a y e d O u t > t r u e < / L a y e d O u t > < / a : V a l u e > < / a : K e y V a l u e O f D i a g r a m O b j e c t K e y a n y T y p e z b w N T n L X > < a : K e y V a l u e O f D i a g r a m O b j e c t K e y a n y T y p e z b w N T n L X > < a : K e y > < K e y > C o l u m n s \ C o n s u m p t i o n   Q u a n t i t y   ( L ) < / K e y > < / a : K e y > < a : V a l u e   i : t y p e = " M e a s u r e G r i d N o d e V i e w S t a t e " > < C o l u m n > 8 < / C o l u m n > < L a y e d O u t > t r u e < / L a y e d O u t > < / a : V a l u e > < / a : K e y V a l u e O f D i a g r a m O b j e c t K e y a n y T y p e z b w N T n L X > < a : K e y V a l u e O f D i a g r a m O b j e c t K e y a n y T y p e z b w N T n L X > < a : K e y > < K e y > C o l u m n s \ C o n s u m p t i o n     U n i t s < / K e y > < / a : K e y > < a : V a l u e   i : t y p e = " M e a s u r e G r i d N o d e V i e w S t a t e " > < C o l u m n > 9 < / C o l u m n > < L a y e d O u t > t r u e < / L a y e d O u t > < / a : V a l u e > < / a : K e y V a l u e O f D i a g r a m O b j e c t K e y a n y T y p e z b w N T n L X > < a : K e y V a l u e O f D i a g r a m O b j e c t K e y a n y T y p e z b w N T n L X > < a : K e y > < K e y > C o l u m n s \ C o n s u m p t i o n   Q u a n t i t y < / K e y > < / a : K e y > < a : V a l u e   i : t y p e = " M e a s u r e G r i d N o d e V i e w S t a t e " > < C o l u m n > 1 0 < / C o l u m n > < L a y e d O u t > t r u e < / L a y e d O u t > < / a : V a l u e > < / a : K e y V a l u e O f D i a g r a m O b j e c t K e y a n y T y p e z b w N T n L X > < a : K e y V a l u e O f D i a g r a m O b j e c t K e y a n y T y p e z b w N T n L X > < a : K e y > < K e y > C o l u m n s \ T o t a l   G J < / K e y > < / a : K e y > < a : V a l u e   i : t y p e = " M e a s u r e G r i d N o d e V i e w S t a t e " > < C o l u m n > 1 1 < / C o l u m n > < L a y e d O u t > t r u e < / L a y e d O u t > < / a : V a l u e > < / a : K e y V a l u e O f D i a g r a m O b j e c t K e y a n y T y p e z b w N T n L X > < a : K e y V a l u e O f D i a g r a m O b j e c t K e y a n y T y p e z b w N T n L X > < a : K e y > < K e y > C o l u m n s \ S c o p e   1   k g   C O 2 - e < / K e y > < / a : K e y > < a : V a l u e   i : t y p e = " M e a s u r e G r i d N o d e V i e w S t a t e " > < C o l u m n > 1 2 < / C o l u m n > < L a y e d O u t > t r u e < / L a y e d O u t > < / a : V a l u e > < / a : K e y V a l u e O f D i a g r a m O b j e c t K e y a n y T y p e z b w N T n L X > < a : K e y V a l u e O f D i a g r a m O b j e c t K e y a n y T y p e z b w N T n L X > < a : K e y > < K e y > C o l u m n s \ S c o p e   2   k g   C O 2 - e < / K e y > < / a : K e y > < a : V a l u e   i : t y p e = " M e a s u r e G r i d N o d e V i e w S t a t e " > < C o l u m n > 1 3 < / C o l u m n > < L a y e d O u t > t r u e < / L a y e d O u t > < / a : V a l u e > < / a : K e y V a l u e O f D i a g r a m O b j e c t K e y a n y T y p e z b w N T n L X > < a : K e y V a l u e O f D i a g r a m O b j e c t K e y a n y T y p e z b w N T n L X > < a : K e y > < K e y > C o l u m n s \ S c o p e   3   k g   C O 2 - e < / K e y > < / a : K e y > < a : V a l u e   i : t y p e = " M e a s u r e G r i d N o d e V i e w S t a t e " > < C o l u m n > 1 4 < / C o l u m n > < L a y e d O u t > t r u e < / L a y e d O u t > < / a : V a l u e > < / a : K e y V a l u e O f D i a g r a m O b j e c t K e y a n y T y p e z b w N T n L X > < a : K e y V a l u e O f D i a g r a m O b j e c t K e y a n y T y p e z b w N T n L X > < a : K e y > < K e y > C o l u m n s \ T o t a l   E m i s s i o n s < / K e y > < / a : K e y > < a : V a l u e   i : t y p e = " M e a s u r e G r i d N o d e V i e w S t a t e " > < C o l u m n > 1 5 < / C o l u m n > < L a y e d O u t > t r u e < / L a y e d O u t > < / a : V a l u e > < / a : K e y V a l u e O f D i a g r a m O b j e c t K e y a n y T y p e z b w N T n L X > < a : K e y V a l u e O f D i a g r a m O b j e c t K e y a n y T y p e z b w N T n L X > < a : K e y > < K e y > L i n k s \ & l t ; C o l u m n s \ S u m   o f   C o n s u m p t i o n   Q u a n t i t y   1 0 & g t ; - & l t ; M e a s u r e s \ C o n s u m p t i o n   Q u a n t i t y & g t ; < / K e y > < / a : K e y > < a : V a l u e   i : t y p e = " M e a s u r e G r i d V i e w S t a t e I D i a g r a m L i n k " / > < / a : K e y V a l u e O f D i a g r a m O b j e c t K e y a n y T y p e z b w N T n L X > < a : K e y V a l u e O f D i a g r a m O b j e c t K e y a n y T y p e z b w N T n L X > < a : K e y > < K e y > L i n k s \ & l t ; C o l u m n s \ S u m   o f   C o n s u m p t i o n   Q u a n t i t y   1 0 & g t ; - & l t ; M e a s u r e s \ C o n s u m p t i o n   Q u a n t i t y & g t ; \ C O L U M N < / K e y > < / a : K e y > < a : V a l u e   i : t y p e = " M e a s u r e G r i d V i e w S t a t e I D i a g r a m L i n k E n d p o i n t " / > < / a : K e y V a l u e O f D i a g r a m O b j e c t K e y a n y T y p e z b w N T n L X > < a : K e y V a l u e O f D i a g r a m O b j e c t K e y a n y T y p e z b w N T n L X > < a : K e y > < K e y > L i n k s \ & l t ; C o l u m n s \ S u m   o f   C o n s u m p t i o n   Q u a n t i t y   1 0 & g t ; - & l t ; M e a s u r e s \ C o n s u m p t i o n   Q u a n t i t y & g t ; \ M E A S U R E < / K e y > < / a : K e y > < a : V a l u e   i : t y p e = " M e a s u r e G r i d V i e w S t a t e I D i a g r a m L i n k E n d p o i n t " / > < / a : K e y V a l u e O f D i a g r a m O b j e c t K e y a n y T y p e z b w N T n L X > < a : K e y V a l u e O f D i a g r a m O b j e c t K e y a n y T y p e z b w N T n L X > < a : K e y > < K e y > L i n k s \ & l t ; C o l u m n s \ S u m   o f   T o t a l   G J   1 0 & g t ; - & l t ; M e a s u r e s \ T o t a l   G J & g t ; < / K e y > < / a : K e y > < a : V a l u e   i : t y p e = " M e a s u r e G r i d V i e w S t a t e I D i a g r a m L i n k " / > < / a : K e y V a l u e O f D i a g r a m O b j e c t K e y a n y T y p e z b w N T n L X > < a : K e y V a l u e O f D i a g r a m O b j e c t K e y a n y T y p e z b w N T n L X > < a : K e y > < K e y > L i n k s \ & l t ; C o l u m n s \ S u m   o f   T o t a l   G J   1 0 & g t ; - & l t ; M e a s u r e s \ T o t a l   G J & g t ; \ C O L U M N < / K e y > < / a : K e y > < a : V a l u e   i : t y p e = " M e a s u r e G r i d V i e w S t a t e I D i a g r a m L i n k E n d p o i n t " / > < / a : K e y V a l u e O f D i a g r a m O b j e c t K e y a n y T y p e z b w N T n L X > < a : K e y V a l u e O f D i a g r a m O b j e c t K e y a n y T y p e z b w N T n L X > < a : K e y > < K e y > L i n k s \ & l t ; C o l u m n s \ S u m   o f   T o t a l   G J   1 0 & g t ; - & l t ; M e a s u r e s \ T o t a l   G J & g t ; \ M E A S U R E < / K e y > < / a : K e y > < a : V a l u e   i : t y p e = " M e a s u r e G r i d V i e w S t a t e I D i a g r a m L i n k E n d p o i n t " / > < / a : K e y V a l u e O f D i a g r a m O b j e c t K e y a n y T y p e z b w N T n L X > < a : K e y V a l u e O f D i a g r a m O b j e c t K e y a n y T y p e z b w N T n L X > < a : K e y > < K e y > L i n k s \ & l t ; C o l u m n s \ S u m   o f   S c o p e   1   k g   C O 2 - e   1 0 & g t ; - & l t ; M e a s u r e s \ S c o p e   1   k g   C O 2 - e & g t ; < / K e y > < / a : K e y > < a : V a l u e   i : t y p e = " M e a s u r e G r i d V i e w S t a t e I D i a g r a m L i n k " / > < / a : K e y V a l u e O f D i a g r a m O b j e c t K e y a n y T y p e z b w N T n L X > < a : K e y V a l u e O f D i a g r a m O b j e c t K e y a n y T y p e z b w N T n L X > < a : K e y > < K e y > L i n k s \ & l t ; C o l u m n s \ S u m   o f   S c o p e   1   k g   C O 2 - e   1 0 & g t ; - & l t ; M e a s u r e s \ S c o p e   1   k g   C O 2 - e & g t ; \ C O L U M N < / K e y > < / a : K e y > < a : V a l u e   i : t y p e = " M e a s u r e G r i d V i e w S t a t e I D i a g r a m L i n k E n d p o i n t " / > < / a : K e y V a l u e O f D i a g r a m O b j e c t K e y a n y T y p e z b w N T n L X > < a : K e y V a l u e O f D i a g r a m O b j e c t K e y a n y T y p e z b w N T n L X > < a : K e y > < K e y > L i n k s \ & l t ; C o l u m n s \ S u m   o f   S c o p e   1   k g   C O 2 - e   1 0 & g t ; - & l t ; M e a s u r e s \ S c o p e   1   k g   C O 2 - e & g t ; \ M E A S U R E < / K e y > < / a : K e y > < a : V a l u e   i : t y p e = " M e a s u r e G r i d V i e w S t a t e I D i a g r a m L i n k E n d p o i n t " / > < / a : K e y V a l u e O f D i a g r a m O b j e c t K e y a n y T y p e z b w N T n L X > < a : K e y V a l u e O f D i a g r a m O b j e c t K e y a n y T y p e z b w N T n L X > < a : K e y > < K e y > L i n k s \ & l t ; C o l u m n s \ S u m   o f   S c o p e   2   k g   C O 2 - e   1 0 & g t ; - & l t ; M e a s u r e s \ S c o p e   2   k g   C O 2 - e & g t ; < / K e y > < / a : K e y > < a : V a l u e   i : t y p e = " M e a s u r e G r i d V i e w S t a t e I D i a g r a m L i n k " / > < / a : K e y V a l u e O f D i a g r a m O b j e c t K e y a n y T y p e z b w N T n L X > < a : K e y V a l u e O f D i a g r a m O b j e c t K e y a n y T y p e z b w N T n L X > < a : K e y > < K e y > L i n k s \ & l t ; C o l u m n s \ S u m   o f   S c o p e   2   k g   C O 2 - e   1 0 & g t ; - & l t ; M e a s u r e s \ S c o p e   2   k g   C O 2 - e & g t ; \ C O L U M N < / K e y > < / a : K e y > < a : V a l u e   i : t y p e = " M e a s u r e G r i d V i e w S t a t e I D i a g r a m L i n k E n d p o i n t " / > < / a : K e y V a l u e O f D i a g r a m O b j e c t K e y a n y T y p e z b w N T n L X > < a : K e y V a l u e O f D i a g r a m O b j e c t K e y a n y T y p e z b w N T n L X > < a : K e y > < K e y > L i n k s \ & l t ; C o l u m n s \ S u m   o f   S c o p e   2   k g   C O 2 - e   1 0 & g t ; - & l t ; M e a s u r e s \ S c o p e   2   k g   C O 2 - e & g t ; \ M E A S U R E < / K e y > < / a : K e y > < a : V a l u e   i : t y p e = " M e a s u r e G r i d V i e w S t a t e I D i a g r a m L i n k E n d p o i n t " / > < / a : K e y V a l u e O f D i a g r a m O b j e c t K e y a n y T y p e z b w N T n L X > < a : K e y V a l u e O f D i a g r a m O b j e c t K e y a n y T y p e z b w N T n L X > < a : K e y > < K e y > L i n k s \ & l t ; C o l u m n s \ S u m   o f   S c o p e   3   k g   C O 2 - e   1 0 & g t ; - & l t ; M e a s u r e s \ S c o p e   3   k g   C O 2 - e & g t ; < / K e y > < / a : K e y > < a : V a l u e   i : t y p e = " M e a s u r e G r i d V i e w S t a t e I D i a g r a m L i n k " / > < / a : K e y V a l u e O f D i a g r a m O b j e c t K e y a n y T y p e z b w N T n L X > < a : K e y V a l u e O f D i a g r a m O b j e c t K e y a n y T y p e z b w N T n L X > < a : K e y > < K e y > L i n k s \ & l t ; C o l u m n s \ S u m   o f   S c o p e   3   k g   C O 2 - e   1 0 & g t ; - & l t ; M e a s u r e s \ S c o p e   3   k g   C O 2 - e & g t ; \ C O L U M N < / K e y > < / a : K e y > < a : V a l u e   i : t y p e = " M e a s u r e G r i d V i e w S t a t e I D i a g r a m L i n k E n d p o i n t " / > < / a : K e y V a l u e O f D i a g r a m O b j e c t K e y a n y T y p e z b w N T n L X > < a : K e y V a l u e O f D i a g r a m O b j e c t K e y a n y T y p e z b w N T n L X > < a : K e y > < K e y > L i n k s \ & l t ; C o l u m n s \ S u m   o f   S c o p e   3   k g   C O 2 - e   1 0 & g t ; - & l t ; M e a s u r e s \ S c o p e   3   k g   C O 2 - e & g t ; \ M E A S U R E < / K e y > < / a : K e y > < a : V a l u e   i : t y p e = " M e a s u r e G r i d V i e w S t a t e I D i a g r a m L i n k E n d p o i n t " / > < / a : K e y V a l u e O f D i a g r a m O b j e c t K e y a n y T y p e z b w N T n L X > < a : K e y V a l u e O f D i a g r a m O b j e c t K e y a n y T y p e z b w N T n L X > < a : K e y > < K e y > L i n k s \ & l t ; C o l u m n s \ S u m   o f   T o t a l   E m i s s i o n s   1 0 & g t ; - & l t ; M e a s u r e s \ T o t a l   E m i s s i o n s & g t ; < / K e y > < / a : K e y > < a : V a l u e   i : t y p e = " M e a s u r e G r i d V i e w S t a t e I D i a g r a m L i n k " / > < / a : K e y V a l u e O f D i a g r a m O b j e c t K e y a n y T y p e z b w N T n L X > < a : K e y V a l u e O f D i a g r a m O b j e c t K e y a n y T y p e z b w N T n L X > < a : K e y > < K e y > L i n k s \ & l t ; C o l u m n s \ S u m   o f   T o t a l   E m i s s i o n s   1 0 & g t ; - & l t ; M e a s u r e s \ T o t a l   E m i s s i o n s & g t ; \ C O L U M N < / K e y > < / a : K e y > < a : V a l u e   i : t y p e = " M e a s u r e G r i d V i e w S t a t e I D i a g r a m L i n k E n d p o i n t " / > < / a : K e y V a l u e O f D i a g r a m O b j e c t K e y a n y T y p e z b w N T n L X > < a : K e y V a l u e O f D i a g r a m O b j e c t K e y a n y T y p e z b w N T n L X > < a : K e y > < K e y > L i n k s \ & l t ; C o l u m n s \ S u m   o f   T o t a l   E m i s s i o n s   1 0 & g t ; - & l t ; M e a s u r e s \ T o t a l   E m i s s i o n s & g t ; \ M E A S U R E < / K e y > < / a : K e y > < a : V a l u e   i : t y p e = " M e a s u r e G r i d V i e w S t a t e I D i a g r a m L i n k E n d p o i n t " / > < / a : K e y V a l u e O f D i a g r a m O b j e c t K e y a n y T y p e z b w N T n L X > < / V i e w S t a t e s > < / D i a g r a m M a n a g e r . S e r i a l i z a b l e D i a g r a m > < D i a g r a m M a n a g e r . S e r i a l i z a b l e D i a g r a m > < A d a p t e r   i : t y p e = " M e a s u r e D i a g r a m S a n d b o x A d a p t e r " > < T a b l e N a m e > N E T _ G e n s e t _ G r o u n d s 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 N E T _ G e n s e t _ G r o u n d s 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 6 < / K e y > < / D i a g r a m O b j e c t K e y > < D i a g r a m O b j e c t K e y > < K e y > M e a s u r e s \ S u m   o f   C o n s u m p t i o n   Q u a n t i t y   6 \ T a g I n f o \ F o r m u l a < / K e y > < / D i a g r a m O b j e c t K e y > < D i a g r a m O b j e c t K e y > < K e y > M e a s u r e s \ S u m   o f   C o n s u m p t i o n   Q u a n t i t y   6 \ T a g I n f o \ S e m a n t i c   E r r o r < / K e y > < / D i a g r a m O b j e c t K e y > < D i a g r a m O b j e c t K e y > < K e y > M e a s u r e s \ S u m   o f   T o t a l   G J   1 3 < / K e y > < / D i a g r a m O b j e c t K e y > < D i a g r a m O b j e c t K e y > < K e y > M e a s u r e s \ S u m   o f   T o t a l   G J   1 3 \ T a g I n f o \ F o r m u l a < / K e y > < / D i a g r a m O b j e c t K e y > < D i a g r a m O b j e c t K e y > < K e y > M e a s u r e s \ S u m   o f   T o t a l   G J   1 3 \ T a g I n f o \ S e m a n t i c   E r r o r < / K e y > < / D i a g r a m O b j e c t K e y > < D i a g r a m O b j e c t K e y > < K e y > M e a s u r e s \ S u m   o f   S c o p e   1   k g   C O 2 - e   1 3 < / K e y > < / D i a g r a m O b j e c t K e y > < D i a g r a m O b j e c t K e y > < K e y > M e a s u r e s \ S u m   o f   S c o p e   1   k g   C O 2 - e   1 3 \ T a g I n f o \ F o r m u l a < / K e y > < / D i a g r a m O b j e c t K e y > < D i a g r a m O b j e c t K e y > < K e y > M e a s u r e s \ S u m   o f   S c o p e   1   k g   C O 2 - e   1 3 \ T a g I n f o \ S e m a n t i c   E r r o r < / K e y > < / D i a g r a m O b j e c t K e y > < D i a g r a m O b j e c t K e y > < K e y > M e a s u r e s \ S u m   o f   S c o p e   2   k g   C O 2 - e   1 3 < / K e y > < / D i a g r a m O b j e c t K e y > < D i a g r a m O b j e c t K e y > < K e y > M e a s u r e s \ S u m   o f   S c o p e   2   k g   C O 2 - e   1 3 \ T a g I n f o \ F o r m u l a < / K e y > < / D i a g r a m O b j e c t K e y > < D i a g r a m O b j e c t K e y > < K e y > M e a s u r e s \ S u m   o f   S c o p e   2   k g   C O 2 - e   1 3 \ T a g I n f o \ S e m a n t i c   E r r o r < / K e y > < / D i a g r a m O b j e c t K e y > < D i a g r a m O b j e c t K e y > < K e y > M e a s u r e s \ S u m   o f   S c o p e   3   k g   C O 2 - e   1 3 < / K e y > < / D i a g r a m O b j e c t K e y > < D i a g r a m O b j e c t K e y > < K e y > M e a s u r e s \ S u m   o f   S c o p e   3   k g   C O 2 - e   1 3 \ T a g I n f o \ F o r m u l a < / K e y > < / D i a g r a m O b j e c t K e y > < D i a g r a m O b j e c t K e y > < K e y > M e a s u r e s \ S u m   o f   S c o p e   3   k g   C O 2 - e   1 3 \ T a g I n f o \ S e m a n t i c   E r r o r < / K e y > < / D i a g r a m O b j e c t K e y > < D i a g r a m O b j e c t K e y > < K e y > M e a s u r e s \ S u m   o f   T o t a l   E m i s s i o n s   1 3 < / K e y > < / D i a g r a m O b j e c t K e y > < D i a g r a m O b j e c t K e y > < K e y > M e a s u r e s \ S u m   o f   T o t a l   E m i s s i o n s   1 3 \ T a g I n f o \ F o r m u l a < / K e y > < / D i a g r a m O b j e c t K e y > < D i a g r a m O b j e c t K e y > < K e y > M e a s u r e s \ S u m   o f   T o t a l   E m i s s i o n s   1 3 \ T a g I n f o \ S e m a n t i c   E r r o r < / K e y > < / D i a g r a m O b j e c t K e y > < D i a g r a m O b j e c t K e y > < K e y > C o l u m n s \ R e p o r t i n g   A l i a s < / K e y > < / D i a g r a m O b j e c t K e y > < D i a g r a m O b j e c t K e y > < K e y > C o l u m n s \ E m i s s i o n   s o u r c e < / K e y > < / D i a g r a m O b j e c t K e y > < D i a g r a m O b j e c t K e y > < K e y > C o l u m n s \ E n t i t y < / K e y > < / D i a g r a m O b j e c t K e y > < D i a g r a m O b j e c t K e y > < K e y > C o l u m n s \ F u e l < / K e y > < / D i a g r a m O b j e c t K e y > < D i a g r a m O b j e c t K e y > < K e y > C o l u m n s \ S t a t e < / K e y > < / D i a g r a m O b j e c t K e y > < D i a g r a m O b j e c t K e y > < K e y > C o l u m n s \ P r o d u c t i o n   Q u a n t i t y < / K e y > < / D i a g r a m O b j e c t K e y > < D i a g r a m O b j e c t K e y > < K e y > C o l u m n s \ P r o d u c t i o n   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 6 & g t ; - & l t ; M e a s u r e s \ C o n s u m p t i o n   Q u a n t i t y & g t ; < / K e y > < / D i a g r a m O b j e c t K e y > < D i a g r a m O b j e c t K e y > < K e y > L i n k s \ & l t ; C o l u m n s \ S u m   o f   C o n s u m p t i o n   Q u a n t i t y   6 & g t ; - & l t ; M e a s u r e s \ C o n s u m p t i o n   Q u a n t i t y & g t ; \ C O L U M N < / K e y > < / D i a g r a m O b j e c t K e y > < D i a g r a m O b j e c t K e y > < K e y > L i n k s \ & l t ; C o l u m n s \ S u m   o f   C o n s u m p t i o n   Q u a n t i t y   6 & g t ; - & l t ; M e a s u r e s \ C o n s u m p t i o n   Q u a n t i t y & g t ; \ M E A S U R E < / K e y > < / D i a g r a m O b j e c t K e y > < D i a g r a m O b j e c t K e y > < K e y > L i n k s \ & l t ; C o l u m n s \ S u m   o f   T o t a l   G J   1 3 & g t ; - & l t ; M e a s u r e s \ T o t a l   G J & g t ; < / K e y > < / D i a g r a m O b j e c t K e y > < D i a g r a m O b j e c t K e y > < K e y > L i n k s \ & l t ; C o l u m n s \ S u m   o f   T o t a l   G J   1 3 & g t ; - & l t ; M e a s u r e s \ T o t a l   G J & g t ; \ C O L U M N < / K e y > < / D i a g r a m O b j e c t K e y > < D i a g r a m O b j e c t K e y > < K e y > L i n k s \ & l t ; C o l u m n s \ S u m   o f   T o t a l   G J   1 3 & g t ; - & l t ; M e a s u r e s \ T o t a l   G J & g t ; \ M E A S U R E < / K e y > < / D i a g r a m O b j e c t K e y > < D i a g r a m O b j e c t K e y > < K e y > L i n k s \ & l t ; C o l u m n s \ S u m   o f   S c o p e   1   k g   C O 2 - e   1 3 & g t ; - & l t ; M e a s u r e s \ S c o p e   1   k g   C O 2 - e & g t ; < / K e y > < / D i a g r a m O b j e c t K e y > < D i a g r a m O b j e c t K e y > < K e y > L i n k s \ & l t ; C o l u m n s \ S u m   o f   S c o p e   1   k g   C O 2 - e   1 3 & g t ; - & l t ; M e a s u r e s \ S c o p e   1   k g   C O 2 - e & g t ; \ C O L U M N < / K e y > < / D i a g r a m O b j e c t K e y > < D i a g r a m O b j e c t K e y > < K e y > L i n k s \ & l t ; C o l u m n s \ S u m   o f   S c o p e   1   k g   C O 2 - e   1 3 & g t ; - & l t ; M e a s u r e s \ S c o p e   1   k g   C O 2 - e & g t ; \ M E A S U R E < / K e y > < / D i a g r a m O b j e c t K e y > < D i a g r a m O b j e c t K e y > < K e y > L i n k s \ & l t ; C o l u m n s \ S u m   o f   S c o p e   2   k g   C O 2 - e   1 3 & g t ; - & l t ; M e a s u r e s \ S c o p e   2   k g   C O 2 - e & g t ; < / K e y > < / D i a g r a m O b j e c t K e y > < D i a g r a m O b j e c t K e y > < K e y > L i n k s \ & l t ; C o l u m n s \ S u m   o f   S c o p e   2   k g   C O 2 - e   1 3 & g t ; - & l t ; M e a s u r e s \ S c o p e   2   k g   C O 2 - e & g t ; \ C O L U M N < / K e y > < / D i a g r a m O b j e c t K e y > < D i a g r a m O b j e c t K e y > < K e y > L i n k s \ & l t ; C o l u m n s \ S u m   o f   S c o p e   2   k g   C O 2 - e   1 3 & g t ; - & l t ; M e a s u r e s \ S c o p e   2   k g   C O 2 - e & g t ; \ M E A S U R E < / K e y > < / D i a g r a m O b j e c t K e y > < D i a g r a m O b j e c t K e y > < K e y > L i n k s \ & l t ; C o l u m n s \ S u m   o f   S c o p e   3   k g   C O 2 - e   1 3 & g t ; - & l t ; M e a s u r e s \ S c o p e   3   k g   C O 2 - e & g t ; < / K e y > < / D i a g r a m O b j e c t K e y > < D i a g r a m O b j e c t K e y > < K e y > L i n k s \ & l t ; C o l u m n s \ S u m   o f   S c o p e   3   k g   C O 2 - e   1 3 & g t ; - & l t ; M e a s u r e s \ S c o p e   3   k g   C O 2 - e & g t ; \ C O L U M N < / K e y > < / D i a g r a m O b j e c t K e y > < D i a g r a m O b j e c t K e y > < K e y > L i n k s \ & l t ; C o l u m n s \ S u m   o f   S c o p e   3   k g   C O 2 - e   1 3 & g t ; - & l t ; M e a s u r e s \ S c o p e   3   k g   C O 2 - e & g t ; \ M E A S U R E < / K e y > < / D i a g r a m O b j e c t K e y > < D i a g r a m O b j e c t K e y > < K e y > L i n k s \ & l t ; C o l u m n s \ S u m   o f   T o t a l   E m i s s i o n s   1 3 & g t ; - & l t ; M e a s u r e s \ T o t a l   E m i s s i o n s & g t ; < / K e y > < / D i a g r a m O b j e c t K e y > < D i a g r a m O b j e c t K e y > < K e y > L i n k s \ & l t ; C o l u m n s \ S u m   o f   T o t a l   E m i s s i o n s   1 3 & g t ; - & l t ; M e a s u r e s \ T o t a l   E m i s s i o n s & g t ; \ C O L U M N < / K e y > < / D i a g r a m O b j e c t K e y > < D i a g r a m O b j e c t K e y > < K e y > L i n k s \ & l t ; C o l u m n s \ S u m   o f   T o t a l   E m i s s i o n s   1 3 & g t ; - & l t ; M e a s u r e s \ T o t a l 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 6 < / K e y > < / a : K e y > < a : V a l u e   i : t y p e = " M e a s u r e G r i d N o d e V i e w S t a t e " > < C o l u m n > 7 < / C o l u m n > < L a y e d O u t > t r u e < / L a y e d O u t > < W a s U I I n v i s i b l e > t r u e < / W a s U I I n v i s i b l e > < / a : V a l u e > < / a : K e y V a l u e O f D i a g r a m O b j e c t K e y a n y T y p e z b w N T n L X > < a : K e y V a l u e O f D i a g r a m O b j e c t K e y a n y T y p e z b w N T n L X > < a : K e y > < K e y > M e a s u r e s \ S u m   o f   C o n s u m p t i o n   Q u a n t i t y   6 \ T a g I n f o \ F o r m u l a < / K e y > < / a : K e y > < a : V a l u e   i : t y p e = " M e a s u r e G r i d V i e w S t a t e I D i a g r a m T a g A d d i t i o n a l I n f o " / > < / a : K e y V a l u e O f D i a g r a m O b j e c t K e y a n y T y p e z b w N T n L X > < a : K e y V a l u e O f D i a g r a m O b j e c t K e y a n y T y p e z b w N T n L X > < a : K e y > < K e y > M e a s u r e s \ S u m   o f   C o n s u m p t i o n   Q u a n t i t y   6 \ T a g I n f o \ S e m a n t i c   E r r o r < / K e y > < / a : K e y > < a : V a l u e   i : t y p e = " M e a s u r e G r i d V i e w S t a t e I D i a g r a m T a g A d d i t i o n a l I n f o " / > < / a : K e y V a l u e O f D i a g r a m O b j e c t K e y a n y T y p e z b w N T n L X > < a : K e y V a l u e O f D i a g r a m O b j e c t K e y a n y T y p e z b w N T n L X > < a : K e y > < K e y > M e a s u r e s \ S u m   o f   T o t a l   G J   1 3 < / K e y > < / a : K e y > < a : V a l u e   i : t y p e = " M e a s u r e G r i d N o d e V i e w S t a t e " > < C o l u m n > 8 < / C o l u m n > < L a y e d O u t > t r u e < / L a y e d O u t > < W a s U I I n v i s i b l e > t r u e < / W a s U I I n v i s i b l e > < / a : V a l u e > < / a : K e y V a l u e O f D i a g r a m O b j e c t K e y a n y T y p e z b w N T n L X > < a : K e y V a l u e O f D i a g r a m O b j e c t K e y a n y T y p e z b w N T n L X > < a : K e y > < K e y > M e a s u r e s \ S u m   o f   T o t a l   G J   1 3 \ T a g I n f o \ F o r m u l a < / K e y > < / a : K e y > < a : V a l u e   i : t y p e = " M e a s u r e G r i d V i e w S t a t e I D i a g r a m T a g A d d i t i o n a l I n f o " / > < / a : K e y V a l u e O f D i a g r a m O b j e c t K e y a n y T y p e z b w N T n L X > < a : K e y V a l u e O f D i a g r a m O b j e c t K e y a n y T y p e z b w N T n L X > < a : K e y > < K e y > M e a s u r e s \ S u m   o f   T o t a l   G J   1 3 \ T a g I n f o \ S e m a n t i c   E r r o r < / K e y > < / a : K e y > < a : V a l u e   i : t y p e = " M e a s u r e G r i d V i e w S t a t e I D i a g r a m T a g A d d i t i o n a l I n f o " / > < / a : K e y V a l u e O f D i a g r a m O b j e c t K e y a n y T y p e z b w N T n L X > < a : K e y V a l u e O f D i a g r a m O b j e c t K e y a n y T y p e z b w N T n L X > < a : K e y > < K e y > M e a s u r e s \ S u m   o f   S c o p e   1   k g   C O 2 - e   1 3 < / K e y > < / a : K e y > < a : V a l u e   i : t y p e = " M e a s u r e G r i d N o d e V i e w S t a t e " > < C o l u m n > 9 < / C o l u m n > < L a y e d O u t > t r u e < / L a y e d O u t > < W a s U I I n v i s i b l e > t r u e < / W a s U I I n v i s i b l e > < / a : V a l u e > < / a : K e y V a l u e O f D i a g r a m O b j e c t K e y a n y T y p e z b w N T n L X > < a : K e y V a l u e O f D i a g r a m O b j e c t K e y a n y T y p e z b w N T n L X > < a : K e y > < K e y > M e a s u r e s \ S u m   o f   S c o p e   1   k g   C O 2 - e   1 3 \ T a g I n f o \ F o r m u l a < / K e y > < / a : K e y > < a : V a l u e   i : t y p e = " M e a s u r e G r i d V i e w S t a t e I D i a g r a m T a g A d d i t i o n a l I n f o " / > < / a : K e y V a l u e O f D i a g r a m O b j e c t K e y a n y T y p e z b w N T n L X > < a : K e y V a l u e O f D i a g r a m O b j e c t K e y a n y T y p e z b w N T n L X > < a : K e y > < K e y > M e a s u r e s \ S u m   o f   S c o p e   1   k g   C O 2 - e   1 3 \ T a g I n f o \ S e m a n t i c   E r r o r < / K e y > < / a : K e y > < a : V a l u e   i : t y p e = " M e a s u r e G r i d V i e w S t a t e I D i a g r a m T a g A d d i t i o n a l I n f o " / > < / a : K e y V a l u e O f D i a g r a m O b j e c t K e y a n y T y p e z b w N T n L X > < a : K e y V a l u e O f D i a g r a m O b j e c t K e y a n y T y p e z b w N T n L X > < a : K e y > < K e y > M e a s u r e s \ S u m   o f   S c o p e   2   k g   C O 2 - e   1 3 < / K e y > < / a : K e y > < a : V a l u e   i : t y p e = " M e a s u r e G r i d N o d e V i e w S t a t e " > < C o l u m n > 1 0 < / C o l u m n > < L a y e d O u t > t r u e < / L a y e d O u t > < W a s U I I n v i s i b l e > t r u e < / W a s U I I n v i s i b l e > < / a : V a l u e > < / a : K e y V a l u e O f D i a g r a m O b j e c t K e y a n y T y p e z b w N T n L X > < a : K e y V a l u e O f D i a g r a m O b j e c t K e y a n y T y p e z b w N T n L X > < a : K e y > < K e y > M e a s u r e s \ S u m   o f   S c o p e   2   k g   C O 2 - e   1 3 \ T a g I n f o \ F o r m u l a < / K e y > < / a : K e y > < a : V a l u e   i : t y p e = " M e a s u r e G r i d V i e w S t a t e I D i a g r a m T a g A d d i t i o n a l I n f o " / > < / a : K e y V a l u e O f D i a g r a m O b j e c t K e y a n y T y p e z b w N T n L X > < a : K e y V a l u e O f D i a g r a m O b j e c t K e y a n y T y p e z b w N T n L X > < a : K e y > < K e y > M e a s u r e s \ S u m   o f   S c o p e   2   k g   C O 2 - e   1 3 \ T a g I n f o \ S e m a n t i c   E r r o r < / K e y > < / a : K e y > < a : V a l u e   i : t y p e = " M e a s u r e G r i d V i e w S t a t e I D i a g r a m T a g A d d i t i o n a l I n f o " / > < / a : K e y V a l u e O f D i a g r a m O b j e c t K e y a n y T y p e z b w N T n L X > < a : K e y V a l u e O f D i a g r a m O b j e c t K e y a n y T y p e z b w N T n L X > < a : K e y > < K e y > M e a s u r e s \ S u m   o f   S c o p e   3   k g   C O 2 - e   1 3 < / K e y > < / a : K e y > < a : V a l u e   i : t y p e = " M e a s u r e G r i d N o d e V i e w S t a t e " > < C o l u m n > 1 1 < / C o l u m n > < L a y e d O u t > t r u e < / L a y e d O u t > < W a s U I I n v i s i b l e > t r u e < / W a s U I I n v i s i b l e > < / a : V a l u e > < / a : K e y V a l u e O f D i a g r a m O b j e c t K e y a n y T y p e z b w N T n L X > < a : K e y V a l u e O f D i a g r a m O b j e c t K e y a n y T y p e z b w N T n L X > < a : K e y > < K e y > M e a s u r e s \ S u m   o f   S c o p e   3   k g   C O 2 - e   1 3 \ T a g I n f o \ F o r m u l a < / K e y > < / a : K e y > < a : V a l u e   i : t y p e = " M e a s u r e G r i d V i e w S t a t e I D i a g r a m T a g A d d i t i o n a l I n f o " / > < / a : K e y V a l u e O f D i a g r a m O b j e c t K e y a n y T y p e z b w N T n L X > < a : K e y V a l u e O f D i a g r a m O b j e c t K e y a n y T y p e z b w N T n L X > < a : K e y > < K e y > M e a s u r e s \ S u m   o f   S c o p e   3   k g   C O 2 - e   1 3 \ T a g I n f o \ S e m a n t i c   E r r o r < / K e y > < / a : K e y > < a : V a l u e   i : t y p e = " M e a s u r e G r i d V i e w S t a t e I D i a g r a m T a g A d d i t i o n a l I n f o " / > < / a : K e y V a l u e O f D i a g r a m O b j e c t K e y a n y T y p e z b w N T n L X > < a : K e y V a l u e O f D i a g r a m O b j e c t K e y a n y T y p e z b w N T n L X > < a : K e y > < K e y > M e a s u r e s \ S u m   o f   T o t a l   E m i s s i o n s   1 3 < / K e y > < / a : K e y > < a : V a l u e   i : t y p e = " M e a s u r e G r i d N o d e V i e w S t a t e " > < C o l u m n > 1 2 < / C o l u m n > < L a y e d O u t > t r u e < / L a y e d O u t > < W a s U I I n v i s i b l e > t r u e < / W a s U I I n v i s i b l e > < / a : V a l u e > < / a : K e y V a l u e O f D i a g r a m O b j e c t K e y a n y T y p e z b w N T n L X > < a : K e y V a l u e O f D i a g r a m O b j e c t K e y a n y T y p e z b w N T n L X > < a : K e y > < K e y > M e a s u r e s \ S u m   o f   T o t a l   E m i s s i o n s   1 3 \ T a g I n f o \ F o r m u l a < / K e y > < / a : K e y > < a : V a l u e   i : t y p e = " M e a s u r e G r i d V i e w S t a t e I D i a g r a m T a g A d d i t i o n a l I n f o " / > < / a : K e y V a l u e O f D i a g r a m O b j e c t K e y a n y T y p e z b w N T n L X > < a : K e y V a l u e O f D i a g r a m O b j e c t K e y a n y T y p e z b w N T n L X > < a : K e y > < K e y > M e a s u r e s \ S u m   o f   T o t a l   E m i s s i o n s   1 3 \ T a g I n f o \ S e m a n t i c   E r r o r < / 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 C o l u m n s \ E m i s s i o n   s o u r c e < / K e y > < / a : K e y > < a : V a l u e   i : t y p e = " M e a s u r e G r i d N o d e V i e w S t a t e " > < C o l u m n > 1 < / C o l u m n > < L a y e d O u t > t r u e < / L a y e d O u t > < / a : V a l u e > < / a : K e y V a l u e O f D i a g r a m O b j e c t K e y a n y T y p e z b w N T n L X > < a : K e y V a l u e O f D i a g r a m O b j e c t K e y a n y T y p e z b w N T n L X > < a : K e y > < K e y > C o l u m n s \ E n t i t y < / K e y > < / a : K e y > < a : V a l u e   i : t y p e = " M e a s u r e G r i d N o d e V i e w S t a t e " > < C o l u m n > 2 < / C o l u m n > < L a y e d O u t > t r u e < / L a y e d O u t > < / a : V a l u e > < / a : K e y V a l u e O f D i a g r a m O b j e c t K e y a n y T y p e z b w N T n L X > < a : K e y V a l u e O f D i a g r a m O b j e c t K e y a n y T y p e z b w N T n L X > < a : K e y > < K e y > C o l u m n s \ F u e l < / K e y > < / a : K e y > < a : V a l u e   i : t y p e = " M e a s u r e G r i d N o d e V i e w S t a t e " > < C o l u m n > 3 < / C o l u m n > < L a y e d O u t > t r u e < / L a y e d O u t > < / a : V a l u e > < / a : K e y V a l u e O f D i a g r a m O b j e c t K e y a n y T y p e z b w N T n L X > < a : K e y V a l u e O f D i a g r a m O b j e c t K e y a n y T y p e z b w N T n L X > < a : K e y > < K e y > C o l u m n s \ S t a t e < / K e y > < / a : K e y > < a : V a l u e   i : t y p e = " M e a s u r e G r i d N o d e V i e w S t a t e " > < C o l u m n > 4 < / C o l u m n > < L a y e d O u t > t r u e < / L a y e d O u t > < / a : V a l u e > < / a : K e y V a l u e O f D i a g r a m O b j e c t K e y a n y T y p e z b w N T n L X > < a : K e y V a l u e O f D i a g r a m O b j e c t K e y a n y T y p e z b w N T n L X > < a : K e y > < K e y > C o l u m n s \ P r o d u c t i o n   Q u a n t i t y < / K e y > < / a : K e y > < a : V a l u e   i : t y p e = " M e a s u r e G r i d N o d e V i e w S t a t e " > < C o l u m n > 6 < / C o l u m n > < L a y e d O u t > t r u e < / L a y e d O u t > < / a : V a l u e > < / a : K e y V a l u e O f D i a g r a m O b j e c t K e y a n y T y p e z b w N T n L X > < a : K e y V a l u e O f D i a g r a m O b j e c t K e y a n y T y p e z b w N T n L X > < a : K e y > < K e y > C o l u m n s \ P r o d u c t i o n     U n i t s < / K e y > < / a : K e y > < a : V a l u e   i : t y p e = " M e a s u r e G r i d N o d e V i e w S t a t e " > < C o l u m n > 5 < / 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 C o l u m n s \ T o t a l   G J < / K e y > < / a : K e y > < a : V a l u e   i : t y p e = " M e a s u r e G r i d N o d e V i e w S t a t e " > < C o l u m n > 8 < / C o l u m n > < L a y e d O u t > t r u e < / L a y e d O u t > < / a : V a l u e > < / a : K e y V a l u e O f D i a g r a m O b j e c t K e y a n y T y p e z b w N T n L X > < a : K e y V a l u e O f D i a g r a m O b j e c t K e y a n y T y p e z b w N T n L X > < a : K e y > < K e y > C o l u m n s \ S c o p e   1   k g   C O 2 - e < / K e y > < / a : K e y > < a : V a l u e   i : t y p e = " M e a s u r e G r i d N o d e V i e w S t a t e " > < C o l u m n > 9 < / C o l u m n > < L a y e d O u t > t r u e < / L a y e d O u t > < / a : V a l u e > < / a : K e y V a l u e O f D i a g r a m O b j e c t K e y a n y T y p e z b w N T n L X > < a : K e y V a l u e O f D i a g r a m O b j e c t K e y a n y T y p e z b w N T n L X > < a : K e y > < K e y > C o l u m n s \ S c o p e   2   k g   C O 2 - e < / K e y > < / a : K e y > < a : V a l u e   i : t y p e = " M e a s u r e G r i d N o d e V i e w S t a t e " > < C o l u m n > 1 0 < / C o l u m n > < L a y e d O u t > t r u e < / L a y e d O u t > < / a : V a l u e > < / a : K e y V a l u e O f D i a g r a m O b j e c t K e y a n y T y p e z b w N T n L X > < a : K e y V a l u e O f D i a g r a m O b j e c t K e y a n y T y p e z b w N T n L X > < a : K e y > < K e y > C o l u m n s \ S c o p e   3   k g   C O 2 - e < / K e y > < / a : K e y > < a : V a l u e   i : t y p e = " M e a s u r e G r i d N o d e V i e w S t a t e " > < C o l u m n > 1 1 < / C o l u m n > < L a y e d O u t > t r u e < / L a y e d O u t > < / a : V a l u e > < / a : K e y V a l u e O f D i a g r a m O b j e c t K e y a n y T y p e z b w N T n L X > < a : K e y V a l u e O f D i a g r a m O b j e c t K e y a n y T y p e z b w N T n L X > < a : K e y > < K e y > C o l u m n s \ T o t a l   E m i s s i o n s < / K e y > < / a : K e y > < a : V a l u e   i : t y p e = " M e a s u r e G r i d N o d e V i e w S t a t e " > < C o l u m n > 1 2 < / C o l u m n > < L a y e d O u t > t r u e < / L a y e d O u t > < / a : V a l u e > < / a : K e y V a l u e O f D i a g r a m O b j e c t K e y a n y T y p e z b w N T n L X > < a : K e y V a l u e O f D i a g r a m O b j e c t K e y a n y T y p e z b w N T n L X > < a : K e y > < K e y > L i n k s \ & l t ; C o l u m n s \ S u m   o f   C o n s u m p t i o n   Q u a n t i t y   6 & g t ; - & l t ; M e a s u r e s \ C o n s u m p t i o n   Q u a n t i t y & g t ; < / K e y > < / a : K e y > < a : V a l u e   i : t y p e = " M e a s u r e G r i d V i e w S t a t e I D i a g r a m L i n k " / > < / a : K e y V a l u e O f D i a g r a m O b j e c t K e y a n y T y p e z b w N T n L X > < a : K e y V a l u e O f D i a g r a m O b j e c t K e y a n y T y p e z b w N T n L X > < a : K e y > < K e y > L i n k s \ & l t ; C o l u m n s \ S u m   o f   C o n s u m p t i o n   Q u a n t i t y   6 & g t ; - & l t ; M e a s u r e s \ C o n s u m p t i o n   Q u a n t i t y & g t ; \ C O L U M N < / K e y > < / a : K e y > < a : V a l u e   i : t y p e = " M e a s u r e G r i d V i e w S t a t e I D i a g r a m L i n k E n d p o i n t " / > < / a : K e y V a l u e O f D i a g r a m O b j e c t K e y a n y T y p e z b w N T n L X > < a : K e y V a l u e O f D i a g r a m O b j e c t K e y a n y T y p e z b w N T n L X > < a : K e y > < K e y > L i n k s \ & l t ; C o l u m n s \ S u m   o f   C o n s u m p t i o n   Q u a n t i t y   6 & g t ; - & l t ; M e a s u r e s \ C o n s u m p t i o n   Q u a n t i t y & g t ; \ M E A S U R E < / K e y > < / a : K e y > < a : V a l u e   i : t y p e = " M e a s u r e G r i d V i e w S t a t e I D i a g r a m L i n k E n d p o i n t " / > < / a : K e y V a l u e O f D i a g r a m O b j e c t K e y a n y T y p e z b w N T n L X > < a : K e y V a l u e O f D i a g r a m O b j e c t K e y a n y T y p e z b w N T n L X > < a : K e y > < K e y > L i n k s \ & l t ; C o l u m n s \ S u m   o f   T o t a l   G J   1 3 & g t ; - & l t ; M e a s u r e s \ T o t a l   G J & g t ; < / K e y > < / a : K e y > < a : V a l u e   i : t y p e = " M e a s u r e G r i d V i e w S t a t e I D i a g r a m L i n k " / > < / a : K e y V a l u e O f D i a g r a m O b j e c t K e y a n y T y p e z b w N T n L X > < a : K e y V a l u e O f D i a g r a m O b j e c t K e y a n y T y p e z b w N T n L X > < a : K e y > < K e y > L i n k s \ & l t ; C o l u m n s \ S u m   o f   T o t a l   G J   1 3 & g t ; - & l t ; M e a s u r e s \ T o t a l   G J & g t ; \ C O L U M N < / K e y > < / a : K e y > < a : V a l u e   i : t y p e = " M e a s u r e G r i d V i e w S t a t e I D i a g r a m L i n k E n d p o i n t " / > < / a : K e y V a l u e O f D i a g r a m O b j e c t K e y a n y T y p e z b w N T n L X > < a : K e y V a l u e O f D i a g r a m O b j e c t K e y a n y T y p e z b w N T n L X > < a : K e y > < K e y > L i n k s \ & l t ; C o l u m n s \ S u m   o f   T o t a l   G J   1 3 & g t ; - & l t ; M e a s u r e s \ T o t a l   G J & g t ; \ M E A S U R E < / K e y > < / a : K e y > < a : V a l u e   i : t y p e = " M e a s u r e G r i d V i e w S t a t e I D i a g r a m L i n k E n d p o i n t " / > < / a : K e y V a l u e O f D i a g r a m O b j e c t K e y a n y T y p e z b w N T n L X > < a : K e y V a l u e O f D i a g r a m O b j e c t K e y a n y T y p e z b w N T n L X > < a : K e y > < K e y > L i n k s \ & l t ; C o l u m n s \ S u m   o f   S c o p e   1   k g   C O 2 - e   1 3 & g t ; - & l t ; M e a s u r e s \ S c o p e   1   k g   C O 2 - e & g t ; < / K e y > < / a : K e y > < a : V a l u e   i : t y p e = " M e a s u r e G r i d V i e w S t a t e I D i a g r a m L i n k " / > < / a : K e y V a l u e O f D i a g r a m O b j e c t K e y a n y T y p e z b w N T n L X > < a : K e y V a l u e O f D i a g r a m O b j e c t K e y a n y T y p e z b w N T n L X > < a : K e y > < K e y > L i n k s \ & l t ; C o l u m n s \ S u m   o f   S c o p e   1   k g   C O 2 - e   1 3 & g t ; - & l t ; M e a s u r e s \ S c o p e   1   k g   C O 2 - e & g t ; \ C O L U M N < / K e y > < / a : K e y > < a : V a l u e   i : t y p e = " M e a s u r e G r i d V i e w S t a t e I D i a g r a m L i n k E n d p o i n t " / > < / a : K e y V a l u e O f D i a g r a m O b j e c t K e y a n y T y p e z b w N T n L X > < a : K e y V a l u e O f D i a g r a m O b j e c t K e y a n y T y p e z b w N T n L X > < a : K e y > < K e y > L i n k s \ & l t ; C o l u m n s \ S u m   o f   S c o p e   1   k g   C O 2 - e   1 3 & g t ; - & l t ; M e a s u r e s \ S c o p e   1   k g   C O 2 - e & g t ; \ M E A S U R E < / K e y > < / a : K e y > < a : V a l u e   i : t y p e = " M e a s u r e G r i d V i e w S t a t e I D i a g r a m L i n k E n d p o i n t " / > < / a : K e y V a l u e O f D i a g r a m O b j e c t K e y a n y T y p e z b w N T n L X > < a : K e y V a l u e O f D i a g r a m O b j e c t K e y a n y T y p e z b w N T n L X > < a : K e y > < K e y > L i n k s \ & l t ; C o l u m n s \ S u m   o f   S c o p e   2   k g   C O 2 - e   1 3 & g t ; - & l t ; M e a s u r e s \ S c o p e   2   k g   C O 2 - e & g t ; < / K e y > < / a : K e y > < a : V a l u e   i : t y p e = " M e a s u r e G r i d V i e w S t a t e I D i a g r a m L i n k " / > < / a : K e y V a l u e O f D i a g r a m O b j e c t K e y a n y T y p e z b w N T n L X > < a : K e y V a l u e O f D i a g r a m O b j e c t K e y a n y T y p e z b w N T n L X > < a : K e y > < K e y > L i n k s \ & l t ; C o l u m n s \ S u m   o f   S c o p e   2   k g   C O 2 - e   1 3 & g t ; - & l t ; M e a s u r e s \ S c o p e   2   k g   C O 2 - e & g t ; \ C O L U M N < / K e y > < / a : K e y > < a : V a l u e   i : t y p e = " M e a s u r e G r i d V i e w S t a t e I D i a g r a m L i n k E n d p o i n t " / > < / a : K e y V a l u e O f D i a g r a m O b j e c t K e y a n y T y p e z b w N T n L X > < a : K e y V a l u e O f D i a g r a m O b j e c t K e y a n y T y p e z b w N T n L X > < a : K e y > < K e y > L i n k s \ & l t ; C o l u m n s \ S u m   o f   S c o p e   2   k g   C O 2 - e   1 3 & g t ; - & l t ; M e a s u r e s \ S c o p e   2   k g   C O 2 - e & g t ; \ M E A S U R E < / K e y > < / a : K e y > < a : V a l u e   i : t y p e = " M e a s u r e G r i d V i e w S t a t e I D i a g r a m L i n k E n d p o i n t " / > < / a : K e y V a l u e O f D i a g r a m O b j e c t K e y a n y T y p e z b w N T n L X > < a : K e y V a l u e O f D i a g r a m O b j e c t K e y a n y T y p e z b w N T n L X > < a : K e y > < K e y > L i n k s \ & l t ; C o l u m n s \ S u m   o f   S c o p e   3   k g   C O 2 - e   1 3 & g t ; - & l t ; M e a s u r e s \ S c o p e   3   k g   C O 2 - e & g t ; < / K e y > < / a : K e y > < a : V a l u e   i : t y p e = " M e a s u r e G r i d V i e w S t a t e I D i a g r a m L i n k " / > < / a : K e y V a l u e O f D i a g r a m O b j e c t K e y a n y T y p e z b w N T n L X > < a : K e y V a l u e O f D i a g r a m O b j e c t K e y a n y T y p e z b w N T n L X > < a : K e y > < K e y > L i n k s \ & l t ; C o l u m n s \ S u m   o f   S c o p e   3   k g   C O 2 - e   1 3 & g t ; - & l t ; M e a s u r e s \ S c o p e   3   k g   C O 2 - e & g t ; \ C O L U M N < / K e y > < / a : K e y > < a : V a l u e   i : t y p e = " M e a s u r e G r i d V i e w S t a t e I D i a g r a m L i n k E n d p o i n t " / > < / a : K e y V a l u e O f D i a g r a m O b j e c t K e y a n y T y p e z b w N T n L X > < a : K e y V a l u e O f D i a g r a m O b j e c t K e y a n y T y p e z b w N T n L X > < a : K e y > < K e y > L i n k s \ & l t ; C o l u m n s \ S u m   o f   S c o p e   3   k g   C O 2 - e   1 3 & g t ; - & l t ; M e a s u r e s \ S c o p e   3   k g   C O 2 - e & g t ; \ M E A S U R E < / K e y > < / a : K e y > < a : V a l u e   i : t y p e = " M e a s u r e G r i d V i e w S t a t e I D i a g r a m L i n k E n d p o i n t " / > < / a : K e y V a l u e O f D i a g r a m O b j e c t K e y a n y T y p e z b w N T n L X > < a : K e y V a l u e O f D i a g r a m O b j e c t K e y a n y T y p e z b w N T n L X > < a : K e y > < K e y > L i n k s \ & l t ; C o l u m n s \ S u m   o f   T o t a l   E m i s s i o n s   1 3 & g t ; - & l t ; M e a s u r e s \ T o t a l   E m i s s i o n s & g t ; < / K e y > < / a : K e y > < a : V a l u e   i : t y p e = " M e a s u r e G r i d V i e w S t a t e I D i a g r a m L i n k " / > < / a : K e y V a l u e O f D i a g r a m O b j e c t K e y a n y T y p e z b w N T n L X > < a : K e y V a l u e O f D i a g r a m O b j e c t K e y a n y T y p e z b w N T n L X > < a : K e y > < K e y > L i n k s \ & l t ; C o l u m n s \ S u m   o f   T o t a l   E m i s s i o n s   1 3 & g t ; - & l t ; M e a s u r e s \ T o t a l   E m i s s i o n s & g t ; \ C O L U M N < / K e y > < / a : K e y > < a : V a l u e   i : t y p e = " M e a s u r e G r i d V i e w S t a t e I D i a g r a m L i n k E n d p o i n t " / > < / a : K e y V a l u e O f D i a g r a m O b j e c t K e y a n y T y p e z b w N T n L X > < a : K e y V a l u e O f D i a g r a m O b j e c t K e y a n y T y p e z b w N T n L X > < a : K e y > < K e y > L i n k s \ & l t ; C o l u m n s \ S u m   o f   T o t a l   E m i s s i o n s   1 3 & g t ; - & l t ; M e a s u r e s \ T o t a l   E m i s s i o n s & g t ; \ M E A S U R E < / K e y > < / a : K e y > < a : V a l u e   i : t y p e = " M e a s u r e G r i d V i e w S t a t e I D i a g r a m L i n k E n d p o i n t " / > < / a : K e y V a l u e O f D i a g r a m O b j e c t K e y a n y T y p e z b w N T n L X > < / V i e w S t a t e s > < / D i a g r a m M a n a g e r . S e r i a l i z a b l e D i a g r a m > < D i a g r a m M a n a g e r . S e r i a l i z a b l e D i a g r a m > < A d a p t e r   i : t y p e = " M e a s u r e D i a g r a m S a n d b o x A d a p t e r " > < T a b l e N a m e > B C A _ R e m o v a l 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 B C A _ R e m o v a l 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K e y > < / D i a g r a m O b j e c t K e y > < D i a g r a m O b j e c t K e y > < K e y > M e a s u r e s \ S u m   o f   C o n s u m p t i o n   Q u a n t i t y \ T a g I n f o \ F o r m u l a < / K e y > < / D i a g r a m O b j e c t K e y > < D i a g r a m O b j e c t K e y > < K e y > M e a s u r e s \ S u m   o f   S c o p e   2   k g   C O 2 - e   3 < / K e y > < / D i a g r a m O b j e c t K e y > < D i a g r a m O b j e c t K e y > < K e y > M e a s u r e s \ S u m   o f   S c o p e   2   k g   C O 2 - e   3 \ T a g I n f o \ F o r m u l a < / K e y > < / D i a g r a m O b j e c t K e y > < D i a g r a m O b j e c t K e y > < K e y > M e a s u r e s \ S u m   o f   T o t a l   G J   2 < / K e y > < / D i a g r a m O b j e c t K e y > < D i a g r a m O b j e c t K e y > < K e y > M e a s u r e s \ S u m   o f   T o t a l   G J   2 \ T a g I n f o \ F o r m u l a < / K e y > < / D i a g r a m O b j e c t K e y > < D i a g r a m O b j e c t K e y > < K e y > M e a s u r e s \ S u m   o f   S c o p e   1   k g   C O 2 - e   2 < / K e y > < / D i a g r a m O b j e c t K e y > < D i a g r a m O b j e c t K e y > < K e y > M e a s u r e s \ S u m   o f   S c o p e   1   k g   C O 2 - e   2 \ T a g I n f o \ F o r m u l a < / K e y > < / D i a g r a m O b j e c t K e y > < D i a g r a m O b j e c t K e y > < K e y > M e a s u r e s \ S u m   o f   S c o p e   3   k g   C O 2 - e   2 < / K e y > < / D i a g r a m O b j e c t K e y > < D i a g r a m O b j e c t K e y > < K e y > M e a s u r e s \ S u m   o f   S c o p e   3   k g   C O 2 - e   2 \ T a g I n f o \ F o r m u l a < / K e y > < / D i a g r a m O b j e c t K e y > < D i a g r a m O b j e c t K e y > < K e y > M e a s u r e s \ S u m   o f   T o t a l   E m i s s i o n s   2 < / K e y > < / D i a g r a m O b j e c t K e y > < D i a g r a m O b j e c t K e y > < K e y > M e a s u r e s \ S u m   o f   T o t a l   E m i s s i o n s   2 \ T a g I n f o \ F o r m u l a < / K e y > < / D i a g r a m O b j e c t K e y > < D i a g r a m O b j e c t K e y > < K e y > C o l u m n s \ R e p o r t i n g   A l i a s < / K e y > < / D i a g r a m O b j e c t K e y > < D i a g r a m O b j e c t K e y > < K e y > C o l u m n s \ C o n s u m p t i o n   Q u a n t i t y < / K e y > < / D i a g r a m O b j e c t K e y > < D i a g r a m O b j e c t K e y > < K e y > C o l u m n s \ S c o p e   2   k g   C O 2 - e < / K e y > < / D i a g r a m O b j e c t K e y > < D i a g r a m O b j e c t K e y > < K e y > C o l u m n s \ S c o p e   1   k g   C O 2 - e < / K e y > < / D i a g r a m O b j e c t K e y > < D i a g r a m O b j e c t K e y > < K e y > C o l u m n s \ S c o p e   3   k g   C O 2 - e < / K e y > < / D i a g r a m O b j e c t K e y > < D i a g r a m O b j e c t K e y > < K e y > C o l u m n s \ T o t a l   G J < / K e y > < / D i a g r a m O b j e c t K e y > < D i a g r a m O b j e c t K e y > < K e y > C o l u m n s \ T o t a l   E m i s s i o n s < / K e y > < / D i a g r a m O b j e c t K e y > < D i a g r a m O b j e c t K e y > < K e y > L i n k s \ & l t ; C o l u m n s \ S u m   o f   C o n s u m p t i o n   Q u a n t i t y & g t ; - & l t ; M e a s u r e s \ C o n s u m p t i o n   Q u a n t i t y & g t ; < / K e y > < / D i a g r a m O b j e c t K e y > < D i a g r a m O b j e c t K e y > < K e y > L i n k s \ & l t ; C o l u m n s \ S u m   o f   C o n s u m p t i o n   Q u a n t i t y & g t ; - & l t ; M e a s u r e s \ C o n s u m p t i o n   Q u a n t i t y & g t ; \ C O L U M N < / K e y > < / D i a g r a m O b j e c t K e y > < D i a g r a m O b j e c t K e y > < K e y > L i n k s \ & l t ; C o l u m n s \ S u m   o f   C o n s u m p t i o n   Q u a n t i t y & g t ; - & l t ; M e a s u r e s \ C o n s u m p t i o n   Q u a n t i t y & g t ; \ M E A S U R E < / K e y > < / D i a g r a m O b j e c t K e y > < D i a g r a m O b j e c t K e y > < K e y > L i n k s \ & l t ; C o l u m n s \ S u m   o f   S c o p e   2   k g   C O 2 - e   3 & g t ; - & l t ; M e a s u r e s \ S c o p e   2   k g   C O 2 - e & g t ; < / K e y > < / D i a g r a m O b j e c t K e y > < D i a g r a m O b j e c t K e y > < K e y > L i n k s \ & l t ; C o l u m n s \ S u m   o f   S c o p e   2   k g   C O 2 - e   3 & g t ; - & l t ; M e a s u r e s \ S c o p e   2   k g   C O 2 - e & g t ; \ C O L U M N < / K e y > < / D i a g r a m O b j e c t K e y > < D i a g r a m O b j e c t K e y > < K e y > L i n k s \ & l t ; C o l u m n s \ S u m   o f   S c o p e   2   k g   C O 2 - e   3 & g t ; - & l t ; M e a s u r e s \ S c o p e   2   k g   C O 2 - e & g t ; \ M E A S U R E < / K e y > < / D i a g r a m O b j e c t K e y > < D i a g r a m O b j e c t K e y > < K e y > L i n k s \ & l t ; C o l u m n s \ S u m   o f   T o t a l   G J   2 & g t ; - & l t ; M e a s u r e s \ T o t a l   G J & g t ; < / K e y > < / D i a g r a m O b j e c t K e y > < D i a g r a m O b j e c t K e y > < K e y > L i n k s \ & l t ; C o l u m n s \ S u m   o f   T o t a l   G J   2 & g t ; - & l t ; M e a s u r e s \ T o t a l   G J & g t ; \ C O L U M N < / K e y > < / D i a g r a m O b j e c t K e y > < D i a g r a m O b j e c t K e y > < K e y > L i n k s \ & l t ; C o l u m n s \ S u m   o f   T o t a l   G J   2 & g t ; - & l t ; M e a s u r e s \ T o t a l   G J & g t ; \ M E A S U R E < / K e y > < / D i a g r a m O b j e c t K e y > < D i a g r a m O b j e c t K e y > < K e y > L i n k s \ & l t ; C o l u m n s \ S u m   o f   S c o p e   1   k g   C O 2 - e   2 & g t ; - & l t ; M e a s u r e s \ S c o p e   1   k g   C O 2 - e & g t ; < / K e y > < / D i a g r a m O b j e c t K e y > < D i a g r a m O b j e c t K e y > < K e y > L i n k s \ & l t ; C o l u m n s \ S u m   o f   S c o p e   1   k g   C O 2 - e   2 & g t ; - & l t ; M e a s u r e s \ S c o p e   1   k g   C O 2 - e & g t ; \ C O L U M N < / K e y > < / D i a g r a m O b j e c t K e y > < D i a g r a m O b j e c t K e y > < K e y > L i n k s \ & l t ; C o l u m n s \ S u m   o f   S c o p e   1   k g   C O 2 - e   2 & g t ; - & l t ; M e a s u r e s \ S c o p e   1   k g   C O 2 - e & g t ; \ M E A S U R E < / K e y > < / D i a g r a m O b j e c t K e y > < D i a g r a m O b j e c t K e y > < K e y > L i n k s \ & l t ; C o l u m n s \ S u m   o f   S c o p e   3   k g   C O 2 - e   2 & g t ; - & l t ; M e a s u r e s \ S c o p e   3   k g   C O 2 - e & g t ; < / K e y > < / D i a g r a m O b j e c t K e y > < D i a g r a m O b j e c t K e y > < K e y > L i n k s \ & l t ; C o l u m n s \ S u m   o f   S c o p e   3   k g   C O 2 - e   2 & g t ; - & l t ; M e a s u r e s \ S c o p e   3   k g   C O 2 - e & g t ; \ C O L U M N < / K e y > < / D i a g r a m O b j e c t K e y > < D i a g r a m O b j e c t K e y > < K e y > L i n k s \ & l t ; C o l u m n s \ S u m   o f   S c o p e   3   k g   C O 2 - e   2 & g t ; - & l t ; M e a s u r e s \ S c o p e   3   k g   C O 2 - e & g t ; \ M E A S U R E < / K e y > < / D i a g r a m O b j e c t K e y > < D i a g r a m O b j e c t K e y > < K e y > L i n k s \ & l t ; C o l u m n s \ S u m   o f   T o t a l   E m i s s i o n s   2 & g t ; - & l t ; M e a s u r e s \ T o t a l   E m i s s i o n s & g t ; < / K e y > < / D i a g r a m O b j e c t K e y > < D i a g r a m O b j e c t K e y > < K e y > L i n k s \ & l t ; C o l u m n s \ S u m   o f   T o t a l   E m i s s i o n s   2 & g t ; - & l t ; M e a s u r e s \ T o t a l   E m i s s i o n s & g t ; \ C O L U M N < / K e y > < / D i a g r a m O b j e c t K e y > < D i a g r a m O b j e c t K e y > < K e y > L i n k s \ & l t ; C o l u m n s \ S u m   o f   T o t a l   E m i s s i o n s   2 & g t ; - & l t ; M e a s u r e s \ T o t a l 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K e y > < / a : K e y > < a : V a l u e   i : t y p e = " M e a s u r e G r i d N o d e V i e w S t a t e " > < C o l u m n > 1 < / C o l u m n > < L a y e d O u t > t r u e < / L a y e d O u t > < W a s U I I n v i s i b l e > t r u e < / W a s U I I n v i s i b l e > < / a : V a l u e > < / a : K e y V a l u e O f D i a g r a m O b j e c t K e y a n y T y p e z b w N T n L X > < a : K e y V a l u e O f D i a g r a m O b j e c t K e y a n y T y p e z b w N T n L X > < a : K e y > < K e y > M e a s u r e s \ S u m   o f   C o n s u m p t i o n   Q u a n t i t y \ T a g I n f o \ F o r m u l a < / K e y > < / a : K e y > < a : V a l u e   i : t y p e = " M e a s u r e G r i d V i e w S t a t e I D i a g r a m T a g A d d i t i o n a l I n f o " / > < / a : K e y V a l u e O f D i a g r a m O b j e c t K e y a n y T y p e z b w N T n L X > < a : K e y V a l u e O f D i a g r a m O b j e c t K e y a n y T y p e z b w N T n L X > < a : K e y > < K e y > M e a s u r e s \ S u m   o f   S c o p e   2   k g   C O 2 - e   3 < / K e y > < / a : K e y > < a : V a l u e   i : t y p e = " M e a s u r e G r i d N o d e V i e w S t a t e " > < C o l u m n > 2 < / C o l u m n > < L a y e d O u t > t r u e < / L a y e d O u t > < W a s U I I n v i s i b l e > t r u e < / W a s U I I n v i s i b l e > < / a : V a l u e > < / a : K e y V a l u e O f D i a g r a m O b j e c t K e y a n y T y p e z b w N T n L X > < a : K e y V a l u e O f D i a g r a m O b j e c t K e y a n y T y p e z b w N T n L X > < a : K e y > < K e y > M e a s u r e s \ S u m   o f   S c o p e   2   k g   C O 2 - e   3 \ T a g I n f o \ F o r m u l a < / K e y > < / a : K e y > < a : V a l u e   i : t y p e = " M e a s u r e G r i d V i e w S t a t e I D i a g r a m T a g A d d i t i o n a l I n f o " / > < / a : K e y V a l u e O f D i a g r a m O b j e c t K e y a n y T y p e z b w N T n L X > < a : K e y V a l u e O f D i a g r a m O b j e c t K e y a n y T y p e z b w N T n L X > < a : K e y > < K e y > M e a s u r e s \ S u m   o f   T o t a l   G J   2 < / K e y > < / a : K e y > < a : V a l u e   i : t y p e = " M e a s u r e G r i d N o d e V i e w S t a t e " > < C o l u m n > 5 < / C o l u m n > < L a y e d O u t > t r u e < / L a y e d O u t > < W a s U I I n v i s i b l e > t r u e < / W a s U I I n v i s i b l e > < / a : V a l u e > < / a : K e y V a l u e O f D i a g r a m O b j e c t K e y a n y T y p e z b w N T n L X > < a : K e y V a l u e O f D i a g r a m O b j e c t K e y a n y T y p e z b w N T n L X > < a : K e y > < K e y > M e a s u r e s \ S u m   o f   T o t a l   G J   2 \ T a g I n f o \ F o r m u l a < / K e y > < / a : K e y > < a : V a l u e   i : t y p e = " M e a s u r e G r i d V i e w S t a t e I D i a g r a m T a g A d d i t i o n a l I n f o " / > < / a : K e y V a l u e O f D i a g r a m O b j e c t K e y a n y T y p e z b w N T n L X > < a : K e y V a l u e O f D i a g r a m O b j e c t K e y a n y T y p e z b w N T n L X > < a : K e y > < K e y > M e a s u r e s \ S u m   o f   S c o p e   1   k g   C O 2 - e   2 < / K e y > < / a : K e y > < a : V a l u e   i : t y p e = " M e a s u r e G r i d N o d e V i e w S t a t e " > < C o l u m n > 3 < / C o l u m n > < L a y e d O u t > t r u e < / L a y e d O u t > < W a s U I I n v i s i b l e > t r u e < / W a s U I I n v i s i b l e > < / a : V a l u e > < / a : K e y V a l u e O f D i a g r a m O b j e c t K e y a n y T y p e z b w N T n L X > < a : K e y V a l u e O f D i a g r a m O b j e c t K e y a n y T y p e z b w N T n L X > < a : K e y > < K e y > M e a s u r e s \ S u m   o f   S c o p e   1   k g   C O 2 - e   2 \ T a g I n f o \ F o r m u l a < / K e y > < / a : K e y > < a : V a l u e   i : t y p e = " M e a s u r e G r i d V i e w S t a t e I D i a g r a m T a g A d d i t i o n a l I n f o " / > < / a : K e y V a l u e O f D i a g r a m O b j e c t K e y a n y T y p e z b w N T n L X > < a : K e y V a l u e O f D i a g r a m O b j e c t K e y a n y T y p e z b w N T n L X > < a : K e y > < K e y > M e a s u r e s \ S u m   o f   S c o p e   3   k g   C O 2 - e   2 < / K e y > < / a : K e y > < a : V a l u e   i : t y p e = " M e a s u r e G r i d N o d e V i e w S t a t e " > < C o l u m n > 4 < / C o l u m n > < L a y e d O u t > t r u e < / L a y e d O u t > < W a s U I I n v i s i b l e > t r u e < / W a s U I I n v i s i b l e > < / a : V a l u e > < / a : K e y V a l u e O f D i a g r a m O b j e c t K e y a n y T y p e z b w N T n L X > < a : K e y V a l u e O f D i a g r a m O b j e c t K e y a n y T y p e z b w N T n L X > < a : K e y > < K e y > M e a s u r e s \ S u m   o f   S c o p e   3   k g   C O 2 - e   2 \ T a g I n f o \ F o r m u l a < / K e y > < / a : K e y > < a : V a l u e   i : t y p e = " M e a s u r e G r i d V i e w S t a t e I D i a g r a m T a g A d d i t i o n a l I n f o " / > < / a : K e y V a l u e O f D i a g r a m O b j e c t K e y a n y T y p e z b w N T n L X > < a : K e y V a l u e O f D i a g r a m O b j e c t K e y a n y T y p e z b w N T n L X > < a : K e y > < K e y > M e a s u r e s \ S u m   o f   T o t a l   E m i s s i o n s   2 < / K e y > < / a : K e y > < a : V a l u e   i : t y p e = " M e a s u r e G r i d N o d e V i e w S t a t e " > < C o l u m n > 6 < / C o l u m n > < L a y e d O u t > t r u e < / L a y e d O u t > < W a s U I I n v i s i b l e > t r u e < / W a s U I I n v i s i b l e > < / a : V a l u e > < / a : K e y V a l u e O f D i a g r a m O b j e c t K e y a n y T y p e z b w N T n L X > < a : K e y V a l u e O f D i a g r a m O b j e c t K e y a n y T y p e z b w N T n L X > < a : K e y > < K e y > M e a s u r e s \ S u m   o f   T o t a l   E m i s s i o n s   2 \ T a g I n f o \ F o r m u l a < / 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 C o l u m n s \ C o n s u m p t i o n   Q u a n t i t y < / K e y > < / a : K e y > < a : V a l u e   i : t y p e = " M e a s u r e G r i d N o d e V i e w S t a t e " > < C o l u m n > 1 < / C o l u m n > < L a y e d O u t > t r u e < / L a y e d O u t > < / a : V a l u e > < / a : K e y V a l u e O f D i a g r a m O b j e c t K e y a n y T y p e z b w N T n L X > < a : K e y V a l u e O f D i a g r a m O b j e c t K e y a n y T y p e z b w N T n L X > < a : K e y > < K e y > C o l u m n s \ S c o p e   2   k g   C O 2 - e < / K e y > < / a : K e y > < a : V a l u e   i : t y p e = " M e a s u r e G r i d N o d e V i e w S t a t e " > < C o l u m n > 2 < / C o l u m n > < L a y e d O u t > t r u e < / L a y e d O u t > < / a : V a l u e > < / a : K e y V a l u e O f D i a g r a m O b j e c t K e y a n y T y p e z b w N T n L X > < a : K e y V a l u e O f D i a g r a m O b j e c t K e y a n y T y p e z b w N T n L X > < a : K e y > < K e y > C o l u m n s \ S c o p e   1   k g   C O 2 - e < / K e y > < / a : K e y > < a : V a l u e   i : t y p e = " M e a s u r e G r i d N o d e V i e w S t a t e " > < C o l u m n > 3 < / C o l u m n > < L a y e d O u t > t r u e < / L a y e d O u t > < / a : V a l u e > < / a : K e y V a l u e O f D i a g r a m O b j e c t K e y a n y T y p e z b w N T n L X > < a : K e y V a l u e O f D i a g r a m O b j e c t K e y a n y T y p e z b w N T n L X > < a : K e y > < K e y > C o l u m n s \ S c o p e   3   k g   C O 2 - e < / K e y > < / a : K e y > < a : V a l u e   i : t y p e = " M e a s u r e G r i d N o d e V i e w S t a t e " > < C o l u m n > 4 < / C o l u m n > < L a y e d O u t > t r u e < / L a y e d O u t > < / a : V a l u e > < / a : K e y V a l u e O f D i a g r a m O b j e c t K e y a n y T y p e z b w N T n L X > < a : K e y V a l u e O f D i a g r a m O b j e c t K e y a n y T y p e z b w N T n L X > < a : K e y > < K e y > C o l u m n s \ T o t a l   G J < / K e y > < / a : K e y > < a : V a l u e   i : t y p e = " M e a s u r e G r i d N o d e V i e w S t a t e " > < C o l u m n > 5 < / C o l u m n > < L a y e d O u t > t r u e < / L a y e d O u t > < / a : V a l u e > < / a : K e y V a l u e O f D i a g r a m O b j e c t K e y a n y T y p e z b w N T n L X > < a : K e y V a l u e O f D i a g r a m O b j e c t K e y a n y T y p e z b w N T n L X > < a : K e y > < K e y > C o l u m n s \ T o t a l   E m i s s i o n s < / K e y > < / a : K e y > < a : V a l u e   i : t y p e = " M e a s u r e G r i d N o d e V i e w S t a t e " > < C o l u m n > 6 < / C o l u m n > < L a y e d O u t > t r u e < / L a y e d O u t > < / a : V a l u e > < / a : K e y V a l u e O f D i a g r a m O b j e c t K e y a n y T y p e z b w N T n L X > < a : K e y V a l u e O f D i a g r a m O b j e c t K e y a n y T y p e z b w N T n L X > < a : K e y > < K e y > L i n k s \ & l t ; C o l u m n s \ S u m   o f   C o n s u m p t i o n   Q u a n t i t y & g t ; - & l t ; M e a s u r e s \ C o n s u m p t i o n   Q u a n t i t y & g t ; < / K e y > < / a : K e y > < a : V a l u e   i : t y p e = " M e a s u r e G r i d V i e w S t a t e I D i a g r a m L i n k " / > < / a : K e y V a l u e O f D i a g r a m O b j e c t K e y a n y T y p e z b w N T n L X > < a : K e y V a l u e O f D i a g r a m O b j e c t K e y a n y T y p e z b w N T n L X > < a : K e y > < K e y > L i n k s \ & l t ; C o l u m n s \ S u m   o f   C o n s u m p t i o n   Q u a n t i t y & g t ; - & l t ; M e a s u r e s \ C o n s u m p t i o n   Q u a n t i t y & g t ; \ C O L U M N < / K e y > < / a : K e y > < a : V a l u e   i : t y p e = " M e a s u r e G r i d V i e w S t a t e I D i a g r a m L i n k E n d p o i n t " / > < / a : K e y V a l u e O f D i a g r a m O b j e c t K e y a n y T y p e z b w N T n L X > < a : K e y V a l u e O f D i a g r a m O b j e c t K e y a n y T y p e z b w N T n L X > < a : K e y > < K e y > L i n k s \ & l t ; C o l u m n s \ S u m   o f   C o n s u m p t i o n   Q u a n t i t y & g t ; - & l t ; M e a s u r e s \ C o n s u m p t i o n   Q u a n t i t y & g t ; \ M E A S U R E < / K e y > < / a : K e y > < a : V a l u e   i : t y p e = " M e a s u r e G r i d V i e w S t a t e I D i a g r a m L i n k E n d p o i n t " / > < / a : K e y V a l u e O f D i a g r a m O b j e c t K e y a n y T y p e z b w N T n L X > < a : K e y V a l u e O f D i a g r a m O b j e c t K e y a n y T y p e z b w N T n L X > < a : K e y > < K e y > L i n k s \ & l t ; C o l u m n s \ S u m   o f   S c o p e   2   k g   C O 2 - e   3 & g t ; - & l t ; M e a s u r e s \ S c o p e   2   k g   C O 2 - e & g t ; < / K e y > < / a : K e y > < a : V a l u e   i : t y p e = " M e a s u r e G r i d V i e w S t a t e I D i a g r a m L i n k " / > < / a : K e y V a l u e O f D i a g r a m O b j e c t K e y a n y T y p e z b w N T n L X > < a : K e y V a l u e O f D i a g r a m O b j e c t K e y a n y T y p e z b w N T n L X > < a : K e y > < K e y > L i n k s \ & l t ; C o l u m n s \ S u m   o f   S c o p e   2   k g   C O 2 - e   3 & g t ; - & l t ; M e a s u r e s \ S c o p e   2   k g   C O 2 - e & g t ; \ C O L U M N < / K e y > < / a : K e y > < a : V a l u e   i : t y p e = " M e a s u r e G r i d V i e w S t a t e I D i a g r a m L i n k E n d p o i n t " / > < / a : K e y V a l u e O f D i a g r a m O b j e c t K e y a n y T y p e z b w N T n L X > < a : K e y V a l u e O f D i a g r a m O b j e c t K e y a n y T y p e z b w N T n L X > < a : K e y > < K e y > L i n k s \ & l t ; C o l u m n s \ S u m   o f   S c o p e   2   k g   C O 2 - e   3 & g t ; - & l t ; M e a s u r e s \ S c o p e   2   k g   C O 2 - e & g t ; \ M E A S U R E < / K e y > < / a : K e y > < a : V a l u e   i : t y p e = " M e a s u r e G r i d V i e w S t a t e I D i a g r a m L i n k E n d p o i n t " / > < / a : K e y V a l u e O f D i a g r a m O b j e c t K e y a n y T y p e z b w N T n L X > < a : K e y V a l u e O f D i a g r a m O b j e c t K e y a n y T y p e z b w N T n L X > < a : K e y > < K e y > L i n k s \ & l t ; C o l u m n s \ S u m   o f   T o t a l   G J   2 & g t ; - & l t ; M e a s u r e s \ T o t a l   G J & g t ; < / K e y > < / a : K e y > < a : V a l u e   i : t y p e = " M e a s u r e G r i d V i e w S t a t e I D i a g r a m L i n k " / > < / a : K e y V a l u e O f D i a g r a m O b j e c t K e y a n y T y p e z b w N T n L X > < a : K e y V a l u e O f D i a g r a m O b j e c t K e y a n y T y p e z b w N T n L X > < a : K e y > < K e y > L i n k s \ & l t ; C o l u m n s \ S u m   o f   T o t a l   G J   2 & g t ; - & l t ; M e a s u r e s \ T o t a l   G J & g t ; \ C O L U M N < / K e y > < / a : K e y > < a : V a l u e   i : t y p e = " M e a s u r e G r i d V i e w S t a t e I D i a g r a m L i n k E n d p o i n t " / > < / a : K e y V a l u e O f D i a g r a m O b j e c t K e y a n y T y p e z b w N T n L X > < a : K e y V a l u e O f D i a g r a m O b j e c t K e y a n y T y p e z b w N T n L X > < a : K e y > < K e y > L i n k s \ & l t ; C o l u m n s \ S u m   o f   T o t a l   G J   2 & g t ; - & l t ; M e a s u r e s \ T o t a l   G J & g t ; \ M E A S U R E < / K e y > < / a : K e y > < a : V a l u e   i : t y p e = " M e a s u r e G r i d V i e w S t a t e I D i a g r a m L i n k E n d p o i n t " / > < / a : K e y V a l u e O f D i a g r a m O b j e c t K e y a n y T y p e z b w N T n L X > < a : K e y V a l u e O f D i a g r a m O b j e c t K e y a n y T y p e z b w N T n L X > < a : K e y > < K e y > L i n k s \ & l t ; C o l u m n s \ S u m   o f   S c o p e   1   k g   C O 2 - e   2 & g t ; - & l t ; M e a s u r e s \ S c o p e   1   k g   C O 2 - e & g t ; < / K e y > < / a : K e y > < a : V a l u e   i : t y p e = " M e a s u r e G r i d V i e w S t a t e I D i a g r a m L i n k " / > < / a : K e y V a l u e O f D i a g r a m O b j e c t K e y a n y T y p e z b w N T n L X > < a : K e y V a l u e O f D i a g r a m O b j e c t K e y a n y T y p e z b w N T n L X > < a : K e y > < K e y > L i n k s \ & l t ; C o l u m n s \ S u m   o f   S c o p e   1   k g   C O 2 - e   2 & g t ; - & l t ; M e a s u r e s \ S c o p e   1   k g   C O 2 - e & g t ; \ C O L U M N < / K e y > < / a : K e y > < a : V a l u e   i : t y p e = " M e a s u r e G r i d V i e w S t a t e I D i a g r a m L i n k E n d p o i n t " / > < / a : K e y V a l u e O f D i a g r a m O b j e c t K e y a n y T y p e z b w N T n L X > < a : K e y V a l u e O f D i a g r a m O b j e c t K e y a n y T y p e z b w N T n L X > < a : K e y > < K e y > L i n k s \ & l t ; C o l u m n s \ S u m   o f   S c o p e   1   k g   C O 2 - e   2 & g t ; - & l t ; M e a s u r e s \ S c o p e   1   k g   C O 2 - e & g t ; \ M E A S U R E < / K e y > < / a : K e y > < a : V a l u e   i : t y p e = " M e a s u r e G r i d V i e w S t a t e I D i a g r a m L i n k E n d p o i n t " / > < / a : K e y V a l u e O f D i a g r a m O b j e c t K e y a n y T y p e z b w N T n L X > < a : K e y V a l u e O f D i a g r a m O b j e c t K e y a n y T y p e z b w N T n L X > < a : K e y > < K e y > L i n k s \ & l t ; C o l u m n s \ S u m   o f   S c o p e   3   k g   C O 2 - e   2 & g t ; - & l t ; M e a s u r e s \ S c o p e   3   k g   C O 2 - e & g t ; < / K e y > < / a : K e y > < a : V a l u e   i : t y p e = " M e a s u r e G r i d V i e w S t a t e I D i a g r a m L i n k " / > < / a : K e y V a l u e O f D i a g r a m O b j e c t K e y a n y T y p e z b w N T n L X > < a : K e y V a l u e O f D i a g r a m O b j e c t K e y a n y T y p e z b w N T n L X > < a : K e y > < K e y > L i n k s \ & l t ; C o l u m n s \ S u m   o f   S c o p e   3   k g   C O 2 - e   2 & g t ; - & l t ; M e a s u r e s \ S c o p e   3   k g   C O 2 - e & g t ; \ C O L U M N < / K e y > < / a : K e y > < a : V a l u e   i : t y p e = " M e a s u r e G r i d V i e w S t a t e I D i a g r a m L i n k E n d p o i n t " / > < / a : K e y V a l u e O f D i a g r a m O b j e c t K e y a n y T y p e z b w N T n L X > < a : K e y V a l u e O f D i a g r a m O b j e c t K e y a n y T y p e z b w N T n L X > < a : K e y > < K e y > L i n k s \ & l t ; C o l u m n s \ S u m   o f   S c o p e   3   k g   C O 2 - e   2 & g t ; - & l t ; M e a s u r e s \ S c o p e   3   k g   C O 2 - e & g t ; \ M E A S U R E < / K e y > < / a : K e y > < a : V a l u e   i : t y p e = " M e a s u r e G r i d V i e w S t a t e I D i a g r a m L i n k E n d p o i n t " / > < / a : K e y V a l u e O f D i a g r a m O b j e c t K e y a n y T y p e z b w N T n L X > < a : K e y V a l u e O f D i a g r a m O b j e c t K e y a n y T y p e z b w N T n L X > < a : K e y > < K e y > L i n k s \ & l t ; C o l u m n s \ S u m   o f   T o t a l   E m i s s i o n s   2 & g t ; - & l t ; M e a s u r e s \ T o t a l   E m i s s i o n s & g t ; < / K e y > < / a : K e y > < a : V a l u e   i : t y p e = " M e a s u r e G r i d V i e w S t a t e I D i a g r a m L i n k " / > < / a : K e y V a l u e O f D i a g r a m O b j e c t K e y a n y T y p e z b w N T n L X > < a : K e y V a l u e O f D i a g r a m O b j e c t K e y a n y T y p e z b w N T n L X > < a : K e y > < K e y > L i n k s \ & l t ; C o l u m n s \ S u m   o f   T o t a l   E m i s s i o n s   2 & g t ; - & l t ; M e a s u r e s \ T o t a l   E m i s s i o n s & g t ; \ C O L U M N < / K e y > < / a : K e y > < a : V a l u e   i : t y p e = " M e a s u r e G r i d V i e w S t a t e I D i a g r a m L i n k E n d p o i n t " / > < / a : K e y V a l u e O f D i a g r a m O b j e c t K e y a n y T y p e z b w N T n L X > < a : K e y V a l u e O f D i a g r a m O b j e c t K e y a n y T y p e z b w N T n L X > < a : K e y > < K e y > L i n k s \ & l t ; C o l u m n s \ S u m   o f   T o t a l   E m i s s i o n s   2 & g t ; - & l t ; M e a s u r e s \ T o t a l   E m i s s i o n s & g t ; \ M E A S U R E < / K e y > < / a : K e y > < a : V a l u e   i : t y p e = " M e a s u r e G r i d V i e w S t a t e I D i a g r a m L i n k E n d p o i n t " / > < / 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V i e w S t a t e s > < / D i a g r a m M a n a g e r . S e r i a l i z a b l e D i a g r a m > < / A r r a y O f D i a g r a m M a n a g e r . S e r i a l i z a b l e D i a g r a m > ] ] > < / C u s t o m C o n t e n t > < / G e m i n i > 
</file>

<file path=customXml/item83.xml>��< ? x m l   v e r s i o n = " 1 . 0 "   e n c o d i n g = " U T F - 1 6 " ? > < G e m i n i   x m l n s = " h t t p : / / g e m i n i / p i v o t c u s t o m i z a t i o n / c 6 6 4 3 8 8 5 - b 8 b 9 - 4 1 1 1 - 9 1 c 3 - a 0 a a d b c e 2 8 1 0 " > < C u s t o m C o n t e n t > < ! [ C D A T A [ < ? x m l   v e r s i o n = " 1 . 0 "   e n c o d i n g = " u t f - 1 6 " ? > < S e t t i n g s > < H S l i c e r s S h a p e > 0 ; 0 ; 0 ; 0 < / H S l i c e r s S h a p e > < V S l i c e r s S h a p e > 0 ; 0 ; 0 ; 0 < / V S l i c e r s S h a p e > < S l i c e r S h e e t N a m e > L e v e l   3   E E R S   E n t r y < / S l i c e r S h e e t N a m e > < S A H o s t H a s h > 1 5 4 7 1 9 6 2 7 4 < / S A H o s t H a s h > < G e m i n i F i e l d L i s t V i s i b l e > T r u e < / G e m i n i F i e l d L i s t V i s i b l e > < / S e t t i n g s > ] ] > < / C u s t o m C o n t e n t > < / G e m i n i > 
</file>

<file path=customXml/item84.xml>��< ? x m l   v e r s i o n = " 1 . 0 "   e n c o d i n g = " U T F - 1 6 " ? > < G e m i n i   x m l n s = " h t t p : / / g e m i n i / p i v o t c u s t o m i z a t i o n / L i n k e d T a b l e U p d a t e M o d e " > < C u s t o m C o n t e n t > < ! [ C D A T A [ T r u e ] ] > < / C u s t o m C o n t e n t > < / G e m i n i > 
</file>

<file path=customXml/item85.xml>��< ? x m l   v e r s i o n = " 1 . 0 "   e n c o d i n g = " U T F - 1 6 " ? > < G e m i n i   x m l n s = " h t t p : / / g e m i n i / p i v o t c u s t o m i z a t i o n / T a b l e X M L _ S E _ G a s - 4 c 5 7 c d 2 8 - 4 9 3 1 - 4 a 4 a - a 7 e 7 - 9 9 9 a 8 d d d b 6 7 f " > < 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S t a t e & l t ; / s t r i n g & g t ; & l t ; / k e y & g t ; & l t ; v a l u e & g t ; & l t ; i n t & g t ; 6 8 & l t ; / i n t & g t ; & l t ; / v a l u e & g t ; & l t ; / i t e m & g t ; & l t ; i t e m & g t ; & l t ; k e y & g t ; & l t ; s t r i n g & g t ; C o n s u m p t i o n   Q u a n i t y & l t ; / s t r i n g & g t ; & l t ; / k e y & g t ; & l t ; v a l u e & g t ; & l t ; i n t & g t ; 1 7 0 & 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 G J & l t ; / s t r i n g & g t ; & l t ; / k e y & g t ; & l t ; v a l u e & g t ; & l t ; i n t & g t ; 1 5 6 & l t ; / i n t & g t ; & l t ; / v a l u e & g t ; & l t ; / i t e m & g t ; & l t ; i t e m & g t ; & l t ; k e y & g t ; & l t ; s t r i n g & g t ; T o t a l 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S t a t e & l t ; / s t r i n g & g t ; & l t ; / k e y & g t ; & l t ; v a l u e & g t ; & l t ; i n t & g t ; 1 & l t ; / i n t & g t ; & l t ; / v a l u e & g t ; & l t ; / i t e m & g t ; & l t ; i t e m & g t ; & l t ; k e y & g t ; & l t ; s t r i n g & g t ; C o n s u m p t i o n   Q u a n i t y & l t ; / s t r i n g & g t ; & l t ; / k e y & g t ; & l t ; v a l u e & g t ; & l t ; i n t & g t ; 2 & l t ; / i n t & g t ; & l t ; / v a l u e & g t ; & l t ; / i t e m & g t ; & l t ; i t e m & g t ; & l t ; k e y & g t ; & l t ; s t r i n g & g t ; S c o p e   1   k g   C O 2 - e & l t ; / s t r i n g & g t ; & l t ; / k e y & g t ; & l t ; v a l u e & g t ; & l t ; i n t & g t ; 3 & l t ; / i n t & g t ; & l t ; / v a l u e & g t ; & l t ; / i t e m & g t ; & l t ; i t e m & g t ; & l t ; k e y & g t ; & l t ; s t r i n g & g t ; S c o p e   2   k g   C O 2 - e & l t ; / s t r i n g & g t ; & l t ; / k e y & g t ; & l t ; v a l u e & g t ; & l t ; i n t & g t ; 4 & l t ; / i n t & g t ; & l t ; / v a l u e & g t ; & l t ; / i t e m & g t ; & l t ; i t e m & g t ; & l t ; k e y & g t ; & l t ; s t r i n g & g t ; S c o p e   3   k g   C O 2 - e & l t ; / s t r i n g & g t ; & l t ; / k e y & g t ; & l t ; v a l u e & g t ; & l t ; i n t & g t ; 5 & l t ; / i n t & g t ; & l t ; / v a l u e & g t ; & l t ; / i t e m & g t ; & l t ; i t e m & g t ; & l t ; k e y & g t ; & l t ; s t r i n g & g t ; T o t a l   G J & l t ; / s t r i n g & g t ; & l t ; / k e y & g t ; & l t ; v a l u e & g t ; & l t ; i n t & g t ; 6 & l t ; / i n t & g t ; & l t ; / v a l u e & g t ; & l t ; / i t e m & g t ; & l t ; i t e m & g t ; & l t ; k e y & g t ; & l t ; s t r i n g & g t ; T o t a l   E m i s s i o n s & l t ; / s t r i n g & g t ; & l t ; / k e y & g t ; & l t ; v a l u e & g t ; & l t ; i n t & g t ; 7 & l t ; / i n t & g t ; & l t ; / v a l u e & g t ; & l t ; / i t e m & g t ; & l t ; / C o l u m n D i s p l a y I n d e x & g t ; & l t ; C o l u m n F r o z e n   / & g t ; & l t ; C o l u m n C h e c k e d   / & g t ; & l t ; C o l u m n F i l t e r   / & g t ; & l t ; S e l e c t i o n F i l t e r   / & g t ; & l t ; F i l t e r P a r a m e t e r s   / & g t ; & l t ; I s S o r t D e s c e n d i n g & g t ; f a l s e & l t ; / I s S o r t D e s c e n d i n g & g t ; & l t ; / T a b l e W i d g e t G r i d S e r i a l i z a t i o n & g t ; < / C u s t o m C o n t e n t > < / G e m i n i > 
</file>

<file path=customXml/item86.xml>��< ? x m l   v e r s i o n = " 1 . 0 "   e n c o d i n g = " U T F - 1 6 " ? > < G e m i n i   x m l n s = " h t t p : / / g e m i n i / p i v o t c u s t o m i z a t i o n / I s S a n d b o x E m b e d d e d " > < C u s t o m C o n t e n t > < ! [ C D A T A [ y e s ] ] > < / C u s t o m C o n t e n t > < / G e m i n i > 
</file>

<file path=customXml/item87.xml>��< ? x m l   v e r s i o n = " 1 . 0 "   e n c o d i n g = " U T F - 1 6 " ? > < G e m i n i   x m l n s = " h t t p : / / g e m i n i / p i v o t c u s t o m i z a t i o n / T a b l e X M L _ S o l a r - 5 b 7 d 4 e 0 e - 0 b 9 3 - 4 7 d 8 - a 8 8 b - b f a 9 1 0 8 0 0 7 0 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 / & g t ; & l t ; C o l u m n W i d t h s & g t ; & l t ; i t e m & g t ; & l t ; k e y & g t ; & l t ; s t r i n g & g t ; S o u r c e   N a m e & l t ; / s t r i n g & g t ; & l t ; / k e y & g t ; & l t ; v a l u e & g t ; & l t ; i n t & g t ; 1 1 8 & l t ; / i n t & g t ; & l t ; / v a l u e & g t ; & l t ; / i t e m & g t ; & l t ; i t e m & g t ; & l t ; k e y & g t ; & l t ; s t r i n g & g t ; R e p o r t i n g   A l i a s & l t ; / s t r i n g & g t ; & l t ; / k e y & g t ; & l t ; v a l u e & g t ; & l t ; i n t & g t ; 1 2 9 & l t ; / i n t & g t ; & l t ; / v a l u e & g t ; & l t ; / i t e m & g t ; & l t ; i t e m & g t ; & l t ; k e y & g t ; & l t ; s t r i n g & g t ; A c t i v i t y   T y p e & l t ; / s t r i n g & g t ; & l t ; / k e y & g t ; & l t ; v a l u e & g t ; & l t ; i n t & g t ; 1 1 4 & l t ; / i n t & g t ; & l t ; / v a l u e & g t ; & l t ; / i t e m & g t ; & l t ; i t e m & g t ; & l t ; k e y & g t ; & l t ; s t r i n g & g t ; A c t i v i t y   T y p e   C o n t e x t & l t ; / s t r i n g & g t ; & l t ; / k e y & g t ; & l t ; v a l u e & g t ; & l t ; i n t & g t ; 1 6 6 & l t ; / i n t & g t ; & l t ; / v a l u e & g t ; & l t ; / i t e m & g t ; & l t ; i t e m & g t ; & l t ; k e y & g t ; & l t ; s t r i n g & g t ; E n t i t y & l t ; / s t r i n g & g t ; & l t ; / k e y & g t ; & l t ; v a l u e & g t ; & l t ; i n t & g t ; 7 1 & l t ; / i n t & g t ; & l t ; / v a l u e & g t ; & l t ; / i t e m & g t ; & l t ; i t e m & g t ; & l t ; k e y & g t ; & l t ; s t r i n g & g t ; S t a t e & l t ; / s t r i n g & g t ; & l t ; / k e y & g t ; & l t ; v a l u e & g t ; & l t ; i n t & g t ; 6 8 & l t ; / i n t & g t ; & l t ; / v a l u e & g t ; & l t ; / i t e m & g t ; & l t ; i t e m & g t ; & l t ; k e y & g t ; & l t ; s t r i n g & g t ; P r o d u c t i o n   Q u a n t i t y & l t ; / s t r i n g & g t ; & l t ; / k e y & g t ; & l t ; v a l u e & g t ; & l t ; i n t & g t ; 1 5 9 & l t ; / i n t & g t ; & l t ; / v a l u e & g t ; & l t ; / i t e m & g t ; & l t ; i t e m & g t ; & l t ; k e y & g t ; & l t ; s t r i n g & g t ; P r o d u c t i o n   U n i t & l t ; / s t r i n g & g t ; & l t ; / k e y & g t ; & l t ; v a l u e & g t ; & l t ; i n t & g t ; 1 3 2 & l t ; / i n t & g t ; & l t ; / v a l u e & g t ; & l t ; / i t e m & g t ; & l t ; i t e m & g t ; & l t ; k e y & g t ; & l t ; s t r i n g & g t ; C o n s u m p t i o n   Q u a n t i t i y & l t ; / s t r i n g & g t ; & l t ; / k e y & g t ; & l t ; v a l u e & g t ; & l t ; i n t & g t ; 1 7 7 & 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 G J & l t ; / s t r i n g & g t ; & l t ; / k e y & g t ; & l t ; v a l u e & g t ; & l t ; i n t & g t ; 1 5 6 & l t ; / i n t & g t ; & l t ; / v a l u e & g t ; & l t ; / i t e m & g t ; & l t ; i t e m & g t ; & l t ; k e y & g t ; & l t ; s t r i n g & g t ; T o t a l   E m i s s i o n s & l t ; / s t r i n g & g t ; & l t ; / k e y & g t ; & l t ; v a l u e & g t ; & l t ; i n t & g t ; 1 3 0 & l t ; / i n t & g t ; & l t ; / v a l u e & g t ; & l t ; / i t e m & g t ; & l t ; i t e m & g t ; & l t ; k e y & g t ; & l t ; s t r i n g & g t ; E n e r g y   C o n v e r s i o n   f a c t o r   ( G J / k W h ) & l t ; / s t r i n g & g t ; & l t ; / k e y & g t ; & l t ; v a l u e & g t ; & l t ; i n t & g t ; 2 5 1 & l t ; / i n t & g t ; & l t ; / v a l u e & g t ; & l t ; / i t e m & g t ; & l t ; i t e m & g t ; & l t ; k e y & g t ; & l t ; s t r i n g & g t ; P r o d u c t i o n   G J & l t ; / s t r i n g & g t ; & l t ; / k e y & g t ; & l t ; v a l u e & g t ; & l t ; i n t & g t ; 1 2 0 & l t ; / i n t & g t ; & l t ; / v a l u e & g t ; & l t ; / i t e m & g t ; & l t ; i t e m & g t ; & l t ; k e y & g t ; & l t ; s t r i n g & g t ; C o n s u m p t i o n   Q u a n t i t y & l t ; / s t r i n g & g t ; & l t ; / k e y & g t ; & l t ; v a l u e & g t ; & l t ; i n t & g t ; 1 7 4 & l t ; / i n t & g t ; & l t ; / v a l u e & g t ; & l t ; / i t e m & g t ; & l t ; i t e m & g t ; & l t ; k e y & g t ; & l t ; s t r i n g & g t ; C o n s u m p t i o n   U n i t & l t ; / s t r i n g & g t ; & l t ; / k e y & g t ; & l t ; v a l u e & g t ; & l t ; i n t & g t ; 1 4 7 & l t ; / i n t & g t ; & l t ; / v a l u e & g t ; & l t ; / i t e m & g t ; & l t ; / C o l u m n W i d t h s & g t ; & l t ; C o l u m n D i s p l a y I n d e x & g t ; & l t ; i t e m & g t ; & l t ; k e y & g t ; & l t ; s t r i n g & g t ; S o u r c e   N a m e & l t ; / s t r i n g & g t ; & l t ; / k e y & g t ; & l t ; v a l u e & g t ; & l t ; i n t & g t ; 0 & l t ; / i n t & g t ; & l t ; / v a l u e & g t ; & l t ; / i t e m & g t ; & l t ; i t e m & g t ; & l t ; k e y & g t ; & l t ; s t r i n g & g t ; R e p o r t i n g   A l i a s & l t ; / s t r i n g & g t ; & l t ; / k e y & g t ; & l t ; v a l u e & g t ; & l t ; i n t & g t ; 1 & l t ; / i n t & g t ; & l t ; / v a l u e & g t ; & l t ; / i t e m & g t ; & l t ; i t e m & g t ; & l t ; k e y & g t ; & l t ; s t r i n g & g t ; A c t i v i t y   T y p e & l t ; / s t r i n g & g t ; & l t ; / k e y & g t ; & l t ; v a l u e & g t ; & l t ; i n t & g t ; 2 & l t ; / i n t & g t ; & l t ; / v a l u e & g t ; & l t ; / i t e m & g t ; & l t ; i t e m & g t ; & l t ; k e y & g t ; & l t ; s t r i n g & g t ; A c t i v i t y   T y p e   C o n t e x t & l t ; / s t r i n g & g t ; & l t ; / k e y & g t ; & l t ; v a l u e & g t ; & l t ; i n t & g t ; 3 & l t ; / i n t & g t ; & l t ; / v a l u e & g t ; & l t ; / i t e m & g t ; & l t ; i t e m & g t ; & l t ; k e y & g t ; & l t ; s t r i n g & g t ; E n t i t y & l t ; / s t r i n g & g t ; & l t ; / k e y & g t ; & l t ; v a l u e & g t ; & l t ; i n t & g t ; 4 & l t ; / i n t & g t ; & l t ; / v a l u e & g t ; & l t ; / i t e m & g t ; & l t ; i t e m & g t ; & l t ; k e y & g t ; & l t ; s t r i n g & g t ; S t a t e & l t ; / s t r i n g & g t ; & l t ; / k e y & g t ; & l t ; v a l u e & g t ; & l t ; i n t & g t ; 5 & l t ; / i n t & g t ; & l t ; / v a l u e & g t ; & l t ; / i t e m & g t ; & l t ; i t e m & g t ; & l t ; k e y & g t ; & l t ; s t r i n g & g t ; P r o d u c t i o n   Q u a n t i t y & l t ; / s t r i n g & g t ; & l t ; / k e y & g t ; & l t ; v a l u e & g t ; & l t ; i n t & g t ; 6 & l t ; / i n t & g t ; & l t ; / v a l u e & g t ; & l t ; / i t e m & g t ; & l t ; i t e m & g t ; & l t ; k e y & g t ; & l t ; s t r i n g & g t ; P r o d u c t i o n   U n i t & l t ; / s t r i n g & g t ; & l t ; / k e y & g t ; & l t ; v a l u e & g t ; & l t ; i n t & g t ; 7 & l t ; / i n t & g t ; & l t ; / v a l u e & g t ; & l t ; / i t e m & g t ; & l t ; i t e m & g t ; & l t ; k e y & g t ; & l t ; s t r i n g & g t ; C o n s u m p t i o n   Q u a n t i t i y & l t ; / s t r i n g & g t ; & l t ; / k e y & g t ; & l t ; v a l u e & g t ; & l t ; i n t & g t ; 8 & l t ; / i n t & g t ; & l t ; / v a l u e & g t ; & l t ; / i t e m & g t ; & l t ; i t e m & g t ; & l t ; k e y & g t ; & l t ; s t r i n g & g t ; S c o p e   1   k g   C O 2 - e & l t ; / s t r i n g & g t ; & l t ; / k e y & g t ; & l t ; v a l u e & g t ; & l t ; i n t & g t ; 9 & l t ; / i n t & g t ; & l t ; / v a l u e & g t ; & l t ; / i t e m & g t ; & l t ; i t e m & g t ; & l t ; k e y & g t ; & l t ; s t r i n g & g t ; S c o p e   2   k g   C O 2 - e & l t ; / s t r i n g & g t ; & l t ; / k e y & g t ; & l t ; v a l u e & g t ; & l t ; i n t & g t ; 1 0 & l t ; / i n t & g t ; & l t ; / v a l u e & g t ; & l t ; / i t e m & g t ; & l t ; i t e m & g t ; & l t ; k e y & g t ; & l t ; s t r i n g & g t ; S c o p e   3   k g   C O 2 - e & l t ; / s t r i n g & g t ; & l t ; / k e y & g t ; & l t ; v a l u e & g t ; & l t ; i n t & g t ; 1 1 & l t ; / i n t & g t ; & l t ; / v a l u e & g t ; & l t ; / i t e m & g t ; & l t ; i t e m & g t ; & l t ; k e y & g t ; & l t ; s t r i n g & g t ; T o t a l   G J & l t ; / s t r i n g & g t ; & l t ; / k e y & g t ; & l t ; v a l u e & g t ; & l t ; i n t & g t ; 1 2 & l t ; / i n t & g t ; & l t ; / v a l u e & g t ; & l t ; / i t e m & g t ; & l t ; i t e m & g t ; & l t ; k e y & g t ; & l t ; s t r i n g & g t ; T o t a l   E m i s s i o n s & l t ; / s t r i n g & g t ; & l t ; / k e y & g t ; & l t ; v a l u e & g t ; & l t ; i n t & g t ; 1 3 & l t ; / i n t & g t ; & l t ; / v a l u e & g t ; & l t ; / i t e m & g t ; & l t ; i t e m & g t ; & l t ; k e y & g t ; & l t ; s t r i n g & g t ; E n e r g y   C o n v e r s i o n   f a c t o r   ( G J / k W h ) & l t ; / s t r i n g & g t ; & l t ; / k e y & g t ; & l t ; v a l u e & g t ; & l t ; i n t & g t ; 1 4 & l t ; / i n t & g t ; & l t ; / v a l u e & g t ; & l t ; / i t e m & g t ; & l t ; i t e m & g t ; & l t ; k e y & g t ; & l t ; s t r i n g & g t ; P r o d u c t i o n   G J & l t ; / s t r i n g & g t ; & l t ; / k e y & g t ; & l t ; v a l u e & g t ; & l t ; i n t & g t ; 1 5 & l t ; / i n t & g t ; & l t ; / v a l u e & g t ; & l t ; / i t e m & g t ; & l t ; i t e m & g t ; & l t ; k e y & g t ; & l t ; s t r i n g & g t ; C o n s u m p t i o n   Q u a n t i t y & l t ; / s t r i n g & g t ; & l t ; / k e y & g t ; & l t ; v a l u e & g t ; & l t ; i n t & g t ; 1 6 & l t ; / i n t & g t ; & l t ; / v a l u e & g t ; & l t ; / i t e m & g t ; & l t ; i t e m & g t ; & l t ; k e y & g t ; & l t ; s t r i n g & g t ; C o n s u m p t i o n   U n i t & l t ; / s t r i n g & g t ; & l t ; / k e y & g t ; & l t ; v a l u e & g t ; & l t ; i n t & g t ; 1 7 & l t ; / i n t & g t ; & l t ; / v a l u e & g t ; & l t ; / i t e m & g t ; & l t ; / C o l u m n D i s p l a y I n d e x & g t ; & l t ; C o l u m n F r o z e n   / & g t ; & l t ; C o l u m n C h e c k e d   / & g t ; & l t ; C o l u m n F i l t e r   / & g t ; & l t ; S e l e c t i o n F i l t e r   / & g t ; & l t ; F i l t e r P a r a m e t e r s   / & g t ; & l t ; I s S o r t D e s c e n d i n g & g t ; f a l s e & l t ; / I s S o r t D e s c e n d i n g & g t ; & l t ; / T a b l e W i d g e t G r i d S e r i a l i z a t i o n & g t ; < / C u s t o m C o n t e n t > < / G e m i n i > 
</file>

<file path=customXml/item88.xml>��< ? x m l   v e r s i o n = " 1 . 0 "   e n c o d i n g = " U T F - 1 6 " ? > < G e m i n i   x m l n s = " h t t p : / / g e m i n i / p i v o t c u s t o m i z a t i o n / T a b l e X M L _ Q u e r y _ 6 0 3 3 0 3 d 3 - 7 3 c 6 - 4 d 4 a - 8 5 5 b - 0 4 f 3 2 b 7 9 a 4 2 8 " > < 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  / > < S e l e c t i o n F i l t e r   / > < F i l t e r P a r a m e t e r s   / > < I s S o r t D e s c e n d i n g > f a l s e < / I s S o r t D e s c e n d i n g > < / T a b l e W i d g e t G r i d S e r i a l i z a t i o n > ] ] > < / C u s t o m C o n t e n t > < / G e m i n i > 
</file>

<file path=customXml/item89.xml>��< ? x m l   v e r s i o n = " 1 . 0 "   e n c o d i n g = " U T F - 1 6 " ? > < G e m i n i   x m l n s = " h t t p : / / g e m i n i / p i v o t c u s t o m i z a t i o n / T a b l e O r d e r " > < C u s t o m C o n t e n t > < ! [ C D A T A [ D a t a _ E n t r y - 4 b 6 7 1 4 8 b - 2 a d d - 4 6 f c - a f 5 f - 5 d 7 9 6 5 2 4 d 7 f 4 , N B N _ R e m o v a l - f f c b 1 8 a 9 - 0 2 c 6 - 4 1 5 9 - b 0 5 3 - c b e d 5 2 1 8 7 f 1 6 , S E _ G a s - 4 c 5 7 c d 2 8 - 4 9 3 1 - 4 a 4 a - a 7 e 7 - 9 9 9 a 8 d d d b 6 7 f , G H G - 3 9 0 a 7 7 8 f - a 1 b 0 - 4 4 e 0 - 9 a 9 3 - 2 e 2 5 c 9 e a 9 f e 5 , E n t i t y - e b d 6 c 0 2 f - 4 d 1 b - 4 6 7 e - a 7 3 3 - 8 3 b 7 1 d 2 8 c a 0 0 , N E T _ G e n s e t _ G r o u n d s - 6 c 0 e a f f 0 - 0 b 1 6 - 4 a 5 a - 9 6 7 5 - 9 4 7 f 6 f 2 d 4 3 a 3 , P e r c e n t a g e _ E s t i m a t e s - 9 a f a c a 4 d - 4 2 5 4 - 4 b 1 3 - 9 3 5 9 - 6 6 d 4 c e d a b f a 7 , P i t w a t e r - 6 9 0 6 d 7 1 c - 4 6 7 5 - 4 3 9 f - b 4 c 9 - 7 a 9 2 d c d 5 e 1 7 4 , S o l a r - 5 b 7 d 4 e 0 e - 0 b 9 3 - 4 7 d 8 - a 8 8 b - b f a 9 1 0 8 0 0 7 0 5 , G r o u n d s _ F u e l s - 7 8 a 6 7 c 4 3 - f 5 e 2 - 4 8 9 4 - 8 d 2 9 - c 2 f e e 9 1 6 9 7 9 9 , C o n t r a c t o r _ F u e l s - 4 e 8 5 a e d 0 - 1 f 0 b - 4 a d d - b 8 2 1 - 9 3 f 6 c 5 4 3 b 1 5 5 , A V I S - 9 c 8 f 3 f 3 7 - 1 a 5 4 - 4 3 8 2 - a b 4 f - c 4 d b f 6 b 7 9 1 6 4 , L P _ F l e e t - 6 5 9 7 5 e e 9 - 2 b 3 5 - 4 d 2 7 - b e 5 c - e 0 4 9 f c c f 8 9 0 8 , N O N _ G e n s e t - 4 8 d 7 7 5 a c - 5 e a 3 - 4 4 4 0 - 8 b b a - b 5 a 2 a f 1 4 7 2 5 7 , D C _ G e n s e t - 4 2 6 5 8 9 7 c - 6 0 1 6 - 4 8 f 1 - b 5 8 4 - 1 e 1 6 3 7 4 9 1 e 1 9 , T e l s t r a B C A - a c 3 3 1 e 7 1 - 7 5 f c - 4 c a c - 9 f e d - 4 e 2 c 4 6 a 8 f c 7 7 , N G E R S _ S t a t i o n a r y _ r e p o r t - c 8 c 1 4 b e a - 1 6 e 7 - 4 f 0 c - 8 5 5 9 - 6 f 3 9 6 0 7 0 9 6 b 5 , T a b l e 1 9 - e 1 f c 1 8 a 8 - 5 f a 9 - 4 5 7 2 - 8 6 d f - 7 b d f 7 7 7 7 e 2 4 e , F l i g h t _ M o d e l - 1 e 9 4 0 8 3 e - 8 d 4 a - 4 8 6 4 - b 5 8 7 - b f 3 e f 9 5 5 b 8 e 2 , P a p e r _ C S R - 7 f 3 9 0 a 5 7 - 9 5 d d - 4 2 d f - a b 3 f - 1 7 9 8 3 a 8 f 2 c 9 3 , S a v i n g s _ D a t a - e 0 1 f 4 f 2 8 - f a 1 a - 4 5 2 c - 8 e 8 4 - 8 3 0 8 4 e d f c e 6 2 , E n t i t y F Y 2 0 - f 9 4 5 b 7 0 7 - d 7 4 e - 4 8 e c - a 1 5 9 - 2 2 7 9 c 3 8 6 f 1 7 5 , S u m m a r y 3 7 - d 1 9 e b 3 f 1 - d 0 c f - 4 6 1 8 - a 3 9 7 - 9 1 f 4 d 5 7 a 1 7 d d , B C A _ R e m o v a l F Y 2 0 , D C _ G e n s e t 2 8 3 9 , G a s F Y 2 0 , G H G _ 3 5 , G r o u n d s _ F u e l s 3 3 , R e f o r m F Y 2 0 , E n t i t y F Y 2 0   1 , C a l e n d a r , R e f o r m F Y 2 0 _ ] ] > < / C u s t o m C o n t e n t > < / G e m i n i > 
</file>

<file path=customXml/item9.xml>��< ? x m l   v e r s i o n = " 1 . 0 "   e n c o d i n g = " U T F - 1 6 " ? > < G e m i n i   x m l n s = " h t t p : / / g e m i n i / p i v o t c u s t o m i z a t i o n / T a b l e X M L _ N G E R S _ S t a t i o n a r y _ r e p o r t - c 8 c 1 4 b e a - 1 6 e 7 - 4 f 0 c - 8 5 5 9 - 6 f 3 9 6 0 7 0 9 6 b 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E n t i t y & l t ; / s t r i n g & g t ; & l t ; / k e y & g t ; & l t ; v a l u e & g t ; & l t ; i n t & g t ; 7 1 & l t ; / i n t & g t ; & l t ; / v a l u e & g t ; & l t ; / i t e m & g t ; & l t ; i t e m & g t ; & l t ; k e y & g t ; & l t ; s t r i n g & g t ; F u e l & l t ; / s t r i n g & g t ; & l t ; / k e y & g t ; & l t ; v a l u e & g t ; & l t ; i n t & g t ; 6 3 & l t ; / i n t & g t ; & l t ; / v a l u e & g t ; & l t ; / i t e m & g t ; & l t ; i t e m & g t ; & l t ; k e y & g t ; & l t ; s t r i n g & g t ; S t a t e & l t ; / s t r i n g & g t ; & l t ; / k e y & g t ; & l t ; v a l u e & g t ; & l t ; i n t & g t ; 6 8 & l t ; / i n t & g t ; & l t ; / v a l u e & g t ; & l t ; / i t e m & g t ; & l t ; i t e m & g t ; & l t ; k e y & g t ; & l t ; s t r i n g & g t ; C o n s u m p t i o n   Q u a n t i t y   ( L ) & l t ; / s t r i n g & g t ; & l t ; / k e y & g t ; & l t ; v a l u e & g t ; & l t ; i n t & g t ; 1 9 3 & l t ; / i n t & g t ; & l t ; / v a l u e & g t ; & l t ; / i t e m & g t ; & l t ; i t e m & g t ; & l t ; k e y & g t ; & l t ; s t r i n g & g t ; C o n s u m p t i o n   U n i t s & l t ; / s t r i n g & g t ; & l t ; / k e y & g t ; & l t ; v a l u e & g t ; & l t ; i n t & g t ; 1 5 3 & l t ; / i n t & g t ; & l t ; / v a l u e & g t ; & l t ; / i t e m & g t ; & l t ; i t e m & g t ; & l t ; k e y & g t ; & l t ; s t r i n g & g t ; C o n s u m p t i o n   Q u a n t i t y & l t ; / s t r i n g & g t ; & l t ; / k e y & g t ; & l t ; v a l u e & g t ; & l t ; i n t & g t ; 1 7 4 & l t ; / i n t & g t ; & l t ; / v a l u e & g t ; & l t ; / i t e m & g t ; & l t ; i t e m & g t ; & l t ; k e y & g t ; & l t ; s t r i n g & g t ; T o t a l   G J & l t ; / s t r i n g & g t ; & l t ; / k e y & g t ; & l t ; v a l u e & g t ; & l t ; i n t & g t ; 8 3 & l t ; / i n t & g t ; & l t ; / v a l u e & g t ; & l t ; / i t e m & g t ; & l t ; i t e m & g t ; & l t ; k e y & g t ; & l t ; s t r i n g & g t ; S c o p e 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E n t i t y & l t ; / s t r i n g & g t ; & l t ; / k e y & g t ; & l t ; v a l u e & g t ; & l t ; i n t & g t ; 1 & l t ; / i n t & g t ; & l t ; / v a l u e & g t ; & l t ; / i t e m & g t ; & l t ; i t e m & g t ; & l t ; k e y & g t ; & l t ; s t r i n g & g t ; F u e l & l t ; / s t r i n g & g t ; & l t ; / k e y & g t ; & l t ; v a l u e & g t ; & l t ; i n t & g t ; 2 & l t ; / i n t & g t ; & l t ; / v a l u e & g t ; & l t ; / i t e m & g t ; & l t ; i t e m & g t ; & l t ; k e y & g t ; & l t ; s t r i n g & g t ; S t a t e & l t ; / s t r i n g & g t ; & l t ; / k e y & g t ; & l t ; v a l u e & g t ; & l t ; i n t & g t ; 3 & l t ; / i n t & g t ; & l t ; / v a l u e & g t ; & l t ; / i t e m & g t ; & l t ; i t e m & g t ; & l t ; k e y & g t ; & l t ; s t r i n g & g t ; C o n s u m p t i o n   Q u a n t i t y   ( L ) & l t ; / s t r i n g & g t ; & l t ; / k e y & g t ; & l t ; v a l u e & g t ; & l t ; i n t & g t ; 4 & l t ; / i n t & g t ; & l t ; / v a l u e & g t ; & l t ; / i t e m & g t ; & l t ; i t e m & g t ; & l t ; k e y & g t ; & l t ; s t r i n g & g t ; C o n s u m p t i o n   U n i t s & l t ; / s t r i n g & g t ; & l t ; / k e y & g t ; & l t ; v a l u e & g t ; & l t ; i n t & g t ; 5 & l t ; / i n t & g t ; & l t ; / v a l u e & g t ; & l t ; / i t e m & g t ; & l t ; i t e m & g t ; & l t ; k e y & g t ; & l t ; s t r i n g & g t ; C o n s u m p t i o n   Q u a n t i t y & l t ; / s t r i n g & g t ; & l t ; / k e y & g t ; & l t ; v a l u e & g t ; & l t ; i n t & g t ; 6 & l t ; / i n t & g t ; & l t ; / v a l u e & g t ; & l t ; / i t e m & g t ; & l t ; i t e m & g t ; & l t ; k e y & g t ; & l t ; s t r i n g & g t ; T o t a l   G J & l t ; / s t r i n g & g t ; & l t ; / k e y & g t ; & l t ; v a l u e & g t ; & l t ; i n t & g t ; 7 & l t ; / i n t & g t ; & l t ; / v a l u e & g t ; & l t ; / i t e m & g t ; & l t ; i t e m & g t ; & l t ; k e y & g t ; & l t ; s t r i n g & g t ; S c o p e   1   k g   C O 2 - e & l t ; / s t r i n g & g t ; & l t ; / k e y & g t ; & l t ; v a l u e & g t ; & l t ; i n t & g t ; 8 & l t ; / i n t & g t ; & l t ; / v a l u e & g t ; & l t ; / i t e m & g t ; & l t ; i t e m & g t ; & l t ; k e y & g t ; & l t ; s t r i n g & g t ; S c o p e   2   k g   C O 2 - e & l t ; / s t r i n g & g t ; & l t ; / k e y & g t ; & l t ; v a l u e & g t ; & l t ; i n t & g t ; 9 & l t ; / i n t & g t ; & l t ; / v a l u e & g t ; & l t ; / i t e m & g t ; & l t ; i t e m & g t ; & l t ; k e y & g t ; & l t ; s t r i n g & g t ; S c o p e   3   k g   C O 2 - e & l t ; / s t r i n g & g t ; & l t ; / k e y & g t ; & l t ; v a l u e & g t ; & l t ; i n t & g t ; 1 0 & l t ; / i n t & g t ; & l t ; / v a l u e & g t ; & l t ; / i t e m & g t ; & l t ; i t e m & g t ; & l t ; k e y & g t ; & l t ; s t r i n g & g t ; T o t a l   E m i s s i o n s & l t ; / s t r i n g & g t ; & l t ; / k e y & g t ; & l t ; v a l u e & g t ; & l t ; i n t & g t ; 1 1 & l t ; / i n t & g t ; & l t ; / v a l u e & g t ; & l t ; / i t e m & g t ; & l t ; / C o l u m n D i s p l a y I n d e x & g t ; & l t ; C o l u m n F r o z e n   / & g t ; & l t ; C o l u m n C h e c k e d   / & g t ; & l t ; C o l u m n F i l t e r   / & g t ; & l t ; S e l e c t i o n F i l t e r   / & g t ; & l t ; F i l t e r P a r a m e t e r s   / & g t ; & l t ; I s S o r t D e s c e n d i n g & g t ; f a l s e & l t ; / I s S o r t D e s c e n d i n g & g t ; & l t ; / T a b l e W i d g e t G r i d S e r i a l i z a t i o n & g t ; < / C u s t o m C o n t e n t > < / G e m i n i > 
</file>

<file path=customXml/item90.xml>��< ? x m l   v e r s i o n = " 1 . 0 "   e n c o d i n g = " U T F - 1 6 " ? > < G e m i n i   x m l n s = " h t t p : / / g e m i n i / p i v o t c u s t o m i z a t i o n / 7 0 1 7 4 2 3 6 - 0 c 7 e - 4 0 3 0 - a c e 9 - f f 6 7 b e e 3 c 1 e 5 " > < C u s t o m C o n t e n t > < ! [ C D A T A [ < ? x m l   v e r s i o n = " 1 . 0 "   e n c o d i n g = " u t f - 1 6 " ? > < S e t t i n g s > < H S l i c e r s S h a p e > 0 ; 0 ; 0 ; 0 < / H S l i c e r s S h a p e > < V S l i c e r s S h a p e > 0 ; 0 ; 0 ; 0 < / V S l i c e r s S h a p e > < S l i c e r S h e e t N a m e > S u m m a r y   P i v o t < / S l i c e r S h e e t N a m e > < S A H o s t H a s h > 8 2 2 5 1 1 5 0 8 < / S A H o s t H a s h > < G e m i n i F i e l d L i s t V i s i b l e > T r u e < / G e m i n i F i e l d L i s t V i s i b l e > < / S e t t i n g s > ] ] > < / C u s t o m C o n t e n t > < / G e m i n i > 
</file>

<file path=customXml/item91.xml>��< ? x m l   v e r s i o n = " 1 . 0 "   e n c o d i n g = " U T F - 1 6 " ? > < G e m i n i   x m l n s = " h t t p : / / g e m i n i / p i v o t c u s t o m i z a t i o n / T a b l e X M L _ Q u e r y _ 1 4 f f 0 f 4 a - 4 9 4 f - 4 1 2 4 - 9 1 d 9 - b 6 a b 3 0 d 4 0 e e e " > < 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i t e m > < k e y > < s t r i n g > E n t i t y < / s t r i n g > < / k e y > < v a l u e > < F i l t e r E x p r e s s i o n   x s i : n i l = " t r u e "   / > < / v a l u e > < / i t e m > < / C o l u m n F i l t e r > < S e l e c t i o n F i l t e r > < i t e m > < k e y > < s t r i n g > E n t i t y < / s t r i n g > < / k e y > < v a l u e > < S e l e c t i o n F i l t e r   x s i : n i l = " t r u e "   / > < / v a l u e > < / i t e m > < / S e l e c t i o n F i l t e r > < F i l t e r P a r a m e t e r s > < i t e m > < k e y > < s t r i n g > E n t i t y < / s t r i n g > < / k e y > < v a l u e > < C o m m a n d P a r a m e t e r s   / > < / v a l u e > < / i t e m > < / F i l t e r P a r a m e t e r s > < I s S o r t D e s c e n d i n g > f a l s e < / I s S o r t D e s c e n d i n g > < / T a b l e W i d g e t G r i d S e r i a l i z a t i o n > ] ] > < / C u s t o m C o n t e n t > < / G e m i n i > 
</file>

<file path=customXml/item92.xml>��< ? x m l   v e r s i o n = " 1 . 0 "   e n c o d i n g = " U T F - 1 6 " ? > < G e m i n i   x m l n s = " h t t p : / / g e m i n i / p i v o t c u s t o m i z a t i o n / S h o w I m p l i c i t M e a s u r e s " > < C u s t o m C o n t e n t > < ! [ C D A T A [ F a l s e ] ] > < / C u s t o m C o n t e n t > < / G e m i n i > 
</file>

<file path=customXml/item93.xml>��< ? x m l   v e r s i o n = " 1 . 0 "   e n c o d i n g = " U T F - 1 6 " ? > < G e m i n i   x m l n s = " h t t p : / / g e m i n i / p i v o t c u s t o m i z a t i o n / 6 d 0 8 8 6 3 5 - 5 e c a - 4 c d 6 - b 0 1 6 - a f 3 2 9 7 d e b f 2 f " > < C u s t o m C o n t e n t > < ! [ C D A T A [ < ? x m l   v e r s i o n = " 1 . 0 "   e n c o d i n g = " u t f - 1 6 " ? > < S e t t i n g s > < H S l i c e r s S h a p e > 0 ; 0 ; 0 ; 0 < / H S l i c e r s S h a p e > < V S l i c e r s S h a p e > 0 ; 0 ; 0 ; 0 < / V S l i c e r s S h a p e > < S l i c e r S h e e t N a m e > S u m m a r y   P i v o t < / S l i c e r S h e e t N a m e > < S A H o s t H a s h > 2 0 9 2 0 6 2 4 0 8 < / S A H o s t H a s h > < G e m i n i F i e l d L i s t V i s i b l e > T r u e < / G e m i n i F i e l d L i s t V i s i b l e > < / S e t t i n g s > ] ] > < / C u s t o m C o n t e n t > < / G e m i n i > 
</file>

<file path=customXml/item94.xml>��< ? x m l   v e r s i o n = " 1 . 0 "   e n c o d i n g = " U T F - 1 6 " ? > < G e m i n i   x m l n s = " h t t p : / / g e m i n i / p i v o t c u s t o m i z a t i o n / T a b l e X M L _ E n t i t y - e b d 6 c 0 2 f - 4 d 1 b - 4 6 7 e - a 7 3 3 - 8 3 b 7 1 d 2 8 c a 0 0 " > < C u s t o m C o n t e n t > < ! [ C D A T A [ < T a b l e W i d g e t G r i d S e r i a l i z a t i o n   x m l n s : x s i = " h t t p : / / w w w . w 3 . o r g / 2 0 0 1 / X M L S c h e m a - i n s t a n c e "   x m l n s : x s d = " h t t p : / / w w w . w 3 . o r g / 2 0 0 1 / X M L S c h e m a " > < C o l u m n S u g g e s t e d T y p e   / > < C o l u m n F o r m a t   / > < C o l u m n A c c u r a c y   / > < C o l u m n C u r r e n c y S y m b o l   / > < C o l u m n P o s i t i v e P a t t e r n   / > < C o l u m n N e g a t i v e P a t t e r n   / > < C o l u m n W i d t h s > < i t e m > < k e y > < s t r i n g > R e p o r t i n g   A l i a s < / s t r i n g > < / k e y > < v a l u e > < i n t > 1 2 9 < / i n t > < / v a l u e > < / i t e m > < i t e m > < k e y > < s t r i n g > E m i s s i o n   S o u r c e < / s t r i n g > < / k e y > < v a l u e > < i n t > 1 3 6 < / i n t > < / v a l u e > < / i t e m > < i t e m > < k e y > < s t r i n g > S o u r c e   N a m e < / s t r i n g > < / k e y > < v a l u e > < i n t > 1 1 8 < / i n t > < / v a l u e > < / i t e m > < i t e m > < k e y > < s t r i n g > A c t i v i t y   T y p e < / s t r i n g > < / k e y > < v a l u e > < i n t > 1 1 4 < / i n t > < / v a l u e > < / i t e m > < i t e m > < k e y > < s t r i n g > A c t i v i t y   T y p e   C o n t e x t < / s t r i n g > < / k e y > < v a l u e > < i n t > 1 6 6 < / i n t > < / v a l u e > < / i t e m > < i t e m > < k e y > < s t r i n g > E n t i t y < / s t r i n g > < / k e y > < v a l u e > < i n t > 7 1 < / i n t > < / v a l u e > < / i t e m > < i t e m > < k e y > < s t r i n g > L e v e l   1 < / s t r i n g > < / k e y > < v a l u e > < i n t > 7 9 < / i n t > < / v a l u e > < / i t e m > < i t e m > < k e y > < s t r i n g > L e v e l   2 < / s t r i n g > < / k e y > < v a l u e > < i n t > 7 9 < / i n t > < / v a l u e > < / i t e m > < i t e m > < k e y > < s t r i n g > L e v e l   3 < / s t r i n g > < / k e y > < v a l u e > < i n t > 7 9 < / i n t > < / v a l u e > < / i t e m > < i t e m > < k e y > < s t r i n g > L e v e l   3   E n t i t y   t y p e < / s t r i n g > < / k e y > < v a l u e > < i n t > 1 4 8 < / i n t > < / v a l u e > < / i t e m > < i t e m > < k e y > < s t r i n g > L e v e l   4 < / s t r i n g > < / k e y > < v a l u e > < i n t > 7 9 < / i n t > < / v a l u e > < / i t e m > < i t e m > < k e y > < s t r i n g > S t a t e < / s t r i n g > < / k e y > < v a l u e > < i n t > 6 8 < / i n t > < / v a l u e > < / i t e m > < i t e m > < k e y > < s t r i n g > U o M < / s t r i n g > < / k e y > < v a l u e > < i n t > 6 5 < / i n t > < / v a l u e > < / i t e m > < i t e m > < k e y > < s t r i n g > P r i m a r y   C r i t e r i o n < / s t r i n g > < / k e y > < v a l u e > < i n t > 1 4 2 < / i n t > < / v a l u e > < / i t e m > < / C o l u m n W i d t h s > < C o l u m n D i s p l a y I n d e x > < i t e m > < k e y > < s t r i n g > R e p o r t i n g   A l i a s < / s t r i n g > < / k e y > < v a l u e > < i n t > 0 < / i n t > < / v a l u e > < / i t e m > < i t e m > < k e y > < s t r i n g > E m i s s i o n   S o u r c e < / s t r i n g > < / k e y > < v a l u e > < i n t > 1 < / i n t > < / v a l u e > < / i t e m > < i t e m > < k e y > < s t r i n g > S o u r c e   N a m e < / s t r i n g > < / k e y > < v a l u e > < i n t > 2 < / i n t > < / v a l u e > < / i t e m > < i t e m > < k e y > < s t r i n g > A c t i v i t y   T y p e < / s t r i n g > < / k e y > < v a l u e > < i n t > 3 < / i n t > < / v a l u e > < / i t e m > < i t e m > < k e y > < s t r i n g > A c t i v i t y   T y p e   C o n t e x t < / s t r i n g > < / k e y > < v a l u e > < i n t > 4 < / i n t > < / v a l u e > < / i t e m > < i t e m > < k e y > < s t r i n g > E n t i t y < / s t r i n g > < / k e y > < v a l u e > < i n t > 5 < / i n t > < / v a l u e > < / i t e m > < i t e m > < k e y > < s t r i n g > L e v e l   1 < / s t r i n g > < / k e y > < v a l u e > < i n t > 6 < / i n t > < / v a l u e > < / i t e m > < i t e m > < k e y > < s t r i n g > L e v e l   2 < / s t r i n g > < / k e y > < v a l u e > < i n t > 7 < / i n t > < / v a l u e > < / i t e m > < i t e m > < k e y > < s t r i n g > L e v e l   3 < / s t r i n g > < / k e y > < v a l u e > < i n t > 8 < / i n t > < / v a l u e > < / i t e m > < i t e m > < k e y > < s t r i n g > L e v e l   3   E n t i t y   t y p e < / s t r i n g > < / k e y > < v a l u e > < i n t > 9 < / i n t > < / v a l u e > < / i t e m > < i t e m > < k e y > < s t r i n g > L e v e l   4 < / s t r i n g > < / k e y > < v a l u e > < i n t > 1 0 < / i n t > < / v a l u e > < / i t e m > < i t e m > < k e y > < s t r i n g > S t a t e < / s t r i n g > < / k e y > < v a l u e > < i n t > 1 1 < / i n t > < / v a l u e > < / i t e m > < i t e m > < k e y > < s t r i n g > U o M < / s t r i n g > < / k e y > < v a l u e > < i n t > 1 2 < / i n t > < / v a l u e > < / i t e m > < i t e m > < k e y > < s t r i n g > P r i m a r y   C r i t e r i o n < / s t r i n g > < / k e y > < v a l u e > < i n t > 1 3 < / i n t > < / v a l u e > < / i t e m > < / C o l u m n D i s p l a y I n d e x > < C o l u m n F r o z e n   / > < C o l u m n C h e c k e d   / > < C o l u m n F i l t e r   / > < S e l e c t i o n F i l t e r   / > < F i l t e r P a r a m e t e r s   / > < I s S o r t D e s c e n d i n g > f a l s e < / I s S o r t D e s c e n d i n g > < / T a b l e W i d g e t G r i d S e r i a l i z a t i o n > ] ] > < / C u s t o m C o n t e n t > < / G e m i n i > 
</file>

<file path=customXml/item95.xml>��< ? x m l   v e r s i o n = " 1 . 0 "   e n c o d i n g = " U T F - 1 6 " ? > < G e m i n i   x m l n s = " h t t p : / / g e m i n i / p i v o t c u s t o m i z a t i o n / 4 3 a 0 f c d c - d a 9 9 - 4 5 3 b - 9 4 f f - 6 4 a 8 f d 0 e 7 b 1 5 " > < C u s t o m C o n t e n t > < ! [ C D A T A [ < ? x m l   v e r s i o n = " 1 . 0 "   e n c o d i n g = " u t f - 1 6 " ? > < S e t t i n g s > < H S l i c e r s S h a p e > 0 ; 0 ; 0 ; 0 < / H S l i c e r s S h a p e > < V S l i c e r s S h a p e > 0 ; 0 ; 0 ; 0 < / V S l i c e r s S h a p e > < S l i c e r S h e e t N a m e > E l e c t r i c i t y   O n   G r i d < / S l i c e r S h e e t N a m e > < S A H o s t H a s h > 4 2 5 5 1 6 6 0 4 < / S A H o s t H a s h > < G e m i n i F i e l d L i s t V i s i b l e > T r u e < / G e m i n i F i e l d L i s t V i s i b l e > < / S e t t i n g s > ] ] > < / C u s t o m C o n t e n t > < / G e m i n i > 
</file>

<file path=customXml/item96.xml>��< ? x m l   v e r s i o n = " 1 . 0 "   e n c o d i n g = " U T F - 1 6 " ? > < G e m i n i   x m l n s = " h t t p : / / g e m i n i / p i v o t c u s t o m i z a t i o n / c 1 e 7 c 1 b 7 - 5 2 6 d - 4 a 3 6 - b 3 f 0 - 6 9 4 4 5 4 8 5 8 4 3 7 " > < C u s t o m C o n t e n t > < ! [ C D A T A [ < ? x m l   v e r s i o n = " 1 . 0 "   e n c o d i n g = " u t f - 1 6 " ? > < S e t t i n g s > < H S l i c e r s S h a p e > 0 ; 0 ; 0 ; 0 < / H S l i c e r s S h a p e > < V S l i c e r s S h a p e > 0 ; 0 ; 0 ; 0 < / V S l i c e r s S h a p e > < S l i c e r S h e e t N a m e > M a i n s   G a s < / S l i c e r S h e e t N a m e > < S A H o s t H a s h > 6 8 6 9 0 0 6 7 5 < / S A H o s t H a s h > < G e m i n i F i e l d L i s t V i s i b l e > T r u e < / G e m i n i F i e l d L i s t V i s i b l e > < / S e t t i n g s > ] ] > < / C u s t o m C o n t e n t > < / G e m i n i > 
</file>

<file path=customXml/item97.xml>��< ? x m l   v e r s i o n = " 1 . 0 "   e n c o d i n g = " U T F - 1 6 " ? > < G e m i n i   x m l n s = " h t t p : / / g e m i n i / p i v o t c u s t o m i z a t i o n / b 9 a e 9 b 2 0 - 8 8 f d - 4 8 c d - 9 b c e - 6 f 8 1 3 6 b 6 4 8 e 3 " > < C u s t o m C o n t e n t > < ! [ C D A T A [ < ? x m l   v e r s i o n = " 1 . 0 "   e n c o d i n g = " u t f - 1 6 " ? > < S e t t i n g s > < H S l i c e r s S h a p e > 0 ; 0 ; 0 ; 0 < / H S l i c e r s S h a p e > < V S l i c e r s S h a p e > 0 ; 0 ; 0 ; 0 < / V S l i c e r s S h a p e > < S l i c e r S h e e t N a m e > E l e c t r i c i t y   O n   G r i d < / S l i c e r S h e e t N a m e > < S A H o s t H a s h > 6 3 6 0 5 6 7 < / S A H o s t H a s h > < G e m i n i F i e l d L i s t V i s i b l e > T r u e < / G e m i n i F i e l d L i s t V i s i b l e > < / S e t t i n g s > ] ] > < / C u s t o m C o n t e n t > < / G e m i n i > 
</file>

<file path=customXml/item9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 D a t a _ E n t r y - 4 b 6 7 1 4 8 b - 2 a d d - 4 6 f c - a f 5 f - 5 d 7 9 6 5 2 4 d 7 f 4 < / K e y > < V a l u e   x m l n s : a = " h t t p : / / s c h e m a s . d a t a c o n t r a c t . o r g / 2 0 0 4 / 0 7 / M i c r o s o f t . A n a l y s i s S e r v i c e s . C o m m o n " > < a : H a s F o c u s > t r u e < / a : H a s F o c u s > < a : S i z e A t D p i 9 6 > 1 0 0 < / a : S i z e A t D p i 9 6 > < a : V i s i b l e > t r u e < / a : V i s i b l e > < / V a l u e > < / K e y V a l u e O f s t r i n g S a n d b o x E d i t o r . M e a s u r e G r i d S t a t e S c d E 3 5 R y > < K e y V a l u e O f s t r i n g S a n d b o x E d i t o r . M e a s u r e G r i d S t a t e S c d E 3 5 R y > < K e y > N B N _ R e m o v a l - f f c b 1 8 a 9 - 0 2 c 6 - 4 1 5 9 - b 0 5 3 - c b e d 5 2 1 8 7 f 1 6 < / K e y > < V a l u e   x m l n s : a = " h t t p : / / s c h e m a s . d a t a c o n t r a c t . o r g / 2 0 0 4 / 0 7 / M i c r o s o f t . A n a l y s i s S e r v i c e s . C o m m o n " > < a : H a s F o c u s > t r u e < / a : H a s F o c u s > < a : S i z e A t D p i 9 6 > 9 5 < / a : S i z e A t D p i 9 6 > < a : V i s i b l e > t r u e < / a : V i s i b l e > < / V a l u e > < / K e y V a l u e O f s t r i n g S a n d b o x E d i t o r . M e a s u r e G r i d S t a t e S c d E 3 5 R y > < K e y V a l u e O f s t r i n g S a n d b o x E d i t o r . M e a s u r e G r i d S t a t e S c d E 3 5 R y > < K e y > S E _ G a s - 4 c 5 7 c d 2 8 - 4 9 3 1 - 4 a 4 a - a 7 e 7 - 9 9 9 a 8 d d d b 6 7 f < / K e y > < V a l u e   x m l n s : a = " h t t p : / / s c h e m a s . d a t a c o n t r a c t . o r g / 2 0 0 4 / 0 7 / M i c r o s o f t . A n a l y s i s S e r v i c e s . C o m m o n " > < a : H a s F o c u s > t r u e < / a : H a s F o c u s > < a : S i z e A t D p i 9 6 > 9 5 < / a : S i z e A t D p i 9 6 > < a : V i s i b l e > t r u e < / a : V i s i b l e > < / V a l u e > < / K e y V a l u e O f s t r i n g S a n d b o x E d i t o r . M e a s u r e G r i d S t a t e S c d E 3 5 R y > < K e y V a l u e O f s t r i n g S a n d b o x E d i t o r . M e a s u r e G r i d S t a t e S c d E 3 5 R y > < K e y > G H G - 3 9 0 a 7 7 8 f - a 1 b 0 - 4 4 e 0 - 9 a 9 3 - 2 e 2 5 c 9 e a 9 f e 5 < / K e y > < V a l u e   x m l n s : a = " h t t p : / / s c h e m a s . d a t a c o n t r a c t . o r g / 2 0 0 4 / 0 7 / M i c r o s o f t . A n a l y s i s S e r v i c e s . C o m m o n " > < a : H a s F o c u s > t r u e < / a : H a s F o c u s > < a : S i z e A t D p i 9 6 > 9 5 < / a : S i z e A t D p i 9 6 > < a : V i s i b l e > t r u e < / a : V i s i b l e > < / V a l u e > < / K e y V a l u e O f s t r i n g S a n d b o x E d i t o r . M e a s u r e G r i d S t a t e S c d E 3 5 R y > < K e y V a l u e O f s t r i n g S a n d b o x E d i t o r . M e a s u r e G r i d S t a t e S c d E 3 5 R y > < K e y > E n t i t y - e b d 6 c 0 2 f - 4 d 1 b - 4 6 7 e - a 7 3 3 - 8 3 b 7 1 d 2 8 c a 0 0 < / K e y > < V a l u e   x m l n s : a = " h t t p : / / s c h e m a s . d a t a c o n t r a c t . o r g / 2 0 0 4 / 0 7 / M i c r o s o f t . A n a l y s i s S e r v i c e s . C o m m o n " > < a : H a s F o c u s > t r u e < / a : H a s F o c u s > < a : S i z e A t D p i 9 6 > 9 5 < / a : S i z e A t D p i 9 6 > < a : V i s i b l e > t r u e < / a : V i s i b l e > < / V a l u e > < / K e y V a l u e O f s t r i n g S a n d b o x E d i t o r . M e a s u r e G r i d S t a t e S c d E 3 5 R y > < K e y V a l u e O f s t r i n g S a n d b o x E d i t o r . M e a s u r e G r i d S t a t e S c d E 3 5 R y > < K e y > N E T _ G e n s e t _ G r o u n d s - 6 c 0 e a f f 0 - 0 b 1 6 - 4 a 5 a - 9 6 7 5 - 9 4 7 f 6 f 2 d 4 3 a 3 < / K e y > < V a l u e   x m l n s : a = " h t t p : / / s c h e m a s . d a t a c o n t r a c t . o r g / 2 0 0 4 / 0 7 / M i c r o s o f t . A n a l y s i s S e r v i c e s . C o m m o n " > < a : H a s F o c u s > t r u e < / a : H a s F o c u s > < a : S i z e A t D p i 9 6 > 1 0 3 < / a : S i z e A t D p i 9 6 > < a : V i s i b l e > t r u e < / a : V i s i b l e > < / V a l u e > < / K e y V a l u e O f s t r i n g S a n d b o x E d i t o r . M e a s u r e G r i d S t a t e S c d E 3 5 R y > < K e y V a l u e O f s t r i n g S a n d b o x E d i t o r . M e a s u r e G r i d S t a t e S c d E 3 5 R y > < K e y > P e r c e n t a g e _ E s t i m a t e s - 9 a f a c a 4 d - 4 2 5 4 - 4 b 1 3 - 9 3 5 9 - 6 6 d 4 c e d a b f a 7 < / K e y > < V a l u e   x m l n s : a = " h t t p : / / s c h e m a s . d a t a c o n t r a c t . o r g / 2 0 0 4 / 0 7 / M i c r o s o f t . A n a l y s i s S e r v i c e s . C o m m o n " > < a : H a s F o c u s > t r u e < / a : H a s F o c u s > < a : S i z e A t D p i 9 6 > 9 5 < / a : S i z e A t D p i 9 6 > < a : V i s i b l e > t r u e < / a : V i s i b l e > < / V a l u e > < / K e y V a l u e O f s t r i n g S a n d b o x E d i t o r . M e a s u r e G r i d S t a t e S c d E 3 5 R y > < K e y V a l u e O f s t r i n g S a n d b o x E d i t o r . M e a s u r e G r i d S t a t e S c d E 3 5 R y > < K e y > P i t w a t e r - 6 9 0 6 d 7 1 c - 4 6 7 5 - 4 3 9 f - b 4 c 9 - 7 a 9 2 d c d 5 e 1 7 4 < / K e y > < V a l u e   x m l n s : a = " h t t p : / / s c h e m a s . d a t a c o n t r a c t . o r g / 2 0 0 4 / 0 7 / M i c r o s o f t . A n a l y s i s S e r v i c e s . C o m m o n " > < a : H a s F o c u s > t r u e < / a : H a s F o c u s > < a : S i z e A t D p i 9 6 > 9 5 < / a : S i z e A t D p i 9 6 > < a : V i s i b l e > t r u e < / a : V i s i b l e > < / V a l u e > < / K e y V a l u e O f s t r i n g S a n d b o x E d i t o r . M e a s u r e G r i d S t a t e S c d E 3 5 R y > < K e y V a l u e O f s t r i n g S a n d b o x E d i t o r . M e a s u r e G r i d S t a t e S c d E 3 5 R y > < K e y > S o l a r - 5 b 7 d 4 e 0 e - 0 b 9 3 - 4 7 d 8 - a 8 8 b - b f a 9 1 0 8 0 0 7 0 5 < / K e y > < V a l u e   x m l n s : a = " h t t p : / / s c h e m a s . d a t a c o n t r a c t . o r g / 2 0 0 4 / 0 7 / M i c r o s o f t . A n a l y s i s S e r v i c e s . C o m m o n " > < a : H a s F o c u s > t r u e < / a : H a s F o c u s > < a : S i z e A t D p i 9 6 > 9 5 < / a : S i z e A t D p i 9 6 > < a : V i s i b l e > t r u e < / a : V i s i b l e > < / V a l u e > < / K e y V a l u e O f s t r i n g S a n d b o x E d i t o r . M e a s u r e G r i d S t a t e S c d E 3 5 R y > < K e y V a l u e O f s t r i n g S a n d b o x E d i t o r . M e a s u r e G r i d S t a t e S c d E 3 5 R y > < K e y > G r o u n d s _ F u e l s - 7 8 a 6 7 c 4 3 - f 5 e 2 - 4 8 9 4 - 8 d 2 9 - c 2 f e e 9 1 6 9 7 9 9 < / K e y > < V a l u e   x m l n s : a = " h t t p : / / s c h e m a s . d a t a c o n t r a c t . o r g / 2 0 0 4 / 0 7 / M i c r o s o f t . A n a l y s i s S e r v i c e s . C o m m o n " > < a : H a s F o c u s > f a l s e < / a : H a s F o c u s > < a : S i z e A t D p i 9 6 > 9 5 < / a : S i z e A t D p i 9 6 > < a : V i s i b l e > t r u e < / a : V i s i b l e > < / V a l u e > < / K e y V a l u e O f s t r i n g S a n d b o x E d i t o r . M e a s u r e G r i d S t a t e S c d E 3 5 R y > < K e y V a l u e O f s t r i n g S a n d b o x E d i t o r . M e a s u r e G r i d S t a t e S c d E 3 5 R y > < K e y > C o n t r a c t o r _ F u e l s - 4 e 8 5 a e d 0 - 1 f 0 b - 4 a d d - b 8 2 1 - 9 3 f 6 c 5 4 3 b 1 5 5 < / K e y > < V a l u e   x m l n s : a = " h t t p : / / s c h e m a s . d a t a c o n t r a c t . o r g / 2 0 0 4 / 0 7 / M i c r o s o f t . A n a l y s i s S e r v i c e s . C o m m o n " > < a : H a s F o c u s > t r u e < / a : H a s F o c u s > < a : S i z e A t D p i 9 6 > 9 6 < / a : S i z e A t D p i 9 6 > < a : V i s i b l e > t r u e < / a : V i s i b l e > < / V a l u e > < / K e y V a l u e O f s t r i n g S a n d b o x E d i t o r . M e a s u r e G r i d S t a t e S c d E 3 5 R y > < K e y V a l u e O f s t r i n g S a n d b o x E d i t o r . M e a s u r e G r i d S t a t e S c d E 3 5 R y > < K e y > A V I S - 9 c 8 f 3 f 3 7 - 1 a 5 4 - 4 3 8 2 - a b 4 f - c 4 d b f 6 b 7 9 1 6 4 < / K e y > < V a l u e   x m l n s : a = " h t t p : / / s c h e m a s . d a t a c o n t r a c t . o r g / 2 0 0 4 / 0 7 / M i c r o s o f t . A n a l y s i s S e r v i c e s . C o m m o n " > < a : H a s F o c u s > t r u e < / a : H a s F o c u s > < a : S i z e A t D p i 9 6 > 9 5 < / a : S i z e A t D p i 9 6 > < a : V i s i b l e > t r u e < / a : V i s i b l e > < / V a l u e > < / K e y V a l u e O f s t r i n g S a n d b o x E d i t o r . M e a s u r e G r i d S t a t e S c d E 3 5 R y > < K e y V a l u e O f s t r i n g S a n d b o x E d i t o r . M e a s u r e G r i d S t a t e S c d E 3 5 R y > < K e y > L P _ F l e e t - 6 5 9 7 5 e e 9 - 2 b 3 5 - 4 d 2 7 - b e 5 c - e 0 4 9 f c c f 8 9 0 8 < / K e y > < V a l u e   x m l n s : a = " h t t p : / / s c h e m a s . d a t a c o n t r a c t . o r g / 2 0 0 4 / 0 7 / M i c r o s o f t . A n a l y s i s S e r v i c e s . C o m m o n " > < a : H a s F o c u s > t r u e < / a : H a s F o c u s > < a : S i z e A t D p i 9 6 > 9 5 < / a : S i z e A t D p i 9 6 > < a : V i s i b l e > t r u e < / a : V i s i b l e > < / V a l u e > < / K e y V a l u e O f s t r i n g S a n d b o x E d i t o r . M e a s u r e G r i d S t a t e S c d E 3 5 R y > < K e y V a l u e O f s t r i n g S a n d b o x E d i t o r . M e a s u r e G r i d S t a t e S c d E 3 5 R y > < K e y > N O N _ G e n s e t - 4 8 d 7 7 5 a c - 5 e a 3 - 4 4 4 0 - 8 b b a - b 5 a 2 a f 1 4 7 2 5 7 < / K e y > < V a l u e   x m l n s : a = " h t t p : / / s c h e m a s . d a t a c o n t r a c t . o r g / 2 0 0 4 / 0 7 / M i c r o s o f t . A n a l y s i s S e r v i c e s . C o m m o n " > < a : H a s F o c u s > t r u e < / a : H a s F o c u s > < a : S i z e A t D p i 9 6 > 9 5 < / a : S i z e A t D p i 9 6 > < a : V i s i b l e > t r u e < / a : V i s i b l e > < / V a l u e > < / K e y V a l u e O f s t r i n g S a n d b o x E d i t o r . M e a s u r e G r i d S t a t e S c d E 3 5 R y > < K e y V a l u e O f s t r i n g S a n d b o x E d i t o r . M e a s u r e G r i d S t a t e S c d E 3 5 R y > < K e y > D C _ G e n s e t - 4 2 6 5 8 9 7 c - 6 0 1 6 - 4 8 f 1 - b 5 8 4 - 1 e 1 6 3 7 4 9 1 e 1 9 < / K e y > < V a l u e   x m l n s : a = " h t t p : / / s c h e m a s . d a t a c o n t r a c t . o r g / 2 0 0 4 / 0 7 / M i c r o s o f t . A n a l y s i s S e r v i c e s . C o m m o n " > < a : H a s F o c u s > t r u e < / a : H a s F o c u s > < a : S i z e A t D p i 9 6 > 9 5 < / a : S i z e A t D p i 9 6 > < a : V i s i b l e > t r u e < / a : V i s i b l e > < / V a l u e > < / K e y V a l u e O f s t r i n g S a n d b o x E d i t o r . M e a s u r e G r i d S t a t e S c d E 3 5 R y > < K e y V a l u e O f s t r i n g S a n d b o x E d i t o r . M e a s u r e G r i d S t a t e S c d E 3 5 R y > < K e y > T e l s t r a B C A - a c 3 3 1 e 7 1 - 7 5 f c - 4 c a c - 9 f e d - 4 e 2 c 4 6 a 8 f c 7 7 < / K e y > < V a l u e   x m l n s : a = " h t t p : / / s c h e m a s . d a t a c o n t r a c t . o r g / 2 0 0 4 / 0 7 / M i c r o s o f t . A n a l y s i s S e r v i c e s . C o m m o n " > < a : H a s F o c u s > t r u e < / a : H a s F o c u s > < a : S i z e A t D p i 9 6 > 9 5 < / a : S i z e A t D p i 9 6 > < a : V i s i b l e > t r u e < / a : V i s i b l e > < / V a l u e > < / K e y V a l u e O f s t r i n g S a n d b o x E d i t o r . M e a s u r e G r i d S t a t e S c d E 3 5 R y > < K e y V a l u e O f s t r i n g S a n d b o x E d i t o r . M e a s u r e G r i d S t a t e S c d E 3 5 R y > < K e y > N G E R S _ S t a t i o n a r y _ r e p o r t - c 8 c 1 4 b e a - 1 6 e 7 - 4 f 0 c - 8 5 5 9 - 6 f 3 9 6 0 7 0 9 6 b 5 < / K e y > < V a l u e   x m l n s : a = " h t t p : / / s c h e m a s . d a t a c o n t r a c t . o r g / 2 0 0 4 / 0 7 / M i c r o s o f t . A n a l y s i s S e r v i c e s . C o m m o n " > < a : H a s F o c u s > t r u e < / a : H a s F o c u s > < a : S i z e A t D p i 9 6 > 9 5 < / a : S i z e A t D p i 9 6 > < a : V i s i b l e > t r u e < / a : V i s i b l e > < / V a l u e > < / K e y V a l u e O f s t r i n g S a n d b o x E d i t o r . M e a s u r e G r i d S t a t e S c d E 3 5 R y > < K e y V a l u e O f s t r i n g S a n d b o x E d i t o r . M e a s u r e G r i d S t a t e S c d E 3 5 R y > < K e y > T a b l e 1 9 - e 1 f c 1 8 a 8 - 5 f a 9 - 4 5 7 2 - 8 6 d f - 7 b d f 7 7 7 7 e 2 4 e < / K e y > < V a l u e   x m l n s : a = " h t t p : / / s c h e m a s . d a t a c o n t r a c t . o r g / 2 0 0 4 / 0 7 / M i c r o s o f t . A n a l y s i s S e r v i c e s . C o m m o n " > < a : H a s F o c u s > t r u e < / a : H a s F o c u s > < a : S i z e A t D p i 9 6 > 9 5 < / a : S i z e A t D p i 9 6 > < a : V i s i b l e > t r u e < / a : V i s i b l e > < / V a l u e > < / K e y V a l u e O f s t r i n g S a n d b o x E d i t o r . M e a s u r e G r i d S t a t e S c d E 3 5 R y > < K e y V a l u e O f s t r i n g S a n d b o x E d i t o r . M e a s u r e G r i d S t a t e S c d E 3 5 R y > < K e y > F l i g h t _ M o d e l - 1 e 9 4 0 8 3 e - 8 d 4 a - 4 8 6 4 - b 5 8 7 - b f 3 e f 9 5 5 b 8 e 2 < / K e y > < V a l u e   x m l n s : a = " h t t p : / / s c h e m a s . d a t a c o n t r a c t . o r g / 2 0 0 4 / 0 7 / M i c r o s o f t . A n a l y s i s S e r v i c e s . C o m m o n " > < a : H a s F o c u s > t r u e < / a : H a s F o c u s > < a : S i z e A t D p i 9 6 > 9 5 < / a : S i z e A t D p i 9 6 > < a : V i s i b l e > t r u e < / a : V i s i b l e > < / V a l u e > < / K e y V a l u e O f s t r i n g S a n d b o x E d i t o r . M e a s u r e G r i d S t a t e S c d E 3 5 R y > < K e y V a l u e O f s t r i n g S a n d b o x E d i t o r . M e a s u r e G r i d S t a t e S c d E 3 5 R y > < K e y > P a p e r _ C S R - 7 f 3 9 0 a 5 7 - 9 5 d d - 4 2 d f - a b 3 f - 1 7 9 8 3 a 8 f 2 c 9 3 < / K e y > < V a l u e   x m l n s : a = " h t t p : / / s c h e m a s . d a t a c o n t r a c t . o r g / 2 0 0 4 / 0 7 / M i c r o s o f t . A n a l y s i s S e r v i c e s . C o m m o n " > < a : H a s F o c u s > t r u e < / a : H a s F o c u s > < a : S i z e A t D p i 9 6 > 9 5 < / a : S i z e A t D p i 9 6 > < a : V i s i b l e > t r u e < / a : V i s i b l e > < / V a l u e > < / K e y V a l u e O f s t r i n g S a n d b o x E d i t o r . M e a s u r e G r i d S t a t e S c d E 3 5 R y > < K e y V a l u e O f s t r i n g S a n d b o x E d i t o r . M e a s u r e G r i d S t a t e S c d E 3 5 R y > < K e y > S a v i n g s _ D a t a - e 0 1 f 4 f 2 8 - f a 1 a - 4 5 2 c - 8 e 8 4 - 8 3 0 8 4 e d f c e 6 2 < / K e y > < V a l u e   x m l n s : a = " h t t p : / / s c h e m a s . d a t a c o n t r a c t . o r g / 2 0 0 4 / 0 7 / M i c r o s o f t . A n a l y s i s S e r v i c e s . C o m m o n " > < a : H a s F o c u s > f a l s e < / a : H a s F o c u s > < a : S i z e A t D p i 9 6 > 9 5 < / a : S i z e A t D p i 9 6 > < a : V i s i b l e > t r u e < / a : V i s i b l e > < / V a l u e > < / K e y V a l u e O f s t r i n g S a n d b o x E d i t o r . M e a s u r e G r i d S t a t e S c d E 3 5 R y > < K e y V a l u e O f s t r i n g S a n d b o x E d i t o r . M e a s u r e G r i d S t a t e S c d E 3 5 R y > < K e y > C a l e n d a r < / 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99.xml>��< ? x m l   v e r s i o n = " 1 . 0 "   e n c o d i n g = " U T F - 1 6 " ? > < G e m i n i   x m l n s = " h t t p : / / g e m i n i / p i v o t c u s t o m i z a t i o n / e a b d e 5 4 f - 8 3 d d - 4 7 1 d - a e 8 b - 1 2 f 5 2 9 f a 2 c 1 c " > < C u s t o m C o n t e n t > < ! [ C D A T A [ < ? x m l   v e r s i o n = " 1 . 0 "   e n c o d i n g = " u t f - 1 6 " ? > < S e t t i n g s > < H S l i c e r s S h a p e > 0 ; 0 ; 0 ; 0 < / H S l i c e r s S h a p e > < V S l i c e r s S h a p e > 0 ; 0 ; 0 ; 0 < / V S l i c e r s S h a p e > < S l i c e r S h e e t N a m e > S u m m a r y   P i v o t < / S l i c e r S h e e t N a m e > < S A H o s t H a s h > 5 0 3 2 1 6 8 0 3 < / S A H o s t H a s h > < G e m i n i F i e l d L i s t V i s i b l e > T r u e < / G e m i n i F i e l d L i s t V i s i b l e > < / S e t t i n g s > ] ] > < / C u s t o m C o n t e n t > < / G e m i n i > 
</file>

<file path=customXml/itemProps1.xml><?xml version="1.0" encoding="utf-8"?>
<ds:datastoreItem xmlns:ds="http://schemas.openxmlformats.org/officeDocument/2006/customXml" ds:itemID="{718CA95A-27E0-4C80-88C8-D3ABA1AE320E}">
  <ds:schemaRefs>
    <ds:schemaRef ds:uri="http://gemini/pivotcustomization/FormulaBarState"/>
  </ds:schemaRefs>
</ds:datastoreItem>
</file>

<file path=customXml/itemProps10.xml><?xml version="1.0" encoding="utf-8"?>
<ds:datastoreItem xmlns:ds="http://schemas.openxmlformats.org/officeDocument/2006/customXml" ds:itemID="{738508CE-99AB-418D-A081-CA12E1850F60}">
  <ds:schemaRefs>
    <ds:schemaRef ds:uri="http://gemini/pivotcustomization/f02b24f9-dde4-4537-95e2-3d93b620933d"/>
  </ds:schemaRefs>
</ds:datastoreItem>
</file>

<file path=customXml/itemProps100.xml><?xml version="1.0" encoding="utf-8"?>
<ds:datastoreItem xmlns:ds="http://schemas.openxmlformats.org/officeDocument/2006/customXml" ds:itemID="{6BC10C1C-3884-445D-B37E-1F0EF55BAF3B}">
  <ds:schemaRefs>
    <ds:schemaRef ds:uri="http://gemini/pivotcustomization/e5d4cef4-9796-475d-b8f0-96163f2fd94e"/>
  </ds:schemaRefs>
</ds:datastoreItem>
</file>

<file path=customXml/itemProps101.xml><?xml version="1.0" encoding="utf-8"?>
<ds:datastoreItem xmlns:ds="http://schemas.openxmlformats.org/officeDocument/2006/customXml" ds:itemID="{CFB7564B-2CA7-42C5-AEBB-2B829976A278}">
  <ds:schemaRefs>
    <ds:schemaRef ds:uri="http://gemini/pivotcustomization/23dc1500-09d5-4bac-9c60-9fc2ab8f9bee"/>
  </ds:schemaRefs>
</ds:datastoreItem>
</file>

<file path=customXml/itemProps102.xml><?xml version="1.0" encoding="utf-8"?>
<ds:datastoreItem xmlns:ds="http://schemas.openxmlformats.org/officeDocument/2006/customXml" ds:itemID="{D96FD9CA-2E74-491E-9E70-E5A1103F5C6B}">
  <ds:schemaRefs>
    <ds:schemaRef ds:uri="http://gemini/pivotcustomization/SandboxNonEmpty"/>
  </ds:schemaRefs>
</ds:datastoreItem>
</file>

<file path=customXml/itemProps103.xml><?xml version="1.0" encoding="utf-8"?>
<ds:datastoreItem xmlns:ds="http://schemas.openxmlformats.org/officeDocument/2006/customXml" ds:itemID="{53D14CA9-703A-4951-BC1D-716A2A39923C}">
  <ds:schemaRefs>
    <ds:schemaRef ds:uri="http://gemini/pivotcustomization/a010378e-4c39-40cd-8661-cb73d4c834fe"/>
  </ds:schemaRefs>
</ds:datastoreItem>
</file>

<file path=customXml/itemProps104.xml><?xml version="1.0" encoding="utf-8"?>
<ds:datastoreItem xmlns:ds="http://schemas.openxmlformats.org/officeDocument/2006/customXml" ds:itemID="{59C14A33-16E2-417E-B4B7-D02FFD3048CF}">
  <ds:schemaRefs>
    <ds:schemaRef ds:uri="http://gemini/pivotcustomization/b8005bdc-f27a-4549-a2b3-a98a90ab6cbb"/>
  </ds:schemaRefs>
</ds:datastoreItem>
</file>

<file path=customXml/itemProps105.xml><?xml version="1.0" encoding="utf-8"?>
<ds:datastoreItem xmlns:ds="http://schemas.openxmlformats.org/officeDocument/2006/customXml" ds:itemID="{BAE3E443-1061-4899-B42C-8915F3840F81}">
  <ds:schemaRefs>
    <ds:schemaRef ds:uri="http://gemini/pivotcustomization/5863e6ba-6733-4878-92fd-1e4764eeef63"/>
  </ds:schemaRefs>
</ds:datastoreItem>
</file>

<file path=customXml/itemProps106.xml><?xml version="1.0" encoding="utf-8"?>
<ds:datastoreItem xmlns:ds="http://schemas.openxmlformats.org/officeDocument/2006/customXml" ds:itemID="{53E35DE0-2EE0-41AA-97F4-A63BFDE5476D}">
  <ds:schemaRefs>
    <ds:schemaRef ds:uri="http://gemini/pivotcustomization/TableXML_Range-90521082-ed0a-4e6d-9153-01a78fab7a38"/>
  </ds:schemaRefs>
</ds:datastoreItem>
</file>

<file path=customXml/itemProps107.xml><?xml version="1.0" encoding="utf-8"?>
<ds:datastoreItem xmlns:ds="http://schemas.openxmlformats.org/officeDocument/2006/customXml" ds:itemID="{CFC8D5F4-87A6-4488-8489-289AF1861472}">
  <ds:schemaRefs>
    <ds:schemaRef ds:uri="http://gemini/pivotcustomization/RelationshipAutoDetectionEnabled"/>
  </ds:schemaRefs>
</ds:datastoreItem>
</file>

<file path=customXml/itemProps108.xml><?xml version="1.0" encoding="utf-8"?>
<ds:datastoreItem xmlns:ds="http://schemas.openxmlformats.org/officeDocument/2006/customXml" ds:itemID="{3415CF22-8252-4B37-A5D9-9DC6D8E802DE}">
  <ds:schemaRefs>
    <ds:schemaRef ds:uri="http://gemini/pivotcustomization/d61f79e0-03e1-4f39-b8aa-d3875bd92e2e"/>
  </ds:schemaRefs>
</ds:datastoreItem>
</file>

<file path=customXml/itemProps109.xml><?xml version="1.0" encoding="utf-8"?>
<ds:datastoreItem xmlns:ds="http://schemas.openxmlformats.org/officeDocument/2006/customXml" ds:itemID="{E8AE2768-87CB-4201-82DD-2963F08D1FDF}">
  <ds:schemaRefs>
    <ds:schemaRef ds:uri="http://gemini/pivotcustomization/TableXML_LP_Fleet-65975ee9-2b35-4d27-be5c-e049fccf8908"/>
  </ds:schemaRefs>
</ds:datastoreItem>
</file>

<file path=customXml/itemProps11.xml><?xml version="1.0" encoding="utf-8"?>
<ds:datastoreItem xmlns:ds="http://schemas.openxmlformats.org/officeDocument/2006/customXml" ds:itemID="{0F001198-F0C9-4B94-9B9A-87097261ED12}">
  <ds:schemaRefs>
    <ds:schemaRef ds:uri="http://gemini/pivotcustomization/a964c095-bfd5-40af-a689-00ac0855de3c"/>
  </ds:schemaRefs>
</ds:datastoreItem>
</file>

<file path=customXml/itemProps110.xml><?xml version="1.0" encoding="utf-8"?>
<ds:datastoreItem xmlns:ds="http://schemas.openxmlformats.org/officeDocument/2006/customXml" ds:itemID="{5DDE8AE0-A3A3-46B8-97C3-9E01CA27253B}">
  <ds:schemaRefs>
    <ds:schemaRef ds:uri="http://gemini/pivotcustomization/4c094fdc-f2a0-4ef2-baf8-dbecf71c3cdf"/>
  </ds:schemaRefs>
</ds:datastoreItem>
</file>

<file path=customXml/itemProps111.xml><?xml version="1.0" encoding="utf-8"?>
<ds:datastoreItem xmlns:ds="http://schemas.openxmlformats.org/officeDocument/2006/customXml" ds:itemID="{53C3D81E-E571-46F5-886C-8BB873E446C0}">
  <ds:schemaRefs>
    <ds:schemaRef ds:uri="http://gemini/pivotcustomization/197c561c-3b97-48af-b77b-376d82709c8b"/>
  </ds:schemaRefs>
</ds:datastoreItem>
</file>

<file path=customXml/itemProps112.xml><?xml version="1.0" encoding="utf-8"?>
<ds:datastoreItem xmlns:ds="http://schemas.openxmlformats.org/officeDocument/2006/customXml" ds:itemID="{AC66EE70-72CE-482C-A1DB-38C165FB85AC}">
  <ds:schemaRefs>
    <ds:schemaRef ds:uri="http://gemini/pivotcustomization/18ec4297-2dfc-47c0-b2e8-1a56c5f05818"/>
  </ds:schemaRefs>
</ds:datastoreItem>
</file>

<file path=customXml/itemProps12.xml><?xml version="1.0" encoding="utf-8"?>
<ds:datastoreItem xmlns:ds="http://schemas.openxmlformats.org/officeDocument/2006/customXml" ds:itemID="{65AF2B60-CEF4-4C53-9121-AD2A913D1DDF}">
  <ds:schemaRefs>
    <ds:schemaRef ds:uri="http://gemini/pivotcustomization/59555901-3dab-4ada-a195-51a71ef4c146"/>
  </ds:schemaRefs>
</ds:datastoreItem>
</file>

<file path=customXml/itemProps13.xml><?xml version="1.0" encoding="utf-8"?>
<ds:datastoreItem xmlns:ds="http://schemas.openxmlformats.org/officeDocument/2006/customXml" ds:itemID="{DB20BBF5-169C-46E0-9260-DB666F0A47B9}">
  <ds:schemaRefs>
    <ds:schemaRef ds:uri="http://gemini/pivotcustomization/de81a6bf-6519-487d-8762-5a1ec5162d94"/>
  </ds:schemaRefs>
</ds:datastoreItem>
</file>

<file path=customXml/itemProps14.xml><?xml version="1.0" encoding="utf-8"?>
<ds:datastoreItem xmlns:ds="http://schemas.openxmlformats.org/officeDocument/2006/customXml" ds:itemID="{11C453FA-CFBA-4E82-A1A4-75CF2A2DA9CA}">
  <ds:schemaRefs>
    <ds:schemaRef ds:uri="http://gemini/pivotcustomization/TableXML_Table19-e1fc18a8-5fa9-4572-86df-7bdf7777e24e"/>
  </ds:schemaRefs>
</ds:datastoreItem>
</file>

<file path=customXml/itemProps15.xml><?xml version="1.0" encoding="utf-8"?>
<ds:datastoreItem xmlns:ds="http://schemas.openxmlformats.org/officeDocument/2006/customXml" ds:itemID="{8D8F5396-62C9-4F8D-937D-556C7E433AD2}">
  <ds:schemaRefs>
    <ds:schemaRef ds:uri="http://gemini/pivotcustomization/e2bea389-590e-4aa4-8425-8cd4b49bdca5"/>
  </ds:schemaRefs>
</ds:datastoreItem>
</file>

<file path=customXml/itemProps16.xml><?xml version="1.0" encoding="utf-8"?>
<ds:datastoreItem xmlns:ds="http://schemas.openxmlformats.org/officeDocument/2006/customXml" ds:itemID="{463C824E-5D7C-444C-96DA-32EA50546DF4}">
  <ds:schemaRefs>
    <ds:schemaRef ds:uri="http://gemini/pivotcustomization/cf54e66b-07ce-49b0-84b6-d0c6ba9e0229"/>
  </ds:schemaRefs>
</ds:datastoreItem>
</file>

<file path=customXml/itemProps17.xml><?xml version="1.0" encoding="utf-8"?>
<ds:datastoreItem xmlns:ds="http://schemas.openxmlformats.org/officeDocument/2006/customXml" ds:itemID="{02245C59-1266-4F79-B0E6-F5B950CC0208}">
  <ds:schemaRefs>
    <ds:schemaRef ds:uri="http://gemini/pivotcustomization/TableXML_Paper_CSR-7f390a57-95dd-42df-ab3f-17983a8f2c93"/>
  </ds:schemaRefs>
</ds:datastoreItem>
</file>

<file path=customXml/itemProps18.xml><?xml version="1.0" encoding="utf-8"?>
<ds:datastoreItem xmlns:ds="http://schemas.openxmlformats.org/officeDocument/2006/customXml" ds:itemID="{55BE42CC-5A05-4CC1-A882-7F672EADEF09}">
  <ds:schemaRefs>
    <ds:schemaRef ds:uri="http://schemas.microsoft.com/sharepoint/v3/contenttype/forms"/>
  </ds:schemaRefs>
</ds:datastoreItem>
</file>

<file path=customXml/itemProps19.xml><?xml version="1.0" encoding="utf-8"?>
<ds:datastoreItem xmlns:ds="http://schemas.openxmlformats.org/officeDocument/2006/customXml" ds:itemID="{E3C5002E-06BF-480A-B459-787963F53404}">
  <ds:schemaRefs>
    <ds:schemaRef ds:uri="http://gemini/pivotcustomization/2789befd-d0c9-479d-8a27-f062665c49e0"/>
  </ds:schemaRefs>
</ds:datastoreItem>
</file>

<file path=customXml/itemProps2.xml><?xml version="1.0" encoding="utf-8"?>
<ds:datastoreItem xmlns:ds="http://schemas.openxmlformats.org/officeDocument/2006/customXml" ds:itemID="{FFC02410-504B-4D2D-B6A5-998A8A0D6A3F}">
  <ds:schemaRefs>
    <ds:schemaRef ds:uri="http://gemini/pivotcustomization/ac42ca41-a83c-4cc6-90c7-1a4c2175b57f"/>
  </ds:schemaRefs>
</ds:datastoreItem>
</file>

<file path=customXml/itemProps20.xml><?xml version="1.0" encoding="utf-8"?>
<ds:datastoreItem xmlns:ds="http://schemas.openxmlformats.org/officeDocument/2006/customXml" ds:itemID="{C0719B83-00B9-4362-B8BE-FD5EF5B23275}">
  <ds:schemaRefs>
    <ds:schemaRef ds:uri="http://gemini/pivotcustomization/TableXML_Range-ae1a8bbd-720e-4185-bea0-74280a8d42c9"/>
  </ds:schemaRefs>
</ds:datastoreItem>
</file>

<file path=customXml/itemProps21.xml><?xml version="1.0" encoding="utf-8"?>
<ds:datastoreItem xmlns:ds="http://schemas.openxmlformats.org/officeDocument/2006/customXml" ds:itemID="{E12C8BE7-021A-4C56-9B77-09E91F58FF8B}">
  <ds:schemaRefs>
    <ds:schemaRef ds:uri="http://gemini/pivotcustomization/TableXML_Contractor_Fuels-4e85aed0-1f0b-4add-b821-93f6c543b155"/>
  </ds:schemaRefs>
</ds:datastoreItem>
</file>

<file path=customXml/itemProps22.xml><?xml version="1.0" encoding="utf-8"?>
<ds:datastoreItem xmlns:ds="http://schemas.openxmlformats.org/officeDocument/2006/customXml" ds:itemID="{7F4EE749-BB34-4291-AFBC-D8A4DDC15A2D}">
  <ds:schemaRefs>
    <ds:schemaRef ds:uri="http://gemini/pivotcustomization/c5e141b3-529a-429e-afd8-8a94933618d5"/>
  </ds:schemaRefs>
</ds:datastoreItem>
</file>

<file path=customXml/itemProps23.xml><?xml version="1.0" encoding="utf-8"?>
<ds:datastoreItem xmlns:ds="http://schemas.openxmlformats.org/officeDocument/2006/customXml" ds:itemID="{6BDBB670-3ED8-4223-B573-F38033A428FD}">
  <ds:schemaRefs>
    <ds:schemaRef ds:uri="http://gemini/pivotcustomization/373d8629-f9ff-40d6-902b-3f87659b0236"/>
  </ds:schemaRefs>
</ds:datastoreItem>
</file>

<file path=customXml/itemProps24.xml><?xml version="1.0" encoding="utf-8"?>
<ds:datastoreItem xmlns:ds="http://schemas.openxmlformats.org/officeDocument/2006/customXml" ds:itemID="{F339AD47-E4BA-4C05-8184-8EC8C85E786F}">
  <ds:schemaRefs>
    <ds:schemaRef ds:uri="http://gemini/pivotcustomization/TableCountInSandbox"/>
  </ds:schemaRefs>
</ds:datastoreItem>
</file>

<file path=customXml/itemProps25.xml><?xml version="1.0" encoding="utf-8"?>
<ds:datastoreItem xmlns:ds="http://schemas.openxmlformats.org/officeDocument/2006/customXml" ds:itemID="{8955EE8B-7D44-4D4F-9ABB-7A5488F4CD96}">
  <ds:schemaRefs>
    <ds:schemaRef ds:uri="http://gemini/pivotcustomization/TableXML_NON_Genset-48d775ac-5ea3-4440-8bba-b5a2af147257"/>
  </ds:schemaRefs>
</ds:datastoreItem>
</file>

<file path=customXml/itemProps26.xml><?xml version="1.0" encoding="utf-8"?>
<ds:datastoreItem xmlns:ds="http://schemas.openxmlformats.org/officeDocument/2006/customXml" ds:itemID="{8123CD13-4958-4528-A314-A6F0E9C5E8DE}">
  <ds:schemaRefs>
    <ds:schemaRef ds:uri="http://gemini/pivotcustomization/676eafe9-46ad-47d5-94ba-61b86ffe0a81"/>
  </ds:schemaRefs>
</ds:datastoreItem>
</file>

<file path=customXml/itemProps27.xml><?xml version="1.0" encoding="utf-8"?>
<ds:datastoreItem xmlns:ds="http://schemas.openxmlformats.org/officeDocument/2006/customXml" ds:itemID="{9CA526B4-13F5-4481-A5CE-68D27366C061}">
  <ds:schemaRefs>
    <ds:schemaRef ds:uri="http://gemini/pivotcustomization/TableXML_Savings_Data-e01f4f28-fa1a-452c-8e84-83084edfce62"/>
  </ds:schemaRefs>
</ds:datastoreItem>
</file>

<file path=customXml/itemProps28.xml><?xml version="1.0" encoding="utf-8"?>
<ds:datastoreItem xmlns:ds="http://schemas.openxmlformats.org/officeDocument/2006/customXml" ds:itemID="{7142C6D4-0FB3-4285-9CCE-22E50085DB6B}">
  <ds:schemaRefs>
    <ds:schemaRef ds:uri="http://gemini/pivotcustomization/85c5dc92-ad51-4433-bf27-5c789f6307cc"/>
  </ds:schemaRefs>
</ds:datastoreItem>
</file>

<file path=customXml/itemProps29.xml><?xml version="1.0" encoding="utf-8"?>
<ds:datastoreItem xmlns:ds="http://schemas.openxmlformats.org/officeDocument/2006/customXml" ds:itemID="{A5CEA4F8-E458-4E15-9C2B-0B956012382D}">
  <ds:schemaRefs>
    <ds:schemaRef ds:uri="http://gemini/pivotcustomization/e61b064a-e8c5-4693-9e1b-92a31cafa5b1"/>
  </ds:schemaRefs>
</ds:datastoreItem>
</file>

<file path=customXml/itemProps3.xml><?xml version="1.0" encoding="utf-8"?>
<ds:datastoreItem xmlns:ds="http://schemas.openxmlformats.org/officeDocument/2006/customXml" ds:itemID="{E238E515-3AE5-4967-AFA9-2A1F5CC6F461}">
  <ds:schemaRefs>
    <ds:schemaRef ds:uri="http://gemini/pivotcustomization/TableXML_Calendar"/>
  </ds:schemaRefs>
</ds:datastoreItem>
</file>

<file path=customXml/itemProps30.xml><?xml version="1.0" encoding="utf-8"?>
<ds:datastoreItem xmlns:ds="http://schemas.openxmlformats.org/officeDocument/2006/customXml" ds:itemID="{D88989CF-3914-42B3-B326-F513E9400E83}">
  <ds:schemaRefs>
    <ds:schemaRef ds:uri="http://gemini/pivotcustomization/TableXML_NBN_Removal-ffcb18a9-02c6-4159-b053-cbed52187f16"/>
  </ds:schemaRefs>
</ds:datastoreItem>
</file>

<file path=customXml/itemProps31.xml><?xml version="1.0" encoding="utf-8"?>
<ds:datastoreItem xmlns:ds="http://schemas.openxmlformats.org/officeDocument/2006/customXml" ds:itemID="{A916CCD7-5D81-492F-A7D7-BBE88333E90A}">
  <ds:schemaRefs>
    <ds:schemaRef ds:uri="http://gemini/pivotcustomization/c7375d7d-6905-4a29-95cd-41ba151a3f44"/>
  </ds:schemaRefs>
</ds:datastoreItem>
</file>

<file path=customXml/itemProps32.xml><?xml version="1.0" encoding="utf-8"?>
<ds:datastoreItem xmlns:ds="http://schemas.openxmlformats.org/officeDocument/2006/customXml" ds:itemID="{21A6D1B8-F60E-40A9-8E21-0E28BE3496D9}">
  <ds:schemaRefs>
    <ds:schemaRef ds:uri="http://gemini/pivotcustomization/TableWidget"/>
  </ds:schemaRefs>
</ds:datastoreItem>
</file>

<file path=customXml/itemProps33.xml><?xml version="1.0" encoding="utf-8"?>
<ds:datastoreItem xmlns:ds="http://schemas.openxmlformats.org/officeDocument/2006/customXml" ds:itemID="{CDE151FD-B65A-4D96-B7BB-A5F09781E0A8}">
  <ds:schemaRefs>
    <ds:schemaRef ds:uri="http://gemini/pivotcustomization/467885c5-1d32-4c4a-8720-c8de26c96050"/>
  </ds:schemaRefs>
</ds:datastoreItem>
</file>

<file path=customXml/itemProps34.xml><?xml version="1.0" encoding="utf-8"?>
<ds:datastoreItem xmlns:ds="http://schemas.openxmlformats.org/officeDocument/2006/customXml" ds:itemID="{AAF3854F-499C-4710-BE7C-0B7115A91CA2}">
  <ds:schemaRefs>
    <ds:schemaRef ds:uri="http://gemini/pivotcustomization/4833694a-ecaa-411a-ba11-93aedc8d44d6"/>
  </ds:schemaRefs>
</ds:datastoreItem>
</file>

<file path=customXml/itemProps35.xml><?xml version="1.0" encoding="utf-8"?>
<ds:datastoreItem xmlns:ds="http://schemas.openxmlformats.org/officeDocument/2006/customXml" ds:itemID="{00E11B6C-A00B-487E-A606-853D49FC5B81}">
  <ds:schemaRefs>
    <ds:schemaRef ds:uri="http://gemini/pivotcustomization/26e5693a-103f-4a07-8f88-23314fc17b38"/>
  </ds:schemaRefs>
</ds:datastoreItem>
</file>

<file path=customXml/itemProps36.xml><?xml version="1.0" encoding="utf-8"?>
<ds:datastoreItem xmlns:ds="http://schemas.openxmlformats.org/officeDocument/2006/customXml" ds:itemID="{363A641E-8CD2-498B-91BB-1759FE51FA14}">
  <ds:schemaRefs>
    <ds:schemaRef ds:uri="http://gemini/pivotcustomization/fab6e41f-ba46-4b26-9fdc-8d332bf776bf"/>
  </ds:schemaRefs>
</ds:datastoreItem>
</file>

<file path=customXml/itemProps37.xml><?xml version="1.0" encoding="utf-8"?>
<ds:datastoreItem xmlns:ds="http://schemas.openxmlformats.org/officeDocument/2006/customXml" ds:itemID="{4F4A2201-E4E2-404A-B4E1-E526914000FA}">
  <ds:schemaRefs>
    <ds:schemaRef ds:uri="http://gemini/pivotcustomization/TableXML_Grounds_Fuels-78a67c43-f5e2-4894-8d29-c2fee9169799"/>
  </ds:schemaRefs>
</ds:datastoreItem>
</file>

<file path=customXml/itemProps38.xml><?xml version="1.0" encoding="utf-8"?>
<ds:datastoreItem xmlns:ds="http://schemas.openxmlformats.org/officeDocument/2006/customXml" ds:itemID="{478CB03F-2AA6-4450-944C-200E7291FB13}">
  <ds:schemaRefs>
    <ds:schemaRef ds:uri="http://gemini/pivotcustomization/a2239ecf-4e74-42b4-9940-34f723c531db"/>
  </ds:schemaRefs>
</ds:datastoreItem>
</file>

<file path=customXml/itemProps39.xml><?xml version="1.0" encoding="utf-8"?>
<ds:datastoreItem xmlns:ds="http://schemas.openxmlformats.org/officeDocument/2006/customXml" ds:itemID="{369E4C64-EE05-4BAE-8F9B-4D478FD2E126}">
  <ds:schemaRefs>
    <ds:schemaRef ds:uri="http://gemini/pivotcustomization/ad8db24d-7fe7-4680-94cf-8c6b64bae2e6"/>
  </ds:schemaRefs>
</ds:datastoreItem>
</file>

<file path=customXml/itemProps4.xml><?xml version="1.0" encoding="utf-8"?>
<ds:datastoreItem xmlns:ds="http://schemas.openxmlformats.org/officeDocument/2006/customXml" ds:itemID="{658BB251-229F-4BB5-9FDA-95B0E4A522BD}">
  <ds:schemaRefs>
    <ds:schemaRef ds:uri="http://gemini/pivotcustomization/11107902-d5c0-4f44-bbc8-e15493007375"/>
  </ds:schemaRefs>
</ds:datastoreItem>
</file>

<file path=customXml/itemProps40.xml><?xml version="1.0" encoding="utf-8"?>
<ds:datastoreItem xmlns:ds="http://schemas.openxmlformats.org/officeDocument/2006/customXml" ds:itemID="{86893C9A-B275-447E-AF35-637CEA10AEBC}">
  <ds:schemaRefs>
    <ds:schemaRef ds:uri="http://gemini/pivotcustomization/TableXML_GHG-390a778f-a1b0-44e0-9a93-2e25c9ea9fe5"/>
  </ds:schemaRefs>
</ds:datastoreItem>
</file>

<file path=customXml/itemProps41.xml><?xml version="1.0" encoding="utf-8"?>
<ds:datastoreItem xmlns:ds="http://schemas.openxmlformats.org/officeDocument/2006/customXml" ds:itemID="{C85D01D8-1981-4F88-8002-2646967E1A0D}">
  <ds:schemaRefs>
    <ds:schemaRef ds:uri="http://gemini/pivotcustomization/ErrorCache"/>
  </ds:schemaRefs>
</ds:datastoreItem>
</file>

<file path=customXml/itemProps42.xml><?xml version="1.0" encoding="utf-8"?>
<ds:datastoreItem xmlns:ds="http://schemas.openxmlformats.org/officeDocument/2006/customXml" ds:itemID="{DB1F21C7-9F5C-422C-8F52-94647643EA82}">
  <ds:schemaRefs>
    <ds:schemaRef ds:uri="http://gemini/pivotcustomization/bcfbc80f-5955-4eef-a10d-6b1371933653"/>
  </ds:schemaRefs>
</ds:datastoreItem>
</file>

<file path=customXml/itemProps43.xml><?xml version="1.0" encoding="utf-8"?>
<ds:datastoreItem xmlns:ds="http://schemas.openxmlformats.org/officeDocument/2006/customXml" ds:itemID="{7A1E028F-DCE5-405A-974D-54F0D2084D7D}">
  <ds:schemaRefs>
    <ds:schemaRef ds:uri="http://gemini/pivotcustomization/a28a1102-dc33-462b-b31f-5fb2bc049d6d"/>
  </ds:schemaRefs>
</ds:datastoreItem>
</file>

<file path=customXml/itemProps44.xml><?xml version="1.0" encoding="utf-8"?>
<ds:datastoreItem xmlns:ds="http://schemas.openxmlformats.org/officeDocument/2006/customXml" ds:itemID="{C3286369-D0AC-4D0B-A67C-614A84F4A919}">
  <ds:schemaRefs>
    <ds:schemaRef ds:uri="http://gemini/pivotcustomization/03c5c983-f8fb-43b8-b67e-86e520f222fd"/>
  </ds:schemaRefs>
</ds:datastoreItem>
</file>

<file path=customXml/itemProps45.xml><?xml version="1.0" encoding="utf-8"?>
<ds:datastoreItem xmlns:ds="http://schemas.openxmlformats.org/officeDocument/2006/customXml" ds:itemID="{3E2D017F-38C1-4037-8C66-847731C27521}">
  <ds:schemaRefs>
    <ds:schemaRef ds:uri="http://gemini/pivotcustomization/6987f321-6aeb-4d9b-b4a0-75b3c4719bca"/>
  </ds:schemaRefs>
</ds:datastoreItem>
</file>

<file path=customXml/itemProps46.xml><?xml version="1.0" encoding="utf-8"?>
<ds:datastoreItem xmlns:ds="http://schemas.openxmlformats.org/officeDocument/2006/customXml" ds:itemID="{FECD0E07-5ABA-4A07-A5A0-E5459907F168}">
  <ds:schemaRefs>
    <ds:schemaRef ds:uri="http://gemini/pivotcustomization/a72cb477-6969-4ce4-9383-90952aab4f80"/>
  </ds:schemaRefs>
</ds:datastoreItem>
</file>

<file path=customXml/itemProps47.xml><?xml version="1.0" encoding="utf-8"?>
<ds:datastoreItem xmlns:ds="http://schemas.openxmlformats.org/officeDocument/2006/customXml" ds:itemID="{5384E0C0-69D1-43F5-AA16-2CB06F9CE762}">
  <ds:schemaRefs>
    <ds:schemaRef ds:uri="http://gemini/pivotcustomization/c578b1fe-6527-4b54-9cb5-ab229ff4b001"/>
  </ds:schemaRefs>
</ds:datastoreItem>
</file>

<file path=customXml/itemProps48.xml><?xml version="1.0" encoding="utf-8"?>
<ds:datastoreItem xmlns:ds="http://schemas.openxmlformats.org/officeDocument/2006/customXml" ds:itemID="{4737946F-A594-4DFB-AB9E-4529DB682988}">
  <ds:schemaRefs>
    <ds:schemaRef ds:uri="http://gemini/pivotcustomization/TableXML_Pitwater-6906d71c-4675-439f-b4c9-7a92dcd5e174"/>
  </ds:schemaRefs>
</ds:datastoreItem>
</file>

<file path=customXml/itemProps49.xml><?xml version="1.0" encoding="utf-8"?>
<ds:datastoreItem xmlns:ds="http://schemas.openxmlformats.org/officeDocument/2006/customXml" ds:itemID="{77E4F803-A975-4602-BA94-61C1DB4FF0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7b2f30-2231-41e0-b86a-1257079ed7b5"/>
    <ds:schemaRef ds:uri="f6156fdc-1b67-4e65-a7eb-2d097edf2cd6"/>
    <ds:schemaRef ds:uri="c7b56d83-7d92-4d5e-8552-dd44030ff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6CDED9B-9B73-4E51-8A19-A4BE0BAD5350}">
  <ds:schemaRefs>
    <ds:schemaRef ds:uri="http://gemini/pivotcustomization/TableXML_TelstraBCA-ac331e71-75fc-4cac-9fed-4e2c46a8fc77"/>
  </ds:schemaRefs>
</ds:datastoreItem>
</file>

<file path=customXml/itemProps50.xml><?xml version="1.0" encoding="utf-8"?>
<ds:datastoreItem xmlns:ds="http://schemas.openxmlformats.org/officeDocument/2006/customXml" ds:itemID="{5A055E4C-DC6D-4414-B18A-5075364CA397}">
  <ds:schemaRefs>
    <ds:schemaRef ds:uri="http://gemini/pivotcustomization/TableXML_Data_Entry-4b67148b-2add-46fc-af5f-5d796524d7f4"/>
  </ds:schemaRefs>
</ds:datastoreItem>
</file>

<file path=customXml/itemProps51.xml><?xml version="1.0" encoding="utf-8"?>
<ds:datastoreItem xmlns:ds="http://schemas.openxmlformats.org/officeDocument/2006/customXml" ds:itemID="{A7CE05F1-C944-455C-BF12-8FF01E281595}">
  <ds:schemaRefs>
    <ds:schemaRef ds:uri="http://gemini/pivotcustomization/0114c1a8-401f-449f-b797-5e3da7f47d91"/>
  </ds:schemaRefs>
</ds:datastoreItem>
</file>

<file path=customXml/itemProps52.xml><?xml version="1.0" encoding="utf-8"?>
<ds:datastoreItem xmlns:ds="http://schemas.openxmlformats.org/officeDocument/2006/customXml" ds:itemID="{BF7EC4D6-54FA-44AC-83E9-6A2B6776C4DB}">
  <ds:schemaRefs>
    <ds:schemaRef ds:uri="http://gemini/pivotcustomization/c41e9c5e-1fd8-4198-bdbc-1bbedeb92aba"/>
  </ds:schemaRefs>
</ds:datastoreItem>
</file>

<file path=customXml/itemProps53.xml><?xml version="1.0" encoding="utf-8"?>
<ds:datastoreItem xmlns:ds="http://schemas.openxmlformats.org/officeDocument/2006/customXml" ds:itemID="{6D5E0C70-698A-4662-86DF-95E271BB974A}">
  <ds:schemaRefs>
    <ds:schemaRef ds:uri="http://gemini/pivotcustomization/TableXML_NET_Genset_Grounds-6c0eaff0-0b16-4a5a-9675-947f6f2d43a3"/>
  </ds:schemaRefs>
</ds:datastoreItem>
</file>

<file path=customXml/itemProps54.xml><?xml version="1.0" encoding="utf-8"?>
<ds:datastoreItem xmlns:ds="http://schemas.openxmlformats.org/officeDocument/2006/customXml" ds:itemID="{F78699F3-6A22-4794-905B-2E26E0FBBF85}">
  <ds:schemaRefs>
    <ds:schemaRef ds:uri="http://gemini/pivotcustomization/TableXML_Query 2_a4009ba7-2b04-4d79-aa87-e1bf373a08d5"/>
  </ds:schemaRefs>
</ds:datastoreItem>
</file>

<file path=customXml/itemProps55.xml><?xml version="1.0" encoding="utf-8"?>
<ds:datastoreItem xmlns:ds="http://schemas.openxmlformats.org/officeDocument/2006/customXml" ds:itemID="{FBFB8BF8-FAD7-443A-ADB6-5658BD0C6571}">
  <ds:schemaRefs>
    <ds:schemaRef ds:uri="http://gemini/pivotcustomization/TableXML_Query 1_7a2c7c0b-0e9b-4492-9d3f-09ac71818e08"/>
  </ds:schemaRefs>
</ds:datastoreItem>
</file>

<file path=customXml/itemProps56.xml><?xml version="1.0" encoding="utf-8"?>
<ds:datastoreItem xmlns:ds="http://schemas.openxmlformats.org/officeDocument/2006/customXml" ds:itemID="{60147C24-3BE1-441C-95C6-23DA44C39FFC}">
  <ds:schemaRefs>
    <ds:schemaRef ds:uri="http://gemini/pivotcustomization/fc62275a-49f5-4d21-a79d-5d7183cd772d"/>
  </ds:schemaRefs>
</ds:datastoreItem>
</file>

<file path=customXml/itemProps57.xml><?xml version="1.0" encoding="utf-8"?>
<ds:datastoreItem xmlns:ds="http://schemas.openxmlformats.org/officeDocument/2006/customXml" ds:itemID="{ED5F817D-D2F0-4544-832C-9CD7014564C0}">
  <ds:schemaRefs>
    <ds:schemaRef ds:uri="http://gemini/pivotcustomization/9e3e0bcd-8832-47e7-987b-43415e941e37"/>
  </ds:schemaRefs>
</ds:datastoreItem>
</file>

<file path=customXml/itemProps58.xml><?xml version="1.0" encoding="utf-8"?>
<ds:datastoreItem xmlns:ds="http://schemas.openxmlformats.org/officeDocument/2006/customXml" ds:itemID="{36A20433-3B4C-488A-9392-14D8404B8512}">
  <ds:schemaRefs>
    <ds:schemaRef ds:uri="http://gemini/pivotcustomization/PowerPivotVersion"/>
  </ds:schemaRefs>
</ds:datastoreItem>
</file>

<file path=customXml/itemProps59.xml><?xml version="1.0" encoding="utf-8"?>
<ds:datastoreItem xmlns:ds="http://schemas.openxmlformats.org/officeDocument/2006/customXml" ds:itemID="{29298D24-1953-4552-8D98-1428C6E8BE75}">
  <ds:schemaRefs>
    <ds:schemaRef ds:uri="http://gemini/pivotcustomization/TableXML_Flight_Model-1e94083e-8d4a-4864-b587-bf3ef955b8e2"/>
  </ds:schemaRefs>
</ds:datastoreItem>
</file>

<file path=customXml/itemProps6.xml><?xml version="1.0" encoding="utf-8"?>
<ds:datastoreItem xmlns:ds="http://schemas.openxmlformats.org/officeDocument/2006/customXml" ds:itemID="{C550046D-29C1-4242-8F6D-CBB6766FB606}">
  <ds:schemaRefs>
    <ds:schemaRef ds:uri="http://gemini/pivotcustomization/c3a3327d-6b06-4404-a024-3cd1dd7d06d4"/>
  </ds:schemaRefs>
</ds:datastoreItem>
</file>

<file path=customXml/itemProps60.xml><?xml version="1.0" encoding="utf-8"?>
<ds:datastoreItem xmlns:ds="http://schemas.openxmlformats.org/officeDocument/2006/customXml" ds:itemID="{C60C89E2-6D4C-4630-B481-9DB6B11553EB}">
  <ds:schemaRefs>
    <ds:schemaRef ds:uri="http://gemini/pivotcustomization/f8d6dc91-2fa1-4f19-bca5-e5706caa3c6b"/>
  </ds:schemaRefs>
</ds:datastoreItem>
</file>

<file path=customXml/itemProps61.xml><?xml version="1.0" encoding="utf-8"?>
<ds:datastoreItem xmlns:ds="http://schemas.openxmlformats.org/officeDocument/2006/customXml" ds:itemID="{69E689AE-A79F-44EB-8896-6C97A7D0247F}">
  <ds:schemaRefs>
    <ds:schemaRef ds:uri="http://gemini/pivotcustomization/LinkedTables"/>
  </ds:schemaRefs>
</ds:datastoreItem>
</file>

<file path=customXml/itemProps62.xml><?xml version="1.0" encoding="utf-8"?>
<ds:datastoreItem xmlns:ds="http://schemas.openxmlformats.org/officeDocument/2006/customXml" ds:itemID="{FDEA103C-0528-47BB-9B2E-8FF6A7416A08}">
  <ds:schemaRefs>
    <ds:schemaRef ds:uri="http://gemini/pivotcustomization/6586e27e-43d8-4931-bd83-e54ae2cf4175"/>
  </ds:schemaRefs>
</ds:datastoreItem>
</file>

<file path=customXml/itemProps63.xml><?xml version="1.0" encoding="utf-8"?>
<ds:datastoreItem xmlns:ds="http://schemas.openxmlformats.org/officeDocument/2006/customXml" ds:itemID="{D0C11DFA-F165-4F32-AD11-A22494F1E051}">
  <ds:schemaRefs>
    <ds:schemaRef ds:uri="http://gemini/pivotcustomization/8591bff7-36b5-4461-9bdc-fd307be130ff"/>
  </ds:schemaRefs>
</ds:datastoreItem>
</file>

<file path=customXml/itemProps64.xml><?xml version="1.0" encoding="utf-8"?>
<ds:datastoreItem xmlns:ds="http://schemas.openxmlformats.org/officeDocument/2006/customXml" ds:itemID="{81F1B6CE-B24A-41FB-ADB5-7534E7D697A7}">
  <ds:schemaRefs>
    <ds:schemaRef ds:uri="http://gemini/pivotcustomization/TableXML_Range-a870cf8f-94b4-4c48-ad5d-c52fe2a40eb8"/>
  </ds:schemaRefs>
</ds:datastoreItem>
</file>

<file path=customXml/itemProps65.xml><?xml version="1.0" encoding="utf-8"?>
<ds:datastoreItem xmlns:ds="http://schemas.openxmlformats.org/officeDocument/2006/customXml" ds:itemID="{99CB5D4A-7886-4B44-B957-56ACF04920D0}">
  <ds:schemaRefs>
    <ds:schemaRef ds:uri="http://gemini/pivotcustomization/f9a3407f-907f-4411-97bf-8cc4af4b09ae"/>
  </ds:schemaRefs>
</ds:datastoreItem>
</file>

<file path=customXml/itemProps66.xml><?xml version="1.0" encoding="utf-8"?>
<ds:datastoreItem xmlns:ds="http://schemas.openxmlformats.org/officeDocument/2006/customXml" ds:itemID="{53DAB5EF-D5D1-47A0-A138-85A31A21A1EB}">
  <ds:schemaRefs>
    <ds:schemaRef ds:uri="http://gemini/pivotcustomization/8b0dfa29-a807-49b8-b1a1-c5751a5ee702"/>
  </ds:schemaRefs>
</ds:datastoreItem>
</file>

<file path=customXml/itemProps67.xml><?xml version="1.0" encoding="utf-8"?>
<ds:datastoreItem xmlns:ds="http://schemas.openxmlformats.org/officeDocument/2006/customXml" ds:itemID="{E84EA7F1-ADDE-46FF-9324-8DEF2F1628FB}">
  <ds:schemaRefs>
    <ds:schemaRef ds:uri="http://gemini/pivotcustomization/ecaea8f1-c852-4737-849e-cf15c4a54522"/>
  </ds:schemaRefs>
</ds:datastoreItem>
</file>

<file path=customXml/itemProps68.xml><?xml version="1.0" encoding="utf-8"?>
<ds:datastoreItem xmlns:ds="http://schemas.openxmlformats.org/officeDocument/2006/customXml" ds:itemID="{4CF3CB4A-4F61-4911-B1AE-DD9CF4C93B08}">
  <ds:schemaRefs>
    <ds:schemaRef ds:uri="http://gemini/pivotcustomization/TableXML_DC_Genset-4265897c-6016-48f1-b584-1e1637491e19"/>
  </ds:schemaRefs>
</ds:datastoreItem>
</file>

<file path=customXml/itemProps69.xml><?xml version="1.0" encoding="utf-8"?>
<ds:datastoreItem xmlns:ds="http://schemas.openxmlformats.org/officeDocument/2006/customXml" ds:itemID="{16F09589-18BD-49D1-85FD-44A6BE31152D}">
  <ds:schemaRefs>
    <ds:schemaRef ds:uri="http://gemini/pivotcustomization/033109b9-7c1d-4cfb-ac97-d818c2014351"/>
  </ds:schemaRefs>
</ds:datastoreItem>
</file>

<file path=customXml/itemProps7.xml><?xml version="1.0" encoding="utf-8"?>
<ds:datastoreItem xmlns:ds="http://schemas.openxmlformats.org/officeDocument/2006/customXml" ds:itemID="{2ABE3941-DD38-498A-B1D3-F1F766767FBA}">
  <ds:schemaRefs>
    <ds:schemaRef ds:uri="http://gemini/pivotcustomization/d6b96dd2-98bb-4117-9855-62af20a4ab76"/>
  </ds:schemaRefs>
</ds:datastoreItem>
</file>

<file path=customXml/itemProps70.xml><?xml version="1.0" encoding="utf-8"?>
<ds:datastoreItem xmlns:ds="http://schemas.openxmlformats.org/officeDocument/2006/customXml" ds:itemID="{5CB8B4FC-65A1-4C6C-89AA-BC65677245A8}">
  <ds:schemaRefs>
    <ds:schemaRef ds:uri="http://gemini/pivotcustomization/ManualCalcMode"/>
  </ds:schemaRefs>
</ds:datastoreItem>
</file>

<file path=customXml/itemProps71.xml><?xml version="1.0" encoding="utf-8"?>
<ds:datastoreItem xmlns:ds="http://schemas.openxmlformats.org/officeDocument/2006/customXml" ds:itemID="{59856168-7BC9-4E03-BD9A-3B10AC3BD246}">
  <ds:schemaRefs>
    <ds:schemaRef ds:uri="http://gemini/pivotcustomization/5a09956e-f86a-4e60-9efa-610b77efe447"/>
  </ds:schemaRefs>
</ds:datastoreItem>
</file>

<file path=customXml/itemProps72.xml><?xml version="1.0" encoding="utf-8"?>
<ds:datastoreItem xmlns:ds="http://schemas.openxmlformats.org/officeDocument/2006/customXml" ds:itemID="{D4FC8625-65C8-4215-88C7-00DCCCCD04F8}">
  <ds:schemaRefs>
    <ds:schemaRef ds:uri="http://gemini/pivotcustomization/5e97af85-f666-4288-bf39-8a06d351df17"/>
  </ds:schemaRefs>
</ds:datastoreItem>
</file>

<file path=customXml/itemProps73.xml><?xml version="1.0" encoding="utf-8"?>
<ds:datastoreItem xmlns:ds="http://schemas.openxmlformats.org/officeDocument/2006/customXml" ds:itemID="{3EBEA8AA-D079-4E8E-BA45-B35322571938}">
  <ds:schemaRefs>
    <ds:schemaRef ds:uri="http://gemini/pivotcustomization/TableXML_Percentage_Estimates-9afaca4d-4254-4b13-9359-66d4cedabfa7"/>
  </ds:schemaRefs>
</ds:datastoreItem>
</file>

<file path=customXml/itemProps74.xml><?xml version="1.0" encoding="utf-8"?>
<ds:datastoreItem xmlns:ds="http://schemas.openxmlformats.org/officeDocument/2006/customXml" ds:itemID="{874C3E53-58AB-4BD6-864B-3CBBD4558013}">
  <ds:schemaRefs>
    <ds:schemaRef ds:uri="http://gemini/pivotcustomization/04c09d4b-abc6-40a0-ad52-810d4f2aefc3"/>
  </ds:schemaRefs>
</ds:datastoreItem>
</file>

<file path=customXml/itemProps75.xml><?xml version="1.0" encoding="utf-8"?>
<ds:datastoreItem xmlns:ds="http://schemas.openxmlformats.org/officeDocument/2006/customXml" ds:itemID="{04CE4B04-BF53-48BA-8B79-A1EB7BAB1AE7}">
  <ds:schemaRefs>
    <ds:schemaRef ds:uri="http://schemas.microsoft.com/DataMashup"/>
  </ds:schemaRefs>
</ds:datastoreItem>
</file>

<file path=customXml/itemProps76.xml><?xml version="1.0" encoding="utf-8"?>
<ds:datastoreItem xmlns:ds="http://schemas.openxmlformats.org/officeDocument/2006/customXml" ds:itemID="{4557B9C4-EA8A-4E0F-AAD1-85624A553C85}">
  <ds:schemaRefs>
    <ds:schemaRef ds:uri="http://gemini/pivotcustomization/03256859-8b66-4783-a846-6a224270d811"/>
  </ds:schemaRefs>
</ds:datastoreItem>
</file>

<file path=customXml/itemProps77.xml><?xml version="1.0" encoding="utf-8"?>
<ds:datastoreItem xmlns:ds="http://schemas.openxmlformats.org/officeDocument/2006/customXml" ds:itemID="{B0A90731-2D3E-455E-95FD-362FF8166CEC}">
  <ds:schemaRefs>
    <ds:schemaRef ds:uri="http://gemini/pivotcustomization/ShowHidden"/>
  </ds:schemaRefs>
</ds:datastoreItem>
</file>

<file path=customXml/itemProps78.xml><?xml version="1.0" encoding="utf-8"?>
<ds:datastoreItem xmlns:ds="http://schemas.openxmlformats.org/officeDocument/2006/customXml" ds:itemID="{90C6C1BC-85F8-4F15-9C91-304B20C54735}">
  <ds:schemaRefs>
    <ds:schemaRef ds:uri="http://gemini/pivotcustomization/ClientWindowXML"/>
  </ds:schemaRefs>
</ds:datastoreItem>
</file>

<file path=customXml/itemProps79.xml><?xml version="1.0" encoding="utf-8"?>
<ds:datastoreItem xmlns:ds="http://schemas.openxmlformats.org/officeDocument/2006/customXml" ds:itemID="{B8E502DC-2F46-4600-B8D4-3A9797438D83}">
  <ds:schemaRefs>
    <ds:schemaRef ds:uri="http://purl.org/dc/elements/1.1/"/>
    <ds:schemaRef ds:uri="http://schemas.microsoft.com/office/2006/documentManagement/types"/>
    <ds:schemaRef ds:uri="9c7b2f30-2231-41e0-b86a-1257079ed7b5"/>
    <ds:schemaRef ds:uri="http://purl.org/dc/terms/"/>
    <ds:schemaRef ds:uri="http://www.w3.org/XML/1998/namespace"/>
    <ds:schemaRef ds:uri="http://schemas.openxmlformats.org/package/2006/metadata/core-properties"/>
    <ds:schemaRef ds:uri="c7b56d83-7d92-4d5e-8552-dd44030ff6cf"/>
    <ds:schemaRef ds:uri="f6156fdc-1b67-4e65-a7eb-2d097edf2cd6"/>
    <ds:schemaRef ds:uri="http://schemas.microsoft.com/office/infopath/2007/PartnerControls"/>
    <ds:schemaRef ds:uri="http://schemas.microsoft.com/office/2006/metadata/properties"/>
    <ds:schemaRef ds:uri="http://purl.org/dc/dcmitype/"/>
  </ds:schemaRefs>
</ds:datastoreItem>
</file>

<file path=customXml/itemProps8.xml><?xml version="1.0" encoding="utf-8"?>
<ds:datastoreItem xmlns:ds="http://schemas.openxmlformats.org/officeDocument/2006/customXml" ds:itemID="{66C18038-32F9-48F4-9BA8-2D9BEA7CA79F}">
  <ds:schemaRefs>
    <ds:schemaRef ds:uri="http://gemini/pivotcustomization/TableXML_Query 3_de3e7629-9d7f-4ae8-8444-38477ae37523"/>
  </ds:schemaRefs>
</ds:datastoreItem>
</file>

<file path=customXml/itemProps80.xml><?xml version="1.0" encoding="utf-8"?>
<ds:datastoreItem xmlns:ds="http://schemas.openxmlformats.org/officeDocument/2006/customXml" ds:itemID="{44A8B54F-9833-49A5-BE10-92AE5C31079D}">
  <ds:schemaRefs>
    <ds:schemaRef ds:uri="http://gemini/pivotcustomization/TableXML_AVIS-9c8f3f37-1a54-4382-ab4f-c4dbf6b79164"/>
  </ds:schemaRefs>
</ds:datastoreItem>
</file>

<file path=customXml/itemProps81.xml><?xml version="1.0" encoding="utf-8"?>
<ds:datastoreItem xmlns:ds="http://schemas.openxmlformats.org/officeDocument/2006/customXml" ds:itemID="{6833DFBA-68E5-452E-B0DD-462AD227F559}">
  <ds:schemaRefs>
    <ds:schemaRef ds:uri="http://gemini/pivotcustomization/23ea68d1-5af4-4bca-b1ca-cf55c5456883"/>
  </ds:schemaRefs>
</ds:datastoreItem>
</file>

<file path=customXml/itemProps82.xml><?xml version="1.0" encoding="utf-8"?>
<ds:datastoreItem xmlns:ds="http://schemas.openxmlformats.org/officeDocument/2006/customXml" ds:itemID="{412F5899-E1E0-43EC-8B29-5E226D464939}">
  <ds:schemaRefs>
    <ds:schemaRef ds:uri="http://gemini/pivotcustomization/Diagrams"/>
  </ds:schemaRefs>
</ds:datastoreItem>
</file>

<file path=customXml/itemProps83.xml><?xml version="1.0" encoding="utf-8"?>
<ds:datastoreItem xmlns:ds="http://schemas.openxmlformats.org/officeDocument/2006/customXml" ds:itemID="{9F677474-C2AC-4BE4-B175-21D534844159}">
  <ds:schemaRefs>
    <ds:schemaRef ds:uri="http://gemini/pivotcustomization/c6643885-b8b9-4111-91c3-a0aadbce2810"/>
  </ds:schemaRefs>
</ds:datastoreItem>
</file>

<file path=customXml/itemProps84.xml><?xml version="1.0" encoding="utf-8"?>
<ds:datastoreItem xmlns:ds="http://schemas.openxmlformats.org/officeDocument/2006/customXml" ds:itemID="{1C4F3AF6-28DD-4269-B1C1-C9619F6E3822}">
  <ds:schemaRefs>
    <ds:schemaRef ds:uri="http://gemini/pivotcustomization/LinkedTableUpdateMode"/>
  </ds:schemaRefs>
</ds:datastoreItem>
</file>

<file path=customXml/itemProps85.xml><?xml version="1.0" encoding="utf-8"?>
<ds:datastoreItem xmlns:ds="http://schemas.openxmlformats.org/officeDocument/2006/customXml" ds:itemID="{42C5022A-F075-4953-8609-202B3419E14D}">
  <ds:schemaRefs>
    <ds:schemaRef ds:uri="http://gemini/pivotcustomization/TableXML_SE_Gas-4c57cd28-4931-4a4a-a7e7-999a8dddb67f"/>
  </ds:schemaRefs>
</ds:datastoreItem>
</file>

<file path=customXml/itemProps86.xml><?xml version="1.0" encoding="utf-8"?>
<ds:datastoreItem xmlns:ds="http://schemas.openxmlformats.org/officeDocument/2006/customXml" ds:itemID="{E6A6BE6F-FC35-4F11-BB58-A32B6FA6011C}">
  <ds:schemaRefs>
    <ds:schemaRef ds:uri="http://gemini/pivotcustomization/IsSandboxEmbedded"/>
  </ds:schemaRefs>
</ds:datastoreItem>
</file>

<file path=customXml/itemProps87.xml><?xml version="1.0" encoding="utf-8"?>
<ds:datastoreItem xmlns:ds="http://schemas.openxmlformats.org/officeDocument/2006/customXml" ds:itemID="{B5AEAE0D-A778-4DBE-8B5E-709DC7F14343}">
  <ds:schemaRefs>
    <ds:schemaRef ds:uri="http://gemini/pivotcustomization/TableXML_Solar-5b7d4e0e-0b93-47d8-a88b-bfa910800705"/>
  </ds:schemaRefs>
</ds:datastoreItem>
</file>

<file path=customXml/itemProps88.xml><?xml version="1.0" encoding="utf-8"?>
<ds:datastoreItem xmlns:ds="http://schemas.openxmlformats.org/officeDocument/2006/customXml" ds:itemID="{67E470B6-2911-4855-BE41-1C183063DA32}">
  <ds:schemaRefs>
    <ds:schemaRef ds:uri="http://gemini/pivotcustomization/TableXML_Query_603303d3-73c6-4d4a-855b-04f32b79a428"/>
  </ds:schemaRefs>
</ds:datastoreItem>
</file>

<file path=customXml/itemProps89.xml><?xml version="1.0" encoding="utf-8"?>
<ds:datastoreItem xmlns:ds="http://schemas.openxmlformats.org/officeDocument/2006/customXml" ds:itemID="{299D5F92-9194-4859-8D0E-48BF1ECDAB20}">
  <ds:schemaRefs>
    <ds:schemaRef ds:uri="http://gemini/pivotcustomization/TableOrder"/>
  </ds:schemaRefs>
</ds:datastoreItem>
</file>

<file path=customXml/itemProps9.xml><?xml version="1.0" encoding="utf-8"?>
<ds:datastoreItem xmlns:ds="http://schemas.openxmlformats.org/officeDocument/2006/customXml" ds:itemID="{EE6A05CD-928A-4A83-8E40-D00071A138CB}">
  <ds:schemaRefs>
    <ds:schemaRef ds:uri="http://gemini/pivotcustomization/TableXML_NGERS_Stationary_report-c8c14bea-16e7-4f0c-8559-6f39607096b5"/>
  </ds:schemaRefs>
</ds:datastoreItem>
</file>

<file path=customXml/itemProps90.xml><?xml version="1.0" encoding="utf-8"?>
<ds:datastoreItem xmlns:ds="http://schemas.openxmlformats.org/officeDocument/2006/customXml" ds:itemID="{BCDC139B-72E0-4D07-B6E3-DE4C8D8FCE38}">
  <ds:schemaRefs>
    <ds:schemaRef ds:uri="http://gemini/pivotcustomization/70174236-0c7e-4030-ace9-ff67bee3c1e5"/>
  </ds:schemaRefs>
</ds:datastoreItem>
</file>

<file path=customXml/itemProps91.xml><?xml version="1.0" encoding="utf-8"?>
<ds:datastoreItem xmlns:ds="http://schemas.openxmlformats.org/officeDocument/2006/customXml" ds:itemID="{502AB60F-3E6A-4999-B0E5-F80D7438D595}">
  <ds:schemaRefs>
    <ds:schemaRef ds:uri="http://gemini/pivotcustomization/TableXML_Query_14ff0f4a-494f-4124-91d9-b6ab30d40eee"/>
  </ds:schemaRefs>
</ds:datastoreItem>
</file>

<file path=customXml/itemProps92.xml><?xml version="1.0" encoding="utf-8"?>
<ds:datastoreItem xmlns:ds="http://schemas.openxmlformats.org/officeDocument/2006/customXml" ds:itemID="{84CFA504-85DC-4139-922F-F6426B4284E9}">
  <ds:schemaRefs>
    <ds:schemaRef ds:uri="http://gemini/pivotcustomization/ShowImplicitMeasures"/>
  </ds:schemaRefs>
</ds:datastoreItem>
</file>

<file path=customXml/itemProps93.xml><?xml version="1.0" encoding="utf-8"?>
<ds:datastoreItem xmlns:ds="http://schemas.openxmlformats.org/officeDocument/2006/customXml" ds:itemID="{5FF72DD0-B31C-44D5-AAE4-A81BDC0E432E}">
  <ds:schemaRefs>
    <ds:schemaRef ds:uri="http://gemini/pivotcustomization/6d088635-5eca-4cd6-b016-af3297debf2f"/>
  </ds:schemaRefs>
</ds:datastoreItem>
</file>

<file path=customXml/itemProps94.xml><?xml version="1.0" encoding="utf-8"?>
<ds:datastoreItem xmlns:ds="http://schemas.openxmlformats.org/officeDocument/2006/customXml" ds:itemID="{18D6FA58-39D0-47AF-8381-0FE60876E6B0}">
  <ds:schemaRefs>
    <ds:schemaRef ds:uri="http://gemini/pivotcustomization/TableXML_Entity-ebd6c02f-4d1b-467e-a733-83b71d28ca00"/>
  </ds:schemaRefs>
</ds:datastoreItem>
</file>

<file path=customXml/itemProps95.xml><?xml version="1.0" encoding="utf-8"?>
<ds:datastoreItem xmlns:ds="http://schemas.openxmlformats.org/officeDocument/2006/customXml" ds:itemID="{8A1540D8-0332-473B-A614-DDB3D777DE45}">
  <ds:schemaRefs>
    <ds:schemaRef ds:uri="http://gemini/pivotcustomization/43a0fcdc-da99-453b-94ff-64a8fd0e7b15"/>
  </ds:schemaRefs>
</ds:datastoreItem>
</file>

<file path=customXml/itemProps96.xml><?xml version="1.0" encoding="utf-8"?>
<ds:datastoreItem xmlns:ds="http://schemas.openxmlformats.org/officeDocument/2006/customXml" ds:itemID="{7FCF13D8-1DB2-4BDA-9EC5-9E8EBD866FCA}">
  <ds:schemaRefs>
    <ds:schemaRef ds:uri="http://gemini/pivotcustomization/c1e7c1b7-526d-4a36-b3f0-694454858437"/>
  </ds:schemaRefs>
</ds:datastoreItem>
</file>

<file path=customXml/itemProps97.xml><?xml version="1.0" encoding="utf-8"?>
<ds:datastoreItem xmlns:ds="http://schemas.openxmlformats.org/officeDocument/2006/customXml" ds:itemID="{9AB5C30D-6910-4FDF-A331-9322D41DE3CE}">
  <ds:schemaRefs>
    <ds:schemaRef ds:uri="http://gemini/pivotcustomization/b9ae9b20-88fd-48cd-9bce-6f8136b648e3"/>
  </ds:schemaRefs>
</ds:datastoreItem>
</file>

<file path=customXml/itemProps98.xml><?xml version="1.0" encoding="utf-8"?>
<ds:datastoreItem xmlns:ds="http://schemas.openxmlformats.org/officeDocument/2006/customXml" ds:itemID="{51A1FB44-EF6D-4538-81D4-59BAAD5CB5C2}">
  <ds:schemaRefs>
    <ds:schemaRef ds:uri="http://gemini/pivotcustomization/MeasureGridState"/>
  </ds:schemaRefs>
</ds:datastoreItem>
</file>

<file path=customXml/itemProps99.xml><?xml version="1.0" encoding="utf-8"?>
<ds:datastoreItem xmlns:ds="http://schemas.openxmlformats.org/officeDocument/2006/customXml" ds:itemID="{378CD324-6EAE-46DD-9038-CD45BA107F0A}">
  <ds:schemaRefs>
    <ds:schemaRef ds:uri="http://gemini/pivotcustomization/eabde54f-83dd-471d-ae8b-12f529fa2c1c"/>
  </ds:schemaRefs>
</ds:datastoreItem>
</file>

<file path=docMetadata/LabelInfo.xml><?xml version="1.0" encoding="utf-8"?>
<clbl:labelList xmlns:clbl="http://schemas.microsoft.com/office/2020/mipLabelMetadata">
  <clbl:label id="{f4ab56b7-6ec4-4073-8d92-ac7cc2e7a5df}" enabled="1" method="Privileged" siteId="{49dfc6a3-5fb7-49f4-adea-c54e725bb85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vt:i4>
      </vt:variant>
    </vt:vector>
  </HeadingPairs>
  <TitlesOfParts>
    <vt:vector size="48" baseType="lpstr">
      <vt:lpstr>Source data International</vt:lpstr>
      <vt:lpstr>Cover</vt:lpstr>
      <vt:lpstr>Version Control</vt:lpstr>
      <vt:lpstr>ENV Model_FY20</vt:lpstr>
      <vt:lpstr>2021 Data Pack </vt:lpstr>
      <vt:lpstr>Trusted operations</vt:lpstr>
      <vt:lpstr>Digital inclusion</vt:lpstr>
      <vt:lpstr>Environmental action</vt:lpstr>
      <vt:lpstr>Level1</vt:lpstr>
      <vt:lpstr>Level 2</vt:lpstr>
      <vt:lpstr>Level 3</vt:lpstr>
      <vt:lpstr>Network splits for CSR FY21</vt:lpstr>
      <vt:lpstr>Summary Pivot FY21</vt:lpstr>
      <vt:lpstr>Reform FY21</vt:lpstr>
      <vt:lpstr>FY19 Environmental Data</vt:lpstr>
      <vt:lpstr>NGER FY19</vt:lpstr>
      <vt:lpstr>ChangesFY19</vt:lpstr>
      <vt:lpstr>International FY21</vt:lpstr>
      <vt:lpstr>International FY20</vt:lpstr>
      <vt:lpstr>International FY19</vt:lpstr>
      <vt:lpstr>NBN Removal</vt:lpstr>
      <vt:lpstr>BCA Removal</vt:lpstr>
      <vt:lpstr>JCDecaux Removal</vt:lpstr>
      <vt:lpstr>Telstra BCA</vt:lpstr>
      <vt:lpstr>Envizi Elec Data</vt:lpstr>
      <vt:lpstr>EnviziGas Data</vt:lpstr>
      <vt:lpstr>Solar</vt:lpstr>
      <vt:lpstr>DC Genset</vt:lpstr>
      <vt:lpstr>NET Genset Grounds</vt:lpstr>
      <vt:lpstr>NON Genset</vt:lpstr>
      <vt:lpstr>LP Fleet</vt:lpstr>
      <vt:lpstr>LP Stationary</vt:lpstr>
      <vt:lpstr>AVIS</vt:lpstr>
      <vt:lpstr>Contractor Fuels</vt:lpstr>
      <vt:lpstr>Grounds Fuels</vt:lpstr>
      <vt:lpstr>Pitwater</vt:lpstr>
      <vt:lpstr>Percentage Estimates 21</vt:lpstr>
      <vt:lpstr>Waste (CSR Only) FY21</vt:lpstr>
      <vt:lpstr>Flights (CSR Only)</vt:lpstr>
      <vt:lpstr>Paper (CSR Only)</vt:lpstr>
      <vt:lpstr>Scope 3 (CSR only)</vt:lpstr>
      <vt:lpstr>Petabytes (CSR)</vt:lpstr>
      <vt:lpstr>Savings (CSR Only)</vt:lpstr>
      <vt:lpstr>Water (CSR Only)</vt:lpstr>
      <vt:lpstr>Entities FY21</vt:lpstr>
      <vt:lpstr>GHG Factors FY21</vt:lpstr>
      <vt:lpstr>GHG Factors FY20</vt:lpstr>
      <vt:lpstr>'2021 Data Pack '!Print_Area</vt:lpstr>
    </vt:vector>
  </TitlesOfParts>
  <Manager/>
  <Company>Telstra Corporation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Hermon, Rene</dc:creator>
  <cp:keywords/>
  <dc:description/>
  <cp:lastModifiedBy>Curnow, Nicola</cp:lastModifiedBy>
  <cp:revision/>
  <dcterms:created xsi:type="dcterms:W3CDTF">2018-11-12T02:51:39Z</dcterms:created>
  <dcterms:modified xsi:type="dcterms:W3CDTF">2023-02-06T08:36:13Z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0x0101004F4692F43398F0468630CE82EDAFC73B</vt:lpwstr>
  </property>
  <property fmtid="{D5CDD505-2E9C-101B-9397-08002B2CF9AE}" pid="3" name="_dlc_DocIdItemGuid">
    <vt:lpwstr>9b1703a6-2e85-4969-9bca-b5fa55ce22ed</vt:lpwstr>
  </property>
  <property fmtid="{D5CDD505-2E9C-101B-9397-08002B2CF9AE}" pid="4" name="MediaServiceImageTags">
    <vt:lpwstr/>
  </property>
</Properties>
</file>